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4004"/>
  <sheetViews>
    <sheetView workbookViewId="0">
      <selection activeCell="A1" sqref="A1"/>
    </sheetView>
  </sheetViews>
  <sheetFormatPr baseColWidth="8" defaultRowHeight="15"/>
  <sheetData>
    <row r="1">
      <c r="A1" t="inlineStr">
        <is>
          <t>Keep in Collection? (Yes/No)</t>
        </is>
      </c>
      <c r="B1" t="inlineStr">
        <is>
          <t>Collection Code</t>
        </is>
      </c>
      <c r="C1" t="inlineStr">
        <is>
          <t>Location Code</t>
        </is>
      </c>
      <c r="D1" t="inlineStr">
        <is>
          <t>Display Call Number</t>
        </is>
      </c>
      <c r="E1" t="inlineStr">
        <is>
          <t>Display Call Number Normalized</t>
        </is>
      </c>
      <c r="F1" t="inlineStr">
        <is>
          <t>Title</t>
        </is>
      </c>
      <c r="G1" t="inlineStr">
        <is>
          <t>Enumeration</t>
        </is>
      </c>
      <c r="H1" t="inlineStr">
        <is>
          <t>Possible Multi-Volume Set</t>
        </is>
      </c>
      <c r="I1" t="inlineStr">
        <is>
          <t>Copy Number</t>
        </is>
      </c>
      <c r="J1" t="inlineStr">
        <is>
          <t>Possible Duplicate</t>
        </is>
      </c>
      <c r="K1" t="inlineStr">
        <is>
          <t>Multi-Edition Title</t>
        </is>
      </c>
      <c r="L1" t="inlineStr">
        <is>
          <t>Number of Related Ebooks</t>
        </is>
      </c>
      <c r="M1" t="inlineStr">
        <is>
          <t>Author</t>
        </is>
      </c>
      <c r="N1" t="inlineStr">
        <is>
          <t>Publisher</t>
        </is>
      </c>
      <c r="O1" t="inlineStr">
        <is>
          <t>Publication Year</t>
        </is>
      </c>
      <c r="P1" t="inlineStr">
        <is>
          <t>Edition</t>
        </is>
      </c>
      <c r="Q1" t="inlineStr">
        <is>
          <t>Primary Language</t>
        </is>
      </c>
      <c r="R1" t="inlineStr">
        <is>
          <t>Place of Publication</t>
        </is>
      </c>
      <c r="S1" t="inlineStr">
        <is>
          <t>Series</t>
        </is>
      </c>
      <c r="T1" t="inlineStr">
        <is>
          <t>LC Subclass</t>
        </is>
      </c>
      <c r="U1" t="inlineStr">
        <is>
          <t>Recorded Uses - Item</t>
        </is>
      </c>
      <c r="V1" t="inlineStr">
        <is>
          <t>Recorded Uses - Title</t>
        </is>
      </c>
      <c r="W1" t="inlineStr">
        <is>
          <t>Last Charge Date - Item</t>
        </is>
      </c>
      <c r="X1" t="inlineStr">
        <is>
          <t>Last Charge Date - Title</t>
        </is>
      </c>
      <c r="Y1" t="inlineStr">
        <is>
          <t>Last Add Date - Item</t>
        </is>
      </c>
      <c r="Z1" t="inlineStr">
        <is>
          <t>Last Add Date - Title</t>
        </is>
      </c>
      <c r="AA1" t="inlineStr">
        <is>
          <t>Global Holdings - Same Edition</t>
        </is>
      </c>
      <c r="AB1" t="inlineStr">
        <is>
          <t>US Holdings - Same Edition</t>
        </is>
      </c>
      <c r="AC1" t="inlineStr">
        <is>
          <t>US Holdings</t>
        </is>
      </c>
      <c r="AD1" t="inlineStr">
        <is>
          <t>Nebraska Holdings - Same Edition</t>
        </is>
      </c>
      <c r="AE1" t="inlineStr">
        <is>
          <t>Nebraska Holdings</t>
        </is>
      </c>
      <c r="AF1" t="inlineStr">
        <is>
          <t>All Comparator Library Holdings - Same Edition</t>
        </is>
      </c>
      <c r="AG1" t="inlineStr">
        <is>
          <t xml:space="preserve">All Comparator Library Holdings </t>
        </is>
      </c>
      <c r="AH1" t="inlineStr">
        <is>
          <t>Affinity Libraries - Same Edition</t>
        </is>
      </c>
      <c r="AI1" t="inlineStr">
        <is>
          <t>Affinity Libraries - Any Edition</t>
        </is>
      </c>
      <c r="AJ1" t="inlineStr">
        <is>
          <t>Big East - Same Edition</t>
        </is>
      </c>
      <c r="AK1" t="inlineStr">
        <is>
          <t>Big East - Any Edition</t>
        </is>
      </c>
      <c r="AL1" t="inlineStr">
        <is>
          <t>AJCU - Same Edition</t>
        </is>
      </c>
      <c r="AM1" t="inlineStr">
        <is>
          <t>AJCU - Any Edition</t>
        </is>
      </c>
      <c r="AN1" t="inlineStr">
        <is>
          <t>Nebraska Colleges &amp; Universities - Same Edition</t>
        </is>
      </c>
      <c r="AO1" t="inlineStr">
        <is>
          <t>Nebraska Colleges &amp; Universities - Any Edition</t>
        </is>
      </c>
      <c r="AP1" t="inlineStr">
        <is>
          <t>MALLCO - Same Edition</t>
        </is>
      </c>
      <c r="AQ1" t="inlineStr">
        <is>
          <t>MALLCO - Any Edition</t>
        </is>
      </c>
      <c r="AR1" t="inlineStr">
        <is>
          <t>HathiTrust Public Domain</t>
        </is>
      </c>
      <c r="AS1" t="inlineStr">
        <is>
          <t>HathiTrust In Copyright</t>
        </is>
      </c>
      <c r="AT1" t="inlineStr">
        <is>
          <t>HathiTrust URL</t>
        </is>
      </c>
      <c r="AU1" t="inlineStr">
        <is>
          <t>OPAC URL</t>
        </is>
      </c>
      <c r="AV1" t="inlineStr">
        <is>
          <t>WorldCat URL</t>
        </is>
      </c>
      <c r="AW1" t="inlineStr">
        <is>
          <t>OCLC Work ID</t>
        </is>
      </c>
      <c r="AX1" t="inlineStr">
        <is>
          <t>WorldCat OCLC Number</t>
        </is>
      </c>
      <c r="AY1" t="inlineStr">
        <is>
          <t>Bib Record Number</t>
        </is>
      </c>
      <c r="AZ1" t="inlineStr">
        <is>
          <t>Bib Control Number</t>
        </is>
      </c>
      <c r="BA1" t="inlineStr">
        <is>
          <t>Item Control Number</t>
        </is>
      </c>
      <c r="BB1" t="inlineStr">
        <is>
          <t>Item Type Code</t>
        </is>
      </c>
      <c r="BC1" t="inlineStr">
        <is>
          <t>Item Status Code</t>
        </is>
      </c>
      <c r="BD1" t="inlineStr">
        <is>
          <t>ISBN</t>
        </is>
      </c>
      <c r="BE1" t="inlineStr">
        <is>
          <t>Barcode</t>
        </is>
      </c>
      <c r="BF1" t="inlineStr">
        <is>
          <t>SCS Item ID</t>
        </is>
      </c>
    </row>
    <row r="2">
      <c r="A2" t="inlineStr">
        <is>
          <t>No</t>
        </is>
      </c>
      <c r="B2" t="inlineStr">
        <is>
          <t>CURAL</t>
        </is>
      </c>
      <c r="C2" t="inlineStr">
        <is>
          <t>SHELVES</t>
        </is>
      </c>
      <c r="D2" t="inlineStr">
        <is>
          <t>PR105 .D4</t>
        </is>
      </c>
      <c r="E2" t="inlineStr">
        <is>
          <t>0                      PR 0105000D  4</t>
        </is>
      </c>
      <c r="F2" t="inlineStr">
        <is>
          <t>Group portrait : Joseph Conrad, Stephen Crane, Ford Madox Ford, Henry James, and H.G. Wells / Nicholas Delbanco.</t>
        </is>
      </c>
      <c r="H2" t="inlineStr">
        <is>
          <t>No</t>
        </is>
      </c>
      <c r="I2" t="inlineStr">
        <is>
          <t>1</t>
        </is>
      </c>
      <c r="J2" t="inlineStr">
        <is>
          <t>No</t>
        </is>
      </c>
      <c r="K2" t="inlineStr">
        <is>
          <t>No</t>
        </is>
      </c>
      <c r="L2" t="inlineStr">
        <is>
          <t>0</t>
        </is>
      </c>
      <c r="M2" t="inlineStr">
        <is>
          <t>Delbanco, Nicholas.</t>
        </is>
      </c>
      <c r="N2" t="inlineStr">
        <is>
          <t>New York : Morrow, 1982.</t>
        </is>
      </c>
      <c r="O2" t="inlineStr">
        <is>
          <t>1982</t>
        </is>
      </c>
      <c r="P2" t="inlineStr">
        <is>
          <t>1st ed.</t>
        </is>
      </c>
      <c r="Q2" t="inlineStr">
        <is>
          <t>eng</t>
        </is>
      </c>
      <c r="R2" t="inlineStr">
        <is>
          <t>nyu</t>
        </is>
      </c>
      <c r="T2" t="inlineStr">
        <is>
          <t xml:space="preserve">PR </t>
        </is>
      </c>
      <c r="U2" t="n">
        <v>3</v>
      </c>
      <c r="V2" t="n">
        <v>3</v>
      </c>
      <c r="W2" t="inlineStr">
        <is>
          <t>2010-04-08</t>
        </is>
      </c>
      <c r="X2" t="inlineStr">
        <is>
          <t>2010-04-08</t>
        </is>
      </c>
      <c r="Y2" t="inlineStr">
        <is>
          <t>1991-08-27</t>
        </is>
      </c>
      <c r="Z2" t="inlineStr">
        <is>
          <t>1991-08-27</t>
        </is>
      </c>
      <c r="AA2" t="n">
        <v>673</v>
      </c>
      <c r="AB2" t="n">
        <v>608</v>
      </c>
      <c r="AC2" t="n">
        <v>644</v>
      </c>
      <c r="AD2" t="n">
        <v>4</v>
      </c>
      <c r="AE2" t="n">
        <v>5</v>
      </c>
      <c r="AF2" t="n">
        <v>19</v>
      </c>
      <c r="AG2" t="n">
        <v>19</v>
      </c>
      <c r="AH2" t="n">
        <v>6</v>
      </c>
      <c r="AI2" t="n">
        <v>6</v>
      </c>
      <c r="AJ2" t="n">
        <v>6</v>
      </c>
      <c r="AK2" t="n">
        <v>6</v>
      </c>
      <c r="AL2" t="n">
        <v>10</v>
      </c>
      <c r="AM2" t="n">
        <v>10</v>
      </c>
      <c r="AN2" t="n">
        <v>3</v>
      </c>
      <c r="AO2" t="n">
        <v>3</v>
      </c>
      <c r="AP2" t="n">
        <v>0</v>
      </c>
      <c r="AQ2" t="n">
        <v>0</v>
      </c>
      <c r="AR2" t="inlineStr">
        <is>
          <t>No</t>
        </is>
      </c>
      <c r="AS2" t="inlineStr">
        <is>
          <t>Yes</t>
        </is>
      </c>
      <c r="AT2">
        <f>HYPERLINK("http://catalog.hathitrust.org/Record/000760331","HathiTrust Record")</f>
        <v/>
      </c>
      <c r="AU2">
        <f>HYPERLINK("https://creighton-primo.hosted.exlibrisgroup.com/primo-explore/search?tab=default_tab&amp;search_scope=EVERYTHING&amp;vid=01CRU&amp;lang=en_US&amp;offset=0&amp;query=any,contains,991005169179702656","Catalog Record")</f>
        <v/>
      </c>
      <c r="AV2">
        <f>HYPERLINK("http://www.worldcat.org/oclc/7837867","WorldCat Record")</f>
        <v/>
      </c>
      <c r="AW2" t="inlineStr">
        <is>
          <t>3271601:eng</t>
        </is>
      </c>
      <c r="AX2" t="inlineStr">
        <is>
          <t>7837867</t>
        </is>
      </c>
      <c r="AY2" t="inlineStr">
        <is>
          <t>991005169179702656</t>
        </is>
      </c>
      <c r="AZ2" t="inlineStr">
        <is>
          <t>991005169179702656</t>
        </is>
      </c>
      <c r="BA2" t="inlineStr">
        <is>
          <t>2256731730002656</t>
        </is>
      </c>
      <c r="BB2" t="inlineStr">
        <is>
          <t>BOOK</t>
        </is>
      </c>
      <c r="BD2" t="inlineStr">
        <is>
          <t>9780688010171</t>
        </is>
      </c>
      <c r="BE2" t="inlineStr">
        <is>
          <t>32285000699495</t>
        </is>
      </c>
      <c r="BF2" t="inlineStr">
        <is>
          <t>893776959</t>
        </is>
      </c>
    </row>
    <row r="3">
      <c r="A3" t="inlineStr">
        <is>
          <t>No</t>
        </is>
      </c>
      <c r="B3" t="inlineStr">
        <is>
          <t>CURAL</t>
        </is>
      </c>
      <c r="C3" t="inlineStr">
        <is>
          <t>SHELVES</t>
        </is>
      </c>
      <c r="D3" t="inlineStr">
        <is>
          <t>PR105 .H6</t>
        </is>
      </c>
      <c r="E3" t="inlineStr">
        <is>
          <t>0                      PR 0105000H  6</t>
        </is>
      </c>
      <c r="F3" t="inlineStr">
        <is>
          <t>Lives of great English writers from Chaucer to Browning, by Walter S. Hinchman ... and Francis B. Gummere ...</t>
        </is>
      </c>
      <c r="H3" t="inlineStr">
        <is>
          <t>No</t>
        </is>
      </c>
      <c r="I3" t="inlineStr">
        <is>
          <t>1</t>
        </is>
      </c>
      <c r="J3" t="inlineStr">
        <is>
          <t>No</t>
        </is>
      </c>
      <c r="K3" t="inlineStr">
        <is>
          <t>No</t>
        </is>
      </c>
      <c r="L3" t="inlineStr">
        <is>
          <t>0</t>
        </is>
      </c>
      <c r="M3" t="inlineStr">
        <is>
          <t>Hinchman, Walter S. (Walter Swain), 1879-</t>
        </is>
      </c>
      <c r="N3" t="inlineStr">
        <is>
          <t>Boston, New York, Houghton Mifflin and Company, 1908.</t>
        </is>
      </c>
      <c r="O3" t="inlineStr">
        <is>
          <t>1908</t>
        </is>
      </c>
      <c r="Q3" t="inlineStr">
        <is>
          <t>eng</t>
        </is>
      </c>
      <c r="R3" t="inlineStr">
        <is>
          <t>mau</t>
        </is>
      </c>
      <c r="T3" t="inlineStr">
        <is>
          <t xml:space="preserve">PR </t>
        </is>
      </c>
      <c r="U3" t="n">
        <v>1</v>
      </c>
      <c r="V3" t="n">
        <v>1</v>
      </c>
      <c r="W3" t="inlineStr">
        <is>
          <t>2004-10-30</t>
        </is>
      </c>
      <c r="X3" t="inlineStr">
        <is>
          <t>2004-10-30</t>
        </is>
      </c>
      <c r="Y3" t="inlineStr">
        <is>
          <t>1997-08-15</t>
        </is>
      </c>
      <c r="Z3" t="inlineStr">
        <is>
          <t>1997-08-15</t>
        </is>
      </c>
      <c r="AA3" t="n">
        <v>266</v>
      </c>
      <c r="AB3" t="n">
        <v>250</v>
      </c>
      <c r="AC3" t="n">
        <v>429</v>
      </c>
      <c r="AD3" t="n">
        <v>2</v>
      </c>
      <c r="AE3" t="n">
        <v>4</v>
      </c>
      <c r="AF3" t="n">
        <v>9</v>
      </c>
      <c r="AG3" t="n">
        <v>17</v>
      </c>
      <c r="AH3" t="n">
        <v>2</v>
      </c>
      <c r="AI3" t="n">
        <v>5</v>
      </c>
      <c r="AJ3" t="n">
        <v>2</v>
      </c>
      <c r="AK3" t="n">
        <v>3</v>
      </c>
      <c r="AL3" t="n">
        <v>5</v>
      </c>
      <c r="AM3" t="n">
        <v>8</v>
      </c>
      <c r="AN3" t="n">
        <v>1</v>
      </c>
      <c r="AO3" t="n">
        <v>3</v>
      </c>
      <c r="AP3" t="n">
        <v>0</v>
      </c>
      <c r="AQ3" t="n">
        <v>0</v>
      </c>
      <c r="AR3" t="inlineStr">
        <is>
          <t>Yes</t>
        </is>
      </c>
      <c r="AS3" t="inlineStr">
        <is>
          <t>No</t>
        </is>
      </c>
      <c r="AT3">
        <f>HYPERLINK("http://catalog.hathitrust.org/Record/001370901","HathiTrust Record")</f>
        <v/>
      </c>
      <c r="AU3">
        <f>HYPERLINK("https://creighton-primo.hosted.exlibrisgroup.com/primo-explore/search?tab=default_tab&amp;search_scope=EVERYTHING&amp;vid=01CRU&amp;lang=en_US&amp;offset=0&amp;query=any,contains,991004312139702656","Catalog Record")</f>
        <v/>
      </c>
      <c r="AV3">
        <f>HYPERLINK("http://www.worldcat.org/oclc/3000611","WorldCat Record")</f>
        <v/>
      </c>
      <c r="AW3" t="inlineStr">
        <is>
          <t>6671278:eng</t>
        </is>
      </c>
      <c r="AX3" t="inlineStr">
        <is>
          <t>3000611</t>
        </is>
      </c>
      <c r="AY3" t="inlineStr">
        <is>
          <t>991004312139702656</t>
        </is>
      </c>
      <c r="AZ3" t="inlineStr">
        <is>
          <t>991004312139702656</t>
        </is>
      </c>
      <c r="BA3" t="inlineStr">
        <is>
          <t>2269769440002656</t>
        </is>
      </c>
      <c r="BB3" t="inlineStr">
        <is>
          <t>BOOK</t>
        </is>
      </c>
      <c r="BE3" t="inlineStr">
        <is>
          <t>32285003064911</t>
        </is>
      </c>
      <c r="BF3" t="inlineStr">
        <is>
          <t>893263196</t>
        </is>
      </c>
    </row>
    <row r="4">
      <c r="A4" t="inlineStr">
        <is>
          <t>No</t>
        </is>
      </c>
      <c r="B4" t="inlineStr">
        <is>
          <t>CURAL</t>
        </is>
      </c>
      <c r="C4" t="inlineStr">
        <is>
          <t>SHELVES</t>
        </is>
      </c>
      <c r="D4" t="inlineStr">
        <is>
          <t>PR105 .J58</t>
        </is>
      </c>
      <c r="E4" t="inlineStr">
        <is>
          <t>0                      PR 0105000J  58</t>
        </is>
      </c>
      <c r="F4" t="inlineStr">
        <is>
          <t>Living in sin : the Victorian sexual revolution / Wendell Stacy Johnson.</t>
        </is>
      </c>
      <c r="H4" t="inlineStr">
        <is>
          <t>No</t>
        </is>
      </c>
      <c r="I4" t="inlineStr">
        <is>
          <t>1</t>
        </is>
      </c>
      <c r="J4" t="inlineStr">
        <is>
          <t>No</t>
        </is>
      </c>
      <c r="K4" t="inlineStr">
        <is>
          <t>No</t>
        </is>
      </c>
      <c r="L4" t="inlineStr">
        <is>
          <t>0</t>
        </is>
      </c>
      <c r="M4" t="inlineStr">
        <is>
          <t>Johnson, Wendell Stacy, 1927-1990.</t>
        </is>
      </c>
      <c r="N4" t="inlineStr">
        <is>
          <t>Chicago : Nelson-Hall, c1979.</t>
        </is>
      </c>
      <c r="O4" t="inlineStr">
        <is>
          <t>1979</t>
        </is>
      </c>
      <c r="Q4" t="inlineStr">
        <is>
          <t>eng</t>
        </is>
      </c>
      <c r="R4" t="inlineStr">
        <is>
          <t>ilu</t>
        </is>
      </c>
      <c r="T4" t="inlineStr">
        <is>
          <t xml:space="preserve">PR </t>
        </is>
      </c>
      <c r="U4" t="n">
        <v>5</v>
      </c>
      <c r="V4" t="n">
        <v>5</v>
      </c>
      <c r="W4" t="inlineStr">
        <is>
          <t>2008-02-15</t>
        </is>
      </c>
      <c r="X4" t="inlineStr">
        <is>
          <t>2008-02-15</t>
        </is>
      </c>
      <c r="Y4" t="inlineStr">
        <is>
          <t>1991-08-27</t>
        </is>
      </c>
      <c r="Z4" t="inlineStr">
        <is>
          <t>1991-08-27</t>
        </is>
      </c>
      <c r="AA4" t="n">
        <v>448</v>
      </c>
      <c r="AB4" t="n">
        <v>381</v>
      </c>
      <c r="AC4" t="n">
        <v>389</v>
      </c>
      <c r="AD4" t="n">
        <v>3</v>
      </c>
      <c r="AE4" t="n">
        <v>3</v>
      </c>
      <c r="AF4" t="n">
        <v>13</v>
      </c>
      <c r="AG4" t="n">
        <v>13</v>
      </c>
      <c r="AH4" t="n">
        <v>2</v>
      </c>
      <c r="AI4" t="n">
        <v>2</v>
      </c>
      <c r="AJ4" t="n">
        <v>4</v>
      </c>
      <c r="AK4" t="n">
        <v>4</v>
      </c>
      <c r="AL4" t="n">
        <v>10</v>
      </c>
      <c r="AM4" t="n">
        <v>10</v>
      </c>
      <c r="AN4" t="n">
        <v>1</v>
      </c>
      <c r="AO4" t="n">
        <v>1</v>
      </c>
      <c r="AP4" t="n">
        <v>0</v>
      </c>
      <c r="AQ4" t="n">
        <v>0</v>
      </c>
      <c r="AR4" t="inlineStr">
        <is>
          <t>No</t>
        </is>
      </c>
      <c r="AS4" t="inlineStr">
        <is>
          <t>Yes</t>
        </is>
      </c>
      <c r="AT4">
        <f>HYPERLINK("http://catalog.hathitrust.org/Record/000255507","HathiTrust Record")</f>
        <v/>
      </c>
      <c r="AU4">
        <f>HYPERLINK("https://creighton-primo.hosted.exlibrisgroup.com/primo-explore/search?tab=default_tab&amp;search_scope=EVERYTHING&amp;vid=01CRU&amp;lang=en_US&amp;offset=0&amp;query=any,contains,991004646519702656","Catalog Record")</f>
        <v/>
      </c>
      <c r="AV4">
        <f>HYPERLINK("http://www.worldcat.org/oclc/4492220","WorldCat Record")</f>
        <v/>
      </c>
      <c r="AW4" t="inlineStr">
        <is>
          <t>316245988:eng</t>
        </is>
      </c>
      <c r="AX4" t="inlineStr">
        <is>
          <t>4492220</t>
        </is>
      </c>
      <c r="AY4" t="inlineStr">
        <is>
          <t>991004646519702656</t>
        </is>
      </c>
      <c r="AZ4" t="inlineStr">
        <is>
          <t>991004646519702656</t>
        </is>
      </c>
      <c r="BA4" t="inlineStr">
        <is>
          <t>2263557010002656</t>
        </is>
      </c>
      <c r="BB4" t="inlineStr">
        <is>
          <t>BOOK</t>
        </is>
      </c>
      <c r="BD4" t="inlineStr">
        <is>
          <t>9780882294452</t>
        </is>
      </c>
      <c r="BE4" t="inlineStr">
        <is>
          <t>32285000699503</t>
        </is>
      </c>
      <c r="BF4" t="inlineStr">
        <is>
          <t>893687973</t>
        </is>
      </c>
    </row>
    <row r="5">
      <c r="A5" t="inlineStr">
        <is>
          <t>No</t>
        </is>
      </c>
      <c r="B5" t="inlineStr">
        <is>
          <t>CURAL</t>
        </is>
      </c>
      <c r="C5" t="inlineStr">
        <is>
          <t>SHELVES</t>
        </is>
      </c>
      <c r="D5" t="inlineStr">
        <is>
          <t>PR106 .M64 1984</t>
        </is>
      </c>
      <c r="E5" t="inlineStr">
        <is>
          <t>0                      PR 0106000M  64          1984</t>
        </is>
      </c>
      <c r="F5" t="inlineStr">
        <is>
          <t>Mothering the mind : twelve studies of writers and their silent partners / edited by Ruth Perry and Martine Watson Brownley.</t>
        </is>
      </c>
      <c r="H5" t="inlineStr">
        <is>
          <t>No</t>
        </is>
      </c>
      <c r="I5" t="inlineStr">
        <is>
          <t>1</t>
        </is>
      </c>
      <c r="J5" t="inlineStr">
        <is>
          <t>No</t>
        </is>
      </c>
      <c r="K5" t="inlineStr">
        <is>
          <t>No</t>
        </is>
      </c>
      <c r="L5" t="inlineStr">
        <is>
          <t>0</t>
        </is>
      </c>
      <c r="N5" t="inlineStr">
        <is>
          <t>New York : Holmes &amp; Meier, c1984.</t>
        </is>
      </c>
      <c r="O5" t="inlineStr">
        <is>
          <t>1984</t>
        </is>
      </c>
      <c r="Q5" t="inlineStr">
        <is>
          <t>eng</t>
        </is>
      </c>
      <c r="R5" t="inlineStr">
        <is>
          <t>nyu</t>
        </is>
      </c>
      <c r="T5" t="inlineStr">
        <is>
          <t xml:space="preserve">PR </t>
        </is>
      </c>
      <c r="U5" t="n">
        <v>2</v>
      </c>
      <c r="V5" t="n">
        <v>2</v>
      </c>
      <c r="W5" t="inlineStr">
        <is>
          <t>1994-10-08</t>
        </is>
      </c>
      <c r="X5" t="inlineStr">
        <is>
          <t>1994-10-08</t>
        </is>
      </c>
      <c r="Y5" t="inlineStr">
        <is>
          <t>1991-08-27</t>
        </is>
      </c>
      <c r="Z5" t="inlineStr">
        <is>
          <t>1991-08-27</t>
        </is>
      </c>
      <c r="AA5" t="n">
        <v>488</v>
      </c>
      <c r="AB5" t="n">
        <v>432</v>
      </c>
      <c r="AC5" t="n">
        <v>438</v>
      </c>
      <c r="AD5" t="n">
        <v>4</v>
      </c>
      <c r="AE5" t="n">
        <v>4</v>
      </c>
      <c r="AF5" t="n">
        <v>22</v>
      </c>
      <c r="AG5" t="n">
        <v>22</v>
      </c>
      <c r="AH5" t="n">
        <v>7</v>
      </c>
      <c r="AI5" t="n">
        <v>7</v>
      </c>
      <c r="AJ5" t="n">
        <v>6</v>
      </c>
      <c r="AK5" t="n">
        <v>6</v>
      </c>
      <c r="AL5" t="n">
        <v>11</v>
      </c>
      <c r="AM5" t="n">
        <v>11</v>
      </c>
      <c r="AN5" t="n">
        <v>3</v>
      </c>
      <c r="AO5" t="n">
        <v>3</v>
      </c>
      <c r="AP5" t="n">
        <v>0</v>
      </c>
      <c r="AQ5" t="n">
        <v>0</v>
      </c>
      <c r="AR5" t="inlineStr">
        <is>
          <t>No</t>
        </is>
      </c>
      <c r="AS5" t="inlineStr">
        <is>
          <t>Yes</t>
        </is>
      </c>
      <c r="AT5">
        <f>HYPERLINK("http://catalog.hathitrust.org/Record/000361633","HathiTrust Record")</f>
        <v/>
      </c>
      <c r="AU5">
        <f>HYPERLINK("https://creighton-primo.hosted.exlibrisgroup.com/primo-explore/search?tab=default_tab&amp;search_scope=EVERYTHING&amp;vid=01CRU&amp;lang=en_US&amp;offset=0&amp;query=any,contains,991000235989702656","Catalog Record")</f>
        <v/>
      </c>
      <c r="AV5">
        <f>HYPERLINK("http://www.worldcat.org/oclc/9647115","WorldCat Record")</f>
        <v/>
      </c>
      <c r="AW5" t="inlineStr">
        <is>
          <t>428445052:eng</t>
        </is>
      </c>
      <c r="AX5" t="inlineStr">
        <is>
          <t>9647115</t>
        </is>
      </c>
      <c r="AY5" t="inlineStr">
        <is>
          <t>991000235989702656</t>
        </is>
      </c>
      <c r="AZ5" t="inlineStr">
        <is>
          <t>991000235989702656</t>
        </is>
      </c>
      <c r="BA5" t="inlineStr">
        <is>
          <t>2270661190002656</t>
        </is>
      </c>
      <c r="BB5" t="inlineStr">
        <is>
          <t>BOOK</t>
        </is>
      </c>
      <c r="BD5" t="inlineStr">
        <is>
          <t>9780841908932</t>
        </is>
      </c>
      <c r="BE5" t="inlineStr">
        <is>
          <t>32285000699511</t>
        </is>
      </c>
      <c r="BF5" t="inlineStr">
        <is>
          <t>893431805</t>
        </is>
      </c>
    </row>
    <row r="6">
      <c r="A6" t="inlineStr">
        <is>
          <t>No</t>
        </is>
      </c>
      <c r="B6" t="inlineStr">
        <is>
          <t>CURAL</t>
        </is>
      </c>
      <c r="C6" t="inlineStr">
        <is>
          <t>SHELVES</t>
        </is>
      </c>
      <c r="D6" t="inlineStr">
        <is>
          <t>PR106 .W55</t>
        </is>
      </c>
      <c r="E6" t="inlineStr">
        <is>
          <t>0                      PR 0106000W  55</t>
        </is>
      </c>
      <c r="F6" t="inlineStr">
        <is>
          <t>The Pied Pipers : interviews with the influential creators of children's literature / by Justin Wintle and Emma Fisher.</t>
        </is>
      </c>
      <c r="H6" t="inlineStr">
        <is>
          <t>No</t>
        </is>
      </c>
      <c r="I6" t="inlineStr">
        <is>
          <t>1</t>
        </is>
      </c>
      <c r="J6" t="inlineStr">
        <is>
          <t>No</t>
        </is>
      </c>
      <c r="K6" t="inlineStr">
        <is>
          <t>No</t>
        </is>
      </c>
      <c r="L6" t="inlineStr">
        <is>
          <t>0</t>
        </is>
      </c>
      <c r="M6" t="inlineStr">
        <is>
          <t>Wintle, Justin.</t>
        </is>
      </c>
      <c r="N6" t="inlineStr">
        <is>
          <t>New York : Paddington Press, [1975]</t>
        </is>
      </c>
      <c r="O6" t="inlineStr">
        <is>
          <t>1975</t>
        </is>
      </c>
      <c r="Q6" t="inlineStr">
        <is>
          <t>eng</t>
        </is>
      </c>
      <c r="R6" t="inlineStr">
        <is>
          <t>nyu</t>
        </is>
      </c>
      <c r="T6" t="inlineStr">
        <is>
          <t xml:space="preserve">PR </t>
        </is>
      </c>
      <c r="U6" t="n">
        <v>3</v>
      </c>
      <c r="V6" t="n">
        <v>3</v>
      </c>
      <c r="W6" t="inlineStr">
        <is>
          <t>1999-02-15</t>
        </is>
      </c>
      <c r="X6" t="inlineStr">
        <is>
          <t>1999-02-15</t>
        </is>
      </c>
      <c r="Y6" t="inlineStr">
        <is>
          <t>1997-08-15</t>
        </is>
      </c>
      <c r="Z6" t="inlineStr">
        <is>
          <t>1997-08-15</t>
        </is>
      </c>
      <c r="AA6" t="n">
        <v>777</v>
      </c>
      <c r="AB6" t="n">
        <v>649</v>
      </c>
      <c r="AC6" t="n">
        <v>662</v>
      </c>
      <c r="AD6" t="n">
        <v>6</v>
      </c>
      <c r="AE6" t="n">
        <v>6</v>
      </c>
      <c r="AF6" t="n">
        <v>17</v>
      </c>
      <c r="AG6" t="n">
        <v>17</v>
      </c>
      <c r="AH6" t="n">
        <v>7</v>
      </c>
      <c r="AI6" t="n">
        <v>7</v>
      </c>
      <c r="AJ6" t="n">
        <v>3</v>
      </c>
      <c r="AK6" t="n">
        <v>3</v>
      </c>
      <c r="AL6" t="n">
        <v>7</v>
      </c>
      <c r="AM6" t="n">
        <v>7</v>
      </c>
      <c r="AN6" t="n">
        <v>4</v>
      </c>
      <c r="AO6" t="n">
        <v>4</v>
      </c>
      <c r="AP6" t="n">
        <v>0</v>
      </c>
      <c r="AQ6" t="n">
        <v>0</v>
      </c>
      <c r="AR6" t="inlineStr">
        <is>
          <t>No</t>
        </is>
      </c>
      <c r="AS6" t="inlineStr">
        <is>
          <t>Yes</t>
        </is>
      </c>
      <c r="AT6">
        <f>HYPERLINK("http://catalog.hathitrust.org/Record/000036704","HathiTrust Record")</f>
        <v/>
      </c>
      <c r="AU6">
        <f>HYPERLINK("https://creighton-primo.hosted.exlibrisgroup.com/primo-explore/search?tab=default_tab&amp;search_scope=EVERYTHING&amp;vid=01CRU&amp;lang=en_US&amp;offset=0&amp;query=any,contains,991003565149702656","Catalog Record")</f>
        <v/>
      </c>
      <c r="AV6">
        <f>HYPERLINK("http://www.worldcat.org/oclc/1137912","WorldCat Record")</f>
        <v/>
      </c>
      <c r="AW6" t="inlineStr">
        <is>
          <t>836698342:eng</t>
        </is>
      </c>
      <c r="AX6" t="inlineStr">
        <is>
          <t>1137912</t>
        </is>
      </c>
      <c r="AY6" t="inlineStr">
        <is>
          <t>991003565149702656</t>
        </is>
      </c>
      <c r="AZ6" t="inlineStr">
        <is>
          <t>991003565149702656</t>
        </is>
      </c>
      <c r="BA6" t="inlineStr">
        <is>
          <t>2268488570002656</t>
        </is>
      </c>
      <c r="BB6" t="inlineStr">
        <is>
          <t>BOOK</t>
        </is>
      </c>
      <c r="BD6" t="inlineStr">
        <is>
          <t>9780846700388</t>
        </is>
      </c>
      <c r="BE6" t="inlineStr">
        <is>
          <t>32285003064937</t>
        </is>
      </c>
      <c r="BF6" t="inlineStr">
        <is>
          <t>893799881</t>
        </is>
      </c>
    </row>
    <row r="7">
      <c r="A7" t="inlineStr">
        <is>
          <t>No</t>
        </is>
      </c>
      <c r="B7" t="inlineStr">
        <is>
          <t>CURAL</t>
        </is>
      </c>
      <c r="C7" t="inlineStr">
        <is>
          <t>SHELVES</t>
        </is>
      </c>
      <c r="D7" t="inlineStr">
        <is>
          <t>PR107 .F6 1974</t>
        </is>
      </c>
      <c r="E7" t="inlineStr">
        <is>
          <t>0                      PR 0107000F  6           1974</t>
        </is>
      </c>
      <c r="F7" t="inlineStr">
        <is>
          <t>Portraits from life : memories and criticisms of Henry James, Joseph Conrad, Thomas Hardy, H. G. Wells, Stephen Crane, D. H. Lawrence, John Galsworthy, Ivan Turgenev, W. H. Hudson, Theodore Dreiser, Algernon Charles Swinburne.</t>
        </is>
      </c>
      <c r="H7" t="inlineStr">
        <is>
          <t>No</t>
        </is>
      </c>
      <c r="I7" t="inlineStr">
        <is>
          <t>1</t>
        </is>
      </c>
      <c r="J7" t="inlineStr">
        <is>
          <t>No</t>
        </is>
      </c>
      <c r="K7" t="inlineStr">
        <is>
          <t>No</t>
        </is>
      </c>
      <c r="L7" t="inlineStr">
        <is>
          <t>0</t>
        </is>
      </c>
      <c r="M7" t="inlineStr">
        <is>
          <t>Ford, Ford Madox, 1873-1939.</t>
        </is>
      </c>
      <c r="N7" t="inlineStr">
        <is>
          <t>Westport, Conn. : Greenwood Press, [1974, c1937]</t>
        </is>
      </c>
      <c r="O7" t="inlineStr">
        <is>
          <t>1974</t>
        </is>
      </c>
      <c r="Q7" t="inlineStr">
        <is>
          <t>eng</t>
        </is>
      </c>
      <c r="R7" t="inlineStr">
        <is>
          <t>ctu</t>
        </is>
      </c>
      <c r="T7" t="inlineStr">
        <is>
          <t xml:space="preserve">PR </t>
        </is>
      </c>
      <c r="U7" t="n">
        <v>4</v>
      </c>
      <c r="V7" t="n">
        <v>4</v>
      </c>
      <c r="W7" t="inlineStr">
        <is>
          <t>2010-04-08</t>
        </is>
      </c>
      <c r="X7" t="inlineStr">
        <is>
          <t>2010-04-08</t>
        </is>
      </c>
      <c r="Y7" t="inlineStr">
        <is>
          <t>1991-11-04</t>
        </is>
      </c>
      <c r="Z7" t="inlineStr">
        <is>
          <t>1991-11-04</t>
        </is>
      </c>
      <c r="AA7" t="n">
        <v>89</v>
      </c>
      <c r="AB7" t="n">
        <v>79</v>
      </c>
      <c r="AC7" t="n">
        <v>733</v>
      </c>
      <c r="AD7" t="n">
        <v>1</v>
      </c>
      <c r="AE7" t="n">
        <v>4</v>
      </c>
      <c r="AF7" t="n">
        <v>1</v>
      </c>
      <c r="AG7" t="n">
        <v>28</v>
      </c>
      <c r="AH7" t="n">
        <v>0</v>
      </c>
      <c r="AI7" t="n">
        <v>10</v>
      </c>
      <c r="AJ7" t="n">
        <v>0</v>
      </c>
      <c r="AK7" t="n">
        <v>7</v>
      </c>
      <c r="AL7" t="n">
        <v>1</v>
      </c>
      <c r="AM7" t="n">
        <v>14</v>
      </c>
      <c r="AN7" t="n">
        <v>0</v>
      </c>
      <c r="AO7" t="n">
        <v>3</v>
      </c>
      <c r="AP7" t="n">
        <v>0</v>
      </c>
      <c r="AQ7" t="n">
        <v>0</v>
      </c>
      <c r="AR7" t="inlineStr">
        <is>
          <t>No</t>
        </is>
      </c>
      <c r="AS7" t="inlineStr">
        <is>
          <t>No</t>
        </is>
      </c>
      <c r="AU7">
        <f>HYPERLINK("https://creighton-primo.hosted.exlibrisgroup.com/primo-explore/search?tab=default_tab&amp;search_scope=EVERYTHING&amp;vid=01CRU&amp;lang=en_US&amp;offset=0&amp;query=any,contains,991004389339702656","Catalog Record")</f>
        <v/>
      </c>
      <c r="AV7">
        <f>HYPERLINK("http://www.worldcat.org/oclc/3255773","WorldCat Record")</f>
        <v/>
      </c>
      <c r="AW7" t="inlineStr">
        <is>
          <t>1702801:eng</t>
        </is>
      </c>
      <c r="AX7" t="inlineStr">
        <is>
          <t>3255773</t>
        </is>
      </c>
      <c r="AY7" t="inlineStr">
        <is>
          <t>991004389339702656</t>
        </is>
      </c>
      <c r="AZ7" t="inlineStr">
        <is>
          <t>991004389339702656</t>
        </is>
      </c>
      <c r="BA7" t="inlineStr">
        <is>
          <t>2272549450002656</t>
        </is>
      </c>
      <c r="BB7" t="inlineStr">
        <is>
          <t>BOOK</t>
        </is>
      </c>
      <c r="BD7" t="inlineStr">
        <is>
          <t>9780837174051</t>
        </is>
      </c>
      <c r="BE7" t="inlineStr">
        <is>
          <t>32285000803790</t>
        </is>
      </c>
      <c r="BF7" t="inlineStr">
        <is>
          <t>893775962</t>
        </is>
      </c>
    </row>
    <row r="8">
      <c r="A8" t="inlineStr">
        <is>
          <t>No</t>
        </is>
      </c>
      <c r="B8" t="inlineStr">
        <is>
          <t>CURAL</t>
        </is>
      </c>
      <c r="C8" t="inlineStr">
        <is>
          <t>SHELVES</t>
        </is>
      </c>
      <c r="D8" t="inlineStr">
        <is>
          <t>PR109 .B67 1984</t>
        </is>
      </c>
      <c r="E8" t="inlineStr">
        <is>
          <t>0                      PR 0109000B  67          1984</t>
        </is>
      </c>
      <c r="F8" t="inlineStr">
        <is>
          <t>Literary Britain / photographed by Bill Brandt ; with an introduction by John Hayward ; edited and with an afterword by Mark Haworth-Booth.</t>
        </is>
      </c>
      <c r="H8" t="inlineStr">
        <is>
          <t>No</t>
        </is>
      </c>
      <c r="I8" t="inlineStr">
        <is>
          <t>1</t>
        </is>
      </c>
      <c r="J8" t="inlineStr">
        <is>
          <t>No</t>
        </is>
      </c>
      <c r="K8" t="inlineStr">
        <is>
          <t>No</t>
        </is>
      </c>
      <c r="L8" t="inlineStr">
        <is>
          <t>0</t>
        </is>
      </c>
      <c r="M8" t="inlineStr">
        <is>
          <t>Brandt, Bill.</t>
        </is>
      </c>
      <c r="N8" t="inlineStr">
        <is>
          <t>London : Victoria and Albert Museum in association with Hurtwood Press, 1984.</t>
        </is>
      </c>
      <c r="O8" t="inlineStr">
        <is>
          <t>1984</t>
        </is>
      </c>
      <c r="Q8" t="inlineStr">
        <is>
          <t>eng</t>
        </is>
      </c>
      <c r="R8" t="inlineStr">
        <is>
          <t>enk</t>
        </is>
      </c>
      <c r="T8" t="inlineStr">
        <is>
          <t xml:space="preserve">PR </t>
        </is>
      </c>
      <c r="U8" t="n">
        <v>1</v>
      </c>
      <c r="V8" t="n">
        <v>1</v>
      </c>
      <c r="W8" t="inlineStr">
        <is>
          <t>2001-05-11</t>
        </is>
      </c>
      <c r="X8" t="inlineStr">
        <is>
          <t>2001-05-11</t>
        </is>
      </c>
      <c r="Y8" t="inlineStr">
        <is>
          <t>1991-08-27</t>
        </is>
      </c>
      <c r="Z8" t="inlineStr">
        <is>
          <t>1991-08-27</t>
        </is>
      </c>
      <c r="AA8" t="n">
        <v>118</v>
      </c>
      <c r="AB8" t="n">
        <v>63</v>
      </c>
      <c r="AC8" t="n">
        <v>67</v>
      </c>
      <c r="AD8" t="n">
        <v>2</v>
      </c>
      <c r="AE8" t="n">
        <v>2</v>
      </c>
      <c r="AF8" t="n">
        <v>2</v>
      </c>
      <c r="AG8" t="n">
        <v>2</v>
      </c>
      <c r="AH8" t="n">
        <v>0</v>
      </c>
      <c r="AI8" t="n">
        <v>0</v>
      </c>
      <c r="AJ8" t="n">
        <v>0</v>
      </c>
      <c r="AK8" t="n">
        <v>0</v>
      </c>
      <c r="AL8" t="n">
        <v>1</v>
      </c>
      <c r="AM8" t="n">
        <v>1</v>
      </c>
      <c r="AN8" t="n">
        <v>1</v>
      </c>
      <c r="AO8" t="n">
        <v>1</v>
      </c>
      <c r="AP8" t="n">
        <v>0</v>
      </c>
      <c r="AQ8" t="n">
        <v>0</v>
      </c>
      <c r="AR8" t="inlineStr">
        <is>
          <t>No</t>
        </is>
      </c>
      <c r="AS8" t="inlineStr">
        <is>
          <t>Yes</t>
        </is>
      </c>
      <c r="AT8">
        <f>HYPERLINK("http://catalog.hathitrust.org/Record/000250031","HathiTrust Record")</f>
        <v/>
      </c>
      <c r="AU8">
        <f>HYPERLINK("https://creighton-primo.hosted.exlibrisgroup.com/primo-explore/search?tab=default_tab&amp;search_scope=EVERYTHING&amp;vid=01CRU&amp;lang=en_US&amp;offset=0&amp;query=any,contains,991000496359702656","Catalog Record")</f>
        <v/>
      </c>
      <c r="AV8">
        <f>HYPERLINK("http://www.worldcat.org/oclc/11138504","WorldCat Record")</f>
        <v/>
      </c>
      <c r="AW8" t="inlineStr">
        <is>
          <t>4078462351:eng</t>
        </is>
      </c>
      <c r="AX8" t="inlineStr">
        <is>
          <t>11138504</t>
        </is>
      </c>
      <c r="AY8" t="inlineStr">
        <is>
          <t>991000496359702656</t>
        </is>
      </c>
      <c r="AZ8" t="inlineStr">
        <is>
          <t>991000496359702656</t>
        </is>
      </c>
      <c r="BA8" t="inlineStr">
        <is>
          <t>2263401460002656</t>
        </is>
      </c>
      <c r="BB8" t="inlineStr">
        <is>
          <t>BOOK</t>
        </is>
      </c>
      <c r="BD8" t="inlineStr">
        <is>
          <t>9780905209661</t>
        </is>
      </c>
      <c r="BE8" t="inlineStr">
        <is>
          <t>32285000699552</t>
        </is>
      </c>
      <c r="BF8" t="inlineStr">
        <is>
          <t>893339593</t>
        </is>
      </c>
    </row>
    <row r="9">
      <c r="A9" t="inlineStr">
        <is>
          <t>No</t>
        </is>
      </c>
      <c r="B9" t="inlineStr">
        <is>
          <t>CURAL</t>
        </is>
      </c>
      <c r="C9" t="inlineStr">
        <is>
          <t>SHELVES</t>
        </is>
      </c>
      <c r="D9" t="inlineStr">
        <is>
          <t>PR109 .D34 1980</t>
        </is>
      </c>
      <c r="E9" t="inlineStr">
        <is>
          <t>0                      PR 0109000D  34          1980</t>
        </is>
      </c>
      <c r="F9" t="inlineStr">
        <is>
          <t>Literary landscapes of the British Isles : a narrative atlas / David Daiches &amp; John Flower.</t>
        </is>
      </c>
      <c r="H9" t="inlineStr">
        <is>
          <t>No</t>
        </is>
      </c>
      <c r="I9" t="inlineStr">
        <is>
          <t>1</t>
        </is>
      </c>
      <c r="J9" t="inlineStr">
        <is>
          <t>No</t>
        </is>
      </c>
      <c r="K9" t="inlineStr">
        <is>
          <t>No</t>
        </is>
      </c>
      <c r="L9" t="inlineStr">
        <is>
          <t>0</t>
        </is>
      </c>
      <c r="M9" t="inlineStr">
        <is>
          <t>Daiches, David, 1912-2005.</t>
        </is>
      </c>
      <c r="N9" t="inlineStr">
        <is>
          <t>New York : Facts on File, Inc., 1980, c1979.</t>
        </is>
      </c>
      <c r="O9" t="inlineStr">
        <is>
          <t>1980</t>
        </is>
      </c>
      <c r="Q9" t="inlineStr">
        <is>
          <t>eng</t>
        </is>
      </c>
      <c r="R9" t="inlineStr">
        <is>
          <t>nyu</t>
        </is>
      </c>
      <c r="T9" t="inlineStr">
        <is>
          <t xml:space="preserve">PR </t>
        </is>
      </c>
      <c r="U9" t="n">
        <v>1</v>
      </c>
      <c r="V9" t="n">
        <v>1</v>
      </c>
      <c r="W9" t="inlineStr">
        <is>
          <t>2004-11-18</t>
        </is>
      </c>
      <c r="X9" t="inlineStr">
        <is>
          <t>2004-11-18</t>
        </is>
      </c>
      <c r="Y9" t="inlineStr">
        <is>
          <t>2004-11-18</t>
        </is>
      </c>
      <c r="Z9" t="inlineStr">
        <is>
          <t>2004-11-18</t>
        </is>
      </c>
      <c r="AA9" t="n">
        <v>128</v>
      </c>
      <c r="AB9" t="n">
        <v>121</v>
      </c>
      <c r="AC9" t="n">
        <v>1217</v>
      </c>
      <c r="AD9" t="n">
        <v>4</v>
      </c>
      <c r="AE9" t="n">
        <v>11</v>
      </c>
      <c r="AF9" t="n">
        <v>7</v>
      </c>
      <c r="AG9" t="n">
        <v>47</v>
      </c>
      <c r="AH9" t="n">
        <v>3</v>
      </c>
      <c r="AI9" t="n">
        <v>19</v>
      </c>
      <c r="AJ9" t="n">
        <v>1</v>
      </c>
      <c r="AK9" t="n">
        <v>11</v>
      </c>
      <c r="AL9" t="n">
        <v>1</v>
      </c>
      <c r="AM9" t="n">
        <v>21</v>
      </c>
      <c r="AN9" t="n">
        <v>3</v>
      </c>
      <c r="AO9" t="n">
        <v>9</v>
      </c>
      <c r="AP9" t="n">
        <v>0</v>
      </c>
      <c r="AQ9" t="n">
        <v>0</v>
      </c>
      <c r="AR9" t="inlineStr">
        <is>
          <t>No</t>
        </is>
      </c>
      <c r="AS9" t="inlineStr">
        <is>
          <t>Yes</t>
        </is>
      </c>
      <c r="AT9">
        <f>HYPERLINK("http://catalog.hathitrust.org/Record/007054765","HathiTrust Record")</f>
        <v/>
      </c>
      <c r="AU9">
        <f>HYPERLINK("https://creighton-primo.hosted.exlibrisgroup.com/primo-explore/search?tab=default_tab&amp;search_scope=EVERYTHING&amp;vid=01CRU&amp;lang=en_US&amp;offset=0&amp;query=any,contains,991004425499702656","Catalog Record")</f>
        <v/>
      </c>
      <c r="AV9">
        <f>HYPERLINK("http://www.worldcat.org/oclc/7294579","WorldCat Record")</f>
        <v/>
      </c>
      <c r="AW9" t="inlineStr">
        <is>
          <t>288196955:eng</t>
        </is>
      </c>
      <c r="AX9" t="inlineStr">
        <is>
          <t>7294579</t>
        </is>
      </c>
      <c r="AY9" t="inlineStr">
        <is>
          <t>991004425499702656</t>
        </is>
      </c>
      <c r="AZ9" t="inlineStr">
        <is>
          <t>991004425499702656</t>
        </is>
      </c>
      <c r="BA9" t="inlineStr">
        <is>
          <t>2258110140002656</t>
        </is>
      </c>
      <c r="BB9" t="inlineStr">
        <is>
          <t>BOOK</t>
        </is>
      </c>
      <c r="BD9" t="inlineStr">
        <is>
          <t>9780871963055</t>
        </is>
      </c>
      <c r="BE9" t="inlineStr">
        <is>
          <t>32285005011837</t>
        </is>
      </c>
      <c r="BF9" t="inlineStr">
        <is>
          <t>893782226</t>
        </is>
      </c>
    </row>
    <row r="10">
      <c r="A10" t="inlineStr">
        <is>
          <t>No</t>
        </is>
      </c>
      <c r="B10" t="inlineStr">
        <is>
          <t>CURAL</t>
        </is>
      </c>
      <c r="C10" t="inlineStr">
        <is>
          <t>SHELVES</t>
        </is>
      </c>
      <c r="D10" t="inlineStr">
        <is>
          <t>PR110.L6 A3 1993</t>
        </is>
      </c>
      <c r="E10" t="inlineStr">
        <is>
          <t>0                      PR 0110000L  6                  A  3           1993</t>
        </is>
      </c>
      <c r="F10" t="inlineStr">
        <is>
          <t>Famous houses and literary shrines of London / A. St. John Adcock ; with fifty-nine illustrations by Frederick Adcock.</t>
        </is>
      </c>
      <c r="H10" t="inlineStr">
        <is>
          <t>No</t>
        </is>
      </c>
      <c r="I10" t="inlineStr">
        <is>
          <t>1</t>
        </is>
      </c>
      <c r="J10" t="inlineStr">
        <is>
          <t>No</t>
        </is>
      </c>
      <c r="K10" t="inlineStr">
        <is>
          <t>No</t>
        </is>
      </c>
      <c r="L10" t="inlineStr">
        <is>
          <t>0</t>
        </is>
      </c>
      <c r="M10" t="inlineStr">
        <is>
          <t>Adcock, Arthur St. John, 1864-1930.</t>
        </is>
      </c>
      <c r="N10" t="inlineStr">
        <is>
          <t>New York : Barnes &amp; Noble, 1993.</t>
        </is>
      </c>
      <c r="O10" t="inlineStr">
        <is>
          <t>1993</t>
        </is>
      </c>
      <c r="Q10" t="inlineStr">
        <is>
          <t>eng</t>
        </is>
      </c>
      <c r="R10" t="inlineStr">
        <is>
          <t>nyu</t>
        </is>
      </c>
      <c r="T10" t="inlineStr">
        <is>
          <t xml:space="preserve">PR </t>
        </is>
      </c>
      <c r="U10" t="n">
        <v>2</v>
      </c>
      <c r="V10" t="n">
        <v>2</v>
      </c>
      <c r="W10" t="inlineStr">
        <is>
          <t>2004-11-18</t>
        </is>
      </c>
      <c r="X10" t="inlineStr">
        <is>
          <t>2004-11-18</t>
        </is>
      </c>
      <c r="Y10" t="inlineStr">
        <is>
          <t>2004-11-18</t>
        </is>
      </c>
      <c r="Z10" t="inlineStr">
        <is>
          <t>2004-11-18</t>
        </is>
      </c>
      <c r="AA10" t="n">
        <v>30</v>
      </c>
      <c r="AB10" t="n">
        <v>28</v>
      </c>
      <c r="AC10" t="n">
        <v>282</v>
      </c>
      <c r="AD10" t="n">
        <v>1</v>
      </c>
      <c r="AE10" t="n">
        <v>2</v>
      </c>
      <c r="AF10" t="n">
        <v>0</v>
      </c>
      <c r="AG10" t="n">
        <v>13</v>
      </c>
      <c r="AH10" t="n">
        <v>0</v>
      </c>
      <c r="AI10" t="n">
        <v>4</v>
      </c>
      <c r="AJ10" t="n">
        <v>0</v>
      </c>
      <c r="AK10" t="n">
        <v>3</v>
      </c>
      <c r="AL10" t="n">
        <v>0</v>
      </c>
      <c r="AM10" t="n">
        <v>7</v>
      </c>
      <c r="AN10" t="n">
        <v>0</v>
      </c>
      <c r="AO10" t="n">
        <v>1</v>
      </c>
      <c r="AP10" t="n">
        <v>0</v>
      </c>
      <c r="AQ10" t="n">
        <v>0</v>
      </c>
      <c r="AR10" t="inlineStr">
        <is>
          <t>No</t>
        </is>
      </c>
      <c r="AS10" t="inlineStr">
        <is>
          <t>No</t>
        </is>
      </c>
      <c r="AU10">
        <f>HYPERLINK("https://creighton-primo.hosted.exlibrisgroup.com/primo-explore/search?tab=default_tab&amp;search_scope=EVERYTHING&amp;vid=01CRU&amp;lang=en_US&amp;offset=0&amp;query=any,contains,991004425699702656","Catalog Record")</f>
        <v/>
      </c>
      <c r="AV10">
        <f>HYPERLINK("http://www.worldcat.org/oclc/30051374","WorldCat Record")</f>
        <v/>
      </c>
      <c r="AW10" t="inlineStr">
        <is>
          <t>2032858:eng</t>
        </is>
      </c>
      <c r="AX10" t="inlineStr">
        <is>
          <t>30051374</t>
        </is>
      </c>
      <c r="AY10" t="inlineStr">
        <is>
          <t>991004425699702656</t>
        </is>
      </c>
      <c r="AZ10" t="inlineStr">
        <is>
          <t>991004425699702656</t>
        </is>
      </c>
      <c r="BA10" t="inlineStr">
        <is>
          <t>2256599420002656</t>
        </is>
      </c>
      <c r="BB10" t="inlineStr">
        <is>
          <t>BOOK</t>
        </is>
      </c>
      <c r="BD10" t="inlineStr">
        <is>
          <t>9781566193832</t>
        </is>
      </c>
      <c r="BE10" t="inlineStr">
        <is>
          <t>32285005011886</t>
        </is>
      </c>
      <c r="BF10" t="inlineStr">
        <is>
          <t>893349984</t>
        </is>
      </c>
    </row>
    <row r="11">
      <c r="A11" t="inlineStr">
        <is>
          <t>No</t>
        </is>
      </c>
      <c r="B11" t="inlineStr">
        <is>
          <t>CURAL</t>
        </is>
      </c>
      <c r="C11" t="inlineStr">
        <is>
          <t>SHELVES</t>
        </is>
      </c>
      <c r="D11" t="inlineStr">
        <is>
          <t>PR110.L6 D38 1988</t>
        </is>
      </c>
      <c r="E11" t="inlineStr">
        <is>
          <t>0                      PR 0110000L  6                  D  38          1988</t>
        </is>
      </c>
      <c r="F11" t="inlineStr">
        <is>
          <t>Literary London / Andrew Davies.</t>
        </is>
      </c>
      <c r="H11" t="inlineStr">
        <is>
          <t>No</t>
        </is>
      </c>
      <c r="I11" t="inlineStr">
        <is>
          <t>1</t>
        </is>
      </c>
      <c r="J11" t="inlineStr">
        <is>
          <t>No</t>
        </is>
      </c>
      <c r="K11" t="inlineStr">
        <is>
          <t>No</t>
        </is>
      </c>
      <c r="L11" t="inlineStr">
        <is>
          <t>0</t>
        </is>
      </c>
      <c r="M11" t="inlineStr">
        <is>
          <t>Davies, Andrew, 1955-</t>
        </is>
      </c>
      <c r="N11" t="inlineStr">
        <is>
          <t>New York : St. Martin's Press, c1988.</t>
        </is>
      </c>
      <c r="O11" t="inlineStr">
        <is>
          <t>1988</t>
        </is>
      </c>
      <c r="P11" t="inlineStr">
        <is>
          <t>1st U.S. ed.</t>
        </is>
      </c>
      <c r="Q11" t="inlineStr">
        <is>
          <t>eng</t>
        </is>
      </c>
      <c r="R11" t="inlineStr">
        <is>
          <t>nyu</t>
        </is>
      </c>
      <c r="T11" t="inlineStr">
        <is>
          <t xml:space="preserve">PR </t>
        </is>
      </c>
      <c r="U11" t="n">
        <v>1</v>
      </c>
      <c r="V11" t="n">
        <v>1</v>
      </c>
      <c r="W11" t="inlineStr">
        <is>
          <t>2004-11-18</t>
        </is>
      </c>
      <c r="X11" t="inlineStr">
        <is>
          <t>2004-11-18</t>
        </is>
      </c>
      <c r="Y11" t="inlineStr">
        <is>
          <t>2004-11-18</t>
        </is>
      </c>
      <c r="Z11" t="inlineStr">
        <is>
          <t>2004-11-18</t>
        </is>
      </c>
      <c r="AA11" t="n">
        <v>258</v>
      </c>
      <c r="AB11" t="n">
        <v>244</v>
      </c>
      <c r="AC11" t="n">
        <v>291</v>
      </c>
      <c r="AD11" t="n">
        <v>1</v>
      </c>
      <c r="AE11" t="n">
        <v>2</v>
      </c>
      <c r="AF11" t="n">
        <v>7</v>
      </c>
      <c r="AG11" t="n">
        <v>10</v>
      </c>
      <c r="AH11" t="n">
        <v>2</v>
      </c>
      <c r="AI11" t="n">
        <v>2</v>
      </c>
      <c r="AJ11" t="n">
        <v>1</v>
      </c>
      <c r="AK11" t="n">
        <v>3</v>
      </c>
      <c r="AL11" t="n">
        <v>7</v>
      </c>
      <c r="AM11" t="n">
        <v>8</v>
      </c>
      <c r="AN11" t="n">
        <v>0</v>
      </c>
      <c r="AO11" t="n">
        <v>1</v>
      </c>
      <c r="AP11" t="n">
        <v>0</v>
      </c>
      <c r="AQ11" t="n">
        <v>0</v>
      </c>
      <c r="AR11" t="inlineStr">
        <is>
          <t>No</t>
        </is>
      </c>
      <c r="AS11" t="inlineStr">
        <is>
          <t>No</t>
        </is>
      </c>
      <c r="AU11">
        <f>HYPERLINK("https://creighton-primo.hosted.exlibrisgroup.com/primo-explore/search?tab=default_tab&amp;search_scope=EVERYTHING&amp;vid=01CRU&amp;lang=en_US&amp;offset=0&amp;query=any,contains,991004425669702656","Catalog Record")</f>
        <v/>
      </c>
      <c r="AV11">
        <f>HYPERLINK("http://www.worldcat.org/oclc/18557348","WorldCat Record")</f>
        <v/>
      </c>
      <c r="AW11" t="inlineStr">
        <is>
          <t>17364278:eng</t>
        </is>
      </c>
      <c r="AX11" t="inlineStr">
        <is>
          <t>18557348</t>
        </is>
      </c>
      <c r="AY11" t="inlineStr">
        <is>
          <t>991004425669702656</t>
        </is>
      </c>
      <c r="AZ11" t="inlineStr">
        <is>
          <t>991004425669702656</t>
        </is>
      </c>
      <c r="BA11" t="inlineStr">
        <is>
          <t>2264141480002656</t>
        </is>
      </c>
      <c r="BB11" t="inlineStr">
        <is>
          <t>BOOK</t>
        </is>
      </c>
      <c r="BD11" t="inlineStr">
        <is>
          <t>9780312026004</t>
        </is>
      </c>
      <c r="BE11" t="inlineStr">
        <is>
          <t>32285005011878</t>
        </is>
      </c>
      <c r="BF11" t="inlineStr">
        <is>
          <t>893901224</t>
        </is>
      </c>
    </row>
    <row r="12">
      <c r="A12" t="inlineStr">
        <is>
          <t>No</t>
        </is>
      </c>
      <c r="B12" t="inlineStr">
        <is>
          <t>CURAL</t>
        </is>
      </c>
      <c r="C12" t="inlineStr">
        <is>
          <t>SHELVES</t>
        </is>
      </c>
      <c r="D12" t="inlineStr">
        <is>
          <t>PR110.L6 W4 1990</t>
        </is>
      </c>
      <c r="E12" t="inlineStr">
        <is>
          <t>0                      PR 0110000L  6                  W  4           1990</t>
        </is>
      </c>
      <c r="F12" t="inlineStr">
        <is>
          <t>Literary London : an illustrated guide / Edwin Webb.</t>
        </is>
      </c>
      <c r="H12" t="inlineStr">
        <is>
          <t>No</t>
        </is>
      </c>
      <c r="I12" t="inlineStr">
        <is>
          <t>1</t>
        </is>
      </c>
      <c r="J12" t="inlineStr">
        <is>
          <t>No</t>
        </is>
      </c>
      <c r="K12" t="inlineStr">
        <is>
          <t>No</t>
        </is>
      </c>
      <c r="L12" t="inlineStr">
        <is>
          <t>0</t>
        </is>
      </c>
      <c r="M12" t="inlineStr">
        <is>
          <t>Webb, Edwin.</t>
        </is>
      </c>
      <c r="N12" t="inlineStr">
        <is>
          <t>Speldhurst : Spellmount, 1990.</t>
        </is>
      </c>
      <c r="O12" t="inlineStr">
        <is>
          <t>1990</t>
        </is>
      </c>
      <c r="Q12" t="inlineStr">
        <is>
          <t>eng</t>
        </is>
      </c>
      <c r="R12" t="inlineStr">
        <is>
          <t>enk</t>
        </is>
      </c>
      <c r="S12" t="inlineStr">
        <is>
          <t>London guide series</t>
        </is>
      </c>
      <c r="T12" t="inlineStr">
        <is>
          <t xml:space="preserve">PR </t>
        </is>
      </c>
      <c r="U12" t="n">
        <v>1</v>
      </c>
      <c r="V12" t="n">
        <v>1</v>
      </c>
      <c r="W12" t="inlineStr">
        <is>
          <t>2006-11-15</t>
        </is>
      </c>
      <c r="X12" t="inlineStr">
        <is>
          <t>2006-11-15</t>
        </is>
      </c>
      <c r="Y12" t="inlineStr">
        <is>
          <t>2004-11-18</t>
        </is>
      </c>
      <c r="Z12" t="inlineStr">
        <is>
          <t>2004-11-18</t>
        </is>
      </c>
      <c r="AA12" t="n">
        <v>50</v>
      </c>
      <c r="AB12" t="n">
        <v>23</v>
      </c>
      <c r="AC12" t="n">
        <v>23</v>
      </c>
      <c r="AD12" t="n">
        <v>1</v>
      </c>
      <c r="AE12" t="n">
        <v>1</v>
      </c>
      <c r="AF12" t="n">
        <v>0</v>
      </c>
      <c r="AG12" t="n">
        <v>0</v>
      </c>
      <c r="AH12" t="n">
        <v>0</v>
      </c>
      <c r="AI12" t="n">
        <v>0</v>
      </c>
      <c r="AJ12" t="n">
        <v>0</v>
      </c>
      <c r="AK12" t="n">
        <v>0</v>
      </c>
      <c r="AL12" t="n">
        <v>0</v>
      </c>
      <c r="AM12" t="n">
        <v>0</v>
      </c>
      <c r="AN12" t="n">
        <v>0</v>
      </c>
      <c r="AO12" t="n">
        <v>0</v>
      </c>
      <c r="AP12" t="n">
        <v>0</v>
      </c>
      <c r="AQ12" t="n">
        <v>0</v>
      </c>
      <c r="AR12" t="inlineStr">
        <is>
          <t>No</t>
        </is>
      </c>
      <c r="AS12" t="inlineStr">
        <is>
          <t>No</t>
        </is>
      </c>
      <c r="AU12">
        <f>HYPERLINK("https://creighton-primo.hosted.exlibrisgroup.com/primo-explore/search?tab=default_tab&amp;search_scope=EVERYTHING&amp;vid=01CRU&amp;lang=en_US&amp;offset=0&amp;query=any,contains,991004425449702656","Catalog Record")</f>
        <v/>
      </c>
      <c r="AV12">
        <f>HYPERLINK("http://www.worldcat.org/oclc/21873624","WorldCat Record")</f>
        <v/>
      </c>
      <c r="AW12" t="inlineStr">
        <is>
          <t>23238893:eng</t>
        </is>
      </c>
      <c r="AX12" t="inlineStr">
        <is>
          <t>21873624</t>
        </is>
      </c>
      <c r="AY12" t="inlineStr">
        <is>
          <t>991004425449702656</t>
        </is>
      </c>
      <c r="AZ12" t="inlineStr">
        <is>
          <t>991004425449702656</t>
        </is>
      </c>
      <c r="BA12" t="inlineStr">
        <is>
          <t>2269182190002656</t>
        </is>
      </c>
      <c r="BB12" t="inlineStr">
        <is>
          <t>BOOK</t>
        </is>
      </c>
      <c r="BD12" t="inlineStr">
        <is>
          <t>9780946771646</t>
        </is>
      </c>
      <c r="BE12" t="inlineStr">
        <is>
          <t>32285005011829</t>
        </is>
      </c>
      <c r="BF12" t="inlineStr">
        <is>
          <t>893247574</t>
        </is>
      </c>
    </row>
    <row r="13">
      <c r="A13" t="inlineStr">
        <is>
          <t>No</t>
        </is>
      </c>
      <c r="B13" t="inlineStr">
        <is>
          <t>CURAL</t>
        </is>
      </c>
      <c r="C13" t="inlineStr">
        <is>
          <t>SHELVES</t>
        </is>
      </c>
      <c r="D13" t="inlineStr">
        <is>
          <t>PR1105 .O9 1975</t>
        </is>
      </c>
      <c r="E13" t="inlineStr">
        <is>
          <t>0                      PR 1105000O  9           1975</t>
        </is>
      </c>
      <c r="F13" t="inlineStr">
        <is>
          <t>The Oxford anthology of English literature / general editors, Frank Kermode and John Hollander.</t>
        </is>
      </c>
      <c r="G13" t="inlineStr">
        <is>
          <t>V.2</t>
        </is>
      </c>
      <c r="H13" t="inlineStr">
        <is>
          <t>Yes</t>
        </is>
      </c>
      <c r="I13" t="inlineStr">
        <is>
          <t>1</t>
        </is>
      </c>
      <c r="J13" t="inlineStr">
        <is>
          <t>No</t>
        </is>
      </c>
      <c r="K13" t="inlineStr">
        <is>
          <t>No</t>
        </is>
      </c>
      <c r="L13" t="inlineStr">
        <is>
          <t>0</t>
        </is>
      </c>
      <c r="N13" t="inlineStr">
        <is>
          <t>New York : Oxford University Press, 1975.</t>
        </is>
      </c>
      <c r="O13" t="inlineStr">
        <is>
          <t>1975</t>
        </is>
      </c>
      <c r="P13" t="inlineStr">
        <is>
          <t>Major authors ed.</t>
        </is>
      </c>
      <c r="Q13" t="inlineStr">
        <is>
          <t>eng</t>
        </is>
      </c>
      <c r="R13" t="inlineStr">
        <is>
          <t>nyu</t>
        </is>
      </c>
      <c r="T13" t="inlineStr">
        <is>
          <t xml:space="preserve">PR </t>
        </is>
      </c>
      <c r="U13" t="n">
        <v>24</v>
      </c>
      <c r="V13" t="n">
        <v>37</v>
      </c>
      <c r="W13" t="inlineStr">
        <is>
          <t>2002-08-15</t>
        </is>
      </c>
      <c r="X13" t="inlineStr">
        <is>
          <t>2002-08-15</t>
        </is>
      </c>
      <c r="Y13" t="inlineStr">
        <is>
          <t>1991-09-20</t>
        </is>
      </c>
      <c r="Z13" t="inlineStr">
        <is>
          <t>1991-09-20</t>
        </is>
      </c>
      <c r="AA13" t="n">
        <v>251</v>
      </c>
      <c r="AB13" t="n">
        <v>234</v>
      </c>
      <c r="AC13" t="n">
        <v>1320</v>
      </c>
      <c r="AD13" t="n">
        <v>2</v>
      </c>
      <c r="AE13" t="n">
        <v>16</v>
      </c>
      <c r="AF13" t="n">
        <v>4</v>
      </c>
      <c r="AG13" t="n">
        <v>37</v>
      </c>
      <c r="AH13" t="n">
        <v>1</v>
      </c>
      <c r="AI13" t="n">
        <v>14</v>
      </c>
      <c r="AJ13" t="n">
        <v>1</v>
      </c>
      <c r="AK13" t="n">
        <v>7</v>
      </c>
      <c r="AL13" t="n">
        <v>2</v>
      </c>
      <c r="AM13" t="n">
        <v>14</v>
      </c>
      <c r="AN13" t="n">
        <v>0</v>
      </c>
      <c r="AO13" t="n">
        <v>8</v>
      </c>
      <c r="AP13" t="n">
        <v>0</v>
      </c>
      <c r="AQ13" t="n">
        <v>0</v>
      </c>
      <c r="AR13" t="inlineStr">
        <is>
          <t>No</t>
        </is>
      </c>
      <c r="AS13" t="inlineStr">
        <is>
          <t>No</t>
        </is>
      </c>
      <c r="AU13">
        <f>HYPERLINK("https://creighton-primo.hosted.exlibrisgroup.com/primo-explore/search?tab=default_tab&amp;search_scope=EVERYTHING&amp;vid=01CRU&amp;lang=en_US&amp;offset=0&amp;query=any,contains,991003986359702656","Catalog Record")</f>
        <v/>
      </c>
      <c r="AV13">
        <f>HYPERLINK("http://www.worldcat.org/oclc/2032726","WorldCat Record")</f>
        <v/>
      </c>
      <c r="AW13" t="inlineStr">
        <is>
          <t>1068395738:eng</t>
        </is>
      </c>
      <c r="AX13" t="inlineStr">
        <is>
          <t>2032726</t>
        </is>
      </c>
      <c r="AY13" t="inlineStr">
        <is>
          <t>991003986359702656</t>
        </is>
      </c>
      <c r="AZ13" t="inlineStr">
        <is>
          <t>991003986359702656</t>
        </is>
      </c>
      <c r="BA13" t="inlineStr">
        <is>
          <t>2269383510002656</t>
        </is>
      </c>
      <c r="BB13" t="inlineStr">
        <is>
          <t>BOOK</t>
        </is>
      </c>
      <c r="BD13" t="inlineStr">
        <is>
          <t>9780195019001</t>
        </is>
      </c>
      <c r="BE13" t="inlineStr">
        <is>
          <t>32285000759216</t>
        </is>
      </c>
      <c r="BF13" t="inlineStr">
        <is>
          <t>893259179</t>
        </is>
      </c>
    </row>
    <row r="14">
      <c r="A14" t="inlineStr">
        <is>
          <t>No</t>
        </is>
      </c>
      <c r="B14" t="inlineStr">
        <is>
          <t>CURAL</t>
        </is>
      </c>
      <c r="C14" t="inlineStr">
        <is>
          <t>SHELVES</t>
        </is>
      </c>
      <c r="D14" t="inlineStr">
        <is>
          <t>PR1105 .O9 1975</t>
        </is>
      </c>
      <c r="E14" t="inlineStr">
        <is>
          <t>0                      PR 1105000O  9           1975</t>
        </is>
      </c>
      <c r="F14" t="inlineStr">
        <is>
          <t>The Oxford anthology of English literature / general editors, Frank Kermode and John Hollander.</t>
        </is>
      </c>
      <c r="G14" t="inlineStr">
        <is>
          <t>V.1</t>
        </is>
      </c>
      <c r="H14" t="inlineStr">
        <is>
          <t>Yes</t>
        </is>
      </c>
      <c r="I14" t="inlineStr">
        <is>
          <t>1</t>
        </is>
      </c>
      <c r="J14" t="inlineStr">
        <is>
          <t>No</t>
        </is>
      </c>
      <c r="K14" t="inlineStr">
        <is>
          <t>No</t>
        </is>
      </c>
      <c r="L14" t="inlineStr">
        <is>
          <t>0</t>
        </is>
      </c>
      <c r="N14" t="inlineStr">
        <is>
          <t>New York : Oxford University Press, 1975.</t>
        </is>
      </c>
      <c r="O14" t="inlineStr">
        <is>
          <t>1975</t>
        </is>
      </c>
      <c r="P14" t="inlineStr">
        <is>
          <t>Major authors ed.</t>
        </is>
      </c>
      <c r="Q14" t="inlineStr">
        <is>
          <t>eng</t>
        </is>
      </c>
      <c r="R14" t="inlineStr">
        <is>
          <t>nyu</t>
        </is>
      </c>
      <c r="T14" t="inlineStr">
        <is>
          <t xml:space="preserve">PR </t>
        </is>
      </c>
      <c r="U14" t="n">
        <v>13</v>
      </c>
      <c r="V14" t="n">
        <v>37</v>
      </c>
      <c r="W14" t="inlineStr">
        <is>
          <t>1997-03-20</t>
        </is>
      </c>
      <c r="X14" t="inlineStr">
        <is>
          <t>2002-08-15</t>
        </is>
      </c>
      <c r="Y14" t="inlineStr">
        <is>
          <t>1991-09-20</t>
        </is>
      </c>
      <c r="Z14" t="inlineStr">
        <is>
          <t>1991-09-20</t>
        </is>
      </c>
      <c r="AA14" t="n">
        <v>251</v>
      </c>
      <c r="AB14" t="n">
        <v>234</v>
      </c>
      <c r="AC14" t="n">
        <v>1320</v>
      </c>
      <c r="AD14" t="n">
        <v>2</v>
      </c>
      <c r="AE14" t="n">
        <v>16</v>
      </c>
      <c r="AF14" t="n">
        <v>4</v>
      </c>
      <c r="AG14" t="n">
        <v>37</v>
      </c>
      <c r="AH14" t="n">
        <v>1</v>
      </c>
      <c r="AI14" t="n">
        <v>14</v>
      </c>
      <c r="AJ14" t="n">
        <v>1</v>
      </c>
      <c r="AK14" t="n">
        <v>7</v>
      </c>
      <c r="AL14" t="n">
        <v>2</v>
      </c>
      <c r="AM14" t="n">
        <v>14</v>
      </c>
      <c r="AN14" t="n">
        <v>0</v>
      </c>
      <c r="AO14" t="n">
        <v>8</v>
      </c>
      <c r="AP14" t="n">
        <v>0</v>
      </c>
      <c r="AQ14" t="n">
        <v>0</v>
      </c>
      <c r="AR14" t="inlineStr">
        <is>
          <t>No</t>
        </is>
      </c>
      <c r="AS14" t="inlineStr">
        <is>
          <t>No</t>
        </is>
      </c>
      <c r="AU14">
        <f>HYPERLINK("https://creighton-primo.hosted.exlibrisgroup.com/primo-explore/search?tab=default_tab&amp;search_scope=EVERYTHING&amp;vid=01CRU&amp;lang=en_US&amp;offset=0&amp;query=any,contains,991003986359702656","Catalog Record")</f>
        <v/>
      </c>
      <c r="AV14">
        <f>HYPERLINK("http://www.worldcat.org/oclc/2032726","WorldCat Record")</f>
        <v/>
      </c>
      <c r="AW14" t="inlineStr">
        <is>
          <t>1068395738:eng</t>
        </is>
      </c>
      <c r="AX14" t="inlineStr">
        <is>
          <t>2032726</t>
        </is>
      </c>
      <c r="AY14" t="inlineStr">
        <is>
          <t>991003986359702656</t>
        </is>
      </c>
      <c r="AZ14" t="inlineStr">
        <is>
          <t>991003986359702656</t>
        </is>
      </c>
      <c r="BA14" t="inlineStr">
        <is>
          <t>2269383510002656</t>
        </is>
      </c>
      <c r="BB14" t="inlineStr">
        <is>
          <t>BOOK</t>
        </is>
      </c>
      <c r="BD14" t="inlineStr">
        <is>
          <t>9780195019001</t>
        </is>
      </c>
      <c r="BE14" t="inlineStr">
        <is>
          <t>32285000759208</t>
        </is>
      </c>
      <c r="BF14" t="inlineStr">
        <is>
          <t>893234913</t>
        </is>
      </c>
    </row>
    <row r="15">
      <c r="A15" t="inlineStr">
        <is>
          <t>No</t>
        </is>
      </c>
      <c r="B15" t="inlineStr">
        <is>
          <t>CURAL</t>
        </is>
      </c>
      <c r="C15" t="inlineStr">
        <is>
          <t>SHELVES</t>
        </is>
      </c>
      <c r="D15" t="inlineStr">
        <is>
          <t>PR1109 .B65</t>
        </is>
      </c>
      <c r="E15" t="inlineStr">
        <is>
          <t>0                      PR 1109000B  65</t>
        </is>
      </c>
      <c r="F15" t="inlineStr">
        <is>
          <t>The spirit of man; an anthology in English &amp; French from the philosophers &amp; poets, made by the poet laureate in 1915 &amp; dedicated by gracious permission to His Majesty the King.</t>
        </is>
      </c>
      <c r="H15" t="inlineStr">
        <is>
          <t>No</t>
        </is>
      </c>
      <c r="I15" t="inlineStr">
        <is>
          <t>1</t>
        </is>
      </c>
      <c r="J15" t="inlineStr">
        <is>
          <t>No</t>
        </is>
      </c>
      <c r="K15" t="inlineStr">
        <is>
          <t>No</t>
        </is>
      </c>
      <c r="L15" t="inlineStr">
        <is>
          <t>0</t>
        </is>
      </c>
      <c r="M15" t="inlineStr">
        <is>
          <t>Bridges, Robert, 1844-1930 compiler.</t>
        </is>
      </c>
      <c r="N15" t="inlineStr">
        <is>
          <t>London, New York [etc.] Longmans, Green &amp; co., 1916.</t>
        </is>
      </c>
      <c r="O15" t="inlineStr">
        <is>
          <t>1916</t>
        </is>
      </c>
      <c r="Q15" t="inlineStr">
        <is>
          <t>eng</t>
        </is>
      </c>
      <c r="R15" t="inlineStr">
        <is>
          <t xml:space="preserve">xx </t>
        </is>
      </c>
      <c r="T15" t="inlineStr">
        <is>
          <t xml:space="preserve">PR </t>
        </is>
      </c>
      <c r="U15" t="n">
        <v>3</v>
      </c>
      <c r="V15" t="n">
        <v>3</v>
      </c>
      <c r="W15" t="inlineStr">
        <is>
          <t>1998-12-07</t>
        </is>
      </c>
      <c r="X15" t="inlineStr">
        <is>
          <t>1998-12-07</t>
        </is>
      </c>
      <c r="Y15" t="inlineStr">
        <is>
          <t>1997-09-19</t>
        </is>
      </c>
      <c r="Z15" t="inlineStr">
        <is>
          <t>1997-09-19</t>
        </is>
      </c>
      <c r="AA15" t="n">
        <v>311</v>
      </c>
      <c r="AB15" t="n">
        <v>270</v>
      </c>
      <c r="AC15" t="n">
        <v>308</v>
      </c>
      <c r="AD15" t="n">
        <v>1</v>
      </c>
      <c r="AE15" t="n">
        <v>1</v>
      </c>
      <c r="AF15" t="n">
        <v>12</v>
      </c>
      <c r="AG15" t="n">
        <v>13</v>
      </c>
      <c r="AH15" t="n">
        <v>2</v>
      </c>
      <c r="AI15" t="n">
        <v>3</v>
      </c>
      <c r="AJ15" t="n">
        <v>4</v>
      </c>
      <c r="AK15" t="n">
        <v>4</v>
      </c>
      <c r="AL15" t="n">
        <v>10</v>
      </c>
      <c r="AM15" t="n">
        <v>11</v>
      </c>
      <c r="AN15" t="n">
        <v>0</v>
      </c>
      <c r="AO15" t="n">
        <v>0</v>
      </c>
      <c r="AP15" t="n">
        <v>0</v>
      </c>
      <c r="AQ15" t="n">
        <v>0</v>
      </c>
      <c r="AR15" t="inlineStr">
        <is>
          <t>Yes</t>
        </is>
      </c>
      <c r="AS15" t="inlineStr">
        <is>
          <t>No</t>
        </is>
      </c>
      <c r="AT15">
        <f>HYPERLINK("http://catalog.hathitrust.org/Record/006210423","HathiTrust Record")</f>
        <v/>
      </c>
      <c r="AU15">
        <f>HYPERLINK("https://creighton-primo.hosted.exlibrisgroup.com/primo-explore/search?tab=default_tab&amp;search_scope=EVERYTHING&amp;vid=01CRU&amp;lang=en_US&amp;offset=0&amp;query=any,contains,991001771489702656","Catalog Record")</f>
        <v/>
      </c>
      <c r="AV15">
        <f>HYPERLINK("http://www.worldcat.org/oclc/236332","WorldCat Record")</f>
        <v/>
      </c>
      <c r="AW15" t="inlineStr">
        <is>
          <t>5584251483:eng</t>
        </is>
      </c>
      <c r="AX15" t="inlineStr">
        <is>
          <t>236332</t>
        </is>
      </c>
      <c r="AY15" t="inlineStr">
        <is>
          <t>991001771489702656</t>
        </is>
      </c>
      <c r="AZ15" t="inlineStr">
        <is>
          <t>991001771489702656</t>
        </is>
      </c>
      <c r="BA15" t="inlineStr">
        <is>
          <t>2257725900002656</t>
        </is>
      </c>
      <c r="BB15" t="inlineStr">
        <is>
          <t>BOOK</t>
        </is>
      </c>
      <c r="BE15" t="inlineStr">
        <is>
          <t>32285003217469</t>
        </is>
      </c>
      <c r="BF15" t="inlineStr">
        <is>
          <t>893626823</t>
        </is>
      </c>
    </row>
    <row r="16">
      <c r="A16" t="inlineStr">
        <is>
          <t>No</t>
        </is>
      </c>
      <c r="B16" t="inlineStr">
        <is>
          <t>CURAL</t>
        </is>
      </c>
      <c r="C16" t="inlineStr">
        <is>
          <t>SHELVES</t>
        </is>
      </c>
      <c r="D16" t="inlineStr">
        <is>
          <t>PR1109 .G752</t>
        </is>
      </c>
      <c r="E16" t="inlineStr">
        <is>
          <t>0                      PR 1109000G  752</t>
        </is>
      </c>
      <c r="F16" t="inlineStr">
        <is>
          <t>English literature and its backgrounds [by] Bernard D. Grebanier [and others]</t>
        </is>
      </c>
      <c r="G16" t="inlineStr">
        <is>
          <t>V.2</t>
        </is>
      </c>
      <c r="H16" t="inlineStr">
        <is>
          <t>Yes</t>
        </is>
      </c>
      <c r="I16" t="inlineStr">
        <is>
          <t>1</t>
        </is>
      </c>
      <c r="J16" t="inlineStr">
        <is>
          <t>No</t>
        </is>
      </c>
      <c r="K16" t="inlineStr">
        <is>
          <t>Yes</t>
        </is>
      </c>
      <c r="L16" t="inlineStr">
        <is>
          <t>0</t>
        </is>
      </c>
      <c r="M16" t="inlineStr">
        <is>
          <t>Grebanier, Bernard D. N., 1903-1977, editor.</t>
        </is>
      </c>
      <c r="N16" t="inlineStr">
        <is>
          <t>New York, Dryden Press [1949]</t>
        </is>
      </c>
      <c r="O16" t="inlineStr">
        <is>
          <t>1949</t>
        </is>
      </c>
      <c r="P16" t="inlineStr">
        <is>
          <t>Rev. ed.</t>
        </is>
      </c>
      <c r="Q16" t="inlineStr">
        <is>
          <t>eng</t>
        </is>
      </c>
      <c r="R16" t="inlineStr">
        <is>
          <t>nyu</t>
        </is>
      </c>
      <c r="T16" t="inlineStr">
        <is>
          <t xml:space="preserve">PR </t>
        </is>
      </c>
      <c r="U16" t="n">
        <v>2</v>
      </c>
      <c r="V16" t="n">
        <v>6</v>
      </c>
      <c r="X16" t="inlineStr">
        <is>
          <t>1999-02-14</t>
        </is>
      </c>
      <c r="Y16" t="inlineStr">
        <is>
          <t>1997-09-22</t>
        </is>
      </c>
      <c r="Z16" t="inlineStr">
        <is>
          <t>1997-09-22</t>
        </is>
      </c>
      <c r="AA16" t="n">
        <v>362</v>
      </c>
      <c r="AB16" t="n">
        <v>346</v>
      </c>
      <c r="AC16" t="n">
        <v>733</v>
      </c>
      <c r="AD16" t="n">
        <v>7</v>
      </c>
      <c r="AE16" t="n">
        <v>9</v>
      </c>
      <c r="AF16" t="n">
        <v>16</v>
      </c>
      <c r="AG16" t="n">
        <v>29</v>
      </c>
      <c r="AH16" t="n">
        <v>5</v>
      </c>
      <c r="AI16" t="n">
        <v>11</v>
      </c>
      <c r="AJ16" t="n">
        <v>1</v>
      </c>
      <c r="AK16" t="n">
        <v>3</v>
      </c>
      <c r="AL16" t="n">
        <v>5</v>
      </c>
      <c r="AM16" t="n">
        <v>14</v>
      </c>
      <c r="AN16" t="n">
        <v>6</v>
      </c>
      <c r="AO16" t="n">
        <v>7</v>
      </c>
      <c r="AP16" t="n">
        <v>0</v>
      </c>
      <c r="AQ16" t="n">
        <v>0</v>
      </c>
      <c r="AR16" t="inlineStr">
        <is>
          <t>No</t>
        </is>
      </c>
      <c r="AS16" t="inlineStr">
        <is>
          <t>No</t>
        </is>
      </c>
      <c r="AT16">
        <f>HYPERLINK("http://catalog.hathitrust.org/Record/101863362","HathiTrust Record")</f>
        <v/>
      </c>
      <c r="AU16">
        <f>HYPERLINK("https://creighton-primo.hosted.exlibrisgroup.com/primo-explore/search?tab=default_tab&amp;search_scope=EVERYTHING&amp;vid=01CRU&amp;lang=en_US&amp;offset=0&amp;query=any,contains,991002440639702656","Catalog Record")</f>
        <v/>
      </c>
      <c r="AV16">
        <f>HYPERLINK("http://www.worldcat.org/oclc/350005","WorldCat Record")</f>
        <v/>
      </c>
      <c r="AW16" t="inlineStr">
        <is>
          <t>196166717:eng</t>
        </is>
      </c>
      <c r="AX16" t="inlineStr">
        <is>
          <t>350005</t>
        </is>
      </c>
      <c r="AY16" t="inlineStr">
        <is>
          <t>991002440639702656</t>
        </is>
      </c>
      <c r="AZ16" t="inlineStr">
        <is>
          <t>991002440639702656</t>
        </is>
      </c>
      <c r="BA16" t="inlineStr">
        <is>
          <t>2268399810002656</t>
        </is>
      </c>
      <c r="BB16" t="inlineStr">
        <is>
          <t>BOOK</t>
        </is>
      </c>
      <c r="BE16" t="inlineStr">
        <is>
          <t>32285003217584</t>
        </is>
      </c>
      <c r="BF16" t="inlineStr">
        <is>
          <t>893440150</t>
        </is>
      </c>
    </row>
    <row r="17">
      <c r="A17" t="inlineStr">
        <is>
          <t>No</t>
        </is>
      </c>
      <c r="B17" t="inlineStr">
        <is>
          <t>CURAL</t>
        </is>
      </c>
      <c r="C17" t="inlineStr">
        <is>
          <t>SHELVES</t>
        </is>
      </c>
      <c r="D17" t="inlineStr">
        <is>
          <t>PR1109 .G752</t>
        </is>
      </c>
      <c r="E17" t="inlineStr">
        <is>
          <t>0                      PR 1109000G  752</t>
        </is>
      </c>
      <c r="F17" t="inlineStr">
        <is>
          <t>English literature and its backgrounds [by] Bernard D. Grebanier [and others]</t>
        </is>
      </c>
      <c r="G17" t="inlineStr">
        <is>
          <t>V.1</t>
        </is>
      </c>
      <c r="H17" t="inlineStr">
        <is>
          <t>Yes</t>
        </is>
      </c>
      <c r="I17" t="inlineStr">
        <is>
          <t>1</t>
        </is>
      </c>
      <c r="J17" t="inlineStr">
        <is>
          <t>No</t>
        </is>
      </c>
      <c r="K17" t="inlineStr">
        <is>
          <t>Yes</t>
        </is>
      </c>
      <c r="L17" t="inlineStr">
        <is>
          <t>0</t>
        </is>
      </c>
      <c r="M17" t="inlineStr">
        <is>
          <t>Grebanier, Bernard D. N., 1903-1977, editor.</t>
        </is>
      </c>
      <c r="N17" t="inlineStr">
        <is>
          <t>New York, Dryden Press [1949]</t>
        </is>
      </c>
      <c r="O17" t="inlineStr">
        <is>
          <t>1949</t>
        </is>
      </c>
      <c r="P17" t="inlineStr">
        <is>
          <t>Rev. ed.</t>
        </is>
      </c>
      <c r="Q17" t="inlineStr">
        <is>
          <t>eng</t>
        </is>
      </c>
      <c r="R17" t="inlineStr">
        <is>
          <t>nyu</t>
        </is>
      </c>
      <c r="T17" t="inlineStr">
        <is>
          <t xml:space="preserve">PR </t>
        </is>
      </c>
      <c r="U17" t="n">
        <v>4</v>
      </c>
      <c r="V17" t="n">
        <v>6</v>
      </c>
      <c r="W17" t="inlineStr">
        <is>
          <t>1999-02-14</t>
        </is>
      </c>
      <c r="X17" t="inlineStr">
        <is>
          <t>1999-02-14</t>
        </is>
      </c>
      <c r="Y17" t="inlineStr">
        <is>
          <t>1997-09-22</t>
        </is>
      </c>
      <c r="Z17" t="inlineStr">
        <is>
          <t>1997-09-22</t>
        </is>
      </c>
      <c r="AA17" t="n">
        <v>362</v>
      </c>
      <c r="AB17" t="n">
        <v>346</v>
      </c>
      <c r="AC17" t="n">
        <v>733</v>
      </c>
      <c r="AD17" t="n">
        <v>7</v>
      </c>
      <c r="AE17" t="n">
        <v>9</v>
      </c>
      <c r="AF17" t="n">
        <v>16</v>
      </c>
      <c r="AG17" t="n">
        <v>29</v>
      </c>
      <c r="AH17" t="n">
        <v>5</v>
      </c>
      <c r="AI17" t="n">
        <v>11</v>
      </c>
      <c r="AJ17" t="n">
        <v>1</v>
      </c>
      <c r="AK17" t="n">
        <v>3</v>
      </c>
      <c r="AL17" t="n">
        <v>5</v>
      </c>
      <c r="AM17" t="n">
        <v>14</v>
      </c>
      <c r="AN17" t="n">
        <v>6</v>
      </c>
      <c r="AO17" t="n">
        <v>7</v>
      </c>
      <c r="AP17" t="n">
        <v>0</v>
      </c>
      <c r="AQ17" t="n">
        <v>0</v>
      </c>
      <c r="AR17" t="inlineStr">
        <is>
          <t>No</t>
        </is>
      </c>
      <c r="AS17" t="inlineStr">
        <is>
          <t>No</t>
        </is>
      </c>
      <c r="AT17">
        <f>HYPERLINK("http://catalog.hathitrust.org/Record/101863362","HathiTrust Record")</f>
        <v/>
      </c>
      <c r="AU17">
        <f>HYPERLINK("https://creighton-primo.hosted.exlibrisgroup.com/primo-explore/search?tab=default_tab&amp;search_scope=EVERYTHING&amp;vid=01CRU&amp;lang=en_US&amp;offset=0&amp;query=any,contains,991002440639702656","Catalog Record")</f>
        <v/>
      </c>
      <c r="AV17">
        <f>HYPERLINK("http://www.worldcat.org/oclc/350005","WorldCat Record")</f>
        <v/>
      </c>
      <c r="AW17" t="inlineStr">
        <is>
          <t>196166717:eng</t>
        </is>
      </c>
      <c r="AX17" t="inlineStr">
        <is>
          <t>350005</t>
        </is>
      </c>
      <c r="AY17" t="inlineStr">
        <is>
          <t>991002440639702656</t>
        </is>
      </c>
      <c r="AZ17" t="inlineStr">
        <is>
          <t>991002440639702656</t>
        </is>
      </c>
      <c r="BA17" t="inlineStr">
        <is>
          <t>2268399810002656</t>
        </is>
      </c>
      <c r="BB17" t="inlineStr">
        <is>
          <t>BOOK</t>
        </is>
      </c>
      <c r="BE17" t="inlineStr">
        <is>
          <t>32285003217576</t>
        </is>
      </c>
      <c r="BF17" t="inlineStr">
        <is>
          <t>893415201</t>
        </is>
      </c>
    </row>
    <row r="18">
      <c r="A18" t="inlineStr">
        <is>
          <t>No</t>
        </is>
      </c>
      <c r="B18" t="inlineStr">
        <is>
          <t>CURAL</t>
        </is>
      </c>
      <c r="C18" t="inlineStr">
        <is>
          <t>SHELVES</t>
        </is>
      </c>
      <c r="D18" t="inlineStr">
        <is>
          <t>PR1109 .M3</t>
        </is>
      </c>
      <c r="E18" t="inlineStr">
        <is>
          <t>0                      PR 1109000M  3</t>
        </is>
      </c>
      <c r="F18" t="inlineStr">
        <is>
          <t>W. Somerset Maugham's Introduction to modern English and American literature.</t>
        </is>
      </c>
      <c r="H18" t="inlineStr">
        <is>
          <t>No</t>
        </is>
      </c>
      <c r="I18" t="inlineStr">
        <is>
          <t>1</t>
        </is>
      </c>
      <c r="J18" t="inlineStr">
        <is>
          <t>No</t>
        </is>
      </c>
      <c r="K18" t="inlineStr">
        <is>
          <t>No</t>
        </is>
      </c>
      <c r="L18" t="inlineStr">
        <is>
          <t>0</t>
        </is>
      </c>
      <c r="M18" t="inlineStr">
        <is>
          <t>Maugham, W. Somerset (William Somerset), 1874-1965.</t>
        </is>
      </c>
      <c r="N18" t="inlineStr">
        <is>
          <t>Philadelphia : Blakiston Co., 1943.</t>
        </is>
      </c>
      <c r="O18" t="inlineStr">
        <is>
          <t>1943</t>
        </is>
      </c>
      <c r="Q18" t="inlineStr">
        <is>
          <t>eng</t>
        </is>
      </c>
      <c r="R18" t="inlineStr">
        <is>
          <t>pau</t>
        </is>
      </c>
      <c r="S18" t="inlineStr">
        <is>
          <t>The New home library</t>
        </is>
      </c>
      <c r="T18" t="inlineStr">
        <is>
          <t xml:space="preserve">PR </t>
        </is>
      </c>
      <c r="U18" t="n">
        <v>2</v>
      </c>
      <c r="V18" t="n">
        <v>2</v>
      </c>
      <c r="W18" t="inlineStr">
        <is>
          <t>2007-09-13</t>
        </is>
      </c>
      <c r="X18" t="inlineStr">
        <is>
          <t>2007-09-13</t>
        </is>
      </c>
      <c r="Y18" t="inlineStr">
        <is>
          <t>1997-09-22</t>
        </is>
      </c>
      <c r="Z18" t="inlineStr">
        <is>
          <t>1997-09-22</t>
        </is>
      </c>
      <c r="AA18" t="n">
        <v>87</v>
      </c>
      <c r="AB18" t="n">
        <v>64</v>
      </c>
      <c r="AC18" t="n">
        <v>706</v>
      </c>
      <c r="AD18" t="n">
        <v>1</v>
      </c>
      <c r="AE18" t="n">
        <v>2</v>
      </c>
      <c r="AF18" t="n">
        <v>2</v>
      </c>
      <c r="AG18" t="n">
        <v>26</v>
      </c>
      <c r="AH18" t="n">
        <v>0</v>
      </c>
      <c r="AI18" t="n">
        <v>11</v>
      </c>
      <c r="AJ18" t="n">
        <v>1</v>
      </c>
      <c r="AK18" t="n">
        <v>6</v>
      </c>
      <c r="AL18" t="n">
        <v>2</v>
      </c>
      <c r="AM18" t="n">
        <v>14</v>
      </c>
      <c r="AN18" t="n">
        <v>0</v>
      </c>
      <c r="AO18" t="n">
        <v>1</v>
      </c>
      <c r="AP18" t="n">
        <v>0</v>
      </c>
      <c r="AQ18" t="n">
        <v>0</v>
      </c>
      <c r="AR18" t="inlineStr">
        <is>
          <t>No</t>
        </is>
      </c>
      <c r="AS18" t="inlineStr">
        <is>
          <t>No</t>
        </is>
      </c>
      <c r="AU18">
        <f>HYPERLINK("https://creighton-primo.hosted.exlibrisgroup.com/primo-explore/search?tab=default_tab&amp;search_scope=EVERYTHING&amp;vid=01CRU&amp;lang=en_US&amp;offset=0&amp;query=any,contains,991004697489702656","Catalog Record")</f>
        <v/>
      </c>
      <c r="AV18">
        <f>HYPERLINK("http://www.worldcat.org/oclc/4646242","WorldCat Record")</f>
        <v/>
      </c>
      <c r="AW18" t="inlineStr">
        <is>
          <t>3273873:eng</t>
        </is>
      </c>
      <c r="AX18" t="inlineStr">
        <is>
          <t>4646242</t>
        </is>
      </c>
      <c r="AY18" t="inlineStr">
        <is>
          <t>991004697489702656</t>
        </is>
      </c>
      <c r="AZ18" t="inlineStr">
        <is>
          <t>991004697489702656</t>
        </is>
      </c>
      <c r="BA18" t="inlineStr">
        <is>
          <t>2260145910002656</t>
        </is>
      </c>
      <c r="BB18" t="inlineStr">
        <is>
          <t>BOOK</t>
        </is>
      </c>
      <c r="BE18" t="inlineStr">
        <is>
          <t>32285003217733</t>
        </is>
      </c>
      <c r="BF18" t="inlineStr">
        <is>
          <t>893901645</t>
        </is>
      </c>
    </row>
    <row r="19">
      <c r="A19" t="inlineStr">
        <is>
          <t>No</t>
        </is>
      </c>
      <c r="B19" t="inlineStr">
        <is>
          <t>CURAL</t>
        </is>
      </c>
      <c r="C19" t="inlineStr">
        <is>
          <t>SHELVES</t>
        </is>
      </c>
      <c r="D19" t="inlineStr">
        <is>
          <t>PR1109 .S4 1970</t>
        </is>
      </c>
      <c r="E19" t="inlineStr">
        <is>
          <t>0                      PR 1109000S  4           1970</t>
        </is>
      </c>
      <c r="F19" t="inlineStr">
        <is>
          <t>Masterpieces of British literature. Ruskin: Macaulay: Brown: Tennyson: Dickens: Wordsworth: Burns: Lamb: Coleridge: Byron: Cowper: Gray: Goldsmith: Addison and Steele: Milton: Bacon.</t>
        </is>
      </c>
      <c r="H19" t="inlineStr">
        <is>
          <t>No</t>
        </is>
      </c>
      <c r="I19" t="inlineStr">
        <is>
          <t>1</t>
        </is>
      </c>
      <c r="J19" t="inlineStr">
        <is>
          <t>No</t>
        </is>
      </c>
      <c r="K19" t="inlineStr">
        <is>
          <t>No</t>
        </is>
      </c>
      <c r="L19" t="inlineStr">
        <is>
          <t>0</t>
        </is>
      </c>
      <c r="M19" t="inlineStr">
        <is>
          <t>Scudder, Horace Elisha, 1838-1902 editor.</t>
        </is>
      </c>
      <c r="N19" t="inlineStr">
        <is>
          <t>Freeport, N.Y., Books for Libraries Press [1970]</t>
        </is>
      </c>
      <c r="O19" t="inlineStr">
        <is>
          <t>1970</t>
        </is>
      </c>
      <c r="Q19" t="inlineStr">
        <is>
          <t>eng</t>
        </is>
      </c>
      <c r="R19" t="inlineStr">
        <is>
          <t>nyu</t>
        </is>
      </c>
      <c r="S19" t="inlineStr">
        <is>
          <t>Granger index reprint series</t>
        </is>
      </c>
      <c r="T19" t="inlineStr">
        <is>
          <t xml:space="preserve">PR </t>
        </is>
      </c>
      <c r="U19" t="n">
        <v>1</v>
      </c>
      <c r="V19" t="n">
        <v>1</v>
      </c>
      <c r="W19" t="inlineStr">
        <is>
          <t>2005-03-28</t>
        </is>
      </c>
      <c r="X19" t="inlineStr">
        <is>
          <t>2005-03-28</t>
        </is>
      </c>
      <c r="Y19" t="inlineStr">
        <is>
          <t>1997-09-22</t>
        </is>
      </c>
      <c r="Z19" t="inlineStr">
        <is>
          <t>1997-09-22</t>
        </is>
      </c>
      <c r="AA19" t="n">
        <v>168</v>
      </c>
      <c r="AB19" t="n">
        <v>163</v>
      </c>
      <c r="AC19" t="n">
        <v>385</v>
      </c>
      <c r="AD19" t="n">
        <v>1</v>
      </c>
      <c r="AE19" t="n">
        <v>4</v>
      </c>
      <c r="AF19" t="n">
        <v>2</v>
      </c>
      <c r="AG19" t="n">
        <v>11</v>
      </c>
      <c r="AH19" t="n">
        <v>1</v>
      </c>
      <c r="AI19" t="n">
        <v>3</v>
      </c>
      <c r="AJ19" t="n">
        <v>1</v>
      </c>
      <c r="AK19" t="n">
        <v>3</v>
      </c>
      <c r="AL19" t="n">
        <v>1</v>
      </c>
      <c r="AM19" t="n">
        <v>6</v>
      </c>
      <c r="AN19" t="n">
        <v>0</v>
      </c>
      <c r="AO19" t="n">
        <v>2</v>
      </c>
      <c r="AP19" t="n">
        <v>0</v>
      </c>
      <c r="AQ19" t="n">
        <v>0</v>
      </c>
      <c r="AR19" t="inlineStr">
        <is>
          <t>No</t>
        </is>
      </c>
      <c r="AS19" t="inlineStr">
        <is>
          <t>No</t>
        </is>
      </c>
      <c r="AU19">
        <f>HYPERLINK("https://creighton-primo.hosted.exlibrisgroup.com/primo-explore/search?tab=default_tab&amp;search_scope=EVERYTHING&amp;vid=01CRU&amp;lang=en_US&amp;offset=0&amp;query=any,contains,991000549229702656","Catalog Record")</f>
        <v/>
      </c>
      <c r="AV19">
        <f>HYPERLINK("http://www.worldcat.org/oclc/92225","WorldCat Record")</f>
        <v/>
      </c>
      <c r="AW19" t="inlineStr">
        <is>
          <t>2287204501:eng</t>
        </is>
      </c>
      <c r="AX19" t="inlineStr">
        <is>
          <t>92225</t>
        </is>
      </c>
      <c r="AY19" t="inlineStr">
        <is>
          <t>991000549229702656</t>
        </is>
      </c>
      <c r="AZ19" t="inlineStr">
        <is>
          <t>991000549229702656</t>
        </is>
      </c>
      <c r="BA19" t="inlineStr">
        <is>
          <t>2265123340002656</t>
        </is>
      </c>
      <c r="BB19" t="inlineStr">
        <is>
          <t>BOOK</t>
        </is>
      </c>
      <c r="BD19" t="inlineStr">
        <is>
          <t>9780836961843</t>
        </is>
      </c>
      <c r="BE19" t="inlineStr">
        <is>
          <t>32285003217741</t>
        </is>
      </c>
      <c r="BF19" t="inlineStr">
        <is>
          <t>893432063</t>
        </is>
      </c>
    </row>
    <row r="20">
      <c r="A20" t="inlineStr">
        <is>
          <t>No</t>
        </is>
      </c>
      <c r="B20" t="inlineStr">
        <is>
          <t>CURAL</t>
        </is>
      </c>
      <c r="C20" t="inlineStr">
        <is>
          <t>SHELVES</t>
        </is>
      </c>
      <c r="D20" t="inlineStr">
        <is>
          <t>PR111 .D43 2002</t>
        </is>
      </c>
      <c r="E20" t="inlineStr">
        <is>
          <t>0                      PR 0111000D  43          2002</t>
        </is>
      </c>
      <c r="F20" t="inlineStr">
        <is>
          <t>The undergraduate's companion to women writers and their web sites / Katharine A. Dean, Miriam Conteh-Morgan, James K. Bracken.</t>
        </is>
      </c>
      <c r="H20" t="inlineStr">
        <is>
          <t>No</t>
        </is>
      </c>
      <c r="I20" t="inlineStr">
        <is>
          <t>1</t>
        </is>
      </c>
      <c r="J20" t="inlineStr">
        <is>
          <t>No</t>
        </is>
      </c>
      <c r="K20" t="inlineStr">
        <is>
          <t>No</t>
        </is>
      </c>
      <c r="L20" t="inlineStr">
        <is>
          <t>0</t>
        </is>
      </c>
      <c r="M20" t="inlineStr">
        <is>
          <t>Dean, Katharine A.</t>
        </is>
      </c>
      <c r="N20" t="inlineStr">
        <is>
          <t>Westport, Conn. : Libraries Unlimited, 2002.</t>
        </is>
      </c>
      <c r="O20" t="inlineStr">
        <is>
          <t>2002</t>
        </is>
      </c>
      <c r="Q20" t="inlineStr">
        <is>
          <t>eng</t>
        </is>
      </c>
      <c r="R20" t="inlineStr">
        <is>
          <t>ctu</t>
        </is>
      </c>
      <c r="S20" t="inlineStr">
        <is>
          <t>Undergraduate companion series</t>
        </is>
      </c>
      <c r="T20" t="inlineStr">
        <is>
          <t xml:space="preserve">PR </t>
        </is>
      </c>
      <c r="U20" t="n">
        <v>2</v>
      </c>
      <c r="V20" t="n">
        <v>2</v>
      </c>
      <c r="W20" t="inlineStr">
        <is>
          <t>2003-11-19</t>
        </is>
      </c>
      <c r="X20" t="inlineStr">
        <is>
          <t>2003-11-19</t>
        </is>
      </c>
      <c r="Y20" t="inlineStr">
        <is>
          <t>2003-04-01</t>
        </is>
      </c>
      <c r="Z20" t="inlineStr">
        <is>
          <t>2003-04-01</t>
        </is>
      </c>
      <c r="AA20" t="n">
        <v>249</v>
      </c>
      <c r="AB20" t="n">
        <v>229</v>
      </c>
      <c r="AC20" t="n">
        <v>235</v>
      </c>
      <c r="AD20" t="n">
        <v>4</v>
      </c>
      <c r="AE20" t="n">
        <v>4</v>
      </c>
      <c r="AF20" t="n">
        <v>10</v>
      </c>
      <c r="AG20" t="n">
        <v>10</v>
      </c>
      <c r="AH20" t="n">
        <v>3</v>
      </c>
      <c r="AI20" t="n">
        <v>3</v>
      </c>
      <c r="AJ20" t="n">
        <v>2</v>
      </c>
      <c r="AK20" t="n">
        <v>2</v>
      </c>
      <c r="AL20" t="n">
        <v>5</v>
      </c>
      <c r="AM20" t="n">
        <v>5</v>
      </c>
      <c r="AN20" t="n">
        <v>3</v>
      </c>
      <c r="AO20" t="n">
        <v>3</v>
      </c>
      <c r="AP20" t="n">
        <v>0</v>
      </c>
      <c r="AQ20" t="n">
        <v>0</v>
      </c>
      <c r="AR20" t="inlineStr">
        <is>
          <t>No</t>
        </is>
      </c>
      <c r="AS20" t="inlineStr">
        <is>
          <t>Yes</t>
        </is>
      </c>
      <c r="AT20">
        <f>HYPERLINK("http://catalog.hathitrust.org/Record/004343066","HathiTrust Record")</f>
        <v/>
      </c>
      <c r="AU20">
        <f>HYPERLINK("https://creighton-primo.hosted.exlibrisgroup.com/primo-explore/search?tab=default_tab&amp;search_scope=EVERYTHING&amp;vid=01CRU&amp;lang=en_US&amp;offset=0&amp;query=any,contains,991004004599702656","Catalog Record")</f>
        <v/>
      </c>
      <c r="AV20">
        <f>HYPERLINK("http://www.worldcat.org/oclc/50292649","WorldCat Record")</f>
        <v/>
      </c>
      <c r="AW20" t="inlineStr">
        <is>
          <t>3857969172:eng</t>
        </is>
      </c>
      <c r="AX20" t="inlineStr">
        <is>
          <t>50292649</t>
        </is>
      </c>
      <c r="AY20" t="inlineStr">
        <is>
          <t>991004004599702656</t>
        </is>
      </c>
      <c r="AZ20" t="inlineStr">
        <is>
          <t>991004004599702656</t>
        </is>
      </c>
      <c r="BA20" t="inlineStr">
        <is>
          <t>2267306980002656</t>
        </is>
      </c>
      <c r="BB20" t="inlineStr">
        <is>
          <t>BOOK</t>
        </is>
      </c>
      <c r="BD20" t="inlineStr">
        <is>
          <t>9781563089350</t>
        </is>
      </c>
      <c r="BE20" t="inlineStr">
        <is>
          <t>32285004688338</t>
        </is>
      </c>
      <c r="BF20" t="inlineStr">
        <is>
          <t>893506260</t>
        </is>
      </c>
    </row>
    <row r="21">
      <c r="A21" t="inlineStr">
        <is>
          <t>No</t>
        </is>
      </c>
      <c r="B21" t="inlineStr">
        <is>
          <t>CURAL</t>
        </is>
      </c>
      <c r="C21" t="inlineStr">
        <is>
          <t>SHELVES</t>
        </is>
      </c>
      <c r="D21" t="inlineStr">
        <is>
          <t>PR111 .H45 1990</t>
        </is>
      </c>
      <c r="E21" t="inlineStr">
        <is>
          <t>0                      PR 0111000H  45          1990</t>
        </is>
      </c>
      <c r="F21" t="inlineStr">
        <is>
          <t>Hamlet's mother and other women / Carolyn G. Heilbrun.</t>
        </is>
      </c>
      <c r="H21" t="inlineStr">
        <is>
          <t>No</t>
        </is>
      </c>
      <c r="I21" t="inlineStr">
        <is>
          <t>1</t>
        </is>
      </c>
      <c r="J21" t="inlineStr">
        <is>
          <t>No</t>
        </is>
      </c>
      <c r="K21" t="inlineStr">
        <is>
          <t>No</t>
        </is>
      </c>
      <c r="L21" t="inlineStr">
        <is>
          <t>0</t>
        </is>
      </c>
      <c r="M21" t="inlineStr">
        <is>
          <t>Heilbrun, Carolyn G., 1926-2003.</t>
        </is>
      </c>
      <c r="N21" t="inlineStr">
        <is>
          <t>New York : Columbia University Press, c1990.</t>
        </is>
      </c>
      <c r="O21" t="inlineStr">
        <is>
          <t>1990</t>
        </is>
      </c>
      <c r="Q21" t="inlineStr">
        <is>
          <t>eng</t>
        </is>
      </c>
      <c r="R21" t="inlineStr">
        <is>
          <t>nyu</t>
        </is>
      </c>
      <c r="S21" t="inlineStr">
        <is>
          <t>Gender and culture</t>
        </is>
      </c>
      <c r="T21" t="inlineStr">
        <is>
          <t xml:space="preserve">PR </t>
        </is>
      </c>
      <c r="U21" t="n">
        <v>6</v>
      </c>
      <c r="V21" t="n">
        <v>6</v>
      </c>
      <c r="W21" t="inlineStr">
        <is>
          <t>1996-03-03</t>
        </is>
      </c>
      <c r="X21" t="inlineStr">
        <is>
          <t>1996-03-03</t>
        </is>
      </c>
      <c r="Y21" t="inlineStr">
        <is>
          <t>1990-06-13</t>
        </is>
      </c>
      <c r="Z21" t="inlineStr">
        <is>
          <t>1990-06-13</t>
        </is>
      </c>
      <c r="AA21" t="n">
        <v>1243</v>
      </c>
      <c r="AB21" t="n">
        <v>1117</v>
      </c>
      <c r="AC21" t="n">
        <v>1232</v>
      </c>
      <c r="AD21" t="n">
        <v>6</v>
      </c>
      <c r="AE21" t="n">
        <v>6</v>
      </c>
      <c r="AF21" t="n">
        <v>42</v>
      </c>
      <c r="AG21" t="n">
        <v>45</v>
      </c>
      <c r="AH21" t="n">
        <v>16</v>
      </c>
      <c r="AI21" t="n">
        <v>19</v>
      </c>
      <c r="AJ21" t="n">
        <v>10</v>
      </c>
      <c r="AK21" t="n">
        <v>11</v>
      </c>
      <c r="AL21" t="n">
        <v>22</v>
      </c>
      <c r="AM21" t="n">
        <v>23</v>
      </c>
      <c r="AN21" t="n">
        <v>5</v>
      </c>
      <c r="AO21" t="n">
        <v>5</v>
      </c>
      <c r="AP21" t="n">
        <v>0</v>
      </c>
      <c r="AQ21" t="n">
        <v>0</v>
      </c>
      <c r="AR21" t="inlineStr">
        <is>
          <t>No</t>
        </is>
      </c>
      <c r="AS21" t="inlineStr">
        <is>
          <t>No</t>
        </is>
      </c>
      <c r="AU21">
        <f>HYPERLINK("https://creighton-primo.hosted.exlibrisgroup.com/primo-explore/search?tab=default_tab&amp;search_scope=EVERYTHING&amp;vid=01CRU&amp;lang=en_US&amp;offset=0&amp;query=any,contains,991001613799702656","Catalog Record")</f>
        <v/>
      </c>
      <c r="AV21">
        <f>HYPERLINK("http://www.worldcat.org/oclc/20756426","WorldCat Record")</f>
        <v/>
      </c>
      <c r="AW21" t="inlineStr">
        <is>
          <t>836730886:eng</t>
        </is>
      </c>
      <c r="AX21" t="inlineStr">
        <is>
          <t>20756426</t>
        </is>
      </c>
      <c r="AY21" t="inlineStr">
        <is>
          <t>991001613799702656</t>
        </is>
      </c>
      <c r="AZ21" t="inlineStr">
        <is>
          <t>991001613799702656</t>
        </is>
      </c>
      <c r="BA21" t="inlineStr">
        <is>
          <t>2265011580002656</t>
        </is>
      </c>
      <c r="BB21" t="inlineStr">
        <is>
          <t>BOOK</t>
        </is>
      </c>
      <c r="BD21" t="inlineStr">
        <is>
          <t>9780231071765</t>
        </is>
      </c>
      <c r="BE21" t="inlineStr">
        <is>
          <t>32285000177435</t>
        </is>
      </c>
      <c r="BF21" t="inlineStr">
        <is>
          <t>893626751</t>
        </is>
      </c>
    </row>
    <row r="22">
      <c r="A22" t="inlineStr">
        <is>
          <t>No</t>
        </is>
      </c>
      <c r="B22" t="inlineStr">
        <is>
          <t>CURAL</t>
        </is>
      </c>
      <c r="C22" t="inlineStr">
        <is>
          <t>SHELVES</t>
        </is>
      </c>
      <c r="D22" t="inlineStr">
        <is>
          <t>PR111 .L27 1988</t>
        </is>
      </c>
      <c r="E22" t="inlineStr">
        <is>
          <t>0                      PR 0111000L  27          1988</t>
        </is>
      </c>
      <c r="F22" t="inlineStr">
        <is>
          <t>Last laughs : perspectives on women and comedy / edited by Regina Barreca.</t>
        </is>
      </c>
      <c r="H22" t="inlineStr">
        <is>
          <t>No</t>
        </is>
      </c>
      <c r="I22" t="inlineStr">
        <is>
          <t>1</t>
        </is>
      </c>
      <c r="J22" t="inlineStr">
        <is>
          <t>No</t>
        </is>
      </c>
      <c r="K22" t="inlineStr">
        <is>
          <t>No</t>
        </is>
      </c>
      <c r="L22" t="inlineStr">
        <is>
          <t>0</t>
        </is>
      </c>
      <c r="N22" t="inlineStr">
        <is>
          <t>New York : Gordon and Breach, c1988.</t>
        </is>
      </c>
      <c r="O22" t="inlineStr">
        <is>
          <t>1988</t>
        </is>
      </c>
      <c r="Q22" t="inlineStr">
        <is>
          <t>eng</t>
        </is>
      </c>
      <c r="R22" t="inlineStr">
        <is>
          <t>nyu</t>
        </is>
      </c>
      <c r="S22" t="inlineStr">
        <is>
          <t>Studies in gender and culture ; v. 2</t>
        </is>
      </c>
      <c r="T22" t="inlineStr">
        <is>
          <t xml:space="preserve">PR </t>
        </is>
      </c>
      <c r="U22" t="n">
        <v>3</v>
      </c>
      <c r="V22" t="n">
        <v>3</v>
      </c>
      <c r="W22" t="inlineStr">
        <is>
          <t>2005-04-08</t>
        </is>
      </c>
      <c r="X22" t="inlineStr">
        <is>
          <t>2005-04-08</t>
        </is>
      </c>
      <c r="Y22" t="inlineStr">
        <is>
          <t>1991-08-27</t>
        </is>
      </c>
      <c r="Z22" t="inlineStr">
        <is>
          <t>1991-08-27</t>
        </is>
      </c>
      <c r="AA22" t="n">
        <v>335</v>
      </c>
      <c r="AB22" t="n">
        <v>249</v>
      </c>
      <c r="AC22" t="n">
        <v>256</v>
      </c>
      <c r="AD22" t="n">
        <v>3</v>
      </c>
      <c r="AE22" t="n">
        <v>3</v>
      </c>
      <c r="AF22" t="n">
        <v>18</v>
      </c>
      <c r="AG22" t="n">
        <v>18</v>
      </c>
      <c r="AH22" t="n">
        <v>5</v>
      </c>
      <c r="AI22" t="n">
        <v>5</v>
      </c>
      <c r="AJ22" t="n">
        <v>6</v>
      </c>
      <c r="AK22" t="n">
        <v>6</v>
      </c>
      <c r="AL22" t="n">
        <v>8</v>
      </c>
      <c r="AM22" t="n">
        <v>8</v>
      </c>
      <c r="AN22" t="n">
        <v>2</v>
      </c>
      <c r="AO22" t="n">
        <v>2</v>
      </c>
      <c r="AP22" t="n">
        <v>0</v>
      </c>
      <c r="AQ22" t="n">
        <v>0</v>
      </c>
      <c r="AR22" t="inlineStr">
        <is>
          <t>No</t>
        </is>
      </c>
      <c r="AS22" t="inlineStr">
        <is>
          <t>Yes</t>
        </is>
      </c>
      <c r="AT22">
        <f>HYPERLINK("http://catalog.hathitrust.org/Record/002568095","HathiTrust Record")</f>
        <v/>
      </c>
      <c r="AU22">
        <f>HYPERLINK("https://creighton-primo.hosted.exlibrisgroup.com/primo-explore/search?tab=default_tab&amp;search_scope=EVERYTHING&amp;vid=01CRU&amp;lang=en_US&amp;offset=0&amp;query=any,contains,991001317499702656","Catalog Record")</f>
        <v/>
      </c>
      <c r="AV22">
        <f>HYPERLINK("http://www.worldcat.org/oclc/18191513","WorldCat Record")</f>
        <v/>
      </c>
      <c r="AW22" t="inlineStr">
        <is>
          <t>903471348:eng</t>
        </is>
      </c>
      <c r="AX22" t="inlineStr">
        <is>
          <t>18191513</t>
        </is>
      </c>
      <c r="AY22" t="inlineStr">
        <is>
          <t>991001317499702656</t>
        </is>
      </c>
      <c r="AZ22" t="inlineStr">
        <is>
          <t>991001317499702656</t>
        </is>
      </c>
      <c r="BA22" t="inlineStr">
        <is>
          <t>2269036120002656</t>
        </is>
      </c>
      <c r="BB22" t="inlineStr">
        <is>
          <t>BOOK</t>
        </is>
      </c>
      <c r="BD22" t="inlineStr">
        <is>
          <t>9780677220307</t>
        </is>
      </c>
      <c r="BE22" t="inlineStr">
        <is>
          <t>32285000699644</t>
        </is>
      </c>
      <c r="BF22" t="inlineStr">
        <is>
          <t>893772509</t>
        </is>
      </c>
    </row>
    <row r="23">
      <c r="A23" t="inlineStr">
        <is>
          <t>No</t>
        </is>
      </c>
      <c r="B23" t="inlineStr">
        <is>
          <t>CURAL</t>
        </is>
      </c>
      <c r="C23" t="inlineStr">
        <is>
          <t>SHELVES</t>
        </is>
      </c>
      <c r="D23" t="inlineStr">
        <is>
          <t>PR111 .M31973</t>
        </is>
      </c>
      <c r="E23" t="inlineStr">
        <is>
          <t>0                      PR 0111000M  31973</t>
        </is>
      </c>
      <c r="F23" t="inlineStr">
        <is>
          <t>Women of letters.</t>
        </is>
      </c>
      <c r="G23" t="inlineStr">
        <is>
          <t>V. 2</t>
        </is>
      </c>
      <c r="H23" t="inlineStr">
        <is>
          <t>Yes</t>
        </is>
      </c>
      <c r="I23" t="inlineStr">
        <is>
          <t>1</t>
        </is>
      </c>
      <c r="J23" t="inlineStr">
        <is>
          <t>No</t>
        </is>
      </c>
      <c r="K23" t="inlineStr">
        <is>
          <t>No</t>
        </is>
      </c>
      <c r="L23" t="inlineStr">
        <is>
          <t>0</t>
        </is>
      </c>
      <c r="M23" t="inlineStr">
        <is>
          <t>Mayer, Gertrude Townshend.</t>
        </is>
      </c>
      <c r="N23" t="inlineStr">
        <is>
          <t>Freeport, N.Y., Books for Libraries Press [1973]</t>
        </is>
      </c>
      <c r="O23" t="inlineStr">
        <is>
          <t>1973</t>
        </is>
      </c>
      <c r="Q23" t="inlineStr">
        <is>
          <t>eng</t>
        </is>
      </c>
      <c r="R23" t="inlineStr">
        <is>
          <t>nyu</t>
        </is>
      </c>
      <c r="S23" t="inlineStr">
        <is>
          <t>Essay index reprint series</t>
        </is>
      </c>
      <c r="T23" t="inlineStr">
        <is>
          <t xml:space="preserve">PR </t>
        </is>
      </c>
      <c r="U23" t="n">
        <v>1</v>
      </c>
      <c r="V23" t="n">
        <v>1</v>
      </c>
      <c r="W23" t="inlineStr">
        <is>
          <t>2009-09-18</t>
        </is>
      </c>
      <c r="X23" t="inlineStr">
        <is>
          <t>2009-09-18</t>
        </is>
      </c>
      <c r="Y23" t="inlineStr">
        <is>
          <t>1997-08-15</t>
        </is>
      </c>
      <c r="Z23" t="inlineStr">
        <is>
          <t>1997-08-15</t>
        </is>
      </c>
      <c r="AA23" t="n">
        <v>50</v>
      </c>
      <c r="AB23" t="n">
        <v>45</v>
      </c>
      <c r="AC23" t="n">
        <v>181</v>
      </c>
      <c r="AD23" t="n">
        <v>1</v>
      </c>
      <c r="AE23" t="n">
        <v>3</v>
      </c>
      <c r="AF23" t="n">
        <v>1</v>
      </c>
      <c r="AG23" t="n">
        <v>12</v>
      </c>
      <c r="AH23" t="n">
        <v>1</v>
      </c>
      <c r="AI23" t="n">
        <v>4</v>
      </c>
      <c r="AJ23" t="n">
        <v>0</v>
      </c>
      <c r="AK23" t="n">
        <v>3</v>
      </c>
      <c r="AL23" t="n">
        <v>0</v>
      </c>
      <c r="AM23" t="n">
        <v>5</v>
      </c>
      <c r="AN23" t="n">
        <v>0</v>
      </c>
      <c r="AO23" t="n">
        <v>2</v>
      </c>
      <c r="AP23" t="n">
        <v>0</v>
      </c>
      <c r="AQ23" t="n">
        <v>1</v>
      </c>
      <c r="AR23" t="inlineStr">
        <is>
          <t>No</t>
        </is>
      </c>
      <c r="AS23" t="inlineStr">
        <is>
          <t>No</t>
        </is>
      </c>
      <c r="AU23">
        <f>HYPERLINK("https://creighton-primo.hosted.exlibrisgroup.com/primo-explore/search?tab=default_tab&amp;search_scope=EVERYTHING&amp;vid=01CRU&amp;lang=en_US&amp;offset=0&amp;query=any,contains,991003012039702656","Catalog Record")</f>
        <v/>
      </c>
      <c r="AV23">
        <f>HYPERLINK("http://www.worldcat.org/oclc/578772","WorldCat Record")</f>
        <v/>
      </c>
      <c r="AW23" t="inlineStr">
        <is>
          <t>1717738:eng</t>
        </is>
      </c>
      <c r="AX23" t="inlineStr">
        <is>
          <t>578772</t>
        </is>
      </c>
      <c r="AY23" t="inlineStr">
        <is>
          <t>991003012039702656</t>
        </is>
      </c>
      <c r="AZ23" t="inlineStr">
        <is>
          <t>991003012039702656</t>
        </is>
      </c>
      <c r="BA23" t="inlineStr">
        <is>
          <t>2258712350002656</t>
        </is>
      </c>
      <c r="BB23" t="inlineStr">
        <is>
          <t>BOOK</t>
        </is>
      </c>
      <c r="BD23" t="inlineStr">
        <is>
          <t>9780518100591</t>
        </is>
      </c>
      <c r="BE23" t="inlineStr">
        <is>
          <t>32285003150017</t>
        </is>
      </c>
      <c r="BF23" t="inlineStr">
        <is>
          <t>893809781</t>
        </is>
      </c>
    </row>
    <row r="24">
      <c r="A24" t="inlineStr">
        <is>
          <t>No</t>
        </is>
      </c>
      <c r="B24" t="inlineStr">
        <is>
          <t>CURAL</t>
        </is>
      </c>
      <c r="C24" t="inlineStr">
        <is>
          <t>SHELVES</t>
        </is>
      </c>
      <c r="D24" t="inlineStr">
        <is>
          <t>PR111 .M31973</t>
        </is>
      </c>
      <c r="E24" t="inlineStr">
        <is>
          <t>0                      PR 0111000M  31973</t>
        </is>
      </c>
      <c r="F24" t="inlineStr">
        <is>
          <t>Women of letters.</t>
        </is>
      </c>
      <c r="G24" t="inlineStr">
        <is>
          <t>V. 1</t>
        </is>
      </c>
      <c r="H24" t="inlineStr">
        <is>
          <t>Yes</t>
        </is>
      </c>
      <c r="I24" t="inlineStr">
        <is>
          <t>1</t>
        </is>
      </c>
      <c r="J24" t="inlineStr">
        <is>
          <t>No</t>
        </is>
      </c>
      <c r="K24" t="inlineStr">
        <is>
          <t>No</t>
        </is>
      </c>
      <c r="L24" t="inlineStr">
        <is>
          <t>0</t>
        </is>
      </c>
      <c r="M24" t="inlineStr">
        <is>
          <t>Mayer, Gertrude Townshend.</t>
        </is>
      </c>
      <c r="N24" t="inlineStr">
        <is>
          <t>Freeport, N.Y., Books for Libraries Press [1973]</t>
        </is>
      </c>
      <c r="O24" t="inlineStr">
        <is>
          <t>1973</t>
        </is>
      </c>
      <c r="Q24" t="inlineStr">
        <is>
          <t>eng</t>
        </is>
      </c>
      <c r="R24" t="inlineStr">
        <is>
          <t>nyu</t>
        </is>
      </c>
      <c r="S24" t="inlineStr">
        <is>
          <t>Essay index reprint series</t>
        </is>
      </c>
      <c r="T24" t="inlineStr">
        <is>
          <t xml:space="preserve">PR </t>
        </is>
      </c>
      <c r="U24" t="n">
        <v>0</v>
      </c>
      <c r="V24" t="n">
        <v>1</v>
      </c>
      <c r="X24" t="inlineStr">
        <is>
          <t>2009-09-18</t>
        </is>
      </c>
      <c r="Y24" t="inlineStr">
        <is>
          <t>1997-08-15</t>
        </is>
      </c>
      <c r="Z24" t="inlineStr">
        <is>
          <t>1997-08-15</t>
        </is>
      </c>
      <c r="AA24" t="n">
        <v>50</v>
      </c>
      <c r="AB24" t="n">
        <v>45</v>
      </c>
      <c r="AC24" t="n">
        <v>181</v>
      </c>
      <c r="AD24" t="n">
        <v>1</v>
      </c>
      <c r="AE24" t="n">
        <v>3</v>
      </c>
      <c r="AF24" t="n">
        <v>1</v>
      </c>
      <c r="AG24" t="n">
        <v>12</v>
      </c>
      <c r="AH24" t="n">
        <v>1</v>
      </c>
      <c r="AI24" t="n">
        <v>4</v>
      </c>
      <c r="AJ24" t="n">
        <v>0</v>
      </c>
      <c r="AK24" t="n">
        <v>3</v>
      </c>
      <c r="AL24" t="n">
        <v>0</v>
      </c>
      <c r="AM24" t="n">
        <v>5</v>
      </c>
      <c r="AN24" t="n">
        <v>0</v>
      </c>
      <c r="AO24" t="n">
        <v>2</v>
      </c>
      <c r="AP24" t="n">
        <v>0</v>
      </c>
      <c r="AQ24" t="n">
        <v>1</v>
      </c>
      <c r="AR24" t="inlineStr">
        <is>
          <t>No</t>
        </is>
      </c>
      <c r="AS24" t="inlineStr">
        <is>
          <t>No</t>
        </is>
      </c>
      <c r="AU24">
        <f>HYPERLINK("https://creighton-primo.hosted.exlibrisgroup.com/primo-explore/search?tab=default_tab&amp;search_scope=EVERYTHING&amp;vid=01CRU&amp;lang=en_US&amp;offset=0&amp;query=any,contains,991003012039702656","Catalog Record")</f>
        <v/>
      </c>
      <c r="AV24">
        <f>HYPERLINK("http://www.worldcat.org/oclc/578772","WorldCat Record")</f>
        <v/>
      </c>
      <c r="AW24" t="inlineStr">
        <is>
          <t>1717738:eng</t>
        </is>
      </c>
      <c r="AX24" t="inlineStr">
        <is>
          <t>578772</t>
        </is>
      </c>
      <c r="AY24" t="inlineStr">
        <is>
          <t>991003012039702656</t>
        </is>
      </c>
      <c r="AZ24" t="inlineStr">
        <is>
          <t>991003012039702656</t>
        </is>
      </c>
      <c r="BA24" t="inlineStr">
        <is>
          <t>2258712350002656</t>
        </is>
      </c>
      <c r="BB24" t="inlineStr">
        <is>
          <t>BOOK</t>
        </is>
      </c>
      <c r="BD24" t="inlineStr">
        <is>
          <t>9780518100591</t>
        </is>
      </c>
      <c r="BE24" t="inlineStr">
        <is>
          <t>32285003065009</t>
        </is>
      </c>
      <c r="BF24" t="inlineStr">
        <is>
          <t>893805333</t>
        </is>
      </c>
    </row>
    <row r="25">
      <c r="A25" t="inlineStr">
        <is>
          <t>No</t>
        </is>
      </c>
      <c r="B25" t="inlineStr">
        <is>
          <t>CURAL</t>
        </is>
      </c>
      <c r="C25" t="inlineStr">
        <is>
          <t>SHELVES</t>
        </is>
      </c>
      <c r="D25" t="inlineStr">
        <is>
          <t>PR111 .M55 1986</t>
        </is>
      </c>
      <c r="E25" t="inlineStr">
        <is>
          <t>0                      PR 0111000M  55          1986</t>
        </is>
      </c>
      <c r="F25" t="inlineStr">
        <is>
          <t>Women writing about men / Jane Miller.</t>
        </is>
      </c>
      <c r="H25" t="inlineStr">
        <is>
          <t>No</t>
        </is>
      </c>
      <c r="I25" t="inlineStr">
        <is>
          <t>1</t>
        </is>
      </c>
      <c r="J25" t="inlineStr">
        <is>
          <t>No</t>
        </is>
      </c>
      <c r="K25" t="inlineStr">
        <is>
          <t>No</t>
        </is>
      </c>
      <c r="L25" t="inlineStr">
        <is>
          <t>0</t>
        </is>
      </c>
      <c r="M25" t="inlineStr">
        <is>
          <t>Miller, Jane, 1932-</t>
        </is>
      </c>
      <c r="N25" t="inlineStr">
        <is>
          <t>London : Virago, c1986.</t>
        </is>
      </c>
      <c r="O25" t="inlineStr">
        <is>
          <t>1986</t>
        </is>
      </c>
      <c r="Q25" t="inlineStr">
        <is>
          <t>eng</t>
        </is>
      </c>
      <c r="R25" t="inlineStr">
        <is>
          <t>enk</t>
        </is>
      </c>
      <c r="T25" t="inlineStr">
        <is>
          <t xml:space="preserve">PR </t>
        </is>
      </c>
      <c r="U25" t="n">
        <v>8</v>
      </c>
      <c r="V25" t="n">
        <v>8</v>
      </c>
      <c r="W25" t="inlineStr">
        <is>
          <t>2000-03-15</t>
        </is>
      </c>
      <c r="X25" t="inlineStr">
        <is>
          <t>2000-03-15</t>
        </is>
      </c>
      <c r="Y25" t="inlineStr">
        <is>
          <t>1991-08-27</t>
        </is>
      </c>
      <c r="Z25" t="inlineStr">
        <is>
          <t>1991-08-27</t>
        </is>
      </c>
      <c r="AA25" t="n">
        <v>259</v>
      </c>
      <c r="AB25" t="n">
        <v>94</v>
      </c>
      <c r="AC25" t="n">
        <v>596</v>
      </c>
      <c r="AD25" t="n">
        <v>3</v>
      </c>
      <c r="AE25" t="n">
        <v>6</v>
      </c>
      <c r="AF25" t="n">
        <v>4</v>
      </c>
      <c r="AG25" t="n">
        <v>29</v>
      </c>
      <c r="AH25" t="n">
        <v>0</v>
      </c>
      <c r="AI25" t="n">
        <v>13</v>
      </c>
      <c r="AJ25" t="n">
        <v>1</v>
      </c>
      <c r="AK25" t="n">
        <v>6</v>
      </c>
      <c r="AL25" t="n">
        <v>2</v>
      </c>
      <c r="AM25" t="n">
        <v>15</v>
      </c>
      <c r="AN25" t="n">
        <v>2</v>
      </c>
      <c r="AO25" t="n">
        <v>5</v>
      </c>
      <c r="AP25" t="n">
        <v>0</v>
      </c>
      <c r="AQ25" t="n">
        <v>0</v>
      </c>
      <c r="AR25" t="inlineStr">
        <is>
          <t>No</t>
        </is>
      </c>
      <c r="AS25" t="inlineStr">
        <is>
          <t>No</t>
        </is>
      </c>
      <c r="AU25">
        <f>HYPERLINK("https://creighton-primo.hosted.exlibrisgroup.com/primo-explore/search?tab=default_tab&amp;search_scope=EVERYTHING&amp;vid=01CRU&amp;lang=en_US&amp;offset=0&amp;query=any,contains,991000648019702656","Catalog Record")</f>
        <v/>
      </c>
      <c r="AV25">
        <f>HYPERLINK("http://www.worldcat.org/oclc/12142069","WorldCat Record")</f>
        <v/>
      </c>
      <c r="AW25" t="inlineStr">
        <is>
          <t>5252975:eng</t>
        </is>
      </c>
      <c r="AX25" t="inlineStr">
        <is>
          <t>12142069</t>
        </is>
      </c>
      <c r="AY25" t="inlineStr">
        <is>
          <t>991000648019702656</t>
        </is>
      </c>
      <c r="AZ25" t="inlineStr">
        <is>
          <t>991000648019702656</t>
        </is>
      </c>
      <c r="BA25" t="inlineStr">
        <is>
          <t>2266417590002656</t>
        </is>
      </c>
      <c r="BB25" t="inlineStr">
        <is>
          <t>BOOK</t>
        </is>
      </c>
      <c r="BD25" t="inlineStr">
        <is>
          <t>9780860684787</t>
        </is>
      </c>
      <c r="BE25" t="inlineStr">
        <is>
          <t>32285000699651</t>
        </is>
      </c>
      <c r="BF25" t="inlineStr">
        <is>
          <t>893249541</t>
        </is>
      </c>
    </row>
    <row r="26">
      <c r="A26" t="inlineStr">
        <is>
          <t>No</t>
        </is>
      </c>
      <c r="B26" t="inlineStr">
        <is>
          <t>CURAL</t>
        </is>
      </c>
      <c r="C26" t="inlineStr">
        <is>
          <t>SHELVES</t>
        </is>
      </c>
      <c r="D26" t="inlineStr">
        <is>
          <t>PR111 .R34 1997</t>
        </is>
      </c>
      <c r="E26" t="inlineStr">
        <is>
          <t>0                      PR 0111000R  34          1997</t>
        </is>
      </c>
      <c r="F26" t="inlineStr">
        <is>
          <t>Women and learning in English writing, 1600-1900 / Deirdre Raftery.</t>
        </is>
      </c>
      <c r="H26" t="inlineStr">
        <is>
          <t>No</t>
        </is>
      </c>
      <c r="I26" t="inlineStr">
        <is>
          <t>1</t>
        </is>
      </c>
      <c r="J26" t="inlineStr">
        <is>
          <t>No</t>
        </is>
      </c>
      <c r="K26" t="inlineStr">
        <is>
          <t>No</t>
        </is>
      </c>
      <c r="L26" t="inlineStr">
        <is>
          <t>0</t>
        </is>
      </c>
      <c r="M26" t="inlineStr">
        <is>
          <t>Raftery, Deirdre.</t>
        </is>
      </c>
      <c r="N26" t="inlineStr">
        <is>
          <t>Dublin ; Portland, OR : Four Courts Press, c1997.</t>
        </is>
      </c>
      <c r="O26" t="inlineStr">
        <is>
          <t>1997</t>
        </is>
      </c>
      <c r="Q26" t="inlineStr">
        <is>
          <t>eng</t>
        </is>
      </c>
      <c r="R26" t="inlineStr">
        <is>
          <t xml:space="preserve">ie </t>
        </is>
      </c>
      <c r="T26" t="inlineStr">
        <is>
          <t xml:space="preserve">PR </t>
        </is>
      </c>
      <c r="U26" t="n">
        <v>4</v>
      </c>
      <c r="V26" t="n">
        <v>4</v>
      </c>
      <c r="W26" t="inlineStr">
        <is>
          <t>2003-04-04</t>
        </is>
      </c>
      <c r="X26" t="inlineStr">
        <is>
          <t>2003-04-04</t>
        </is>
      </c>
      <c r="Y26" t="inlineStr">
        <is>
          <t>2001-03-28</t>
        </is>
      </c>
      <c r="Z26" t="inlineStr">
        <is>
          <t>2001-03-28</t>
        </is>
      </c>
      <c r="AA26" t="n">
        <v>173</v>
      </c>
      <c r="AB26" t="n">
        <v>119</v>
      </c>
      <c r="AC26" t="n">
        <v>126</v>
      </c>
      <c r="AD26" t="n">
        <v>1</v>
      </c>
      <c r="AE26" t="n">
        <v>1</v>
      </c>
      <c r="AF26" t="n">
        <v>10</v>
      </c>
      <c r="AG26" t="n">
        <v>10</v>
      </c>
      <c r="AH26" t="n">
        <v>1</v>
      </c>
      <c r="AI26" t="n">
        <v>1</v>
      </c>
      <c r="AJ26" t="n">
        <v>5</v>
      </c>
      <c r="AK26" t="n">
        <v>5</v>
      </c>
      <c r="AL26" t="n">
        <v>7</v>
      </c>
      <c r="AM26" t="n">
        <v>7</v>
      </c>
      <c r="AN26" t="n">
        <v>0</v>
      </c>
      <c r="AO26" t="n">
        <v>0</v>
      </c>
      <c r="AP26" t="n">
        <v>0</v>
      </c>
      <c r="AQ26" t="n">
        <v>0</v>
      </c>
      <c r="AR26" t="inlineStr">
        <is>
          <t>No</t>
        </is>
      </c>
      <c r="AS26" t="inlineStr">
        <is>
          <t>Yes</t>
        </is>
      </c>
      <c r="AT26">
        <f>HYPERLINK("http://catalog.hathitrust.org/Record/003958975","HathiTrust Record")</f>
        <v/>
      </c>
      <c r="AU26">
        <f>HYPERLINK("https://creighton-primo.hosted.exlibrisgroup.com/primo-explore/search?tab=default_tab&amp;search_scope=EVERYTHING&amp;vid=01CRU&amp;lang=en_US&amp;offset=0&amp;query=any,contains,991003506039702656","Catalog Record")</f>
        <v/>
      </c>
      <c r="AV26">
        <f>HYPERLINK("http://www.worldcat.org/oclc/38485990","WorldCat Record")</f>
        <v/>
      </c>
      <c r="AW26" t="inlineStr">
        <is>
          <t>42331187:eng</t>
        </is>
      </c>
      <c r="AX26" t="inlineStr">
        <is>
          <t>38485990</t>
        </is>
      </c>
      <c r="AY26" t="inlineStr">
        <is>
          <t>991003506039702656</t>
        </is>
      </c>
      <c r="AZ26" t="inlineStr">
        <is>
          <t>991003506039702656</t>
        </is>
      </c>
      <c r="BA26" t="inlineStr">
        <is>
          <t>2269747700002656</t>
        </is>
      </c>
      <c r="BB26" t="inlineStr">
        <is>
          <t>BOOK</t>
        </is>
      </c>
      <c r="BD26" t="inlineStr">
        <is>
          <t>9781851823482</t>
        </is>
      </c>
      <c r="BE26" t="inlineStr">
        <is>
          <t>32285004308069</t>
        </is>
      </c>
      <c r="BF26" t="inlineStr">
        <is>
          <t>893535488</t>
        </is>
      </c>
    </row>
    <row r="27">
      <c r="A27" t="inlineStr">
        <is>
          <t>No</t>
        </is>
      </c>
      <c r="B27" t="inlineStr">
        <is>
          <t>CURAL</t>
        </is>
      </c>
      <c r="C27" t="inlineStr">
        <is>
          <t>SHELVES</t>
        </is>
      </c>
      <c r="D27" t="inlineStr">
        <is>
          <t>PR111 .S48 1994</t>
        </is>
      </c>
      <c r="E27" t="inlineStr">
        <is>
          <t>0                      PR 0111000S  48          1994</t>
        </is>
      </c>
      <c r="F27" t="inlineStr">
        <is>
          <t>The Oxford guide to British women writers / Joanne Shattock.</t>
        </is>
      </c>
      <c r="H27" t="inlineStr">
        <is>
          <t>No</t>
        </is>
      </c>
      <c r="I27" t="inlineStr">
        <is>
          <t>1</t>
        </is>
      </c>
      <c r="J27" t="inlineStr">
        <is>
          <t>No</t>
        </is>
      </c>
      <c r="K27" t="inlineStr">
        <is>
          <t>No</t>
        </is>
      </c>
      <c r="L27" t="inlineStr">
        <is>
          <t>0</t>
        </is>
      </c>
      <c r="M27" t="inlineStr">
        <is>
          <t>Shattock, Joanne.</t>
        </is>
      </c>
      <c r="N27" t="inlineStr">
        <is>
          <t>Oxford [England] ; New York : Oxford University Press, 1994.</t>
        </is>
      </c>
      <c r="O27" t="inlineStr">
        <is>
          <t>1994</t>
        </is>
      </c>
      <c r="Q27" t="inlineStr">
        <is>
          <t>eng</t>
        </is>
      </c>
      <c r="R27" t="inlineStr">
        <is>
          <t>enk</t>
        </is>
      </c>
      <c r="S27" t="inlineStr">
        <is>
          <t>Oxford reference</t>
        </is>
      </c>
      <c r="T27" t="inlineStr">
        <is>
          <t xml:space="preserve">PR </t>
        </is>
      </c>
      <c r="U27" t="n">
        <v>6</v>
      </c>
      <c r="V27" t="n">
        <v>6</v>
      </c>
      <c r="W27" t="inlineStr">
        <is>
          <t>2004-11-13</t>
        </is>
      </c>
      <c r="X27" t="inlineStr">
        <is>
          <t>2004-11-13</t>
        </is>
      </c>
      <c r="Y27" t="inlineStr">
        <is>
          <t>1995-04-03</t>
        </is>
      </c>
      <c r="Z27" t="inlineStr">
        <is>
          <t>1995-04-03</t>
        </is>
      </c>
      <c r="AA27" t="n">
        <v>83</v>
      </c>
      <c r="AB27" t="n">
        <v>55</v>
      </c>
      <c r="AC27" t="n">
        <v>563</v>
      </c>
      <c r="AD27" t="n">
        <v>1</v>
      </c>
      <c r="AE27" t="n">
        <v>5</v>
      </c>
      <c r="AF27" t="n">
        <v>1</v>
      </c>
      <c r="AG27" t="n">
        <v>30</v>
      </c>
      <c r="AH27" t="n">
        <v>0</v>
      </c>
      <c r="AI27" t="n">
        <v>10</v>
      </c>
      <c r="AJ27" t="n">
        <v>1</v>
      </c>
      <c r="AK27" t="n">
        <v>6</v>
      </c>
      <c r="AL27" t="n">
        <v>1</v>
      </c>
      <c r="AM27" t="n">
        <v>18</v>
      </c>
      <c r="AN27" t="n">
        <v>0</v>
      </c>
      <c r="AO27" t="n">
        <v>4</v>
      </c>
      <c r="AP27" t="n">
        <v>0</v>
      </c>
      <c r="AQ27" t="n">
        <v>0</v>
      </c>
      <c r="AR27" t="inlineStr">
        <is>
          <t>No</t>
        </is>
      </c>
      <c r="AS27" t="inlineStr">
        <is>
          <t>No</t>
        </is>
      </c>
      <c r="AU27">
        <f>HYPERLINK("https://creighton-primo.hosted.exlibrisgroup.com/primo-explore/search?tab=default_tab&amp;search_scope=EVERYTHING&amp;vid=01CRU&amp;lang=en_US&amp;offset=0&amp;query=any,contains,991002312889702656","Catalog Record")</f>
        <v/>
      </c>
      <c r="AV27">
        <f>HYPERLINK("http://www.worldcat.org/oclc/30029160","WorldCat Record")</f>
        <v/>
      </c>
      <c r="AW27" t="inlineStr">
        <is>
          <t>327760:eng</t>
        </is>
      </c>
      <c r="AX27" t="inlineStr">
        <is>
          <t>30029160</t>
        </is>
      </c>
      <c r="AY27" t="inlineStr">
        <is>
          <t>991002312889702656</t>
        </is>
      </c>
      <c r="AZ27" t="inlineStr">
        <is>
          <t>991002312889702656</t>
        </is>
      </c>
      <c r="BA27" t="inlineStr">
        <is>
          <t>2259681790002656</t>
        </is>
      </c>
      <c r="BB27" t="inlineStr">
        <is>
          <t>BOOK</t>
        </is>
      </c>
      <c r="BD27" t="inlineStr">
        <is>
          <t>9780192800213</t>
        </is>
      </c>
      <c r="BE27" t="inlineStr">
        <is>
          <t>32285002016300</t>
        </is>
      </c>
      <c r="BF27" t="inlineStr">
        <is>
          <t>893685214</t>
        </is>
      </c>
    </row>
    <row r="28">
      <c r="A28" t="inlineStr">
        <is>
          <t>No</t>
        </is>
      </c>
      <c r="B28" t="inlineStr">
        <is>
          <t>CURAL</t>
        </is>
      </c>
      <c r="C28" t="inlineStr">
        <is>
          <t>SHELVES</t>
        </is>
      </c>
      <c r="D28" t="inlineStr">
        <is>
          <t>PR1110.G39 P35 1997</t>
        </is>
      </c>
      <c r="E28" t="inlineStr">
        <is>
          <t>0                      PR 1110000G  39                 P  35          1997</t>
        </is>
      </c>
      <c r="F28" t="inlineStr">
        <is>
          <t>Pages passed from hand to hand : the hidden tradition of homosexual literature in English from 1748 to 1914 / edited and with an introduction by Mark Mitchell and David Leavitt.</t>
        </is>
      </c>
      <c r="H28" t="inlineStr">
        <is>
          <t>No</t>
        </is>
      </c>
      <c r="I28" t="inlineStr">
        <is>
          <t>1</t>
        </is>
      </c>
      <c r="J28" t="inlineStr">
        <is>
          <t>No</t>
        </is>
      </c>
      <c r="K28" t="inlineStr">
        <is>
          <t>No</t>
        </is>
      </c>
      <c r="L28" t="inlineStr">
        <is>
          <t>0</t>
        </is>
      </c>
      <c r="N28" t="inlineStr">
        <is>
          <t>Boston : Houghton Mifflin, 1997.</t>
        </is>
      </c>
      <c r="O28" t="inlineStr">
        <is>
          <t>1998</t>
        </is>
      </c>
      <c r="Q28" t="inlineStr">
        <is>
          <t>eng</t>
        </is>
      </c>
      <c r="R28" t="inlineStr">
        <is>
          <t>mau</t>
        </is>
      </c>
      <c r="T28" t="inlineStr">
        <is>
          <t xml:space="preserve">PR </t>
        </is>
      </c>
      <c r="U28" t="n">
        <v>3</v>
      </c>
      <c r="V28" t="n">
        <v>3</v>
      </c>
      <c r="W28" t="inlineStr">
        <is>
          <t>2004-11-21</t>
        </is>
      </c>
      <c r="X28" t="inlineStr">
        <is>
          <t>2004-11-21</t>
        </is>
      </c>
      <c r="Y28" t="inlineStr">
        <is>
          <t>1999-04-26</t>
        </is>
      </c>
      <c r="Z28" t="inlineStr">
        <is>
          <t>1999-04-26</t>
        </is>
      </c>
      <c r="AA28" t="n">
        <v>470</v>
      </c>
      <c r="AB28" t="n">
        <v>435</v>
      </c>
      <c r="AC28" t="n">
        <v>465</v>
      </c>
      <c r="AD28" t="n">
        <v>5</v>
      </c>
      <c r="AE28" t="n">
        <v>5</v>
      </c>
      <c r="AF28" t="n">
        <v>23</v>
      </c>
      <c r="AG28" t="n">
        <v>23</v>
      </c>
      <c r="AH28" t="n">
        <v>7</v>
      </c>
      <c r="AI28" t="n">
        <v>7</v>
      </c>
      <c r="AJ28" t="n">
        <v>3</v>
      </c>
      <c r="AK28" t="n">
        <v>3</v>
      </c>
      <c r="AL28" t="n">
        <v>12</v>
      </c>
      <c r="AM28" t="n">
        <v>12</v>
      </c>
      <c r="AN28" t="n">
        <v>4</v>
      </c>
      <c r="AO28" t="n">
        <v>4</v>
      </c>
      <c r="AP28" t="n">
        <v>0</v>
      </c>
      <c r="AQ28" t="n">
        <v>0</v>
      </c>
      <c r="AR28" t="inlineStr">
        <is>
          <t>No</t>
        </is>
      </c>
      <c r="AS28" t="inlineStr">
        <is>
          <t>Yes</t>
        </is>
      </c>
      <c r="AT28">
        <f>HYPERLINK("http://catalog.hathitrust.org/Record/003964271","HathiTrust Record")</f>
        <v/>
      </c>
      <c r="AU28">
        <f>HYPERLINK("https://creighton-primo.hosted.exlibrisgroup.com/primo-explore/search?tab=default_tab&amp;search_scope=EVERYTHING&amp;vid=01CRU&amp;lang=en_US&amp;offset=0&amp;query=any,contains,991002830639702656","Catalog Record")</f>
        <v/>
      </c>
      <c r="AV28">
        <f>HYPERLINK("http://www.worldcat.org/oclc/37269083","WorldCat Record")</f>
        <v/>
      </c>
      <c r="AW28" t="inlineStr">
        <is>
          <t>837044255:eng</t>
        </is>
      </c>
      <c r="AX28" t="inlineStr">
        <is>
          <t>37269083</t>
        </is>
      </c>
      <c r="AY28" t="inlineStr">
        <is>
          <t>991002830639702656</t>
        </is>
      </c>
      <c r="AZ28" t="inlineStr">
        <is>
          <t>991002830639702656</t>
        </is>
      </c>
      <c r="BA28" t="inlineStr">
        <is>
          <t>2266474650002656</t>
        </is>
      </c>
      <c r="BB28" t="inlineStr">
        <is>
          <t>BOOK</t>
        </is>
      </c>
      <c r="BD28" t="inlineStr">
        <is>
          <t>9780395837054</t>
        </is>
      </c>
      <c r="BE28" t="inlineStr">
        <is>
          <t>32285003555546</t>
        </is>
      </c>
      <c r="BF28" t="inlineStr">
        <is>
          <t>893440572</t>
        </is>
      </c>
    </row>
    <row r="29">
      <c r="A29" t="inlineStr">
        <is>
          <t>No</t>
        </is>
      </c>
      <c r="B29" t="inlineStr">
        <is>
          <t>CURAL</t>
        </is>
      </c>
      <c r="C29" t="inlineStr">
        <is>
          <t>SHELVES</t>
        </is>
      </c>
      <c r="D29" t="inlineStr">
        <is>
          <t>PR1111.C53 C47 1992</t>
        </is>
      </c>
      <c r="E29" t="inlineStr">
        <is>
          <t>0                      PR 1111000C  53                 C  47          1992</t>
        </is>
      </c>
      <c r="F29" t="inlineStr">
        <is>
          <t>A Christmas treasury of Yuletide stories &amp; poems / edited by James Charlton &amp; Barbara Gilson.</t>
        </is>
      </c>
      <c r="H29" t="inlineStr">
        <is>
          <t>No</t>
        </is>
      </c>
      <c r="I29" t="inlineStr">
        <is>
          <t>1</t>
        </is>
      </c>
      <c r="J29" t="inlineStr">
        <is>
          <t>No</t>
        </is>
      </c>
      <c r="K29" t="inlineStr">
        <is>
          <t>No</t>
        </is>
      </c>
      <c r="L29" t="inlineStr">
        <is>
          <t>0</t>
        </is>
      </c>
      <c r="N29" t="inlineStr">
        <is>
          <t>New York : Galahad Books, 1992.</t>
        </is>
      </c>
      <c r="O29" t="inlineStr">
        <is>
          <t>1992</t>
        </is>
      </c>
      <c r="Q29" t="inlineStr">
        <is>
          <t>eng</t>
        </is>
      </c>
      <c r="R29" t="inlineStr">
        <is>
          <t>nyu</t>
        </is>
      </c>
      <c r="T29" t="inlineStr">
        <is>
          <t xml:space="preserve">PR </t>
        </is>
      </c>
      <c r="U29" t="n">
        <v>3</v>
      </c>
      <c r="V29" t="n">
        <v>3</v>
      </c>
      <c r="W29" t="inlineStr">
        <is>
          <t>2008-12-12</t>
        </is>
      </c>
      <c r="X29" t="inlineStr">
        <is>
          <t>2008-12-12</t>
        </is>
      </c>
      <c r="Y29" t="inlineStr">
        <is>
          <t>2000-08-22</t>
        </is>
      </c>
      <c r="Z29" t="inlineStr">
        <is>
          <t>2000-08-22</t>
        </is>
      </c>
      <c r="AA29" t="n">
        <v>405</v>
      </c>
      <c r="AB29" t="n">
        <v>404</v>
      </c>
      <c r="AC29" t="n">
        <v>563</v>
      </c>
      <c r="AD29" t="n">
        <v>6</v>
      </c>
      <c r="AE29" t="n">
        <v>6</v>
      </c>
      <c r="AF29" t="n">
        <v>1</v>
      </c>
      <c r="AG29" t="n">
        <v>3</v>
      </c>
      <c r="AH29" t="n">
        <v>1</v>
      </c>
      <c r="AI29" t="n">
        <v>3</v>
      </c>
      <c r="AJ29" t="n">
        <v>0</v>
      </c>
      <c r="AK29" t="n">
        <v>0</v>
      </c>
      <c r="AL29" t="n">
        <v>0</v>
      </c>
      <c r="AM29" t="n">
        <v>2</v>
      </c>
      <c r="AN29" t="n">
        <v>0</v>
      </c>
      <c r="AO29" t="n">
        <v>0</v>
      </c>
      <c r="AP29" t="n">
        <v>0</v>
      </c>
      <c r="AQ29" t="n">
        <v>0</v>
      </c>
      <c r="AR29" t="inlineStr">
        <is>
          <t>No</t>
        </is>
      </c>
      <c r="AS29" t="inlineStr">
        <is>
          <t>No</t>
        </is>
      </c>
      <c r="AU29">
        <f>HYPERLINK("https://creighton-primo.hosted.exlibrisgroup.com/primo-explore/search?tab=default_tab&amp;search_scope=EVERYTHING&amp;vid=01CRU&amp;lang=en_US&amp;offset=0&amp;query=any,contains,991003270679702656","Catalog Record")</f>
        <v/>
      </c>
      <c r="AV29">
        <f>HYPERLINK("http://www.worldcat.org/oclc/26953284","WorldCat Record")</f>
        <v/>
      </c>
      <c r="AW29" t="inlineStr">
        <is>
          <t>434372064:eng</t>
        </is>
      </c>
      <c r="AX29" t="inlineStr">
        <is>
          <t>26953284</t>
        </is>
      </c>
      <c r="AY29" t="inlineStr">
        <is>
          <t>991003270679702656</t>
        </is>
      </c>
      <c r="AZ29" t="inlineStr">
        <is>
          <t>991003270679702656</t>
        </is>
      </c>
      <c r="BA29" t="inlineStr">
        <is>
          <t>2268600530002656</t>
        </is>
      </c>
      <c r="BB29" t="inlineStr">
        <is>
          <t>BOOK</t>
        </is>
      </c>
      <c r="BD29" t="inlineStr">
        <is>
          <t>9780883658017</t>
        </is>
      </c>
      <c r="BE29" t="inlineStr">
        <is>
          <t>32285003758215</t>
        </is>
      </c>
      <c r="BF29" t="inlineStr">
        <is>
          <t>893410113</t>
        </is>
      </c>
    </row>
    <row r="30">
      <c r="A30" t="inlineStr">
        <is>
          <t>No</t>
        </is>
      </c>
      <c r="B30" t="inlineStr">
        <is>
          <t>CURAL</t>
        </is>
      </c>
      <c r="C30" t="inlineStr">
        <is>
          <t>SHELVES</t>
        </is>
      </c>
      <c r="D30" t="inlineStr">
        <is>
          <t>PR1111.D7 D4 1969</t>
        </is>
      </c>
      <c r="E30" t="inlineStr">
        <is>
          <t>0                      PR 1111000D  7                  D  4           1969</t>
        </is>
      </c>
      <c r="F30" t="inlineStr">
        <is>
          <t>Behold, this dreamer; of reverie, night, sleep, dream, lovedreams, nightmare, death, the unconscious, the imagination, divination, the artist, and kindred subjects.</t>
        </is>
      </c>
      <c r="H30" t="inlineStr">
        <is>
          <t>No</t>
        </is>
      </c>
      <c r="I30" t="inlineStr">
        <is>
          <t>1</t>
        </is>
      </c>
      <c r="J30" t="inlineStr">
        <is>
          <t>No</t>
        </is>
      </c>
      <c r="K30" t="inlineStr">
        <is>
          <t>No</t>
        </is>
      </c>
      <c r="L30" t="inlineStr">
        <is>
          <t>0</t>
        </is>
      </c>
      <c r="M30" t="inlineStr">
        <is>
          <t>De la Mare, Walter, 1873-1956 editor.</t>
        </is>
      </c>
      <c r="N30" t="inlineStr">
        <is>
          <t>New York, Greenwood Press [1969]</t>
        </is>
      </c>
      <c r="O30" t="inlineStr">
        <is>
          <t>1969</t>
        </is>
      </c>
      <c r="Q30" t="inlineStr">
        <is>
          <t>eng</t>
        </is>
      </c>
      <c r="R30" t="inlineStr">
        <is>
          <t>nyu</t>
        </is>
      </c>
      <c r="T30" t="inlineStr">
        <is>
          <t xml:space="preserve">PR </t>
        </is>
      </c>
      <c r="U30" t="n">
        <v>4</v>
      </c>
      <c r="V30" t="n">
        <v>4</v>
      </c>
      <c r="W30" t="inlineStr">
        <is>
          <t>2000-06-22</t>
        </is>
      </c>
      <c r="X30" t="inlineStr">
        <is>
          <t>2000-06-22</t>
        </is>
      </c>
      <c r="Y30" t="inlineStr">
        <is>
          <t>1997-09-22</t>
        </is>
      </c>
      <c r="Z30" t="inlineStr">
        <is>
          <t>1997-09-22</t>
        </is>
      </c>
      <c r="AA30" t="n">
        <v>131</v>
      </c>
      <c r="AB30" t="n">
        <v>123</v>
      </c>
      <c r="AC30" t="n">
        <v>517</v>
      </c>
      <c r="AD30" t="n">
        <v>2</v>
      </c>
      <c r="AE30" t="n">
        <v>3</v>
      </c>
      <c r="AF30" t="n">
        <v>7</v>
      </c>
      <c r="AG30" t="n">
        <v>24</v>
      </c>
      <c r="AH30" t="n">
        <v>2</v>
      </c>
      <c r="AI30" t="n">
        <v>5</v>
      </c>
      <c r="AJ30" t="n">
        <v>1</v>
      </c>
      <c r="AK30" t="n">
        <v>7</v>
      </c>
      <c r="AL30" t="n">
        <v>3</v>
      </c>
      <c r="AM30" t="n">
        <v>15</v>
      </c>
      <c r="AN30" t="n">
        <v>1</v>
      </c>
      <c r="AO30" t="n">
        <v>1</v>
      </c>
      <c r="AP30" t="n">
        <v>0</v>
      </c>
      <c r="AQ30" t="n">
        <v>0</v>
      </c>
      <c r="AR30" t="inlineStr">
        <is>
          <t>No</t>
        </is>
      </c>
      <c r="AS30" t="inlineStr">
        <is>
          <t>No</t>
        </is>
      </c>
      <c r="AU30">
        <f>HYPERLINK("https://creighton-primo.hosted.exlibrisgroup.com/primo-explore/search?tab=default_tab&amp;search_scope=EVERYTHING&amp;vid=01CRU&amp;lang=en_US&amp;offset=0&amp;query=any,contains,991000147199702656","Catalog Record")</f>
        <v/>
      </c>
      <c r="AV30">
        <f>HYPERLINK("http://www.worldcat.org/oclc/59178","WorldCat Record")</f>
        <v/>
      </c>
      <c r="AW30" t="inlineStr">
        <is>
          <t>1704926:eng</t>
        </is>
      </c>
      <c r="AX30" t="inlineStr">
        <is>
          <t>59178</t>
        </is>
      </c>
      <c r="AY30" t="inlineStr">
        <is>
          <t>991000147199702656</t>
        </is>
      </c>
      <c r="AZ30" t="inlineStr">
        <is>
          <t>991000147199702656</t>
        </is>
      </c>
      <c r="BA30" t="inlineStr">
        <is>
          <t>2260576630002656</t>
        </is>
      </c>
      <c r="BB30" t="inlineStr">
        <is>
          <t>BOOK</t>
        </is>
      </c>
      <c r="BD30" t="inlineStr">
        <is>
          <t>9780837122595</t>
        </is>
      </c>
      <c r="BE30" t="inlineStr">
        <is>
          <t>32285003217808</t>
        </is>
      </c>
      <c r="BF30" t="inlineStr">
        <is>
          <t>893695635</t>
        </is>
      </c>
    </row>
    <row r="31">
      <c r="A31" t="inlineStr">
        <is>
          <t>No</t>
        </is>
      </c>
      <c r="B31" t="inlineStr">
        <is>
          <t>CURAL</t>
        </is>
      </c>
      <c r="C31" t="inlineStr">
        <is>
          <t>SHELVES</t>
        </is>
      </c>
      <c r="D31" t="inlineStr">
        <is>
          <t>PR1111.F45 F57 1985</t>
        </is>
      </c>
      <c r="E31" t="inlineStr">
        <is>
          <t>0                      PR 1111000F  45                 F  57          1985</t>
        </is>
      </c>
      <c r="F31" t="inlineStr">
        <is>
          <t>First feminists : British women writers, 1578-1799 / edited and with an introduction by Moira Ferguson.</t>
        </is>
      </c>
      <c r="H31" t="inlineStr">
        <is>
          <t>No</t>
        </is>
      </c>
      <c r="I31" t="inlineStr">
        <is>
          <t>1</t>
        </is>
      </c>
      <c r="J31" t="inlineStr">
        <is>
          <t>No</t>
        </is>
      </c>
      <c r="K31" t="inlineStr">
        <is>
          <t>No</t>
        </is>
      </c>
      <c r="L31" t="inlineStr">
        <is>
          <t>0</t>
        </is>
      </c>
      <c r="N31" t="inlineStr">
        <is>
          <t>Old Westbury, N.Y. : Feminist Press ; Bloomington : Indiana University Press, c1985.</t>
        </is>
      </c>
      <c r="O31" t="inlineStr">
        <is>
          <t>1985</t>
        </is>
      </c>
      <c r="Q31" t="inlineStr">
        <is>
          <t>eng</t>
        </is>
      </c>
      <c r="R31" t="inlineStr">
        <is>
          <t>nyu</t>
        </is>
      </c>
      <c r="T31" t="inlineStr">
        <is>
          <t xml:space="preserve">PR </t>
        </is>
      </c>
      <c r="U31" t="n">
        <v>4</v>
      </c>
      <c r="V31" t="n">
        <v>4</v>
      </c>
      <c r="W31" t="inlineStr">
        <is>
          <t>2004-11-13</t>
        </is>
      </c>
      <c r="X31" t="inlineStr">
        <is>
          <t>2004-11-13</t>
        </is>
      </c>
      <c r="Y31" t="inlineStr">
        <is>
          <t>1990-06-12</t>
        </is>
      </c>
      <c r="Z31" t="inlineStr">
        <is>
          <t>1990-06-12</t>
        </is>
      </c>
      <c r="AA31" t="n">
        <v>844</v>
      </c>
      <c r="AB31" t="n">
        <v>687</v>
      </c>
      <c r="AC31" t="n">
        <v>694</v>
      </c>
      <c r="AD31" t="n">
        <v>6</v>
      </c>
      <c r="AE31" t="n">
        <v>6</v>
      </c>
      <c r="AF31" t="n">
        <v>34</v>
      </c>
      <c r="AG31" t="n">
        <v>34</v>
      </c>
      <c r="AH31" t="n">
        <v>14</v>
      </c>
      <c r="AI31" t="n">
        <v>14</v>
      </c>
      <c r="AJ31" t="n">
        <v>8</v>
      </c>
      <c r="AK31" t="n">
        <v>8</v>
      </c>
      <c r="AL31" t="n">
        <v>18</v>
      </c>
      <c r="AM31" t="n">
        <v>18</v>
      </c>
      <c r="AN31" t="n">
        <v>4</v>
      </c>
      <c r="AO31" t="n">
        <v>4</v>
      </c>
      <c r="AP31" t="n">
        <v>0</v>
      </c>
      <c r="AQ31" t="n">
        <v>0</v>
      </c>
      <c r="AR31" t="inlineStr">
        <is>
          <t>No</t>
        </is>
      </c>
      <c r="AS31" t="inlineStr">
        <is>
          <t>Yes</t>
        </is>
      </c>
      <c r="AT31">
        <f>HYPERLINK("http://catalog.hathitrust.org/Record/000347979","HathiTrust Record")</f>
        <v/>
      </c>
      <c r="AU31">
        <f>HYPERLINK("https://creighton-primo.hosted.exlibrisgroup.com/primo-explore/search?tab=default_tab&amp;search_scope=EVERYTHING&amp;vid=01CRU&amp;lang=en_US&amp;offset=0&amp;query=any,contains,991000509009702656","Catalog Record")</f>
        <v/>
      </c>
      <c r="AV31">
        <f>HYPERLINK("http://www.worldcat.org/oclc/11234077","WorldCat Record")</f>
        <v/>
      </c>
      <c r="AW31" t="inlineStr">
        <is>
          <t>1064710:eng</t>
        </is>
      </c>
      <c r="AX31" t="inlineStr">
        <is>
          <t>11234077</t>
        </is>
      </c>
      <c r="AY31" t="inlineStr">
        <is>
          <t>991000509009702656</t>
        </is>
      </c>
      <c r="AZ31" t="inlineStr">
        <is>
          <t>991000509009702656</t>
        </is>
      </c>
      <c r="BA31" t="inlineStr">
        <is>
          <t>2257872970002656</t>
        </is>
      </c>
      <c r="BB31" t="inlineStr">
        <is>
          <t>BOOK</t>
        </is>
      </c>
      <c r="BD31" t="inlineStr">
        <is>
          <t>9780253281203</t>
        </is>
      </c>
      <c r="BE31" t="inlineStr">
        <is>
          <t>32285000190909</t>
        </is>
      </c>
      <c r="BF31" t="inlineStr">
        <is>
          <t>893790579</t>
        </is>
      </c>
    </row>
    <row r="32">
      <c r="A32" t="inlineStr">
        <is>
          <t>No</t>
        </is>
      </c>
      <c r="B32" t="inlineStr">
        <is>
          <t>CURAL</t>
        </is>
      </c>
      <c r="C32" t="inlineStr">
        <is>
          <t>SHELVES</t>
        </is>
      </c>
      <c r="D32" t="inlineStr">
        <is>
          <t>PR1111.F45 L47 2004</t>
        </is>
      </c>
      <c r="E32" t="inlineStr">
        <is>
          <t>0                      PR 1111000F  45                 L  47          2004</t>
        </is>
      </c>
      <c r="F32" t="inlineStr">
        <is>
          <t>Literature of the women's suffrage campaign in England / edited by Carolyn Christensen Nelson.</t>
        </is>
      </c>
      <c r="H32" t="inlineStr">
        <is>
          <t>No</t>
        </is>
      </c>
      <c r="I32" t="inlineStr">
        <is>
          <t>1</t>
        </is>
      </c>
      <c r="J32" t="inlineStr">
        <is>
          <t>No</t>
        </is>
      </c>
      <c r="K32" t="inlineStr">
        <is>
          <t>No</t>
        </is>
      </c>
      <c r="L32" t="inlineStr">
        <is>
          <t>0</t>
        </is>
      </c>
      <c r="N32" t="inlineStr">
        <is>
          <t>Peterborough, Ont. : Broadview Press, 2004.</t>
        </is>
      </c>
      <c r="O32" t="inlineStr">
        <is>
          <t>2004</t>
        </is>
      </c>
      <c r="Q32" t="inlineStr">
        <is>
          <t>eng</t>
        </is>
      </c>
      <c r="R32" t="inlineStr">
        <is>
          <t>onc</t>
        </is>
      </c>
      <c r="T32" t="inlineStr">
        <is>
          <t xml:space="preserve">PR </t>
        </is>
      </c>
      <c r="U32" t="n">
        <v>1</v>
      </c>
      <c r="V32" t="n">
        <v>1</v>
      </c>
      <c r="W32" t="inlineStr">
        <is>
          <t>2005-01-14</t>
        </is>
      </c>
      <c r="X32" t="inlineStr">
        <is>
          <t>2005-01-14</t>
        </is>
      </c>
      <c r="Y32" t="inlineStr">
        <is>
          <t>2004-11-08</t>
        </is>
      </c>
      <c r="Z32" t="inlineStr">
        <is>
          <t>2004-11-08</t>
        </is>
      </c>
      <c r="AA32" t="n">
        <v>290</v>
      </c>
      <c r="AB32" t="n">
        <v>202</v>
      </c>
      <c r="AC32" t="n">
        <v>204</v>
      </c>
      <c r="AD32" t="n">
        <v>1</v>
      </c>
      <c r="AE32" t="n">
        <v>1</v>
      </c>
      <c r="AF32" t="n">
        <v>10</v>
      </c>
      <c r="AG32" t="n">
        <v>10</v>
      </c>
      <c r="AH32" t="n">
        <v>4</v>
      </c>
      <c r="AI32" t="n">
        <v>4</v>
      </c>
      <c r="AJ32" t="n">
        <v>4</v>
      </c>
      <c r="AK32" t="n">
        <v>4</v>
      </c>
      <c r="AL32" t="n">
        <v>6</v>
      </c>
      <c r="AM32" t="n">
        <v>6</v>
      </c>
      <c r="AN32" t="n">
        <v>0</v>
      </c>
      <c r="AO32" t="n">
        <v>0</v>
      </c>
      <c r="AP32" t="n">
        <v>0</v>
      </c>
      <c r="AQ32" t="n">
        <v>0</v>
      </c>
      <c r="AR32" t="inlineStr">
        <is>
          <t>No</t>
        </is>
      </c>
      <c r="AS32" t="inlineStr">
        <is>
          <t>Yes</t>
        </is>
      </c>
      <c r="AT32">
        <f>HYPERLINK("http://catalog.hathitrust.org/Record/004768850","HathiTrust Record")</f>
        <v/>
      </c>
      <c r="AU32">
        <f>HYPERLINK("https://creighton-primo.hosted.exlibrisgroup.com/primo-explore/search?tab=default_tab&amp;search_scope=EVERYTHING&amp;vid=01CRU&amp;lang=en_US&amp;offset=0&amp;query=any,contains,991004396439702656","Catalog Record")</f>
        <v/>
      </c>
      <c r="AV32">
        <f>HYPERLINK("http://www.worldcat.org/oclc/54206569","WorldCat Record")</f>
        <v/>
      </c>
      <c r="AW32" t="inlineStr">
        <is>
          <t>1074114005:eng</t>
        </is>
      </c>
      <c r="AX32" t="inlineStr">
        <is>
          <t>54206569</t>
        </is>
      </c>
      <c r="AY32" t="inlineStr">
        <is>
          <t>991004396439702656</t>
        </is>
      </c>
      <c r="AZ32" t="inlineStr">
        <is>
          <t>991004396439702656</t>
        </is>
      </c>
      <c r="BA32" t="inlineStr">
        <is>
          <t>2260250020002656</t>
        </is>
      </c>
      <c r="BB32" t="inlineStr">
        <is>
          <t>BOOK</t>
        </is>
      </c>
      <c r="BD32" t="inlineStr">
        <is>
          <t>9781551115115</t>
        </is>
      </c>
      <c r="BE32" t="inlineStr">
        <is>
          <t>32285005009427</t>
        </is>
      </c>
      <c r="BF32" t="inlineStr">
        <is>
          <t>893259676</t>
        </is>
      </c>
    </row>
    <row r="33">
      <c r="A33" t="inlineStr">
        <is>
          <t>No</t>
        </is>
      </c>
      <c r="B33" t="inlineStr">
        <is>
          <t>CURAL</t>
        </is>
      </c>
      <c r="C33" t="inlineStr">
        <is>
          <t>SHELVES</t>
        </is>
      </c>
      <c r="D33" t="inlineStr">
        <is>
          <t>PR1111.R4 C45 1990</t>
        </is>
      </c>
      <c r="E33" t="inlineStr">
        <is>
          <t>0                      PR 1111000R  4                  C  45          1990</t>
        </is>
      </c>
      <c r="F33" t="inlineStr">
        <is>
          <t>Celtic fire : an anthology of Celtic Christian Literature / compiled by Robert Van De Weyer.</t>
        </is>
      </c>
      <c r="H33" t="inlineStr">
        <is>
          <t>No</t>
        </is>
      </c>
      <c r="I33" t="inlineStr">
        <is>
          <t>1</t>
        </is>
      </c>
      <c r="J33" t="inlineStr">
        <is>
          <t>No</t>
        </is>
      </c>
      <c r="K33" t="inlineStr">
        <is>
          <t>No</t>
        </is>
      </c>
      <c r="L33" t="inlineStr">
        <is>
          <t>0</t>
        </is>
      </c>
      <c r="N33" t="inlineStr">
        <is>
          <t>London : Darton, Longman and Todd, 1990.</t>
        </is>
      </c>
      <c r="O33" t="inlineStr">
        <is>
          <t>1990</t>
        </is>
      </c>
      <c r="Q33" t="inlineStr">
        <is>
          <t>eng</t>
        </is>
      </c>
      <c r="R33" t="inlineStr">
        <is>
          <t>enk</t>
        </is>
      </c>
      <c r="T33" t="inlineStr">
        <is>
          <t xml:space="preserve">PR </t>
        </is>
      </c>
      <c r="U33" t="n">
        <v>3</v>
      </c>
      <c r="V33" t="n">
        <v>3</v>
      </c>
      <c r="W33" t="inlineStr">
        <is>
          <t>1996-01-04</t>
        </is>
      </c>
      <c r="X33" t="inlineStr">
        <is>
          <t>1996-01-04</t>
        </is>
      </c>
      <c r="Y33" t="inlineStr">
        <is>
          <t>1991-04-16</t>
        </is>
      </c>
      <c r="Z33" t="inlineStr">
        <is>
          <t>1991-04-16</t>
        </is>
      </c>
      <c r="AA33" t="n">
        <v>96</v>
      </c>
      <c r="AB33" t="n">
        <v>32</v>
      </c>
      <c r="AC33" t="n">
        <v>32</v>
      </c>
      <c r="AD33" t="n">
        <v>1</v>
      </c>
      <c r="AE33" t="n">
        <v>1</v>
      </c>
      <c r="AF33" t="n">
        <v>2</v>
      </c>
      <c r="AG33" t="n">
        <v>2</v>
      </c>
      <c r="AH33" t="n">
        <v>1</v>
      </c>
      <c r="AI33" t="n">
        <v>1</v>
      </c>
      <c r="AJ33" t="n">
        <v>0</v>
      </c>
      <c r="AK33" t="n">
        <v>0</v>
      </c>
      <c r="AL33" t="n">
        <v>1</v>
      </c>
      <c r="AM33" t="n">
        <v>1</v>
      </c>
      <c r="AN33" t="n">
        <v>0</v>
      </c>
      <c r="AO33" t="n">
        <v>0</v>
      </c>
      <c r="AP33" t="n">
        <v>0</v>
      </c>
      <c r="AQ33" t="n">
        <v>0</v>
      </c>
      <c r="AR33" t="inlineStr">
        <is>
          <t>No</t>
        </is>
      </c>
      <c r="AS33" t="inlineStr">
        <is>
          <t>No</t>
        </is>
      </c>
      <c r="AU33">
        <f>HYPERLINK("https://creighton-primo.hosted.exlibrisgroup.com/primo-explore/search?tab=default_tab&amp;search_scope=EVERYTHING&amp;vid=01CRU&amp;lang=en_US&amp;offset=0&amp;query=any,contains,991001758809702656","Catalog Record")</f>
        <v/>
      </c>
      <c r="AV33">
        <f>HYPERLINK("http://www.worldcat.org/oclc/22241642","WorldCat Record")</f>
        <v/>
      </c>
      <c r="AW33" t="inlineStr">
        <is>
          <t>836727921:eng</t>
        </is>
      </c>
      <c r="AX33" t="inlineStr">
        <is>
          <t>22241642</t>
        </is>
      </c>
      <c r="AY33" t="inlineStr">
        <is>
          <t>991001758809702656</t>
        </is>
      </c>
      <c r="AZ33" t="inlineStr">
        <is>
          <t>991001758809702656</t>
        </is>
      </c>
      <c r="BA33" t="inlineStr">
        <is>
          <t>2271028830002656</t>
        </is>
      </c>
      <c r="BB33" t="inlineStr">
        <is>
          <t>BOOK</t>
        </is>
      </c>
      <c r="BD33" t="inlineStr">
        <is>
          <t>9780232517729</t>
        </is>
      </c>
      <c r="BE33" t="inlineStr">
        <is>
          <t>32285000567890</t>
        </is>
      </c>
      <c r="BF33" t="inlineStr">
        <is>
          <t>893872774</t>
        </is>
      </c>
    </row>
    <row r="34">
      <c r="A34" t="inlineStr">
        <is>
          <t>No</t>
        </is>
      </c>
      <c r="B34" t="inlineStr">
        <is>
          <t>CURAL</t>
        </is>
      </c>
      <c r="C34" t="inlineStr">
        <is>
          <t>SHELVES</t>
        </is>
      </c>
      <c r="D34" t="inlineStr">
        <is>
          <t>PR1111.W6 V53 2001</t>
        </is>
      </c>
      <c r="E34" t="inlineStr">
        <is>
          <t>0                      PR 1111000W  6                  V  53          2001</t>
        </is>
      </c>
      <c r="F34" t="inlineStr">
        <is>
          <t>Victorian women's magazines : an anthology / edited by Margaret Beetham and Kay Boardman.</t>
        </is>
      </c>
      <c r="H34" t="inlineStr">
        <is>
          <t>No</t>
        </is>
      </c>
      <c r="I34" t="inlineStr">
        <is>
          <t>1</t>
        </is>
      </c>
      <c r="J34" t="inlineStr">
        <is>
          <t>No</t>
        </is>
      </c>
      <c r="K34" t="inlineStr">
        <is>
          <t>No</t>
        </is>
      </c>
      <c r="L34" t="inlineStr">
        <is>
          <t>0</t>
        </is>
      </c>
      <c r="N34" t="inlineStr">
        <is>
          <t>Manchester [England] ; New York : Manchester University Press ; New York : Distributed exclusively in the USA by Palgrave, 2001.</t>
        </is>
      </c>
      <c r="O34" t="inlineStr">
        <is>
          <t>2001</t>
        </is>
      </c>
      <c r="Q34" t="inlineStr">
        <is>
          <t>eng</t>
        </is>
      </c>
      <c r="R34" t="inlineStr">
        <is>
          <t>enk</t>
        </is>
      </c>
      <c r="T34" t="inlineStr">
        <is>
          <t xml:space="preserve">PR </t>
        </is>
      </c>
      <c r="U34" t="n">
        <v>4</v>
      </c>
      <c r="V34" t="n">
        <v>4</v>
      </c>
      <c r="W34" t="inlineStr">
        <is>
          <t>2003-10-03</t>
        </is>
      </c>
      <c r="X34" t="inlineStr">
        <is>
          <t>2003-10-03</t>
        </is>
      </c>
      <c r="Y34" t="inlineStr">
        <is>
          <t>2002-03-20</t>
        </is>
      </c>
      <c r="Z34" t="inlineStr">
        <is>
          <t>2002-03-20</t>
        </is>
      </c>
      <c r="AA34" t="n">
        <v>465</v>
      </c>
      <c r="AB34" t="n">
        <v>340</v>
      </c>
      <c r="AC34" t="n">
        <v>342</v>
      </c>
      <c r="AD34" t="n">
        <v>1</v>
      </c>
      <c r="AE34" t="n">
        <v>1</v>
      </c>
      <c r="AF34" t="n">
        <v>21</v>
      </c>
      <c r="AG34" t="n">
        <v>21</v>
      </c>
      <c r="AH34" t="n">
        <v>8</v>
      </c>
      <c r="AI34" t="n">
        <v>8</v>
      </c>
      <c r="AJ34" t="n">
        <v>8</v>
      </c>
      <c r="AK34" t="n">
        <v>8</v>
      </c>
      <c r="AL34" t="n">
        <v>12</v>
      </c>
      <c r="AM34" t="n">
        <v>12</v>
      </c>
      <c r="AN34" t="n">
        <v>0</v>
      </c>
      <c r="AO34" t="n">
        <v>0</v>
      </c>
      <c r="AP34" t="n">
        <v>0</v>
      </c>
      <c r="AQ34" t="n">
        <v>0</v>
      </c>
      <c r="AR34" t="inlineStr">
        <is>
          <t>No</t>
        </is>
      </c>
      <c r="AS34" t="inlineStr">
        <is>
          <t>Yes</t>
        </is>
      </c>
      <c r="AT34">
        <f>HYPERLINK("http://catalog.hathitrust.org/Record/004193884","HathiTrust Record")</f>
        <v/>
      </c>
      <c r="AU34">
        <f>HYPERLINK("https://creighton-primo.hosted.exlibrisgroup.com/primo-explore/search?tab=default_tab&amp;search_scope=EVERYTHING&amp;vid=01CRU&amp;lang=en_US&amp;offset=0&amp;query=any,contains,991003733899702656","Catalog Record")</f>
        <v/>
      </c>
      <c r="AV34">
        <f>HYPERLINK("http://www.worldcat.org/oclc/45879721","WorldCat Record")</f>
        <v/>
      </c>
      <c r="AW34" t="inlineStr">
        <is>
          <t>837028440:eng</t>
        </is>
      </c>
      <c r="AX34" t="inlineStr">
        <is>
          <t>45879721</t>
        </is>
      </c>
      <c r="AY34" t="inlineStr">
        <is>
          <t>991003733899702656</t>
        </is>
      </c>
      <c r="AZ34" t="inlineStr">
        <is>
          <t>991003733899702656</t>
        </is>
      </c>
      <c r="BA34" t="inlineStr">
        <is>
          <t>2255052970002656</t>
        </is>
      </c>
      <c r="BB34" t="inlineStr">
        <is>
          <t>BOOK</t>
        </is>
      </c>
      <c r="BD34" t="inlineStr">
        <is>
          <t>9780719058783</t>
        </is>
      </c>
      <c r="BE34" t="inlineStr">
        <is>
          <t>32285004463179</t>
        </is>
      </c>
      <c r="BF34" t="inlineStr">
        <is>
          <t>893435367</t>
        </is>
      </c>
    </row>
    <row r="35">
      <c r="A35" t="inlineStr">
        <is>
          <t>No</t>
        </is>
      </c>
      <c r="B35" t="inlineStr">
        <is>
          <t>CURAL</t>
        </is>
      </c>
      <c r="C35" t="inlineStr">
        <is>
          <t>SHELVES</t>
        </is>
      </c>
      <c r="D35" t="inlineStr">
        <is>
          <t>PR1120 .B5 1972b</t>
        </is>
      </c>
      <c r="E35" t="inlineStr">
        <is>
          <t>0                      PR 1120000B  5           1972b</t>
        </is>
      </c>
      <c r="F35" t="inlineStr">
        <is>
          <t>Middle English religious prose / [compiled by] N. F. Blake.</t>
        </is>
      </c>
      <c r="H35" t="inlineStr">
        <is>
          <t>No</t>
        </is>
      </c>
      <c r="I35" t="inlineStr">
        <is>
          <t>1</t>
        </is>
      </c>
      <c r="J35" t="inlineStr">
        <is>
          <t>No</t>
        </is>
      </c>
      <c r="K35" t="inlineStr">
        <is>
          <t>No</t>
        </is>
      </c>
      <c r="L35" t="inlineStr">
        <is>
          <t>0</t>
        </is>
      </c>
      <c r="M35" t="inlineStr">
        <is>
          <t>Blake, N. F. (Norman Francis) compiler.</t>
        </is>
      </c>
      <c r="N35" t="inlineStr">
        <is>
          <t>Evanston : Northwestern University Press, 1972.</t>
        </is>
      </c>
      <c r="O35" t="inlineStr">
        <is>
          <t>1972</t>
        </is>
      </c>
      <c r="Q35" t="inlineStr">
        <is>
          <t>eng</t>
        </is>
      </c>
      <c r="R35" t="inlineStr">
        <is>
          <t>ilu</t>
        </is>
      </c>
      <c r="S35" t="inlineStr">
        <is>
          <t>York medieval texts</t>
        </is>
      </c>
      <c r="T35" t="inlineStr">
        <is>
          <t xml:space="preserve">PR </t>
        </is>
      </c>
      <c r="U35" t="n">
        <v>2</v>
      </c>
      <c r="V35" t="n">
        <v>2</v>
      </c>
      <c r="W35" t="inlineStr">
        <is>
          <t>2010-09-20</t>
        </is>
      </c>
      <c r="X35" t="inlineStr">
        <is>
          <t>2010-09-20</t>
        </is>
      </c>
      <c r="Y35" t="inlineStr">
        <is>
          <t>1991-09-20</t>
        </is>
      </c>
      <c r="Z35" t="inlineStr">
        <is>
          <t>1991-09-20</t>
        </is>
      </c>
      <c r="AA35" t="n">
        <v>379</v>
      </c>
      <c r="AB35" t="n">
        <v>352</v>
      </c>
      <c r="AC35" t="n">
        <v>449</v>
      </c>
      <c r="AD35" t="n">
        <v>4</v>
      </c>
      <c r="AE35" t="n">
        <v>5</v>
      </c>
      <c r="AF35" t="n">
        <v>18</v>
      </c>
      <c r="AG35" t="n">
        <v>27</v>
      </c>
      <c r="AH35" t="n">
        <v>6</v>
      </c>
      <c r="AI35" t="n">
        <v>8</v>
      </c>
      <c r="AJ35" t="n">
        <v>4</v>
      </c>
      <c r="AK35" t="n">
        <v>6</v>
      </c>
      <c r="AL35" t="n">
        <v>7</v>
      </c>
      <c r="AM35" t="n">
        <v>15</v>
      </c>
      <c r="AN35" t="n">
        <v>3</v>
      </c>
      <c r="AO35" t="n">
        <v>4</v>
      </c>
      <c r="AP35" t="n">
        <v>0</v>
      </c>
      <c r="AQ35" t="n">
        <v>0</v>
      </c>
      <c r="AR35" t="inlineStr">
        <is>
          <t>No</t>
        </is>
      </c>
      <c r="AS35" t="inlineStr">
        <is>
          <t>Yes</t>
        </is>
      </c>
      <c r="AT35">
        <f>HYPERLINK("http://catalog.hathitrust.org/Record/001441682","HathiTrust Record")</f>
        <v/>
      </c>
      <c r="AU35">
        <f>HYPERLINK("https://creighton-primo.hosted.exlibrisgroup.com/primo-explore/search?tab=default_tab&amp;search_scope=EVERYTHING&amp;vid=01CRU&amp;lang=en_US&amp;offset=0&amp;query=any,contains,991002916979702656","Catalog Record")</f>
        <v/>
      </c>
      <c r="AV35">
        <f>HYPERLINK("http://www.worldcat.org/oclc/524357","WorldCat Record")</f>
        <v/>
      </c>
      <c r="AW35" t="inlineStr">
        <is>
          <t>1526393:eng</t>
        </is>
      </c>
      <c r="AX35" t="inlineStr">
        <is>
          <t>524357</t>
        </is>
      </c>
      <c r="AY35" t="inlineStr">
        <is>
          <t>991002916979702656</t>
        </is>
      </c>
      <c r="AZ35" t="inlineStr">
        <is>
          <t>991002916979702656</t>
        </is>
      </c>
      <c r="BA35" t="inlineStr">
        <is>
          <t>2261075380002656</t>
        </is>
      </c>
      <c r="BB35" t="inlineStr">
        <is>
          <t>BOOK</t>
        </is>
      </c>
      <c r="BD35" t="inlineStr">
        <is>
          <t>9780810103863</t>
        </is>
      </c>
      <c r="BE35" t="inlineStr">
        <is>
          <t>32285000759257</t>
        </is>
      </c>
      <c r="BF35" t="inlineStr">
        <is>
          <t>893335889</t>
        </is>
      </c>
    </row>
    <row r="36">
      <c r="A36" t="inlineStr">
        <is>
          <t>No</t>
        </is>
      </c>
      <c r="B36" t="inlineStr">
        <is>
          <t>CURAL</t>
        </is>
      </c>
      <c r="C36" t="inlineStr">
        <is>
          <t>SHELVES</t>
        </is>
      </c>
      <c r="D36" t="inlineStr">
        <is>
          <t>PR1120 .O93 1985</t>
        </is>
      </c>
      <c r="E36" t="inlineStr">
        <is>
          <t>0                      PR 1120000O  93          1985</t>
        </is>
      </c>
      <c r="F36" t="inlineStr">
        <is>
          <t>The Oxford book of late medieval verse and prose / edited by Douglas Gray ; with a note on grammar and spelling in the fifteenth century by Norman Davis.</t>
        </is>
      </c>
      <c r="H36" t="inlineStr">
        <is>
          <t>No</t>
        </is>
      </c>
      <c r="I36" t="inlineStr">
        <is>
          <t>1</t>
        </is>
      </c>
      <c r="J36" t="inlineStr">
        <is>
          <t>No</t>
        </is>
      </c>
      <c r="K36" t="inlineStr">
        <is>
          <t>No</t>
        </is>
      </c>
      <c r="L36" t="inlineStr">
        <is>
          <t>0</t>
        </is>
      </c>
      <c r="N36" t="inlineStr">
        <is>
          <t>Oxford : Clarendon, 1985.</t>
        </is>
      </c>
      <c r="O36" t="inlineStr">
        <is>
          <t>1985</t>
        </is>
      </c>
      <c r="Q36" t="inlineStr">
        <is>
          <t>eng</t>
        </is>
      </c>
      <c r="R36" t="inlineStr">
        <is>
          <t>enk</t>
        </is>
      </c>
      <c r="T36" t="inlineStr">
        <is>
          <t xml:space="preserve">PR </t>
        </is>
      </c>
      <c r="U36" t="n">
        <v>1</v>
      </c>
      <c r="V36" t="n">
        <v>1</v>
      </c>
      <c r="W36" t="inlineStr">
        <is>
          <t>1993-10-12</t>
        </is>
      </c>
      <c r="X36" t="inlineStr">
        <is>
          <t>1993-10-12</t>
        </is>
      </c>
      <c r="Y36" t="inlineStr">
        <is>
          <t>1991-09-18</t>
        </is>
      </c>
      <c r="Z36" t="inlineStr">
        <is>
          <t>1991-09-18</t>
        </is>
      </c>
      <c r="AA36" t="n">
        <v>1004</v>
      </c>
      <c r="AB36" t="n">
        <v>793</v>
      </c>
      <c r="AC36" t="n">
        <v>871</v>
      </c>
      <c r="AD36" t="n">
        <v>5</v>
      </c>
      <c r="AE36" t="n">
        <v>6</v>
      </c>
      <c r="AF36" t="n">
        <v>26</v>
      </c>
      <c r="AG36" t="n">
        <v>28</v>
      </c>
      <c r="AH36" t="n">
        <v>8</v>
      </c>
      <c r="AI36" t="n">
        <v>9</v>
      </c>
      <c r="AJ36" t="n">
        <v>6</v>
      </c>
      <c r="AK36" t="n">
        <v>6</v>
      </c>
      <c r="AL36" t="n">
        <v>16</v>
      </c>
      <c r="AM36" t="n">
        <v>17</v>
      </c>
      <c r="AN36" t="n">
        <v>4</v>
      </c>
      <c r="AO36" t="n">
        <v>5</v>
      </c>
      <c r="AP36" t="n">
        <v>0</v>
      </c>
      <c r="AQ36" t="n">
        <v>0</v>
      </c>
      <c r="AR36" t="inlineStr">
        <is>
          <t>No</t>
        </is>
      </c>
      <c r="AS36" t="inlineStr">
        <is>
          <t>Yes</t>
        </is>
      </c>
      <c r="AT36">
        <f>HYPERLINK("http://catalog.hathitrust.org/Record/000424988","HathiTrust Record")</f>
        <v/>
      </c>
      <c r="AU36">
        <f>HYPERLINK("https://creighton-primo.hosted.exlibrisgroup.com/primo-explore/search?tab=default_tab&amp;search_scope=EVERYTHING&amp;vid=01CRU&amp;lang=en_US&amp;offset=0&amp;query=any,contains,991000692679702656","Catalog Record")</f>
        <v/>
      </c>
      <c r="AV36">
        <f>HYPERLINK("http://www.worldcat.org/oclc/12501145","WorldCat Record")</f>
        <v/>
      </c>
      <c r="AW36" t="inlineStr">
        <is>
          <t>118039119:eng</t>
        </is>
      </c>
      <c r="AX36" t="inlineStr">
        <is>
          <t>12501145</t>
        </is>
      </c>
      <c r="AY36" t="inlineStr">
        <is>
          <t>991000692679702656</t>
        </is>
      </c>
      <c r="AZ36" t="inlineStr">
        <is>
          <t>991000692679702656</t>
        </is>
      </c>
      <c r="BA36" t="inlineStr">
        <is>
          <t>2255963260002656</t>
        </is>
      </c>
      <c r="BB36" t="inlineStr">
        <is>
          <t>BOOK</t>
        </is>
      </c>
      <c r="BD36" t="inlineStr">
        <is>
          <t>9780198124528</t>
        </is>
      </c>
      <c r="BE36" t="inlineStr">
        <is>
          <t>32285000759265</t>
        </is>
      </c>
      <c r="BF36" t="inlineStr">
        <is>
          <t>893720758</t>
        </is>
      </c>
    </row>
    <row r="37">
      <c r="A37" t="inlineStr">
        <is>
          <t>No</t>
        </is>
      </c>
      <c r="B37" t="inlineStr">
        <is>
          <t>CURAL</t>
        </is>
      </c>
      <c r="C37" t="inlineStr">
        <is>
          <t>SHELVES</t>
        </is>
      </c>
      <c r="D37" t="inlineStr">
        <is>
          <t>PR1121 .G68</t>
        </is>
      </c>
      <c r="E37" t="inlineStr">
        <is>
          <t>0                      PR 1121000G  68</t>
        </is>
      </c>
      <c r="F37" t="inlineStr">
        <is>
          <t>The sources of ten Shakespearean plays / /c edited by Alice Griffin.</t>
        </is>
      </c>
      <c r="H37" t="inlineStr">
        <is>
          <t>No</t>
        </is>
      </c>
      <c r="I37" t="inlineStr">
        <is>
          <t>1</t>
        </is>
      </c>
      <c r="J37" t="inlineStr">
        <is>
          <t>No</t>
        </is>
      </c>
      <c r="K37" t="inlineStr">
        <is>
          <t>No</t>
        </is>
      </c>
      <c r="L37" t="inlineStr">
        <is>
          <t>0</t>
        </is>
      </c>
      <c r="M37" t="inlineStr">
        <is>
          <t>Griffin, Alice, 1924-, editor.</t>
        </is>
      </c>
      <c r="N37" t="inlineStr">
        <is>
          <t>New York : T.Y. Crowell Co. [1966]</t>
        </is>
      </c>
      <c r="O37" t="inlineStr">
        <is>
          <t>1966</t>
        </is>
      </c>
      <c r="Q37" t="inlineStr">
        <is>
          <t>eng</t>
        </is>
      </c>
      <c r="R37" t="inlineStr">
        <is>
          <t>___</t>
        </is>
      </c>
      <c r="T37" t="inlineStr">
        <is>
          <t xml:space="preserve">PR </t>
        </is>
      </c>
      <c r="U37" t="n">
        <v>3</v>
      </c>
      <c r="V37" t="n">
        <v>3</v>
      </c>
      <c r="W37" t="inlineStr">
        <is>
          <t>2001-11-05</t>
        </is>
      </c>
      <c r="X37" t="inlineStr">
        <is>
          <t>2001-11-05</t>
        </is>
      </c>
      <c r="Y37" t="inlineStr">
        <is>
          <t>1991-09-18</t>
        </is>
      </c>
      <c r="Z37" t="inlineStr">
        <is>
          <t>1991-09-18</t>
        </is>
      </c>
      <c r="AA37" t="n">
        <v>455</v>
      </c>
      <c r="AB37" t="n">
        <v>421</v>
      </c>
      <c r="AC37" t="n">
        <v>423</v>
      </c>
      <c r="AD37" t="n">
        <v>4</v>
      </c>
      <c r="AE37" t="n">
        <v>4</v>
      </c>
      <c r="AF37" t="n">
        <v>24</v>
      </c>
      <c r="AG37" t="n">
        <v>24</v>
      </c>
      <c r="AH37" t="n">
        <v>10</v>
      </c>
      <c r="AI37" t="n">
        <v>10</v>
      </c>
      <c r="AJ37" t="n">
        <v>4</v>
      </c>
      <c r="AK37" t="n">
        <v>4</v>
      </c>
      <c r="AL37" t="n">
        <v>11</v>
      </c>
      <c r="AM37" t="n">
        <v>11</v>
      </c>
      <c r="AN37" t="n">
        <v>3</v>
      </c>
      <c r="AO37" t="n">
        <v>3</v>
      </c>
      <c r="AP37" t="n">
        <v>0</v>
      </c>
      <c r="AQ37" t="n">
        <v>0</v>
      </c>
      <c r="AR37" t="inlineStr">
        <is>
          <t>No</t>
        </is>
      </c>
      <c r="AS37" t="inlineStr">
        <is>
          <t>Yes</t>
        </is>
      </c>
      <c r="AT37">
        <f>HYPERLINK("http://catalog.hathitrust.org/Record/001018666","HathiTrust Record")</f>
        <v/>
      </c>
      <c r="AU37">
        <f>HYPERLINK("https://creighton-primo.hosted.exlibrisgroup.com/primo-explore/search?tab=default_tab&amp;search_scope=EVERYTHING&amp;vid=01CRU&amp;lang=en_US&amp;offset=0&amp;query=any,contains,991002442629702656","Catalog Record")</f>
        <v/>
      </c>
      <c r="AV37">
        <f>HYPERLINK("http://www.worldcat.org/oclc/350534","WorldCat Record")</f>
        <v/>
      </c>
      <c r="AW37" t="inlineStr">
        <is>
          <t>1383866:eng</t>
        </is>
      </c>
      <c r="AX37" t="inlineStr">
        <is>
          <t>350534</t>
        </is>
      </c>
      <c r="AY37" t="inlineStr">
        <is>
          <t>991002442629702656</t>
        </is>
      </c>
      <c r="AZ37" t="inlineStr">
        <is>
          <t>991002442629702656</t>
        </is>
      </c>
      <c r="BA37" t="inlineStr">
        <is>
          <t>2268661370002656</t>
        </is>
      </c>
      <c r="BB37" t="inlineStr">
        <is>
          <t>BOOK</t>
        </is>
      </c>
      <c r="BE37" t="inlineStr">
        <is>
          <t>32285000759281</t>
        </is>
      </c>
      <c r="BF37" t="inlineStr">
        <is>
          <t>893879937</t>
        </is>
      </c>
    </row>
    <row r="38">
      <c r="A38" t="inlineStr">
        <is>
          <t>No</t>
        </is>
      </c>
      <c r="B38" t="inlineStr">
        <is>
          <t>CURAL</t>
        </is>
      </c>
      <c r="C38" t="inlineStr">
        <is>
          <t>SHELVES</t>
        </is>
      </c>
      <c r="D38" t="inlineStr">
        <is>
          <t>PR1121 .H64 1973</t>
        </is>
      </c>
      <c r="E38" t="inlineStr">
        <is>
          <t>0                      PR 1121000H  64          1973</t>
        </is>
      </c>
      <c r="F38" t="inlineStr">
        <is>
          <t>The literature of Renaissance England / [compiled by] John Hollander [and] Frank Kermode.</t>
        </is>
      </c>
      <c r="H38" t="inlineStr">
        <is>
          <t>No</t>
        </is>
      </c>
      <c r="I38" t="inlineStr">
        <is>
          <t>1</t>
        </is>
      </c>
      <c r="J38" t="inlineStr">
        <is>
          <t>No</t>
        </is>
      </c>
      <c r="K38" t="inlineStr">
        <is>
          <t>No</t>
        </is>
      </c>
      <c r="L38" t="inlineStr">
        <is>
          <t>0</t>
        </is>
      </c>
      <c r="M38" t="inlineStr">
        <is>
          <t>Hollander, John compiler.</t>
        </is>
      </c>
      <c r="N38" t="inlineStr">
        <is>
          <t>New York : Oxford University Press, 1973.</t>
        </is>
      </c>
      <c r="O38" t="inlineStr">
        <is>
          <t>1973</t>
        </is>
      </c>
      <c r="Q38" t="inlineStr">
        <is>
          <t>eng</t>
        </is>
      </c>
      <c r="R38" t="inlineStr">
        <is>
          <t xml:space="preserve">xx </t>
        </is>
      </c>
      <c r="T38" t="inlineStr">
        <is>
          <t xml:space="preserve">PR </t>
        </is>
      </c>
      <c r="U38" t="n">
        <v>3</v>
      </c>
      <c r="V38" t="n">
        <v>3</v>
      </c>
      <c r="W38" t="inlineStr">
        <is>
          <t>1996-09-10</t>
        </is>
      </c>
      <c r="X38" t="inlineStr">
        <is>
          <t>1996-09-10</t>
        </is>
      </c>
      <c r="Y38" t="inlineStr">
        <is>
          <t>1990-10-26</t>
        </is>
      </c>
      <c r="Z38" t="inlineStr">
        <is>
          <t>1990-10-26</t>
        </is>
      </c>
      <c r="AA38" t="n">
        <v>391</v>
      </c>
      <c r="AB38" t="n">
        <v>246</v>
      </c>
      <c r="AC38" t="n">
        <v>248</v>
      </c>
      <c r="AD38" t="n">
        <v>3</v>
      </c>
      <c r="AE38" t="n">
        <v>3</v>
      </c>
      <c r="AF38" t="n">
        <v>6</v>
      </c>
      <c r="AG38" t="n">
        <v>6</v>
      </c>
      <c r="AH38" t="n">
        <v>1</v>
      </c>
      <c r="AI38" t="n">
        <v>1</v>
      </c>
      <c r="AJ38" t="n">
        <v>1</v>
      </c>
      <c r="AK38" t="n">
        <v>1</v>
      </c>
      <c r="AL38" t="n">
        <v>3</v>
      </c>
      <c r="AM38" t="n">
        <v>3</v>
      </c>
      <c r="AN38" t="n">
        <v>2</v>
      </c>
      <c r="AO38" t="n">
        <v>2</v>
      </c>
      <c r="AP38" t="n">
        <v>0</v>
      </c>
      <c r="AQ38" t="n">
        <v>0</v>
      </c>
      <c r="AR38" t="inlineStr">
        <is>
          <t>No</t>
        </is>
      </c>
      <c r="AS38" t="inlineStr">
        <is>
          <t>No</t>
        </is>
      </c>
      <c r="AU38">
        <f>HYPERLINK("https://creighton-primo.hosted.exlibrisgroup.com/primo-explore/search?tab=default_tab&amp;search_scope=EVERYTHING&amp;vid=01CRU&amp;lang=en_US&amp;offset=0&amp;query=any,contains,991003659929702656","Catalog Record")</f>
        <v/>
      </c>
      <c r="AV38">
        <f>HYPERLINK("http://www.worldcat.org/oclc/1267079","WorldCat Record")</f>
        <v/>
      </c>
      <c r="AW38" t="inlineStr">
        <is>
          <t>472585039:eng</t>
        </is>
      </c>
      <c r="AX38" t="inlineStr">
        <is>
          <t>1267079</t>
        </is>
      </c>
      <c r="AY38" t="inlineStr">
        <is>
          <t>991003659929702656</t>
        </is>
      </c>
      <c r="AZ38" t="inlineStr">
        <is>
          <t>991003659929702656</t>
        </is>
      </c>
      <c r="BA38" t="inlineStr">
        <is>
          <t>2258323320002656</t>
        </is>
      </c>
      <c r="BB38" t="inlineStr">
        <is>
          <t>BOOK</t>
        </is>
      </c>
      <c r="BE38" t="inlineStr">
        <is>
          <t>32285000312107</t>
        </is>
      </c>
      <c r="BF38" t="inlineStr">
        <is>
          <t>893699247</t>
        </is>
      </c>
    </row>
    <row r="39">
      <c r="A39" t="inlineStr">
        <is>
          <t>No</t>
        </is>
      </c>
      <c r="B39" t="inlineStr">
        <is>
          <t>CURAL</t>
        </is>
      </c>
      <c r="C39" t="inlineStr">
        <is>
          <t>SHELVES</t>
        </is>
      </c>
      <c r="D39" t="inlineStr">
        <is>
          <t>PR1121 .R36 2003</t>
        </is>
      </c>
      <c r="E39" t="inlineStr">
        <is>
          <t>0                      PR 1121000R  36          2003</t>
        </is>
      </c>
      <c r="F39" t="inlineStr">
        <is>
          <t>Renaissance literature : an anthology / edited by Michael Payne and John Hunter.</t>
        </is>
      </c>
      <c r="H39" t="inlineStr">
        <is>
          <t>No</t>
        </is>
      </c>
      <c r="I39" t="inlineStr">
        <is>
          <t>1</t>
        </is>
      </c>
      <c r="J39" t="inlineStr">
        <is>
          <t>No</t>
        </is>
      </c>
      <c r="K39" t="inlineStr">
        <is>
          <t>No</t>
        </is>
      </c>
      <c r="L39" t="inlineStr">
        <is>
          <t>0</t>
        </is>
      </c>
      <c r="N39" t="inlineStr">
        <is>
          <t>Malden, MA : Blackwell Pub., 2003.</t>
        </is>
      </c>
      <c r="O39" t="inlineStr">
        <is>
          <t>2003</t>
        </is>
      </c>
      <c r="Q39" t="inlineStr">
        <is>
          <t>eng</t>
        </is>
      </c>
      <c r="R39" t="inlineStr">
        <is>
          <t>mau</t>
        </is>
      </c>
      <c r="S39" t="inlineStr">
        <is>
          <t>Blackwell anthologies</t>
        </is>
      </c>
      <c r="T39" t="inlineStr">
        <is>
          <t xml:space="preserve">PR </t>
        </is>
      </c>
      <c r="U39" t="n">
        <v>1</v>
      </c>
      <c r="V39" t="n">
        <v>1</v>
      </c>
      <c r="W39" t="inlineStr">
        <is>
          <t>2003-11-01</t>
        </is>
      </c>
      <c r="X39" t="inlineStr">
        <is>
          <t>2003-11-01</t>
        </is>
      </c>
      <c r="Y39" t="inlineStr">
        <is>
          <t>2003-09-18</t>
        </is>
      </c>
      <c r="Z39" t="inlineStr">
        <is>
          <t>2003-09-18</t>
        </is>
      </c>
      <c r="AA39" t="n">
        <v>652</v>
      </c>
      <c r="AB39" t="n">
        <v>528</v>
      </c>
      <c r="AC39" t="n">
        <v>568</v>
      </c>
      <c r="AD39" t="n">
        <v>2</v>
      </c>
      <c r="AE39" t="n">
        <v>3</v>
      </c>
      <c r="AF39" t="n">
        <v>17</v>
      </c>
      <c r="AG39" t="n">
        <v>18</v>
      </c>
      <c r="AH39" t="n">
        <v>8</v>
      </c>
      <c r="AI39" t="n">
        <v>8</v>
      </c>
      <c r="AJ39" t="n">
        <v>6</v>
      </c>
      <c r="AK39" t="n">
        <v>7</v>
      </c>
      <c r="AL39" t="n">
        <v>8</v>
      </c>
      <c r="AM39" t="n">
        <v>9</v>
      </c>
      <c r="AN39" t="n">
        <v>1</v>
      </c>
      <c r="AO39" t="n">
        <v>1</v>
      </c>
      <c r="AP39" t="n">
        <v>0</v>
      </c>
      <c r="AQ39" t="n">
        <v>0</v>
      </c>
      <c r="AR39" t="inlineStr">
        <is>
          <t>No</t>
        </is>
      </c>
      <c r="AS39" t="inlineStr">
        <is>
          <t>No</t>
        </is>
      </c>
      <c r="AU39">
        <f>HYPERLINK("https://creighton-primo.hosted.exlibrisgroup.com/primo-explore/search?tab=default_tab&amp;search_scope=EVERYTHING&amp;vid=01CRU&amp;lang=en_US&amp;offset=0&amp;query=any,contains,991004127609702656","Catalog Record")</f>
        <v/>
      </c>
      <c r="AV39">
        <f>HYPERLINK("http://www.worldcat.org/oclc/50035200","WorldCat Record")</f>
        <v/>
      </c>
      <c r="AW39" t="inlineStr">
        <is>
          <t>796436528:eng</t>
        </is>
      </c>
      <c r="AX39" t="inlineStr">
        <is>
          <t>50035200</t>
        </is>
      </c>
      <c r="AY39" t="inlineStr">
        <is>
          <t>991004127609702656</t>
        </is>
      </c>
      <c r="AZ39" t="inlineStr">
        <is>
          <t>991004127609702656</t>
        </is>
      </c>
      <c r="BA39" t="inlineStr">
        <is>
          <t>2262285490002656</t>
        </is>
      </c>
      <c r="BB39" t="inlineStr">
        <is>
          <t>BOOK</t>
        </is>
      </c>
      <c r="BD39" t="inlineStr">
        <is>
          <t>9780631198970</t>
        </is>
      </c>
      <c r="BE39" t="inlineStr">
        <is>
          <t>32285004791405</t>
        </is>
      </c>
      <c r="BF39" t="inlineStr">
        <is>
          <t>893618269</t>
        </is>
      </c>
    </row>
    <row r="40">
      <c r="A40" t="inlineStr">
        <is>
          <t>No</t>
        </is>
      </c>
      <c r="B40" t="inlineStr">
        <is>
          <t>CURAL</t>
        </is>
      </c>
      <c r="C40" t="inlineStr">
        <is>
          <t>SHELVES</t>
        </is>
      </c>
      <c r="D40" t="inlineStr">
        <is>
          <t>PR1127 .H4 1986</t>
        </is>
      </c>
      <c r="E40" t="inlineStr">
        <is>
          <t>0                      PR 1127000H  4           1986</t>
        </is>
      </c>
      <c r="F40" t="inlineStr">
        <is>
          <t>George Herbert and Henry Vaughan / edited by Louis L. Martz.</t>
        </is>
      </c>
      <c r="H40" t="inlineStr">
        <is>
          <t>No</t>
        </is>
      </c>
      <c r="I40" t="inlineStr">
        <is>
          <t>1</t>
        </is>
      </c>
      <c r="J40" t="inlineStr">
        <is>
          <t>No</t>
        </is>
      </c>
      <c r="K40" t="inlineStr">
        <is>
          <t>No</t>
        </is>
      </c>
      <c r="L40" t="inlineStr">
        <is>
          <t>0</t>
        </is>
      </c>
      <c r="M40" t="inlineStr">
        <is>
          <t>Herbert, George, 1593-1633.</t>
        </is>
      </c>
      <c r="N40" t="inlineStr">
        <is>
          <t>Oxford ; New York : Oxford University Press, 1986.</t>
        </is>
      </c>
      <c r="O40" t="inlineStr">
        <is>
          <t>1985</t>
        </is>
      </c>
      <c r="Q40" t="inlineStr">
        <is>
          <t>eng</t>
        </is>
      </c>
      <c r="R40" t="inlineStr">
        <is>
          <t>enk</t>
        </is>
      </c>
      <c r="S40" t="inlineStr">
        <is>
          <t>The Oxford authors</t>
        </is>
      </c>
      <c r="T40" t="inlineStr">
        <is>
          <t xml:space="preserve">PR </t>
        </is>
      </c>
      <c r="U40" t="n">
        <v>2</v>
      </c>
      <c r="V40" t="n">
        <v>2</v>
      </c>
      <c r="W40" t="inlineStr">
        <is>
          <t>1993-06-09</t>
        </is>
      </c>
      <c r="X40" t="inlineStr">
        <is>
          <t>1993-06-09</t>
        </is>
      </c>
      <c r="Y40" t="inlineStr">
        <is>
          <t>1991-09-18</t>
        </is>
      </c>
      <c r="Z40" t="inlineStr">
        <is>
          <t>1991-09-18</t>
        </is>
      </c>
      <c r="AA40" t="n">
        <v>409</v>
      </c>
      <c r="AB40" t="n">
        <v>293</v>
      </c>
      <c r="AC40" t="n">
        <v>314</v>
      </c>
      <c r="AD40" t="n">
        <v>3</v>
      </c>
      <c r="AE40" t="n">
        <v>3</v>
      </c>
      <c r="AF40" t="n">
        <v>17</v>
      </c>
      <c r="AG40" t="n">
        <v>17</v>
      </c>
      <c r="AH40" t="n">
        <v>6</v>
      </c>
      <c r="AI40" t="n">
        <v>6</v>
      </c>
      <c r="AJ40" t="n">
        <v>4</v>
      </c>
      <c r="AK40" t="n">
        <v>4</v>
      </c>
      <c r="AL40" t="n">
        <v>10</v>
      </c>
      <c r="AM40" t="n">
        <v>10</v>
      </c>
      <c r="AN40" t="n">
        <v>2</v>
      </c>
      <c r="AO40" t="n">
        <v>2</v>
      </c>
      <c r="AP40" t="n">
        <v>0</v>
      </c>
      <c r="AQ40" t="n">
        <v>0</v>
      </c>
      <c r="AR40" t="inlineStr">
        <is>
          <t>No</t>
        </is>
      </c>
      <c r="AS40" t="inlineStr">
        <is>
          <t>Yes</t>
        </is>
      </c>
      <c r="AT40">
        <f>HYPERLINK("http://catalog.hathitrust.org/Record/000483961","HathiTrust Record")</f>
        <v/>
      </c>
      <c r="AU40">
        <f>HYPERLINK("https://creighton-primo.hosted.exlibrisgroup.com/primo-explore/search?tab=default_tab&amp;search_scope=EVERYTHING&amp;vid=01CRU&amp;lang=en_US&amp;offset=0&amp;query=any,contains,991000614229702656","Catalog Record")</f>
        <v/>
      </c>
      <c r="AV40">
        <f>HYPERLINK("http://www.worldcat.org/oclc/11918612","WorldCat Record")</f>
        <v/>
      </c>
      <c r="AW40" t="inlineStr">
        <is>
          <t>2863450441:eng</t>
        </is>
      </c>
      <c r="AX40" t="inlineStr">
        <is>
          <t>11918612</t>
        </is>
      </c>
      <c r="AY40" t="inlineStr">
        <is>
          <t>991000614229702656</t>
        </is>
      </c>
      <c r="AZ40" t="inlineStr">
        <is>
          <t>991000614229702656</t>
        </is>
      </c>
      <c r="BA40" t="inlineStr">
        <is>
          <t>2259524530002656</t>
        </is>
      </c>
      <c r="BB40" t="inlineStr">
        <is>
          <t>BOOK</t>
        </is>
      </c>
      <c r="BD40" t="inlineStr">
        <is>
          <t>9780192813428</t>
        </is>
      </c>
      <c r="BE40" t="inlineStr">
        <is>
          <t>32285000759299</t>
        </is>
      </c>
      <c r="BF40" t="inlineStr">
        <is>
          <t>893249511</t>
        </is>
      </c>
    </row>
    <row r="41">
      <c r="A41" t="inlineStr">
        <is>
          <t>No</t>
        </is>
      </c>
      <c r="B41" t="inlineStr">
        <is>
          <t>CURAL</t>
        </is>
      </c>
      <c r="C41" t="inlineStr">
        <is>
          <t>SHELVES</t>
        </is>
      </c>
      <c r="D41" t="inlineStr">
        <is>
          <t>PR1129 .H3 1965</t>
        </is>
      </c>
      <c r="E41" t="inlineStr">
        <is>
          <t>0                      PR 1129000H  3           1965</t>
        </is>
      </c>
      <c r="F41" t="inlineStr">
        <is>
          <t>English prose, 1600-1660 / edited by Victor Harris [and] Itrat Husain.</t>
        </is>
      </c>
      <c r="H41" t="inlineStr">
        <is>
          <t>No</t>
        </is>
      </c>
      <c r="I41" t="inlineStr">
        <is>
          <t>1</t>
        </is>
      </c>
      <c r="J41" t="inlineStr">
        <is>
          <t>No</t>
        </is>
      </c>
      <c r="K41" t="inlineStr">
        <is>
          <t>No</t>
        </is>
      </c>
      <c r="L41" t="inlineStr">
        <is>
          <t>0</t>
        </is>
      </c>
      <c r="M41" t="inlineStr">
        <is>
          <t>Harris, Victor, 1910-, editor.</t>
        </is>
      </c>
      <c r="N41" t="inlineStr">
        <is>
          <t>New York : Holt, Rinehart and Winston, c1965.</t>
        </is>
      </c>
      <c r="O41" t="inlineStr">
        <is>
          <t>1965</t>
        </is>
      </c>
      <c r="Q41" t="inlineStr">
        <is>
          <t>eng</t>
        </is>
      </c>
      <c r="R41" t="inlineStr">
        <is>
          <t>nyu</t>
        </is>
      </c>
      <c r="S41" t="inlineStr">
        <is>
          <t>Rinehart editions ; 125</t>
        </is>
      </c>
      <c r="T41" t="inlineStr">
        <is>
          <t xml:space="preserve">PR </t>
        </is>
      </c>
      <c r="U41" t="n">
        <v>1</v>
      </c>
      <c r="V41" t="n">
        <v>1</v>
      </c>
      <c r="W41" t="inlineStr">
        <is>
          <t>2001-07-12</t>
        </is>
      </c>
      <c r="X41" t="inlineStr">
        <is>
          <t>2001-07-12</t>
        </is>
      </c>
      <c r="Y41" t="inlineStr">
        <is>
          <t>2001-07-11</t>
        </is>
      </c>
      <c r="Z41" t="inlineStr">
        <is>
          <t>2001-07-11</t>
        </is>
      </c>
      <c r="AA41" t="n">
        <v>295</v>
      </c>
      <c r="AB41" t="n">
        <v>216</v>
      </c>
      <c r="AC41" t="n">
        <v>234</v>
      </c>
      <c r="AD41" t="n">
        <v>3</v>
      </c>
      <c r="AE41" t="n">
        <v>3</v>
      </c>
      <c r="AF41" t="n">
        <v>13</v>
      </c>
      <c r="AG41" t="n">
        <v>15</v>
      </c>
      <c r="AH41" t="n">
        <v>4</v>
      </c>
      <c r="AI41" t="n">
        <v>5</v>
      </c>
      <c r="AJ41" t="n">
        <v>2</v>
      </c>
      <c r="AK41" t="n">
        <v>3</v>
      </c>
      <c r="AL41" t="n">
        <v>7</v>
      </c>
      <c r="AM41" t="n">
        <v>7</v>
      </c>
      <c r="AN41" t="n">
        <v>2</v>
      </c>
      <c r="AO41" t="n">
        <v>2</v>
      </c>
      <c r="AP41" t="n">
        <v>0</v>
      </c>
      <c r="AQ41" t="n">
        <v>0</v>
      </c>
      <c r="AR41" t="inlineStr">
        <is>
          <t>No</t>
        </is>
      </c>
      <c r="AS41" t="inlineStr">
        <is>
          <t>No</t>
        </is>
      </c>
      <c r="AU41">
        <f>HYPERLINK("https://creighton-primo.hosted.exlibrisgroup.com/primo-explore/search?tab=default_tab&amp;search_scope=EVERYTHING&amp;vid=01CRU&amp;lang=en_US&amp;offset=0&amp;query=any,contains,991003566739702656","Catalog Record")</f>
        <v/>
      </c>
      <c r="AV41">
        <f>HYPERLINK("http://www.worldcat.org/oclc/963584","WorldCat Record")</f>
        <v/>
      </c>
      <c r="AW41" t="inlineStr">
        <is>
          <t>355758551:eng</t>
        </is>
      </c>
      <c r="AX41" t="inlineStr">
        <is>
          <t>963584</t>
        </is>
      </c>
      <c r="AY41" t="inlineStr">
        <is>
          <t>991003566739702656</t>
        </is>
      </c>
      <c r="AZ41" t="inlineStr">
        <is>
          <t>991003566739702656</t>
        </is>
      </c>
      <c r="BA41" t="inlineStr">
        <is>
          <t>2260123760002656</t>
        </is>
      </c>
      <c r="BB41" t="inlineStr">
        <is>
          <t>BOOK</t>
        </is>
      </c>
      <c r="BE41" t="inlineStr">
        <is>
          <t>32285004331772</t>
        </is>
      </c>
      <c r="BF41" t="inlineStr">
        <is>
          <t>893252498</t>
        </is>
      </c>
    </row>
    <row r="42">
      <c r="A42" t="inlineStr">
        <is>
          <t>No</t>
        </is>
      </c>
      <c r="B42" t="inlineStr">
        <is>
          <t>CURAL</t>
        </is>
      </c>
      <c r="C42" t="inlineStr">
        <is>
          <t>SHELVES</t>
        </is>
      </c>
      <c r="D42" t="inlineStr">
        <is>
          <t>PR113 .B69 2004</t>
        </is>
      </c>
      <c r="E42" t="inlineStr">
        <is>
          <t>0                      PR 0113000B  69          2004</t>
        </is>
      </c>
      <c r="F42" t="inlineStr">
        <is>
          <t>Speaking for nature : women and ecologies of early modern England / Sylvia Bowerbank.</t>
        </is>
      </c>
      <c r="H42" t="inlineStr">
        <is>
          <t>No</t>
        </is>
      </c>
      <c r="I42" t="inlineStr">
        <is>
          <t>1</t>
        </is>
      </c>
      <c r="J42" t="inlineStr">
        <is>
          <t>No</t>
        </is>
      </c>
      <c r="K42" t="inlineStr">
        <is>
          <t>No</t>
        </is>
      </c>
      <c r="L42" t="inlineStr">
        <is>
          <t>0</t>
        </is>
      </c>
      <c r="M42" t="inlineStr">
        <is>
          <t>Bowerbank, Sylvia Lorraine.</t>
        </is>
      </c>
      <c r="N42" t="inlineStr">
        <is>
          <t>Baltimore : Johns Hopkins University Press, 2004.</t>
        </is>
      </c>
      <c r="O42" t="inlineStr">
        <is>
          <t>2004</t>
        </is>
      </c>
      <c r="Q42" t="inlineStr">
        <is>
          <t>eng</t>
        </is>
      </c>
      <c r="R42" t="inlineStr">
        <is>
          <t>mdu</t>
        </is>
      </c>
      <c r="T42" t="inlineStr">
        <is>
          <t xml:space="preserve">PR </t>
        </is>
      </c>
      <c r="U42" t="n">
        <v>2</v>
      </c>
      <c r="V42" t="n">
        <v>2</v>
      </c>
      <c r="W42" t="inlineStr">
        <is>
          <t>2005-09-21</t>
        </is>
      </c>
      <c r="X42" t="inlineStr">
        <is>
          <t>2005-09-21</t>
        </is>
      </c>
      <c r="Y42" t="inlineStr">
        <is>
          <t>2004-09-15</t>
        </is>
      </c>
      <c r="Z42" t="inlineStr">
        <is>
          <t>2004-09-15</t>
        </is>
      </c>
      <c r="AA42" t="n">
        <v>361</v>
      </c>
      <c r="AB42" t="n">
        <v>282</v>
      </c>
      <c r="AC42" t="n">
        <v>284</v>
      </c>
      <c r="AD42" t="n">
        <v>3</v>
      </c>
      <c r="AE42" t="n">
        <v>3</v>
      </c>
      <c r="AF42" t="n">
        <v>15</v>
      </c>
      <c r="AG42" t="n">
        <v>15</v>
      </c>
      <c r="AH42" t="n">
        <v>6</v>
      </c>
      <c r="AI42" t="n">
        <v>6</v>
      </c>
      <c r="AJ42" t="n">
        <v>3</v>
      </c>
      <c r="AK42" t="n">
        <v>3</v>
      </c>
      <c r="AL42" t="n">
        <v>10</v>
      </c>
      <c r="AM42" t="n">
        <v>10</v>
      </c>
      <c r="AN42" t="n">
        <v>2</v>
      </c>
      <c r="AO42" t="n">
        <v>2</v>
      </c>
      <c r="AP42" t="n">
        <v>0</v>
      </c>
      <c r="AQ42" t="n">
        <v>0</v>
      </c>
      <c r="AR42" t="inlineStr">
        <is>
          <t>No</t>
        </is>
      </c>
      <c r="AS42" t="inlineStr">
        <is>
          <t>Yes</t>
        </is>
      </c>
      <c r="AT42">
        <f>HYPERLINK("http://catalog.hathitrust.org/Record/004736868","HathiTrust Record")</f>
        <v/>
      </c>
      <c r="AU42">
        <f>HYPERLINK("https://creighton-primo.hosted.exlibrisgroup.com/primo-explore/search?tab=default_tab&amp;search_scope=EVERYTHING&amp;vid=01CRU&amp;lang=en_US&amp;offset=0&amp;query=any,contains,991004364089702656","Catalog Record")</f>
        <v/>
      </c>
      <c r="AV42">
        <f>HYPERLINK("http://www.worldcat.org/oclc/52766016","WorldCat Record")</f>
        <v/>
      </c>
      <c r="AW42" t="inlineStr">
        <is>
          <t>315497655:eng</t>
        </is>
      </c>
      <c r="AX42" t="inlineStr">
        <is>
          <t>52766016</t>
        </is>
      </c>
      <c r="AY42" t="inlineStr">
        <is>
          <t>991004364089702656</t>
        </is>
      </c>
      <c r="AZ42" t="inlineStr">
        <is>
          <t>991004364089702656</t>
        </is>
      </c>
      <c r="BA42" t="inlineStr">
        <is>
          <t>2263866760002656</t>
        </is>
      </c>
      <c r="BB42" t="inlineStr">
        <is>
          <t>BOOK</t>
        </is>
      </c>
      <c r="BD42" t="inlineStr">
        <is>
          <t>9780801878725</t>
        </is>
      </c>
      <c r="BE42" t="inlineStr">
        <is>
          <t>32285004987680</t>
        </is>
      </c>
      <c r="BF42" t="inlineStr">
        <is>
          <t>893442535</t>
        </is>
      </c>
    </row>
    <row r="43">
      <c r="A43" t="inlineStr">
        <is>
          <t>No</t>
        </is>
      </c>
      <c r="B43" t="inlineStr">
        <is>
          <t>CURAL</t>
        </is>
      </c>
      <c r="C43" t="inlineStr">
        <is>
          <t>SHELVES</t>
        </is>
      </c>
      <c r="D43" t="inlineStr">
        <is>
          <t>PR113 .S63 1986</t>
        </is>
      </c>
      <c r="E43" t="inlineStr">
        <is>
          <t>0                      PR 0113000S  63          1986</t>
        </is>
      </c>
      <c r="F43" t="inlineStr">
        <is>
          <t>Mothers of the novel : 100 good women writers before Jane Austen / Dale Spender.</t>
        </is>
      </c>
      <c r="H43" t="inlineStr">
        <is>
          <t>No</t>
        </is>
      </c>
      <c r="I43" t="inlineStr">
        <is>
          <t>1</t>
        </is>
      </c>
      <c r="J43" t="inlineStr">
        <is>
          <t>Yes</t>
        </is>
      </c>
      <c r="K43" t="inlineStr">
        <is>
          <t>No</t>
        </is>
      </c>
      <c r="L43" t="inlineStr">
        <is>
          <t>0</t>
        </is>
      </c>
      <c r="M43" t="inlineStr">
        <is>
          <t>Spender, Dale.</t>
        </is>
      </c>
      <c r="N43" t="inlineStr">
        <is>
          <t>London ; New York : Pandora, 1986.</t>
        </is>
      </c>
      <c r="O43" t="inlineStr">
        <is>
          <t>1986</t>
        </is>
      </c>
      <c r="Q43" t="inlineStr">
        <is>
          <t>eng</t>
        </is>
      </c>
      <c r="R43" t="inlineStr">
        <is>
          <t>enk</t>
        </is>
      </c>
      <c r="T43" t="inlineStr">
        <is>
          <t xml:space="preserve">PR </t>
        </is>
      </c>
      <c r="U43" t="n">
        <v>5</v>
      </c>
      <c r="V43" t="n">
        <v>18</v>
      </c>
      <c r="W43" t="inlineStr">
        <is>
          <t>2004-11-29</t>
        </is>
      </c>
      <c r="X43" t="inlineStr">
        <is>
          <t>2004-11-29</t>
        </is>
      </c>
      <c r="Y43" t="inlineStr">
        <is>
          <t>1991-08-27</t>
        </is>
      </c>
      <c r="Z43" t="inlineStr">
        <is>
          <t>1991-08-27</t>
        </is>
      </c>
      <c r="AA43" t="n">
        <v>1112</v>
      </c>
      <c r="AB43" t="n">
        <v>850</v>
      </c>
      <c r="AC43" t="n">
        <v>867</v>
      </c>
      <c r="AD43" t="n">
        <v>6</v>
      </c>
      <c r="AE43" t="n">
        <v>6</v>
      </c>
      <c r="AF43" t="n">
        <v>39</v>
      </c>
      <c r="AG43" t="n">
        <v>40</v>
      </c>
      <c r="AH43" t="n">
        <v>18</v>
      </c>
      <c r="AI43" t="n">
        <v>19</v>
      </c>
      <c r="AJ43" t="n">
        <v>8</v>
      </c>
      <c r="AK43" t="n">
        <v>8</v>
      </c>
      <c r="AL43" t="n">
        <v>19</v>
      </c>
      <c r="AM43" t="n">
        <v>19</v>
      </c>
      <c r="AN43" t="n">
        <v>5</v>
      </c>
      <c r="AO43" t="n">
        <v>5</v>
      </c>
      <c r="AP43" t="n">
        <v>0</v>
      </c>
      <c r="AQ43" t="n">
        <v>0</v>
      </c>
      <c r="AR43" t="inlineStr">
        <is>
          <t>No</t>
        </is>
      </c>
      <c r="AS43" t="inlineStr">
        <is>
          <t>No</t>
        </is>
      </c>
      <c r="AU43">
        <f>HYPERLINK("https://creighton-primo.hosted.exlibrisgroup.com/primo-explore/search?tab=default_tab&amp;search_scope=EVERYTHING&amp;vid=01CRU&amp;lang=en_US&amp;offset=0&amp;query=any,contains,991000744589702656","Catalog Record")</f>
        <v/>
      </c>
      <c r="AV43">
        <f>HYPERLINK("http://www.worldcat.org/oclc/12836847","WorldCat Record")</f>
        <v/>
      </c>
      <c r="AW43" t="inlineStr">
        <is>
          <t>836680516:eng</t>
        </is>
      </c>
      <c r="AX43" t="inlineStr">
        <is>
          <t>12836847</t>
        </is>
      </c>
      <c r="AY43" t="inlineStr">
        <is>
          <t>991000744589702656</t>
        </is>
      </c>
      <c r="AZ43" t="inlineStr">
        <is>
          <t>991000744589702656</t>
        </is>
      </c>
      <c r="BA43" t="inlineStr">
        <is>
          <t>2272515710002656</t>
        </is>
      </c>
      <c r="BB43" t="inlineStr">
        <is>
          <t>BOOK</t>
        </is>
      </c>
      <c r="BD43" t="inlineStr">
        <is>
          <t>9780863580819</t>
        </is>
      </c>
      <c r="BE43" t="inlineStr">
        <is>
          <t>32285000699677</t>
        </is>
      </c>
      <c r="BF43" t="inlineStr">
        <is>
          <t>893315193</t>
        </is>
      </c>
    </row>
    <row r="44">
      <c r="A44" t="inlineStr">
        <is>
          <t>No</t>
        </is>
      </c>
      <c r="B44" t="inlineStr">
        <is>
          <t>CURAL</t>
        </is>
      </c>
      <c r="C44" t="inlineStr">
        <is>
          <t>SHELVES</t>
        </is>
      </c>
      <c r="D44" t="inlineStr">
        <is>
          <t>PR113 .W35 1996</t>
        </is>
      </c>
      <c r="E44" t="inlineStr">
        <is>
          <t>0                      PR 0113000W  35          1996</t>
        </is>
      </c>
      <c r="F44" t="inlineStr">
        <is>
          <t>Women writers of the English renaissance / Kim Walker.</t>
        </is>
      </c>
      <c r="H44" t="inlineStr">
        <is>
          <t>No</t>
        </is>
      </c>
      <c r="I44" t="inlineStr">
        <is>
          <t>1</t>
        </is>
      </c>
      <c r="J44" t="inlineStr">
        <is>
          <t>No</t>
        </is>
      </c>
      <c r="K44" t="inlineStr">
        <is>
          <t>No</t>
        </is>
      </c>
      <c r="L44" t="inlineStr">
        <is>
          <t>0</t>
        </is>
      </c>
      <c r="M44" t="inlineStr">
        <is>
          <t>Walker, Kim.</t>
        </is>
      </c>
      <c r="N44" t="inlineStr">
        <is>
          <t>New York : Twayne Publishers, c1996.</t>
        </is>
      </c>
      <c r="O44" t="inlineStr">
        <is>
          <t>1996</t>
        </is>
      </c>
      <c r="Q44" t="inlineStr">
        <is>
          <t>eng</t>
        </is>
      </c>
      <c r="R44" t="inlineStr">
        <is>
          <t>nyu</t>
        </is>
      </c>
      <c r="S44" t="inlineStr">
        <is>
          <t>Twayne's English authors series ; TEAS 521</t>
        </is>
      </c>
      <c r="T44" t="inlineStr">
        <is>
          <t xml:space="preserve">PR </t>
        </is>
      </c>
      <c r="U44" t="n">
        <v>5</v>
      </c>
      <c r="V44" t="n">
        <v>5</v>
      </c>
      <c r="W44" t="inlineStr">
        <is>
          <t>2004-11-05</t>
        </is>
      </c>
      <c r="X44" t="inlineStr">
        <is>
          <t>2004-11-05</t>
        </is>
      </c>
      <c r="Y44" t="inlineStr">
        <is>
          <t>1996-08-29</t>
        </is>
      </c>
      <c r="Z44" t="inlineStr">
        <is>
          <t>1996-08-29</t>
        </is>
      </c>
      <c r="AA44" t="n">
        <v>861</v>
      </c>
      <c r="AB44" t="n">
        <v>743</v>
      </c>
      <c r="AC44" t="n">
        <v>825</v>
      </c>
      <c r="AD44" t="n">
        <v>7</v>
      </c>
      <c r="AE44" t="n">
        <v>7</v>
      </c>
      <c r="AF44" t="n">
        <v>36</v>
      </c>
      <c r="AG44" t="n">
        <v>37</v>
      </c>
      <c r="AH44" t="n">
        <v>16</v>
      </c>
      <c r="AI44" t="n">
        <v>16</v>
      </c>
      <c r="AJ44" t="n">
        <v>8</v>
      </c>
      <c r="AK44" t="n">
        <v>8</v>
      </c>
      <c r="AL44" t="n">
        <v>17</v>
      </c>
      <c r="AM44" t="n">
        <v>18</v>
      </c>
      <c r="AN44" t="n">
        <v>6</v>
      </c>
      <c r="AO44" t="n">
        <v>6</v>
      </c>
      <c r="AP44" t="n">
        <v>0</v>
      </c>
      <c r="AQ44" t="n">
        <v>0</v>
      </c>
      <c r="AR44" t="inlineStr">
        <is>
          <t>No</t>
        </is>
      </c>
      <c r="AS44" t="inlineStr">
        <is>
          <t>Yes</t>
        </is>
      </c>
      <c r="AT44">
        <f>HYPERLINK("http://catalog.hathitrust.org/Record/003099677","HathiTrust Record")</f>
        <v/>
      </c>
      <c r="AU44">
        <f>HYPERLINK("https://creighton-primo.hosted.exlibrisgroup.com/primo-explore/search?tab=default_tab&amp;search_scope=EVERYTHING&amp;vid=01CRU&amp;lang=en_US&amp;offset=0&amp;query=any,contains,991002627879702656","Catalog Record")</f>
        <v/>
      </c>
      <c r="AV44">
        <f>HYPERLINK("http://www.worldcat.org/oclc/34471353","WorldCat Record")</f>
        <v/>
      </c>
      <c r="AW44" t="inlineStr">
        <is>
          <t>17684634:eng</t>
        </is>
      </c>
      <c r="AX44" t="inlineStr">
        <is>
          <t>34471353</t>
        </is>
      </c>
      <c r="AY44" t="inlineStr">
        <is>
          <t>991002627879702656</t>
        </is>
      </c>
      <c r="AZ44" t="inlineStr">
        <is>
          <t>991002627879702656</t>
        </is>
      </c>
      <c r="BA44" t="inlineStr">
        <is>
          <t>2264441930002656</t>
        </is>
      </c>
      <c r="BB44" t="inlineStr">
        <is>
          <t>BOOK</t>
        </is>
      </c>
      <c r="BD44" t="inlineStr">
        <is>
          <t>9780805770179</t>
        </is>
      </c>
      <c r="BE44" t="inlineStr">
        <is>
          <t>32285002293404</t>
        </is>
      </c>
      <c r="BF44" t="inlineStr">
        <is>
          <t>893716690</t>
        </is>
      </c>
    </row>
    <row r="45">
      <c r="A45" t="inlineStr">
        <is>
          <t>No</t>
        </is>
      </c>
      <c r="B45" t="inlineStr">
        <is>
          <t>CURAL</t>
        </is>
      </c>
      <c r="C45" t="inlineStr">
        <is>
          <t>SHELVES</t>
        </is>
      </c>
      <c r="D45" t="inlineStr">
        <is>
          <t>PR113 .W65 1996</t>
        </is>
      </c>
      <c r="E45" t="inlineStr">
        <is>
          <t>0                      PR 0113000W  65          1996</t>
        </is>
      </c>
      <c r="F45" t="inlineStr">
        <is>
          <t>Women and literature in Britain, 1500-1700 / edited by Helen Wilcox.</t>
        </is>
      </c>
      <c r="H45" t="inlineStr">
        <is>
          <t>No</t>
        </is>
      </c>
      <c r="I45" t="inlineStr">
        <is>
          <t>1</t>
        </is>
      </c>
      <c r="J45" t="inlineStr">
        <is>
          <t>No</t>
        </is>
      </c>
      <c r="K45" t="inlineStr">
        <is>
          <t>No</t>
        </is>
      </c>
      <c r="L45" t="inlineStr">
        <is>
          <t>0</t>
        </is>
      </c>
      <c r="N45" t="inlineStr">
        <is>
          <t>Cambridge ; New York : Cambridge University Press, 1996.</t>
        </is>
      </c>
      <c r="O45" t="inlineStr">
        <is>
          <t>1996</t>
        </is>
      </c>
      <c r="Q45" t="inlineStr">
        <is>
          <t>eng</t>
        </is>
      </c>
      <c r="R45" t="inlineStr">
        <is>
          <t>enk</t>
        </is>
      </c>
      <c r="T45" t="inlineStr">
        <is>
          <t xml:space="preserve">PR </t>
        </is>
      </c>
      <c r="U45" t="n">
        <v>3</v>
      </c>
      <c r="V45" t="n">
        <v>3</v>
      </c>
      <c r="W45" t="inlineStr">
        <is>
          <t>2004-11-05</t>
        </is>
      </c>
      <c r="X45" t="inlineStr">
        <is>
          <t>2004-11-05</t>
        </is>
      </c>
      <c r="Y45" t="inlineStr">
        <is>
          <t>1998-05-27</t>
        </is>
      </c>
      <c r="Z45" t="inlineStr">
        <is>
          <t>1998-05-27</t>
        </is>
      </c>
      <c r="AA45" t="n">
        <v>909</v>
      </c>
      <c r="AB45" t="n">
        <v>716</v>
      </c>
      <c r="AC45" t="n">
        <v>730</v>
      </c>
      <c r="AD45" t="n">
        <v>6</v>
      </c>
      <c r="AE45" t="n">
        <v>6</v>
      </c>
      <c r="AF45" t="n">
        <v>42</v>
      </c>
      <c r="AG45" t="n">
        <v>42</v>
      </c>
      <c r="AH45" t="n">
        <v>17</v>
      </c>
      <c r="AI45" t="n">
        <v>17</v>
      </c>
      <c r="AJ45" t="n">
        <v>10</v>
      </c>
      <c r="AK45" t="n">
        <v>10</v>
      </c>
      <c r="AL45" t="n">
        <v>21</v>
      </c>
      <c r="AM45" t="n">
        <v>21</v>
      </c>
      <c r="AN45" t="n">
        <v>5</v>
      </c>
      <c r="AO45" t="n">
        <v>5</v>
      </c>
      <c r="AP45" t="n">
        <v>0</v>
      </c>
      <c r="AQ45" t="n">
        <v>0</v>
      </c>
      <c r="AR45" t="inlineStr">
        <is>
          <t>No</t>
        </is>
      </c>
      <c r="AS45" t="inlineStr">
        <is>
          <t>Yes</t>
        </is>
      </c>
      <c r="AT45">
        <f>HYPERLINK("http://catalog.hathitrust.org/Record/003124352","HathiTrust Record")</f>
        <v/>
      </c>
      <c r="AU45">
        <f>HYPERLINK("https://creighton-primo.hosted.exlibrisgroup.com/primo-explore/search?tab=default_tab&amp;search_scope=EVERYTHING&amp;vid=01CRU&amp;lang=en_US&amp;offset=0&amp;query=any,contains,991002589229702656","Catalog Record")</f>
        <v/>
      </c>
      <c r="AV45">
        <f>HYPERLINK("http://www.worldcat.org/oclc/33947160","WorldCat Record")</f>
        <v/>
      </c>
      <c r="AW45" t="inlineStr">
        <is>
          <t>2864013874:eng</t>
        </is>
      </c>
      <c r="AX45" t="inlineStr">
        <is>
          <t>33947160</t>
        </is>
      </c>
      <c r="AY45" t="inlineStr">
        <is>
          <t>991002589229702656</t>
        </is>
      </c>
      <c r="AZ45" t="inlineStr">
        <is>
          <t>991002589229702656</t>
        </is>
      </c>
      <c r="BA45" t="inlineStr">
        <is>
          <t>2261960280002656</t>
        </is>
      </c>
      <c r="BB45" t="inlineStr">
        <is>
          <t>BOOK</t>
        </is>
      </c>
      <c r="BD45" t="inlineStr">
        <is>
          <t>9780521462198</t>
        </is>
      </c>
      <c r="BE45" t="inlineStr">
        <is>
          <t>32285003411716</t>
        </is>
      </c>
      <c r="BF45" t="inlineStr">
        <is>
          <t>893610023</t>
        </is>
      </c>
    </row>
    <row r="46">
      <c r="A46" t="inlineStr">
        <is>
          <t>No</t>
        </is>
      </c>
      <c r="B46" t="inlineStr">
        <is>
          <t>CURAL</t>
        </is>
      </c>
      <c r="C46" t="inlineStr">
        <is>
          <t>SHELVES</t>
        </is>
      </c>
      <c r="D46" t="inlineStr">
        <is>
          <t>PR1134 .B74 2001</t>
        </is>
      </c>
      <c r="E46" t="inlineStr">
        <is>
          <t>0                      PR 1134000B  74          2001</t>
        </is>
      </c>
      <c r="F46" t="inlineStr">
        <is>
          <t>British literature, 1640-1789 : an anthology / edited by Robert DeMaria, Jr.</t>
        </is>
      </c>
      <c r="H46" t="inlineStr">
        <is>
          <t>No</t>
        </is>
      </c>
      <c r="I46" t="inlineStr">
        <is>
          <t>1</t>
        </is>
      </c>
      <c r="J46" t="inlineStr">
        <is>
          <t>No</t>
        </is>
      </c>
      <c r="K46" t="inlineStr">
        <is>
          <t>No</t>
        </is>
      </c>
      <c r="L46" t="inlineStr">
        <is>
          <t>0</t>
        </is>
      </c>
      <c r="N46" t="inlineStr">
        <is>
          <t>Malden, Mass. : Blackwell, 2001.</t>
        </is>
      </c>
      <c r="O46" t="inlineStr">
        <is>
          <t>2001</t>
        </is>
      </c>
      <c r="P46" t="inlineStr">
        <is>
          <t>2nd ed.</t>
        </is>
      </c>
      <c r="Q46" t="inlineStr">
        <is>
          <t>eng</t>
        </is>
      </c>
      <c r="R46" t="inlineStr">
        <is>
          <t>mau</t>
        </is>
      </c>
      <c r="S46" t="inlineStr">
        <is>
          <t>Blackwell anthologies</t>
        </is>
      </c>
      <c r="T46" t="inlineStr">
        <is>
          <t xml:space="preserve">PR </t>
        </is>
      </c>
      <c r="U46" t="n">
        <v>2</v>
      </c>
      <c r="V46" t="n">
        <v>2</v>
      </c>
      <c r="W46" t="inlineStr">
        <is>
          <t>2005-11-28</t>
        </is>
      </c>
      <c r="X46" t="inlineStr">
        <is>
          <t>2005-11-28</t>
        </is>
      </c>
      <c r="Y46" t="inlineStr">
        <is>
          <t>2003-09-15</t>
        </is>
      </c>
      <c r="Z46" t="inlineStr">
        <is>
          <t>2003-09-15</t>
        </is>
      </c>
      <c r="AA46" t="n">
        <v>193</v>
      </c>
      <c r="AB46" t="n">
        <v>125</v>
      </c>
      <c r="AC46" t="n">
        <v>645</v>
      </c>
      <c r="AD46" t="n">
        <v>3</v>
      </c>
      <c r="AE46" t="n">
        <v>8</v>
      </c>
      <c r="AF46" t="n">
        <v>8</v>
      </c>
      <c r="AG46" t="n">
        <v>34</v>
      </c>
      <c r="AH46" t="n">
        <v>2</v>
      </c>
      <c r="AI46" t="n">
        <v>11</v>
      </c>
      <c r="AJ46" t="n">
        <v>3</v>
      </c>
      <c r="AK46" t="n">
        <v>9</v>
      </c>
      <c r="AL46" t="n">
        <v>3</v>
      </c>
      <c r="AM46" t="n">
        <v>14</v>
      </c>
      <c r="AN46" t="n">
        <v>2</v>
      </c>
      <c r="AO46" t="n">
        <v>6</v>
      </c>
      <c r="AP46" t="n">
        <v>0</v>
      </c>
      <c r="AQ46" t="n">
        <v>1</v>
      </c>
      <c r="AR46" t="inlineStr">
        <is>
          <t>No</t>
        </is>
      </c>
      <c r="AS46" t="inlineStr">
        <is>
          <t>No</t>
        </is>
      </c>
      <c r="AU46">
        <f>HYPERLINK("https://creighton-primo.hosted.exlibrisgroup.com/primo-explore/search?tab=default_tab&amp;search_scope=EVERYTHING&amp;vid=01CRU&amp;lang=en_US&amp;offset=0&amp;query=any,contains,991004123089702656","Catalog Record")</f>
        <v/>
      </c>
      <c r="AV46">
        <f>HYPERLINK("http://www.worldcat.org/oclc/45493084","WorldCat Record")</f>
        <v/>
      </c>
      <c r="AW46" t="inlineStr">
        <is>
          <t>793060001:eng</t>
        </is>
      </c>
      <c r="AX46" t="inlineStr">
        <is>
          <t>45493084</t>
        </is>
      </c>
      <c r="AY46" t="inlineStr">
        <is>
          <t>991004123089702656</t>
        </is>
      </c>
      <c r="AZ46" t="inlineStr">
        <is>
          <t>991004123089702656</t>
        </is>
      </c>
      <c r="BA46" t="inlineStr">
        <is>
          <t>2262094590002656</t>
        </is>
      </c>
      <c r="BB46" t="inlineStr">
        <is>
          <t>BOOK</t>
        </is>
      </c>
      <c r="BD46" t="inlineStr">
        <is>
          <t>9780631217688</t>
        </is>
      </c>
      <c r="BE46" t="inlineStr">
        <is>
          <t>32285004782941</t>
        </is>
      </c>
      <c r="BF46" t="inlineStr">
        <is>
          <t>893324952</t>
        </is>
      </c>
    </row>
    <row r="47">
      <c r="A47" t="inlineStr">
        <is>
          <t>No</t>
        </is>
      </c>
      <c r="B47" t="inlineStr">
        <is>
          <t>CURAL</t>
        </is>
      </c>
      <c r="C47" t="inlineStr">
        <is>
          <t>SHELVES</t>
        </is>
      </c>
      <c r="D47" t="inlineStr">
        <is>
          <t>PR1139 .E54 1999</t>
        </is>
      </c>
      <c r="E47" t="inlineStr">
        <is>
          <t>0                      PR 1139000E  54          1999</t>
        </is>
      </c>
      <c r="F47" t="inlineStr">
        <is>
          <t>The Enlightenment and English literature : prose and poetry of the eighteenth century / by John L. Mahoney.</t>
        </is>
      </c>
      <c r="H47" t="inlineStr">
        <is>
          <t>No</t>
        </is>
      </c>
      <c r="I47" t="inlineStr">
        <is>
          <t>1</t>
        </is>
      </c>
      <c r="J47" t="inlineStr">
        <is>
          <t>No</t>
        </is>
      </c>
      <c r="K47" t="inlineStr">
        <is>
          <t>No</t>
        </is>
      </c>
      <c r="L47" t="inlineStr">
        <is>
          <t>0</t>
        </is>
      </c>
      <c r="N47" t="inlineStr">
        <is>
          <t>Prospect Heights, Ill. : Waveland Press, 1999, c1980.</t>
        </is>
      </c>
      <c r="O47" t="inlineStr">
        <is>
          <t>1999</t>
        </is>
      </c>
      <c r="Q47" t="inlineStr">
        <is>
          <t>eng</t>
        </is>
      </c>
      <c r="R47" t="inlineStr">
        <is>
          <t>ilu</t>
        </is>
      </c>
      <c r="T47" t="inlineStr">
        <is>
          <t xml:space="preserve">PR </t>
        </is>
      </c>
      <c r="U47" t="n">
        <v>1</v>
      </c>
      <c r="V47" t="n">
        <v>1</v>
      </c>
      <c r="W47" t="inlineStr">
        <is>
          <t>2003-09-15</t>
        </is>
      </c>
      <c r="X47" t="inlineStr">
        <is>
          <t>2003-09-15</t>
        </is>
      </c>
      <c r="Y47" t="inlineStr">
        <is>
          <t>2003-09-15</t>
        </is>
      </c>
      <c r="Z47" t="inlineStr">
        <is>
          <t>2003-09-15</t>
        </is>
      </c>
      <c r="AA47" t="n">
        <v>6</v>
      </c>
      <c r="AB47" t="n">
        <v>5</v>
      </c>
      <c r="AC47" t="n">
        <v>93</v>
      </c>
      <c r="AD47" t="n">
        <v>1</v>
      </c>
      <c r="AE47" t="n">
        <v>1</v>
      </c>
      <c r="AF47" t="n">
        <v>1</v>
      </c>
      <c r="AG47" t="n">
        <v>5</v>
      </c>
      <c r="AH47" t="n">
        <v>0</v>
      </c>
      <c r="AI47" t="n">
        <v>2</v>
      </c>
      <c r="AJ47" t="n">
        <v>0</v>
      </c>
      <c r="AK47" t="n">
        <v>1</v>
      </c>
      <c r="AL47" t="n">
        <v>1</v>
      </c>
      <c r="AM47" t="n">
        <v>4</v>
      </c>
      <c r="AN47" t="n">
        <v>0</v>
      </c>
      <c r="AO47" t="n">
        <v>0</v>
      </c>
      <c r="AP47" t="n">
        <v>0</v>
      </c>
      <c r="AQ47" t="n">
        <v>0</v>
      </c>
      <c r="AR47" t="inlineStr">
        <is>
          <t>No</t>
        </is>
      </c>
      <c r="AS47" t="inlineStr">
        <is>
          <t>No</t>
        </is>
      </c>
      <c r="AU47">
        <f>HYPERLINK("https://creighton-primo.hosted.exlibrisgroup.com/primo-explore/search?tab=default_tab&amp;search_scope=EVERYTHING&amp;vid=01CRU&amp;lang=en_US&amp;offset=0&amp;query=any,contains,991004123019702656","Catalog Record")</f>
        <v/>
      </c>
      <c r="AV47">
        <f>HYPERLINK("http://www.worldcat.org/oclc/46979519","WorldCat Record")</f>
        <v/>
      </c>
      <c r="AW47" t="inlineStr">
        <is>
          <t>19565886:eng</t>
        </is>
      </c>
      <c r="AX47" t="inlineStr">
        <is>
          <t>46979519</t>
        </is>
      </c>
      <c r="AY47" t="inlineStr">
        <is>
          <t>991004123019702656</t>
        </is>
      </c>
      <c r="AZ47" t="inlineStr">
        <is>
          <t>991004123019702656</t>
        </is>
      </c>
      <c r="BA47" t="inlineStr">
        <is>
          <t>2259666070002656</t>
        </is>
      </c>
      <c r="BB47" t="inlineStr">
        <is>
          <t>BOOK</t>
        </is>
      </c>
      <c r="BD47" t="inlineStr">
        <is>
          <t>9781577660811</t>
        </is>
      </c>
      <c r="BE47" t="inlineStr">
        <is>
          <t>32285004782966</t>
        </is>
      </c>
      <c r="BF47" t="inlineStr">
        <is>
          <t>893337346</t>
        </is>
      </c>
    </row>
    <row r="48">
      <c r="A48" t="inlineStr">
        <is>
          <t>No</t>
        </is>
      </c>
      <c r="B48" t="inlineStr">
        <is>
          <t>CURAL</t>
        </is>
      </c>
      <c r="C48" t="inlineStr">
        <is>
          <t>SHELVES</t>
        </is>
      </c>
      <c r="D48" t="inlineStr">
        <is>
          <t>PR1143 .B4</t>
        </is>
      </c>
      <c r="E48" t="inlineStr">
        <is>
          <t>0                      PR 1143000B  4</t>
        </is>
      </c>
      <c r="F48" t="inlineStr">
        <is>
          <t>The Romantic period / selected and edited by Ernest Bernbaum.</t>
        </is>
      </c>
      <c r="H48" t="inlineStr">
        <is>
          <t>No</t>
        </is>
      </c>
      <c r="I48" t="inlineStr">
        <is>
          <t>1</t>
        </is>
      </c>
      <c r="J48" t="inlineStr">
        <is>
          <t>No</t>
        </is>
      </c>
      <c r="K48" t="inlineStr">
        <is>
          <t>No</t>
        </is>
      </c>
      <c r="L48" t="inlineStr">
        <is>
          <t>0</t>
        </is>
      </c>
      <c r="N48" t="inlineStr">
        <is>
          <t>New York : T. Nelson, 1930.</t>
        </is>
      </c>
      <c r="O48" t="inlineStr">
        <is>
          <t>1930</t>
        </is>
      </c>
      <c r="Q48" t="inlineStr">
        <is>
          <t>eng</t>
        </is>
      </c>
      <c r="R48" t="inlineStr">
        <is>
          <t>nyu</t>
        </is>
      </c>
      <c r="S48" t="inlineStr">
        <is>
          <t>Nelson's English readings ; v. 5</t>
        </is>
      </c>
      <c r="T48" t="inlineStr">
        <is>
          <t xml:space="preserve">PR </t>
        </is>
      </c>
      <c r="U48" t="n">
        <v>1</v>
      </c>
      <c r="V48" t="n">
        <v>1</v>
      </c>
      <c r="W48" t="inlineStr">
        <is>
          <t>2002-02-20</t>
        </is>
      </c>
      <c r="X48" t="inlineStr">
        <is>
          <t>2002-02-20</t>
        </is>
      </c>
      <c r="Y48" t="inlineStr">
        <is>
          <t>1997-09-26</t>
        </is>
      </c>
      <c r="Z48" t="inlineStr">
        <is>
          <t>1997-09-26</t>
        </is>
      </c>
      <c r="AA48" t="n">
        <v>26</v>
      </c>
      <c r="AB48" t="n">
        <v>23</v>
      </c>
      <c r="AC48" t="n">
        <v>115</v>
      </c>
      <c r="AD48" t="n">
        <v>1</v>
      </c>
      <c r="AE48" t="n">
        <v>1</v>
      </c>
      <c r="AF48" t="n">
        <v>0</v>
      </c>
      <c r="AG48" t="n">
        <v>5</v>
      </c>
      <c r="AH48" t="n">
        <v>0</v>
      </c>
      <c r="AI48" t="n">
        <v>2</v>
      </c>
      <c r="AJ48" t="n">
        <v>0</v>
      </c>
      <c r="AK48" t="n">
        <v>2</v>
      </c>
      <c r="AL48" t="n">
        <v>0</v>
      </c>
      <c r="AM48" t="n">
        <v>3</v>
      </c>
      <c r="AN48" t="n">
        <v>0</v>
      </c>
      <c r="AO48" t="n">
        <v>0</v>
      </c>
      <c r="AP48" t="n">
        <v>0</v>
      </c>
      <c r="AQ48" t="n">
        <v>0</v>
      </c>
      <c r="AR48" t="inlineStr">
        <is>
          <t>No</t>
        </is>
      </c>
      <c r="AS48" t="inlineStr">
        <is>
          <t>No</t>
        </is>
      </c>
      <c r="AU48">
        <f>HYPERLINK("https://creighton-primo.hosted.exlibrisgroup.com/primo-explore/search?tab=default_tab&amp;search_scope=EVERYTHING&amp;vid=01CRU&amp;lang=en_US&amp;offset=0&amp;query=any,contains,991001941299702656","Catalog Record")</f>
        <v/>
      </c>
      <c r="AV48">
        <f>HYPERLINK("http://www.worldcat.org/oclc/24534782","WorldCat Record")</f>
        <v/>
      </c>
      <c r="AW48" t="inlineStr">
        <is>
          <t>55511852:eng</t>
        </is>
      </c>
      <c r="AX48" t="inlineStr">
        <is>
          <t>24534782</t>
        </is>
      </c>
      <c r="AY48" t="inlineStr">
        <is>
          <t>991001941299702656</t>
        </is>
      </c>
      <c r="AZ48" t="inlineStr">
        <is>
          <t>991001941299702656</t>
        </is>
      </c>
      <c r="BA48" t="inlineStr">
        <is>
          <t>2268311680002656</t>
        </is>
      </c>
      <c r="BB48" t="inlineStr">
        <is>
          <t>BOOK</t>
        </is>
      </c>
      <c r="BE48" t="inlineStr">
        <is>
          <t>32285003218442</t>
        </is>
      </c>
      <c r="BF48" t="inlineStr">
        <is>
          <t>893898208</t>
        </is>
      </c>
    </row>
    <row r="49">
      <c r="A49" t="inlineStr">
        <is>
          <t>No</t>
        </is>
      </c>
      <c r="B49" t="inlineStr">
        <is>
          <t>CURAL</t>
        </is>
      </c>
      <c r="C49" t="inlineStr">
        <is>
          <t>SHELVES</t>
        </is>
      </c>
      <c r="D49" t="inlineStr">
        <is>
          <t>PR1143 .W6</t>
        </is>
      </c>
      <c r="E49" t="inlineStr">
        <is>
          <t>0                      PR 1143000W  6</t>
        </is>
      </c>
      <c r="F49" t="inlineStr">
        <is>
          <t>English poetry and prose of the romantic movement, selected and edited, with notes, bibliographies, and a glossary of proper names, by George Benjamin Woods ...</t>
        </is>
      </c>
      <c r="H49" t="inlineStr">
        <is>
          <t>No</t>
        </is>
      </c>
      <c r="I49" t="inlineStr">
        <is>
          <t>1</t>
        </is>
      </c>
      <c r="J49" t="inlineStr">
        <is>
          <t>No</t>
        </is>
      </c>
      <c r="K49" t="inlineStr">
        <is>
          <t>No</t>
        </is>
      </c>
      <c r="L49" t="inlineStr">
        <is>
          <t>0</t>
        </is>
      </c>
      <c r="M49" t="inlineStr">
        <is>
          <t>Woods, George Benjamin, 1878-1958, editor.</t>
        </is>
      </c>
      <c r="N49" t="inlineStr">
        <is>
          <t>Chicago, Atlanta [etc.] Scott, Foresman and company, [c1929]</t>
        </is>
      </c>
      <c r="O49" t="inlineStr">
        <is>
          <t>1929</t>
        </is>
      </c>
      <c r="Q49" t="inlineStr">
        <is>
          <t>eng</t>
        </is>
      </c>
      <c r="R49" t="inlineStr">
        <is>
          <t>ilu</t>
        </is>
      </c>
      <c r="T49" t="inlineStr">
        <is>
          <t xml:space="preserve">PR </t>
        </is>
      </c>
      <c r="U49" t="n">
        <v>2</v>
      </c>
      <c r="V49" t="n">
        <v>2</v>
      </c>
      <c r="W49" t="inlineStr">
        <is>
          <t>2002-02-20</t>
        </is>
      </c>
      <c r="X49" t="inlineStr">
        <is>
          <t>2002-02-20</t>
        </is>
      </c>
      <c r="Y49" t="inlineStr">
        <is>
          <t>1997-09-26</t>
        </is>
      </c>
      <c r="Z49" t="inlineStr">
        <is>
          <t>1997-09-26</t>
        </is>
      </c>
      <c r="AA49" t="n">
        <v>339</v>
      </c>
      <c r="AB49" t="n">
        <v>323</v>
      </c>
      <c r="AC49" t="n">
        <v>377</v>
      </c>
      <c r="AD49" t="n">
        <v>4</v>
      </c>
      <c r="AE49" t="n">
        <v>5</v>
      </c>
      <c r="AF49" t="n">
        <v>15</v>
      </c>
      <c r="AG49" t="n">
        <v>18</v>
      </c>
      <c r="AH49" t="n">
        <v>4</v>
      </c>
      <c r="AI49" t="n">
        <v>5</v>
      </c>
      <c r="AJ49" t="n">
        <v>0</v>
      </c>
      <c r="AK49" t="n">
        <v>1</v>
      </c>
      <c r="AL49" t="n">
        <v>8</v>
      </c>
      <c r="AM49" t="n">
        <v>8</v>
      </c>
      <c r="AN49" t="n">
        <v>3</v>
      </c>
      <c r="AO49" t="n">
        <v>4</v>
      </c>
      <c r="AP49" t="n">
        <v>0</v>
      </c>
      <c r="AQ49" t="n">
        <v>0</v>
      </c>
      <c r="AR49" t="inlineStr">
        <is>
          <t>Yes</t>
        </is>
      </c>
      <c r="AS49" t="inlineStr">
        <is>
          <t>No</t>
        </is>
      </c>
      <c r="AT49">
        <f>HYPERLINK("http://catalog.hathitrust.org/Record/006281729","HathiTrust Record")</f>
        <v/>
      </c>
      <c r="AU49">
        <f>HYPERLINK("https://creighton-primo.hosted.exlibrisgroup.com/primo-explore/search?tab=default_tab&amp;search_scope=EVERYTHING&amp;vid=01CRU&amp;lang=en_US&amp;offset=0&amp;query=any,contains,991002103679702656","Catalog Record")</f>
        <v/>
      </c>
      <c r="AV49">
        <f>HYPERLINK("http://www.worldcat.org/oclc/27002549","WorldCat Record")</f>
        <v/>
      </c>
      <c r="AW49" t="inlineStr">
        <is>
          <t>5578648780:eng</t>
        </is>
      </c>
      <c r="AX49" t="inlineStr">
        <is>
          <t>27002549</t>
        </is>
      </c>
      <c r="AY49" t="inlineStr">
        <is>
          <t>991002103679702656</t>
        </is>
      </c>
      <c r="AZ49" t="inlineStr">
        <is>
          <t>991002103679702656</t>
        </is>
      </c>
      <c r="BA49" t="inlineStr">
        <is>
          <t>2255716870002656</t>
        </is>
      </c>
      <c r="BB49" t="inlineStr">
        <is>
          <t>BOOK</t>
        </is>
      </c>
      <c r="BE49" t="inlineStr">
        <is>
          <t>32285003218467</t>
        </is>
      </c>
      <c r="BF49" t="inlineStr">
        <is>
          <t>893510299</t>
        </is>
      </c>
    </row>
    <row r="50">
      <c r="A50" t="inlineStr">
        <is>
          <t>No</t>
        </is>
      </c>
      <c r="B50" t="inlineStr">
        <is>
          <t>CURAL</t>
        </is>
      </c>
      <c r="C50" t="inlineStr">
        <is>
          <t>SHELVES</t>
        </is>
      </c>
      <c r="D50" t="inlineStr">
        <is>
          <t>PR1145 .B74 1987</t>
        </is>
      </c>
      <c r="E50" t="inlineStr">
        <is>
          <t>0                      PR 1145000B  74          1987</t>
        </is>
      </c>
      <c r="F50" t="inlineStr">
        <is>
          <t>British poetry and prose, 1870-1905 / edited by Ian Fletcher.</t>
        </is>
      </c>
      <c r="H50" t="inlineStr">
        <is>
          <t>No</t>
        </is>
      </c>
      <c r="I50" t="inlineStr">
        <is>
          <t>1</t>
        </is>
      </c>
      <c r="J50" t="inlineStr">
        <is>
          <t>No</t>
        </is>
      </c>
      <c r="K50" t="inlineStr">
        <is>
          <t>No</t>
        </is>
      </c>
      <c r="L50" t="inlineStr">
        <is>
          <t>0</t>
        </is>
      </c>
      <c r="N50" t="inlineStr">
        <is>
          <t>Oxford [Oxfordshire] ; New York : Oxford University Press, 1987.</t>
        </is>
      </c>
      <c r="O50" t="inlineStr">
        <is>
          <t>1986</t>
        </is>
      </c>
      <c r="Q50" t="inlineStr">
        <is>
          <t>eng</t>
        </is>
      </c>
      <c r="R50" t="inlineStr">
        <is>
          <t>enk</t>
        </is>
      </c>
      <c r="S50" t="inlineStr">
        <is>
          <t>The Oxford authors</t>
        </is>
      </c>
      <c r="T50" t="inlineStr">
        <is>
          <t xml:space="preserve">PR </t>
        </is>
      </c>
      <c r="U50" t="n">
        <v>2</v>
      </c>
      <c r="V50" t="n">
        <v>2</v>
      </c>
      <c r="W50" t="inlineStr">
        <is>
          <t>1994-04-27</t>
        </is>
      </c>
      <c r="X50" t="inlineStr">
        <is>
          <t>1994-04-27</t>
        </is>
      </c>
      <c r="Y50" t="inlineStr">
        <is>
          <t>1991-09-18</t>
        </is>
      </c>
      <c r="Z50" t="inlineStr">
        <is>
          <t>1991-09-18</t>
        </is>
      </c>
      <c r="AA50" t="n">
        <v>370</v>
      </c>
      <c r="AB50" t="n">
        <v>265</v>
      </c>
      <c r="AC50" t="n">
        <v>273</v>
      </c>
      <c r="AD50" t="n">
        <v>3</v>
      </c>
      <c r="AE50" t="n">
        <v>3</v>
      </c>
      <c r="AF50" t="n">
        <v>17</v>
      </c>
      <c r="AG50" t="n">
        <v>17</v>
      </c>
      <c r="AH50" t="n">
        <v>5</v>
      </c>
      <c r="AI50" t="n">
        <v>5</v>
      </c>
      <c r="AJ50" t="n">
        <v>4</v>
      </c>
      <c r="AK50" t="n">
        <v>4</v>
      </c>
      <c r="AL50" t="n">
        <v>11</v>
      </c>
      <c r="AM50" t="n">
        <v>11</v>
      </c>
      <c r="AN50" t="n">
        <v>2</v>
      </c>
      <c r="AO50" t="n">
        <v>2</v>
      </c>
      <c r="AP50" t="n">
        <v>0</v>
      </c>
      <c r="AQ50" t="n">
        <v>0</v>
      </c>
      <c r="AR50" t="inlineStr">
        <is>
          <t>No</t>
        </is>
      </c>
      <c r="AS50" t="inlineStr">
        <is>
          <t>No</t>
        </is>
      </c>
      <c r="AU50">
        <f>HYPERLINK("https://creighton-primo.hosted.exlibrisgroup.com/primo-explore/search?tab=default_tab&amp;search_scope=EVERYTHING&amp;vid=01CRU&amp;lang=en_US&amp;offset=0&amp;query=any,contains,991000774519702656","Catalog Record")</f>
        <v/>
      </c>
      <c r="AV50">
        <f>HYPERLINK("http://www.worldcat.org/oclc/13062902","WorldCat Record")</f>
        <v/>
      </c>
      <c r="AW50" t="inlineStr">
        <is>
          <t>137907237:eng</t>
        </is>
      </c>
      <c r="AX50" t="inlineStr">
        <is>
          <t>13062902</t>
        </is>
      </c>
      <c r="AY50" t="inlineStr">
        <is>
          <t>991000774519702656</t>
        </is>
      </c>
      <c r="AZ50" t="inlineStr">
        <is>
          <t>991000774519702656</t>
        </is>
      </c>
      <c r="BA50" t="inlineStr">
        <is>
          <t>2256926490002656</t>
        </is>
      </c>
      <c r="BB50" t="inlineStr">
        <is>
          <t>BOOK</t>
        </is>
      </c>
      <c r="BD50" t="inlineStr">
        <is>
          <t>9780192813756</t>
        </is>
      </c>
      <c r="BE50" t="inlineStr">
        <is>
          <t>32285000759331</t>
        </is>
      </c>
      <c r="BF50" t="inlineStr">
        <is>
          <t>893796973</t>
        </is>
      </c>
    </row>
    <row r="51">
      <c r="A51" t="inlineStr">
        <is>
          <t>No</t>
        </is>
      </c>
      <c r="B51" t="inlineStr">
        <is>
          <t>CURAL</t>
        </is>
      </c>
      <c r="C51" t="inlineStr">
        <is>
          <t>SHELVES</t>
        </is>
      </c>
      <c r="D51" t="inlineStr">
        <is>
          <t>PR1145 .J6 1964</t>
        </is>
      </c>
      <c r="E51" t="inlineStr">
        <is>
          <t>0                      PR 1145000J  6           1964</t>
        </is>
      </c>
      <c r="F51" t="inlineStr">
        <is>
          <t>The world of the Victorians : an anthology of poetry and prose / selected and edited, with critical commentary by E.D.H. Johnson.</t>
        </is>
      </c>
      <c r="H51" t="inlineStr">
        <is>
          <t>No</t>
        </is>
      </c>
      <c r="I51" t="inlineStr">
        <is>
          <t>1</t>
        </is>
      </c>
      <c r="J51" t="inlineStr">
        <is>
          <t>No</t>
        </is>
      </c>
      <c r="K51" t="inlineStr">
        <is>
          <t>No</t>
        </is>
      </c>
      <c r="L51" t="inlineStr">
        <is>
          <t>0</t>
        </is>
      </c>
      <c r="M51" t="inlineStr">
        <is>
          <t>Johnson, E. D. H. (Edward Dudley Hume) editor.</t>
        </is>
      </c>
      <c r="N51" t="inlineStr">
        <is>
          <t>New York : Scribner, c1964.</t>
        </is>
      </c>
      <c r="O51" t="inlineStr">
        <is>
          <t>1964</t>
        </is>
      </c>
      <c r="Q51" t="inlineStr">
        <is>
          <t>eng</t>
        </is>
      </c>
      <c r="R51" t="inlineStr">
        <is>
          <t>nyu</t>
        </is>
      </c>
      <c r="T51" t="inlineStr">
        <is>
          <t xml:space="preserve">PR </t>
        </is>
      </c>
      <c r="U51" t="n">
        <v>1</v>
      </c>
      <c r="V51" t="n">
        <v>1</v>
      </c>
      <c r="W51" t="inlineStr">
        <is>
          <t>2001-07-16</t>
        </is>
      </c>
      <c r="X51" t="inlineStr">
        <is>
          <t>2001-07-16</t>
        </is>
      </c>
      <c r="Y51" t="inlineStr">
        <is>
          <t>2001-07-16</t>
        </is>
      </c>
      <c r="Z51" t="inlineStr">
        <is>
          <t>2001-07-16</t>
        </is>
      </c>
      <c r="AA51" t="n">
        <v>386</v>
      </c>
      <c r="AB51" t="n">
        <v>338</v>
      </c>
      <c r="AC51" t="n">
        <v>344</v>
      </c>
      <c r="AD51" t="n">
        <v>4</v>
      </c>
      <c r="AE51" t="n">
        <v>4</v>
      </c>
      <c r="AF51" t="n">
        <v>21</v>
      </c>
      <c r="AG51" t="n">
        <v>21</v>
      </c>
      <c r="AH51" t="n">
        <v>8</v>
      </c>
      <c r="AI51" t="n">
        <v>8</v>
      </c>
      <c r="AJ51" t="n">
        <v>4</v>
      </c>
      <c r="AK51" t="n">
        <v>4</v>
      </c>
      <c r="AL51" t="n">
        <v>13</v>
      </c>
      <c r="AM51" t="n">
        <v>13</v>
      </c>
      <c r="AN51" t="n">
        <v>2</v>
      </c>
      <c r="AO51" t="n">
        <v>2</v>
      </c>
      <c r="AP51" t="n">
        <v>0</v>
      </c>
      <c r="AQ51" t="n">
        <v>0</v>
      </c>
      <c r="AR51" t="inlineStr">
        <is>
          <t>No</t>
        </is>
      </c>
      <c r="AS51" t="inlineStr">
        <is>
          <t>No</t>
        </is>
      </c>
      <c r="AU51">
        <f>HYPERLINK("https://creighton-primo.hosted.exlibrisgroup.com/primo-explore/search?tab=default_tab&amp;search_scope=EVERYTHING&amp;vid=01CRU&amp;lang=en_US&amp;offset=0&amp;query=any,contains,991003569419702656","Catalog Record")</f>
        <v/>
      </c>
      <c r="AV51">
        <f>HYPERLINK("http://www.worldcat.org/oclc/973848","WorldCat Record")</f>
        <v/>
      </c>
      <c r="AW51" t="inlineStr">
        <is>
          <t>1933083:eng</t>
        </is>
      </c>
      <c r="AX51" t="inlineStr">
        <is>
          <t>973848</t>
        </is>
      </c>
      <c r="AY51" t="inlineStr">
        <is>
          <t>991003569419702656</t>
        </is>
      </c>
      <c r="AZ51" t="inlineStr">
        <is>
          <t>991003569419702656</t>
        </is>
      </c>
      <c r="BA51" t="inlineStr">
        <is>
          <t>2256393480002656</t>
        </is>
      </c>
      <c r="BB51" t="inlineStr">
        <is>
          <t>BOOK</t>
        </is>
      </c>
      <c r="BE51" t="inlineStr">
        <is>
          <t>32285004332689</t>
        </is>
      </c>
      <c r="BF51" t="inlineStr">
        <is>
          <t>893868571</t>
        </is>
      </c>
    </row>
    <row r="52">
      <c r="A52" t="inlineStr">
        <is>
          <t>No</t>
        </is>
      </c>
      <c r="B52" t="inlineStr">
        <is>
          <t>CURAL</t>
        </is>
      </c>
      <c r="C52" t="inlineStr">
        <is>
          <t>SHELVES</t>
        </is>
      </c>
      <c r="D52" t="inlineStr">
        <is>
          <t>PR115 .B7</t>
        </is>
      </c>
      <c r="E52" t="inlineStr">
        <is>
          <t>0                      PR 0115000B  7</t>
        </is>
      </c>
      <c r="F52" t="inlineStr">
        <is>
          <t>Some goddesses of the pen.</t>
        </is>
      </c>
      <c r="H52" t="inlineStr">
        <is>
          <t>No</t>
        </is>
      </c>
      <c r="I52" t="inlineStr">
        <is>
          <t>1</t>
        </is>
      </c>
      <c r="J52" t="inlineStr">
        <is>
          <t>No</t>
        </is>
      </c>
      <c r="K52" t="inlineStr">
        <is>
          <t>No</t>
        </is>
      </c>
      <c r="L52" t="inlineStr">
        <is>
          <t>0</t>
        </is>
      </c>
      <c r="M52" t="inlineStr">
        <is>
          <t>Braybrooke, Patrick, 1894-1956.</t>
        </is>
      </c>
      <c r="N52" t="inlineStr">
        <is>
          <t>Freeport, N.Y., Books for Libraries Press [1966]</t>
        </is>
      </c>
      <c r="O52" t="inlineStr">
        <is>
          <t>1966</t>
        </is>
      </c>
      <c r="Q52" t="inlineStr">
        <is>
          <t>eng</t>
        </is>
      </c>
      <c r="R52" t="inlineStr">
        <is>
          <t>nyu</t>
        </is>
      </c>
      <c r="S52" t="inlineStr">
        <is>
          <t>Essay index reprint series</t>
        </is>
      </c>
      <c r="T52" t="inlineStr">
        <is>
          <t xml:space="preserve">PR </t>
        </is>
      </c>
      <c r="U52" t="n">
        <v>1</v>
      </c>
      <c r="V52" t="n">
        <v>1</v>
      </c>
      <c r="W52" t="inlineStr">
        <is>
          <t>2003-11-19</t>
        </is>
      </c>
      <c r="X52" t="inlineStr">
        <is>
          <t>2003-11-19</t>
        </is>
      </c>
      <c r="Y52" t="inlineStr">
        <is>
          <t>1997-08-15</t>
        </is>
      </c>
      <c r="Z52" t="inlineStr">
        <is>
          <t>1997-08-15</t>
        </is>
      </c>
      <c r="AA52" t="n">
        <v>318</v>
      </c>
      <c r="AB52" t="n">
        <v>304</v>
      </c>
      <c r="AC52" t="n">
        <v>440</v>
      </c>
      <c r="AD52" t="n">
        <v>3</v>
      </c>
      <c r="AE52" t="n">
        <v>4</v>
      </c>
      <c r="AF52" t="n">
        <v>11</v>
      </c>
      <c r="AG52" t="n">
        <v>20</v>
      </c>
      <c r="AH52" t="n">
        <v>4</v>
      </c>
      <c r="AI52" t="n">
        <v>9</v>
      </c>
      <c r="AJ52" t="n">
        <v>0</v>
      </c>
      <c r="AK52" t="n">
        <v>3</v>
      </c>
      <c r="AL52" t="n">
        <v>6</v>
      </c>
      <c r="AM52" t="n">
        <v>10</v>
      </c>
      <c r="AN52" t="n">
        <v>2</v>
      </c>
      <c r="AO52" t="n">
        <v>3</v>
      </c>
      <c r="AP52" t="n">
        <v>0</v>
      </c>
      <c r="AQ52" t="n">
        <v>0</v>
      </c>
      <c r="AR52" t="inlineStr">
        <is>
          <t>No</t>
        </is>
      </c>
      <c r="AS52" t="inlineStr">
        <is>
          <t>No</t>
        </is>
      </c>
      <c r="AU52">
        <f>HYPERLINK("https://creighton-primo.hosted.exlibrisgroup.com/primo-explore/search?tab=default_tab&amp;search_scope=EVERYTHING&amp;vid=01CRU&amp;lang=en_US&amp;offset=0&amp;query=any,contains,991002480809702656","Catalog Record")</f>
        <v/>
      </c>
      <c r="AV52">
        <f>HYPERLINK("http://www.worldcat.org/oclc/359716","WorldCat Record")</f>
        <v/>
      </c>
      <c r="AW52" t="inlineStr">
        <is>
          <t>1409842:eng</t>
        </is>
      </c>
      <c r="AX52" t="inlineStr">
        <is>
          <t>359716</t>
        </is>
      </c>
      <c r="AY52" t="inlineStr">
        <is>
          <t>991002480809702656</t>
        </is>
      </c>
      <c r="AZ52" t="inlineStr">
        <is>
          <t>991002480809702656</t>
        </is>
      </c>
      <c r="BA52" t="inlineStr">
        <is>
          <t>2272499710002656</t>
        </is>
      </c>
      <c r="BB52" t="inlineStr">
        <is>
          <t>BOOK</t>
        </is>
      </c>
      <c r="BE52" t="inlineStr">
        <is>
          <t>32285003150033</t>
        </is>
      </c>
      <c r="BF52" t="inlineStr">
        <is>
          <t>893239111</t>
        </is>
      </c>
    </row>
    <row r="53">
      <c r="A53" t="inlineStr">
        <is>
          <t>No</t>
        </is>
      </c>
      <c r="B53" t="inlineStr">
        <is>
          <t>CURAL</t>
        </is>
      </c>
      <c r="C53" t="inlineStr">
        <is>
          <t>SHELVES</t>
        </is>
      </c>
      <c r="D53" t="inlineStr">
        <is>
          <t>PR115 .J65 2000</t>
        </is>
      </c>
      <c r="E53" t="inlineStr">
        <is>
          <t>0                      PR 0115000J  65          2000</t>
        </is>
      </c>
      <c r="F53" t="inlineStr">
        <is>
          <t>A passionate sisterhood : the sisters, wives and daughters of the Lake poets / Kathleen Jones.</t>
        </is>
      </c>
      <c r="H53" t="inlineStr">
        <is>
          <t>No</t>
        </is>
      </c>
      <c r="I53" t="inlineStr">
        <is>
          <t>1</t>
        </is>
      </c>
      <c r="J53" t="inlineStr">
        <is>
          <t>No</t>
        </is>
      </c>
      <c r="K53" t="inlineStr">
        <is>
          <t>No</t>
        </is>
      </c>
      <c r="L53" t="inlineStr">
        <is>
          <t>0</t>
        </is>
      </c>
      <c r="M53" t="inlineStr">
        <is>
          <t>Jones, Kathleen, 1946-</t>
        </is>
      </c>
      <c r="N53" t="inlineStr">
        <is>
          <t>New York : St. Martin's Press, 2000.</t>
        </is>
      </c>
      <c r="O53" t="inlineStr">
        <is>
          <t>2000</t>
        </is>
      </c>
      <c r="Q53" t="inlineStr">
        <is>
          <t>eng</t>
        </is>
      </c>
      <c r="R53" t="inlineStr">
        <is>
          <t>nyu</t>
        </is>
      </c>
      <c r="T53" t="inlineStr">
        <is>
          <t xml:space="preserve">PR </t>
        </is>
      </c>
      <c r="U53" t="n">
        <v>3</v>
      </c>
      <c r="V53" t="n">
        <v>3</v>
      </c>
      <c r="W53" t="inlineStr">
        <is>
          <t>2003-04-18</t>
        </is>
      </c>
      <c r="X53" t="inlineStr">
        <is>
          <t>2003-04-18</t>
        </is>
      </c>
      <c r="Y53" t="inlineStr">
        <is>
          <t>2001-01-15</t>
        </is>
      </c>
      <c r="Z53" t="inlineStr">
        <is>
          <t>2001-01-15</t>
        </is>
      </c>
      <c r="AA53" t="n">
        <v>607</v>
      </c>
      <c r="AB53" t="n">
        <v>578</v>
      </c>
      <c r="AC53" t="n">
        <v>659</v>
      </c>
      <c r="AD53" t="n">
        <v>3</v>
      </c>
      <c r="AE53" t="n">
        <v>4</v>
      </c>
      <c r="AF53" t="n">
        <v>26</v>
      </c>
      <c r="AG53" t="n">
        <v>32</v>
      </c>
      <c r="AH53" t="n">
        <v>12</v>
      </c>
      <c r="AI53" t="n">
        <v>14</v>
      </c>
      <c r="AJ53" t="n">
        <v>8</v>
      </c>
      <c r="AK53" t="n">
        <v>10</v>
      </c>
      <c r="AL53" t="n">
        <v>12</v>
      </c>
      <c r="AM53" t="n">
        <v>16</v>
      </c>
      <c r="AN53" t="n">
        <v>2</v>
      </c>
      <c r="AO53" t="n">
        <v>3</v>
      </c>
      <c r="AP53" t="n">
        <v>0</v>
      </c>
      <c r="AQ53" t="n">
        <v>0</v>
      </c>
      <c r="AR53" t="inlineStr">
        <is>
          <t>No</t>
        </is>
      </c>
      <c r="AS53" t="inlineStr">
        <is>
          <t>No</t>
        </is>
      </c>
      <c r="AU53">
        <f>HYPERLINK("https://creighton-primo.hosted.exlibrisgroup.com/primo-explore/search?tab=default_tab&amp;search_scope=EVERYTHING&amp;vid=01CRU&amp;lang=en_US&amp;offset=0&amp;query=any,contains,991003466249702656","Catalog Record")</f>
        <v/>
      </c>
      <c r="AV53">
        <f>HYPERLINK("http://www.worldcat.org/oclc/43083470","WorldCat Record")</f>
        <v/>
      </c>
      <c r="AW53" t="inlineStr">
        <is>
          <t>28041988:eng</t>
        </is>
      </c>
      <c r="AX53" t="inlineStr">
        <is>
          <t>43083470</t>
        </is>
      </c>
      <c r="AY53" t="inlineStr">
        <is>
          <t>991003466249702656</t>
        </is>
      </c>
      <c r="AZ53" t="inlineStr">
        <is>
          <t>991003466249702656</t>
        </is>
      </c>
      <c r="BA53" t="inlineStr">
        <is>
          <t>2264978820002656</t>
        </is>
      </c>
      <c r="BB53" t="inlineStr">
        <is>
          <t>BOOK</t>
        </is>
      </c>
      <c r="BD53" t="inlineStr">
        <is>
          <t>9780312227319</t>
        </is>
      </c>
      <c r="BE53" t="inlineStr">
        <is>
          <t>32285004283791</t>
        </is>
      </c>
      <c r="BF53" t="inlineStr">
        <is>
          <t>893531201</t>
        </is>
      </c>
    </row>
    <row r="54">
      <c r="A54" t="inlineStr">
        <is>
          <t>No</t>
        </is>
      </c>
      <c r="B54" t="inlineStr">
        <is>
          <t>CURAL</t>
        </is>
      </c>
      <c r="C54" t="inlineStr">
        <is>
          <t>SHELVES</t>
        </is>
      </c>
      <c r="D54" t="inlineStr">
        <is>
          <t>PR115 .S8</t>
        </is>
      </c>
      <c r="E54" t="inlineStr">
        <is>
          <t>0                      PR 0115000S  8</t>
        </is>
      </c>
      <c r="F54" t="inlineStr">
        <is>
          <t>A Victorian album; some lady novelists of the period [by] Lucy Poate Stebbins.</t>
        </is>
      </c>
      <c r="H54" t="inlineStr">
        <is>
          <t>No</t>
        </is>
      </c>
      <c r="I54" t="inlineStr">
        <is>
          <t>1</t>
        </is>
      </c>
      <c r="J54" t="inlineStr">
        <is>
          <t>No</t>
        </is>
      </c>
      <c r="K54" t="inlineStr">
        <is>
          <t>No</t>
        </is>
      </c>
      <c r="L54" t="inlineStr">
        <is>
          <t>0</t>
        </is>
      </c>
      <c r="M54" t="inlineStr">
        <is>
          <t>Stebbins, Lucy Poate, 1886-1958.</t>
        </is>
      </c>
      <c r="N54" t="inlineStr">
        <is>
          <t>New York, Columbia University Press, 1946.</t>
        </is>
      </c>
      <c r="O54" t="inlineStr">
        <is>
          <t>1946</t>
        </is>
      </c>
      <c r="Q54" t="inlineStr">
        <is>
          <t>eng</t>
        </is>
      </c>
      <c r="R54" t="inlineStr">
        <is>
          <t>nyu</t>
        </is>
      </c>
      <c r="T54" t="inlineStr">
        <is>
          <t xml:space="preserve">PR </t>
        </is>
      </c>
      <c r="U54" t="n">
        <v>1</v>
      </c>
      <c r="V54" t="n">
        <v>1</v>
      </c>
      <c r="W54" t="inlineStr">
        <is>
          <t>2008-09-02</t>
        </is>
      </c>
      <c r="X54" t="inlineStr">
        <is>
          <t>2008-09-02</t>
        </is>
      </c>
      <c r="Y54" t="inlineStr">
        <is>
          <t>1997-08-15</t>
        </is>
      </c>
      <c r="Z54" t="inlineStr">
        <is>
          <t>1997-08-15</t>
        </is>
      </c>
      <c r="AA54" t="n">
        <v>570</v>
      </c>
      <c r="AB54" t="n">
        <v>543</v>
      </c>
      <c r="AC54" t="n">
        <v>725</v>
      </c>
      <c r="AD54" t="n">
        <v>5</v>
      </c>
      <c r="AE54" t="n">
        <v>6</v>
      </c>
      <c r="AF54" t="n">
        <v>28</v>
      </c>
      <c r="AG54" t="n">
        <v>39</v>
      </c>
      <c r="AH54" t="n">
        <v>11</v>
      </c>
      <c r="AI54" t="n">
        <v>17</v>
      </c>
      <c r="AJ54" t="n">
        <v>5</v>
      </c>
      <c r="AK54" t="n">
        <v>8</v>
      </c>
      <c r="AL54" t="n">
        <v>16</v>
      </c>
      <c r="AM54" t="n">
        <v>18</v>
      </c>
      <c r="AN54" t="n">
        <v>3</v>
      </c>
      <c r="AO54" t="n">
        <v>4</v>
      </c>
      <c r="AP54" t="n">
        <v>0</v>
      </c>
      <c r="AQ54" t="n">
        <v>0</v>
      </c>
      <c r="AR54" t="inlineStr">
        <is>
          <t>No</t>
        </is>
      </c>
      <c r="AS54" t="inlineStr">
        <is>
          <t>Yes</t>
        </is>
      </c>
      <c r="AT54">
        <f>HYPERLINK("http://catalog.hathitrust.org/Record/001375050","HathiTrust Record")</f>
        <v/>
      </c>
      <c r="AU54">
        <f>HYPERLINK("https://creighton-primo.hosted.exlibrisgroup.com/primo-explore/search?tab=default_tab&amp;search_scope=EVERYTHING&amp;vid=01CRU&amp;lang=en_US&amp;offset=0&amp;query=any,contains,991003422689702656","Catalog Record")</f>
        <v/>
      </c>
      <c r="AV54">
        <f>HYPERLINK("http://www.worldcat.org/oclc/963589","WorldCat Record")</f>
        <v/>
      </c>
      <c r="AW54" t="inlineStr">
        <is>
          <t>1477296:eng</t>
        </is>
      </c>
      <c r="AX54" t="inlineStr">
        <is>
          <t>963589</t>
        </is>
      </c>
      <c r="AY54" t="inlineStr">
        <is>
          <t>991003422689702656</t>
        </is>
      </c>
      <c r="AZ54" t="inlineStr">
        <is>
          <t>991003422689702656</t>
        </is>
      </c>
      <c r="BA54" t="inlineStr">
        <is>
          <t>2260124090002656</t>
        </is>
      </c>
      <c r="BB54" t="inlineStr">
        <is>
          <t>BOOK</t>
        </is>
      </c>
      <c r="BE54" t="inlineStr">
        <is>
          <t>32285003150066</t>
        </is>
      </c>
      <c r="BF54" t="inlineStr">
        <is>
          <t>893705212</t>
        </is>
      </c>
    </row>
    <row r="55">
      <c r="A55" t="inlineStr">
        <is>
          <t>No</t>
        </is>
      </c>
      <c r="B55" t="inlineStr">
        <is>
          <t>CURAL</t>
        </is>
      </c>
      <c r="C55" t="inlineStr">
        <is>
          <t>SHELVES</t>
        </is>
      </c>
      <c r="D55" t="inlineStr">
        <is>
          <t>PR116 .M54 1987</t>
        </is>
      </c>
      <c r="E55" t="inlineStr">
        <is>
          <t>0                      PR 0116000M  54          1987</t>
        </is>
      </c>
      <c r="F55" t="inlineStr">
        <is>
          <t>The female form : women writers and the conquest of the novel / Rosalind Miles.</t>
        </is>
      </c>
      <c r="H55" t="inlineStr">
        <is>
          <t>No</t>
        </is>
      </c>
      <c r="I55" t="inlineStr">
        <is>
          <t>1</t>
        </is>
      </c>
      <c r="J55" t="inlineStr">
        <is>
          <t>No</t>
        </is>
      </c>
      <c r="K55" t="inlineStr">
        <is>
          <t>No</t>
        </is>
      </c>
      <c r="L55" t="inlineStr">
        <is>
          <t>0</t>
        </is>
      </c>
      <c r="M55" t="inlineStr">
        <is>
          <t>Miles, Rosalind.</t>
        </is>
      </c>
      <c r="N55" t="inlineStr">
        <is>
          <t>London ; New York : Routledge &amp; Kegan Paul, 1987.</t>
        </is>
      </c>
      <c r="O55" t="inlineStr">
        <is>
          <t>1987</t>
        </is>
      </c>
      <c r="Q55" t="inlineStr">
        <is>
          <t>eng</t>
        </is>
      </c>
      <c r="R55" t="inlineStr">
        <is>
          <t>enk</t>
        </is>
      </c>
      <c r="T55" t="inlineStr">
        <is>
          <t xml:space="preserve">PR </t>
        </is>
      </c>
      <c r="U55" t="n">
        <v>10</v>
      </c>
      <c r="V55" t="n">
        <v>10</v>
      </c>
      <c r="W55" t="inlineStr">
        <is>
          <t>2002-04-13</t>
        </is>
      </c>
      <c r="X55" t="inlineStr">
        <is>
          <t>2002-04-13</t>
        </is>
      </c>
      <c r="Y55" t="inlineStr">
        <is>
          <t>1991-08-27</t>
        </is>
      </c>
      <c r="Z55" t="inlineStr">
        <is>
          <t>1991-08-27</t>
        </is>
      </c>
      <c r="AA55" t="n">
        <v>574</v>
      </c>
      <c r="AB55" t="n">
        <v>424</v>
      </c>
      <c r="AC55" t="n">
        <v>433</v>
      </c>
      <c r="AD55" t="n">
        <v>4</v>
      </c>
      <c r="AE55" t="n">
        <v>4</v>
      </c>
      <c r="AF55" t="n">
        <v>21</v>
      </c>
      <c r="AG55" t="n">
        <v>21</v>
      </c>
      <c r="AH55" t="n">
        <v>9</v>
      </c>
      <c r="AI55" t="n">
        <v>9</v>
      </c>
      <c r="AJ55" t="n">
        <v>4</v>
      </c>
      <c r="AK55" t="n">
        <v>4</v>
      </c>
      <c r="AL55" t="n">
        <v>10</v>
      </c>
      <c r="AM55" t="n">
        <v>10</v>
      </c>
      <c r="AN55" t="n">
        <v>3</v>
      </c>
      <c r="AO55" t="n">
        <v>3</v>
      </c>
      <c r="AP55" t="n">
        <v>0</v>
      </c>
      <c r="AQ55" t="n">
        <v>0</v>
      </c>
      <c r="AR55" t="inlineStr">
        <is>
          <t>No</t>
        </is>
      </c>
      <c r="AS55" t="inlineStr">
        <is>
          <t>No</t>
        </is>
      </c>
      <c r="AU55">
        <f>HYPERLINK("https://creighton-primo.hosted.exlibrisgroup.com/primo-explore/search?tab=default_tab&amp;search_scope=EVERYTHING&amp;vid=01CRU&amp;lang=en_US&amp;offset=0&amp;query=any,contains,991000985949702656","Catalog Record")</f>
        <v/>
      </c>
      <c r="AV55">
        <f>HYPERLINK("http://www.worldcat.org/oclc/15081953","WorldCat Record")</f>
        <v/>
      </c>
      <c r="AW55" t="inlineStr">
        <is>
          <t>9007498:eng</t>
        </is>
      </c>
      <c r="AX55" t="inlineStr">
        <is>
          <t>15081953</t>
        </is>
      </c>
      <c r="AY55" t="inlineStr">
        <is>
          <t>991000985949702656</t>
        </is>
      </c>
      <c r="AZ55" t="inlineStr">
        <is>
          <t>991000985949702656</t>
        </is>
      </c>
      <c r="BA55" t="inlineStr">
        <is>
          <t>2258914560002656</t>
        </is>
      </c>
      <c r="BB55" t="inlineStr">
        <is>
          <t>BOOK</t>
        </is>
      </c>
      <c r="BD55" t="inlineStr">
        <is>
          <t>9780710210081</t>
        </is>
      </c>
      <c r="BE55" t="inlineStr">
        <is>
          <t>32285000699701</t>
        </is>
      </c>
      <c r="BF55" t="inlineStr">
        <is>
          <t>893884938</t>
        </is>
      </c>
    </row>
    <row r="56">
      <c r="A56" t="inlineStr">
        <is>
          <t>No</t>
        </is>
      </c>
      <c r="B56" t="inlineStr">
        <is>
          <t>CURAL</t>
        </is>
      </c>
      <c r="C56" t="inlineStr">
        <is>
          <t>SHELVES</t>
        </is>
      </c>
      <c r="D56" t="inlineStr">
        <is>
          <t>PR116 .W55 1988</t>
        </is>
      </c>
      <c r="E56" t="inlineStr">
        <is>
          <t>0                      PR 0116000W  55          1988</t>
        </is>
      </c>
      <c r="F56" t="inlineStr">
        <is>
          <t>Six women novelists / Merryn Williams.</t>
        </is>
      </c>
      <c r="H56" t="inlineStr">
        <is>
          <t>No</t>
        </is>
      </c>
      <c r="I56" t="inlineStr">
        <is>
          <t>1</t>
        </is>
      </c>
      <c r="J56" t="inlineStr">
        <is>
          <t>No</t>
        </is>
      </c>
      <c r="K56" t="inlineStr">
        <is>
          <t>No</t>
        </is>
      </c>
      <c r="L56" t="inlineStr">
        <is>
          <t>0</t>
        </is>
      </c>
      <c r="M56" t="inlineStr">
        <is>
          <t>Williams, Merryn.</t>
        </is>
      </c>
      <c r="N56" t="inlineStr">
        <is>
          <t>New York : St. Martin's Press, 1988.</t>
        </is>
      </c>
      <c r="O56" t="inlineStr">
        <is>
          <t>1988</t>
        </is>
      </c>
      <c r="Q56" t="inlineStr">
        <is>
          <t>eng</t>
        </is>
      </c>
      <c r="R56" t="inlineStr">
        <is>
          <t>nyu</t>
        </is>
      </c>
      <c r="S56" t="inlineStr">
        <is>
          <t>Modern novelist</t>
        </is>
      </c>
      <c r="T56" t="inlineStr">
        <is>
          <t xml:space="preserve">PR </t>
        </is>
      </c>
      <c r="U56" t="n">
        <v>3</v>
      </c>
      <c r="V56" t="n">
        <v>3</v>
      </c>
      <c r="W56" t="inlineStr">
        <is>
          <t>1993-11-20</t>
        </is>
      </c>
      <c r="X56" t="inlineStr">
        <is>
          <t>1993-11-20</t>
        </is>
      </c>
      <c r="Y56" t="inlineStr">
        <is>
          <t>1990-03-15</t>
        </is>
      </c>
      <c r="Z56" t="inlineStr">
        <is>
          <t>1990-03-15</t>
        </is>
      </c>
      <c r="AA56" t="n">
        <v>185</v>
      </c>
      <c r="AB56" t="n">
        <v>173</v>
      </c>
      <c r="AC56" t="n">
        <v>236</v>
      </c>
      <c r="AD56" t="n">
        <v>1</v>
      </c>
      <c r="AE56" t="n">
        <v>3</v>
      </c>
      <c r="AF56" t="n">
        <v>5</v>
      </c>
      <c r="AG56" t="n">
        <v>10</v>
      </c>
      <c r="AH56" t="n">
        <v>2</v>
      </c>
      <c r="AI56" t="n">
        <v>2</v>
      </c>
      <c r="AJ56" t="n">
        <v>1</v>
      </c>
      <c r="AK56" t="n">
        <v>2</v>
      </c>
      <c r="AL56" t="n">
        <v>3</v>
      </c>
      <c r="AM56" t="n">
        <v>6</v>
      </c>
      <c r="AN56" t="n">
        <v>0</v>
      </c>
      <c r="AO56" t="n">
        <v>2</v>
      </c>
      <c r="AP56" t="n">
        <v>0</v>
      </c>
      <c r="AQ56" t="n">
        <v>0</v>
      </c>
      <c r="AR56" t="inlineStr">
        <is>
          <t>No</t>
        </is>
      </c>
      <c r="AS56" t="inlineStr">
        <is>
          <t>No</t>
        </is>
      </c>
      <c r="AU56">
        <f>HYPERLINK("https://creighton-primo.hosted.exlibrisgroup.com/primo-explore/search?tab=default_tab&amp;search_scope=EVERYTHING&amp;vid=01CRU&amp;lang=en_US&amp;offset=0&amp;query=any,contains,991001244799702656","Catalog Record")</f>
        <v/>
      </c>
      <c r="AV56">
        <f>HYPERLINK("http://www.worldcat.org/oclc/17649243","WorldCat Record")</f>
        <v/>
      </c>
      <c r="AW56" t="inlineStr">
        <is>
          <t>9069832:eng</t>
        </is>
      </c>
      <c r="AX56" t="inlineStr">
        <is>
          <t>17649243</t>
        </is>
      </c>
      <c r="AY56" t="inlineStr">
        <is>
          <t>991001244799702656</t>
        </is>
      </c>
      <c r="AZ56" t="inlineStr">
        <is>
          <t>991001244799702656</t>
        </is>
      </c>
      <c r="BA56" t="inlineStr">
        <is>
          <t>2259159870002656</t>
        </is>
      </c>
      <c r="BB56" t="inlineStr">
        <is>
          <t>BOOK</t>
        </is>
      </c>
      <c r="BD56" t="inlineStr">
        <is>
          <t>9780312020897</t>
        </is>
      </c>
      <c r="BE56" t="inlineStr">
        <is>
          <t>32285000063759</t>
        </is>
      </c>
      <c r="BF56" t="inlineStr">
        <is>
          <t>893334190</t>
        </is>
      </c>
    </row>
    <row r="57">
      <c r="A57" t="inlineStr">
        <is>
          <t>No</t>
        </is>
      </c>
      <c r="B57" t="inlineStr">
        <is>
          <t>CURAL</t>
        </is>
      </c>
      <c r="C57" t="inlineStr">
        <is>
          <t>SHELVES</t>
        </is>
      </c>
      <c r="D57" t="inlineStr">
        <is>
          <t>PR1173 .M3</t>
        </is>
      </c>
      <c r="E57" t="inlineStr">
        <is>
          <t>0                      PR 1173000M  3</t>
        </is>
      </c>
      <c r="F57" t="inlineStr">
        <is>
          <t>English masterpieces : an anthology of imaginative literature from Chaucer to T. S. Eliot.</t>
        </is>
      </c>
      <c r="G57" t="inlineStr">
        <is>
          <t>V.4</t>
        </is>
      </c>
      <c r="H57" t="inlineStr">
        <is>
          <t>Yes</t>
        </is>
      </c>
      <c r="I57" t="inlineStr">
        <is>
          <t>1</t>
        </is>
      </c>
      <c r="J57" t="inlineStr">
        <is>
          <t>No</t>
        </is>
      </c>
      <c r="K57" t="inlineStr">
        <is>
          <t>No</t>
        </is>
      </c>
      <c r="L57" t="inlineStr">
        <is>
          <t>0</t>
        </is>
      </c>
      <c r="M57" t="inlineStr">
        <is>
          <t>Mack, Maynard, 1909-2001 editor.</t>
        </is>
      </c>
      <c r="N57" t="inlineStr">
        <is>
          <t>New York : Prentice-Hall, 1950.</t>
        </is>
      </c>
      <c r="O57" t="inlineStr">
        <is>
          <t>1950</t>
        </is>
      </c>
      <c r="Q57" t="inlineStr">
        <is>
          <t>eng</t>
        </is>
      </c>
      <c r="R57" t="inlineStr">
        <is>
          <t>nyu</t>
        </is>
      </c>
      <c r="T57" t="inlineStr">
        <is>
          <t xml:space="preserve">PR </t>
        </is>
      </c>
      <c r="U57" t="n">
        <v>0</v>
      </c>
      <c r="V57" t="n">
        <v>1</v>
      </c>
      <c r="X57" t="inlineStr">
        <is>
          <t>1998-04-06</t>
        </is>
      </c>
      <c r="Y57" t="inlineStr">
        <is>
          <t>1993-10-19</t>
        </is>
      </c>
      <c r="Z57" t="inlineStr">
        <is>
          <t>1993-10-19</t>
        </is>
      </c>
      <c r="AA57" t="n">
        <v>406</v>
      </c>
      <c r="AB57" t="n">
        <v>375</v>
      </c>
      <c r="AC57" t="n">
        <v>768</v>
      </c>
      <c r="AD57" t="n">
        <v>3</v>
      </c>
      <c r="AE57" t="n">
        <v>4</v>
      </c>
      <c r="AF57" t="n">
        <v>19</v>
      </c>
      <c r="AG57" t="n">
        <v>29</v>
      </c>
      <c r="AH57" t="n">
        <v>7</v>
      </c>
      <c r="AI57" t="n">
        <v>11</v>
      </c>
      <c r="AJ57" t="n">
        <v>4</v>
      </c>
      <c r="AK57" t="n">
        <v>6</v>
      </c>
      <c r="AL57" t="n">
        <v>13</v>
      </c>
      <c r="AM57" t="n">
        <v>16</v>
      </c>
      <c r="AN57" t="n">
        <v>2</v>
      </c>
      <c r="AO57" t="n">
        <v>3</v>
      </c>
      <c r="AP57" t="n">
        <v>0</v>
      </c>
      <c r="AQ57" t="n">
        <v>0</v>
      </c>
      <c r="AR57" t="inlineStr">
        <is>
          <t>No</t>
        </is>
      </c>
      <c r="AS57" t="inlineStr">
        <is>
          <t>Yes</t>
        </is>
      </c>
      <c r="AT57">
        <f>HYPERLINK("http://catalog.hathitrust.org/Record/006054102","HathiTrust Record")</f>
        <v/>
      </c>
      <c r="AU57">
        <f>HYPERLINK("https://creighton-primo.hosted.exlibrisgroup.com/primo-explore/search?tab=default_tab&amp;search_scope=EVERYTHING&amp;vid=01CRU&amp;lang=en_US&amp;offset=0&amp;query=any,contains,991003084479702656","Catalog Record")</f>
        <v/>
      </c>
      <c r="AV57">
        <f>HYPERLINK("http://www.worldcat.org/oclc/635716","WorldCat Record")</f>
        <v/>
      </c>
      <c r="AW57" t="inlineStr">
        <is>
          <t>4928799513:eng</t>
        </is>
      </c>
      <c r="AX57" t="inlineStr">
        <is>
          <t>635716</t>
        </is>
      </c>
      <c r="AY57" t="inlineStr">
        <is>
          <t>991003084479702656</t>
        </is>
      </c>
      <c r="AZ57" t="inlineStr">
        <is>
          <t>991003084479702656</t>
        </is>
      </c>
      <c r="BA57" t="inlineStr">
        <is>
          <t>2256129090002656</t>
        </is>
      </c>
      <c r="BB57" t="inlineStr">
        <is>
          <t>BOOK</t>
        </is>
      </c>
      <c r="BE57" t="inlineStr">
        <is>
          <t>32285001793958</t>
        </is>
      </c>
      <c r="BF57" t="inlineStr">
        <is>
          <t>893616976</t>
        </is>
      </c>
    </row>
    <row r="58">
      <c r="A58" t="inlineStr">
        <is>
          <t>No</t>
        </is>
      </c>
      <c r="B58" t="inlineStr">
        <is>
          <t>CURAL</t>
        </is>
      </c>
      <c r="C58" t="inlineStr">
        <is>
          <t>SHELVES</t>
        </is>
      </c>
      <c r="D58" t="inlineStr">
        <is>
          <t>PR1173 .M3</t>
        </is>
      </c>
      <c r="E58" t="inlineStr">
        <is>
          <t>0                      PR 1173000M  3</t>
        </is>
      </c>
      <c r="F58" t="inlineStr">
        <is>
          <t>English masterpieces : an anthology of imaginative literature from Chaucer to T. S. Eliot.</t>
        </is>
      </c>
      <c r="G58" t="inlineStr">
        <is>
          <t>V.1</t>
        </is>
      </c>
      <c r="H58" t="inlineStr">
        <is>
          <t>Yes</t>
        </is>
      </c>
      <c r="I58" t="inlineStr">
        <is>
          <t>1</t>
        </is>
      </c>
      <c r="J58" t="inlineStr">
        <is>
          <t>No</t>
        </is>
      </c>
      <c r="K58" t="inlineStr">
        <is>
          <t>No</t>
        </is>
      </c>
      <c r="L58" t="inlineStr">
        <is>
          <t>0</t>
        </is>
      </c>
      <c r="M58" t="inlineStr">
        <is>
          <t>Mack, Maynard, 1909-2001 editor.</t>
        </is>
      </c>
      <c r="N58" t="inlineStr">
        <is>
          <t>New York : Prentice-Hall, 1950.</t>
        </is>
      </c>
      <c r="O58" t="inlineStr">
        <is>
          <t>1950</t>
        </is>
      </c>
      <c r="Q58" t="inlineStr">
        <is>
          <t>eng</t>
        </is>
      </c>
      <c r="R58" t="inlineStr">
        <is>
          <t>nyu</t>
        </is>
      </c>
      <c r="T58" t="inlineStr">
        <is>
          <t xml:space="preserve">PR </t>
        </is>
      </c>
      <c r="U58" t="n">
        <v>0</v>
      </c>
      <c r="V58" t="n">
        <v>1</v>
      </c>
      <c r="X58" t="inlineStr">
        <is>
          <t>1998-04-06</t>
        </is>
      </c>
      <c r="Y58" t="inlineStr">
        <is>
          <t>1993-10-19</t>
        </is>
      </c>
      <c r="Z58" t="inlineStr">
        <is>
          <t>1993-10-19</t>
        </is>
      </c>
      <c r="AA58" t="n">
        <v>406</v>
      </c>
      <c r="AB58" t="n">
        <v>375</v>
      </c>
      <c r="AC58" t="n">
        <v>768</v>
      </c>
      <c r="AD58" t="n">
        <v>3</v>
      </c>
      <c r="AE58" t="n">
        <v>4</v>
      </c>
      <c r="AF58" t="n">
        <v>19</v>
      </c>
      <c r="AG58" t="n">
        <v>29</v>
      </c>
      <c r="AH58" t="n">
        <v>7</v>
      </c>
      <c r="AI58" t="n">
        <v>11</v>
      </c>
      <c r="AJ58" t="n">
        <v>4</v>
      </c>
      <c r="AK58" t="n">
        <v>6</v>
      </c>
      <c r="AL58" t="n">
        <v>13</v>
      </c>
      <c r="AM58" t="n">
        <v>16</v>
      </c>
      <c r="AN58" t="n">
        <v>2</v>
      </c>
      <c r="AO58" t="n">
        <v>3</v>
      </c>
      <c r="AP58" t="n">
        <v>0</v>
      </c>
      <c r="AQ58" t="n">
        <v>0</v>
      </c>
      <c r="AR58" t="inlineStr">
        <is>
          <t>No</t>
        </is>
      </c>
      <c r="AS58" t="inlineStr">
        <is>
          <t>Yes</t>
        </is>
      </c>
      <c r="AT58">
        <f>HYPERLINK("http://catalog.hathitrust.org/Record/006054102","HathiTrust Record")</f>
        <v/>
      </c>
      <c r="AU58">
        <f>HYPERLINK("https://creighton-primo.hosted.exlibrisgroup.com/primo-explore/search?tab=default_tab&amp;search_scope=EVERYTHING&amp;vid=01CRU&amp;lang=en_US&amp;offset=0&amp;query=any,contains,991003084479702656","Catalog Record")</f>
        <v/>
      </c>
      <c r="AV58">
        <f>HYPERLINK("http://www.worldcat.org/oclc/635716","WorldCat Record")</f>
        <v/>
      </c>
      <c r="AW58" t="inlineStr">
        <is>
          <t>4928799513:eng</t>
        </is>
      </c>
      <c r="AX58" t="inlineStr">
        <is>
          <t>635716</t>
        </is>
      </c>
      <c r="AY58" t="inlineStr">
        <is>
          <t>991003084479702656</t>
        </is>
      </c>
      <c r="AZ58" t="inlineStr">
        <is>
          <t>991003084479702656</t>
        </is>
      </c>
      <c r="BA58" t="inlineStr">
        <is>
          <t>2256129090002656</t>
        </is>
      </c>
      <c r="BB58" t="inlineStr">
        <is>
          <t>BOOK</t>
        </is>
      </c>
      <c r="BE58" t="inlineStr">
        <is>
          <t>32285001793925</t>
        </is>
      </c>
      <c r="BF58" t="inlineStr">
        <is>
          <t>893610702</t>
        </is>
      </c>
    </row>
    <row r="59">
      <c r="A59" t="inlineStr">
        <is>
          <t>No</t>
        </is>
      </c>
      <c r="B59" t="inlineStr">
        <is>
          <t>CURAL</t>
        </is>
      </c>
      <c r="C59" t="inlineStr">
        <is>
          <t>SHELVES</t>
        </is>
      </c>
      <c r="D59" t="inlineStr">
        <is>
          <t>PR1173 .M3</t>
        </is>
      </c>
      <c r="E59" t="inlineStr">
        <is>
          <t>0                      PR 1173000M  3</t>
        </is>
      </c>
      <c r="F59" t="inlineStr">
        <is>
          <t>English masterpieces : an anthology of imaginative literature from Chaucer to T. S. Eliot.</t>
        </is>
      </c>
      <c r="G59" t="inlineStr">
        <is>
          <t>V.3</t>
        </is>
      </c>
      <c r="H59" t="inlineStr">
        <is>
          <t>Yes</t>
        </is>
      </c>
      <c r="I59" t="inlineStr">
        <is>
          <t>1</t>
        </is>
      </c>
      <c r="J59" t="inlineStr">
        <is>
          <t>No</t>
        </is>
      </c>
      <c r="K59" t="inlineStr">
        <is>
          <t>No</t>
        </is>
      </c>
      <c r="L59" t="inlineStr">
        <is>
          <t>0</t>
        </is>
      </c>
      <c r="M59" t="inlineStr">
        <is>
          <t>Mack, Maynard, 1909-2001 editor.</t>
        </is>
      </c>
      <c r="N59" t="inlineStr">
        <is>
          <t>New York : Prentice-Hall, 1950.</t>
        </is>
      </c>
      <c r="O59" t="inlineStr">
        <is>
          <t>1950</t>
        </is>
      </c>
      <c r="Q59" t="inlineStr">
        <is>
          <t>eng</t>
        </is>
      </c>
      <c r="R59" t="inlineStr">
        <is>
          <t>nyu</t>
        </is>
      </c>
      <c r="T59" t="inlineStr">
        <is>
          <t xml:space="preserve">PR </t>
        </is>
      </c>
      <c r="U59" t="n">
        <v>0</v>
      </c>
      <c r="V59" t="n">
        <v>1</v>
      </c>
      <c r="X59" t="inlineStr">
        <is>
          <t>1998-04-06</t>
        </is>
      </c>
      <c r="Y59" t="inlineStr">
        <is>
          <t>1993-10-19</t>
        </is>
      </c>
      <c r="Z59" t="inlineStr">
        <is>
          <t>1993-10-19</t>
        </is>
      </c>
      <c r="AA59" t="n">
        <v>406</v>
      </c>
      <c r="AB59" t="n">
        <v>375</v>
      </c>
      <c r="AC59" t="n">
        <v>768</v>
      </c>
      <c r="AD59" t="n">
        <v>3</v>
      </c>
      <c r="AE59" t="n">
        <v>4</v>
      </c>
      <c r="AF59" t="n">
        <v>19</v>
      </c>
      <c r="AG59" t="n">
        <v>29</v>
      </c>
      <c r="AH59" t="n">
        <v>7</v>
      </c>
      <c r="AI59" t="n">
        <v>11</v>
      </c>
      <c r="AJ59" t="n">
        <v>4</v>
      </c>
      <c r="AK59" t="n">
        <v>6</v>
      </c>
      <c r="AL59" t="n">
        <v>13</v>
      </c>
      <c r="AM59" t="n">
        <v>16</v>
      </c>
      <c r="AN59" t="n">
        <v>2</v>
      </c>
      <c r="AO59" t="n">
        <v>3</v>
      </c>
      <c r="AP59" t="n">
        <v>0</v>
      </c>
      <c r="AQ59" t="n">
        <v>0</v>
      </c>
      <c r="AR59" t="inlineStr">
        <is>
          <t>No</t>
        </is>
      </c>
      <c r="AS59" t="inlineStr">
        <is>
          <t>Yes</t>
        </is>
      </c>
      <c r="AT59">
        <f>HYPERLINK("http://catalog.hathitrust.org/Record/006054102","HathiTrust Record")</f>
        <v/>
      </c>
      <c r="AU59">
        <f>HYPERLINK("https://creighton-primo.hosted.exlibrisgroup.com/primo-explore/search?tab=default_tab&amp;search_scope=EVERYTHING&amp;vid=01CRU&amp;lang=en_US&amp;offset=0&amp;query=any,contains,991003084479702656","Catalog Record")</f>
        <v/>
      </c>
      <c r="AV59">
        <f>HYPERLINK("http://www.worldcat.org/oclc/635716","WorldCat Record")</f>
        <v/>
      </c>
      <c r="AW59" t="inlineStr">
        <is>
          <t>4928799513:eng</t>
        </is>
      </c>
      <c r="AX59" t="inlineStr">
        <is>
          <t>635716</t>
        </is>
      </c>
      <c r="AY59" t="inlineStr">
        <is>
          <t>991003084479702656</t>
        </is>
      </c>
      <c r="AZ59" t="inlineStr">
        <is>
          <t>991003084479702656</t>
        </is>
      </c>
      <c r="BA59" t="inlineStr">
        <is>
          <t>2256129090002656</t>
        </is>
      </c>
      <c r="BB59" t="inlineStr">
        <is>
          <t>BOOK</t>
        </is>
      </c>
      <c r="BE59" t="inlineStr">
        <is>
          <t>32285001793941</t>
        </is>
      </c>
      <c r="BF59" t="inlineStr">
        <is>
          <t>893604417</t>
        </is>
      </c>
    </row>
    <row r="60">
      <c r="A60" t="inlineStr">
        <is>
          <t>No</t>
        </is>
      </c>
      <c r="B60" t="inlineStr">
        <is>
          <t>CURAL</t>
        </is>
      </c>
      <c r="C60" t="inlineStr">
        <is>
          <t>SHELVES</t>
        </is>
      </c>
      <c r="D60" t="inlineStr">
        <is>
          <t>PR1173 .M3</t>
        </is>
      </c>
      <c r="E60" t="inlineStr">
        <is>
          <t>0                      PR 1173000M  3</t>
        </is>
      </c>
      <c r="F60" t="inlineStr">
        <is>
          <t>English masterpieces : an anthology of imaginative literature from Chaucer to T. S. Eliot.</t>
        </is>
      </c>
      <c r="G60" t="inlineStr">
        <is>
          <t>V.6</t>
        </is>
      </c>
      <c r="H60" t="inlineStr">
        <is>
          <t>Yes</t>
        </is>
      </c>
      <c r="I60" t="inlineStr">
        <is>
          <t>1</t>
        </is>
      </c>
      <c r="J60" t="inlineStr">
        <is>
          <t>No</t>
        </is>
      </c>
      <c r="K60" t="inlineStr">
        <is>
          <t>No</t>
        </is>
      </c>
      <c r="L60" t="inlineStr">
        <is>
          <t>0</t>
        </is>
      </c>
      <c r="M60" t="inlineStr">
        <is>
          <t>Mack, Maynard, 1909-2001 editor.</t>
        </is>
      </c>
      <c r="N60" t="inlineStr">
        <is>
          <t>New York : Prentice-Hall, 1950.</t>
        </is>
      </c>
      <c r="O60" t="inlineStr">
        <is>
          <t>1950</t>
        </is>
      </c>
      <c r="Q60" t="inlineStr">
        <is>
          <t>eng</t>
        </is>
      </c>
      <c r="R60" t="inlineStr">
        <is>
          <t>nyu</t>
        </is>
      </c>
      <c r="T60" t="inlineStr">
        <is>
          <t xml:space="preserve">PR </t>
        </is>
      </c>
      <c r="U60" t="n">
        <v>0</v>
      </c>
      <c r="V60" t="n">
        <v>1</v>
      </c>
      <c r="X60" t="inlineStr">
        <is>
          <t>1998-04-06</t>
        </is>
      </c>
      <c r="Y60" t="inlineStr">
        <is>
          <t>1993-10-19</t>
        </is>
      </c>
      <c r="Z60" t="inlineStr">
        <is>
          <t>1993-10-19</t>
        </is>
      </c>
      <c r="AA60" t="n">
        <v>406</v>
      </c>
      <c r="AB60" t="n">
        <v>375</v>
      </c>
      <c r="AC60" t="n">
        <v>768</v>
      </c>
      <c r="AD60" t="n">
        <v>3</v>
      </c>
      <c r="AE60" t="n">
        <v>4</v>
      </c>
      <c r="AF60" t="n">
        <v>19</v>
      </c>
      <c r="AG60" t="n">
        <v>29</v>
      </c>
      <c r="AH60" t="n">
        <v>7</v>
      </c>
      <c r="AI60" t="n">
        <v>11</v>
      </c>
      <c r="AJ60" t="n">
        <v>4</v>
      </c>
      <c r="AK60" t="n">
        <v>6</v>
      </c>
      <c r="AL60" t="n">
        <v>13</v>
      </c>
      <c r="AM60" t="n">
        <v>16</v>
      </c>
      <c r="AN60" t="n">
        <v>2</v>
      </c>
      <c r="AO60" t="n">
        <v>3</v>
      </c>
      <c r="AP60" t="n">
        <v>0</v>
      </c>
      <c r="AQ60" t="n">
        <v>0</v>
      </c>
      <c r="AR60" t="inlineStr">
        <is>
          <t>No</t>
        </is>
      </c>
      <c r="AS60" t="inlineStr">
        <is>
          <t>Yes</t>
        </is>
      </c>
      <c r="AT60">
        <f>HYPERLINK("http://catalog.hathitrust.org/Record/006054102","HathiTrust Record")</f>
        <v/>
      </c>
      <c r="AU60">
        <f>HYPERLINK("https://creighton-primo.hosted.exlibrisgroup.com/primo-explore/search?tab=default_tab&amp;search_scope=EVERYTHING&amp;vid=01CRU&amp;lang=en_US&amp;offset=0&amp;query=any,contains,991003084479702656","Catalog Record")</f>
        <v/>
      </c>
      <c r="AV60">
        <f>HYPERLINK("http://www.worldcat.org/oclc/635716","WorldCat Record")</f>
        <v/>
      </c>
      <c r="AW60" t="inlineStr">
        <is>
          <t>4928799513:eng</t>
        </is>
      </c>
      <c r="AX60" t="inlineStr">
        <is>
          <t>635716</t>
        </is>
      </c>
      <c r="AY60" t="inlineStr">
        <is>
          <t>991003084479702656</t>
        </is>
      </c>
      <c r="AZ60" t="inlineStr">
        <is>
          <t>991003084479702656</t>
        </is>
      </c>
      <c r="BA60" t="inlineStr">
        <is>
          <t>2256129090002656</t>
        </is>
      </c>
      <c r="BB60" t="inlineStr">
        <is>
          <t>BOOK</t>
        </is>
      </c>
      <c r="BE60" t="inlineStr">
        <is>
          <t>32285001793974</t>
        </is>
      </c>
      <c r="BF60" t="inlineStr">
        <is>
          <t>893604418</t>
        </is>
      </c>
    </row>
    <row r="61">
      <c r="A61" t="inlineStr">
        <is>
          <t>No</t>
        </is>
      </c>
      <c r="B61" t="inlineStr">
        <is>
          <t>CURAL</t>
        </is>
      </c>
      <c r="C61" t="inlineStr">
        <is>
          <t>SHELVES</t>
        </is>
      </c>
      <c r="D61" t="inlineStr">
        <is>
          <t>PR1173 .M3</t>
        </is>
      </c>
      <c r="E61" t="inlineStr">
        <is>
          <t>0                      PR 1173000M  3</t>
        </is>
      </c>
      <c r="F61" t="inlineStr">
        <is>
          <t>English masterpieces : an anthology of imaginative literature from Chaucer to T. S. Eliot.</t>
        </is>
      </c>
      <c r="G61" t="inlineStr">
        <is>
          <t>V.5</t>
        </is>
      </c>
      <c r="H61" t="inlineStr">
        <is>
          <t>Yes</t>
        </is>
      </c>
      <c r="I61" t="inlineStr">
        <is>
          <t>1</t>
        </is>
      </c>
      <c r="J61" t="inlineStr">
        <is>
          <t>No</t>
        </is>
      </c>
      <c r="K61" t="inlineStr">
        <is>
          <t>No</t>
        </is>
      </c>
      <c r="L61" t="inlineStr">
        <is>
          <t>0</t>
        </is>
      </c>
      <c r="M61" t="inlineStr">
        <is>
          <t>Mack, Maynard, 1909-2001 editor.</t>
        </is>
      </c>
      <c r="N61" t="inlineStr">
        <is>
          <t>New York : Prentice-Hall, 1950.</t>
        </is>
      </c>
      <c r="O61" t="inlineStr">
        <is>
          <t>1950</t>
        </is>
      </c>
      <c r="Q61" t="inlineStr">
        <is>
          <t>eng</t>
        </is>
      </c>
      <c r="R61" t="inlineStr">
        <is>
          <t>nyu</t>
        </is>
      </c>
      <c r="T61" t="inlineStr">
        <is>
          <t xml:space="preserve">PR </t>
        </is>
      </c>
      <c r="U61" t="n">
        <v>0</v>
      </c>
      <c r="V61" t="n">
        <v>1</v>
      </c>
      <c r="X61" t="inlineStr">
        <is>
          <t>1998-04-06</t>
        </is>
      </c>
      <c r="Y61" t="inlineStr">
        <is>
          <t>1993-10-19</t>
        </is>
      </c>
      <c r="Z61" t="inlineStr">
        <is>
          <t>1993-10-19</t>
        </is>
      </c>
      <c r="AA61" t="n">
        <v>406</v>
      </c>
      <c r="AB61" t="n">
        <v>375</v>
      </c>
      <c r="AC61" t="n">
        <v>768</v>
      </c>
      <c r="AD61" t="n">
        <v>3</v>
      </c>
      <c r="AE61" t="n">
        <v>4</v>
      </c>
      <c r="AF61" t="n">
        <v>19</v>
      </c>
      <c r="AG61" t="n">
        <v>29</v>
      </c>
      <c r="AH61" t="n">
        <v>7</v>
      </c>
      <c r="AI61" t="n">
        <v>11</v>
      </c>
      <c r="AJ61" t="n">
        <v>4</v>
      </c>
      <c r="AK61" t="n">
        <v>6</v>
      </c>
      <c r="AL61" t="n">
        <v>13</v>
      </c>
      <c r="AM61" t="n">
        <v>16</v>
      </c>
      <c r="AN61" t="n">
        <v>2</v>
      </c>
      <c r="AO61" t="n">
        <v>3</v>
      </c>
      <c r="AP61" t="n">
        <v>0</v>
      </c>
      <c r="AQ61" t="n">
        <v>0</v>
      </c>
      <c r="AR61" t="inlineStr">
        <is>
          <t>No</t>
        </is>
      </c>
      <c r="AS61" t="inlineStr">
        <is>
          <t>Yes</t>
        </is>
      </c>
      <c r="AT61">
        <f>HYPERLINK("http://catalog.hathitrust.org/Record/006054102","HathiTrust Record")</f>
        <v/>
      </c>
      <c r="AU61">
        <f>HYPERLINK("https://creighton-primo.hosted.exlibrisgroup.com/primo-explore/search?tab=default_tab&amp;search_scope=EVERYTHING&amp;vid=01CRU&amp;lang=en_US&amp;offset=0&amp;query=any,contains,991003084479702656","Catalog Record")</f>
        <v/>
      </c>
      <c r="AV61">
        <f>HYPERLINK("http://www.worldcat.org/oclc/635716","WorldCat Record")</f>
        <v/>
      </c>
      <c r="AW61" t="inlineStr">
        <is>
          <t>4928799513:eng</t>
        </is>
      </c>
      <c r="AX61" t="inlineStr">
        <is>
          <t>635716</t>
        </is>
      </c>
      <c r="AY61" t="inlineStr">
        <is>
          <t>991003084479702656</t>
        </is>
      </c>
      <c r="AZ61" t="inlineStr">
        <is>
          <t>991003084479702656</t>
        </is>
      </c>
      <c r="BA61" t="inlineStr">
        <is>
          <t>2256129090002656</t>
        </is>
      </c>
      <c r="BB61" t="inlineStr">
        <is>
          <t>BOOK</t>
        </is>
      </c>
      <c r="BE61" t="inlineStr">
        <is>
          <t>32285001793966</t>
        </is>
      </c>
      <c r="BF61" t="inlineStr">
        <is>
          <t>893598250</t>
        </is>
      </c>
    </row>
    <row r="62">
      <c r="A62" t="inlineStr">
        <is>
          <t>No</t>
        </is>
      </c>
      <c r="B62" t="inlineStr">
        <is>
          <t>CURAL</t>
        </is>
      </c>
      <c r="C62" t="inlineStr">
        <is>
          <t>SHELVES</t>
        </is>
      </c>
      <c r="D62" t="inlineStr">
        <is>
          <t>PR1173 .M3</t>
        </is>
      </c>
      <c r="E62" t="inlineStr">
        <is>
          <t>0                      PR 1173000M  3</t>
        </is>
      </c>
      <c r="F62" t="inlineStr">
        <is>
          <t>English masterpieces : an anthology of imaginative literature from Chaucer to T. S. Eliot.</t>
        </is>
      </c>
      <c r="G62" t="inlineStr">
        <is>
          <t>V.2</t>
        </is>
      </c>
      <c r="H62" t="inlineStr">
        <is>
          <t>Yes</t>
        </is>
      </c>
      <c r="I62" t="inlineStr">
        <is>
          <t>1</t>
        </is>
      </c>
      <c r="J62" t="inlineStr">
        <is>
          <t>No</t>
        </is>
      </c>
      <c r="K62" t="inlineStr">
        <is>
          <t>No</t>
        </is>
      </c>
      <c r="L62" t="inlineStr">
        <is>
          <t>0</t>
        </is>
      </c>
      <c r="M62" t="inlineStr">
        <is>
          <t>Mack, Maynard, 1909-2001 editor.</t>
        </is>
      </c>
      <c r="N62" t="inlineStr">
        <is>
          <t>New York : Prentice-Hall, 1950.</t>
        </is>
      </c>
      <c r="O62" t="inlineStr">
        <is>
          <t>1950</t>
        </is>
      </c>
      <c r="Q62" t="inlineStr">
        <is>
          <t>eng</t>
        </is>
      </c>
      <c r="R62" t="inlineStr">
        <is>
          <t>nyu</t>
        </is>
      </c>
      <c r="T62" t="inlineStr">
        <is>
          <t xml:space="preserve">PR </t>
        </is>
      </c>
      <c r="U62" t="n">
        <v>0</v>
      </c>
      <c r="V62" t="n">
        <v>1</v>
      </c>
      <c r="X62" t="inlineStr">
        <is>
          <t>1998-04-06</t>
        </is>
      </c>
      <c r="Y62" t="inlineStr">
        <is>
          <t>1993-10-19</t>
        </is>
      </c>
      <c r="Z62" t="inlineStr">
        <is>
          <t>1993-10-19</t>
        </is>
      </c>
      <c r="AA62" t="n">
        <v>406</v>
      </c>
      <c r="AB62" t="n">
        <v>375</v>
      </c>
      <c r="AC62" t="n">
        <v>768</v>
      </c>
      <c r="AD62" t="n">
        <v>3</v>
      </c>
      <c r="AE62" t="n">
        <v>4</v>
      </c>
      <c r="AF62" t="n">
        <v>19</v>
      </c>
      <c r="AG62" t="n">
        <v>29</v>
      </c>
      <c r="AH62" t="n">
        <v>7</v>
      </c>
      <c r="AI62" t="n">
        <v>11</v>
      </c>
      <c r="AJ62" t="n">
        <v>4</v>
      </c>
      <c r="AK62" t="n">
        <v>6</v>
      </c>
      <c r="AL62" t="n">
        <v>13</v>
      </c>
      <c r="AM62" t="n">
        <v>16</v>
      </c>
      <c r="AN62" t="n">
        <v>2</v>
      </c>
      <c r="AO62" t="n">
        <v>3</v>
      </c>
      <c r="AP62" t="n">
        <v>0</v>
      </c>
      <c r="AQ62" t="n">
        <v>0</v>
      </c>
      <c r="AR62" t="inlineStr">
        <is>
          <t>No</t>
        </is>
      </c>
      <c r="AS62" t="inlineStr">
        <is>
          <t>Yes</t>
        </is>
      </c>
      <c r="AT62">
        <f>HYPERLINK("http://catalog.hathitrust.org/Record/006054102","HathiTrust Record")</f>
        <v/>
      </c>
      <c r="AU62">
        <f>HYPERLINK("https://creighton-primo.hosted.exlibrisgroup.com/primo-explore/search?tab=default_tab&amp;search_scope=EVERYTHING&amp;vid=01CRU&amp;lang=en_US&amp;offset=0&amp;query=any,contains,991003084479702656","Catalog Record")</f>
        <v/>
      </c>
      <c r="AV62">
        <f>HYPERLINK("http://www.worldcat.org/oclc/635716","WorldCat Record")</f>
        <v/>
      </c>
      <c r="AW62" t="inlineStr">
        <is>
          <t>4928799513:eng</t>
        </is>
      </c>
      <c r="AX62" t="inlineStr">
        <is>
          <t>635716</t>
        </is>
      </c>
      <c r="AY62" t="inlineStr">
        <is>
          <t>991003084479702656</t>
        </is>
      </c>
      <c r="AZ62" t="inlineStr">
        <is>
          <t>991003084479702656</t>
        </is>
      </c>
      <c r="BA62" t="inlineStr">
        <is>
          <t>2256129090002656</t>
        </is>
      </c>
      <c r="BB62" t="inlineStr">
        <is>
          <t>BOOK</t>
        </is>
      </c>
      <c r="BE62" t="inlineStr">
        <is>
          <t>32285001793933</t>
        </is>
      </c>
      <c r="BF62" t="inlineStr">
        <is>
          <t>893592176</t>
        </is>
      </c>
    </row>
    <row r="63">
      <c r="A63" t="inlineStr">
        <is>
          <t>No</t>
        </is>
      </c>
      <c r="B63" t="inlineStr">
        <is>
          <t>CURAL</t>
        </is>
      </c>
      <c r="C63" t="inlineStr">
        <is>
          <t>SHELVES</t>
        </is>
      </c>
      <c r="D63" t="inlineStr">
        <is>
          <t>PR1173 .M3</t>
        </is>
      </c>
      <c r="E63" t="inlineStr">
        <is>
          <t>0                      PR 1173000M  3</t>
        </is>
      </c>
      <c r="F63" t="inlineStr">
        <is>
          <t>English masterpieces : an anthology of imaginative literature from Chaucer to T. S. Eliot.</t>
        </is>
      </c>
      <c r="G63" t="inlineStr">
        <is>
          <t>V.7</t>
        </is>
      </c>
      <c r="H63" t="inlineStr">
        <is>
          <t>Yes</t>
        </is>
      </c>
      <c r="I63" t="inlineStr">
        <is>
          <t>1</t>
        </is>
      </c>
      <c r="J63" t="inlineStr">
        <is>
          <t>No</t>
        </is>
      </c>
      <c r="K63" t="inlineStr">
        <is>
          <t>No</t>
        </is>
      </c>
      <c r="L63" t="inlineStr">
        <is>
          <t>0</t>
        </is>
      </c>
      <c r="M63" t="inlineStr">
        <is>
          <t>Mack, Maynard, 1909-2001 editor.</t>
        </is>
      </c>
      <c r="N63" t="inlineStr">
        <is>
          <t>New York : Prentice-Hall, 1950.</t>
        </is>
      </c>
      <c r="O63" t="inlineStr">
        <is>
          <t>1950</t>
        </is>
      </c>
      <c r="Q63" t="inlineStr">
        <is>
          <t>eng</t>
        </is>
      </c>
      <c r="R63" t="inlineStr">
        <is>
          <t>nyu</t>
        </is>
      </c>
      <c r="T63" t="inlineStr">
        <is>
          <t xml:space="preserve">PR </t>
        </is>
      </c>
      <c r="U63" t="n">
        <v>1</v>
      </c>
      <c r="V63" t="n">
        <v>1</v>
      </c>
      <c r="W63" t="inlineStr">
        <is>
          <t>1998-04-06</t>
        </is>
      </c>
      <c r="X63" t="inlineStr">
        <is>
          <t>1998-04-06</t>
        </is>
      </c>
      <c r="Y63" t="inlineStr">
        <is>
          <t>1993-10-19</t>
        </is>
      </c>
      <c r="Z63" t="inlineStr">
        <is>
          <t>1993-10-19</t>
        </is>
      </c>
      <c r="AA63" t="n">
        <v>406</v>
      </c>
      <c r="AB63" t="n">
        <v>375</v>
      </c>
      <c r="AC63" t="n">
        <v>768</v>
      </c>
      <c r="AD63" t="n">
        <v>3</v>
      </c>
      <c r="AE63" t="n">
        <v>4</v>
      </c>
      <c r="AF63" t="n">
        <v>19</v>
      </c>
      <c r="AG63" t="n">
        <v>29</v>
      </c>
      <c r="AH63" t="n">
        <v>7</v>
      </c>
      <c r="AI63" t="n">
        <v>11</v>
      </c>
      <c r="AJ63" t="n">
        <v>4</v>
      </c>
      <c r="AK63" t="n">
        <v>6</v>
      </c>
      <c r="AL63" t="n">
        <v>13</v>
      </c>
      <c r="AM63" t="n">
        <v>16</v>
      </c>
      <c r="AN63" t="n">
        <v>2</v>
      </c>
      <c r="AO63" t="n">
        <v>3</v>
      </c>
      <c r="AP63" t="n">
        <v>0</v>
      </c>
      <c r="AQ63" t="n">
        <v>0</v>
      </c>
      <c r="AR63" t="inlineStr">
        <is>
          <t>No</t>
        </is>
      </c>
      <c r="AS63" t="inlineStr">
        <is>
          <t>Yes</t>
        </is>
      </c>
      <c r="AT63">
        <f>HYPERLINK("http://catalog.hathitrust.org/Record/006054102","HathiTrust Record")</f>
        <v/>
      </c>
      <c r="AU63">
        <f>HYPERLINK("https://creighton-primo.hosted.exlibrisgroup.com/primo-explore/search?tab=default_tab&amp;search_scope=EVERYTHING&amp;vid=01CRU&amp;lang=en_US&amp;offset=0&amp;query=any,contains,991003084479702656","Catalog Record")</f>
        <v/>
      </c>
      <c r="AV63">
        <f>HYPERLINK("http://www.worldcat.org/oclc/635716","WorldCat Record")</f>
        <v/>
      </c>
      <c r="AW63" t="inlineStr">
        <is>
          <t>4928799513:eng</t>
        </is>
      </c>
      <c r="AX63" t="inlineStr">
        <is>
          <t>635716</t>
        </is>
      </c>
      <c r="AY63" t="inlineStr">
        <is>
          <t>991003084479702656</t>
        </is>
      </c>
      <c r="AZ63" t="inlineStr">
        <is>
          <t>991003084479702656</t>
        </is>
      </c>
      <c r="BA63" t="inlineStr">
        <is>
          <t>2256129090002656</t>
        </is>
      </c>
      <c r="BB63" t="inlineStr">
        <is>
          <t>BOOK</t>
        </is>
      </c>
      <c r="BE63" t="inlineStr">
        <is>
          <t>32285001793982</t>
        </is>
      </c>
      <c r="BF63" t="inlineStr">
        <is>
          <t>893598249</t>
        </is>
      </c>
    </row>
    <row r="64">
      <c r="A64" t="inlineStr">
        <is>
          <t>No</t>
        </is>
      </c>
      <c r="B64" t="inlineStr">
        <is>
          <t>CURAL</t>
        </is>
      </c>
      <c r="C64" t="inlineStr">
        <is>
          <t>SHELVES</t>
        </is>
      </c>
      <c r="D64" t="inlineStr">
        <is>
          <t>PR1173 .W3</t>
        </is>
      </c>
      <c r="E64" t="inlineStr">
        <is>
          <t>0                      PR 1173000W  3</t>
        </is>
      </c>
      <c r="F64" t="inlineStr">
        <is>
          <t>The English poets : selections with critical introductions / by various writers and a general introduction by Matthew Arnold ; edited by Thomas Humphry Ward.</t>
        </is>
      </c>
      <c r="G64" t="inlineStr">
        <is>
          <t>V.5</t>
        </is>
      </c>
      <c r="H64" t="inlineStr">
        <is>
          <t>Yes</t>
        </is>
      </c>
      <c r="I64" t="inlineStr">
        <is>
          <t>1</t>
        </is>
      </c>
      <c r="J64" t="inlineStr">
        <is>
          <t>No</t>
        </is>
      </c>
      <c r="K64" t="inlineStr">
        <is>
          <t>No</t>
        </is>
      </c>
      <c r="L64" t="inlineStr">
        <is>
          <t>0</t>
        </is>
      </c>
      <c r="N64" t="inlineStr">
        <is>
          <t>London ; New York : Macmillan and co., limited, 1880-1918.</t>
        </is>
      </c>
      <c r="O64" t="inlineStr">
        <is>
          <t>1897</t>
        </is>
      </c>
      <c r="Q64" t="inlineStr">
        <is>
          <t>eng</t>
        </is>
      </c>
      <c r="R64" t="inlineStr">
        <is>
          <t>nyu</t>
        </is>
      </c>
      <c r="T64" t="inlineStr">
        <is>
          <t xml:space="preserve">PR </t>
        </is>
      </c>
      <c r="U64" t="n">
        <v>1</v>
      </c>
      <c r="V64" t="n">
        <v>2</v>
      </c>
      <c r="W64" t="inlineStr">
        <is>
          <t>1997-01-21</t>
        </is>
      </c>
      <c r="X64" t="inlineStr">
        <is>
          <t>1997-01-21</t>
        </is>
      </c>
      <c r="Y64" t="inlineStr">
        <is>
          <t>1995-02-22</t>
        </is>
      </c>
      <c r="Z64" t="inlineStr">
        <is>
          <t>1995-02-22</t>
        </is>
      </c>
      <c r="AA64" t="n">
        <v>18</v>
      </c>
      <c r="AB64" t="n">
        <v>12</v>
      </c>
      <c r="AC64" t="n">
        <v>19</v>
      </c>
      <c r="AD64" t="n">
        <v>1</v>
      </c>
      <c r="AE64" t="n">
        <v>1</v>
      </c>
      <c r="AF64" t="n">
        <v>0</v>
      </c>
      <c r="AG64" t="n">
        <v>0</v>
      </c>
      <c r="AH64" t="n">
        <v>0</v>
      </c>
      <c r="AI64" t="n">
        <v>0</v>
      </c>
      <c r="AJ64" t="n">
        <v>0</v>
      </c>
      <c r="AK64" t="n">
        <v>0</v>
      </c>
      <c r="AL64" t="n">
        <v>0</v>
      </c>
      <c r="AM64" t="n">
        <v>0</v>
      </c>
      <c r="AN64" t="n">
        <v>0</v>
      </c>
      <c r="AO64" t="n">
        <v>0</v>
      </c>
      <c r="AP64" t="n">
        <v>0</v>
      </c>
      <c r="AQ64" t="n">
        <v>0</v>
      </c>
      <c r="AR64" t="inlineStr">
        <is>
          <t>Yes</t>
        </is>
      </c>
      <c r="AS64" t="inlineStr">
        <is>
          <t>No</t>
        </is>
      </c>
      <c r="AT64">
        <f>HYPERLINK("http://catalog.hathitrust.org/Record/011407035","HathiTrust Record")</f>
        <v/>
      </c>
      <c r="AU64">
        <f>HYPERLINK("https://creighton-primo.hosted.exlibrisgroup.com/primo-explore/search?tab=default_tab&amp;search_scope=EVERYTHING&amp;vid=01CRU&amp;lang=en_US&amp;offset=0&amp;query=any,contains,991001053899702656","Catalog Record")</f>
        <v/>
      </c>
      <c r="AV64">
        <f>HYPERLINK("http://www.worldcat.org/oclc/15665409","WorldCat Record")</f>
        <v/>
      </c>
      <c r="AW64" t="inlineStr">
        <is>
          <t>4820442638:eng</t>
        </is>
      </c>
      <c r="AX64" t="inlineStr">
        <is>
          <t>15665409</t>
        </is>
      </c>
      <c r="AY64" t="inlineStr">
        <is>
          <t>991001053899702656</t>
        </is>
      </c>
      <c r="AZ64" t="inlineStr">
        <is>
          <t>991001053899702656</t>
        </is>
      </c>
      <c r="BA64" t="inlineStr">
        <is>
          <t>2264042970002656</t>
        </is>
      </c>
      <c r="BB64" t="inlineStr">
        <is>
          <t>BOOK</t>
        </is>
      </c>
      <c r="BE64" t="inlineStr">
        <is>
          <t>32285001989580</t>
        </is>
      </c>
      <c r="BF64" t="inlineStr">
        <is>
          <t>893791132</t>
        </is>
      </c>
    </row>
    <row r="65">
      <c r="A65" t="inlineStr">
        <is>
          <t>No</t>
        </is>
      </c>
      <c r="B65" t="inlineStr">
        <is>
          <t>CURAL</t>
        </is>
      </c>
      <c r="C65" t="inlineStr">
        <is>
          <t>SHELVES</t>
        </is>
      </c>
      <c r="D65" t="inlineStr">
        <is>
          <t>PR1173 .W3</t>
        </is>
      </c>
      <c r="E65" t="inlineStr">
        <is>
          <t>0                      PR 1173000W  3</t>
        </is>
      </c>
      <c r="F65" t="inlineStr">
        <is>
          <t>The English poets : selections with critical introductions / by various writers and a general introduction by Matthew Arnold ; edited by Thomas Humphry Ward.</t>
        </is>
      </c>
      <c r="G65" t="inlineStr">
        <is>
          <t>V.4</t>
        </is>
      </c>
      <c r="H65" t="inlineStr">
        <is>
          <t>Yes</t>
        </is>
      </c>
      <c r="I65" t="inlineStr">
        <is>
          <t>1</t>
        </is>
      </c>
      <c r="J65" t="inlineStr">
        <is>
          <t>No</t>
        </is>
      </c>
      <c r="K65" t="inlineStr">
        <is>
          <t>No</t>
        </is>
      </c>
      <c r="L65" t="inlineStr">
        <is>
          <t>0</t>
        </is>
      </c>
      <c r="N65" t="inlineStr">
        <is>
          <t>London ; New York : Macmillan and co., limited, 1880-1918.</t>
        </is>
      </c>
      <c r="O65" t="inlineStr">
        <is>
          <t>1897</t>
        </is>
      </c>
      <c r="Q65" t="inlineStr">
        <is>
          <t>eng</t>
        </is>
      </c>
      <c r="R65" t="inlineStr">
        <is>
          <t>nyu</t>
        </is>
      </c>
      <c r="T65" t="inlineStr">
        <is>
          <t xml:space="preserve">PR </t>
        </is>
      </c>
      <c r="U65" t="n">
        <v>1</v>
      </c>
      <c r="V65" t="n">
        <v>2</v>
      </c>
      <c r="X65" t="inlineStr">
        <is>
          <t>1997-01-21</t>
        </is>
      </c>
      <c r="Y65" t="inlineStr">
        <is>
          <t>1995-02-22</t>
        </is>
      </c>
      <c r="Z65" t="inlineStr">
        <is>
          <t>1995-02-22</t>
        </is>
      </c>
      <c r="AA65" t="n">
        <v>18</v>
      </c>
      <c r="AB65" t="n">
        <v>12</v>
      </c>
      <c r="AC65" t="n">
        <v>19</v>
      </c>
      <c r="AD65" t="n">
        <v>1</v>
      </c>
      <c r="AE65" t="n">
        <v>1</v>
      </c>
      <c r="AF65" t="n">
        <v>0</v>
      </c>
      <c r="AG65" t="n">
        <v>0</v>
      </c>
      <c r="AH65" t="n">
        <v>0</v>
      </c>
      <c r="AI65" t="n">
        <v>0</v>
      </c>
      <c r="AJ65" t="n">
        <v>0</v>
      </c>
      <c r="AK65" t="n">
        <v>0</v>
      </c>
      <c r="AL65" t="n">
        <v>0</v>
      </c>
      <c r="AM65" t="n">
        <v>0</v>
      </c>
      <c r="AN65" t="n">
        <v>0</v>
      </c>
      <c r="AO65" t="n">
        <v>0</v>
      </c>
      <c r="AP65" t="n">
        <v>0</v>
      </c>
      <c r="AQ65" t="n">
        <v>0</v>
      </c>
      <c r="AR65" t="inlineStr">
        <is>
          <t>Yes</t>
        </is>
      </c>
      <c r="AS65" t="inlineStr">
        <is>
          <t>No</t>
        </is>
      </c>
      <c r="AT65">
        <f>HYPERLINK("http://catalog.hathitrust.org/Record/011407035","HathiTrust Record")</f>
        <v/>
      </c>
      <c r="AU65">
        <f>HYPERLINK("https://creighton-primo.hosted.exlibrisgroup.com/primo-explore/search?tab=default_tab&amp;search_scope=EVERYTHING&amp;vid=01CRU&amp;lang=en_US&amp;offset=0&amp;query=any,contains,991001053899702656","Catalog Record")</f>
        <v/>
      </c>
      <c r="AV65">
        <f>HYPERLINK("http://www.worldcat.org/oclc/15665409","WorldCat Record")</f>
        <v/>
      </c>
      <c r="AW65" t="inlineStr">
        <is>
          <t>4820442638:eng</t>
        </is>
      </c>
      <c r="AX65" t="inlineStr">
        <is>
          <t>15665409</t>
        </is>
      </c>
      <c r="AY65" t="inlineStr">
        <is>
          <t>991001053899702656</t>
        </is>
      </c>
      <c r="AZ65" t="inlineStr">
        <is>
          <t>991001053899702656</t>
        </is>
      </c>
      <c r="BA65" t="inlineStr">
        <is>
          <t>2264042970002656</t>
        </is>
      </c>
      <c r="BB65" t="inlineStr">
        <is>
          <t>BOOK</t>
        </is>
      </c>
      <c r="BE65" t="inlineStr">
        <is>
          <t>32285001989572</t>
        </is>
      </c>
      <c r="BF65" t="inlineStr">
        <is>
          <t>893772266</t>
        </is>
      </c>
    </row>
    <row r="66">
      <c r="A66" t="inlineStr">
        <is>
          <t>No</t>
        </is>
      </c>
      <c r="B66" t="inlineStr">
        <is>
          <t>CURAL</t>
        </is>
      </c>
      <c r="C66" t="inlineStr">
        <is>
          <t>SHELVES</t>
        </is>
      </c>
      <c r="D66" t="inlineStr">
        <is>
          <t>PR1173 .W3</t>
        </is>
      </c>
      <c r="E66" t="inlineStr">
        <is>
          <t>0                      PR 1173000W  3</t>
        </is>
      </c>
      <c r="F66" t="inlineStr">
        <is>
          <t>The English poets : selections with critical introductions / by various writers and a general introduction by Matthew Arnold ; edited by Thomas Humphry Ward.</t>
        </is>
      </c>
      <c r="G66" t="inlineStr">
        <is>
          <t>V.3</t>
        </is>
      </c>
      <c r="H66" t="inlineStr">
        <is>
          <t>Yes</t>
        </is>
      </c>
      <c r="I66" t="inlineStr">
        <is>
          <t>1</t>
        </is>
      </c>
      <c r="J66" t="inlineStr">
        <is>
          <t>No</t>
        </is>
      </c>
      <c r="K66" t="inlineStr">
        <is>
          <t>No</t>
        </is>
      </c>
      <c r="L66" t="inlineStr">
        <is>
          <t>0</t>
        </is>
      </c>
      <c r="N66" t="inlineStr">
        <is>
          <t>London ; New York : Macmillan and co., limited, 1880-1918.</t>
        </is>
      </c>
      <c r="O66" t="inlineStr">
        <is>
          <t>1897</t>
        </is>
      </c>
      <c r="Q66" t="inlineStr">
        <is>
          <t>eng</t>
        </is>
      </c>
      <c r="R66" t="inlineStr">
        <is>
          <t>nyu</t>
        </is>
      </c>
      <c r="T66" t="inlineStr">
        <is>
          <t xml:space="preserve">PR </t>
        </is>
      </c>
      <c r="U66" t="n">
        <v>0</v>
      </c>
      <c r="V66" t="n">
        <v>2</v>
      </c>
      <c r="X66" t="inlineStr">
        <is>
          <t>1997-01-21</t>
        </is>
      </c>
      <c r="Y66" t="inlineStr">
        <is>
          <t>1995-02-22</t>
        </is>
      </c>
      <c r="Z66" t="inlineStr">
        <is>
          <t>1995-02-22</t>
        </is>
      </c>
      <c r="AA66" t="n">
        <v>18</v>
      </c>
      <c r="AB66" t="n">
        <v>12</v>
      </c>
      <c r="AC66" t="n">
        <v>19</v>
      </c>
      <c r="AD66" t="n">
        <v>1</v>
      </c>
      <c r="AE66" t="n">
        <v>1</v>
      </c>
      <c r="AF66" t="n">
        <v>0</v>
      </c>
      <c r="AG66" t="n">
        <v>0</v>
      </c>
      <c r="AH66" t="n">
        <v>0</v>
      </c>
      <c r="AI66" t="n">
        <v>0</v>
      </c>
      <c r="AJ66" t="n">
        <v>0</v>
      </c>
      <c r="AK66" t="n">
        <v>0</v>
      </c>
      <c r="AL66" t="n">
        <v>0</v>
      </c>
      <c r="AM66" t="n">
        <v>0</v>
      </c>
      <c r="AN66" t="n">
        <v>0</v>
      </c>
      <c r="AO66" t="n">
        <v>0</v>
      </c>
      <c r="AP66" t="n">
        <v>0</v>
      </c>
      <c r="AQ66" t="n">
        <v>0</v>
      </c>
      <c r="AR66" t="inlineStr">
        <is>
          <t>Yes</t>
        </is>
      </c>
      <c r="AS66" t="inlineStr">
        <is>
          <t>No</t>
        </is>
      </c>
      <c r="AT66">
        <f>HYPERLINK("http://catalog.hathitrust.org/Record/011407035","HathiTrust Record")</f>
        <v/>
      </c>
      <c r="AU66">
        <f>HYPERLINK("https://creighton-primo.hosted.exlibrisgroup.com/primo-explore/search?tab=default_tab&amp;search_scope=EVERYTHING&amp;vid=01CRU&amp;lang=en_US&amp;offset=0&amp;query=any,contains,991001053899702656","Catalog Record")</f>
        <v/>
      </c>
      <c r="AV66">
        <f>HYPERLINK("http://www.worldcat.org/oclc/15665409","WorldCat Record")</f>
        <v/>
      </c>
      <c r="AW66" t="inlineStr">
        <is>
          <t>4820442638:eng</t>
        </is>
      </c>
      <c r="AX66" t="inlineStr">
        <is>
          <t>15665409</t>
        </is>
      </c>
      <c r="AY66" t="inlineStr">
        <is>
          <t>991001053899702656</t>
        </is>
      </c>
      <c r="AZ66" t="inlineStr">
        <is>
          <t>991001053899702656</t>
        </is>
      </c>
      <c r="BA66" t="inlineStr">
        <is>
          <t>2264042970002656</t>
        </is>
      </c>
      <c r="BB66" t="inlineStr">
        <is>
          <t>BOOK</t>
        </is>
      </c>
      <c r="BE66" t="inlineStr">
        <is>
          <t>32285001989564</t>
        </is>
      </c>
      <c r="BF66" t="inlineStr">
        <is>
          <t>893791131</t>
        </is>
      </c>
    </row>
    <row r="67">
      <c r="A67" t="inlineStr">
        <is>
          <t>No</t>
        </is>
      </c>
      <c r="B67" t="inlineStr">
        <is>
          <t>CURAL</t>
        </is>
      </c>
      <c r="C67" t="inlineStr">
        <is>
          <t>SHELVES</t>
        </is>
      </c>
      <c r="D67" t="inlineStr">
        <is>
          <t>PR1173 .W3</t>
        </is>
      </c>
      <c r="E67" t="inlineStr">
        <is>
          <t>0                      PR 1173000W  3</t>
        </is>
      </c>
      <c r="F67" t="inlineStr">
        <is>
          <t>The English poets : selections with critical introductions / by various writers and a general introduction by Matthew Arnold ; edited by Thomas Humphry Ward.</t>
        </is>
      </c>
      <c r="G67" t="inlineStr">
        <is>
          <t>V.1</t>
        </is>
      </c>
      <c r="H67" t="inlineStr">
        <is>
          <t>Yes</t>
        </is>
      </c>
      <c r="I67" t="inlineStr">
        <is>
          <t>1</t>
        </is>
      </c>
      <c r="J67" t="inlineStr">
        <is>
          <t>No</t>
        </is>
      </c>
      <c r="K67" t="inlineStr">
        <is>
          <t>No</t>
        </is>
      </c>
      <c r="L67" t="inlineStr">
        <is>
          <t>0</t>
        </is>
      </c>
      <c r="N67" t="inlineStr">
        <is>
          <t>London ; New York : Macmillan and co., limited, 1880-1918.</t>
        </is>
      </c>
      <c r="O67" t="inlineStr">
        <is>
          <t>1897</t>
        </is>
      </c>
      <c r="Q67" t="inlineStr">
        <is>
          <t>eng</t>
        </is>
      </c>
      <c r="R67" t="inlineStr">
        <is>
          <t>nyu</t>
        </is>
      </c>
      <c r="T67" t="inlineStr">
        <is>
          <t xml:space="preserve">PR </t>
        </is>
      </c>
      <c r="U67" t="n">
        <v>0</v>
      </c>
      <c r="V67" t="n">
        <v>2</v>
      </c>
      <c r="X67" t="inlineStr">
        <is>
          <t>1997-01-21</t>
        </is>
      </c>
      <c r="Y67" t="inlineStr">
        <is>
          <t>1995-02-22</t>
        </is>
      </c>
      <c r="Z67" t="inlineStr">
        <is>
          <t>1995-02-22</t>
        </is>
      </c>
      <c r="AA67" t="n">
        <v>18</v>
      </c>
      <c r="AB67" t="n">
        <v>12</v>
      </c>
      <c r="AC67" t="n">
        <v>19</v>
      </c>
      <c r="AD67" t="n">
        <v>1</v>
      </c>
      <c r="AE67" t="n">
        <v>1</v>
      </c>
      <c r="AF67" t="n">
        <v>0</v>
      </c>
      <c r="AG67" t="n">
        <v>0</v>
      </c>
      <c r="AH67" t="n">
        <v>0</v>
      </c>
      <c r="AI67" t="n">
        <v>0</v>
      </c>
      <c r="AJ67" t="n">
        <v>0</v>
      </c>
      <c r="AK67" t="n">
        <v>0</v>
      </c>
      <c r="AL67" t="n">
        <v>0</v>
      </c>
      <c r="AM67" t="n">
        <v>0</v>
      </c>
      <c r="AN67" t="n">
        <v>0</v>
      </c>
      <c r="AO67" t="n">
        <v>0</v>
      </c>
      <c r="AP67" t="n">
        <v>0</v>
      </c>
      <c r="AQ67" t="n">
        <v>0</v>
      </c>
      <c r="AR67" t="inlineStr">
        <is>
          <t>Yes</t>
        </is>
      </c>
      <c r="AS67" t="inlineStr">
        <is>
          <t>No</t>
        </is>
      </c>
      <c r="AT67">
        <f>HYPERLINK("http://catalog.hathitrust.org/Record/011407035","HathiTrust Record")</f>
        <v/>
      </c>
      <c r="AU67">
        <f>HYPERLINK("https://creighton-primo.hosted.exlibrisgroup.com/primo-explore/search?tab=default_tab&amp;search_scope=EVERYTHING&amp;vid=01CRU&amp;lang=en_US&amp;offset=0&amp;query=any,contains,991001053899702656","Catalog Record")</f>
        <v/>
      </c>
      <c r="AV67">
        <f>HYPERLINK("http://www.worldcat.org/oclc/15665409","WorldCat Record")</f>
        <v/>
      </c>
      <c r="AW67" t="inlineStr">
        <is>
          <t>4820442638:eng</t>
        </is>
      </c>
      <c r="AX67" t="inlineStr">
        <is>
          <t>15665409</t>
        </is>
      </c>
      <c r="AY67" t="inlineStr">
        <is>
          <t>991001053899702656</t>
        </is>
      </c>
      <c r="AZ67" t="inlineStr">
        <is>
          <t>991001053899702656</t>
        </is>
      </c>
      <c r="BA67" t="inlineStr">
        <is>
          <t>2264042970002656</t>
        </is>
      </c>
      <c r="BB67" t="inlineStr">
        <is>
          <t>BOOK</t>
        </is>
      </c>
      <c r="BE67" t="inlineStr">
        <is>
          <t>32285001989549</t>
        </is>
      </c>
      <c r="BF67" t="inlineStr">
        <is>
          <t>893772267</t>
        </is>
      </c>
    </row>
    <row r="68">
      <c r="A68" t="inlineStr">
        <is>
          <t>No</t>
        </is>
      </c>
      <c r="B68" t="inlineStr">
        <is>
          <t>CURAL</t>
        </is>
      </c>
      <c r="C68" t="inlineStr">
        <is>
          <t>SHELVES</t>
        </is>
      </c>
      <c r="D68" t="inlineStr">
        <is>
          <t>PR1173 .W3</t>
        </is>
      </c>
      <c r="E68" t="inlineStr">
        <is>
          <t>0                      PR 1173000W  3</t>
        </is>
      </c>
      <c r="F68" t="inlineStr">
        <is>
          <t>The English poets : selections with critical introductions / by various writers and a general introduction by Matthew Arnold ; edited by Thomas Humphry Ward.</t>
        </is>
      </c>
      <c r="G68" t="inlineStr">
        <is>
          <t>V.2</t>
        </is>
      </c>
      <c r="H68" t="inlineStr">
        <is>
          <t>Yes</t>
        </is>
      </c>
      <c r="I68" t="inlineStr">
        <is>
          <t>1</t>
        </is>
      </c>
      <c r="J68" t="inlineStr">
        <is>
          <t>No</t>
        </is>
      </c>
      <c r="K68" t="inlineStr">
        <is>
          <t>No</t>
        </is>
      </c>
      <c r="L68" t="inlineStr">
        <is>
          <t>0</t>
        </is>
      </c>
      <c r="N68" t="inlineStr">
        <is>
          <t>London ; New York : Macmillan and co., limited, 1880-1918.</t>
        </is>
      </c>
      <c r="O68" t="inlineStr">
        <is>
          <t>1897</t>
        </is>
      </c>
      <c r="Q68" t="inlineStr">
        <is>
          <t>eng</t>
        </is>
      </c>
      <c r="R68" t="inlineStr">
        <is>
          <t>nyu</t>
        </is>
      </c>
      <c r="T68" t="inlineStr">
        <is>
          <t xml:space="preserve">PR </t>
        </is>
      </c>
      <c r="U68" t="n">
        <v>0</v>
      </c>
      <c r="V68" t="n">
        <v>2</v>
      </c>
      <c r="X68" t="inlineStr">
        <is>
          <t>1997-01-21</t>
        </is>
      </c>
      <c r="Y68" t="inlineStr">
        <is>
          <t>1995-02-22</t>
        </is>
      </c>
      <c r="Z68" t="inlineStr">
        <is>
          <t>1995-02-22</t>
        </is>
      </c>
      <c r="AA68" t="n">
        <v>18</v>
      </c>
      <c r="AB68" t="n">
        <v>12</v>
      </c>
      <c r="AC68" t="n">
        <v>19</v>
      </c>
      <c r="AD68" t="n">
        <v>1</v>
      </c>
      <c r="AE68" t="n">
        <v>1</v>
      </c>
      <c r="AF68" t="n">
        <v>0</v>
      </c>
      <c r="AG68" t="n">
        <v>0</v>
      </c>
      <c r="AH68" t="n">
        <v>0</v>
      </c>
      <c r="AI68" t="n">
        <v>0</v>
      </c>
      <c r="AJ68" t="n">
        <v>0</v>
      </c>
      <c r="AK68" t="n">
        <v>0</v>
      </c>
      <c r="AL68" t="n">
        <v>0</v>
      </c>
      <c r="AM68" t="n">
        <v>0</v>
      </c>
      <c r="AN68" t="n">
        <v>0</v>
      </c>
      <c r="AO68" t="n">
        <v>0</v>
      </c>
      <c r="AP68" t="n">
        <v>0</v>
      </c>
      <c r="AQ68" t="n">
        <v>0</v>
      </c>
      <c r="AR68" t="inlineStr">
        <is>
          <t>Yes</t>
        </is>
      </c>
      <c r="AS68" t="inlineStr">
        <is>
          <t>No</t>
        </is>
      </c>
      <c r="AT68">
        <f>HYPERLINK("http://catalog.hathitrust.org/Record/011407035","HathiTrust Record")</f>
        <v/>
      </c>
      <c r="AU68">
        <f>HYPERLINK("https://creighton-primo.hosted.exlibrisgroup.com/primo-explore/search?tab=default_tab&amp;search_scope=EVERYTHING&amp;vid=01CRU&amp;lang=en_US&amp;offset=0&amp;query=any,contains,991001053899702656","Catalog Record")</f>
        <v/>
      </c>
      <c r="AV68">
        <f>HYPERLINK("http://www.worldcat.org/oclc/15665409","WorldCat Record")</f>
        <v/>
      </c>
      <c r="AW68" t="inlineStr">
        <is>
          <t>4820442638:eng</t>
        </is>
      </c>
      <c r="AX68" t="inlineStr">
        <is>
          <t>15665409</t>
        </is>
      </c>
      <c r="AY68" t="inlineStr">
        <is>
          <t>991001053899702656</t>
        </is>
      </c>
      <c r="AZ68" t="inlineStr">
        <is>
          <t>991001053899702656</t>
        </is>
      </c>
      <c r="BA68" t="inlineStr">
        <is>
          <t>2264042970002656</t>
        </is>
      </c>
      <c r="BB68" t="inlineStr">
        <is>
          <t>BOOK</t>
        </is>
      </c>
      <c r="BE68" t="inlineStr">
        <is>
          <t>32285001989556</t>
        </is>
      </c>
      <c r="BF68" t="inlineStr">
        <is>
          <t>893772268</t>
        </is>
      </c>
    </row>
    <row r="69">
      <c r="A69" t="inlineStr">
        <is>
          <t>No</t>
        </is>
      </c>
      <c r="B69" t="inlineStr">
        <is>
          <t>CURAL</t>
        </is>
      </c>
      <c r="C69" t="inlineStr">
        <is>
          <t>SHELVES</t>
        </is>
      </c>
      <c r="D69" t="inlineStr">
        <is>
          <t>PR1174 .G3</t>
        </is>
      </c>
      <c r="E69" t="inlineStr">
        <is>
          <t>0                      PR 1174000G  3</t>
        </is>
      </c>
      <c r="F69" t="inlineStr">
        <is>
          <t>The new Oxford book of English verse, 1250-1950, chosen and edited by Helen Gardner.</t>
        </is>
      </c>
      <c r="H69" t="inlineStr">
        <is>
          <t>No</t>
        </is>
      </c>
      <c r="I69" t="inlineStr">
        <is>
          <t>1</t>
        </is>
      </c>
      <c r="J69" t="inlineStr">
        <is>
          <t>No</t>
        </is>
      </c>
      <c r="K69" t="inlineStr">
        <is>
          <t>No</t>
        </is>
      </c>
      <c r="L69" t="inlineStr">
        <is>
          <t>0</t>
        </is>
      </c>
      <c r="M69" t="inlineStr">
        <is>
          <t>Gardner, Helen, 1908-1986 compiler.</t>
        </is>
      </c>
      <c r="N69" t="inlineStr">
        <is>
          <t>New York, Oxford University Press, 1972.</t>
        </is>
      </c>
      <c r="O69" t="inlineStr">
        <is>
          <t>1972</t>
        </is>
      </c>
      <c r="Q69" t="inlineStr">
        <is>
          <t>eng</t>
        </is>
      </c>
      <c r="R69" t="inlineStr">
        <is>
          <t>nyu</t>
        </is>
      </c>
      <c r="S69" t="inlineStr">
        <is>
          <t>The Oxford books of verse</t>
        </is>
      </c>
      <c r="T69" t="inlineStr">
        <is>
          <t xml:space="preserve">PR </t>
        </is>
      </c>
      <c r="U69" t="n">
        <v>1</v>
      </c>
      <c r="V69" t="n">
        <v>1</v>
      </c>
      <c r="W69" t="inlineStr">
        <is>
          <t>2009-05-26</t>
        </is>
      </c>
      <c r="X69" t="inlineStr">
        <is>
          <t>2009-05-26</t>
        </is>
      </c>
      <c r="Y69" t="inlineStr">
        <is>
          <t>1997-07-28</t>
        </is>
      </c>
      <c r="Z69" t="inlineStr">
        <is>
          <t>1997-07-28</t>
        </is>
      </c>
      <c r="AA69" t="n">
        <v>3108</v>
      </c>
      <c r="AB69" t="n">
        <v>2780</v>
      </c>
      <c r="AC69" t="n">
        <v>2871</v>
      </c>
      <c r="AD69" t="n">
        <v>29</v>
      </c>
      <c r="AE69" t="n">
        <v>30</v>
      </c>
      <c r="AF69" t="n">
        <v>58</v>
      </c>
      <c r="AG69" t="n">
        <v>58</v>
      </c>
      <c r="AH69" t="n">
        <v>23</v>
      </c>
      <c r="AI69" t="n">
        <v>23</v>
      </c>
      <c r="AJ69" t="n">
        <v>9</v>
      </c>
      <c r="AK69" t="n">
        <v>9</v>
      </c>
      <c r="AL69" t="n">
        <v>24</v>
      </c>
      <c r="AM69" t="n">
        <v>24</v>
      </c>
      <c r="AN69" t="n">
        <v>12</v>
      </c>
      <c r="AO69" t="n">
        <v>12</v>
      </c>
      <c r="AP69" t="n">
        <v>2</v>
      </c>
      <c r="AQ69" t="n">
        <v>2</v>
      </c>
      <c r="AR69" t="inlineStr">
        <is>
          <t>No</t>
        </is>
      </c>
      <c r="AS69" t="inlineStr">
        <is>
          <t>No</t>
        </is>
      </c>
      <c r="AU69">
        <f>HYPERLINK("https://creighton-primo.hosted.exlibrisgroup.com/primo-explore/search?tab=default_tab&amp;search_scope=EVERYTHING&amp;vid=01CRU&amp;lang=en_US&amp;offset=0&amp;query=any,contains,991002970749702656","Catalog Record")</f>
        <v/>
      </c>
      <c r="AV69">
        <f>HYPERLINK("http://www.worldcat.org/oclc/548375","WorldCat Record")</f>
        <v/>
      </c>
      <c r="AW69" t="inlineStr">
        <is>
          <t>57185771:eng</t>
        </is>
      </c>
      <c r="AX69" t="inlineStr">
        <is>
          <t>548375</t>
        </is>
      </c>
      <c r="AY69" t="inlineStr">
        <is>
          <t>991002970749702656</t>
        </is>
      </c>
      <c r="AZ69" t="inlineStr">
        <is>
          <t>991002970749702656</t>
        </is>
      </c>
      <c r="BA69" t="inlineStr">
        <is>
          <t>2266049540002656</t>
        </is>
      </c>
      <c r="BB69" t="inlineStr">
        <is>
          <t>BOOK</t>
        </is>
      </c>
      <c r="BD69" t="inlineStr">
        <is>
          <t>9780198121367</t>
        </is>
      </c>
      <c r="BE69" t="inlineStr">
        <is>
          <t>32285002963352</t>
        </is>
      </c>
      <c r="BF69" t="inlineStr">
        <is>
          <t>893786810</t>
        </is>
      </c>
    </row>
    <row r="70">
      <c r="A70" t="inlineStr">
        <is>
          <t>No</t>
        </is>
      </c>
      <c r="B70" t="inlineStr">
        <is>
          <t>CURAL</t>
        </is>
      </c>
      <c r="C70" t="inlineStr">
        <is>
          <t>SHELVES</t>
        </is>
      </c>
      <c r="D70" t="inlineStr">
        <is>
          <t>PR1175 .C752</t>
        </is>
      </c>
      <c r="E70" t="inlineStr">
        <is>
          <t>0                      PR 1175000C  752</t>
        </is>
      </c>
      <c r="F70" t="inlineStr">
        <is>
          <t>A collection of English poems, 1660-1800 / selected and edited by Ronald S. Crane.</t>
        </is>
      </c>
      <c r="H70" t="inlineStr">
        <is>
          <t>No</t>
        </is>
      </c>
      <c r="I70" t="inlineStr">
        <is>
          <t>1</t>
        </is>
      </c>
      <c r="J70" t="inlineStr">
        <is>
          <t>No</t>
        </is>
      </c>
      <c r="K70" t="inlineStr">
        <is>
          <t>No</t>
        </is>
      </c>
      <c r="L70" t="inlineStr">
        <is>
          <t>0</t>
        </is>
      </c>
      <c r="M70" t="inlineStr">
        <is>
          <t>Crane, Ronald S. (Ronald Salmon), 1886-1967, compiler.</t>
        </is>
      </c>
      <c r="N70" t="inlineStr">
        <is>
          <t>New York ; London : Harper &amp; Brothers, 1932.</t>
        </is>
      </c>
      <c r="O70" t="inlineStr">
        <is>
          <t>1932</t>
        </is>
      </c>
      <c r="Q70" t="inlineStr">
        <is>
          <t>eng</t>
        </is>
      </c>
      <c r="R70" t="inlineStr">
        <is>
          <t>nyu</t>
        </is>
      </c>
      <c r="T70" t="inlineStr">
        <is>
          <t xml:space="preserve">PR </t>
        </is>
      </c>
      <c r="U70" t="n">
        <v>3</v>
      </c>
      <c r="V70" t="n">
        <v>3</v>
      </c>
      <c r="W70" t="inlineStr">
        <is>
          <t>1998-12-09</t>
        </is>
      </c>
      <c r="X70" t="inlineStr">
        <is>
          <t>1998-12-09</t>
        </is>
      </c>
      <c r="Y70" t="inlineStr">
        <is>
          <t>1994-05-06</t>
        </is>
      </c>
      <c r="Z70" t="inlineStr">
        <is>
          <t>1994-05-06</t>
        </is>
      </c>
      <c r="AA70" t="n">
        <v>600</v>
      </c>
      <c r="AB70" t="n">
        <v>574</v>
      </c>
      <c r="AC70" t="n">
        <v>837</v>
      </c>
      <c r="AD70" t="n">
        <v>5</v>
      </c>
      <c r="AE70" t="n">
        <v>7</v>
      </c>
      <c r="AF70" t="n">
        <v>23</v>
      </c>
      <c r="AG70" t="n">
        <v>30</v>
      </c>
      <c r="AH70" t="n">
        <v>8</v>
      </c>
      <c r="AI70" t="n">
        <v>12</v>
      </c>
      <c r="AJ70" t="n">
        <v>5</v>
      </c>
      <c r="AK70" t="n">
        <v>7</v>
      </c>
      <c r="AL70" t="n">
        <v>11</v>
      </c>
      <c r="AM70" t="n">
        <v>14</v>
      </c>
      <c r="AN70" t="n">
        <v>4</v>
      </c>
      <c r="AO70" t="n">
        <v>5</v>
      </c>
      <c r="AP70" t="n">
        <v>0</v>
      </c>
      <c r="AQ70" t="n">
        <v>0</v>
      </c>
      <c r="AR70" t="inlineStr">
        <is>
          <t>Yes</t>
        </is>
      </c>
      <c r="AS70" t="inlineStr">
        <is>
          <t>No</t>
        </is>
      </c>
      <c r="AT70">
        <f>HYPERLINK("http://catalog.hathitrust.org/Record/001371889","HathiTrust Record")</f>
        <v/>
      </c>
      <c r="AU70">
        <f>HYPERLINK("https://creighton-primo.hosted.exlibrisgroup.com/primo-explore/search?tab=default_tab&amp;search_scope=EVERYTHING&amp;vid=01CRU&amp;lang=en_US&amp;offset=0&amp;query=any,contains,991001902979702656","Catalog Record")</f>
        <v/>
      </c>
      <c r="AV70">
        <f>HYPERLINK("http://www.worldcat.org/oclc/239415","WorldCat Record")</f>
        <v/>
      </c>
      <c r="AW70" t="inlineStr">
        <is>
          <t>1379598:eng</t>
        </is>
      </c>
      <c r="AX70" t="inlineStr">
        <is>
          <t>239415</t>
        </is>
      </c>
      <c r="AY70" t="inlineStr">
        <is>
          <t>991001902979702656</t>
        </is>
      </c>
      <c r="AZ70" t="inlineStr">
        <is>
          <t>991001902979702656</t>
        </is>
      </c>
      <c r="BA70" t="inlineStr">
        <is>
          <t>2256782030002656</t>
        </is>
      </c>
      <c r="BB70" t="inlineStr">
        <is>
          <t>BOOK</t>
        </is>
      </c>
      <c r="BE70" t="inlineStr">
        <is>
          <t>32285001908119</t>
        </is>
      </c>
      <c r="BF70" t="inlineStr">
        <is>
          <t>893797909</t>
        </is>
      </c>
    </row>
    <row r="71">
      <c r="A71" t="inlineStr">
        <is>
          <t>No</t>
        </is>
      </c>
      <c r="B71" t="inlineStr">
        <is>
          <t>CURAL</t>
        </is>
      </c>
      <c r="C71" t="inlineStr">
        <is>
          <t>SHELVES</t>
        </is>
      </c>
      <c r="D71" t="inlineStr">
        <is>
          <t>PR1175 .H514 2000</t>
        </is>
      </c>
      <c r="E71" t="inlineStr">
        <is>
          <t>0                      PR 1175000H  514         2000</t>
        </is>
      </c>
      <c r="F71" t="inlineStr">
        <is>
          <t>The Heath introduction to poetry / [edited by] Joseph DeRoche.</t>
        </is>
      </c>
      <c r="H71" t="inlineStr">
        <is>
          <t>No</t>
        </is>
      </c>
      <c r="I71" t="inlineStr">
        <is>
          <t>1</t>
        </is>
      </c>
      <c r="J71" t="inlineStr">
        <is>
          <t>No</t>
        </is>
      </c>
      <c r="K71" t="inlineStr">
        <is>
          <t>No</t>
        </is>
      </c>
      <c r="L71" t="inlineStr">
        <is>
          <t>0</t>
        </is>
      </c>
      <c r="N71" t="inlineStr">
        <is>
          <t>Boston : Houghton Mifflin Co., c2000.</t>
        </is>
      </c>
      <c r="O71" t="inlineStr">
        <is>
          <t>1999</t>
        </is>
      </c>
      <c r="P71" t="inlineStr">
        <is>
          <t>6th ed.</t>
        </is>
      </c>
      <c r="Q71" t="inlineStr">
        <is>
          <t>eng</t>
        </is>
      </c>
      <c r="R71" t="inlineStr">
        <is>
          <t>mau</t>
        </is>
      </c>
      <c r="T71" t="inlineStr">
        <is>
          <t xml:space="preserve">PR </t>
        </is>
      </c>
      <c r="U71" t="n">
        <v>1</v>
      </c>
      <c r="V71" t="n">
        <v>1</v>
      </c>
      <c r="W71" t="inlineStr">
        <is>
          <t>2005-10-05</t>
        </is>
      </c>
      <c r="X71" t="inlineStr">
        <is>
          <t>2005-10-05</t>
        </is>
      </c>
      <c r="Y71" t="inlineStr">
        <is>
          <t>2005-10-05</t>
        </is>
      </c>
      <c r="Z71" t="inlineStr">
        <is>
          <t>2005-10-05</t>
        </is>
      </c>
      <c r="AA71" t="n">
        <v>90</v>
      </c>
      <c r="AB71" t="n">
        <v>65</v>
      </c>
      <c r="AC71" t="n">
        <v>488</v>
      </c>
      <c r="AD71" t="n">
        <v>2</v>
      </c>
      <c r="AE71" t="n">
        <v>4</v>
      </c>
      <c r="AF71" t="n">
        <v>3</v>
      </c>
      <c r="AG71" t="n">
        <v>18</v>
      </c>
      <c r="AH71" t="n">
        <v>2</v>
      </c>
      <c r="AI71" t="n">
        <v>8</v>
      </c>
      <c r="AJ71" t="n">
        <v>0</v>
      </c>
      <c r="AK71" t="n">
        <v>3</v>
      </c>
      <c r="AL71" t="n">
        <v>1</v>
      </c>
      <c r="AM71" t="n">
        <v>7</v>
      </c>
      <c r="AN71" t="n">
        <v>0</v>
      </c>
      <c r="AO71" t="n">
        <v>2</v>
      </c>
      <c r="AP71" t="n">
        <v>0</v>
      </c>
      <c r="AQ71" t="n">
        <v>0</v>
      </c>
      <c r="AR71" t="inlineStr">
        <is>
          <t>No</t>
        </is>
      </c>
      <c r="AS71" t="inlineStr">
        <is>
          <t>Yes</t>
        </is>
      </c>
      <c r="AT71">
        <f>HYPERLINK("http://catalog.hathitrust.org/Record/007041474","HathiTrust Record")</f>
        <v/>
      </c>
      <c r="AU71">
        <f>HYPERLINK("https://creighton-primo.hosted.exlibrisgroup.com/primo-explore/search?tab=default_tab&amp;search_scope=EVERYTHING&amp;vid=01CRU&amp;lang=en_US&amp;offset=0&amp;query=any,contains,991004673549702656","Catalog Record")</f>
        <v/>
      </c>
      <c r="AV71">
        <f>HYPERLINK("http://www.worldcat.org/oclc/43475037","WorldCat Record")</f>
        <v/>
      </c>
      <c r="AW71" t="inlineStr">
        <is>
          <t>365638875:eng</t>
        </is>
      </c>
      <c r="AX71" t="inlineStr">
        <is>
          <t>43475037</t>
        </is>
      </c>
      <c r="AY71" t="inlineStr">
        <is>
          <t>991004673549702656</t>
        </is>
      </c>
      <c r="AZ71" t="inlineStr">
        <is>
          <t>991004673549702656</t>
        </is>
      </c>
      <c r="BA71" t="inlineStr">
        <is>
          <t>2263153260002656</t>
        </is>
      </c>
      <c r="BB71" t="inlineStr">
        <is>
          <t>BOOK</t>
        </is>
      </c>
      <c r="BD71" t="inlineStr">
        <is>
          <t>9780395958247</t>
        </is>
      </c>
      <c r="BE71" t="inlineStr">
        <is>
          <t>32285005087647</t>
        </is>
      </c>
      <c r="BF71" t="inlineStr">
        <is>
          <t>893694191</t>
        </is>
      </c>
    </row>
    <row r="72">
      <c r="A72" t="inlineStr">
        <is>
          <t>No</t>
        </is>
      </c>
      <c r="B72" t="inlineStr">
        <is>
          <t>CURAL</t>
        </is>
      </c>
      <c r="C72" t="inlineStr">
        <is>
          <t>SHELVES</t>
        </is>
      </c>
      <c r="D72" t="inlineStr">
        <is>
          <t>PR1175 .K7</t>
        </is>
      </c>
      <c r="E72" t="inlineStr">
        <is>
          <t>0                      PR 1175000K  7</t>
        </is>
      </c>
      <c r="F72" t="inlineStr">
        <is>
          <t>An anthology of light verse, edited, with an introduction, by Louis Kronenberger ...</t>
        </is>
      </c>
      <c r="H72" t="inlineStr">
        <is>
          <t>No</t>
        </is>
      </c>
      <c r="I72" t="inlineStr">
        <is>
          <t>1</t>
        </is>
      </c>
      <c r="J72" t="inlineStr">
        <is>
          <t>No</t>
        </is>
      </c>
      <c r="K72" t="inlineStr">
        <is>
          <t>No</t>
        </is>
      </c>
      <c r="L72" t="inlineStr">
        <is>
          <t>0</t>
        </is>
      </c>
      <c r="M72" t="inlineStr">
        <is>
          <t>Kronenberger, Louis, 1904-1980, editor.</t>
        </is>
      </c>
      <c r="N72" t="inlineStr">
        <is>
          <t>New York, The Modern Library [c1935]</t>
        </is>
      </c>
      <c r="O72" t="inlineStr">
        <is>
          <t>1935</t>
        </is>
      </c>
      <c r="Q72" t="inlineStr">
        <is>
          <t>eng</t>
        </is>
      </c>
      <c r="R72" t="inlineStr">
        <is>
          <t>nyu</t>
        </is>
      </c>
      <c r="S72" t="inlineStr">
        <is>
          <t>The Modern library of the world's best books</t>
        </is>
      </c>
      <c r="T72" t="inlineStr">
        <is>
          <t xml:space="preserve">PR </t>
        </is>
      </c>
      <c r="U72" t="n">
        <v>1</v>
      </c>
      <c r="V72" t="n">
        <v>1</v>
      </c>
      <c r="W72" t="inlineStr">
        <is>
          <t>2009-07-08</t>
        </is>
      </c>
      <c r="X72" t="inlineStr">
        <is>
          <t>2009-07-08</t>
        </is>
      </c>
      <c r="Y72" t="inlineStr">
        <is>
          <t>1997-07-28</t>
        </is>
      </c>
      <c r="Z72" t="inlineStr">
        <is>
          <t>1997-07-28</t>
        </is>
      </c>
      <c r="AA72" t="n">
        <v>537</v>
      </c>
      <c r="AB72" t="n">
        <v>496</v>
      </c>
      <c r="AC72" t="n">
        <v>523</v>
      </c>
      <c r="AD72" t="n">
        <v>6</v>
      </c>
      <c r="AE72" t="n">
        <v>6</v>
      </c>
      <c r="AF72" t="n">
        <v>21</v>
      </c>
      <c r="AG72" t="n">
        <v>22</v>
      </c>
      <c r="AH72" t="n">
        <v>6</v>
      </c>
      <c r="AI72" t="n">
        <v>7</v>
      </c>
      <c r="AJ72" t="n">
        <v>2</v>
      </c>
      <c r="AK72" t="n">
        <v>2</v>
      </c>
      <c r="AL72" t="n">
        <v>11</v>
      </c>
      <c r="AM72" t="n">
        <v>11</v>
      </c>
      <c r="AN72" t="n">
        <v>5</v>
      </c>
      <c r="AO72" t="n">
        <v>5</v>
      </c>
      <c r="AP72" t="n">
        <v>0</v>
      </c>
      <c r="AQ72" t="n">
        <v>0</v>
      </c>
      <c r="AR72" t="inlineStr">
        <is>
          <t>No</t>
        </is>
      </c>
      <c r="AS72" t="inlineStr">
        <is>
          <t>Yes</t>
        </is>
      </c>
      <c r="AT72">
        <f>HYPERLINK("http://catalog.hathitrust.org/Record/001016858","HathiTrust Record")</f>
        <v/>
      </c>
      <c r="AU72">
        <f>HYPERLINK("https://creighton-primo.hosted.exlibrisgroup.com/primo-explore/search?tab=default_tab&amp;search_scope=EVERYTHING&amp;vid=01CRU&amp;lang=en_US&amp;offset=0&amp;query=any,contains,991001723819702656","Catalog Record")</f>
        <v/>
      </c>
      <c r="AV72">
        <f>HYPERLINK("http://www.worldcat.org/oclc/234910","WorldCat Record")</f>
        <v/>
      </c>
      <c r="AW72" t="inlineStr">
        <is>
          <t>57811734:eng</t>
        </is>
      </c>
      <c r="AX72" t="inlineStr">
        <is>
          <t>234910</t>
        </is>
      </c>
      <c r="AY72" t="inlineStr">
        <is>
          <t>991001723819702656</t>
        </is>
      </c>
      <c r="AZ72" t="inlineStr">
        <is>
          <t>991001723819702656</t>
        </is>
      </c>
      <c r="BA72" t="inlineStr">
        <is>
          <t>2257336680002656</t>
        </is>
      </c>
      <c r="BB72" t="inlineStr">
        <is>
          <t>BOOK</t>
        </is>
      </c>
      <c r="BE72" t="inlineStr">
        <is>
          <t>32285002963527</t>
        </is>
      </c>
      <c r="BF72" t="inlineStr">
        <is>
          <t>893615317</t>
        </is>
      </c>
    </row>
    <row r="73">
      <c r="A73" t="inlineStr">
        <is>
          <t>No</t>
        </is>
      </c>
      <c r="B73" t="inlineStr">
        <is>
          <t>CURAL</t>
        </is>
      </c>
      <c r="C73" t="inlineStr">
        <is>
          <t>SHELVES</t>
        </is>
      </c>
      <c r="D73" t="inlineStr">
        <is>
          <t>PR1175 .L35 1896</t>
        </is>
      </c>
      <c r="E73" t="inlineStr">
        <is>
          <t>0                      PR 1175000L  35          1896</t>
        </is>
      </c>
      <c r="F73" t="inlineStr">
        <is>
          <t>The blue poetry book / edited by Andrew Lang ; with numerous illus. by H. J. Ford and Lancelot Speed.</t>
        </is>
      </c>
      <c r="H73" t="inlineStr">
        <is>
          <t>No</t>
        </is>
      </c>
      <c r="I73" t="inlineStr">
        <is>
          <t>1</t>
        </is>
      </c>
      <c r="J73" t="inlineStr">
        <is>
          <t>No</t>
        </is>
      </c>
      <c r="K73" t="inlineStr">
        <is>
          <t>No</t>
        </is>
      </c>
      <c r="L73" t="inlineStr">
        <is>
          <t>0</t>
        </is>
      </c>
      <c r="M73" t="inlineStr">
        <is>
          <t>Lang, Andrew, 1844-1912.</t>
        </is>
      </c>
      <c r="N73" t="inlineStr">
        <is>
          <t>London ; New York : Longmans, Green, and co., 1896.</t>
        </is>
      </c>
      <c r="O73" t="inlineStr">
        <is>
          <t>1896</t>
        </is>
      </c>
      <c r="P73" t="inlineStr">
        <is>
          <t>2d. ed.</t>
        </is>
      </c>
      <c r="Q73" t="inlineStr">
        <is>
          <t>eng</t>
        </is>
      </c>
      <c r="R73" t="inlineStr">
        <is>
          <t>nyu</t>
        </is>
      </c>
      <c r="T73" t="inlineStr">
        <is>
          <t xml:space="preserve">PR </t>
        </is>
      </c>
      <c r="U73" t="n">
        <v>2</v>
      </c>
      <c r="V73" t="n">
        <v>2</v>
      </c>
      <c r="W73" t="inlineStr">
        <is>
          <t>2003-04-07</t>
        </is>
      </c>
      <c r="X73" t="inlineStr">
        <is>
          <t>2003-04-07</t>
        </is>
      </c>
      <c r="Y73" t="inlineStr">
        <is>
          <t>1997-07-28</t>
        </is>
      </c>
      <c r="Z73" t="inlineStr">
        <is>
          <t>1997-07-28</t>
        </is>
      </c>
      <c r="AA73" t="n">
        <v>25</v>
      </c>
      <c r="AB73" t="n">
        <v>19</v>
      </c>
      <c r="AC73" t="n">
        <v>525</v>
      </c>
      <c r="AD73" t="n">
        <v>1</v>
      </c>
      <c r="AE73" t="n">
        <v>6</v>
      </c>
      <c r="AF73" t="n">
        <v>1</v>
      </c>
      <c r="AG73" t="n">
        <v>17</v>
      </c>
      <c r="AH73" t="n">
        <v>1</v>
      </c>
      <c r="AI73" t="n">
        <v>8</v>
      </c>
      <c r="AJ73" t="n">
        <v>0</v>
      </c>
      <c r="AK73" t="n">
        <v>3</v>
      </c>
      <c r="AL73" t="n">
        <v>1</v>
      </c>
      <c r="AM73" t="n">
        <v>5</v>
      </c>
      <c r="AN73" t="n">
        <v>0</v>
      </c>
      <c r="AO73" t="n">
        <v>4</v>
      </c>
      <c r="AP73" t="n">
        <v>0</v>
      </c>
      <c r="AQ73" t="n">
        <v>0</v>
      </c>
      <c r="AR73" t="inlineStr">
        <is>
          <t>Yes</t>
        </is>
      </c>
      <c r="AS73" t="inlineStr">
        <is>
          <t>No</t>
        </is>
      </c>
      <c r="AT73">
        <f>HYPERLINK("http://catalog.hathitrust.org/Record/001355862","HathiTrust Record")</f>
        <v/>
      </c>
      <c r="AU73">
        <f>HYPERLINK("https://creighton-primo.hosted.exlibrisgroup.com/primo-explore/search?tab=default_tab&amp;search_scope=EVERYTHING&amp;vid=01CRU&amp;lang=en_US&amp;offset=0&amp;query=any,contains,991004781379702656","Catalog Record")</f>
        <v/>
      </c>
      <c r="AV73">
        <f>HYPERLINK("http://www.worldcat.org/oclc/5111092","WorldCat Record")</f>
        <v/>
      </c>
      <c r="AW73" t="inlineStr">
        <is>
          <t>1186079:eng</t>
        </is>
      </c>
      <c r="AX73" t="inlineStr">
        <is>
          <t>5111092</t>
        </is>
      </c>
      <c r="AY73" t="inlineStr">
        <is>
          <t>991004781379702656</t>
        </is>
      </c>
      <c r="AZ73" t="inlineStr">
        <is>
          <t>991004781379702656</t>
        </is>
      </c>
      <c r="BA73" t="inlineStr">
        <is>
          <t>2255858320002656</t>
        </is>
      </c>
      <c r="BB73" t="inlineStr">
        <is>
          <t>BOOK</t>
        </is>
      </c>
      <c r="BE73" t="inlineStr">
        <is>
          <t>32285002963535</t>
        </is>
      </c>
      <c r="BF73" t="inlineStr">
        <is>
          <t>893344251</t>
        </is>
      </c>
    </row>
    <row r="74">
      <c r="A74" t="inlineStr">
        <is>
          <t>No</t>
        </is>
      </c>
      <c r="B74" t="inlineStr">
        <is>
          <t>CURAL</t>
        </is>
      </c>
      <c r="C74" t="inlineStr">
        <is>
          <t>SHELVES</t>
        </is>
      </c>
      <c r="D74" t="inlineStr">
        <is>
          <t>PR1175 .L44 1962</t>
        </is>
      </c>
      <c r="E74" t="inlineStr">
        <is>
          <t>0                      PR 1175000L  44          1962</t>
        </is>
      </c>
      <c r="F74" t="inlineStr">
        <is>
          <t>The stuffed owl: an anthology of bad verse / selected and arranged by D. B. Wyndham Lewis and Charles Lee ; with eight cartoons from the works of Max Beerholm.</t>
        </is>
      </c>
      <c r="H74" t="inlineStr">
        <is>
          <t>No</t>
        </is>
      </c>
      <c r="I74" t="inlineStr">
        <is>
          <t>1</t>
        </is>
      </c>
      <c r="J74" t="inlineStr">
        <is>
          <t>No</t>
        </is>
      </c>
      <c r="K74" t="inlineStr">
        <is>
          <t>No</t>
        </is>
      </c>
      <c r="L74" t="inlineStr">
        <is>
          <t>0</t>
        </is>
      </c>
      <c r="M74" t="inlineStr">
        <is>
          <t>Lewis, D. B. Wyndham (Dominic Bevan Wyndham), 1891-1969 editor.</t>
        </is>
      </c>
      <c r="N74" t="inlineStr">
        <is>
          <t>New York : Capricorn Books, 1962.</t>
        </is>
      </c>
      <c r="O74" t="inlineStr">
        <is>
          <t>1962</t>
        </is>
      </c>
      <c r="Q74" t="inlineStr">
        <is>
          <t>eng</t>
        </is>
      </c>
      <c r="R74" t="inlineStr">
        <is>
          <t>nyu</t>
        </is>
      </c>
      <c r="T74" t="inlineStr">
        <is>
          <t xml:space="preserve">PR </t>
        </is>
      </c>
      <c r="U74" t="n">
        <v>3</v>
      </c>
      <c r="V74" t="n">
        <v>3</v>
      </c>
      <c r="W74" t="inlineStr">
        <is>
          <t>1993-09-26</t>
        </is>
      </c>
      <c r="X74" t="inlineStr">
        <is>
          <t>1993-09-26</t>
        </is>
      </c>
      <c r="Y74" t="inlineStr">
        <is>
          <t>1992-04-02</t>
        </is>
      </c>
      <c r="Z74" t="inlineStr">
        <is>
          <t>1992-04-02</t>
        </is>
      </c>
      <c r="AA74" t="n">
        <v>259</v>
      </c>
      <c r="AB74" t="n">
        <v>249</v>
      </c>
      <c r="AC74" t="n">
        <v>717</v>
      </c>
      <c r="AD74" t="n">
        <v>2</v>
      </c>
      <c r="AE74" t="n">
        <v>5</v>
      </c>
      <c r="AF74" t="n">
        <v>8</v>
      </c>
      <c r="AG74" t="n">
        <v>36</v>
      </c>
      <c r="AH74" t="n">
        <v>4</v>
      </c>
      <c r="AI74" t="n">
        <v>14</v>
      </c>
      <c r="AJ74" t="n">
        <v>3</v>
      </c>
      <c r="AK74" t="n">
        <v>8</v>
      </c>
      <c r="AL74" t="n">
        <v>3</v>
      </c>
      <c r="AM74" t="n">
        <v>21</v>
      </c>
      <c r="AN74" t="n">
        <v>0</v>
      </c>
      <c r="AO74" t="n">
        <v>3</v>
      </c>
      <c r="AP74" t="n">
        <v>0</v>
      </c>
      <c r="AQ74" t="n">
        <v>0</v>
      </c>
      <c r="AR74" t="inlineStr">
        <is>
          <t>No</t>
        </is>
      </c>
      <c r="AS74" t="inlineStr">
        <is>
          <t>No</t>
        </is>
      </c>
      <c r="AT74">
        <f>HYPERLINK("http://catalog.hathitrust.org/Record/102080735","HathiTrust Record")</f>
        <v/>
      </c>
      <c r="AU74">
        <f>HYPERLINK("https://creighton-primo.hosted.exlibrisgroup.com/primo-explore/search?tab=default_tab&amp;search_scope=EVERYTHING&amp;vid=01CRU&amp;lang=en_US&amp;offset=0&amp;query=any,contains,991000599119702656","Catalog Record")</f>
        <v/>
      </c>
      <c r="AV74">
        <f>HYPERLINK("http://www.worldcat.org/oclc/11824503","WorldCat Record")</f>
        <v/>
      </c>
      <c r="AW74" t="inlineStr">
        <is>
          <t>836624983:eng</t>
        </is>
      </c>
      <c r="AX74" t="inlineStr">
        <is>
          <t>11824503</t>
        </is>
      </c>
      <c r="AY74" t="inlineStr">
        <is>
          <t>991000599119702656</t>
        </is>
      </c>
      <c r="AZ74" t="inlineStr">
        <is>
          <t>991000599119702656</t>
        </is>
      </c>
      <c r="BA74" t="inlineStr">
        <is>
          <t>2267948410002656</t>
        </is>
      </c>
      <c r="BB74" t="inlineStr">
        <is>
          <t>BOOK</t>
        </is>
      </c>
      <c r="BE74" t="inlineStr">
        <is>
          <t>32285001032704</t>
        </is>
      </c>
      <c r="BF74" t="inlineStr">
        <is>
          <t>893345802</t>
        </is>
      </c>
    </row>
    <row r="75">
      <c r="A75" t="inlineStr">
        <is>
          <t>No</t>
        </is>
      </c>
      <c r="B75" t="inlineStr">
        <is>
          <t>CURAL</t>
        </is>
      </c>
      <c r="C75" t="inlineStr">
        <is>
          <t>SHELVES</t>
        </is>
      </c>
      <c r="D75" t="inlineStr">
        <is>
          <t>PR1175 .R34 1992</t>
        </is>
      </c>
      <c r="E75" t="inlineStr">
        <is>
          <t>0                      PR 1175000R  34          1992</t>
        </is>
      </c>
      <c r="F75" t="inlineStr">
        <is>
          <t>A Rage for order : poetry of the Northern Ireland troubles / edited by Frank Ormsby.</t>
        </is>
      </c>
      <c r="H75" t="inlineStr">
        <is>
          <t>No</t>
        </is>
      </c>
      <c r="I75" t="inlineStr">
        <is>
          <t>1</t>
        </is>
      </c>
      <c r="J75" t="inlineStr">
        <is>
          <t>No</t>
        </is>
      </c>
      <c r="K75" t="inlineStr">
        <is>
          <t>No</t>
        </is>
      </c>
      <c r="L75" t="inlineStr">
        <is>
          <t>0</t>
        </is>
      </c>
      <c r="N75" t="inlineStr">
        <is>
          <t>Belfast : Blackstaff, 1992.</t>
        </is>
      </c>
      <c r="O75" t="inlineStr">
        <is>
          <t>1992</t>
        </is>
      </c>
      <c r="Q75" t="inlineStr">
        <is>
          <t>eng</t>
        </is>
      </c>
      <c r="R75" t="inlineStr">
        <is>
          <t>nik</t>
        </is>
      </c>
      <c r="T75" t="inlineStr">
        <is>
          <t xml:space="preserve">PR </t>
        </is>
      </c>
      <c r="U75" t="n">
        <v>5</v>
      </c>
      <c r="V75" t="n">
        <v>5</v>
      </c>
      <c r="W75" t="inlineStr">
        <is>
          <t>2006-02-14</t>
        </is>
      </c>
      <c r="X75" t="inlineStr">
        <is>
          <t>2006-02-14</t>
        </is>
      </c>
      <c r="Y75" t="inlineStr">
        <is>
          <t>1993-04-13</t>
        </is>
      </c>
      <c r="Z75" t="inlineStr">
        <is>
          <t>1993-04-13</t>
        </is>
      </c>
      <c r="AA75" t="n">
        <v>179</v>
      </c>
      <c r="AB75" t="n">
        <v>91</v>
      </c>
      <c r="AC75" t="n">
        <v>93</v>
      </c>
      <c r="AD75" t="n">
        <v>2</v>
      </c>
      <c r="AE75" t="n">
        <v>2</v>
      </c>
      <c r="AF75" t="n">
        <v>8</v>
      </c>
      <c r="AG75" t="n">
        <v>8</v>
      </c>
      <c r="AH75" t="n">
        <v>3</v>
      </c>
      <c r="AI75" t="n">
        <v>3</v>
      </c>
      <c r="AJ75" t="n">
        <v>2</v>
      </c>
      <c r="AK75" t="n">
        <v>2</v>
      </c>
      <c r="AL75" t="n">
        <v>5</v>
      </c>
      <c r="AM75" t="n">
        <v>5</v>
      </c>
      <c r="AN75" t="n">
        <v>1</v>
      </c>
      <c r="AO75" t="n">
        <v>1</v>
      </c>
      <c r="AP75" t="n">
        <v>0</v>
      </c>
      <c r="AQ75" t="n">
        <v>0</v>
      </c>
      <c r="AR75" t="inlineStr">
        <is>
          <t>No</t>
        </is>
      </c>
      <c r="AS75" t="inlineStr">
        <is>
          <t>Yes</t>
        </is>
      </c>
      <c r="AT75">
        <f>HYPERLINK("http://catalog.hathitrust.org/Record/002618225","HathiTrust Record")</f>
        <v/>
      </c>
      <c r="AU75">
        <f>HYPERLINK("https://creighton-primo.hosted.exlibrisgroup.com/primo-explore/search?tab=default_tab&amp;search_scope=EVERYTHING&amp;vid=01CRU&amp;lang=en_US&amp;offset=0&amp;query=any,contains,991002115619702656","Catalog Record")</f>
        <v/>
      </c>
      <c r="AV75">
        <f>HYPERLINK("http://www.worldcat.org/oclc/60002546","WorldCat Record")</f>
        <v/>
      </c>
      <c r="AW75" t="inlineStr">
        <is>
          <t>839074093:eng</t>
        </is>
      </c>
      <c r="AX75" t="inlineStr">
        <is>
          <t>60002546</t>
        </is>
      </c>
      <c r="AY75" t="inlineStr">
        <is>
          <t>991002115619702656</t>
        </is>
      </c>
      <c r="AZ75" t="inlineStr">
        <is>
          <t>991002115619702656</t>
        </is>
      </c>
      <c r="BA75" t="inlineStr">
        <is>
          <t>2261675360002656</t>
        </is>
      </c>
      <c r="BB75" t="inlineStr">
        <is>
          <t>BOOK</t>
        </is>
      </c>
      <c r="BD75" t="inlineStr">
        <is>
          <t>9780856404900</t>
        </is>
      </c>
      <c r="BE75" t="inlineStr">
        <is>
          <t>32285001580041</t>
        </is>
      </c>
      <c r="BF75" t="inlineStr">
        <is>
          <t>893697368</t>
        </is>
      </c>
    </row>
    <row r="76">
      <c r="A76" t="inlineStr">
        <is>
          <t>No</t>
        </is>
      </c>
      <c r="B76" t="inlineStr">
        <is>
          <t>CURAL</t>
        </is>
      </c>
      <c r="C76" t="inlineStr">
        <is>
          <t>SHELVES</t>
        </is>
      </c>
      <c r="D76" t="inlineStr">
        <is>
          <t>PR1175 .R665</t>
        </is>
      </c>
      <c r="E76" t="inlineStr">
        <is>
          <t>0                      PR 1175000R  665</t>
        </is>
      </c>
      <c r="F76" t="inlineStr">
        <is>
          <t>Exploring poetry [by] M. L. Rosenthal [and] A. J. M. Smith.</t>
        </is>
      </c>
      <c r="H76" t="inlineStr">
        <is>
          <t>No</t>
        </is>
      </c>
      <c r="I76" t="inlineStr">
        <is>
          <t>1</t>
        </is>
      </c>
      <c r="J76" t="inlineStr">
        <is>
          <t>No</t>
        </is>
      </c>
      <c r="K76" t="inlineStr">
        <is>
          <t>No</t>
        </is>
      </c>
      <c r="L76" t="inlineStr">
        <is>
          <t>0</t>
        </is>
      </c>
      <c r="M76" t="inlineStr">
        <is>
          <t>Rosenthal, M. L. (Macha Louis), 1917-1996.</t>
        </is>
      </c>
      <c r="N76" t="inlineStr">
        <is>
          <t>New York, Macmillan [c1955]</t>
        </is>
      </c>
      <c r="O76" t="inlineStr">
        <is>
          <t>1955</t>
        </is>
      </c>
      <c r="Q76" t="inlineStr">
        <is>
          <t>eng</t>
        </is>
      </c>
      <c r="R76" t="inlineStr">
        <is>
          <t>nyu</t>
        </is>
      </c>
      <c r="T76" t="inlineStr">
        <is>
          <t xml:space="preserve">PR </t>
        </is>
      </c>
      <c r="U76" t="n">
        <v>2</v>
      </c>
      <c r="V76" t="n">
        <v>2</v>
      </c>
      <c r="W76" t="inlineStr">
        <is>
          <t>2010-06-15</t>
        </is>
      </c>
      <c r="X76" t="inlineStr">
        <is>
          <t>2010-06-15</t>
        </is>
      </c>
      <c r="Y76" t="inlineStr">
        <is>
          <t>1997-07-28</t>
        </is>
      </c>
      <c r="Z76" t="inlineStr">
        <is>
          <t>1997-07-28</t>
        </is>
      </c>
      <c r="AA76" t="n">
        <v>762</v>
      </c>
      <c r="AB76" t="n">
        <v>672</v>
      </c>
      <c r="AC76" t="n">
        <v>824</v>
      </c>
      <c r="AD76" t="n">
        <v>8</v>
      </c>
      <c r="AE76" t="n">
        <v>8</v>
      </c>
      <c r="AF76" t="n">
        <v>29</v>
      </c>
      <c r="AG76" t="n">
        <v>32</v>
      </c>
      <c r="AH76" t="n">
        <v>10</v>
      </c>
      <c r="AI76" t="n">
        <v>12</v>
      </c>
      <c r="AJ76" t="n">
        <v>4</v>
      </c>
      <c r="AK76" t="n">
        <v>5</v>
      </c>
      <c r="AL76" t="n">
        <v>13</v>
      </c>
      <c r="AM76" t="n">
        <v>13</v>
      </c>
      <c r="AN76" t="n">
        <v>7</v>
      </c>
      <c r="AO76" t="n">
        <v>7</v>
      </c>
      <c r="AP76" t="n">
        <v>0</v>
      </c>
      <c r="AQ76" t="n">
        <v>0</v>
      </c>
      <c r="AR76" t="inlineStr">
        <is>
          <t>No</t>
        </is>
      </c>
      <c r="AS76" t="inlineStr">
        <is>
          <t>No</t>
        </is>
      </c>
      <c r="AT76">
        <f>HYPERLINK("http://catalog.hathitrust.org/Record/001111908","HathiTrust Record")</f>
        <v/>
      </c>
      <c r="AU76">
        <f>HYPERLINK("https://creighton-primo.hosted.exlibrisgroup.com/primo-explore/search?tab=default_tab&amp;search_scope=EVERYTHING&amp;vid=01CRU&amp;lang=en_US&amp;offset=0&amp;query=any,contains,991003425339702656","Catalog Record")</f>
        <v/>
      </c>
      <c r="AV76">
        <f>HYPERLINK("http://www.worldcat.org/oclc/964485","WorldCat Record")</f>
        <v/>
      </c>
      <c r="AW76" t="inlineStr">
        <is>
          <t>1767491:eng</t>
        </is>
      </c>
      <c r="AX76" t="inlineStr">
        <is>
          <t>964485</t>
        </is>
      </c>
      <c r="AY76" t="inlineStr">
        <is>
          <t>991003425339702656</t>
        </is>
      </c>
      <c r="AZ76" t="inlineStr">
        <is>
          <t>991003425339702656</t>
        </is>
      </c>
      <c r="BA76" t="inlineStr">
        <is>
          <t>2261831490002656</t>
        </is>
      </c>
      <c r="BB76" t="inlineStr">
        <is>
          <t>BOOK</t>
        </is>
      </c>
      <c r="BE76" t="inlineStr">
        <is>
          <t>32285002963618</t>
        </is>
      </c>
      <c r="BF76" t="inlineStr">
        <is>
          <t>893686541</t>
        </is>
      </c>
    </row>
    <row r="77">
      <c r="A77" t="inlineStr">
        <is>
          <t>No</t>
        </is>
      </c>
      <c r="B77" t="inlineStr">
        <is>
          <t>CURAL</t>
        </is>
      </c>
      <c r="C77" t="inlineStr">
        <is>
          <t>SHELVES</t>
        </is>
      </c>
      <c r="D77" t="inlineStr">
        <is>
          <t>PR1175 .S64 1985</t>
        </is>
      </c>
      <c r="E77" t="inlineStr">
        <is>
          <t>0                      PR 1175000S  64          1985</t>
        </is>
      </c>
      <c r="F77" t="inlineStr">
        <is>
          <t>Speak to the hills : an anthology of twentieth century British and Irish mountain poetry / edited by Hamish Brown and Martyn Berry ; foreword by Norman Nicholson.</t>
        </is>
      </c>
      <c r="H77" t="inlineStr">
        <is>
          <t>No</t>
        </is>
      </c>
      <c r="I77" t="inlineStr">
        <is>
          <t>1</t>
        </is>
      </c>
      <c r="J77" t="inlineStr">
        <is>
          <t>No</t>
        </is>
      </c>
      <c r="K77" t="inlineStr">
        <is>
          <t>No</t>
        </is>
      </c>
      <c r="L77" t="inlineStr">
        <is>
          <t>0</t>
        </is>
      </c>
      <c r="N77" t="inlineStr">
        <is>
          <t>Scotland : Aberdeen University Press, 1985.</t>
        </is>
      </c>
      <c r="O77" t="inlineStr">
        <is>
          <t>1985</t>
        </is>
      </c>
      <c r="Q77" t="inlineStr">
        <is>
          <t>eng</t>
        </is>
      </c>
      <c r="R77" t="inlineStr">
        <is>
          <t>stk</t>
        </is>
      </c>
      <c r="T77" t="inlineStr">
        <is>
          <t xml:space="preserve">PR </t>
        </is>
      </c>
      <c r="U77" t="n">
        <v>2</v>
      </c>
      <c r="V77" t="n">
        <v>2</v>
      </c>
      <c r="W77" t="inlineStr">
        <is>
          <t>1994-03-14</t>
        </is>
      </c>
      <c r="X77" t="inlineStr">
        <is>
          <t>1994-03-14</t>
        </is>
      </c>
      <c r="Y77" t="inlineStr">
        <is>
          <t>1991-09-18</t>
        </is>
      </c>
      <c r="Z77" t="inlineStr">
        <is>
          <t>1991-09-18</t>
        </is>
      </c>
      <c r="AA77" t="n">
        <v>147</v>
      </c>
      <c r="AB77" t="n">
        <v>88</v>
      </c>
      <c r="AC77" t="n">
        <v>89</v>
      </c>
      <c r="AD77" t="n">
        <v>1</v>
      </c>
      <c r="AE77" t="n">
        <v>1</v>
      </c>
      <c r="AF77" t="n">
        <v>3</v>
      </c>
      <c r="AG77" t="n">
        <v>4</v>
      </c>
      <c r="AH77" t="n">
        <v>0</v>
      </c>
      <c r="AI77" t="n">
        <v>1</v>
      </c>
      <c r="AJ77" t="n">
        <v>1</v>
      </c>
      <c r="AK77" t="n">
        <v>1</v>
      </c>
      <c r="AL77" t="n">
        <v>2</v>
      </c>
      <c r="AM77" t="n">
        <v>3</v>
      </c>
      <c r="AN77" t="n">
        <v>0</v>
      </c>
      <c r="AO77" t="n">
        <v>0</v>
      </c>
      <c r="AP77" t="n">
        <v>0</v>
      </c>
      <c r="AQ77" t="n">
        <v>0</v>
      </c>
      <c r="AR77" t="inlineStr">
        <is>
          <t>No</t>
        </is>
      </c>
      <c r="AS77" t="inlineStr">
        <is>
          <t>No</t>
        </is>
      </c>
      <c r="AU77">
        <f>HYPERLINK("https://creighton-primo.hosted.exlibrisgroup.com/primo-explore/search?tab=default_tab&amp;search_scope=EVERYTHING&amp;vid=01CRU&amp;lang=en_US&amp;offset=0&amp;query=any,contains,991000681909702656","Catalog Record")</f>
        <v/>
      </c>
      <c r="AV77">
        <f>HYPERLINK("http://www.worldcat.org/oclc/18106326","WorldCat Record")</f>
        <v/>
      </c>
      <c r="AW77" t="inlineStr">
        <is>
          <t>889559368:eng</t>
        </is>
      </c>
      <c r="AX77" t="inlineStr">
        <is>
          <t>18106326</t>
        </is>
      </c>
      <c r="AY77" t="inlineStr">
        <is>
          <t>991000681909702656</t>
        </is>
      </c>
      <c r="AZ77" t="inlineStr">
        <is>
          <t>991000681909702656</t>
        </is>
      </c>
      <c r="BA77" t="inlineStr">
        <is>
          <t>2256082090002656</t>
        </is>
      </c>
      <c r="BB77" t="inlineStr">
        <is>
          <t>BOOK</t>
        </is>
      </c>
      <c r="BD77" t="inlineStr">
        <is>
          <t>9780080304069</t>
        </is>
      </c>
      <c r="BE77" t="inlineStr">
        <is>
          <t>32285000759521</t>
        </is>
      </c>
      <c r="BF77" t="inlineStr">
        <is>
          <t>893589661</t>
        </is>
      </c>
    </row>
    <row r="78">
      <c r="A78" t="inlineStr">
        <is>
          <t>No</t>
        </is>
      </c>
      <c r="B78" t="inlineStr">
        <is>
          <t>CURAL</t>
        </is>
      </c>
      <c r="C78" t="inlineStr">
        <is>
          <t>SHELVES</t>
        </is>
      </c>
      <c r="D78" t="inlineStr">
        <is>
          <t>PR1177 .E34 1990</t>
        </is>
      </c>
      <c r="E78" t="inlineStr">
        <is>
          <t>0                      PR 1177000E  34          1990</t>
        </is>
      </c>
      <c r="F78" t="inlineStr">
        <is>
          <t>Eighteenth century women poets : an Oxford anthology / edited by Roger Lonsdale.</t>
        </is>
      </c>
      <c r="H78" t="inlineStr">
        <is>
          <t>No</t>
        </is>
      </c>
      <c r="I78" t="inlineStr">
        <is>
          <t>1</t>
        </is>
      </c>
      <c r="J78" t="inlineStr">
        <is>
          <t>No</t>
        </is>
      </c>
      <c r="K78" t="inlineStr">
        <is>
          <t>No</t>
        </is>
      </c>
      <c r="L78" t="inlineStr">
        <is>
          <t>0</t>
        </is>
      </c>
      <c r="N78" t="inlineStr">
        <is>
          <t>Oxford ; New York : Oxford University Press, 1990.</t>
        </is>
      </c>
      <c r="O78" t="inlineStr">
        <is>
          <t>1990</t>
        </is>
      </c>
      <c r="Q78" t="inlineStr">
        <is>
          <t>eng</t>
        </is>
      </c>
      <c r="R78" t="inlineStr">
        <is>
          <t>enk</t>
        </is>
      </c>
      <c r="T78" t="inlineStr">
        <is>
          <t xml:space="preserve">PR </t>
        </is>
      </c>
      <c r="U78" t="n">
        <v>4</v>
      </c>
      <c r="V78" t="n">
        <v>4</v>
      </c>
      <c r="W78" t="inlineStr">
        <is>
          <t>1994-07-09</t>
        </is>
      </c>
      <c r="X78" t="inlineStr">
        <is>
          <t>1994-07-09</t>
        </is>
      </c>
      <c r="Y78" t="inlineStr">
        <is>
          <t>1991-08-21</t>
        </is>
      </c>
      <c r="Z78" t="inlineStr">
        <is>
          <t>1991-08-21</t>
        </is>
      </c>
      <c r="AA78" t="n">
        <v>583</v>
      </c>
      <c r="AB78" t="n">
        <v>502</v>
      </c>
      <c r="AC78" t="n">
        <v>841</v>
      </c>
      <c r="AD78" t="n">
        <v>6</v>
      </c>
      <c r="AE78" t="n">
        <v>9</v>
      </c>
      <c r="AF78" t="n">
        <v>28</v>
      </c>
      <c r="AG78" t="n">
        <v>46</v>
      </c>
      <c r="AH78" t="n">
        <v>12</v>
      </c>
      <c r="AI78" t="n">
        <v>18</v>
      </c>
      <c r="AJ78" t="n">
        <v>2</v>
      </c>
      <c r="AK78" t="n">
        <v>9</v>
      </c>
      <c r="AL78" t="n">
        <v>11</v>
      </c>
      <c r="AM78" t="n">
        <v>19</v>
      </c>
      <c r="AN78" t="n">
        <v>5</v>
      </c>
      <c r="AO78" t="n">
        <v>8</v>
      </c>
      <c r="AP78" t="n">
        <v>0</v>
      </c>
      <c r="AQ78" t="n">
        <v>0</v>
      </c>
      <c r="AR78" t="inlineStr">
        <is>
          <t>No</t>
        </is>
      </c>
      <c r="AS78" t="inlineStr">
        <is>
          <t>No</t>
        </is>
      </c>
      <c r="AU78">
        <f>HYPERLINK("https://creighton-primo.hosted.exlibrisgroup.com/primo-explore/search?tab=default_tab&amp;search_scope=EVERYTHING&amp;vid=01CRU&amp;lang=en_US&amp;offset=0&amp;query=any,contains,991001684459702656","Catalog Record")</f>
        <v/>
      </c>
      <c r="AV78">
        <f>HYPERLINK("http://www.worldcat.org/oclc/21376932","WorldCat Record")</f>
        <v/>
      </c>
      <c r="AW78" t="inlineStr">
        <is>
          <t>795565234:eng</t>
        </is>
      </c>
      <c r="AX78" t="inlineStr">
        <is>
          <t>21376932</t>
        </is>
      </c>
      <c r="AY78" t="inlineStr">
        <is>
          <t>991001684459702656</t>
        </is>
      </c>
      <c r="AZ78" t="inlineStr">
        <is>
          <t>991001684459702656</t>
        </is>
      </c>
      <c r="BA78" t="inlineStr">
        <is>
          <t>2264337110002656</t>
        </is>
      </c>
      <c r="BB78" t="inlineStr">
        <is>
          <t>BOOK</t>
        </is>
      </c>
      <c r="BD78" t="inlineStr">
        <is>
          <t>9780192827753</t>
        </is>
      </c>
      <c r="BE78" t="inlineStr">
        <is>
          <t>32285000701549</t>
        </is>
      </c>
      <c r="BF78" t="inlineStr">
        <is>
          <t>893791621</t>
        </is>
      </c>
    </row>
    <row r="79">
      <c r="A79" t="inlineStr">
        <is>
          <t>No</t>
        </is>
      </c>
      <c r="B79" t="inlineStr">
        <is>
          <t>CURAL</t>
        </is>
      </c>
      <c r="C79" t="inlineStr">
        <is>
          <t>SHELVES</t>
        </is>
      </c>
      <c r="D79" t="inlineStr">
        <is>
          <t>PR1177 .K57 1989</t>
        </is>
      </c>
      <c r="E79" t="inlineStr">
        <is>
          <t>0                      PR 1177000K  57          1989</t>
        </is>
      </c>
      <c r="F79" t="inlineStr">
        <is>
          <t>Kissing the rod : an anthology of seventeenth-century women's verse / edited by Germaine Greer ... [et al.] ; with an introduction by Germaine Greer.</t>
        </is>
      </c>
      <c r="H79" t="inlineStr">
        <is>
          <t>No</t>
        </is>
      </c>
      <c r="I79" t="inlineStr">
        <is>
          <t>1</t>
        </is>
      </c>
      <c r="J79" t="inlineStr">
        <is>
          <t>No</t>
        </is>
      </c>
      <c r="K79" t="inlineStr">
        <is>
          <t>No</t>
        </is>
      </c>
      <c r="L79" t="inlineStr">
        <is>
          <t>0</t>
        </is>
      </c>
      <c r="N79" t="inlineStr">
        <is>
          <t>New York : Noonday Press, 1989.</t>
        </is>
      </c>
      <c r="O79" t="inlineStr">
        <is>
          <t>1989</t>
        </is>
      </c>
      <c r="P79" t="inlineStr">
        <is>
          <t>Noonday Press ed.</t>
        </is>
      </c>
      <c r="Q79" t="inlineStr">
        <is>
          <t>eng</t>
        </is>
      </c>
      <c r="R79" t="inlineStr">
        <is>
          <t>nyu</t>
        </is>
      </c>
      <c r="T79" t="inlineStr">
        <is>
          <t xml:space="preserve">PR </t>
        </is>
      </c>
      <c r="U79" t="n">
        <v>1</v>
      </c>
      <c r="V79" t="n">
        <v>1</v>
      </c>
      <c r="W79" t="inlineStr">
        <is>
          <t>2003-09-03</t>
        </is>
      </c>
      <c r="X79" t="inlineStr">
        <is>
          <t>2003-09-03</t>
        </is>
      </c>
      <c r="Y79" t="inlineStr">
        <is>
          <t>2003-09-03</t>
        </is>
      </c>
      <c r="Z79" t="inlineStr">
        <is>
          <t>2003-09-03</t>
        </is>
      </c>
      <c r="AA79" t="n">
        <v>25</v>
      </c>
      <c r="AB79" t="n">
        <v>22</v>
      </c>
      <c r="AC79" t="n">
        <v>519</v>
      </c>
      <c r="AD79" t="n">
        <v>1</v>
      </c>
      <c r="AE79" t="n">
        <v>4</v>
      </c>
      <c r="AF79" t="n">
        <v>0</v>
      </c>
      <c r="AG79" t="n">
        <v>26</v>
      </c>
      <c r="AH79" t="n">
        <v>0</v>
      </c>
      <c r="AI79" t="n">
        <v>11</v>
      </c>
      <c r="AJ79" t="n">
        <v>0</v>
      </c>
      <c r="AK79" t="n">
        <v>6</v>
      </c>
      <c r="AL79" t="n">
        <v>0</v>
      </c>
      <c r="AM79" t="n">
        <v>14</v>
      </c>
      <c r="AN79" t="n">
        <v>0</v>
      </c>
      <c r="AO79" t="n">
        <v>3</v>
      </c>
      <c r="AP79" t="n">
        <v>0</v>
      </c>
      <c r="AQ79" t="n">
        <v>0</v>
      </c>
      <c r="AR79" t="inlineStr">
        <is>
          <t>No</t>
        </is>
      </c>
      <c r="AS79" t="inlineStr">
        <is>
          <t>No</t>
        </is>
      </c>
      <c r="AU79">
        <f>HYPERLINK("https://creighton-primo.hosted.exlibrisgroup.com/primo-explore/search?tab=default_tab&amp;search_scope=EVERYTHING&amp;vid=01CRU&amp;lang=en_US&amp;offset=0&amp;query=any,contains,991004112629702656","Catalog Record")</f>
        <v/>
      </c>
      <c r="AV79">
        <f>HYPERLINK("http://www.worldcat.org/oclc/33193280","WorldCat Record")</f>
        <v/>
      </c>
      <c r="AW79" t="inlineStr">
        <is>
          <t>836708031:eng</t>
        </is>
      </c>
      <c r="AX79" t="inlineStr">
        <is>
          <t>33193280</t>
        </is>
      </c>
      <c r="AY79" t="inlineStr">
        <is>
          <t>991004112629702656</t>
        </is>
      </c>
      <c r="AZ79" t="inlineStr">
        <is>
          <t>991004112629702656</t>
        </is>
      </c>
      <c r="BA79" t="inlineStr">
        <is>
          <t>2262635600002656</t>
        </is>
      </c>
      <c r="BB79" t="inlineStr">
        <is>
          <t>BOOK</t>
        </is>
      </c>
      <c r="BD79" t="inlineStr">
        <is>
          <t>9780374521646</t>
        </is>
      </c>
      <c r="BE79" t="inlineStr">
        <is>
          <t>32285004780994</t>
        </is>
      </c>
      <c r="BF79" t="inlineStr">
        <is>
          <t>893900811</t>
        </is>
      </c>
    </row>
    <row r="80">
      <c r="A80" t="inlineStr">
        <is>
          <t>No</t>
        </is>
      </c>
      <c r="B80" t="inlineStr">
        <is>
          <t>CURAL</t>
        </is>
      </c>
      <c r="C80" t="inlineStr">
        <is>
          <t>SHELVES</t>
        </is>
      </c>
      <c r="D80" t="inlineStr">
        <is>
          <t>PR1177 .S49 1993</t>
        </is>
      </c>
      <c r="E80" t="inlineStr">
        <is>
          <t>0                      PR 1177000S  49          1993</t>
        </is>
      </c>
      <c r="F80" t="inlineStr">
        <is>
          <t>Sixty women poets / edited by Linda France.</t>
        </is>
      </c>
      <c r="H80" t="inlineStr">
        <is>
          <t>No</t>
        </is>
      </c>
      <c r="I80" t="inlineStr">
        <is>
          <t>1</t>
        </is>
      </c>
      <c r="J80" t="inlineStr">
        <is>
          <t>No</t>
        </is>
      </c>
      <c r="K80" t="inlineStr">
        <is>
          <t>No</t>
        </is>
      </c>
      <c r="L80" t="inlineStr">
        <is>
          <t>0</t>
        </is>
      </c>
      <c r="N80" t="inlineStr">
        <is>
          <t>Newcastle-upon-Tyne : Bloodaxe Books ; Chester Springs, PA : U.S. distributor, Dufour Editions, 1993.</t>
        </is>
      </c>
      <c r="O80" t="inlineStr">
        <is>
          <t>1993</t>
        </is>
      </c>
      <c r="Q80" t="inlineStr">
        <is>
          <t>eng</t>
        </is>
      </c>
      <c r="R80" t="inlineStr">
        <is>
          <t>enk</t>
        </is>
      </c>
      <c r="T80" t="inlineStr">
        <is>
          <t xml:space="preserve">PR </t>
        </is>
      </c>
      <c r="U80" t="n">
        <v>5</v>
      </c>
      <c r="V80" t="n">
        <v>5</v>
      </c>
      <c r="W80" t="inlineStr">
        <is>
          <t>1997-02-11</t>
        </is>
      </c>
      <c r="X80" t="inlineStr">
        <is>
          <t>1997-02-11</t>
        </is>
      </c>
      <c r="Y80" t="inlineStr">
        <is>
          <t>1996-12-19</t>
        </is>
      </c>
      <c r="Z80" t="inlineStr">
        <is>
          <t>1996-12-19</t>
        </is>
      </c>
      <c r="AA80" t="n">
        <v>337</v>
      </c>
      <c r="AB80" t="n">
        <v>205</v>
      </c>
      <c r="AC80" t="n">
        <v>214</v>
      </c>
      <c r="AD80" t="n">
        <v>2</v>
      </c>
      <c r="AE80" t="n">
        <v>2</v>
      </c>
      <c r="AF80" t="n">
        <v>6</v>
      </c>
      <c r="AG80" t="n">
        <v>6</v>
      </c>
      <c r="AH80" t="n">
        <v>0</v>
      </c>
      <c r="AI80" t="n">
        <v>0</v>
      </c>
      <c r="AJ80" t="n">
        <v>1</v>
      </c>
      <c r="AK80" t="n">
        <v>1</v>
      </c>
      <c r="AL80" t="n">
        <v>4</v>
      </c>
      <c r="AM80" t="n">
        <v>4</v>
      </c>
      <c r="AN80" t="n">
        <v>1</v>
      </c>
      <c r="AO80" t="n">
        <v>1</v>
      </c>
      <c r="AP80" t="n">
        <v>0</v>
      </c>
      <c r="AQ80" t="n">
        <v>0</v>
      </c>
      <c r="AR80" t="inlineStr">
        <is>
          <t>No</t>
        </is>
      </c>
      <c r="AS80" t="inlineStr">
        <is>
          <t>Yes</t>
        </is>
      </c>
      <c r="AT80">
        <f>HYPERLINK("http://catalog.hathitrust.org/Record/002802178","HathiTrust Record")</f>
        <v/>
      </c>
      <c r="AU80">
        <f>HYPERLINK("https://creighton-primo.hosted.exlibrisgroup.com/primo-explore/search?tab=default_tab&amp;search_scope=EVERYTHING&amp;vid=01CRU&amp;lang=en_US&amp;offset=0&amp;query=any,contains,991002265309702656","Catalog Record")</f>
        <v/>
      </c>
      <c r="AV80">
        <f>HYPERLINK("http://www.worldcat.org/oclc/29386698","WorldCat Record")</f>
        <v/>
      </c>
      <c r="AW80" t="inlineStr">
        <is>
          <t>31702273:eng</t>
        </is>
      </c>
      <c r="AX80" t="inlineStr">
        <is>
          <t>29386698</t>
        </is>
      </c>
      <c r="AY80" t="inlineStr">
        <is>
          <t>991002265309702656</t>
        </is>
      </c>
      <c r="AZ80" t="inlineStr">
        <is>
          <t>991002265309702656</t>
        </is>
      </c>
      <c r="BA80" t="inlineStr">
        <is>
          <t>2271583160002656</t>
        </is>
      </c>
      <c r="BB80" t="inlineStr">
        <is>
          <t>BOOK</t>
        </is>
      </c>
      <c r="BD80" t="inlineStr">
        <is>
          <t>9781852242527</t>
        </is>
      </c>
      <c r="BE80" t="inlineStr">
        <is>
          <t>32285002400488</t>
        </is>
      </c>
      <c r="BF80" t="inlineStr">
        <is>
          <t>893232753</t>
        </is>
      </c>
    </row>
    <row r="81">
      <c r="A81" t="inlineStr">
        <is>
          <t>No</t>
        </is>
      </c>
      <c r="B81" t="inlineStr">
        <is>
          <t>CURAL</t>
        </is>
      </c>
      <c r="C81" t="inlineStr">
        <is>
          <t>SHELVES</t>
        </is>
      </c>
      <c r="D81" t="inlineStr">
        <is>
          <t>PR1177 .W65 1995</t>
        </is>
      </c>
      <c r="E81" t="inlineStr">
        <is>
          <t>0                      PR 1177000W  65          1995</t>
        </is>
      </c>
      <c r="F81" t="inlineStr">
        <is>
          <t>Romantic women poets, 1770-1838 : an anthology / edited by Andrew Ashfield.</t>
        </is>
      </c>
      <c r="H81" t="inlineStr">
        <is>
          <t>No</t>
        </is>
      </c>
      <c r="I81" t="inlineStr">
        <is>
          <t>1</t>
        </is>
      </c>
      <c r="J81" t="inlineStr">
        <is>
          <t>No</t>
        </is>
      </c>
      <c r="K81" t="inlineStr">
        <is>
          <t>No</t>
        </is>
      </c>
      <c r="L81" t="inlineStr">
        <is>
          <t>0</t>
        </is>
      </c>
      <c r="N81" t="inlineStr">
        <is>
          <t>Manchester ; New York : Manchester University Press : Distributed in the USA and Canada by St. Martin's Press, c1995.</t>
        </is>
      </c>
      <c r="O81" t="inlineStr">
        <is>
          <t>1995</t>
        </is>
      </c>
      <c r="Q81" t="inlineStr">
        <is>
          <t>eng</t>
        </is>
      </c>
      <c r="R81" t="inlineStr">
        <is>
          <t>enk</t>
        </is>
      </c>
      <c r="T81" t="inlineStr">
        <is>
          <t xml:space="preserve">PR </t>
        </is>
      </c>
      <c r="U81" t="n">
        <v>3</v>
      </c>
      <c r="V81" t="n">
        <v>3</v>
      </c>
      <c r="W81" t="inlineStr">
        <is>
          <t>1999-02-17</t>
        </is>
      </c>
      <c r="X81" t="inlineStr">
        <is>
          <t>1999-02-17</t>
        </is>
      </c>
      <c r="Y81" t="inlineStr">
        <is>
          <t>1995-11-20</t>
        </is>
      </c>
      <c r="Z81" t="inlineStr">
        <is>
          <t>1995-11-20</t>
        </is>
      </c>
      <c r="AA81" t="n">
        <v>228</v>
      </c>
      <c r="AB81" t="n">
        <v>193</v>
      </c>
      <c r="AC81" t="n">
        <v>230</v>
      </c>
      <c r="AD81" t="n">
        <v>3</v>
      </c>
      <c r="AE81" t="n">
        <v>3</v>
      </c>
      <c r="AF81" t="n">
        <v>11</v>
      </c>
      <c r="AG81" t="n">
        <v>12</v>
      </c>
      <c r="AH81" t="n">
        <v>1</v>
      </c>
      <c r="AI81" t="n">
        <v>2</v>
      </c>
      <c r="AJ81" t="n">
        <v>3</v>
      </c>
      <c r="AK81" t="n">
        <v>3</v>
      </c>
      <c r="AL81" t="n">
        <v>7</v>
      </c>
      <c r="AM81" t="n">
        <v>7</v>
      </c>
      <c r="AN81" t="n">
        <v>2</v>
      </c>
      <c r="AO81" t="n">
        <v>2</v>
      </c>
      <c r="AP81" t="n">
        <v>0</v>
      </c>
      <c r="AQ81" t="n">
        <v>0</v>
      </c>
      <c r="AR81" t="inlineStr">
        <is>
          <t>No</t>
        </is>
      </c>
      <c r="AS81" t="inlineStr">
        <is>
          <t>Yes</t>
        </is>
      </c>
      <c r="AT81">
        <f>HYPERLINK("http://catalog.hathitrust.org/Record/003075069","HathiTrust Record")</f>
        <v/>
      </c>
      <c r="AU81">
        <f>HYPERLINK("https://creighton-primo.hosted.exlibrisgroup.com/primo-explore/search?tab=default_tab&amp;search_scope=EVERYTHING&amp;vid=01CRU&amp;lang=en_US&amp;offset=0&amp;query=any,contains,991002246049702656","Catalog Record")</f>
        <v/>
      </c>
      <c r="AV81">
        <f>HYPERLINK("http://www.worldcat.org/oclc/28965228","WorldCat Record")</f>
        <v/>
      </c>
      <c r="AW81" t="inlineStr">
        <is>
          <t>56342149:eng</t>
        </is>
      </c>
      <c r="AX81" t="inlineStr">
        <is>
          <t>28965228</t>
        </is>
      </c>
      <c r="AY81" t="inlineStr">
        <is>
          <t>991002246049702656</t>
        </is>
      </c>
      <c r="AZ81" t="inlineStr">
        <is>
          <t>991002246049702656</t>
        </is>
      </c>
      <c r="BA81" t="inlineStr">
        <is>
          <t>2256911460002656</t>
        </is>
      </c>
      <c r="BB81" t="inlineStr">
        <is>
          <t>BOOK</t>
        </is>
      </c>
      <c r="BD81" t="inlineStr">
        <is>
          <t>9780719037887</t>
        </is>
      </c>
      <c r="BE81" t="inlineStr">
        <is>
          <t>32285002104478</t>
        </is>
      </c>
      <c r="BF81" t="inlineStr">
        <is>
          <t>893427387</t>
        </is>
      </c>
    </row>
    <row r="82">
      <c r="A82" t="inlineStr">
        <is>
          <t>No</t>
        </is>
      </c>
      <c r="B82" t="inlineStr">
        <is>
          <t>CURAL</t>
        </is>
      </c>
      <c r="C82" t="inlineStr">
        <is>
          <t>SHELVES</t>
        </is>
      </c>
      <c r="D82" t="inlineStr">
        <is>
          <t>PR1181 .B6</t>
        </is>
      </c>
      <c r="E82" t="inlineStr">
        <is>
          <t>0                      PR 1181000B  6</t>
        </is>
      </c>
      <c r="F82" t="inlineStr">
        <is>
          <t>Early ballads illustrative of history, traditions, and customs; also, Ballads and songs of the peasantry of England, taken down from oral recitation and transcribed from private manuscripts, rare broadsides, and scarce publications. Ed. by Robert Bell.</t>
        </is>
      </c>
      <c r="H82" t="inlineStr">
        <is>
          <t>No</t>
        </is>
      </c>
      <c r="I82" t="inlineStr">
        <is>
          <t>1</t>
        </is>
      </c>
      <c r="J82" t="inlineStr">
        <is>
          <t>No</t>
        </is>
      </c>
      <c r="K82" t="inlineStr">
        <is>
          <t>No</t>
        </is>
      </c>
      <c r="L82" t="inlineStr">
        <is>
          <t>0</t>
        </is>
      </c>
      <c r="M82" t="inlineStr">
        <is>
          <t>Bell, Robert, 1800-1867 editor.</t>
        </is>
      </c>
      <c r="N82" t="inlineStr">
        <is>
          <t>London, G. Bell &amp; Sons, 1877.</t>
        </is>
      </c>
      <c r="O82" t="inlineStr">
        <is>
          <t>1877</t>
        </is>
      </c>
      <c r="Q82" t="inlineStr">
        <is>
          <t>eng</t>
        </is>
      </c>
      <c r="R82" t="inlineStr">
        <is>
          <t>enk</t>
        </is>
      </c>
      <c r="S82" t="inlineStr">
        <is>
          <t>Bohn's standard library</t>
        </is>
      </c>
      <c r="T82" t="inlineStr">
        <is>
          <t xml:space="preserve">PR </t>
        </is>
      </c>
      <c r="U82" t="n">
        <v>1</v>
      </c>
      <c r="V82" t="n">
        <v>1</v>
      </c>
      <c r="W82" t="inlineStr">
        <is>
          <t>2005-05-09</t>
        </is>
      </c>
      <c r="X82" t="inlineStr">
        <is>
          <t>2005-05-09</t>
        </is>
      </c>
      <c r="Y82" t="inlineStr">
        <is>
          <t>1997-07-28</t>
        </is>
      </c>
      <c r="Z82" t="inlineStr">
        <is>
          <t>1997-07-28</t>
        </is>
      </c>
      <c r="AA82" t="n">
        <v>36</v>
      </c>
      <c r="AB82" t="n">
        <v>25</v>
      </c>
      <c r="AC82" t="n">
        <v>299</v>
      </c>
      <c r="AD82" t="n">
        <v>2</v>
      </c>
      <c r="AE82" t="n">
        <v>2</v>
      </c>
      <c r="AF82" t="n">
        <v>2</v>
      </c>
      <c r="AG82" t="n">
        <v>12</v>
      </c>
      <c r="AH82" t="n">
        <v>0</v>
      </c>
      <c r="AI82" t="n">
        <v>2</v>
      </c>
      <c r="AJ82" t="n">
        <v>0</v>
      </c>
      <c r="AK82" t="n">
        <v>1</v>
      </c>
      <c r="AL82" t="n">
        <v>1</v>
      </c>
      <c r="AM82" t="n">
        <v>9</v>
      </c>
      <c r="AN82" t="n">
        <v>1</v>
      </c>
      <c r="AO82" t="n">
        <v>1</v>
      </c>
      <c r="AP82" t="n">
        <v>0</v>
      </c>
      <c r="AQ82" t="n">
        <v>0</v>
      </c>
      <c r="AR82" t="inlineStr">
        <is>
          <t>No</t>
        </is>
      </c>
      <c r="AS82" t="inlineStr">
        <is>
          <t>No</t>
        </is>
      </c>
      <c r="AU82">
        <f>HYPERLINK("https://creighton-primo.hosted.exlibrisgroup.com/primo-explore/search?tab=default_tab&amp;search_scope=EVERYTHING&amp;vid=01CRU&amp;lang=en_US&amp;offset=0&amp;query=any,contains,991000111619702656","Catalog Record")</f>
        <v/>
      </c>
      <c r="AV82">
        <f>HYPERLINK("http://www.worldcat.org/oclc/9009579","WorldCat Record")</f>
        <v/>
      </c>
      <c r="AW82" t="inlineStr">
        <is>
          <t>2280261919:eng</t>
        </is>
      </c>
      <c r="AX82" t="inlineStr">
        <is>
          <t>9009579</t>
        </is>
      </c>
      <c r="AY82" t="inlineStr">
        <is>
          <t>991000111619702656</t>
        </is>
      </c>
      <c r="AZ82" t="inlineStr">
        <is>
          <t>991000111619702656</t>
        </is>
      </c>
      <c r="BA82" t="inlineStr">
        <is>
          <t>2256795490002656</t>
        </is>
      </c>
      <c r="BB82" t="inlineStr">
        <is>
          <t>BOOK</t>
        </is>
      </c>
      <c r="BE82" t="inlineStr">
        <is>
          <t>32285002963683</t>
        </is>
      </c>
      <c r="BF82" t="inlineStr">
        <is>
          <t>893502239</t>
        </is>
      </c>
    </row>
    <row r="83">
      <c r="A83" t="inlineStr">
        <is>
          <t>No</t>
        </is>
      </c>
      <c r="B83" t="inlineStr">
        <is>
          <t>CURAL</t>
        </is>
      </c>
      <c r="C83" t="inlineStr">
        <is>
          <t>SHELVES</t>
        </is>
      </c>
      <c r="D83" t="inlineStr">
        <is>
          <t>PR1181 .B88 1985</t>
        </is>
      </c>
      <c r="E83" t="inlineStr">
        <is>
          <t>0                      PR 1181000B  88          1985</t>
        </is>
      </c>
      <c r="F83" t="inlineStr">
        <is>
          <t>A Book of Scottish ballads / [edited by] David Buchan.</t>
        </is>
      </c>
      <c r="H83" t="inlineStr">
        <is>
          <t>No</t>
        </is>
      </c>
      <c r="I83" t="inlineStr">
        <is>
          <t>1</t>
        </is>
      </c>
      <c r="J83" t="inlineStr">
        <is>
          <t>No</t>
        </is>
      </c>
      <c r="K83" t="inlineStr">
        <is>
          <t>No</t>
        </is>
      </c>
      <c r="L83" t="inlineStr">
        <is>
          <t>0</t>
        </is>
      </c>
      <c r="N83" t="inlineStr">
        <is>
          <t>London ; Boston : Routledge &amp; K. Paul, 1985, c1973.</t>
        </is>
      </c>
      <c r="O83" t="inlineStr">
        <is>
          <t>1985</t>
        </is>
      </c>
      <c r="Q83" t="inlineStr">
        <is>
          <t>eng</t>
        </is>
      </c>
      <c r="R83" t="inlineStr">
        <is>
          <t>enk</t>
        </is>
      </c>
      <c r="S83" t="inlineStr">
        <is>
          <t>The Scottish series</t>
        </is>
      </c>
      <c r="T83" t="inlineStr">
        <is>
          <t xml:space="preserve">PR </t>
        </is>
      </c>
      <c r="U83" t="n">
        <v>1</v>
      </c>
      <c r="V83" t="n">
        <v>1</v>
      </c>
      <c r="W83" t="inlineStr">
        <is>
          <t>1992-10-20</t>
        </is>
      </c>
      <c r="X83" t="inlineStr">
        <is>
          <t>1992-10-20</t>
        </is>
      </c>
      <c r="Y83" t="inlineStr">
        <is>
          <t>1991-09-18</t>
        </is>
      </c>
      <c r="Z83" t="inlineStr">
        <is>
          <t>1991-09-18</t>
        </is>
      </c>
      <c r="AA83" t="n">
        <v>63</v>
      </c>
      <c r="AB83" t="n">
        <v>43</v>
      </c>
      <c r="AC83" t="n">
        <v>45</v>
      </c>
      <c r="AD83" t="n">
        <v>1</v>
      </c>
      <c r="AE83" t="n">
        <v>1</v>
      </c>
      <c r="AF83" t="n">
        <v>2</v>
      </c>
      <c r="AG83" t="n">
        <v>2</v>
      </c>
      <c r="AH83" t="n">
        <v>2</v>
      </c>
      <c r="AI83" t="n">
        <v>2</v>
      </c>
      <c r="AJ83" t="n">
        <v>0</v>
      </c>
      <c r="AK83" t="n">
        <v>0</v>
      </c>
      <c r="AL83" t="n">
        <v>1</v>
      </c>
      <c r="AM83" t="n">
        <v>1</v>
      </c>
      <c r="AN83" t="n">
        <v>0</v>
      </c>
      <c r="AO83" t="n">
        <v>0</v>
      </c>
      <c r="AP83" t="n">
        <v>0</v>
      </c>
      <c r="AQ83" t="n">
        <v>0</v>
      </c>
      <c r="AR83" t="inlineStr">
        <is>
          <t>No</t>
        </is>
      </c>
      <c r="AS83" t="inlineStr">
        <is>
          <t>Yes</t>
        </is>
      </c>
      <c r="AT83">
        <f>HYPERLINK("http://catalog.hathitrust.org/Record/006810322","HathiTrust Record")</f>
        <v/>
      </c>
      <c r="AU83">
        <f>HYPERLINK("https://creighton-primo.hosted.exlibrisgroup.com/primo-explore/search?tab=default_tab&amp;search_scope=EVERYTHING&amp;vid=01CRU&amp;lang=en_US&amp;offset=0&amp;query=any,contains,991000716389702656","Catalog Record")</f>
        <v/>
      </c>
      <c r="AV83">
        <f>HYPERLINK("http://www.worldcat.org/oclc/12633318","WorldCat Record")</f>
        <v/>
      </c>
      <c r="AW83" t="inlineStr">
        <is>
          <t>5287877:eng</t>
        </is>
      </c>
      <c r="AX83" t="inlineStr">
        <is>
          <t>12633318</t>
        </is>
      </c>
      <c r="AY83" t="inlineStr">
        <is>
          <t>991000716389702656</t>
        </is>
      </c>
      <c r="AZ83" t="inlineStr">
        <is>
          <t>991000716389702656</t>
        </is>
      </c>
      <c r="BA83" t="inlineStr">
        <is>
          <t>2262117660002656</t>
        </is>
      </c>
      <c r="BB83" t="inlineStr">
        <is>
          <t>BOOK</t>
        </is>
      </c>
      <c r="BD83" t="inlineStr">
        <is>
          <t>9780710205391</t>
        </is>
      </c>
      <c r="BE83" t="inlineStr">
        <is>
          <t>32285000759554</t>
        </is>
      </c>
      <c r="BF83" t="inlineStr">
        <is>
          <t>893865610</t>
        </is>
      </c>
    </row>
    <row r="84">
      <c r="A84" t="inlineStr">
        <is>
          <t>No</t>
        </is>
      </c>
      <c r="B84" t="inlineStr">
        <is>
          <t>CURAL</t>
        </is>
      </c>
      <c r="C84" t="inlineStr">
        <is>
          <t>SHELVES</t>
        </is>
      </c>
      <c r="D84" t="inlineStr">
        <is>
          <t>PR1181 .C5 1857</t>
        </is>
      </c>
      <c r="E84" t="inlineStr">
        <is>
          <t>0                      PR 1181000C  5           1857</t>
        </is>
      </c>
      <c r="F84" t="inlineStr">
        <is>
          <t>English and Scottish ballads. Selected and ed. by Francis James Child.</t>
        </is>
      </c>
      <c r="G84" t="inlineStr">
        <is>
          <t>V.2</t>
        </is>
      </c>
      <c r="H84" t="inlineStr">
        <is>
          <t>Yes</t>
        </is>
      </c>
      <c r="I84" t="inlineStr">
        <is>
          <t>1</t>
        </is>
      </c>
      <c r="J84" t="inlineStr">
        <is>
          <t>No</t>
        </is>
      </c>
      <c r="K84" t="inlineStr">
        <is>
          <t>No</t>
        </is>
      </c>
      <c r="L84" t="inlineStr">
        <is>
          <t>0</t>
        </is>
      </c>
      <c r="M84" t="inlineStr">
        <is>
          <t>Child, Francis James, 1825-1896 editor.</t>
        </is>
      </c>
      <c r="N84" t="inlineStr">
        <is>
          <t>Boston, Little, Brown and company [etc.]; Cincinnati, Moore Wilstach, Keys and co., 1857-58.</t>
        </is>
      </c>
      <c r="O84" t="inlineStr">
        <is>
          <t>1857</t>
        </is>
      </c>
      <c r="Q84" t="inlineStr">
        <is>
          <t>eng</t>
        </is>
      </c>
      <c r="R84" t="inlineStr">
        <is>
          <t>mau</t>
        </is>
      </c>
      <c r="S84" t="inlineStr">
        <is>
          <t>The British poets</t>
        </is>
      </c>
      <c r="T84" t="inlineStr">
        <is>
          <t xml:space="preserve">PR </t>
        </is>
      </c>
      <c r="U84" t="n">
        <v>1</v>
      </c>
      <c r="V84" t="n">
        <v>14</v>
      </c>
      <c r="X84" t="inlineStr">
        <is>
          <t>1995-11-27</t>
        </is>
      </c>
      <c r="Y84" t="inlineStr">
        <is>
          <t>1994-03-14</t>
        </is>
      </c>
      <c r="Z84" t="inlineStr">
        <is>
          <t>1994-03-14</t>
        </is>
      </c>
      <c r="AA84" t="n">
        <v>141</v>
      </c>
      <c r="AB84" t="n">
        <v>123</v>
      </c>
      <c r="AC84" t="n">
        <v>136</v>
      </c>
      <c r="AD84" t="n">
        <v>2</v>
      </c>
      <c r="AE84" t="n">
        <v>2</v>
      </c>
      <c r="AF84" t="n">
        <v>5</v>
      </c>
      <c r="AG84" t="n">
        <v>5</v>
      </c>
      <c r="AH84" t="n">
        <v>1</v>
      </c>
      <c r="AI84" t="n">
        <v>1</v>
      </c>
      <c r="AJ84" t="n">
        <v>0</v>
      </c>
      <c r="AK84" t="n">
        <v>0</v>
      </c>
      <c r="AL84" t="n">
        <v>4</v>
      </c>
      <c r="AM84" t="n">
        <v>4</v>
      </c>
      <c r="AN84" t="n">
        <v>1</v>
      </c>
      <c r="AO84" t="n">
        <v>1</v>
      </c>
      <c r="AP84" t="n">
        <v>0</v>
      </c>
      <c r="AQ84" t="n">
        <v>0</v>
      </c>
      <c r="AR84" t="inlineStr">
        <is>
          <t>Yes</t>
        </is>
      </c>
      <c r="AS84" t="inlineStr">
        <is>
          <t>No</t>
        </is>
      </c>
      <c r="AT84">
        <f>HYPERLINK("http://catalog.hathitrust.org/Record/000157727","HathiTrust Record")</f>
        <v/>
      </c>
      <c r="AU84">
        <f>HYPERLINK("https://creighton-primo.hosted.exlibrisgroup.com/primo-explore/search?tab=default_tab&amp;search_scope=EVERYTHING&amp;vid=01CRU&amp;lang=en_US&amp;offset=0&amp;query=any,contains,991004208859702656","Catalog Record")</f>
        <v/>
      </c>
      <c r="AV84">
        <f>HYPERLINK("http://www.worldcat.org/oclc/2676213","WorldCat Record")</f>
        <v/>
      </c>
      <c r="AW84" t="inlineStr">
        <is>
          <t>10567242775:eng</t>
        </is>
      </c>
      <c r="AX84" t="inlineStr">
        <is>
          <t>2676213</t>
        </is>
      </c>
      <c r="AY84" t="inlineStr">
        <is>
          <t>991004208859702656</t>
        </is>
      </c>
      <c r="AZ84" t="inlineStr">
        <is>
          <t>991004208859702656</t>
        </is>
      </c>
      <c r="BA84" t="inlineStr">
        <is>
          <t>2262335050002656</t>
        </is>
      </c>
      <c r="BB84" t="inlineStr">
        <is>
          <t>BOOK</t>
        </is>
      </c>
      <c r="BE84" t="inlineStr">
        <is>
          <t>32285001853406</t>
        </is>
      </c>
      <c r="BF84" t="inlineStr">
        <is>
          <t>893519373</t>
        </is>
      </c>
    </row>
    <row r="85">
      <c r="A85" t="inlineStr">
        <is>
          <t>No</t>
        </is>
      </c>
      <c r="B85" t="inlineStr">
        <is>
          <t>CURAL</t>
        </is>
      </c>
      <c r="C85" t="inlineStr">
        <is>
          <t>SHELVES</t>
        </is>
      </c>
      <c r="D85" t="inlineStr">
        <is>
          <t>PR1181 .C5 1857</t>
        </is>
      </c>
      <c r="E85" t="inlineStr">
        <is>
          <t>0                      PR 1181000C  5           1857</t>
        </is>
      </c>
      <c r="F85" t="inlineStr">
        <is>
          <t>English and Scottish ballads. Selected and ed. by Francis James Child.</t>
        </is>
      </c>
      <c r="G85" t="inlineStr">
        <is>
          <t>V.3</t>
        </is>
      </c>
      <c r="H85" t="inlineStr">
        <is>
          <t>Yes</t>
        </is>
      </c>
      <c r="I85" t="inlineStr">
        <is>
          <t>1</t>
        </is>
      </c>
      <c r="J85" t="inlineStr">
        <is>
          <t>No</t>
        </is>
      </c>
      <c r="K85" t="inlineStr">
        <is>
          <t>No</t>
        </is>
      </c>
      <c r="L85" t="inlineStr">
        <is>
          <t>0</t>
        </is>
      </c>
      <c r="M85" t="inlineStr">
        <is>
          <t>Child, Francis James, 1825-1896 editor.</t>
        </is>
      </c>
      <c r="N85" t="inlineStr">
        <is>
          <t>Boston, Little, Brown and company [etc.]; Cincinnati, Moore Wilstach, Keys and co., 1857-58.</t>
        </is>
      </c>
      <c r="O85" t="inlineStr">
        <is>
          <t>1857</t>
        </is>
      </c>
      <c r="Q85" t="inlineStr">
        <is>
          <t>eng</t>
        </is>
      </c>
      <c r="R85" t="inlineStr">
        <is>
          <t>mau</t>
        </is>
      </c>
      <c r="S85" t="inlineStr">
        <is>
          <t>The British poets</t>
        </is>
      </c>
      <c r="T85" t="inlineStr">
        <is>
          <t xml:space="preserve">PR </t>
        </is>
      </c>
      <c r="U85" t="n">
        <v>3</v>
      </c>
      <c r="V85" t="n">
        <v>14</v>
      </c>
      <c r="W85" t="inlineStr">
        <is>
          <t>1995-11-27</t>
        </is>
      </c>
      <c r="X85" t="inlineStr">
        <is>
          <t>1995-11-27</t>
        </is>
      </c>
      <c r="Y85" t="inlineStr">
        <is>
          <t>1994-03-14</t>
        </is>
      </c>
      <c r="Z85" t="inlineStr">
        <is>
          <t>1994-03-14</t>
        </is>
      </c>
      <c r="AA85" t="n">
        <v>141</v>
      </c>
      <c r="AB85" t="n">
        <v>123</v>
      </c>
      <c r="AC85" t="n">
        <v>136</v>
      </c>
      <c r="AD85" t="n">
        <v>2</v>
      </c>
      <c r="AE85" t="n">
        <v>2</v>
      </c>
      <c r="AF85" t="n">
        <v>5</v>
      </c>
      <c r="AG85" t="n">
        <v>5</v>
      </c>
      <c r="AH85" t="n">
        <v>1</v>
      </c>
      <c r="AI85" t="n">
        <v>1</v>
      </c>
      <c r="AJ85" t="n">
        <v>0</v>
      </c>
      <c r="AK85" t="n">
        <v>0</v>
      </c>
      <c r="AL85" t="n">
        <v>4</v>
      </c>
      <c r="AM85" t="n">
        <v>4</v>
      </c>
      <c r="AN85" t="n">
        <v>1</v>
      </c>
      <c r="AO85" t="n">
        <v>1</v>
      </c>
      <c r="AP85" t="n">
        <v>0</v>
      </c>
      <c r="AQ85" t="n">
        <v>0</v>
      </c>
      <c r="AR85" t="inlineStr">
        <is>
          <t>Yes</t>
        </is>
      </c>
      <c r="AS85" t="inlineStr">
        <is>
          <t>No</t>
        </is>
      </c>
      <c r="AT85">
        <f>HYPERLINK("http://catalog.hathitrust.org/Record/000157727","HathiTrust Record")</f>
        <v/>
      </c>
      <c r="AU85">
        <f>HYPERLINK("https://creighton-primo.hosted.exlibrisgroup.com/primo-explore/search?tab=default_tab&amp;search_scope=EVERYTHING&amp;vid=01CRU&amp;lang=en_US&amp;offset=0&amp;query=any,contains,991004208859702656","Catalog Record")</f>
        <v/>
      </c>
      <c r="AV85">
        <f>HYPERLINK("http://www.worldcat.org/oclc/2676213","WorldCat Record")</f>
        <v/>
      </c>
      <c r="AW85" t="inlineStr">
        <is>
          <t>10567242775:eng</t>
        </is>
      </c>
      <c r="AX85" t="inlineStr">
        <is>
          <t>2676213</t>
        </is>
      </c>
      <c r="AY85" t="inlineStr">
        <is>
          <t>991004208859702656</t>
        </is>
      </c>
      <c r="AZ85" t="inlineStr">
        <is>
          <t>991004208859702656</t>
        </is>
      </c>
      <c r="BA85" t="inlineStr">
        <is>
          <t>2262335050002656</t>
        </is>
      </c>
      <c r="BB85" t="inlineStr">
        <is>
          <t>BOOK</t>
        </is>
      </c>
      <c r="BE85" t="inlineStr">
        <is>
          <t>32285001853414</t>
        </is>
      </c>
      <c r="BF85" t="inlineStr">
        <is>
          <t>893506550</t>
        </is>
      </c>
    </row>
    <row r="86">
      <c r="A86" t="inlineStr">
        <is>
          <t>No</t>
        </is>
      </c>
      <c r="B86" t="inlineStr">
        <is>
          <t>CURAL</t>
        </is>
      </c>
      <c r="C86" t="inlineStr">
        <is>
          <t>SHELVES</t>
        </is>
      </c>
      <c r="D86" t="inlineStr">
        <is>
          <t>PR1181 .C5 1857</t>
        </is>
      </c>
      <c r="E86" t="inlineStr">
        <is>
          <t>0                      PR 1181000C  5           1857</t>
        </is>
      </c>
      <c r="F86" t="inlineStr">
        <is>
          <t>English and Scottish ballads. Selected and ed. by Francis James Child.</t>
        </is>
      </c>
      <c r="G86" t="inlineStr">
        <is>
          <t>V.8</t>
        </is>
      </c>
      <c r="H86" t="inlineStr">
        <is>
          <t>Yes</t>
        </is>
      </c>
      <c r="I86" t="inlineStr">
        <is>
          <t>1</t>
        </is>
      </c>
      <c r="J86" t="inlineStr">
        <is>
          <t>No</t>
        </is>
      </c>
      <c r="K86" t="inlineStr">
        <is>
          <t>No</t>
        </is>
      </c>
      <c r="L86" t="inlineStr">
        <is>
          <t>0</t>
        </is>
      </c>
      <c r="M86" t="inlineStr">
        <is>
          <t>Child, Francis James, 1825-1896 editor.</t>
        </is>
      </c>
      <c r="N86" t="inlineStr">
        <is>
          <t>Boston, Little, Brown and company [etc.]; Cincinnati, Moore Wilstach, Keys and co., 1857-58.</t>
        </is>
      </c>
      <c r="O86" t="inlineStr">
        <is>
          <t>1857</t>
        </is>
      </c>
      <c r="Q86" t="inlineStr">
        <is>
          <t>eng</t>
        </is>
      </c>
      <c r="R86" t="inlineStr">
        <is>
          <t>mau</t>
        </is>
      </c>
      <c r="S86" t="inlineStr">
        <is>
          <t>The British poets</t>
        </is>
      </c>
      <c r="T86" t="inlineStr">
        <is>
          <t xml:space="preserve">PR </t>
        </is>
      </c>
      <c r="U86" t="n">
        <v>1</v>
      </c>
      <c r="V86" t="n">
        <v>14</v>
      </c>
      <c r="X86" t="inlineStr">
        <is>
          <t>1995-11-27</t>
        </is>
      </c>
      <c r="Y86" t="inlineStr">
        <is>
          <t>1994-03-14</t>
        </is>
      </c>
      <c r="Z86" t="inlineStr">
        <is>
          <t>1994-03-14</t>
        </is>
      </c>
      <c r="AA86" t="n">
        <v>141</v>
      </c>
      <c r="AB86" t="n">
        <v>123</v>
      </c>
      <c r="AC86" t="n">
        <v>136</v>
      </c>
      <c r="AD86" t="n">
        <v>2</v>
      </c>
      <c r="AE86" t="n">
        <v>2</v>
      </c>
      <c r="AF86" t="n">
        <v>5</v>
      </c>
      <c r="AG86" t="n">
        <v>5</v>
      </c>
      <c r="AH86" t="n">
        <v>1</v>
      </c>
      <c r="AI86" t="n">
        <v>1</v>
      </c>
      <c r="AJ86" t="n">
        <v>0</v>
      </c>
      <c r="AK86" t="n">
        <v>0</v>
      </c>
      <c r="AL86" t="n">
        <v>4</v>
      </c>
      <c r="AM86" t="n">
        <v>4</v>
      </c>
      <c r="AN86" t="n">
        <v>1</v>
      </c>
      <c r="AO86" t="n">
        <v>1</v>
      </c>
      <c r="AP86" t="n">
        <v>0</v>
      </c>
      <c r="AQ86" t="n">
        <v>0</v>
      </c>
      <c r="AR86" t="inlineStr">
        <is>
          <t>Yes</t>
        </is>
      </c>
      <c r="AS86" t="inlineStr">
        <is>
          <t>No</t>
        </is>
      </c>
      <c r="AT86">
        <f>HYPERLINK("http://catalog.hathitrust.org/Record/000157727","HathiTrust Record")</f>
        <v/>
      </c>
      <c r="AU86">
        <f>HYPERLINK("https://creighton-primo.hosted.exlibrisgroup.com/primo-explore/search?tab=default_tab&amp;search_scope=EVERYTHING&amp;vid=01CRU&amp;lang=en_US&amp;offset=0&amp;query=any,contains,991004208859702656","Catalog Record")</f>
        <v/>
      </c>
      <c r="AV86">
        <f>HYPERLINK("http://www.worldcat.org/oclc/2676213","WorldCat Record")</f>
        <v/>
      </c>
      <c r="AW86" t="inlineStr">
        <is>
          <t>10567242775:eng</t>
        </is>
      </c>
      <c r="AX86" t="inlineStr">
        <is>
          <t>2676213</t>
        </is>
      </c>
      <c r="AY86" t="inlineStr">
        <is>
          <t>991004208859702656</t>
        </is>
      </c>
      <c r="AZ86" t="inlineStr">
        <is>
          <t>991004208859702656</t>
        </is>
      </c>
      <c r="BA86" t="inlineStr">
        <is>
          <t>2262335050002656</t>
        </is>
      </c>
      <c r="BB86" t="inlineStr">
        <is>
          <t>BOOK</t>
        </is>
      </c>
      <c r="BE86" t="inlineStr">
        <is>
          <t>32285001853455</t>
        </is>
      </c>
      <c r="BF86" t="inlineStr">
        <is>
          <t>893506551</t>
        </is>
      </c>
    </row>
    <row r="87">
      <c r="A87" t="inlineStr">
        <is>
          <t>No</t>
        </is>
      </c>
      <c r="B87" t="inlineStr">
        <is>
          <t>CURAL</t>
        </is>
      </c>
      <c r="C87" t="inlineStr">
        <is>
          <t>SHELVES</t>
        </is>
      </c>
      <c r="D87" t="inlineStr">
        <is>
          <t>PR1181 .C5 1857</t>
        </is>
      </c>
      <c r="E87" t="inlineStr">
        <is>
          <t>0                      PR 1181000C  5           1857</t>
        </is>
      </c>
      <c r="F87" t="inlineStr">
        <is>
          <t>English and Scottish ballads. Selected and ed. by Francis James Child.</t>
        </is>
      </c>
      <c r="G87" t="inlineStr">
        <is>
          <t>V.5</t>
        </is>
      </c>
      <c r="H87" t="inlineStr">
        <is>
          <t>Yes</t>
        </is>
      </c>
      <c r="I87" t="inlineStr">
        <is>
          <t>1</t>
        </is>
      </c>
      <c r="J87" t="inlineStr">
        <is>
          <t>No</t>
        </is>
      </c>
      <c r="K87" t="inlineStr">
        <is>
          <t>No</t>
        </is>
      </c>
      <c r="L87" t="inlineStr">
        <is>
          <t>0</t>
        </is>
      </c>
      <c r="M87" t="inlineStr">
        <is>
          <t>Child, Francis James, 1825-1896 editor.</t>
        </is>
      </c>
      <c r="N87" t="inlineStr">
        <is>
          <t>Boston, Little, Brown and company [etc.]; Cincinnati, Moore Wilstach, Keys and co., 1857-58.</t>
        </is>
      </c>
      <c r="O87" t="inlineStr">
        <is>
          <t>1857</t>
        </is>
      </c>
      <c r="Q87" t="inlineStr">
        <is>
          <t>eng</t>
        </is>
      </c>
      <c r="R87" t="inlineStr">
        <is>
          <t>mau</t>
        </is>
      </c>
      <c r="S87" t="inlineStr">
        <is>
          <t>The British poets</t>
        </is>
      </c>
      <c r="T87" t="inlineStr">
        <is>
          <t xml:space="preserve">PR </t>
        </is>
      </c>
      <c r="U87" t="n">
        <v>1</v>
      </c>
      <c r="V87" t="n">
        <v>14</v>
      </c>
      <c r="X87" t="inlineStr">
        <is>
          <t>1995-11-27</t>
        </is>
      </c>
      <c r="Y87" t="inlineStr">
        <is>
          <t>1994-03-11</t>
        </is>
      </c>
      <c r="Z87" t="inlineStr">
        <is>
          <t>1994-03-14</t>
        </is>
      </c>
      <c r="AA87" t="n">
        <v>141</v>
      </c>
      <c r="AB87" t="n">
        <v>123</v>
      </c>
      <c r="AC87" t="n">
        <v>136</v>
      </c>
      <c r="AD87" t="n">
        <v>2</v>
      </c>
      <c r="AE87" t="n">
        <v>2</v>
      </c>
      <c r="AF87" t="n">
        <v>5</v>
      </c>
      <c r="AG87" t="n">
        <v>5</v>
      </c>
      <c r="AH87" t="n">
        <v>1</v>
      </c>
      <c r="AI87" t="n">
        <v>1</v>
      </c>
      <c r="AJ87" t="n">
        <v>0</v>
      </c>
      <c r="AK87" t="n">
        <v>0</v>
      </c>
      <c r="AL87" t="n">
        <v>4</v>
      </c>
      <c r="AM87" t="n">
        <v>4</v>
      </c>
      <c r="AN87" t="n">
        <v>1</v>
      </c>
      <c r="AO87" t="n">
        <v>1</v>
      </c>
      <c r="AP87" t="n">
        <v>0</v>
      </c>
      <c r="AQ87" t="n">
        <v>0</v>
      </c>
      <c r="AR87" t="inlineStr">
        <is>
          <t>Yes</t>
        </is>
      </c>
      <c r="AS87" t="inlineStr">
        <is>
          <t>No</t>
        </is>
      </c>
      <c r="AT87">
        <f>HYPERLINK("http://catalog.hathitrust.org/Record/000157727","HathiTrust Record")</f>
        <v/>
      </c>
      <c r="AU87">
        <f>HYPERLINK("https://creighton-primo.hosted.exlibrisgroup.com/primo-explore/search?tab=default_tab&amp;search_scope=EVERYTHING&amp;vid=01CRU&amp;lang=en_US&amp;offset=0&amp;query=any,contains,991004208859702656","Catalog Record")</f>
        <v/>
      </c>
      <c r="AV87">
        <f>HYPERLINK("http://www.worldcat.org/oclc/2676213","WorldCat Record")</f>
        <v/>
      </c>
      <c r="AW87" t="inlineStr">
        <is>
          <t>10567242775:eng</t>
        </is>
      </c>
      <c r="AX87" t="inlineStr">
        <is>
          <t>2676213</t>
        </is>
      </c>
      <c r="AY87" t="inlineStr">
        <is>
          <t>991004208859702656</t>
        </is>
      </c>
      <c r="AZ87" t="inlineStr">
        <is>
          <t>991004208859702656</t>
        </is>
      </c>
      <c r="BA87" t="inlineStr">
        <is>
          <t>2262335050002656</t>
        </is>
      </c>
      <c r="BB87" t="inlineStr">
        <is>
          <t>BOOK</t>
        </is>
      </c>
      <c r="BE87" t="inlineStr">
        <is>
          <t>32285001852945</t>
        </is>
      </c>
      <c r="BF87" t="inlineStr">
        <is>
          <t>893525788</t>
        </is>
      </c>
    </row>
    <row r="88">
      <c r="A88" t="inlineStr">
        <is>
          <t>No</t>
        </is>
      </c>
      <c r="B88" t="inlineStr">
        <is>
          <t>CURAL</t>
        </is>
      </c>
      <c r="C88" t="inlineStr">
        <is>
          <t>SHELVES</t>
        </is>
      </c>
      <c r="D88" t="inlineStr">
        <is>
          <t>PR1181 .C5 1857</t>
        </is>
      </c>
      <c r="E88" t="inlineStr">
        <is>
          <t>0                      PR 1181000C  5           1857</t>
        </is>
      </c>
      <c r="F88" t="inlineStr">
        <is>
          <t>English and Scottish ballads. Selected and ed. by Francis James Child.</t>
        </is>
      </c>
      <c r="G88" t="inlineStr">
        <is>
          <t>V.4</t>
        </is>
      </c>
      <c r="H88" t="inlineStr">
        <is>
          <t>Yes</t>
        </is>
      </c>
      <c r="I88" t="inlineStr">
        <is>
          <t>1</t>
        </is>
      </c>
      <c r="J88" t="inlineStr">
        <is>
          <t>No</t>
        </is>
      </c>
      <c r="K88" t="inlineStr">
        <is>
          <t>No</t>
        </is>
      </c>
      <c r="L88" t="inlineStr">
        <is>
          <t>0</t>
        </is>
      </c>
      <c r="M88" t="inlineStr">
        <is>
          <t>Child, Francis James, 1825-1896 editor.</t>
        </is>
      </c>
      <c r="N88" t="inlineStr">
        <is>
          <t>Boston, Little, Brown and company [etc.]; Cincinnati, Moore Wilstach, Keys and co., 1857-58.</t>
        </is>
      </c>
      <c r="O88" t="inlineStr">
        <is>
          <t>1857</t>
        </is>
      </c>
      <c r="Q88" t="inlineStr">
        <is>
          <t>eng</t>
        </is>
      </c>
      <c r="R88" t="inlineStr">
        <is>
          <t>mau</t>
        </is>
      </c>
      <c r="S88" t="inlineStr">
        <is>
          <t>The British poets</t>
        </is>
      </c>
      <c r="T88" t="inlineStr">
        <is>
          <t xml:space="preserve">PR </t>
        </is>
      </c>
      <c r="U88" t="n">
        <v>1</v>
      </c>
      <c r="V88" t="n">
        <v>14</v>
      </c>
      <c r="X88" t="inlineStr">
        <is>
          <t>1995-11-27</t>
        </is>
      </c>
      <c r="Y88" t="inlineStr">
        <is>
          <t>1994-03-14</t>
        </is>
      </c>
      <c r="Z88" t="inlineStr">
        <is>
          <t>1994-03-14</t>
        </is>
      </c>
      <c r="AA88" t="n">
        <v>141</v>
      </c>
      <c r="AB88" t="n">
        <v>123</v>
      </c>
      <c r="AC88" t="n">
        <v>136</v>
      </c>
      <c r="AD88" t="n">
        <v>2</v>
      </c>
      <c r="AE88" t="n">
        <v>2</v>
      </c>
      <c r="AF88" t="n">
        <v>5</v>
      </c>
      <c r="AG88" t="n">
        <v>5</v>
      </c>
      <c r="AH88" t="n">
        <v>1</v>
      </c>
      <c r="AI88" t="n">
        <v>1</v>
      </c>
      <c r="AJ88" t="n">
        <v>0</v>
      </c>
      <c r="AK88" t="n">
        <v>0</v>
      </c>
      <c r="AL88" t="n">
        <v>4</v>
      </c>
      <c r="AM88" t="n">
        <v>4</v>
      </c>
      <c r="AN88" t="n">
        <v>1</v>
      </c>
      <c r="AO88" t="n">
        <v>1</v>
      </c>
      <c r="AP88" t="n">
        <v>0</v>
      </c>
      <c r="AQ88" t="n">
        <v>0</v>
      </c>
      <c r="AR88" t="inlineStr">
        <is>
          <t>Yes</t>
        </is>
      </c>
      <c r="AS88" t="inlineStr">
        <is>
          <t>No</t>
        </is>
      </c>
      <c r="AT88">
        <f>HYPERLINK("http://catalog.hathitrust.org/Record/000157727","HathiTrust Record")</f>
        <v/>
      </c>
      <c r="AU88">
        <f>HYPERLINK("https://creighton-primo.hosted.exlibrisgroup.com/primo-explore/search?tab=default_tab&amp;search_scope=EVERYTHING&amp;vid=01CRU&amp;lang=en_US&amp;offset=0&amp;query=any,contains,991004208859702656","Catalog Record")</f>
        <v/>
      </c>
      <c r="AV88">
        <f>HYPERLINK("http://www.worldcat.org/oclc/2676213","WorldCat Record")</f>
        <v/>
      </c>
      <c r="AW88" t="inlineStr">
        <is>
          <t>10567242775:eng</t>
        </is>
      </c>
      <c r="AX88" t="inlineStr">
        <is>
          <t>2676213</t>
        </is>
      </c>
      <c r="AY88" t="inlineStr">
        <is>
          <t>991004208859702656</t>
        </is>
      </c>
      <c r="AZ88" t="inlineStr">
        <is>
          <t>991004208859702656</t>
        </is>
      </c>
      <c r="BA88" t="inlineStr">
        <is>
          <t>2262335050002656</t>
        </is>
      </c>
      <c r="BB88" t="inlineStr">
        <is>
          <t>BOOK</t>
        </is>
      </c>
      <c r="BE88" t="inlineStr">
        <is>
          <t>32285001853422</t>
        </is>
      </c>
      <c r="BF88" t="inlineStr">
        <is>
          <t>893525789</t>
        </is>
      </c>
    </row>
    <row r="89">
      <c r="A89" t="inlineStr">
        <is>
          <t>No</t>
        </is>
      </c>
      <c r="B89" t="inlineStr">
        <is>
          <t>CURAL</t>
        </is>
      </c>
      <c r="C89" t="inlineStr">
        <is>
          <t>SHELVES</t>
        </is>
      </c>
      <c r="D89" t="inlineStr">
        <is>
          <t>PR1181 .C5 1857</t>
        </is>
      </c>
      <c r="E89" t="inlineStr">
        <is>
          <t>0                      PR 1181000C  5           1857</t>
        </is>
      </c>
      <c r="F89" t="inlineStr">
        <is>
          <t>English and Scottish ballads. Selected and ed. by Francis James Child.</t>
        </is>
      </c>
      <c r="G89" t="inlineStr">
        <is>
          <t>V.1</t>
        </is>
      </c>
      <c r="H89" t="inlineStr">
        <is>
          <t>Yes</t>
        </is>
      </c>
      <c r="I89" t="inlineStr">
        <is>
          <t>1</t>
        </is>
      </c>
      <c r="J89" t="inlineStr">
        <is>
          <t>No</t>
        </is>
      </c>
      <c r="K89" t="inlineStr">
        <is>
          <t>No</t>
        </is>
      </c>
      <c r="L89" t="inlineStr">
        <is>
          <t>0</t>
        </is>
      </c>
      <c r="M89" t="inlineStr">
        <is>
          <t>Child, Francis James, 1825-1896 editor.</t>
        </is>
      </c>
      <c r="N89" t="inlineStr">
        <is>
          <t>Boston, Little, Brown and company [etc.]; Cincinnati, Moore Wilstach, Keys and co., 1857-58.</t>
        </is>
      </c>
      <c r="O89" t="inlineStr">
        <is>
          <t>1857</t>
        </is>
      </c>
      <c r="Q89" t="inlineStr">
        <is>
          <t>eng</t>
        </is>
      </c>
      <c r="R89" t="inlineStr">
        <is>
          <t>mau</t>
        </is>
      </c>
      <c r="S89" t="inlineStr">
        <is>
          <t>The British poets</t>
        </is>
      </c>
      <c r="T89" t="inlineStr">
        <is>
          <t xml:space="preserve">PR </t>
        </is>
      </c>
      <c r="U89" t="n">
        <v>5</v>
      </c>
      <c r="V89" t="n">
        <v>14</v>
      </c>
      <c r="W89" t="inlineStr">
        <is>
          <t>1994-03-21</t>
        </is>
      </c>
      <c r="X89" t="inlineStr">
        <is>
          <t>1995-11-27</t>
        </is>
      </c>
      <c r="Y89" t="inlineStr">
        <is>
          <t>1992-10-26</t>
        </is>
      </c>
      <c r="Z89" t="inlineStr">
        <is>
          <t>1994-03-14</t>
        </is>
      </c>
      <c r="AA89" t="n">
        <v>141</v>
      </c>
      <c r="AB89" t="n">
        <v>123</v>
      </c>
      <c r="AC89" t="n">
        <v>136</v>
      </c>
      <c r="AD89" t="n">
        <v>2</v>
      </c>
      <c r="AE89" t="n">
        <v>2</v>
      </c>
      <c r="AF89" t="n">
        <v>5</v>
      </c>
      <c r="AG89" t="n">
        <v>5</v>
      </c>
      <c r="AH89" t="n">
        <v>1</v>
      </c>
      <c r="AI89" t="n">
        <v>1</v>
      </c>
      <c r="AJ89" t="n">
        <v>0</v>
      </c>
      <c r="AK89" t="n">
        <v>0</v>
      </c>
      <c r="AL89" t="n">
        <v>4</v>
      </c>
      <c r="AM89" t="n">
        <v>4</v>
      </c>
      <c r="AN89" t="n">
        <v>1</v>
      </c>
      <c r="AO89" t="n">
        <v>1</v>
      </c>
      <c r="AP89" t="n">
        <v>0</v>
      </c>
      <c r="AQ89" t="n">
        <v>0</v>
      </c>
      <c r="AR89" t="inlineStr">
        <is>
          <t>Yes</t>
        </is>
      </c>
      <c r="AS89" t="inlineStr">
        <is>
          <t>No</t>
        </is>
      </c>
      <c r="AT89">
        <f>HYPERLINK("http://catalog.hathitrust.org/Record/000157727","HathiTrust Record")</f>
        <v/>
      </c>
      <c r="AU89">
        <f>HYPERLINK("https://creighton-primo.hosted.exlibrisgroup.com/primo-explore/search?tab=default_tab&amp;search_scope=EVERYTHING&amp;vid=01CRU&amp;lang=en_US&amp;offset=0&amp;query=any,contains,991004208859702656","Catalog Record")</f>
        <v/>
      </c>
      <c r="AV89">
        <f>HYPERLINK("http://www.worldcat.org/oclc/2676213","WorldCat Record")</f>
        <v/>
      </c>
      <c r="AW89" t="inlineStr">
        <is>
          <t>10567242775:eng</t>
        </is>
      </c>
      <c r="AX89" t="inlineStr">
        <is>
          <t>2676213</t>
        </is>
      </c>
      <c r="AY89" t="inlineStr">
        <is>
          <t>991004208859702656</t>
        </is>
      </c>
      <c r="AZ89" t="inlineStr">
        <is>
          <t>991004208859702656</t>
        </is>
      </c>
      <c r="BA89" t="inlineStr">
        <is>
          <t>2262335050002656</t>
        </is>
      </c>
      <c r="BB89" t="inlineStr">
        <is>
          <t>BOOK</t>
        </is>
      </c>
      <c r="BE89" t="inlineStr">
        <is>
          <t>32285001374494</t>
        </is>
      </c>
      <c r="BF89" t="inlineStr">
        <is>
          <t>893506549</t>
        </is>
      </c>
    </row>
    <row r="90">
      <c r="A90" t="inlineStr">
        <is>
          <t>No</t>
        </is>
      </c>
      <c r="B90" t="inlineStr">
        <is>
          <t>CURAL</t>
        </is>
      </c>
      <c r="C90" t="inlineStr">
        <is>
          <t>SHELVES</t>
        </is>
      </c>
      <c r="D90" t="inlineStr">
        <is>
          <t>PR1181 .C5 1857</t>
        </is>
      </c>
      <c r="E90" t="inlineStr">
        <is>
          <t>0                      PR 1181000C  5           1857</t>
        </is>
      </c>
      <c r="F90" t="inlineStr">
        <is>
          <t>English and Scottish ballads. Selected and ed. by Francis James Child.</t>
        </is>
      </c>
      <c r="G90" t="inlineStr">
        <is>
          <t>V.6</t>
        </is>
      </c>
      <c r="H90" t="inlineStr">
        <is>
          <t>Yes</t>
        </is>
      </c>
      <c r="I90" t="inlineStr">
        <is>
          <t>1</t>
        </is>
      </c>
      <c r="J90" t="inlineStr">
        <is>
          <t>No</t>
        </is>
      </c>
      <c r="K90" t="inlineStr">
        <is>
          <t>No</t>
        </is>
      </c>
      <c r="L90" t="inlineStr">
        <is>
          <t>0</t>
        </is>
      </c>
      <c r="M90" t="inlineStr">
        <is>
          <t>Child, Francis James, 1825-1896 editor.</t>
        </is>
      </c>
      <c r="N90" t="inlineStr">
        <is>
          <t>Boston, Little, Brown and company [etc.]; Cincinnati, Moore Wilstach, Keys and co., 1857-58.</t>
        </is>
      </c>
      <c r="O90" t="inlineStr">
        <is>
          <t>1857</t>
        </is>
      </c>
      <c r="Q90" t="inlineStr">
        <is>
          <t>eng</t>
        </is>
      </c>
      <c r="R90" t="inlineStr">
        <is>
          <t>mau</t>
        </is>
      </c>
      <c r="S90" t="inlineStr">
        <is>
          <t>The British poets</t>
        </is>
      </c>
      <c r="T90" t="inlineStr">
        <is>
          <t xml:space="preserve">PR </t>
        </is>
      </c>
      <c r="U90" t="n">
        <v>1</v>
      </c>
      <c r="V90" t="n">
        <v>14</v>
      </c>
      <c r="X90" t="inlineStr">
        <is>
          <t>1995-11-27</t>
        </is>
      </c>
      <c r="Y90" t="inlineStr">
        <is>
          <t>1994-03-14</t>
        </is>
      </c>
      <c r="Z90" t="inlineStr">
        <is>
          <t>1994-03-14</t>
        </is>
      </c>
      <c r="AA90" t="n">
        <v>141</v>
      </c>
      <c r="AB90" t="n">
        <v>123</v>
      </c>
      <c r="AC90" t="n">
        <v>136</v>
      </c>
      <c r="AD90" t="n">
        <v>2</v>
      </c>
      <c r="AE90" t="n">
        <v>2</v>
      </c>
      <c r="AF90" t="n">
        <v>5</v>
      </c>
      <c r="AG90" t="n">
        <v>5</v>
      </c>
      <c r="AH90" t="n">
        <v>1</v>
      </c>
      <c r="AI90" t="n">
        <v>1</v>
      </c>
      <c r="AJ90" t="n">
        <v>0</v>
      </c>
      <c r="AK90" t="n">
        <v>0</v>
      </c>
      <c r="AL90" t="n">
        <v>4</v>
      </c>
      <c r="AM90" t="n">
        <v>4</v>
      </c>
      <c r="AN90" t="n">
        <v>1</v>
      </c>
      <c r="AO90" t="n">
        <v>1</v>
      </c>
      <c r="AP90" t="n">
        <v>0</v>
      </c>
      <c r="AQ90" t="n">
        <v>0</v>
      </c>
      <c r="AR90" t="inlineStr">
        <is>
          <t>Yes</t>
        </is>
      </c>
      <c r="AS90" t="inlineStr">
        <is>
          <t>No</t>
        </is>
      </c>
      <c r="AT90">
        <f>HYPERLINK("http://catalog.hathitrust.org/Record/000157727","HathiTrust Record")</f>
        <v/>
      </c>
      <c r="AU90">
        <f>HYPERLINK("https://creighton-primo.hosted.exlibrisgroup.com/primo-explore/search?tab=default_tab&amp;search_scope=EVERYTHING&amp;vid=01CRU&amp;lang=en_US&amp;offset=0&amp;query=any,contains,991004208859702656","Catalog Record")</f>
        <v/>
      </c>
      <c r="AV90">
        <f>HYPERLINK("http://www.worldcat.org/oclc/2676213","WorldCat Record")</f>
        <v/>
      </c>
      <c r="AW90" t="inlineStr">
        <is>
          <t>10567242775:eng</t>
        </is>
      </c>
      <c r="AX90" t="inlineStr">
        <is>
          <t>2676213</t>
        </is>
      </c>
      <c r="AY90" t="inlineStr">
        <is>
          <t>991004208859702656</t>
        </is>
      </c>
      <c r="AZ90" t="inlineStr">
        <is>
          <t>991004208859702656</t>
        </is>
      </c>
      <c r="BA90" t="inlineStr">
        <is>
          <t>2262335050002656</t>
        </is>
      </c>
      <c r="BB90" t="inlineStr">
        <is>
          <t>BOOK</t>
        </is>
      </c>
      <c r="BE90" t="inlineStr">
        <is>
          <t>32285001853430</t>
        </is>
      </c>
      <c r="BF90" t="inlineStr">
        <is>
          <t>893525787</t>
        </is>
      </c>
    </row>
    <row r="91">
      <c r="A91" t="inlineStr">
        <is>
          <t>No</t>
        </is>
      </c>
      <c r="B91" t="inlineStr">
        <is>
          <t>CURAL</t>
        </is>
      </c>
      <c r="C91" t="inlineStr">
        <is>
          <t>SHELVES</t>
        </is>
      </c>
      <c r="D91" t="inlineStr">
        <is>
          <t>PR1181 .C5 1857</t>
        </is>
      </c>
      <c r="E91" t="inlineStr">
        <is>
          <t>0                      PR 1181000C  5           1857</t>
        </is>
      </c>
      <c r="F91" t="inlineStr">
        <is>
          <t>English and Scottish ballads. Selected and ed. by Francis James Child.</t>
        </is>
      </c>
      <c r="G91" t="inlineStr">
        <is>
          <t>V.7</t>
        </is>
      </c>
      <c r="H91" t="inlineStr">
        <is>
          <t>Yes</t>
        </is>
      </c>
      <c r="I91" t="inlineStr">
        <is>
          <t>1</t>
        </is>
      </c>
      <c r="J91" t="inlineStr">
        <is>
          <t>No</t>
        </is>
      </c>
      <c r="K91" t="inlineStr">
        <is>
          <t>No</t>
        </is>
      </c>
      <c r="L91" t="inlineStr">
        <is>
          <t>0</t>
        </is>
      </c>
      <c r="M91" t="inlineStr">
        <is>
          <t>Child, Francis James, 1825-1896 editor.</t>
        </is>
      </c>
      <c r="N91" t="inlineStr">
        <is>
          <t>Boston, Little, Brown and company [etc.]; Cincinnati, Moore Wilstach, Keys and co., 1857-58.</t>
        </is>
      </c>
      <c r="O91" t="inlineStr">
        <is>
          <t>1857</t>
        </is>
      </c>
      <c r="Q91" t="inlineStr">
        <is>
          <t>eng</t>
        </is>
      </c>
      <c r="R91" t="inlineStr">
        <is>
          <t>mau</t>
        </is>
      </c>
      <c r="S91" t="inlineStr">
        <is>
          <t>The British poets</t>
        </is>
      </c>
      <c r="T91" t="inlineStr">
        <is>
          <t xml:space="preserve">PR </t>
        </is>
      </c>
      <c r="U91" t="n">
        <v>1</v>
      </c>
      <c r="V91" t="n">
        <v>14</v>
      </c>
      <c r="X91" t="inlineStr">
        <is>
          <t>1995-11-27</t>
        </is>
      </c>
      <c r="Y91" t="inlineStr">
        <is>
          <t>1994-03-14</t>
        </is>
      </c>
      <c r="Z91" t="inlineStr">
        <is>
          <t>1994-03-14</t>
        </is>
      </c>
      <c r="AA91" t="n">
        <v>141</v>
      </c>
      <c r="AB91" t="n">
        <v>123</v>
      </c>
      <c r="AC91" t="n">
        <v>136</v>
      </c>
      <c r="AD91" t="n">
        <v>2</v>
      </c>
      <c r="AE91" t="n">
        <v>2</v>
      </c>
      <c r="AF91" t="n">
        <v>5</v>
      </c>
      <c r="AG91" t="n">
        <v>5</v>
      </c>
      <c r="AH91" t="n">
        <v>1</v>
      </c>
      <c r="AI91" t="n">
        <v>1</v>
      </c>
      <c r="AJ91" t="n">
        <v>0</v>
      </c>
      <c r="AK91" t="n">
        <v>0</v>
      </c>
      <c r="AL91" t="n">
        <v>4</v>
      </c>
      <c r="AM91" t="n">
        <v>4</v>
      </c>
      <c r="AN91" t="n">
        <v>1</v>
      </c>
      <c r="AO91" t="n">
        <v>1</v>
      </c>
      <c r="AP91" t="n">
        <v>0</v>
      </c>
      <c r="AQ91" t="n">
        <v>0</v>
      </c>
      <c r="AR91" t="inlineStr">
        <is>
          <t>Yes</t>
        </is>
      </c>
      <c r="AS91" t="inlineStr">
        <is>
          <t>No</t>
        </is>
      </c>
      <c r="AT91">
        <f>HYPERLINK("http://catalog.hathitrust.org/Record/000157727","HathiTrust Record")</f>
        <v/>
      </c>
      <c r="AU91">
        <f>HYPERLINK("https://creighton-primo.hosted.exlibrisgroup.com/primo-explore/search?tab=default_tab&amp;search_scope=EVERYTHING&amp;vid=01CRU&amp;lang=en_US&amp;offset=0&amp;query=any,contains,991004208859702656","Catalog Record")</f>
        <v/>
      </c>
      <c r="AV91">
        <f>HYPERLINK("http://www.worldcat.org/oclc/2676213","WorldCat Record")</f>
        <v/>
      </c>
      <c r="AW91" t="inlineStr">
        <is>
          <t>10567242775:eng</t>
        </is>
      </c>
      <c r="AX91" t="inlineStr">
        <is>
          <t>2676213</t>
        </is>
      </c>
      <c r="AY91" t="inlineStr">
        <is>
          <t>991004208859702656</t>
        </is>
      </c>
      <c r="AZ91" t="inlineStr">
        <is>
          <t>991004208859702656</t>
        </is>
      </c>
      <c r="BA91" t="inlineStr">
        <is>
          <t>2262335050002656</t>
        </is>
      </c>
      <c r="BB91" t="inlineStr">
        <is>
          <t>BOOK</t>
        </is>
      </c>
      <c r="BE91" t="inlineStr">
        <is>
          <t>32285001853448</t>
        </is>
      </c>
      <c r="BF91" t="inlineStr">
        <is>
          <t>893506552</t>
        </is>
      </c>
    </row>
    <row r="92">
      <c r="A92" t="inlineStr">
        <is>
          <t>No</t>
        </is>
      </c>
      <c r="B92" t="inlineStr">
        <is>
          <t>CURAL</t>
        </is>
      </c>
      <c r="C92" t="inlineStr">
        <is>
          <t>SHELVES</t>
        </is>
      </c>
      <c r="D92" t="inlineStr">
        <is>
          <t>PR1181 .C5 1904a</t>
        </is>
      </c>
      <c r="E92" t="inlineStr">
        <is>
          <t>0                      PR 1181000C  5           1904a</t>
        </is>
      </c>
      <c r="F92" t="inlineStr">
        <is>
          <t>English and Scottish popular ballads.</t>
        </is>
      </c>
      <c r="H92" t="inlineStr">
        <is>
          <t>No</t>
        </is>
      </c>
      <c r="I92" t="inlineStr">
        <is>
          <t>1</t>
        </is>
      </c>
      <c r="J92" t="inlineStr">
        <is>
          <t>No</t>
        </is>
      </c>
      <c r="K92" t="inlineStr">
        <is>
          <t>No</t>
        </is>
      </c>
      <c r="L92" t="inlineStr">
        <is>
          <t>0</t>
        </is>
      </c>
      <c r="M92" t="inlineStr">
        <is>
          <t>Child, Francis James, 1825-1896.</t>
        </is>
      </c>
      <c r="N92" t="inlineStr">
        <is>
          <t>Boston and New York, Houghton, Mifflin and company, [c1904]</t>
        </is>
      </c>
      <c r="O92" t="inlineStr">
        <is>
          <t>1904</t>
        </is>
      </c>
      <c r="P92" t="inlineStr">
        <is>
          <t>Student's Cambridge edition.</t>
        </is>
      </c>
      <c r="Q92" t="inlineStr">
        <is>
          <t>eng</t>
        </is>
      </c>
      <c r="R92" t="inlineStr">
        <is>
          <t>mau</t>
        </is>
      </c>
      <c r="S92" t="inlineStr">
        <is>
          <t>The Cambridge edition of the poets, ed. by Bliss Perry</t>
        </is>
      </c>
      <c r="T92" t="inlineStr">
        <is>
          <t xml:space="preserve">PR </t>
        </is>
      </c>
      <c r="U92" t="n">
        <v>5</v>
      </c>
      <c r="V92" t="n">
        <v>5</v>
      </c>
      <c r="W92" t="inlineStr">
        <is>
          <t>2002-10-09</t>
        </is>
      </c>
      <c r="X92" t="inlineStr">
        <is>
          <t>2002-10-09</t>
        </is>
      </c>
      <c r="Y92" t="inlineStr">
        <is>
          <t>1997-07-28</t>
        </is>
      </c>
      <c r="Z92" t="inlineStr">
        <is>
          <t>1997-07-28</t>
        </is>
      </c>
      <c r="AA92" t="n">
        <v>159</v>
      </c>
      <c r="AB92" t="n">
        <v>152</v>
      </c>
      <c r="AC92" t="n">
        <v>1852</v>
      </c>
      <c r="AD92" t="n">
        <v>4</v>
      </c>
      <c r="AE92" t="n">
        <v>19</v>
      </c>
      <c r="AF92" t="n">
        <v>6</v>
      </c>
      <c r="AG92" t="n">
        <v>55</v>
      </c>
      <c r="AH92" t="n">
        <v>0</v>
      </c>
      <c r="AI92" t="n">
        <v>18</v>
      </c>
      <c r="AJ92" t="n">
        <v>1</v>
      </c>
      <c r="AK92" t="n">
        <v>11</v>
      </c>
      <c r="AL92" t="n">
        <v>3</v>
      </c>
      <c r="AM92" t="n">
        <v>24</v>
      </c>
      <c r="AN92" t="n">
        <v>3</v>
      </c>
      <c r="AO92" t="n">
        <v>14</v>
      </c>
      <c r="AP92" t="n">
        <v>0</v>
      </c>
      <c r="AQ92" t="n">
        <v>0</v>
      </c>
      <c r="AR92" t="inlineStr">
        <is>
          <t>Yes</t>
        </is>
      </c>
      <c r="AS92" t="inlineStr">
        <is>
          <t>No</t>
        </is>
      </c>
      <c r="AT92">
        <f>HYPERLINK("http://catalog.hathitrust.org/Record/100002680","HathiTrust Record")</f>
        <v/>
      </c>
      <c r="AU92">
        <f>HYPERLINK("https://creighton-primo.hosted.exlibrisgroup.com/primo-explore/search?tab=default_tab&amp;search_scope=EVERYTHING&amp;vid=01CRU&amp;lang=en_US&amp;offset=0&amp;query=any,contains,991000950079702656","Catalog Record")</f>
        <v/>
      </c>
      <c r="AV92">
        <f>HYPERLINK("http://www.worldcat.org/oclc/14633681","WorldCat Record")</f>
        <v/>
      </c>
      <c r="AW92" t="inlineStr">
        <is>
          <t>4663669812:eng</t>
        </is>
      </c>
      <c r="AX92" t="inlineStr">
        <is>
          <t>14633681</t>
        </is>
      </c>
      <c r="AY92" t="inlineStr">
        <is>
          <t>991000950079702656</t>
        </is>
      </c>
      <c r="AZ92" t="inlineStr">
        <is>
          <t>991000950079702656</t>
        </is>
      </c>
      <c r="BA92" t="inlineStr">
        <is>
          <t>2265765380002656</t>
        </is>
      </c>
      <c r="BB92" t="inlineStr">
        <is>
          <t>BOOK</t>
        </is>
      </c>
      <c r="BE92" t="inlineStr">
        <is>
          <t>32285002963709</t>
        </is>
      </c>
      <c r="BF92" t="inlineStr">
        <is>
          <t>893696324</t>
        </is>
      </c>
    </row>
    <row r="93">
      <c r="A93" t="inlineStr">
        <is>
          <t>No</t>
        </is>
      </c>
      <c r="B93" t="inlineStr">
        <is>
          <t>CURAL</t>
        </is>
      </c>
      <c r="C93" t="inlineStr">
        <is>
          <t>SHELVES</t>
        </is>
      </c>
      <c r="D93" t="inlineStr">
        <is>
          <t>PR1181 .H2 1853</t>
        </is>
      </c>
      <c r="E93" t="inlineStr">
        <is>
          <t>0                      PR 1181000H  2           1853</t>
        </is>
      </c>
      <c r="F93" t="inlineStr">
        <is>
          <t>The book of British ballads. Edited by S. C. Hall...</t>
        </is>
      </c>
      <c r="H93" t="inlineStr">
        <is>
          <t>No</t>
        </is>
      </c>
      <c r="I93" t="inlineStr">
        <is>
          <t>1</t>
        </is>
      </c>
      <c r="J93" t="inlineStr">
        <is>
          <t>No</t>
        </is>
      </c>
      <c r="K93" t="inlineStr">
        <is>
          <t>No</t>
        </is>
      </c>
      <c r="L93" t="inlineStr">
        <is>
          <t>0</t>
        </is>
      </c>
      <c r="M93" t="inlineStr">
        <is>
          <t>Hall, S. C. (Samuel Carter), 1800-1889 editor.</t>
        </is>
      </c>
      <c r="N93" t="inlineStr">
        <is>
          <t>London, H. G. Bohn, 1853.</t>
        </is>
      </c>
      <c r="O93" t="inlineStr">
        <is>
          <t>1853</t>
        </is>
      </c>
      <c r="Q93" t="inlineStr">
        <is>
          <t>eng</t>
        </is>
      </c>
      <c r="R93" t="inlineStr">
        <is>
          <t>enk</t>
        </is>
      </c>
      <c r="T93" t="inlineStr">
        <is>
          <t xml:space="preserve">PR </t>
        </is>
      </c>
      <c r="U93" t="n">
        <v>0</v>
      </c>
      <c r="V93" t="n">
        <v>0</v>
      </c>
      <c r="W93" t="inlineStr">
        <is>
          <t>2007-03-21</t>
        </is>
      </c>
      <c r="X93" t="inlineStr">
        <is>
          <t>2007-03-21</t>
        </is>
      </c>
      <c r="Y93" t="inlineStr">
        <is>
          <t>1997-07-28</t>
        </is>
      </c>
      <c r="Z93" t="inlineStr">
        <is>
          <t>1997-07-28</t>
        </is>
      </c>
      <c r="AA93" t="n">
        <v>94</v>
      </c>
      <c r="AB93" t="n">
        <v>72</v>
      </c>
      <c r="AC93" t="n">
        <v>195</v>
      </c>
      <c r="AD93" t="n">
        <v>1</v>
      </c>
      <c r="AE93" t="n">
        <v>2</v>
      </c>
      <c r="AF93" t="n">
        <v>0</v>
      </c>
      <c r="AG93" t="n">
        <v>4</v>
      </c>
      <c r="AH93" t="n">
        <v>0</v>
      </c>
      <c r="AI93" t="n">
        <v>0</v>
      </c>
      <c r="AJ93" t="n">
        <v>0</v>
      </c>
      <c r="AK93" t="n">
        <v>2</v>
      </c>
      <c r="AL93" t="n">
        <v>0</v>
      </c>
      <c r="AM93" t="n">
        <v>2</v>
      </c>
      <c r="AN93" t="n">
        <v>0</v>
      </c>
      <c r="AO93" t="n">
        <v>1</v>
      </c>
      <c r="AP93" t="n">
        <v>0</v>
      </c>
      <c r="AQ93" t="n">
        <v>0</v>
      </c>
      <c r="AR93" t="inlineStr">
        <is>
          <t>Yes</t>
        </is>
      </c>
      <c r="AS93" t="inlineStr">
        <is>
          <t>No</t>
        </is>
      </c>
      <c r="AT93">
        <f>HYPERLINK("http://catalog.hathitrust.org/Record/008662513","HathiTrust Record")</f>
        <v/>
      </c>
      <c r="AU93">
        <f>HYPERLINK("https://creighton-primo.hosted.exlibrisgroup.com/primo-explore/search?tab=default_tab&amp;search_scope=EVERYTHING&amp;vid=01CRU&amp;lang=en_US&amp;offset=0&amp;query=any,contains,991004388579702656","Catalog Record")</f>
        <v/>
      </c>
      <c r="AV93">
        <f>HYPERLINK("http://www.worldcat.org/oclc/3254071","WorldCat Record")</f>
        <v/>
      </c>
      <c r="AW93" t="inlineStr">
        <is>
          <t>3596770:eng</t>
        </is>
      </c>
      <c r="AX93" t="inlineStr">
        <is>
          <t>3254071</t>
        </is>
      </c>
      <c r="AY93" t="inlineStr">
        <is>
          <t>991004388579702656</t>
        </is>
      </c>
      <c r="AZ93" t="inlineStr">
        <is>
          <t>991004388579702656</t>
        </is>
      </c>
      <c r="BA93" t="inlineStr">
        <is>
          <t>2255215500002656</t>
        </is>
      </c>
      <c r="BB93" t="inlineStr">
        <is>
          <t>BOOK</t>
        </is>
      </c>
      <c r="BE93" t="inlineStr">
        <is>
          <t>32285002963741</t>
        </is>
      </c>
      <c r="BF93" t="inlineStr">
        <is>
          <t>893259667</t>
        </is>
      </c>
    </row>
    <row r="94">
      <c r="A94" t="inlineStr">
        <is>
          <t>No</t>
        </is>
      </c>
      <c r="B94" t="inlineStr">
        <is>
          <t>CURAL</t>
        </is>
      </c>
      <c r="C94" t="inlineStr">
        <is>
          <t>SHELVES</t>
        </is>
      </c>
      <c r="D94" t="inlineStr">
        <is>
          <t>PR1184 .M26 1986</t>
        </is>
      </c>
      <c r="E94" t="inlineStr">
        <is>
          <t>0                      PR 1184000M  26          1986</t>
        </is>
      </c>
      <c r="F94" t="inlineStr">
        <is>
          <t>Marriage poems and satires, 1670 to 1800 : facsimile reproductions / [selected and] with an introduction by William C. Horne.</t>
        </is>
      </c>
      <c r="H94" t="inlineStr">
        <is>
          <t>No</t>
        </is>
      </c>
      <c r="I94" t="inlineStr">
        <is>
          <t>1</t>
        </is>
      </c>
      <c r="J94" t="inlineStr">
        <is>
          <t>No</t>
        </is>
      </c>
      <c r="K94" t="inlineStr">
        <is>
          <t>No</t>
        </is>
      </c>
      <c r="L94" t="inlineStr">
        <is>
          <t>0</t>
        </is>
      </c>
      <c r="N94" t="inlineStr">
        <is>
          <t>Delmar, N.Y. : Scholars' Facsimiles &amp; Reprints, 1986.</t>
        </is>
      </c>
      <c r="O94" t="inlineStr">
        <is>
          <t>1986</t>
        </is>
      </c>
      <c r="Q94" t="inlineStr">
        <is>
          <t>eng</t>
        </is>
      </c>
      <c r="R94" t="inlineStr">
        <is>
          <t>nyu</t>
        </is>
      </c>
      <c r="S94" t="inlineStr">
        <is>
          <t>Scholars' Facsimiles &amp; Reprints, 0161-7729 ; v. 419</t>
        </is>
      </c>
      <c r="T94" t="inlineStr">
        <is>
          <t xml:space="preserve">PR </t>
        </is>
      </c>
      <c r="U94" t="n">
        <v>1</v>
      </c>
      <c r="V94" t="n">
        <v>1</v>
      </c>
      <c r="W94" t="inlineStr">
        <is>
          <t>2003-10-15</t>
        </is>
      </c>
      <c r="X94" t="inlineStr">
        <is>
          <t>2003-10-15</t>
        </is>
      </c>
      <c r="Y94" t="inlineStr">
        <is>
          <t>2003-10-15</t>
        </is>
      </c>
      <c r="Z94" t="inlineStr">
        <is>
          <t>2003-10-15</t>
        </is>
      </c>
      <c r="AA94" t="n">
        <v>64</v>
      </c>
      <c r="AB94" t="n">
        <v>54</v>
      </c>
      <c r="AC94" t="n">
        <v>58</v>
      </c>
      <c r="AD94" t="n">
        <v>2</v>
      </c>
      <c r="AE94" t="n">
        <v>2</v>
      </c>
      <c r="AF94" t="n">
        <v>3</v>
      </c>
      <c r="AG94" t="n">
        <v>3</v>
      </c>
      <c r="AH94" t="n">
        <v>0</v>
      </c>
      <c r="AI94" t="n">
        <v>0</v>
      </c>
      <c r="AJ94" t="n">
        <v>0</v>
      </c>
      <c r="AK94" t="n">
        <v>0</v>
      </c>
      <c r="AL94" t="n">
        <v>2</v>
      </c>
      <c r="AM94" t="n">
        <v>2</v>
      </c>
      <c r="AN94" t="n">
        <v>1</v>
      </c>
      <c r="AO94" t="n">
        <v>1</v>
      </c>
      <c r="AP94" t="n">
        <v>0</v>
      </c>
      <c r="AQ94" t="n">
        <v>0</v>
      </c>
      <c r="AR94" t="inlineStr">
        <is>
          <t>No</t>
        </is>
      </c>
      <c r="AS94" t="inlineStr">
        <is>
          <t>Yes</t>
        </is>
      </c>
      <c r="AT94">
        <f>HYPERLINK("http://catalog.hathitrust.org/Record/000885383","HathiTrust Record")</f>
        <v/>
      </c>
      <c r="AU94">
        <f>HYPERLINK("https://creighton-primo.hosted.exlibrisgroup.com/primo-explore/search?tab=default_tab&amp;search_scope=EVERYTHING&amp;vid=01CRU&amp;lang=en_US&amp;offset=0&amp;query=any,contains,991004162369702656","Catalog Record")</f>
        <v/>
      </c>
      <c r="AV94">
        <f>HYPERLINK("http://www.worldcat.org/oclc/14188000","WorldCat Record")</f>
        <v/>
      </c>
      <c r="AW94" t="inlineStr">
        <is>
          <t>7769299:eng</t>
        </is>
      </c>
      <c r="AX94" t="inlineStr">
        <is>
          <t>14188000</t>
        </is>
      </c>
      <c r="AY94" t="inlineStr">
        <is>
          <t>991004162369702656</t>
        </is>
      </c>
      <c r="AZ94" t="inlineStr">
        <is>
          <t>991004162369702656</t>
        </is>
      </c>
      <c r="BA94" t="inlineStr">
        <is>
          <t>2259773510002656</t>
        </is>
      </c>
      <c r="BB94" t="inlineStr">
        <is>
          <t>BOOK</t>
        </is>
      </c>
      <c r="BD94" t="inlineStr">
        <is>
          <t>9780820114194</t>
        </is>
      </c>
      <c r="BE94" t="inlineStr">
        <is>
          <t>32285004788591</t>
        </is>
      </c>
      <c r="BF94" t="inlineStr">
        <is>
          <t>893699929</t>
        </is>
      </c>
    </row>
    <row r="95">
      <c r="A95" t="inlineStr">
        <is>
          <t>No</t>
        </is>
      </c>
      <c r="B95" t="inlineStr">
        <is>
          <t>CURAL</t>
        </is>
      </c>
      <c r="C95" t="inlineStr">
        <is>
          <t>SHELVES</t>
        </is>
      </c>
      <c r="D95" t="inlineStr">
        <is>
          <t>PR119 .D6 1988</t>
        </is>
      </c>
      <c r="E95" t="inlineStr">
        <is>
          <t>0                      PR 0119000D  6           1988</t>
        </is>
      </c>
      <c r="F95" t="inlineStr">
        <is>
          <t>Irish women writers : marginalised by whom? / Katie Donovan.</t>
        </is>
      </c>
      <c r="H95" t="inlineStr">
        <is>
          <t>No</t>
        </is>
      </c>
      <c r="I95" t="inlineStr">
        <is>
          <t>1</t>
        </is>
      </c>
      <c r="J95" t="inlineStr">
        <is>
          <t>No</t>
        </is>
      </c>
      <c r="K95" t="inlineStr">
        <is>
          <t>No</t>
        </is>
      </c>
      <c r="L95" t="inlineStr">
        <is>
          <t>0</t>
        </is>
      </c>
      <c r="M95" t="inlineStr">
        <is>
          <t>Donovan, Katie, 1962-</t>
        </is>
      </c>
      <c r="N95" t="inlineStr">
        <is>
          <t>Dublin, Ireland : Raven Arts ; Chester Springs, PA : U.S. dist. Dufour Editions, 1988.</t>
        </is>
      </c>
      <c r="O95" t="inlineStr">
        <is>
          <t>1988</t>
        </is>
      </c>
      <c r="Q95" t="inlineStr">
        <is>
          <t>eng</t>
        </is>
      </c>
      <c r="R95" t="inlineStr">
        <is>
          <t xml:space="preserve">ie </t>
        </is>
      </c>
      <c r="S95" t="inlineStr">
        <is>
          <t>Letters from the new island ; v. 1, no. 5</t>
        </is>
      </c>
      <c r="T95" t="inlineStr">
        <is>
          <t xml:space="preserve">PR </t>
        </is>
      </c>
      <c r="U95" t="n">
        <v>12</v>
      </c>
      <c r="V95" t="n">
        <v>12</v>
      </c>
      <c r="W95" t="inlineStr">
        <is>
          <t>2004-03-10</t>
        </is>
      </c>
      <c r="X95" t="inlineStr">
        <is>
          <t>2004-03-10</t>
        </is>
      </c>
      <c r="Y95" t="inlineStr">
        <is>
          <t>1990-03-26</t>
        </is>
      </c>
      <c r="Z95" t="inlineStr">
        <is>
          <t>1990-03-26</t>
        </is>
      </c>
      <c r="AA95" t="n">
        <v>101</v>
      </c>
      <c r="AB95" t="n">
        <v>69</v>
      </c>
      <c r="AC95" t="n">
        <v>69</v>
      </c>
      <c r="AD95" t="n">
        <v>2</v>
      </c>
      <c r="AE95" t="n">
        <v>2</v>
      </c>
      <c r="AF95" t="n">
        <v>7</v>
      </c>
      <c r="AG95" t="n">
        <v>7</v>
      </c>
      <c r="AH95" t="n">
        <v>1</v>
      </c>
      <c r="AI95" t="n">
        <v>1</v>
      </c>
      <c r="AJ95" t="n">
        <v>4</v>
      </c>
      <c r="AK95" t="n">
        <v>4</v>
      </c>
      <c r="AL95" t="n">
        <v>4</v>
      </c>
      <c r="AM95" t="n">
        <v>4</v>
      </c>
      <c r="AN95" t="n">
        <v>1</v>
      </c>
      <c r="AO95" t="n">
        <v>1</v>
      </c>
      <c r="AP95" t="n">
        <v>0</v>
      </c>
      <c r="AQ95" t="n">
        <v>0</v>
      </c>
      <c r="AR95" t="inlineStr">
        <is>
          <t>No</t>
        </is>
      </c>
      <c r="AS95" t="inlineStr">
        <is>
          <t>No</t>
        </is>
      </c>
      <c r="AU95">
        <f>HYPERLINK("https://creighton-primo.hosted.exlibrisgroup.com/primo-explore/search?tab=default_tab&amp;search_scope=EVERYTHING&amp;vid=01CRU&amp;lang=en_US&amp;offset=0&amp;query=any,contains,991001379679702656","Catalog Record")</f>
        <v/>
      </c>
      <c r="AV95">
        <f>HYPERLINK("http://www.worldcat.org/oclc/18659221","WorldCat Record")</f>
        <v/>
      </c>
      <c r="AW95" t="inlineStr">
        <is>
          <t>17446150:eng</t>
        </is>
      </c>
      <c r="AX95" t="inlineStr">
        <is>
          <t>18659221</t>
        </is>
      </c>
      <c r="AY95" t="inlineStr">
        <is>
          <t>991001379679702656</t>
        </is>
      </c>
      <c r="AZ95" t="inlineStr">
        <is>
          <t>991001379679702656</t>
        </is>
      </c>
      <c r="BA95" t="inlineStr">
        <is>
          <t>2258652210002656</t>
        </is>
      </c>
      <c r="BB95" t="inlineStr">
        <is>
          <t>BOOK</t>
        </is>
      </c>
      <c r="BD95" t="inlineStr">
        <is>
          <t>9781851860463</t>
        </is>
      </c>
      <c r="BE95" t="inlineStr">
        <is>
          <t>32285000082320</t>
        </is>
      </c>
      <c r="BF95" t="inlineStr">
        <is>
          <t>893596428</t>
        </is>
      </c>
    </row>
    <row r="96">
      <c r="A96" t="inlineStr">
        <is>
          <t>No</t>
        </is>
      </c>
      <c r="B96" t="inlineStr">
        <is>
          <t>CURAL</t>
        </is>
      </c>
      <c r="C96" t="inlineStr">
        <is>
          <t>SHELVES</t>
        </is>
      </c>
      <c r="D96" t="inlineStr">
        <is>
          <t>PR119 .O5 1983</t>
        </is>
      </c>
      <c r="E96" t="inlineStr">
        <is>
          <t>0                      PR 0119000O  5           1983</t>
        </is>
      </c>
      <c r="F96" t="inlineStr">
        <is>
          <t>On gender and writing / edited by Michelene Wandor.</t>
        </is>
      </c>
      <c r="H96" t="inlineStr">
        <is>
          <t>No</t>
        </is>
      </c>
      <c r="I96" t="inlineStr">
        <is>
          <t>1</t>
        </is>
      </c>
      <c r="J96" t="inlineStr">
        <is>
          <t>No</t>
        </is>
      </c>
      <c r="K96" t="inlineStr">
        <is>
          <t>No</t>
        </is>
      </c>
      <c r="L96" t="inlineStr">
        <is>
          <t>0</t>
        </is>
      </c>
      <c r="N96" t="inlineStr">
        <is>
          <t>London ; Boston : Pandora Press, 1983.</t>
        </is>
      </c>
      <c r="O96" t="inlineStr">
        <is>
          <t>1983</t>
        </is>
      </c>
      <c r="Q96" t="inlineStr">
        <is>
          <t>eng</t>
        </is>
      </c>
      <c r="R96" t="inlineStr">
        <is>
          <t>enk</t>
        </is>
      </c>
      <c r="T96" t="inlineStr">
        <is>
          <t xml:space="preserve">PR </t>
        </is>
      </c>
      <c r="U96" t="n">
        <v>8</v>
      </c>
      <c r="V96" t="n">
        <v>8</v>
      </c>
      <c r="W96" t="inlineStr">
        <is>
          <t>2004-03-10</t>
        </is>
      </c>
      <c r="X96" t="inlineStr">
        <is>
          <t>2004-03-10</t>
        </is>
      </c>
      <c r="Y96" t="inlineStr">
        <is>
          <t>1991-08-27</t>
        </is>
      </c>
      <c r="Z96" t="inlineStr">
        <is>
          <t>1991-08-27</t>
        </is>
      </c>
      <c r="AA96" t="n">
        <v>518</v>
      </c>
      <c r="AB96" t="n">
        <v>382</v>
      </c>
      <c r="AC96" t="n">
        <v>383</v>
      </c>
      <c r="AD96" t="n">
        <v>4</v>
      </c>
      <c r="AE96" t="n">
        <v>4</v>
      </c>
      <c r="AF96" t="n">
        <v>16</v>
      </c>
      <c r="AG96" t="n">
        <v>16</v>
      </c>
      <c r="AH96" t="n">
        <v>6</v>
      </c>
      <c r="AI96" t="n">
        <v>6</v>
      </c>
      <c r="AJ96" t="n">
        <v>3</v>
      </c>
      <c r="AK96" t="n">
        <v>3</v>
      </c>
      <c r="AL96" t="n">
        <v>7</v>
      </c>
      <c r="AM96" t="n">
        <v>7</v>
      </c>
      <c r="AN96" t="n">
        <v>3</v>
      </c>
      <c r="AO96" t="n">
        <v>3</v>
      </c>
      <c r="AP96" t="n">
        <v>0</v>
      </c>
      <c r="AQ96" t="n">
        <v>0</v>
      </c>
      <c r="AR96" t="inlineStr">
        <is>
          <t>No</t>
        </is>
      </c>
      <c r="AS96" t="inlineStr">
        <is>
          <t>Yes</t>
        </is>
      </c>
      <c r="AT96">
        <f>HYPERLINK("http://catalog.hathitrust.org/Record/000205430","HathiTrust Record")</f>
        <v/>
      </c>
      <c r="AU96">
        <f>HYPERLINK("https://creighton-primo.hosted.exlibrisgroup.com/primo-explore/search?tab=default_tab&amp;search_scope=EVERYTHING&amp;vid=01CRU&amp;lang=en_US&amp;offset=0&amp;query=any,contains,991000205569702656","Catalog Record")</f>
        <v/>
      </c>
      <c r="AV96">
        <f>HYPERLINK("http://www.worldcat.org/oclc/9489021","WorldCat Record")</f>
        <v/>
      </c>
      <c r="AW96" t="inlineStr">
        <is>
          <t>42863834:eng</t>
        </is>
      </c>
      <c r="AX96" t="inlineStr">
        <is>
          <t>9489021</t>
        </is>
      </c>
      <c r="AY96" t="inlineStr">
        <is>
          <t>991000205569702656</t>
        </is>
      </c>
      <c r="AZ96" t="inlineStr">
        <is>
          <t>991000205569702656</t>
        </is>
      </c>
      <c r="BA96" t="inlineStr">
        <is>
          <t>2256382790002656</t>
        </is>
      </c>
      <c r="BB96" t="inlineStr">
        <is>
          <t>BOOK</t>
        </is>
      </c>
      <c r="BD96" t="inlineStr">
        <is>
          <t>9780863580215</t>
        </is>
      </c>
      <c r="BE96" t="inlineStr">
        <is>
          <t>32285000699727</t>
        </is>
      </c>
      <c r="BF96" t="inlineStr">
        <is>
          <t>893701925</t>
        </is>
      </c>
    </row>
    <row r="97">
      <c r="A97" t="inlineStr">
        <is>
          <t>No</t>
        </is>
      </c>
      <c r="B97" t="inlineStr">
        <is>
          <t>CURAL</t>
        </is>
      </c>
      <c r="C97" t="inlineStr">
        <is>
          <t>SHELVES</t>
        </is>
      </c>
      <c r="D97" t="inlineStr">
        <is>
          <t>PR119 .R4</t>
        </is>
      </c>
      <c r="E97" t="inlineStr">
        <is>
          <t>0                      PR 0119000R  4</t>
        </is>
      </c>
      <c r="F97" t="inlineStr">
        <is>
          <t>Love affairs of literary men / by Myrtle Reed.</t>
        </is>
      </c>
      <c r="H97" t="inlineStr">
        <is>
          <t>No</t>
        </is>
      </c>
      <c r="I97" t="inlineStr">
        <is>
          <t>1</t>
        </is>
      </c>
      <c r="J97" t="inlineStr">
        <is>
          <t>No</t>
        </is>
      </c>
      <c r="K97" t="inlineStr">
        <is>
          <t>No</t>
        </is>
      </c>
      <c r="L97" t="inlineStr">
        <is>
          <t>0</t>
        </is>
      </c>
      <c r="M97" t="inlineStr">
        <is>
          <t>Reed, Myrtle, 1874-1911.</t>
        </is>
      </c>
      <c r="N97" t="inlineStr">
        <is>
          <t>New York ; London : G.P. Putnam's Sons, 1907.</t>
        </is>
      </c>
      <c r="O97" t="inlineStr">
        <is>
          <t>1907</t>
        </is>
      </c>
      <c r="Q97" t="inlineStr">
        <is>
          <t>eng</t>
        </is>
      </c>
      <c r="R97" t="inlineStr">
        <is>
          <t>nyu</t>
        </is>
      </c>
      <c r="T97" t="inlineStr">
        <is>
          <t xml:space="preserve">PR </t>
        </is>
      </c>
      <c r="U97" t="n">
        <v>1</v>
      </c>
      <c r="V97" t="n">
        <v>1</v>
      </c>
      <c r="W97" t="inlineStr">
        <is>
          <t>2000-11-15</t>
        </is>
      </c>
      <c r="X97" t="inlineStr">
        <is>
          <t>2000-11-15</t>
        </is>
      </c>
      <c r="Y97" t="inlineStr">
        <is>
          <t>1994-08-22</t>
        </is>
      </c>
      <c r="Z97" t="inlineStr">
        <is>
          <t>1994-08-22</t>
        </is>
      </c>
      <c r="AA97" t="n">
        <v>177</v>
      </c>
      <c r="AB97" t="n">
        <v>156</v>
      </c>
      <c r="AC97" t="n">
        <v>169</v>
      </c>
      <c r="AD97" t="n">
        <v>1</v>
      </c>
      <c r="AE97" t="n">
        <v>1</v>
      </c>
      <c r="AF97" t="n">
        <v>2</v>
      </c>
      <c r="AG97" t="n">
        <v>2</v>
      </c>
      <c r="AH97" t="n">
        <v>1</v>
      </c>
      <c r="AI97" t="n">
        <v>1</v>
      </c>
      <c r="AJ97" t="n">
        <v>0</v>
      </c>
      <c r="AK97" t="n">
        <v>0</v>
      </c>
      <c r="AL97" t="n">
        <v>1</v>
      </c>
      <c r="AM97" t="n">
        <v>1</v>
      </c>
      <c r="AN97" t="n">
        <v>0</v>
      </c>
      <c r="AO97" t="n">
        <v>0</v>
      </c>
      <c r="AP97" t="n">
        <v>0</v>
      </c>
      <c r="AQ97" t="n">
        <v>0</v>
      </c>
      <c r="AR97" t="inlineStr">
        <is>
          <t>Yes</t>
        </is>
      </c>
      <c r="AS97" t="inlineStr">
        <is>
          <t>No</t>
        </is>
      </c>
      <c r="AT97">
        <f>HYPERLINK("http://catalog.hathitrust.org/Record/000244356","HathiTrust Record")</f>
        <v/>
      </c>
      <c r="AU97">
        <f>HYPERLINK("https://creighton-primo.hosted.exlibrisgroup.com/primo-explore/search?tab=default_tab&amp;search_scope=EVERYTHING&amp;vid=01CRU&amp;lang=en_US&amp;offset=0&amp;query=any,contains,991003899979702656","Catalog Record")</f>
        <v/>
      </c>
      <c r="AV97">
        <f>HYPERLINK("http://www.worldcat.org/oclc/1820528","WorldCat Record")</f>
        <v/>
      </c>
      <c r="AW97" t="inlineStr">
        <is>
          <t>2651884:eng</t>
        </is>
      </c>
      <c r="AX97" t="inlineStr">
        <is>
          <t>1820528</t>
        </is>
      </c>
      <c r="AY97" t="inlineStr">
        <is>
          <t>991003899979702656</t>
        </is>
      </c>
      <c r="AZ97" t="inlineStr">
        <is>
          <t>991003899979702656</t>
        </is>
      </c>
      <c r="BA97" t="inlineStr">
        <is>
          <t>2256960720002656</t>
        </is>
      </c>
      <c r="BB97" t="inlineStr">
        <is>
          <t>BOOK</t>
        </is>
      </c>
      <c r="BE97" t="inlineStr">
        <is>
          <t>32285001938231</t>
        </is>
      </c>
      <c r="BF97" t="inlineStr">
        <is>
          <t>893535700</t>
        </is>
      </c>
    </row>
    <row r="98">
      <c r="A98" t="inlineStr">
        <is>
          <t>No</t>
        </is>
      </c>
      <c r="B98" t="inlineStr">
        <is>
          <t>CURAL</t>
        </is>
      </c>
      <c r="C98" t="inlineStr">
        <is>
          <t>SHELVES</t>
        </is>
      </c>
      <c r="D98" t="inlineStr">
        <is>
          <t>PR119 .T63 1993</t>
        </is>
      </c>
      <c r="E98" t="inlineStr">
        <is>
          <t>0                      PR 0119000T  63          1993</t>
        </is>
      </c>
      <c r="F98" t="inlineStr">
        <is>
          <t>Gender, art, and death / Janet Todd.</t>
        </is>
      </c>
      <c r="H98" t="inlineStr">
        <is>
          <t>No</t>
        </is>
      </c>
      <c r="I98" t="inlineStr">
        <is>
          <t>1</t>
        </is>
      </c>
      <c r="J98" t="inlineStr">
        <is>
          <t>No</t>
        </is>
      </c>
      <c r="K98" t="inlineStr">
        <is>
          <t>No</t>
        </is>
      </c>
      <c r="L98" t="inlineStr">
        <is>
          <t>0</t>
        </is>
      </c>
      <c r="M98" t="inlineStr">
        <is>
          <t>Todd, Janet, 1942-</t>
        </is>
      </c>
      <c r="N98" t="inlineStr">
        <is>
          <t>Cambridge, UK : Polity Press, c1993.</t>
        </is>
      </c>
      <c r="O98" t="inlineStr">
        <is>
          <t>1993</t>
        </is>
      </c>
      <c r="Q98" t="inlineStr">
        <is>
          <t>eng</t>
        </is>
      </c>
      <c r="R98" t="inlineStr">
        <is>
          <t>enk</t>
        </is>
      </c>
      <c r="T98" t="inlineStr">
        <is>
          <t xml:space="preserve">PR </t>
        </is>
      </c>
      <c r="U98" t="n">
        <v>2</v>
      </c>
      <c r="V98" t="n">
        <v>2</v>
      </c>
      <c r="W98" t="inlineStr">
        <is>
          <t>2003-09-15</t>
        </is>
      </c>
      <c r="X98" t="inlineStr">
        <is>
          <t>2003-09-15</t>
        </is>
      </c>
      <c r="Y98" t="inlineStr">
        <is>
          <t>2003-09-15</t>
        </is>
      </c>
      <c r="Z98" t="inlineStr">
        <is>
          <t>2003-09-15</t>
        </is>
      </c>
      <c r="AA98" t="n">
        <v>155</v>
      </c>
      <c r="AB98" t="n">
        <v>37</v>
      </c>
      <c r="AC98" t="n">
        <v>267</v>
      </c>
      <c r="AD98" t="n">
        <v>1</v>
      </c>
      <c r="AE98" t="n">
        <v>3</v>
      </c>
      <c r="AF98" t="n">
        <v>1</v>
      </c>
      <c r="AG98" t="n">
        <v>11</v>
      </c>
      <c r="AH98" t="n">
        <v>1</v>
      </c>
      <c r="AI98" t="n">
        <v>3</v>
      </c>
      <c r="AJ98" t="n">
        <v>1</v>
      </c>
      <c r="AK98" t="n">
        <v>4</v>
      </c>
      <c r="AL98" t="n">
        <v>0</v>
      </c>
      <c r="AM98" t="n">
        <v>7</v>
      </c>
      <c r="AN98" t="n">
        <v>0</v>
      </c>
      <c r="AO98" t="n">
        <v>1</v>
      </c>
      <c r="AP98" t="n">
        <v>0</v>
      </c>
      <c r="AQ98" t="n">
        <v>0</v>
      </c>
      <c r="AR98" t="inlineStr">
        <is>
          <t>No</t>
        </is>
      </c>
      <c r="AS98" t="inlineStr">
        <is>
          <t>No</t>
        </is>
      </c>
      <c r="AU98">
        <f>HYPERLINK("https://creighton-primo.hosted.exlibrisgroup.com/primo-explore/search?tab=default_tab&amp;search_scope=EVERYTHING&amp;vid=01CRU&amp;lang=en_US&amp;offset=0&amp;query=any,contains,991004123129702656","Catalog Record")</f>
        <v/>
      </c>
      <c r="AV98">
        <f>HYPERLINK("http://www.worldcat.org/oclc/28875674","WorldCat Record")</f>
        <v/>
      </c>
      <c r="AW98" t="inlineStr">
        <is>
          <t>356732:eng</t>
        </is>
      </c>
      <c r="AX98" t="inlineStr">
        <is>
          <t>28875674</t>
        </is>
      </c>
      <c r="AY98" t="inlineStr">
        <is>
          <t>991004123129702656</t>
        </is>
      </c>
      <c r="AZ98" t="inlineStr">
        <is>
          <t>991004123129702656</t>
        </is>
      </c>
      <c r="BA98" t="inlineStr">
        <is>
          <t>2255560080002656</t>
        </is>
      </c>
      <c r="BB98" t="inlineStr">
        <is>
          <t>BOOK</t>
        </is>
      </c>
      <c r="BD98" t="inlineStr">
        <is>
          <t>9780745610542</t>
        </is>
      </c>
      <c r="BE98" t="inlineStr">
        <is>
          <t>32285004783089</t>
        </is>
      </c>
      <c r="BF98" t="inlineStr">
        <is>
          <t>893875710</t>
        </is>
      </c>
    </row>
    <row r="99">
      <c r="A99" t="inlineStr">
        <is>
          <t>No</t>
        </is>
      </c>
      <c r="B99" t="inlineStr">
        <is>
          <t>CURAL</t>
        </is>
      </c>
      <c r="C99" t="inlineStr">
        <is>
          <t>SHELVES</t>
        </is>
      </c>
      <c r="D99" t="inlineStr">
        <is>
          <t>PR1191 .G33</t>
        </is>
      </c>
      <c r="E99" t="inlineStr">
        <is>
          <t>0                      PR 1191000G  33</t>
        </is>
      </c>
      <c r="F99" t="inlineStr">
        <is>
          <t>A book of religious verse / edited by Helen Gardner. --</t>
        </is>
      </c>
      <c r="H99" t="inlineStr">
        <is>
          <t>No</t>
        </is>
      </c>
      <c r="I99" t="inlineStr">
        <is>
          <t>1</t>
        </is>
      </c>
      <c r="J99" t="inlineStr">
        <is>
          <t>No</t>
        </is>
      </c>
      <c r="K99" t="inlineStr">
        <is>
          <t>No</t>
        </is>
      </c>
      <c r="L99" t="inlineStr">
        <is>
          <t>0</t>
        </is>
      </c>
      <c r="M99" t="inlineStr">
        <is>
          <t>Gardner, Helen, 1908-1986 compiler.</t>
        </is>
      </c>
      <c r="N99" t="inlineStr">
        <is>
          <t>New York : Oxford University Press, 1972.</t>
        </is>
      </c>
      <c r="O99" t="inlineStr">
        <is>
          <t>1972</t>
        </is>
      </c>
      <c r="Q99" t="inlineStr">
        <is>
          <t>eng</t>
        </is>
      </c>
      <c r="R99" t="inlineStr">
        <is>
          <t>nyu</t>
        </is>
      </c>
      <c r="T99" t="inlineStr">
        <is>
          <t xml:space="preserve">PR </t>
        </is>
      </c>
      <c r="U99" t="n">
        <v>2</v>
      </c>
      <c r="V99" t="n">
        <v>2</v>
      </c>
      <c r="W99" t="inlineStr">
        <is>
          <t>2008-03-05</t>
        </is>
      </c>
      <c r="X99" t="inlineStr">
        <is>
          <t>2008-03-05</t>
        </is>
      </c>
      <c r="Y99" t="inlineStr">
        <is>
          <t>1991-09-18</t>
        </is>
      </c>
      <c r="Z99" t="inlineStr">
        <is>
          <t>1991-09-18</t>
        </is>
      </c>
      <c r="AA99" t="n">
        <v>952</v>
      </c>
      <c r="AB99" t="n">
        <v>933</v>
      </c>
      <c r="AC99" t="n">
        <v>941</v>
      </c>
      <c r="AD99" t="n">
        <v>10</v>
      </c>
      <c r="AE99" t="n">
        <v>10</v>
      </c>
      <c r="AF99" t="n">
        <v>32</v>
      </c>
      <c r="AG99" t="n">
        <v>32</v>
      </c>
      <c r="AH99" t="n">
        <v>9</v>
      </c>
      <c r="AI99" t="n">
        <v>9</v>
      </c>
      <c r="AJ99" t="n">
        <v>8</v>
      </c>
      <c r="AK99" t="n">
        <v>8</v>
      </c>
      <c r="AL99" t="n">
        <v>14</v>
      </c>
      <c r="AM99" t="n">
        <v>14</v>
      </c>
      <c r="AN99" t="n">
        <v>7</v>
      </c>
      <c r="AO99" t="n">
        <v>7</v>
      </c>
      <c r="AP99" t="n">
        <v>0</v>
      </c>
      <c r="AQ99" t="n">
        <v>0</v>
      </c>
      <c r="AR99" t="inlineStr">
        <is>
          <t>No</t>
        </is>
      </c>
      <c r="AS99" t="inlineStr">
        <is>
          <t>Yes</t>
        </is>
      </c>
      <c r="AT99">
        <f>HYPERLINK("http://catalog.hathitrust.org/Record/001397833","HathiTrust Record")</f>
        <v/>
      </c>
      <c r="AU99">
        <f>HYPERLINK("https://creighton-primo.hosted.exlibrisgroup.com/primo-explore/search?tab=default_tab&amp;search_scope=EVERYTHING&amp;vid=01CRU&amp;lang=en_US&amp;offset=0&amp;query=any,contains,991002951589702656","Catalog Record")</f>
        <v/>
      </c>
      <c r="AV99">
        <f>HYPERLINK("http://www.worldcat.org/oclc/539106","WorldCat Record")</f>
        <v/>
      </c>
      <c r="AW99" t="inlineStr">
        <is>
          <t>3859418568:eng</t>
        </is>
      </c>
      <c r="AX99" t="inlineStr">
        <is>
          <t>539106</t>
        </is>
      </c>
      <c r="AY99" t="inlineStr">
        <is>
          <t>991002951589702656</t>
        </is>
      </c>
      <c r="AZ99" t="inlineStr">
        <is>
          <t>991002951589702656</t>
        </is>
      </c>
      <c r="BA99" t="inlineStr">
        <is>
          <t>2264302390002656</t>
        </is>
      </c>
      <c r="BB99" t="inlineStr">
        <is>
          <t>BOOK</t>
        </is>
      </c>
      <c r="BD99" t="inlineStr">
        <is>
          <t>9780195196665</t>
        </is>
      </c>
      <c r="BE99" t="inlineStr">
        <is>
          <t>32285000759612</t>
        </is>
      </c>
      <c r="BF99" t="inlineStr">
        <is>
          <t>893710891</t>
        </is>
      </c>
    </row>
    <row r="100">
      <c r="A100" t="inlineStr">
        <is>
          <t>No</t>
        </is>
      </c>
      <c r="B100" t="inlineStr">
        <is>
          <t>CURAL</t>
        </is>
      </c>
      <c r="C100" t="inlineStr">
        <is>
          <t>SHELVES</t>
        </is>
      </c>
      <c r="D100" t="inlineStr">
        <is>
          <t>PR1191 .O77</t>
        </is>
      </c>
      <c r="E100" t="inlineStr">
        <is>
          <t>0                      PR 1191000O  77</t>
        </is>
      </c>
      <c r="F100" t="inlineStr">
        <is>
          <t>The Oxford book of Christian verse / chosen and edited by Lord David Cecil.</t>
        </is>
      </c>
      <c r="H100" t="inlineStr">
        <is>
          <t>No</t>
        </is>
      </c>
      <c r="I100" t="inlineStr">
        <is>
          <t>1</t>
        </is>
      </c>
      <c r="J100" t="inlineStr">
        <is>
          <t>No</t>
        </is>
      </c>
      <c r="K100" t="inlineStr">
        <is>
          <t>No</t>
        </is>
      </c>
      <c r="L100" t="inlineStr">
        <is>
          <t>0</t>
        </is>
      </c>
      <c r="N100" t="inlineStr">
        <is>
          <t>Oxford : The Clarendon Press, 1951.</t>
        </is>
      </c>
      <c r="O100" t="inlineStr">
        <is>
          <t>1951</t>
        </is>
      </c>
      <c r="Q100" t="inlineStr">
        <is>
          <t>eng</t>
        </is>
      </c>
      <c r="R100" t="inlineStr">
        <is>
          <t>enk</t>
        </is>
      </c>
      <c r="T100" t="inlineStr">
        <is>
          <t xml:space="preserve">PR </t>
        </is>
      </c>
      <c r="U100" t="n">
        <v>2</v>
      </c>
      <c r="V100" t="n">
        <v>2</v>
      </c>
      <c r="W100" t="inlineStr">
        <is>
          <t>2003-06-27</t>
        </is>
      </c>
      <c r="X100" t="inlineStr">
        <is>
          <t>2003-06-27</t>
        </is>
      </c>
      <c r="Y100" t="inlineStr">
        <is>
          <t>1992-07-14</t>
        </is>
      </c>
      <c r="Z100" t="inlineStr">
        <is>
          <t>1992-07-14</t>
        </is>
      </c>
      <c r="AA100" t="n">
        <v>89</v>
      </c>
      <c r="AB100" t="n">
        <v>77</v>
      </c>
      <c r="AC100" t="n">
        <v>1251</v>
      </c>
      <c r="AD100" t="n">
        <v>1</v>
      </c>
      <c r="AE100" t="n">
        <v>13</v>
      </c>
      <c r="AF100" t="n">
        <v>3</v>
      </c>
      <c r="AG100" t="n">
        <v>37</v>
      </c>
      <c r="AH100" t="n">
        <v>2</v>
      </c>
      <c r="AI100" t="n">
        <v>13</v>
      </c>
      <c r="AJ100" t="n">
        <v>0</v>
      </c>
      <c r="AK100" t="n">
        <v>3</v>
      </c>
      <c r="AL100" t="n">
        <v>1</v>
      </c>
      <c r="AM100" t="n">
        <v>19</v>
      </c>
      <c r="AN100" t="n">
        <v>0</v>
      </c>
      <c r="AO100" t="n">
        <v>8</v>
      </c>
      <c r="AP100" t="n">
        <v>0</v>
      </c>
      <c r="AQ100" t="n">
        <v>0</v>
      </c>
      <c r="AR100" t="inlineStr">
        <is>
          <t>No</t>
        </is>
      </c>
      <c r="AS100" t="inlineStr">
        <is>
          <t>No</t>
        </is>
      </c>
      <c r="AU100">
        <f>HYPERLINK("https://creighton-primo.hosted.exlibrisgroup.com/primo-explore/search?tab=default_tab&amp;search_scope=EVERYTHING&amp;vid=01CRU&amp;lang=en_US&amp;offset=0&amp;query=any,contains,991000563529702656","Catalog Record")</f>
        <v/>
      </c>
      <c r="AV100">
        <f>HYPERLINK("http://www.worldcat.org/oclc/11606882","WorldCat Record")</f>
        <v/>
      </c>
      <c r="AW100" t="inlineStr">
        <is>
          <t>63131572:eng</t>
        </is>
      </c>
      <c r="AX100" t="inlineStr">
        <is>
          <t>11606882</t>
        </is>
      </c>
      <c r="AY100" t="inlineStr">
        <is>
          <t>991000563529702656</t>
        </is>
      </c>
      <c r="AZ100" t="inlineStr">
        <is>
          <t>991000563529702656</t>
        </is>
      </c>
      <c r="BA100" t="inlineStr">
        <is>
          <t>2269988480002656</t>
        </is>
      </c>
      <c r="BB100" t="inlineStr">
        <is>
          <t>BOOK</t>
        </is>
      </c>
      <c r="BE100" t="inlineStr">
        <is>
          <t>32285001151595</t>
        </is>
      </c>
      <c r="BF100" t="inlineStr">
        <is>
          <t>893890814</t>
        </is>
      </c>
    </row>
    <row r="101">
      <c r="A101" t="inlineStr">
        <is>
          <t>No</t>
        </is>
      </c>
      <c r="B101" t="inlineStr">
        <is>
          <t>CURAL</t>
        </is>
      </c>
      <c r="C101" t="inlineStr">
        <is>
          <t>SHELVES</t>
        </is>
      </c>
      <c r="D101" t="inlineStr">
        <is>
          <t>PR1195.C2 G7 1977</t>
        </is>
      </c>
      <c r="E101" t="inlineStr">
        <is>
          <t>0                      PR 1195000C  2                  G  7           1977</t>
        </is>
      </c>
      <c r="F101" t="inlineStr">
        <is>
          <t>The early English carols / edited by Richard Leighton Greene. --</t>
        </is>
      </c>
      <c r="H101" t="inlineStr">
        <is>
          <t>No</t>
        </is>
      </c>
      <c r="I101" t="inlineStr">
        <is>
          <t>1</t>
        </is>
      </c>
      <c r="J101" t="inlineStr">
        <is>
          <t>No</t>
        </is>
      </c>
      <c r="K101" t="inlineStr">
        <is>
          <t>No</t>
        </is>
      </c>
      <c r="L101" t="inlineStr">
        <is>
          <t>0</t>
        </is>
      </c>
      <c r="M101" t="inlineStr">
        <is>
          <t>Greene, Richard Leighton editor.</t>
        </is>
      </c>
      <c r="N101" t="inlineStr">
        <is>
          <t>Oxford : Clarendon Press, 1977.</t>
        </is>
      </c>
      <c r="O101" t="inlineStr">
        <is>
          <t>1977</t>
        </is>
      </c>
      <c r="P101" t="inlineStr">
        <is>
          <t>2d. ed., rev. and enl. --</t>
        </is>
      </c>
      <c r="Q101" t="inlineStr">
        <is>
          <t>eng</t>
        </is>
      </c>
      <c r="R101" t="inlineStr">
        <is>
          <t>enk</t>
        </is>
      </c>
      <c r="T101" t="inlineStr">
        <is>
          <t xml:space="preserve">PR </t>
        </is>
      </c>
      <c r="U101" t="n">
        <v>1</v>
      </c>
      <c r="V101" t="n">
        <v>1</v>
      </c>
      <c r="W101" t="inlineStr">
        <is>
          <t>2003-04-13</t>
        </is>
      </c>
      <c r="X101" t="inlineStr">
        <is>
          <t>2003-04-13</t>
        </is>
      </c>
      <c r="Y101" t="inlineStr">
        <is>
          <t>1991-09-18</t>
        </is>
      </c>
      <c r="Z101" t="inlineStr">
        <is>
          <t>1991-09-18</t>
        </is>
      </c>
      <c r="AA101" t="n">
        <v>606</v>
      </c>
      <c r="AB101" t="n">
        <v>444</v>
      </c>
      <c r="AC101" t="n">
        <v>662</v>
      </c>
      <c r="AD101" t="n">
        <v>4</v>
      </c>
      <c r="AE101" t="n">
        <v>5</v>
      </c>
      <c r="AF101" t="n">
        <v>21</v>
      </c>
      <c r="AG101" t="n">
        <v>34</v>
      </c>
      <c r="AH101" t="n">
        <v>6</v>
      </c>
      <c r="AI101" t="n">
        <v>11</v>
      </c>
      <c r="AJ101" t="n">
        <v>5</v>
      </c>
      <c r="AK101" t="n">
        <v>7</v>
      </c>
      <c r="AL101" t="n">
        <v>12</v>
      </c>
      <c r="AM101" t="n">
        <v>20</v>
      </c>
      <c r="AN101" t="n">
        <v>3</v>
      </c>
      <c r="AO101" t="n">
        <v>4</v>
      </c>
      <c r="AP101" t="n">
        <v>0</v>
      </c>
      <c r="AQ101" t="n">
        <v>0</v>
      </c>
      <c r="AR101" t="inlineStr">
        <is>
          <t>No</t>
        </is>
      </c>
      <c r="AS101" t="inlineStr">
        <is>
          <t>No</t>
        </is>
      </c>
      <c r="AU101">
        <f>HYPERLINK("https://creighton-primo.hosted.exlibrisgroup.com/primo-explore/search?tab=default_tab&amp;search_scope=EVERYTHING&amp;vid=01CRU&amp;lang=en_US&amp;offset=0&amp;query=any,contains,991004273049702656","Catalog Record")</f>
        <v/>
      </c>
      <c r="AV101">
        <f>HYPERLINK("http://www.worldcat.org/oclc/2884049","WorldCat Record")</f>
        <v/>
      </c>
      <c r="AW101" t="inlineStr">
        <is>
          <t>1271992:eng</t>
        </is>
      </c>
      <c r="AX101" t="inlineStr">
        <is>
          <t>2884049</t>
        </is>
      </c>
      <c r="AY101" t="inlineStr">
        <is>
          <t>991004273049702656</t>
        </is>
      </c>
      <c r="AZ101" t="inlineStr">
        <is>
          <t>991004273049702656</t>
        </is>
      </c>
      <c r="BA101" t="inlineStr">
        <is>
          <t>2255110350002656</t>
        </is>
      </c>
      <c r="BB101" t="inlineStr">
        <is>
          <t>BOOK</t>
        </is>
      </c>
      <c r="BD101" t="inlineStr">
        <is>
          <t>9780198127154</t>
        </is>
      </c>
      <c r="BE101" t="inlineStr">
        <is>
          <t>32285000759620</t>
        </is>
      </c>
      <c r="BF101" t="inlineStr">
        <is>
          <t>893442416</t>
        </is>
      </c>
    </row>
    <row r="102">
      <c r="A102" t="inlineStr">
        <is>
          <t>No</t>
        </is>
      </c>
      <c r="B102" t="inlineStr">
        <is>
          <t>CURAL</t>
        </is>
      </c>
      <c r="C102" t="inlineStr">
        <is>
          <t>SHELVES</t>
        </is>
      </c>
      <c r="D102" t="inlineStr">
        <is>
          <t>PR1195.C2 G73</t>
        </is>
      </c>
      <c r="E102" t="inlineStr">
        <is>
          <t>0                      PR 1195000C  2                  G  73</t>
        </is>
      </c>
      <c r="F102" t="inlineStr">
        <is>
          <t>A selection of English carols.</t>
        </is>
      </c>
      <c r="H102" t="inlineStr">
        <is>
          <t>No</t>
        </is>
      </c>
      <c r="I102" t="inlineStr">
        <is>
          <t>1</t>
        </is>
      </c>
      <c r="J102" t="inlineStr">
        <is>
          <t>No</t>
        </is>
      </c>
      <c r="K102" t="inlineStr">
        <is>
          <t>No</t>
        </is>
      </c>
      <c r="L102" t="inlineStr">
        <is>
          <t>0</t>
        </is>
      </c>
      <c r="M102" t="inlineStr">
        <is>
          <t>Greene, Richard Leighton editor.</t>
        </is>
      </c>
      <c r="N102" t="inlineStr">
        <is>
          <t>Oxford, Clarendon Press, 1962.</t>
        </is>
      </c>
      <c r="O102" t="inlineStr">
        <is>
          <t>1962</t>
        </is>
      </c>
      <c r="Q102" t="inlineStr">
        <is>
          <t>eng</t>
        </is>
      </c>
      <c r="R102" t="inlineStr">
        <is>
          <t>enk</t>
        </is>
      </c>
      <c r="S102" t="inlineStr">
        <is>
          <t>Clarendon medieval and Tudor series</t>
        </is>
      </c>
      <c r="T102" t="inlineStr">
        <is>
          <t xml:space="preserve">PR </t>
        </is>
      </c>
      <c r="U102" t="n">
        <v>1</v>
      </c>
      <c r="V102" t="n">
        <v>1</v>
      </c>
      <c r="W102" t="inlineStr">
        <is>
          <t>2003-04-13</t>
        </is>
      </c>
      <c r="X102" t="inlineStr">
        <is>
          <t>2003-04-13</t>
        </is>
      </c>
      <c r="Y102" t="inlineStr">
        <is>
          <t>1997-07-28</t>
        </is>
      </c>
      <c r="Z102" t="inlineStr">
        <is>
          <t>1997-07-28</t>
        </is>
      </c>
      <c r="AA102" t="n">
        <v>634</v>
      </c>
      <c r="AB102" t="n">
        <v>486</v>
      </c>
      <c r="AC102" t="n">
        <v>544</v>
      </c>
      <c r="AD102" t="n">
        <v>4</v>
      </c>
      <c r="AE102" t="n">
        <v>4</v>
      </c>
      <c r="AF102" t="n">
        <v>27</v>
      </c>
      <c r="AG102" t="n">
        <v>30</v>
      </c>
      <c r="AH102" t="n">
        <v>9</v>
      </c>
      <c r="AI102" t="n">
        <v>11</v>
      </c>
      <c r="AJ102" t="n">
        <v>7</v>
      </c>
      <c r="AK102" t="n">
        <v>8</v>
      </c>
      <c r="AL102" t="n">
        <v>15</v>
      </c>
      <c r="AM102" t="n">
        <v>17</v>
      </c>
      <c r="AN102" t="n">
        <v>3</v>
      </c>
      <c r="AO102" t="n">
        <v>3</v>
      </c>
      <c r="AP102" t="n">
        <v>0</v>
      </c>
      <c r="AQ102" t="n">
        <v>0</v>
      </c>
      <c r="AR102" t="inlineStr">
        <is>
          <t>No</t>
        </is>
      </c>
      <c r="AS102" t="inlineStr">
        <is>
          <t>Yes</t>
        </is>
      </c>
      <c r="AT102">
        <f>HYPERLINK("http://catalog.hathitrust.org/Record/001111916","HathiTrust Record")</f>
        <v/>
      </c>
      <c r="AU102">
        <f>HYPERLINK("https://creighton-primo.hosted.exlibrisgroup.com/primo-explore/search?tab=default_tab&amp;search_scope=EVERYTHING&amp;vid=01CRU&amp;lang=en_US&amp;offset=0&amp;query=any,contains,991002451569702656","Catalog Record")</f>
        <v/>
      </c>
      <c r="AV102">
        <f>HYPERLINK("http://www.worldcat.org/oclc/352891","WorldCat Record")</f>
        <v/>
      </c>
      <c r="AW102" t="inlineStr">
        <is>
          <t>444802:eng</t>
        </is>
      </c>
      <c r="AX102" t="inlineStr">
        <is>
          <t>352891</t>
        </is>
      </c>
      <c r="AY102" t="inlineStr">
        <is>
          <t>991002451569702656</t>
        </is>
      </c>
      <c r="AZ102" t="inlineStr">
        <is>
          <t>991002451569702656</t>
        </is>
      </c>
      <c r="BA102" t="inlineStr">
        <is>
          <t>2267788010002656</t>
        </is>
      </c>
      <c r="BB102" t="inlineStr">
        <is>
          <t>BOOK</t>
        </is>
      </c>
      <c r="BE102" t="inlineStr">
        <is>
          <t>32285002964046</t>
        </is>
      </c>
      <c r="BF102" t="inlineStr">
        <is>
          <t>893721472</t>
        </is>
      </c>
    </row>
    <row r="103">
      <c r="A103" t="inlineStr">
        <is>
          <t>No</t>
        </is>
      </c>
      <c r="B103" t="inlineStr">
        <is>
          <t>CURAL</t>
        </is>
      </c>
      <c r="C103" t="inlineStr">
        <is>
          <t>SHELVES</t>
        </is>
      </c>
      <c r="D103" t="inlineStr">
        <is>
          <t>PR1195.C2 O8</t>
        </is>
      </c>
      <c r="E103" t="inlineStr">
        <is>
          <t>0                      PR 1195000C  2                  O  8</t>
        </is>
      </c>
      <c r="F103" t="inlineStr">
        <is>
          <t>The Oxford book of carols, by Percy Dearmer, R. Vaughan Williams, Martin Shaw.</t>
        </is>
      </c>
      <c r="H103" t="inlineStr">
        <is>
          <t>No</t>
        </is>
      </c>
      <c r="I103" t="inlineStr">
        <is>
          <t>1</t>
        </is>
      </c>
      <c r="J103" t="inlineStr">
        <is>
          <t>No</t>
        </is>
      </c>
      <c r="K103" t="inlineStr">
        <is>
          <t>No</t>
        </is>
      </c>
      <c r="L103" t="inlineStr">
        <is>
          <t>0</t>
        </is>
      </c>
      <c r="N103" t="inlineStr">
        <is>
          <t>London, Oxford university press, H. Milford, 1928.</t>
        </is>
      </c>
      <c r="O103" t="inlineStr">
        <is>
          <t>1928</t>
        </is>
      </c>
      <c r="Q103" t="inlineStr">
        <is>
          <t>eng</t>
        </is>
      </c>
      <c r="R103" t="inlineStr">
        <is>
          <t>enk</t>
        </is>
      </c>
      <c r="T103" t="inlineStr">
        <is>
          <t xml:space="preserve">PR </t>
        </is>
      </c>
      <c r="U103" t="n">
        <v>1</v>
      </c>
      <c r="V103" t="n">
        <v>1</v>
      </c>
      <c r="W103" t="inlineStr">
        <is>
          <t>2003-04-13</t>
        </is>
      </c>
      <c r="X103" t="inlineStr">
        <is>
          <t>2003-04-13</t>
        </is>
      </c>
      <c r="Y103" t="inlineStr">
        <is>
          <t>1997-07-28</t>
        </is>
      </c>
      <c r="Z103" t="inlineStr">
        <is>
          <t>1997-07-28</t>
        </is>
      </c>
      <c r="AA103" t="n">
        <v>270</v>
      </c>
      <c r="AB103" t="n">
        <v>229</v>
      </c>
      <c r="AC103" t="n">
        <v>661</v>
      </c>
      <c r="AD103" t="n">
        <v>3</v>
      </c>
      <c r="AE103" t="n">
        <v>5</v>
      </c>
      <c r="AF103" t="n">
        <v>7</v>
      </c>
      <c r="AG103" t="n">
        <v>17</v>
      </c>
      <c r="AH103" t="n">
        <v>3</v>
      </c>
      <c r="AI103" t="n">
        <v>8</v>
      </c>
      <c r="AJ103" t="n">
        <v>1</v>
      </c>
      <c r="AK103" t="n">
        <v>3</v>
      </c>
      <c r="AL103" t="n">
        <v>2</v>
      </c>
      <c r="AM103" t="n">
        <v>6</v>
      </c>
      <c r="AN103" t="n">
        <v>2</v>
      </c>
      <c r="AO103" t="n">
        <v>4</v>
      </c>
      <c r="AP103" t="n">
        <v>0</v>
      </c>
      <c r="AQ103" t="n">
        <v>0</v>
      </c>
      <c r="AR103" t="inlineStr">
        <is>
          <t>No</t>
        </is>
      </c>
      <c r="AS103" t="inlineStr">
        <is>
          <t>Yes</t>
        </is>
      </c>
      <c r="AT103">
        <f>HYPERLINK("http://catalog.hathitrust.org/Record/001016908","HathiTrust Record")</f>
        <v/>
      </c>
      <c r="AU103">
        <f>HYPERLINK("https://creighton-primo.hosted.exlibrisgroup.com/primo-explore/search?tab=default_tab&amp;search_scope=EVERYTHING&amp;vid=01CRU&amp;lang=en_US&amp;offset=0&amp;query=any,contains,991004294119702656","Catalog Record")</f>
        <v/>
      </c>
      <c r="AV103">
        <f>HYPERLINK("http://www.worldcat.org/oclc/2959470","WorldCat Record")</f>
        <v/>
      </c>
      <c r="AW103" t="inlineStr">
        <is>
          <t>20109647:eng</t>
        </is>
      </c>
      <c r="AX103" t="inlineStr">
        <is>
          <t>2959470</t>
        </is>
      </c>
      <c r="AY103" t="inlineStr">
        <is>
          <t>991004294119702656</t>
        </is>
      </c>
      <c r="AZ103" t="inlineStr">
        <is>
          <t>991004294119702656</t>
        </is>
      </c>
      <c r="BA103" t="inlineStr">
        <is>
          <t>2265475010002656</t>
        </is>
      </c>
      <c r="BB103" t="inlineStr">
        <is>
          <t>BOOK</t>
        </is>
      </c>
      <c r="BE103" t="inlineStr">
        <is>
          <t>32285002964053</t>
        </is>
      </c>
      <c r="BF103" t="inlineStr">
        <is>
          <t>893337538</t>
        </is>
      </c>
    </row>
    <row r="104">
      <c r="A104" t="inlineStr">
        <is>
          <t>No</t>
        </is>
      </c>
      <c r="B104" t="inlineStr">
        <is>
          <t>CURAL</t>
        </is>
      </c>
      <c r="C104" t="inlineStr">
        <is>
          <t>SHELVES</t>
        </is>
      </c>
      <c r="D104" t="inlineStr">
        <is>
          <t>PR1195.C2 R5 1966</t>
        </is>
      </c>
      <c r="E104" t="inlineStr">
        <is>
          <t>0                      PR 1195000C  2                  R  5           1966</t>
        </is>
      </c>
      <c r="F104" t="inlineStr">
        <is>
          <t>Ancient English Christmas carols MCCCC to MDCC, collected &amp; arranged by Edith Rickert.</t>
        </is>
      </c>
      <c r="H104" t="inlineStr">
        <is>
          <t>No</t>
        </is>
      </c>
      <c r="I104" t="inlineStr">
        <is>
          <t>1</t>
        </is>
      </c>
      <c r="J104" t="inlineStr">
        <is>
          <t>No</t>
        </is>
      </c>
      <c r="K104" t="inlineStr">
        <is>
          <t>No</t>
        </is>
      </c>
      <c r="L104" t="inlineStr">
        <is>
          <t>0</t>
        </is>
      </c>
      <c r="M104" t="inlineStr">
        <is>
          <t>Rickert, Edith, 1871-1938 editor.</t>
        </is>
      </c>
      <c r="N104" t="inlineStr">
        <is>
          <t>New York, Cooper Square Publishers, 1966.</t>
        </is>
      </c>
      <c r="O104" t="inlineStr">
        <is>
          <t>1966</t>
        </is>
      </c>
      <c r="Q104" t="inlineStr">
        <is>
          <t>eng</t>
        </is>
      </c>
      <c r="R104" t="inlineStr">
        <is>
          <t>nyu</t>
        </is>
      </c>
      <c r="S104" t="inlineStr">
        <is>
          <t>The Medieval library</t>
        </is>
      </c>
      <c r="T104" t="inlineStr">
        <is>
          <t xml:space="preserve">PR </t>
        </is>
      </c>
      <c r="U104" t="n">
        <v>1</v>
      </c>
      <c r="V104" t="n">
        <v>1</v>
      </c>
      <c r="W104" t="inlineStr">
        <is>
          <t>2003-04-13</t>
        </is>
      </c>
      <c r="X104" t="inlineStr">
        <is>
          <t>2003-04-13</t>
        </is>
      </c>
      <c r="Y104" t="inlineStr">
        <is>
          <t>1997-07-28</t>
        </is>
      </c>
      <c r="Z104" t="inlineStr">
        <is>
          <t>1997-07-28</t>
        </is>
      </c>
      <c r="AA104" t="n">
        <v>478</v>
      </c>
      <c r="AB104" t="n">
        <v>432</v>
      </c>
      <c r="AC104" t="n">
        <v>664</v>
      </c>
      <c r="AD104" t="n">
        <v>7</v>
      </c>
      <c r="AE104" t="n">
        <v>8</v>
      </c>
      <c r="AF104" t="n">
        <v>15</v>
      </c>
      <c r="AG104" t="n">
        <v>29</v>
      </c>
      <c r="AH104" t="n">
        <v>3</v>
      </c>
      <c r="AI104" t="n">
        <v>7</v>
      </c>
      <c r="AJ104" t="n">
        <v>1</v>
      </c>
      <c r="AK104" t="n">
        <v>6</v>
      </c>
      <c r="AL104" t="n">
        <v>6</v>
      </c>
      <c r="AM104" t="n">
        <v>15</v>
      </c>
      <c r="AN104" t="n">
        <v>6</v>
      </c>
      <c r="AO104" t="n">
        <v>7</v>
      </c>
      <c r="AP104" t="n">
        <v>0</v>
      </c>
      <c r="AQ104" t="n">
        <v>0</v>
      </c>
      <c r="AR104" t="inlineStr">
        <is>
          <t>No</t>
        </is>
      </c>
      <c r="AS104" t="inlineStr">
        <is>
          <t>Yes</t>
        </is>
      </c>
      <c r="AT104">
        <f>HYPERLINK("http://catalog.hathitrust.org/Record/009913296","HathiTrust Record")</f>
        <v/>
      </c>
      <c r="AU104">
        <f>HYPERLINK("https://creighton-primo.hosted.exlibrisgroup.com/primo-explore/search?tab=default_tab&amp;search_scope=EVERYTHING&amp;vid=01CRU&amp;lang=en_US&amp;offset=0&amp;query=any,contains,991000996579702656","Catalog Record")</f>
        <v/>
      </c>
      <c r="AV104">
        <f>HYPERLINK("http://www.worldcat.org/oclc/171443","WorldCat Record")</f>
        <v/>
      </c>
      <c r="AW104" t="inlineStr">
        <is>
          <t>1297912:eng</t>
        </is>
      </c>
      <c r="AX104" t="inlineStr">
        <is>
          <t>171443</t>
        </is>
      </c>
      <c r="AY104" t="inlineStr">
        <is>
          <t>991000996579702656</t>
        </is>
      </c>
      <c r="AZ104" t="inlineStr">
        <is>
          <t>991000996579702656</t>
        </is>
      </c>
      <c r="BA104" t="inlineStr">
        <is>
          <t>2267263430002656</t>
        </is>
      </c>
      <c r="BB104" t="inlineStr">
        <is>
          <t>BOOK</t>
        </is>
      </c>
      <c r="BE104" t="inlineStr">
        <is>
          <t>32285002964061</t>
        </is>
      </c>
      <c r="BF104" t="inlineStr">
        <is>
          <t>893333963</t>
        </is>
      </c>
    </row>
    <row r="105">
      <c r="A105" t="inlineStr">
        <is>
          <t>No</t>
        </is>
      </c>
      <c r="B105" t="inlineStr">
        <is>
          <t>CURAL</t>
        </is>
      </c>
      <c r="C105" t="inlineStr">
        <is>
          <t>SHELVES</t>
        </is>
      </c>
      <c r="D105" t="inlineStr">
        <is>
          <t>PR1195.H5 F76 1993</t>
        </is>
      </c>
      <c r="E105" t="inlineStr">
        <is>
          <t>0                      PR 1195000H  5                  F  76          1993</t>
        </is>
      </c>
      <c r="F105" t="inlineStr">
        <is>
          <t>From the republic of conscience : an international anthology of poetry / edited by Kerry Flattley &amp; Chris Wallace-Crabbe.</t>
        </is>
      </c>
      <c r="H105" t="inlineStr">
        <is>
          <t>No</t>
        </is>
      </c>
      <c r="I105" t="inlineStr">
        <is>
          <t>1</t>
        </is>
      </c>
      <c r="J105" t="inlineStr">
        <is>
          <t>No</t>
        </is>
      </c>
      <c r="K105" t="inlineStr">
        <is>
          <t>No</t>
        </is>
      </c>
      <c r="L105" t="inlineStr">
        <is>
          <t>0</t>
        </is>
      </c>
      <c r="N105" t="inlineStr">
        <is>
          <t>New York : White Pine Press in association with Amnesty International, 1993.</t>
        </is>
      </c>
      <c r="O105" t="inlineStr">
        <is>
          <t>1993</t>
        </is>
      </c>
      <c r="Q105" t="inlineStr">
        <is>
          <t>eng</t>
        </is>
      </c>
      <c r="R105" t="inlineStr">
        <is>
          <t>nyu</t>
        </is>
      </c>
      <c r="T105" t="inlineStr">
        <is>
          <t xml:space="preserve">PR </t>
        </is>
      </c>
      <c r="U105" t="n">
        <v>2</v>
      </c>
      <c r="V105" t="n">
        <v>2</v>
      </c>
      <c r="W105" t="inlineStr">
        <is>
          <t>1997-09-15</t>
        </is>
      </c>
      <c r="X105" t="inlineStr">
        <is>
          <t>1997-09-15</t>
        </is>
      </c>
      <c r="Y105" t="inlineStr">
        <is>
          <t>1993-06-10</t>
        </is>
      </c>
      <c r="Z105" t="inlineStr">
        <is>
          <t>1993-06-10</t>
        </is>
      </c>
      <c r="AA105" t="n">
        <v>277</v>
      </c>
      <c r="AB105" t="n">
        <v>272</v>
      </c>
      <c r="AC105" t="n">
        <v>339</v>
      </c>
      <c r="AD105" t="n">
        <v>3</v>
      </c>
      <c r="AE105" t="n">
        <v>3</v>
      </c>
      <c r="AF105" t="n">
        <v>8</v>
      </c>
      <c r="AG105" t="n">
        <v>10</v>
      </c>
      <c r="AH105" t="n">
        <v>0</v>
      </c>
      <c r="AI105" t="n">
        <v>0</v>
      </c>
      <c r="AJ105" t="n">
        <v>3</v>
      </c>
      <c r="AK105" t="n">
        <v>4</v>
      </c>
      <c r="AL105" t="n">
        <v>4</v>
      </c>
      <c r="AM105" t="n">
        <v>6</v>
      </c>
      <c r="AN105" t="n">
        <v>2</v>
      </c>
      <c r="AO105" t="n">
        <v>2</v>
      </c>
      <c r="AP105" t="n">
        <v>0</v>
      </c>
      <c r="AQ105" t="n">
        <v>0</v>
      </c>
      <c r="AR105" t="inlineStr">
        <is>
          <t>No</t>
        </is>
      </c>
      <c r="AS105" t="inlineStr">
        <is>
          <t>Yes</t>
        </is>
      </c>
      <c r="AT105">
        <f>HYPERLINK("http://catalog.hathitrust.org/Record/002780354","HathiTrust Record")</f>
        <v/>
      </c>
      <c r="AU105">
        <f>HYPERLINK("https://creighton-primo.hosted.exlibrisgroup.com/primo-explore/search?tab=default_tab&amp;search_scope=EVERYTHING&amp;vid=01CRU&amp;lang=en_US&amp;offset=0&amp;query=any,contains,991002178839702656","Catalog Record")</f>
        <v/>
      </c>
      <c r="AV105">
        <f>HYPERLINK("http://www.worldcat.org/oclc/28049388","WorldCat Record")</f>
        <v/>
      </c>
      <c r="AW105" t="inlineStr">
        <is>
          <t>375586711:eng</t>
        </is>
      </c>
      <c r="AX105" t="inlineStr">
        <is>
          <t>28049388</t>
        </is>
      </c>
      <c r="AY105" t="inlineStr">
        <is>
          <t>991002178839702656</t>
        </is>
      </c>
      <c r="AZ105" t="inlineStr">
        <is>
          <t>991002178839702656</t>
        </is>
      </c>
      <c r="BA105" t="inlineStr">
        <is>
          <t>2271444290002656</t>
        </is>
      </c>
      <c r="BB105" t="inlineStr">
        <is>
          <t>BOOK</t>
        </is>
      </c>
      <c r="BD105" t="inlineStr">
        <is>
          <t>9781877727269</t>
        </is>
      </c>
      <c r="BE105" t="inlineStr">
        <is>
          <t>32285001694396</t>
        </is>
      </c>
      <c r="BF105" t="inlineStr">
        <is>
          <t>893873203</t>
        </is>
      </c>
    </row>
    <row r="106">
      <c r="A106" t="inlineStr">
        <is>
          <t>No</t>
        </is>
      </c>
      <c r="B106" t="inlineStr">
        <is>
          <t>CURAL</t>
        </is>
      </c>
      <c r="C106" t="inlineStr">
        <is>
          <t>SHELVES</t>
        </is>
      </c>
      <c r="D106" t="inlineStr">
        <is>
          <t>PR1195.M2 F4 1968</t>
        </is>
      </c>
      <c r="E106" t="inlineStr">
        <is>
          <t>0                      PR 1195000M  2                  F  4           1968</t>
        </is>
      </c>
      <c r="F106" t="inlineStr">
        <is>
          <t>English madrigal verse, 1588-1632 / [by] E. H. Fellowes.</t>
        </is>
      </c>
      <c r="H106" t="inlineStr">
        <is>
          <t>No</t>
        </is>
      </c>
      <c r="I106" t="inlineStr">
        <is>
          <t>1</t>
        </is>
      </c>
      <c r="J106" t="inlineStr">
        <is>
          <t>No</t>
        </is>
      </c>
      <c r="K106" t="inlineStr">
        <is>
          <t>No</t>
        </is>
      </c>
      <c r="L106" t="inlineStr">
        <is>
          <t>0</t>
        </is>
      </c>
      <c r="M106" t="inlineStr">
        <is>
          <t>Fellowes, Edmund H., 1870-1951.</t>
        </is>
      </c>
      <c r="N106" t="inlineStr">
        <is>
          <t>Oxford, Clarendon P., 1967 [i.e. 1968]</t>
        </is>
      </c>
      <c r="O106" t="inlineStr">
        <is>
          <t>1968</t>
        </is>
      </c>
      <c r="P106" t="inlineStr">
        <is>
          <t>3rd ed. revised and enlarged by Frederick W. Sternfeld and David Greer.</t>
        </is>
      </c>
      <c r="Q106" t="inlineStr">
        <is>
          <t>eng</t>
        </is>
      </c>
      <c r="R106" t="inlineStr">
        <is>
          <t>enk</t>
        </is>
      </c>
      <c r="T106" t="inlineStr">
        <is>
          <t xml:space="preserve">PR </t>
        </is>
      </c>
      <c r="U106" t="n">
        <v>1</v>
      </c>
      <c r="V106" t="n">
        <v>1</v>
      </c>
      <c r="W106" t="inlineStr">
        <is>
          <t>2005-04-05</t>
        </is>
      </c>
      <c r="X106" t="inlineStr">
        <is>
          <t>2005-04-05</t>
        </is>
      </c>
      <c r="Y106" t="inlineStr">
        <is>
          <t>1998-03-31</t>
        </is>
      </c>
      <c r="Z106" t="inlineStr">
        <is>
          <t>1998-03-31</t>
        </is>
      </c>
      <c r="AA106" t="n">
        <v>519</v>
      </c>
      <c r="AB106" t="n">
        <v>474</v>
      </c>
      <c r="AC106" t="n">
        <v>753</v>
      </c>
      <c r="AD106" t="n">
        <v>4</v>
      </c>
      <c r="AE106" t="n">
        <v>6</v>
      </c>
      <c r="AF106" t="n">
        <v>21</v>
      </c>
      <c r="AG106" t="n">
        <v>35</v>
      </c>
      <c r="AH106" t="n">
        <v>8</v>
      </c>
      <c r="AI106" t="n">
        <v>13</v>
      </c>
      <c r="AJ106" t="n">
        <v>5</v>
      </c>
      <c r="AK106" t="n">
        <v>9</v>
      </c>
      <c r="AL106" t="n">
        <v>9</v>
      </c>
      <c r="AM106" t="n">
        <v>18</v>
      </c>
      <c r="AN106" t="n">
        <v>3</v>
      </c>
      <c r="AO106" t="n">
        <v>5</v>
      </c>
      <c r="AP106" t="n">
        <v>0</v>
      </c>
      <c r="AQ106" t="n">
        <v>0</v>
      </c>
      <c r="AR106" t="inlineStr">
        <is>
          <t>No</t>
        </is>
      </c>
      <c r="AS106" t="inlineStr">
        <is>
          <t>Yes</t>
        </is>
      </c>
      <c r="AT106">
        <f>HYPERLINK("http://catalog.hathitrust.org/Record/001111917","HathiTrust Record")</f>
        <v/>
      </c>
      <c r="AU106">
        <f>HYPERLINK("https://creighton-primo.hosted.exlibrisgroup.com/primo-explore/search?tab=default_tab&amp;search_scope=EVERYTHING&amp;vid=01CRU&amp;lang=en_US&amp;offset=0&amp;query=any,contains,991002221939702656","Catalog Record")</f>
        <v/>
      </c>
      <c r="AV106">
        <f>HYPERLINK("http://www.worldcat.org/oclc/290390","WorldCat Record")</f>
        <v/>
      </c>
      <c r="AW106" t="inlineStr">
        <is>
          <t>1333618:eng</t>
        </is>
      </c>
      <c r="AX106" t="inlineStr">
        <is>
          <t>290390</t>
        </is>
      </c>
      <c r="AY106" t="inlineStr">
        <is>
          <t>991002221939702656</t>
        </is>
      </c>
      <c r="AZ106" t="inlineStr">
        <is>
          <t>991002221939702656</t>
        </is>
      </c>
      <c r="BA106" t="inlineStr">
        <is>
          <t>2270796990002656</t>
        </is>
      </c>
      <c r="BB106" t="inlineStr">
        <is>
          <t>BOOK</t>
        </is>
      </c>
      <c r="BE106" t="inlineStr">
        <is>
          <t>32285003374070</t>
        </is>
      </c>
      <c r="BF106" t="inlineStr">
        <is>
          <t>893873244</t>
        </is>
      </c>
    </row>
    <row r="107">
      <c r="A107" t="inlineStr">
        <is>
          <t>No</t>
        </is>
      </c>
      <c r="B107" t="inlineStr">
        <is>
          <t>CURAL</t>
        </is>
      </c>
      <c r="C107" t="inlineStr">
        <is>
          <t>SHELVES</t>
        </is>
      </c>
      <c r="D107" t="inlineStr">
        <is>
          <t>PR1195.M24 O86 1987</t>
        </is>
      </c>
      <c r="E107" t="inlineStr">
        <is>
          <t>0                      PR 1195000M  24                 O  86          1987</t>
        </is>
      </c>
      <c r="F107" t="inlineStr">
        <is>
          <t>The Oxford book of local verses / chosen, and with an introduction, by John Holloway.</t>
        </is>
      </c>
      <c r="H107" t="inlineStr">
        <is>
          <t>No</t>
        </is>
      </c>
      <c r="I107" t="inlineStr">
        <is>
          <t>1</t>
        </is>
      </c>
      <c r="J107" t="inlineStr">
        <is>
          <t>No</t>
        </is>
      </c>
      <c r="K107" t="inlineStr">
        <is>
          <t>No</t>
        </is>
      </c>
      <c r="L107" t="inlineStr">
        <is>
          <t>0</t>
        </is>
      </c>
      <c r="N107" t="inlineStr">
        <is>
          <t>Oxford [Oxfordshire] ; New York : Oxford University Press, 1987.</t>
        </is>
      </c>
      <c r="O107" t="inlineStr">
        <is>
          <t>1987</t>
        </is>
      </c>
      <c r="Q107" t="inlineStr">
        <is>
          <t>eng</t>
        </is>
      </c>
      <c r="R107" t="inlineStr">
        <is>
          <t>enk</t>
        </is>
      </c>
      <c r="T107" t="inlineStr">
        <is>
          <t xml:space="preserve">PR </t>
        </is>
      </c>
      <c r="U107" t="n">
        <v>1</v>
      </c>
      <c r="V107" t="n">
        <v>1</v>
      </c>
      <c r="W107" t="inlineStr">
        <is>
          <t>1994-07-26</t>
        </is>
      </c>
      <c r="X107" t="inlineStr">
        <is>
          <t>1994-07-26</t>
        </is>
      </c>
      <c r="Y107" t="inlineStr">
        <is>
          <t>1991-09-18</t>
        </is>
      </c>
      <c r="Z107" t="inlineStr">
        <is>
          <t>1991-09-18</t>
        </is>
      </c>
      <c r="AA107" t="n">
        <v>332</v>
      </c>
      <c r="AB107" t="n">
        <v>182</v>
      </c>
      <c r="AC107" t="n">
        <v>189</v>
      </c>
      <c r="AD107" t="n">
        <v>2</v>
      </c>
      <c r="AE107" t="n">
        <v>2</v>
      </c>
      <c r="AF107" t="n">
        <v>8</v>
      </c>
      <c r="AG107" t="n">
        <v>8</v>
      </c>
      <c r="AH107" t="n">
        <v>1</v>
      </c>
      <c r="AI107" t="n">
        <v>1</v>
      </c>
      <c r="AJ107" t="n">
        <v>1</v>
      </c>
      <c r="AK107" t="n">
        <v>1</v>
      </c>
      <c r="AL107" t="n">
        <v>6</v>
      </c>
      <c r="AM107" t="n">
        <v>6</v>
      </c>
      <c r="AN107" t="n">
        <v>1</v>
      </c>
      <c r="AO107" t="n">
        <v>1</v>
      </c>
      <c r="AP107" t="n">
        <v>0</v>
      </c>
      <c r="AQ107" t="n">
        <v>0</v>
      </c>
      <c r="AR107" t="inlineStr">
        <is>
          <t>No</t>
        </is>
      </c>
      <c r="AS107" t="inlineStr">
        <is>
          <t>Yes</t>
        </is>
      </c>
      <c r="AT107">
        <f>HYPERLINK("http://catalog.hathitrust.org/Record/000851014","HathiTrust Record")</f>
        <v/>
      </c>
      <c r="AU107">
        <f>HYPERLINK("https://creighton-primo.hosted.exlibrisgroup.com/primo-explore/search?tab=default_tab&amp;search_scope=EVERYTHING&amp;vid=01CRU&amp;lang=en_US&amp;offset=0&amp;query=any,contains,991000898079702656","Catalog Record")</f>
        <v/>
      </c>
      <c r="AV107">
        <f>HYPERLINK("http://www.worldcat.org/oclc/14002463","WorldCat Record")</f>
        <v/>
      </c>
      <c r="AW107" t="inlineStr">
        <is>
          <t>350318169:eng</t>
        </is>
      </c>
      <c r="AX107" t="inlineStr">
        <is>
          <t>14002463</t>
        </is>
      </c>
      <c r="AY107" t="inlineStr">
        <is>
          <t>991000898079702656</t>
        </is>
      </c>
      <c r="AZ107" t="inlineStr">
        <is>
          <t>991000898079702656</t>
        </is>
      </c>
      <c r="BA107" t="inlineStr">
        <is>
          <t>2257102820002656</t>
        </is>
      </c>
      <c r="BB107" t="inlineStr">
        <is>
          <t>BOOK</t>
        </is>
      </c>
      <c r="BD107" t="inlineStr">
        <is>
          <t>9780192141491</t>
        </is>
      </c>
      <c r="BE107" t="inlineStr">
        <is>
          <t>32285000759687</t>
        </is>
      </c>
      <c r="BF107" t="inlineStr">
        <is>
          <t>893407627</t>
        </is>
      </c>
    </row>
    <row r="108">
      <c r="A108" t="inlineStr">
        <is>
          <t>No</t>
        </is>
      </c>
      <c r="B108" t="inlineStr">
        <is>
          <t>CURAL</t>
        </is>
      </c>
      <c r="C108" t="inlineStr">
        <is>
          <t>SHELVES</t>
        </is>
      </c>
      <c r="D108" t="inlineStr">
        <is>
          <t>PR1195.W6 B56 1985</t>
        </is>
      </c>
      <c r="E108" t="inlineStr">
        <is>
          <t>0                      PR 1195000W  6                  B  56          1985</t>
        </is>
      </c>
      <c r="F108" t="inlineStr">
        <is>
          <t>The Bloodaxe book of contemporary women poets : eleven British writers / edited by Jeni Couzyn.</t>
        </is>
      </c>
      <c r="H108" t="inlineStr">
        <is>
          <t>No</t>
        </is>
      </c>
      <c r="I108" t="inlineStr">
        <is>
          <t>1</t>
        </is>
      </c>
      <c r="J108" t="inlineStr">
        <is>
          <t>No</t>
        </is>
      </c>
      <c r="K108" t="inlineStr">
        <is>
          <t>No</t>
        </is>
      </c>
      <c r="L108" t="inlineStr">
        <is>
          <t>0</t>
        </is>
      </c>
      <c r="N108" t="inlineStr">
        <is>
          <t>Newcastle upon Tyne : Bloodaxe Books, 1985.</t>
        </is>
      </c>
      <c r="O108" t="inlineStr">
        <is>
          <t>1985</t>
        </is>
      </c>
      <c r="Q108" t="inlineStr">
        <is>
          <t>eng</t>
        </is>
      </c>
      <c r="R108" t="inlineStr">
        <is>
          <t>enk</t>
        </is>
      </c>
      <c r="T108" t="inlineStr">
        <is>
          <t xml:space="preserve">PR </t>
        </is>
      </c>
      <c r="U108" t="n">
        <v>3</v>
      </c>
      <c r="V108" t="n">
        <v>3</v>
      </c>
      <c r="W108" t="inlineStr">
        <is>
          <t>1997-02-04</t>
        </is>
      </c>
      <c r="X108" t="inlineStr">
        <is>
          <t>1997-02-04</t>
        </is>
      </c>
      <c r="Y108" t="inlineStr">
        <is>
          <t>1991-09-18</t>
        </is>
      </c>
      <c r="Z108" t="inlineStr">
        <is>
          <t>1991-09-18</t>
        </is>
      </c>
      <c r="AA108" t="n">
        <v>264</v>
      </c>
      <c r="AB108" t="n">
        <v>96</v>
      </c>
      <c r="AC108" t="n">
        <v>100</v>
      </c>
      <c r="AD108" t="n">
        <v>2</v>
      </c>
      <c r="AE108" t="n">
        <v>2</v>
      </c>
      <c r="AF108" t="n">
        <v>5</v>
      </c>
      <c r="AG108" t="n">
        <v>5</v>
      </c>
      <c r="AH108" t="n">
        <v>2</v>
      </c>
      <c r="AI108" t="n">
        <v>2</v>
      </c>
      <c r="AJ108" t="n">
        <v>1</v>
      </c>
      <c r="AK108" t="n">
        <v>1</v>
      </c>
      <c r="AL108" t="n">
        <v>3</v>
      </c>
      <c r="AM108" t="n">
        <v>3</v>
      </c>
      <c r="AN108" t="n">
        <v>1</v>
      </c>
      <c r="AO108" t="n">
        <v>1</v>
      </c>
      <c r="AP108" t="n">
        <v>0</v>
      </c>
      <c r="AQ108" t="n">
        <v>0</v>
      </c>
      <c r="AR108" t="inlineStr">
        <is>
          <t>No</t>
        </is>
      </c>
      <c r="AS108" t="inlineStr">
        <is>
          <t>Yes</t>
        </is>
      </c>
      <c r="AT108">
        <f>HYPERLINK("http://catalog.hathitrust.org/Record/000422512","HathiTrust Record")</f>
        <v/>
      </c>
      <c r="AU108">
        <f>HYPERLINK("https://creighton-primo.hosted.exlibrisgroup.com/primo-explore/search?tab=default_tab&amp;search_scope=EVERYTHING&amp;vid=01CRU&amp;lang=en_US&amp;offset=0&amp;query=any,contains,991000672549702656","Catalog Record")</f>
        <v/>
      </c>
      <c r="AV108">
        <f>HYPERLINK("http://www.worldcat.org/oclc/12330435","WorldCat Record")</f>
        <v/>
      </c>
      <c r="AW108" t="inlineStr">
        <is>
          <t>836723944:eng</t>
        </is>
      </c>
      <c r="AX108" t="inlineStr">
        <is>
          <t>12330435</t>
        </is>
      </c>
      <c r="AY108" t="inlineStr">
        <is>
          <t>991000672549702656</t>
        </is>
      </c>
      <c r="AZ108" t="inlineStr">
        <is>
          <t>991000672549702656</t>
        </is>
      </c>
      <c r="BA108" t="inlineStr">
        <is>
          <t>2268399680002656</t>
        </is>
      </c>
      <c r="BB108" t="inlineStr">
        <is>
          <t>BOOK</t>
        </is>
      </c>
      <c r="BD108" t="inlineStr">
        <is>
          <t>9780906427804</t>
        </is>
      </c>
      <c r="BE108" t="inlineStr">
        <is>
          <t>32285000759752</t>
        </is>
      </c>
      <c r="BF108" t="inlineStr">
        <is>
          <t>893255630</t>
        </is>
      </c>
    </row>
    <row r="109">
      <c r="A109" t="inlineStr">
        <is>
          <t>No</t>
        </is>
      </c>
      <c r="B109" t="inlineStr">
        <is>
          <t>CURAL</t>
        </is>
      </c>
      <c r="C109" t="inlineStr">
        <is>
          <t>SHELVES</t>
        </is>
      </c>
      <c r="D109" t="inlineStr">
        <is>
          <t>PR1195.W65 W67 1997</t>
        </is>
      </c>
      <c r="E109" t="inlineStr">
        <is>
          <t>0                      PR 1195000W  65                 W  67          1997</t>
        </is>
      </c>
      <c r="F109" t="inlineStr">
        <is>
          <t>World War One British poets : Brooke, Owen, Sassoon, Rosenberg, and others / edited by Candace Ward.</t>
        </is>
      </c>
      <c r="H109" t="inlineStr">
        <is>
          <t>No</t>
        </is>
      </c>
      <c r="I109" t="inlineStr">
        <is>
          <t>1</t>
        </is>
      </c>
      <c r="J109" t="inlineStr">
        <is>
          <t>No</t>
        </is>
      </c>
      <c r="K109" t="inlineStr">
        <is>
          <t>No</t>
        </is>
      </c>
      <c r="L109" t="inlineStr">
        <is>
          <t>0</t>
        </is>
      </c>
      <c r="N109" t="inlineStr">
        <is>
          <t>Mineola, N.Y. : Dover Publications, 1997.</t>
        </is>
      </c>
      <c r="O109" t="inlineStr">
        <is>
          <t>1997</t>
        </is>
      </c>
      <c r="Q109" t="inlineStr">
        <is>
          <t>eng</t>
        </is>
      </c>
      <c r="R109" t="inlineStr">
        <is>
          <t>nyu</t>
        </is>
      </c>
      <c r="S109" t="inlineStr">
        <is>
          <t>Dover thrift editions</t>
        </is>
      </c>
      <c r="T109" t="inlineStr">
        <is>
          <t xml:space="preserve">PR </t>
        </is>
      </c>
      <c r="U109" t="n">
        <v>1</v>
      </c>
      <c r="V109" t="n">
        <v>1</v>
      </c>
      <c r="W109" t="inlineStr">
        <is>
          <t>2008-12-16</t>
        </is>
      </c>
      <c r="X109" t="inlineStr">
        <is>
          <t>2008-12-16</t>
        </is>
      </c>
      <c r="Y109" t="inlineStr">
        <is>
          <t>2008-12-16</t>
        </is>
      </c>
      <c r="Z109" t="inlineStr">
        <is>
          <t>2008-12-16</t>
        </is>
      </c>
      <c r="AA109" t="n">
        <v>248</v>
      </c>
      <c r="AB109" t="n">
        <v>232</v>
      </c>
      <c r="AC109" t="n">
        <v>262</v>
      </c>
      <c r="AD109" t="n">
        <v>1</v>
      </c>
      <c r="AE109" t="n">
        <v>2</v>
      </c>
      <c r="AF109" t="n">
        <v>4</v>
      </c>
      <c r="AG109" t="n">
        <v>6</v>
      </c>
      <c r="AH109" t="n">
        <v>3</v>
      </c>
      <c r="AI109" t="n">
        <v>4</v>
      </c>
      <c r="AJ109" t="n">
        <v>1</v>
      </c>
      <c r="AK109" t="n">
        <v>2</v>
      </c>
      <c r="AL109" t="n">
        <v>1</v>
      </c>
      <c r="AM109" t="n">
        <v>1</v>
      </c>
      <c r="AN109" t="n">
        <v>0</v>
      </c>
      <c r="AO109" t="n">
        <v>1</v>
      </c>
      <c r="AP109" t="n">
        <v>0</v>
      </c>
      <c r="AQ109" t="n">
        <v>0</v>
      </c>
      <c r="AR109" t="inlineStr">
        <is>
          <t>No</t>
        </is>
      </c>
      <c r="AS109" t="inlineStr">
        <is>
          <t>No</t>
        </is>
      </c>
      <c r="AU109">
        <f>HYPERLINK("https://creighton-primo.hosted.exlibrisgroup.com/primo-explore/search?tab=default_tab&amp;search_scope=EVERYTHING&amp;vid=01CRU&amp;lang=en_US&amp;offset=0&amp;query=any,contains,991005284549702656","Catalog Record")</f>
        <v/>
      </c>
      <c r="AV109">
        <f>HYPERLINK("http://www.worldcat.org/oclc/36011730","WorldCat Record")</f>
        <v/>
      </c>
      <c r="AW109" t="inlineStr">
        <is>
          <t>863778514:eng</t>
        </is>
      </c>
      <c r="AX109" t="inlineStr">
        <is>
          <t>36011730</t>
        </is>
      </c>
      <c r="AY109" t="inlineStr">
        <is>
          <t>991005284549702656</t>
        </is>
      </c>
      <c r="AZ109" t="inlineStr">
        <is>
          <t>991005284549702656</t>
        </is>
      </c>
      <c r="BA109" t="inlineStr">
        <is>
          <t>2254725950002656</t>
        </is>
      </c>
      <c r="BB109" t="inlineStr">
        <is>
          <t>BOOK</t>
        </is>
      </c>
      <c r="BD109" t="inlineStr">
        <is>
          <t>9780486295688</t>
        </is>
      </c>
      <c r="BE109" t="inlineStr">
        <is>
          <t>32285005473938</t>
        </is>
      </c>
      <c r="BF109" t="inlineStr">
        <is>
          <t>893808132</t>
        </is>
      </c>
    </row>
    <row r="110">
      <c r="A110" t="inlineStr">
        <is>
          <t>No</t>
        </is>
      </c>
      <c r="B110" t="inlineStr">
        <is>
          <t>CURAL</t>
        </is>
      </c>
      <c r="C110" t="inlineStr">
        <is>
          <t>SHELVES</t>
        </is>
      </c>
      <c r="D110" t="inlineStr">
        <is>
          <t>PR120.B55 I55 2002</t>
        </is>
      </c>
      <c r="E110" t="inlineStr">
        <is>
          <t>0                      PR 0120000B  55                 I  55          2002</t>
        </is>
      </c>
      <c r="F110" t="inlineStr">
        <is>
          <t>A history of Black and Asian writing in Britain, 1700-2000 / C.L. Innes.</t>
        </is>
      </c>
      <c r="H110" t="inlineStr">
        <is>
          <t>No</t>
        </is>
      </c>
      <c r="I110" t="inlineStr">
        <is>
          <t>1</t>
        </is>
      </c>
      <c r="J110" t="inlineStr">
        <is>
          <t>No</t>
        </is>
      </c>
      <c r="K110" t="inlineStr">
        <is>
          <t>No</t>
        </is>
      </c>
      <c r="L110" t="inlineStr">
        <is>
          <t>0</t>
        </is>
      </c>
      <c r="M110" t="inlineStr">
        <is>
          <t>Innes, Catherine Lynette.</t>
        </is>
      </c>
      <c r="N110" t="inlineStr">
        <is>
          <t>Cambridge, UK ; New York : Cambridge University Press, 2002.</t>
        </is>
      </c>
      <c r="O110" t="inlineStr">
        <is>
          <t>2002</t>
        </is>
      </c>
      <c r="Q110" t="inlineStr">
        <is>
          <t>eng</t>
        </is>
      </c>
      <c r="R110" t="inlineStr">
        <is>
          <t>enk</t>
        </is>
      </c>
      <c r="T110" t="inlineStr">
        <is>
          <t xml:space="preserve">PR </t>
        </is>
      </c>
      <c r="U110" t="n">
        <v>1</v>
      </c>
      <c r="V110" t="n">
        <v>1</v>
      </c>
      <c r="W110" t="inlineStr">
        <is>
          <t>2003-11-19</t>
        </is>
      </c>
      <c r="X110" t="inlineStr">
        <is>
          <t>2003-11-19</t>
        </is>
      </c>
      <c r="Y110" t="inlineStr">
        <is>
          <t>2003-11-19</t>
        </is>
      </c>
      <c r="Z110" t="inlineStr">
        <is>
          <t>2003-11-19</t>
        </is>
      </c>
      <c r="AA110" t="n">
        <v>520</v>
      </c>
      <c r="AB110" t="n">
        <v>388</v>
      </c>
      <c r="AC110" t="n">
        <v>431</v>
      </c>
      <c r="AD110" t="n">
        <v>4</v>
      </c>
      <c r="AE110" t="n">
        <v>4</v>
      </c>
      <c r="AF110" t="n">
        <v>23</v>
      </c>
      <c r="AG110" t="n">
        <v>27</v>
      </c>
      <c r="AH110" t="n">
        <v>11</v>
      </c>
      <c r="AI110" t="n">
        <v>13</v>
      </c>
      <c r="AJ110" t="n">
        <v>6</v>
      </c>
      <c r="AK110" t="n">
        <v>8</v>
      </c>
      <c r="AL110" t="n">
        <v>10</v>
      </c>
      <c r="AM110" t="n">
        <v>12</v>
      </c>
      <c r="AN110" t="n">
        <v>3</v>
      </c>
      <c r="AO110" t="n">
        <v>3</v>
      </c>
      <c r="AP110" t="n">
        <v>0</v>
      </c>
      <c r="AQ110" t="n">
        <v>0</v>
      </c>
      <c r="AR110" t="inlineStr">
        <is>
          <t>No</t>
        </is>
      </c>
      <c r="AS110" t="inlineStr">
        <is>
          <t>No</t>
        </is>
      </c>
      <c r="AU110">
        <f>HYPERLINK("https://creighton-primo.hosted.exlibrisgroup.com/primo-explore/search?tab=default_tab&amp;search_scope=EVERYTHING&amp;vid=01CRU&amp;lang=en_US&amp;offset=0&amp;query=any,contains,991004161619702656","Catalog Record")</f>
        <v/>
      </c>
      <c r="AV110">
        <f>HYPERLINK("http://www.worldcat.org/oclc/49558669","WorldCat Record")</f>
        <v/>
      </c>
      <c r="AW110" t="inlineStr">
        <is>
          <t>38495392:eng</t>
        </is>
      </c>
      <c r="AX110" t="inlineStr">
        <is>
          <t>49558669</t>
        </is>
      </c>
      <c r="AY110" t="inlineStr">
        <is>
          <t>991004161619702656</t>
        </is>
      </c>
      <c r="AZ110" t="inlineStr">
        <is>
          <t>991004161619702656</t>
        </is>
      </c>
      <c r="BA110" t="inlineStr">
        <is>
          <t>2262710920002656</t>
        </is>
      </c>
      <c r="BB110" t="inlineStr">
        <is>
          <t>BOOK</t>
        </is>
      </c>
      <c r="BD110" t="inlineStr">
        <is>
          <t>9780521643276</t>
        </is>
      </c>
      <c r="BE110" t="inlineStr">
        <is>
          <t>32285004799820</t>
        </is>
      </c>
      <c r="BF110" t="inlineStr">
        <is>
          <t>893699928</t>
        </is>
      </c>
    </row>
    <row r="111">
      <c r="A111" t="inlineStr">
        <is>
          <t>No</t>
        </is>
      </c>
      <c r="B111" t="inlineStr">
        <is>
          <t>CURAL</t>
        </is>
      </c>
      <c r="C111" t="inlineStr">
        <is>
          <t>SHELVES</t>
        </is>
      </c>
      <c r="D111" t="inlineStr">
        <is>
          <t>PR120.C3 H8</t>
        </is>
      </c>
      <c r="E111" t="inlineStr">
        <is>
          <t>0                      PR 0120000C  3                  H  8</t>
        </is>
      </c>
      <c r="F111" t="inlineStr">
        <is>
          <t>Catholicism and English literature, by Edward Hutton.</t>
        </is>
      </c>
      <c r="H111" t="inlineStr">
        <is>
          <t>No</t>
        </is>
      </c>
      <c r="I111" t="inlineStr">
        <is>
          <t>1</t>
        </is>
      </c>
      <c r="J111" t="inlineStr">
        <is>
          <t>No</t>
        </is>
      </c>
      <c r="K111" t="inlineStr">
        <is>
          <t>No</t>
        </is>
      </c>
      <c r="L111" t="inlineStr">
        <is>
          <t>0</t>
        </is>
      </c>
      <c r="M111" t="inlineStr">
        <is>
          <t>Hutton, Edward, 1875-1969.</t>
        </is>
      </c>
      <c r="N111" t="inlineStr">
        <is>
          <t>London, F. Muller ltd. [1942]</t>
        </is>
      </c>
      <c r="O111" t="inlineStr">
        <is>
          <t>1942</t>
        </is>
      </c>
      <c r="Q111" t="inlineStr">
        <is>
          <t>eng</t>
        </is>
      </c>
      <c r="R111" t="inlineStr">
        <is>
          <t>enk</t>
        </is>
      </c>
      <c r="T111" t="inlineStr">
        <is>
          <t xml:space="preserve">PR </t>
        </is>
      </c>
      <c r="U111" t="n">
        <v>4</v>
      </c>
      <c r="V111" t="n">
        <v>4</v>
      </c>
      <c r="W111" t="inlineStr">
        <is>
          <t>2009-03-02</t>
        </is>
      </c>
      <c r="X111" t="inlineStr">
        <is>
          <t>2009-03-02</t>
        </is>
      </c>
      <c r="Y111" t="inlineStr">
        <is>
          <t>1997-08-15</t>
        </is>
      </c>
      <c r="Z111" t="inlineStr">
        <is>
          <t>1997-08-15</t>
        </is>
      </c>
      <c r="AA111" t="n">
        <v>121</v>
      </c>
      <c r="AB111" t="n">
        <v>87</v>
      </c>
      <c r="AC111" t="n">
        <v>207</v>
      </c>
      <c r="AD111" t="n">
        <v>2</v>
      </c>
      <c r="AE111" t="n">
        <v>2</v>
      </c>
      <c r="AF111" t="n">
        <v>12</v>
      </c>
      <c r="AG111" t="n">
        <v>25</v>
      </c>
      <c r="AH111" t="n">
        <v>3</v>
      </c>
      <c r="AI111" t="n">
        <v>8</v>
      </c>
      <c r="AJ111" t="n">
        <v>5</v>
      </c>
      <c r="AK111" t="n">
        <v>7</v>
      </c>
      <c r="AL111" t="n">
        <v>7</v>
      </c>
      <c r="AM111" t="n">
        <v>19</v>
      </c>
      <c r="AN111" t="n">
        <v>1</v>
      </c>
      <c r="AO111" t="n">
        <v>1</v>
      </c>
      <c r="AP111" t="n">
        <v>0</v>
      </c>
      <c r="AQ111" t="n">
        <v>0</v>
      </c>
      <c r="AR111" t="inlineStr">
        <is>
          <t>No</t>
        </is>
      </c>
      <c r="AS111" t="inlineStr">
        <is>
          <t>Yes</t>
        </is>
      </c>
      <c r="AT111">
        <f>HYPERLINK("http://catalog.hathitrust.org/Record/001370915","HathiTrust Record")</f>
        <v/>
      </c>
      <c r="AU111">
        <f>HYPERLINK("https://creighton-primo.hosted.exlibrisgroup.com/primo-explore/search?tab=default_tab&amp;search_scope=EVERYTHING&amp;vid=01CRU&amp;lang=en_US&amp;offset=0&amp;query=any,contains,991003887189702656","Catalog Record")</f>
        <v/>
      </c>
      <c r="AV111">
        <f>HYPERLINK("http://www.worldcat.org/oclc/1740756","WorldCat Record")</f>
        <v/>
      </c>
      <c r="AW111" t="inlineStr">
        <is>
          <t>131535335:eng</t>
        </is>
      </c>
      <c r="AX111" t="inlineStr">
        <is>
          <t>1740756</t>
        </is>
      </c>
      <c r="AY111" t="inlineStr">
        <is>
          <t>991003887189702656</t>
        </is>
      </c>
      <c r="AZ111" t="inlineStr">
        <is>
          <t>991003887189702656</t>
        </is>
      </c>
      <c r="BA111" t="inlineStr">
        <is>
          <t>2258692870002656</t>
        </is>
      </c>
      <c r="BB111" t="inlineStr">
        <is>
          <t>BOOK</t>
        </is>
      </c>
      <c r="BE111" t="inlineStr">
        <is>
          <t>32285003150074</t>
        </is>
      </c>
      <c r="BF111" t="inlineStr">
        <is>
          <t>893722145</t>
        </is>
      </c>
    </row>
    <row r="112">
      <c r="A112" t="inlineStr">
        <is>
          <t>No</t>
        </is>
      </c>
      <c r="B112" t="inlineStr">
        <is>
          <t>CURAL</t>
        </is>
      </c>
      <c r="C112" t="inlineStr">
        <is>
          <t>SHELVES</t>
        </is>
      </c>
      <c r="D112" t="inlineStr">
        <is>
          <t>PR120.G39 L47 1990</t>
        </is>
      </c>
      <c r="E112" t="inlineStr">
        <is>
          <t>0                      PR 0120000G  39                 L  47          1990</t>
        </is>
      </c>
      <c r="F112" t="inlineStr">
        <is>
          <t>Lesbian and gay writing : an anthology of critical essays / edited by Mark Lilly.</t>
        </is>
      </c>
      <c r="H112" t="inlineStr">
        <is>
          <t>No</t>
        </is>
      </c>
      <c r="I112" t="inlineStr">
        <is>
          <t>1</t>
        </is>
      </c>
      <c r="J112" t="inlineStr">
        <is>
          <t>No</t>
        </is>
      </c>
      <c r="K112" t="inlineStr">
        <is>
          <t>No</t>
        </is>
      </c>
      <c r="L112" t="inlineStr">
        <is>
          <t>0</t>
        </is>
      </c>
      <c r="N112" t="inlineStr">
        <is>
          <t>Philadelphia : Temple University Press, 1990.</t>
        </is>
      </c>
      <c r="O112" t="inlineStr">
        <is>
          <t>1990</t>
        </is>
      </c>
      <c r="Q112" t="inlineStr">
        <is>
          <t>eng</t>
        </is>
      </c>
      <c r="R112" t="inlineStr">
        <is>
          <t>pau</t>
        </is>
      </c>
      <c r="T112" t="inlineStr">
        <is>
          <t xml:space="preserve">PR </t>
        </is>
      </c>
      <c r="U112" t="n">
        <v>2</v>
      </c>
      <c r="V112" t="n">
        <v>2</v>
      </c>
      <c r="W112" t="inlineStr">
        <is>
          <t>2003-10-04</t>
        </is>
      </c>
      <c r="X112" t="inlineStr">
        <is>
          <t>2003-10-04</t>
        </is>
      </c>
      <c r="Y112" t="inlineStr">
        <is>
          <t>2000-03-06</t>
        </is>
      </c>
      <c r="Z112" t="inlineStr">
        <is>
          <t>2000-03-06</t>
        </is>
      </c>
      <c r="AA112" t="n">
        <v>317</v>
      </c>
      <c r="AB112" t="n">
        <v>283</v>
      </c>
      <c r="AC112" t="n">
        <v>320</v>
      </c>
      <c r="AD112" t="n">
        <v>3</v>
      </c>
      <c r="AE112" t="n">
        <v>3</v>
      </c>
      <c r="AF112" t="n">
        <v>12</v>
      </c>
      <c r="AG112" t="n">
        <v>13</v>
      </c>
      <c r="AH112" t="n">
        <v>3</v>
      </c>
      <c r="AI112" t="n">
        <v>4</v>
      </c>
      <c r="AJ112" t="n">
        <v>3</v>
      </c>
      <c r="AK112" t="n">
        <v>3</v>
      </c>
      <c r="AL112" t="n">
        <v>5</v>
      </c>
      <c r="AM112" t="n">
        <v>6</v>
      </c>
      <c r="AN112" t="n">
        <v>2</v>
      </c>
      <c r="AO112" t="n">
        <v>2</v>
      </c>
      <c r="AP112" t="n">
        <v>1</v>
      </c>
      <c r="AQ112" t="n">
        <v>1</v>
      </c>
      <c r="AR112" t="inlineStr">
        <is>
          <t>No</t>
        </is>
      </c>
      <c r="AS112" t="inlineStr">
        <is>
          <t>No</t>
        </is>
      </c>
      <c r="AU112">
        <f>HYPERLINK("https://creighton-primo.hosted.exlibrisgroup.com/primo-explore/search?tab=default_tab&amp;search_scope=EVERYTHING&amp;vid=01CRU&amp;lang=en_US&amp;offset=0&amp;query=any,contains,991001581449702656","Catalog Record")</f>
        <v/>
      </c>
      <c r="AV112">
        <f>HYPERLINK("http://www.worldcat.org/oclc/20490715","WorldCat Record")</f>
        <v/>
      </c>
      <c r="AW112" t="inlineStr">
        <is>
          <t>836900727:eng</t>
        </is>
      </c>
      <c r="AX112" t="inlineStr">
        <is>
          <t>20490715</t>
        </is>
      </c>
      <c r="AY112" t="inlineStr">
        <is>
          <t>991001581449702656</t>
        </is>
      </c>
      <c r="AZ112" t="inlineStr">
        <is>
          <t>991001581449702656</t>
        </is>
      </c>
      <c r="BA112" t="inlineStr">
        <is>
          <t>2257514540002656</t>
        </is>
      </c>
      <c r="BB112" t="inlineStr">
        <is>
          <t>BOOK</t>
        </is>
      </c>
      <c r="BD112" t="inlineStr">
        <is>
          <t>9780877227069</t>
        </is>
      </c>
      <c r="BE112" t="inlineStr">
        <is>
          <t>32285003666889</t>
        </is>
      </c>
      <c r="BF112" t="inlineStr">
        <is>
          <t>893250310</t>
        </is>
      </c>
    </row>
    <row r="113">
      <c r="A113" t="inlineStr">
        <is>
          <t>No</t>
        </is>
      </c>
      <c r="B113" t="inlineStr">
        <is>
          <t>CURAL</t>
        </is>
      </c>
      <c r="C113" t="inlineStr">
        <is>
          <t>SHELVES</t>
        </is>
      </c>
      <c r="D113" t="inlineStr">
        <is>
          <t>PR120.K54 R43 2002</t>
        </is>
      </c>
      <c r="E113" t="inlineStr">
        <is>
          <t>0                      PR 0120000K  54                 R  43          2002</t>
        </is>
      </c>
      <c r="F113" t="inlineStr">
        <is>
          <t>Reading monarch's writing : the poetry of Henry VIII, Mary Stuart, Elizabeth I, and James VI/I / edited by Peter C. Herman.</t>
        </is>
      </c>
      <c r="H113" t="inlineStr">
        <is>
          <t>No</t>
        </is>
      </c>
      <c r="I113" t="inlineStr">
        <is>
          <t>1</t>
        </is>
      </c>
      <c r="J113" t="inlineStr">
        <is>
          <t>No</t>
        </is>
      </c>
      <c r="K113" t="inlineStr">
        <is>
          <t>No</t>
        </is>
      </c>
      <c r="L113" t="inlineStr">
        <is>
          <t>0</t>
        </is>
      </c>
      <c r="N113" t="inlineStr">
        <is>
          <t>Tempe, Ariz. : Arizona Center for Medieval and Renaissance Studies, 2002.</t>
        </is>
      </c>
      <c r="O113" t="inlineStr">
        <is>
          <t>2002</t>
        </is>
      </c>
      <c r="Q113" t="inlineStr">
        <is>
          <t>eng</t>
        </is>
      </c>
      <c r="R113" t="inlineStr">
        <is>
          <t>azu</t>
        </is>
      </c>
      <c r="S113" t="inlineStr">
        <is>
          <t>Medieval and Renaissance texts and studies ; v. 234</t>
        </is>
      </c>
      <c r="T113" t="inlineStr">
        <is>
          <t xml:space="preserve">PR </t>
        </is>
      </c>
      <c r="U113" t="n">
        <v>1</v>
      </c>
      <c r="V113" t="n">
        <v>1</v>
      </c>
      <c r="W113" t="inlineStr">
        <is>
          <t>2003-11-06</t>
        </is>
      </c>
      <c r="X113" t="inlineStr">
        <is>
          <t>2003-11-06</t>
        </is>
      </c>
      <c r="Y113" t="inlineStr">
        <is>
          <t>2003-11-06</t>
        </is>
      </c>
      <c r="Z113" t="inlineStr">
        <is>
          <t>2003-11-06</t>
        </is>
      </c>
      <c r="AA113" t="n">
        <v>287</v>
      </c>
      <c r="AB113" t="n">
        <v>237</v>
      </c>
      <c r="AC113" t="n">
        <v>239</v>
      </c>
      <c r="AD113" t="n">
        <v>1</v>
      </c>
      <c r="AE113" t="n">
        <v>1</v>
      </c>
      <c r="AF113" t="n">
        <v>12</v>
      </c>
      <c r="AG113" t="n">
        <v>12</v>
      </c>
      <c r="AH113" t="n">
        <v>4</v>
      </c>
      <c r="AI113" t="n">
        <v>4</v>
      </c>
      <c r="AJ113" t="n">
        <v>4</v>
      </c>
      <c r="AK113" t="n">
        <v>4</v>
      </c>
      <c r="AL113" t="n">
        <v>8</v>
      </c>
      <c r="AM113" t="n">
        <v>8</v>
      </c>
      <c r="AN113" t="n">
        <v>0</v>
      </c>
      <c r="AO113" t="n">
        <v>0</v>
      </c>
      <c r="AP113" t="n">
        <v>0</v>
      </c>
      <c r="AQ113" t="n">
        <v>0</v>
      </c>
      <c r="AR113" t="inlineStr">
        <is>
          <t>No</t>
        </is>
      </c>
      <c r="AS113" t="inlineStr">
        <is>
          <t>Yes</t>
        </is>
      </c>
      <c r="AT113">
        <f>HYPERLINK("http://catalog.hathitrust.org/Record/003799404","HathiTrust Record")</f>
        <v/>
      </c>
      <c r="AU113">
        <f>HYPERLINK("https://creighton-primo.hosted.exlibrisgroup.com/primo-explore/search?tab=default_tab&amp;search_scope=EVERYTHING&amp;vid=01CRU&amp;lang=en_US&amp;offset=0&amp;query=any,contains,991004155289702656","Catalog Record")</f>
        <v/>
      </c>
      <c r="AV113">
        <f>HYPERLINK("http://www.worldcat.org/oclc/46473846","WorldCat Record")</f>
        <v/>
      </c>
      <c r="AW113" t="inlineStr">
        <is>
          <t>891627492:eng</t>
        </is>
      </c>
      <c r="AX113" t="inlineStr">
        <is>
          <t>46473846</t>
        </is>
      </c>
      <c r="AY113" t="inlineStr">
        <is>
          <t>991004155289702656</t>
        </is>
      </c>
      <c r="AZ113" t="inlineStr">
        <is>
          <t>991004155289702656</t>
        </is>
      </c>
      <c r="BA113" t="inlineStr">
        <is>
          <t>2265873180002656</t>
        </is>
      </c>
      <c r="BB113" t="inlineStr">
        <is>
          <t>BOOK</t>
        </is>
      </c>
      <c r="BD113" t="inlineStr">
        <is>
          <t>9780866982764</t>
        </is>
      </c>
      <c r="BE113" t="inlineStr">
        <is>
          <t>32285004794433</t>
        </is>
      </c>
      <c r="BF113" t="inlineStr">
        <is>
          <t>893259389</t>
        </is>
      </c>
    </row>
    <row r="114">
      <c r="A114" t="inlineStr">
        <is>
          <t>No</t>
        </is>
      </c>
      <c r="B114" t="inlineStr">
        <is>
          <t>CURAL</t>
        </is>
      </c>
      <c r="C114" t="inlineStr">
        <is>
          <t>SHELVES</t>
        </is>
      </c>
      <c r="D114" t="inlineStr">
        <is>
          <t>PR1203 .S55</t>
        </is>
      </c>
      <c r="E114" t="inlineStr">
        <is>
          <t>0                      PR 1203000S  55</t>
        </is>
      </c>
      <c r="F114" t="inlineStr">
        <is>
          <t>The Oxford book of medieval English verse / chosen and edited by Celia and Kenneth Sisam.</t>
        </is>
      </c>
      <c r="H114" t="inlineStr">
        <is>
          <t>No</t>
        </is>
      </c>
      <c r="I114" t="inlineStr">
        <is>
          <t>1</t>
        </is>
      </c>
      <c r="J114" t="inlineStr">
        <is>
          <t>No</t>
        </is>
      </c>
      <c r="K114" t="inlineStr">
        <is>
          <t>No</t>
        </is>
      </c>
      <c r="L114" t="inlineStr">
        <is>
          <t>0</t>
        </is>
      </c>
      <c r="M114" t="inlineStr">
        <is>
          <t>Sisam, Celia compiler.</t>
        </is>
      </c>
      <c r="N114" t="inlineStr">
        <is>
          <t>Oxford : Clarendon P., 1970.</t>
        </is>
      </c>
      <c r="O114" t="inlineStr">
        <is>
          <t>1970</t>
        </is>
      </c>
      <c r="Q114" t="inlineStr">
        <is>
          <t>eng</t>
        </is>
      </c>
      <c r="R114" t="inlineStr">
        <is>
          <t>enk</t>
        </is>
      </c>
      <c r="S114" t="inlineStr">
        <is>
          <t>[The Oxford books of verse]</t>
        </is>
      </c>
      <c r="T114" t="inlineStr">
        <is>
          <t xml:space="preserve">PR </t>
        </is>
      </c>
      <c r="U114" t="n">
        <v>2</v>
      </c>
      <c r="V114" t="n">
        <v>2</v>
      </c>
      <c r="W114" t="inlineStr">
        <is>
          <t>1998-04-01</t>
        </is>
      </c>
      <c r="X114" t="inlineStr">
        <is>
          <t>1998-04-01</t>
        </is>
      </c>
      <c r="Y114" t="inlineStr">
        <is>
          <t>1991-10-01</t>
        </is>
      </c>
      <c r="Z114" t="inlineStr">
        <is>
          <t>1991-10-01</t>
        </is>
      </c>
      <c r="AA114" t="n">
        <v>1469</v>
      </c>
      <c r="AB114" t="n">
        <v>1205</v>
      </c>
      <c r="AC114" t="n">
        <v>1254</v>
      </c>
      <c r="AD114" t="n">
        <v>13</v>
      </c>
      <c r="AE114" t="n">
        <v>13</v>
      </c>
      <c r="AF114" t="n">
        <v>41</v>
      </c>
      <c r="AG114" t="n">
        <v>43</v>
      </c>
      <c r="AH114" t="n">
        <v>16</v>
      </c>
      <c r="AI114" t="n">
        <v>17</v>
      </c>
      <c r="AJ114" t="n">
        <v>6</v>
      </c>
      <c r="AK114" t="n">
        <v>7</v>
      </c>
      <c r="AL114" t="n">
        <v>20</v>
      </c>
      <c r="AM114" t="n">
        <v>21</v>
      </c>
      <c r="AN114" t="n">
        <v>8</v>
      </c>
      <c r="AO114" t="n">
        <v>8</v>
      </c>
      <c r="AP114" t="n">
        <v>0</v>
      </c>
      <c r="AQ114" t="n">
        <v>0</v>
      </c>
      <c r="AR114" t="inlineStr">
        <is>
          <t>No</t>
        </is>
      </c>
      <c r="AS114" t="inlineStr">
        <is>
          <t>Yes</t>
        </is>
      </c>
      <c r="AT114">
        <f>HYPERLINK("http://catalog.hathitrust.org/Record/001111920","HathiTrust Record")</f>
        <v/>
      </c>
      <c r="AU114">
        <f>HYPERLINK("https://creighton-primo.hosted.exlibrisgroup.com/primo-explore/search?tab=default_tab&amp;search_scope=EVERYTHING&amp;vid=01CRU&amp;lang=en_US&amp;offset=0&amp;query=any,contains,991000678819702656","Catalog Record")</f>
        <v/>
      </c>
      <c r="AV114">
        <f>HYPERLINK("http://www.worldcat.org/oclc/120815","WorldCat Record")</f>
        <v/>
      </c>
      <c r="AW114" t="inlineStr">
        <is>
          <t>364075212:eng</t>
        </is>
      </c>
      <c r="AX114" t="inlineStr">
        <is>
          <t>120815</t>
        </is>
      </c>
      <c r="AY114" t="inlineStr">
        <is>
          <t>991000678819702656</t>
        </is>
      </c>
      <c r="AZ114" t="inlineStr">
        <is>
          <t>991000678819702656</t>
        </is>
      </c>
      <c r="BA114" t="inlineStr">
        <is>
          <t>2264277120002656</t>
        </is>
      </c>
      <c r="BB114" t="inlineStr">
        <is>
          <t>BOOK</t>
        </is>
      </c>
      <c r="BD114" t="inlineStr">
        <is>
          <t>9780198121350</t>
        </is>
      </c>
      <c r="BE114" t="inlineStr">
        <is>
          <t>32285000759760</t>
        </is>
      </c>
      <c r="BF114" t="inlineStr">
        <is>
          <t>893509000</t>
        </is>
      </c>
    </row>
    <row r="115">
      <c r="A115" t="inlineStr">
        <is>
          <t>No</t>
        </is>
      </c>
      <c r="B115" t="inlineStr">
        <is>
          <t>CURAL</t>
        </is>
      </c>
      <c r="C115" t="inlineStr">
        <is>
          <t>SHELVES</t>
        </is>
      </c>
      <c r="D115" t="inlineStr">
        <is>
          <t>PR1203 .S84 1964</t>
        </is>
      </c>
      <c r="E115" t="inlineStr">
        <is>
          <t>0                      PR 1203000S  84          1964</t>
        </is>
      </c>
      <c r="F115" t="inlineStr">
        <is>
          <t>Medieval English verse / translated, with an introd., by Brian Stone.</t>
        </is>
      </c>
      <c r="H115" t="inlineStr">
        <is>
          <t>No</t>
        </is>
      </c>
      <c r="I115" t="inlineStr">
        <is>
          <t>1</t>
        </is>
      </c>
      <c r="J115" t="inlineStr">
        <is>
          <t>No</t>
        </is>
      </c>
      <c r="K115" t="inlineStr">
        <is>
          <t>No</t>
        </is>
      </c>
      <c r="L115" t="inlineStr">
        <is>
          <t>0</t>
        </is>
      </c>
      <c r="M115" t="inlineStr">
        <is>
          <t>Stone, Brian, editor, translator.</t>
        </is>
      </c>
      <c r="N115" t="inlineStr">
        <is>
          <t>Baltimore : Penguin Books, [1964]</t>
        </is>
      </c>
      <c r="O115" t="inlineStr">
        <is>
          <t>1964</t>
        </is>
      </c>
      <c r="Q115" t="inlineStr">
        <is>
          <t>eng</t>
        </is>
      </c>
      <c r="R115" t="inlineStr">
        <is>
          <t>mdu</t>
        </is>
      </c>
      <c r="S115" t="inlineStr">
        <is>
          <t>Penguin classics ; L144</t>
        </is>
      </c>
      <c r="T115" t="inlineStr">
        <is>
          <t xml:space="preserve">PR </t>
        </is>
      </c>
      <c r="U115" t="n">
        <v>1</v>
      </c>
      <c r="V115" t="n">
        <v>1</v>
      </c>
      <c r="W115" t="inlineStr">
        <is>
          <t>2001-07-16</t>
        </is>
      </c>
      <c r="X115" t="inlineStr">
        <is>
          <t>2001-07-16</t>
        </is>
      </c>
      <c r="Y115" t="inlineStr">
        <is>
          <t>2001-07-16</t>
        </is>
      </c>
      <c r="Z115" t="inlineStr">
        <is>
          <t>2001-07-16</t>
        </is>
      </c>
      <c r="AA115" t="n">
        <v>396</v>
      </c>
      <c r="AB115" t="n">
        <v>332</v>
      </c>
      <c r="AC115" t="n">
        <v>490</v>
      </c>
      <c r="AD115" t="n">
        <v>4</v>
      </c>
      <c r="AE115" t="n">
        <v>5</v>
      </c>
      <c r="AF115" t="n">
        <v>15</v>
      </c>
      <c r="AG115" t="n">
        <v>22</v>
      </c>
      <c r="AH115" t="n">
        <v>7</v>
      </c>
      <c r="AI115" t="n">
        <v>8</v>
      </c>
      <c r="AJ115" t="n">
        <v>1</v>
      </c>
      <c r="AK115" t="n">
        <v>2</v>
      </c>
      <c r="AL115" t="n">
        <v>11</v>
      </c>
      <c r="AM115" t="n">
        <v>15</v>
      </c>
      <c r="AN115" t="n">
        <v>2</v>
      </c>
      <c r="AO115" t="n">
        <v>3</v>
      </c>
      <c r="AP115" t="n">
        <v>0</v>
      </c>
      <c r="AQ115" t="n">
        <v>0</v>
      </c>
      <c r="AR115" t="inlineStr">
        <is>
          <t>No</t>
        </is>
      </c>
      <c r="AS115" t="inlineStr">
        <is>
          <t>Yes</t>
        </is>
      </c>
      <c r="AT115">
        <f>HYPERLINK("http://catalog.hathitrust.org/Record/001372234","HathiTrust Record")</f>
        <v/>
      </c>
      <c r="AU115">
        <f>HYPERLINK("https://creighton-primo.hosted.exlibrisgroup.com/primo-explore/search?tab=default_tab&amp;search_scope=EVERYTHING&amp;vid=01CRU&amp;lang=en_US&amp;offset=0&amp;query=any,contains,991003570349702656","Catalog Record")</f>
        <v/>
      </c>
      <c r="AV115">
        <f>HYPERLINK("http://www.worldcat.org/oclc/3314233","WorldCat Record")</f>
        <v/>
      </c>
      <c r="AW115" t="inlineStr">
        <is>
          <t>54267051:eng</t>
        </is>
      </c>
      <c r="AX115" t="inlineStr">
        <is>
          <t>3314233</t>
        </is>
      </c>
      <c r="AY115" t="inlineStr">
        <is>
          <t>991003570349702656</t>
        </is>
      </c>
      <c r="AZ115" t="inlineStr">
        <is>
          <t>991003570349702656</t>
        </is>
      </c>
      <c r="BA115" t="inlineStr">
        <is>
          <t>2265956980002656</t>
        </is>
      </c>
      <c r="BB115" t="inlineStr">
        <is>
          <t>BOOK</t>
        </is>
      </c>
      <c r="BE115" t="inlineStr">
        <is>
          <t>32285004332994</t>
        </is>
      </c>
      <c r="BF115" t="inlineStr">
        <is>
          <t>893318110</t>
        </is>
      </c>
    </row>
    <row r="116">
      <c r="A116" t="inlineStr">
        <is>
          <t>No</t>
        </is>
      </c>
      <c r="B116" t="inlineStr">
        <is>
          <t>CURAL</t>
        </is>
      </c>
      <c r="C116" t="inlineStr">
        <is>
          <t>SHELVES</t>
        </is>
      </c>
      <c r="D116" t="inlineStr">
        <is>
          <t>PR1205 .G3 1967</t>
        </is>
      </c>
      <c r="E116" t="inlineStr">
        <is>
          <t>0                      PR 1205000G  3           1967</t>
        </is>
      </c>
      <c r="F116" t="inlineStr">
        <is>
          <t>The metaphysical poets; selected and edited by Helen Gardner.</t>
        </is>
      </c>
      <c r="H116" t="inlineStr">
        <is>
          <t>No</t>
        </is>
      </c>
      <c r="I116" t="inlineStr">
        <is>
          <t>1</t>
        </is>
      </c>
      <c r="J116" t="inlineStr">
        <is>
          <t>No</t>
        </is>
      </c>
      <c r="K116" t="inlineStr">
        <is>
          <t>No</t>
        </is>
      </c>
      <c r="L116" t="inlineStr">
        <is>
          <t>0</t>
        </is>
      </c>
      <c r="M116" t="inlineStr">
        <is>
          <t>Gardner, Helen, 1908-1986 compiler.</t>
        </is>
      </c>
      <c r="N116" t="inlineStr">
        <is>
          <t>London, Oxford U.P., 1967.</t>
        </is>
      </c>
      <c r="O116" t="inlineStr">
        <is>
          <t>1967</t>
        </is>
      </c>
      <c r="P116" t="inlineStr">
        <is>
          <t>2nd ed.</t>
        </is>
      </c>
      <c r="Q116" t="inlineStr">
        <is>
          <t>eng</t>
        </is>
      </c>
      <c r="R116" t="inlineStr">
        <is>
          <t>enk</t>
        </is>
      </c>
      <c r="T116" t="inlineStr">
        <is>
          <t xml:space="preserve">PR </t>
        </is>
      </c>
      <c r="U116" t="n">
        <v>2</v>
      </c>
      <c r="V116" t="n">
        <v>2</v>
      </c>
      <c r="W116" t="inlineStr">
        <is>
          <t>1997-09-08</t>
        </is>
      </c>
      <c r="X116" t="inlineStr">
        <is>
          <t>1997-09-08</t>
        </is>
      </c>
      <c r="Y116" t="inlineStr">
        <is>
          <t>1997-07-28</t>
        </is>
      </c>
      <c r="Z116" t="inlineStr">
        <is>
          <t>1997-07-28</t>
        </is>
      </c>
      <c r="AA116" t="n">
        <v>688</v>
      </c>
      <c r="AB116" t="n">
        <v>566</v>
      </c>
      <c r="AC116" t="n">
        <v>1314</v>
      </c>
      <c r="AD116" t="n">
        <v>6</v>
      </c>
      <c r="AE116" t="n">
        <v>8</v>
      </c>
      <c r="AF116" t="n">
        <v>23</v>
      </c>
      <c r="AG116" t="n">
        <v>50</v>
      </c>
      <c r="AH116" t="n">
        <v>7</v>
      </c>
      <c r="AI116" t="n">
        <v>22</v>
      </c>
      <c r="AJ116" t="n">
        <v>6</v>
      </c>
      <c r="AK116" t="n">
        <v>10</v>
      </c>
      <c r="AL116" t="n">
        <v>10</v>
      </c>
      <c r="AM116" t="n">
        <v>23</v>
      </c>
      <c r="AN116" t="n">
        <v>5</v>
      </c>
      <c r="AO116" t="n">
        <v>7</v>
      </c>
      <c r="AP116" t="n">
        <v>0</v>
      </c>
      <c r="AQ116" t="n">
        <v>0</v>
      </c>
      <c r="AR116" t="inlineStr">
        <is>
          <t>No</t>
        </is>
      </c>
      <c r="AS116" t="inlineStr">
        <is>
          <t>Yes</t>
        </is>
      </c>
      <c r="AT116">
        <f>HYPERLINK("http://catalog.hathitrust.org/Record/000713730","HathiTrust Record")</f>
        <v/>
      </c>
      <c r="AU116">
        <f>HYPERLINK("https://creighton-primo.hosted.exlibrisgroup.com/primo-explore/search?tab=default_tab&amp;search_scope=EVERYTHING&amp;vid=01CRU&amp;lang=en_US&amp;offset=0&amp;query=any,contains,991003985119702656","Catalog Record")</f>
        <v/>
      </c>
      <c r="AV116">
        <f>HYPERLINK("http://www.worldcat.org/oclc/2028238","WorldCat Record")</f>
        <v/>
      </c>
      <c r="AW116" t="inlineStr">
        <is>
          <t>115347198:eng</t>
        </is>
      </c>
      <c r="AX116" t="inlineStr">
        <is>
          <t>2028238</t>
        </is>
      </c>
      <c r="AY116" t="inlineStr">
        <is>
          <t>991003985119702656</t>
        </is>
      </c>
      <c r="AZ116" t="inlineStr">
        <is>
          <t>991003985119702656</t>
        </is>
      </c>
      <c r="BA116" t="inlineStr">
        <is>
          <t>2266928270002656</t>
        </is>
      </c>
      <c r="BB116" t="inlineStr">
        <is>
          <t>BOOK</t>
        </is>
      </c>
      <c r="BE116" t="inlineStr">
        <is>
          <t>32285002964400</t>
        </is>
      </c>
      <c r="BF116" t="inlineStr">
        <is>
          <t>893259176</t>
        </is>
      </c>
    </row>
    <row r="117">
      <c r="A117" t="inlineStr">
        <is>
          <t>No</t>
        </is>
      </c>
      <c r="B117" t="inlineStr">
        <is>
          <t>CURAL</t>
        </is>
      </c>
      <c r="C117" t="inlineStr">
        <is>
          <t>SHELVES</t>
        </is>
      </c>
      <c r="D117" t="inlineStr">
        <is>
          <t>PR1209 .C27</t>
        </is>
      </c>
      <c r="E117" t="inlineStr">
        <is>
          <t>0                      PR 1209000C  27</t>
        </is>
      </c>
      <c r="F117" t="inlineStr">
        <is>
          <t>Cavalier poets : selected poems / edited with an introd. and notes by Thomas Clayton. --</t>
        </is>
      </c>
      <c r="H117" t="inlineStr">
        <is>
          <t>No</t>
        </is>
      </c>
      <c r="I117" t="inlineStr">
        <is>
          <t>1</t>
        </is>
      </c>
      <c r="J117" t="inlineStr">
        <is>
          <t>No</t>
        </is>
      </c>
      <c r="K117" t="inlineStr">
        <is>
          <t>No</t>
        </is>
      </c>
      <c r="L117" t="inlineStr">
        <is>
          <t>0</t>
        </is>
      </c>
      <c r="N117" t="inlineStr">
        <is>
          <t>Oxford [Eng.] ; New York : Oxford University Press, 1978.</t>
        </is>
      </c>
      <c r="O117" t="inlineStr">
        <is>
          <t>1978</t>
        </is>
      </c>
      <c r="Q117" t="inlineStr">
        <is>
          <t>eng</t>
        </is>
      </c>
      <c r="R117" t="inlineStr">
        <is>
          <t>enk</t>
        </is>
      </c>
      <c r="T117" t="inlineStr">
        <is>
          <t xml:space="preserve">PR </t>
        </is>
      </c>
      <c r="U117" t="n">
        <v>1</v>
      </c>
      <c r="V117" t="n">
        <v>1</v>
      </c>
      <c r="W117" t="inlineStr">
        <is>
          <t>1995-09-10</t>
        </is>
      </c>
      <c r="X117" t="inlineStr">
        <is>
          <t>1995-09-10</t>
        </is>
      </c>
      <c r="Y117" t="inlineStr">
        <is>
          <t>1991-09-23</t>
        </is>
      </c>
      <c r="Z117" t="inlineStr">
        <is>
          <t>1991-09-23</t>
        </is>
      </c>
      <c r="AA117" t="n">
        <v>487</v>
      </c>
      <c r="AB117" t="n">
        <v>349</v>
      </c>
      <c r="AC117" t="n">
        <v>358</v>
      </c>
      <c r="AD117" t="n">
        <v>4</v>
      </c>
      <c r="AE117" t="n">
        <v>4</v>
      </c>
      <c r="AF117" t="n">
        <v>13</v>
      </c>
      <c r="AG117" t="n">
        <v>14</v>
      </c>
      <c r="AH117" t="n">
        <v>2</v>
      </c>
      <c r="AI117" t="n">
        <v>2</v>
      </c>
      <c r="AJ117" t="n">
        <v>3</v>
      </c>
      <c r="AK117" t="n">
        <v>4</v>
      </c>
      <c r="AL117" t="n">
        <v>7</v>
      </c>
      <c r="AM117" t="n">
        <v>8</v>
      </c>
      <c r="AN117" t="n">
        <v>3</v>
      </c>
      <c r="AO117" t="n">
        <v>3</v>
      </c>
      <c r="AP117" t="n">
        <v>0</v>
      </c>
      <c r="AQ117" t="n">
        <v>0</v>
      </c>
      <c r="AR117" t="inlineStr">
        <is>
          <t>No</t>
        </is>
      </c>
      <c r="AS117" t="inlineStr">
        <is>
          <t>Yes</t>
        </is>
      </c>
      <c r="AT117">
        <f>HYPERLINK("http://catalog.hathitrust.org/Record/000292469","HathiTrust Record")</f>
        <v/>
      </c>
      <c r="AU117">
        <f>HYPERLINK("https://creighton-primo.hosted.exlibrisgroup.com/primo-explore/search?tab=default_tab&amp;search_scope=EVERYTHING&amp;vid=01CRU&amp;lang=en_US&amp;offset=0&amp;query=any,contains,991004351689702656","Catalog Record")</f>
        <v/>
      </c>
      <c r="AV117">
        <f>HYPERLINK("http://www.worldcat.org/oclc/3120865","WorldCat Record")</f>
        <v/>
      </c>
      <c r="AW117" t="inlineStr">
        <is>
          <t>4916542973:eng</t>
        </is>
      </c>
      <c r="AX117" t="inlineStr">
        <is>
          <t>3120865</t>
        </is>
      </c>
      <c r="AY117" t="inlineStr">
        <is>
          <t>991004351689702656</t>
        </is>
      </c>
      <c r="AZ117" t="inlineStr">
        <is>
          <t>991004351689702656</t>
        </is>
      </c>
      <c r="BA117" t="inlineStr">
        <is>
          <t>2263873820002656</t>
        </is>
      </c>
      <c r="BB117" t="inlineStr">
        <is>
          <t>BOOK</t>
        </is>
      </c>
      <c r="BD117" t="inlineStr">
        <is>
          <t>9780192541710</t>
        </is>
      </c>
      <c r="BE117" t="inlineStr">
        <is>
          <t>32285000761220</t>
        </is>
      </c>
      <c r="BF117" t="inlineStr">
        <is>
          <t>893618562</t>
        </is>
      </c>
    </row>
    <row r="118">
      <c r="A118" t="inlineStr">
        <is>
          <t>No</t>
        </is>
      </c>
      <c r="B118" t="inlineStr">
        <is>
          <t>CURAL</t>
        </is>
      </c>
      <c r="C118" t="inlineStr">
        <is>
          <t>SHELVES</t>
        </is>
      </c>
      <c r="D118" t="inlineStr">
        <is>
          <t>PR1209 .E5</t>
        </is>
      </c>
      <c r="E118" t="inlineStr">
        <is>
          <t>0                      PR 1209000E  5</t>
        </is>
      </c>
      <c r="F118" t="inlineStr">
        <is>
          <t>The English Spenserians : the poetry of Giles Fletcher, George Wither, Michael Drayton, Phineas Fletcher, and Henry More / edited by William B. Hunter, Jr.</t>
        </is>
      </c>
      <c r="H118" t="inlineStr">
        <is>
          <t>No</t>
        </is>
      </c>
      <c r="I118" t="inlineStr">
        <is>
          <t>1</t>
        </is>
      </c>
      <c r="J118" t="inlineStr">
        <is>
          <t>No</t>
        </is>
      </c>
      <c r="K118" t="inlineStr">
        <is>
          <t>No</t>
        </is>
      </c>
      <c r="L118" t="inlineStr">
        <is>
          <t>0</t>
        </is>
      </c>
      <c r="N118" t="inlineStr">
        <is>
          <t>Salt Lake City : University of Utah Press, c1977.</t>
        </is>
      </c>
      <c r="O118" t="inlineStr">
        <is>
          <t>1977</t>
        </is>
      </c>
      <c r="Q118" t="inlineStr">
        <is>
          <t>eng</t>
        </is>
      </c>
      <c r="R118" t="inlineStr">
        <is>
          <t>utu</t>
        </is>
      </c>
      <c r="T118" t="inlineStr">
        <is>
          <t xml:space="preserve">PR </t>
        </is>
      </c>
      <c r="U118" t="n">
        <v>0</v>
      </c>
      <c r="V118" t="n">
        <v>0</v>
      </c>
      <c r="W118" t="inlineStr">
        <is>
          <t>2002-10-29</t>
        </is>
      </c>
      <c r="X118" t="inlineStr">
        <is>
          <t>2002-10-29</t>
        </is>
      </c>
      <c r="Y118" t="inlineStr">
        <is>
          <t>1991-10-01</t>
        </is>
      </c>
      <c r="Z118" t="inlineStr">
        <is>
          <t>1991-10-01</t>
        </is>
      </c>
      <c r="AA118" t="n">
        <v>611</v>
      </c>
      <c r="AB118" t="n">
        <v>498</v>
      </c>
      <c r="AC118" t="n">
        <v>505</v>
      </c>
      <c r="AD118" t="n">
        <v>3</v>
      </c>
      <c r="AE118" t="n">
        <v>3</v>
      </c>
      <c r="AF118" t="n">
        <v>30</v>
      </c>
      <c r="AG118" t="n">
        <v>30</v>
      </c>
      <c r="AH118" t="n">
        <v>13</v>
      </c>
      <c r="AI118" t="n">
        <v>13</v>
      </c>
      <c r="AJ118" t="n">
        <v>7</v>
      </c>
      <c r="AK118" t="n">
        <v>7</v>
      </c>
      <c r="AL118" t="n">
        <v>17</v>
      </c>
      <c r="AM118" t="n">
        <v>17</v>
      </c>
      <c r="AN118" t="n">
        <v>2</v>
      </c>
      <c r="AO118" t="n">
        <v>2</v>
      </c>
      <c r="AP118" t="n">
        <v>0</v>
      </c>
      <c r="AQ118" t="n">
        <v>0</v>
      </c>
      <c r="AR118" t="inlineStr">
        <is>
          <t>No</t>
        </is>
      </c>
      <c r="AS118" t="inlineStr">
        <is>
          <t>Yes</t>
        </is>
      </c>
      <c r="AT118">
        <f>HYPERLINK("http://catalog.hathitrust.org/Record/000747514","HathiTrust Record")</f>
        <v/>
      </c>
      <c r="AU118">
        <f>HYPERLINK("https://creighton-primo.hosted.exlibrisgroup.com/primo-explore/search?tab=default_tab&amp;search_scope=EVERYTHING&amp;vid=01CRU&amp;lang=en_US&amp;offset=0&amp;query=any,contains,991004396829702656","Catalog Record")</f>
        <v/>
      </c>
      <c r="AV118">
        <f>HYPERLINK("http://www.worldcat.org/oclc/3283065","WorldCat Record")</f>
        <v/>
      </c>
      <c r="AW118" t="inlineStr">
        <is>
          <t>792258202:eng</t>
        </is>
      </c>
      <c r="AX118" t="inlineStr">
        <is>
          <t>3283065</t>
        </is>
      </c>
      <c r="AY118" t="inlineStr">
        <is>
          <t>991004396829702656</t>
        </is>
      </c>
      <c r="AZ118" t="inlineStr">
        <is>
          <t>991004396829702656</t>
        </is>
      </c>
      <c r="BA118" t="inlineStr">
        <is>
          <t>2258152280002656</t>
        </is>
      </c>
      <c r="BB118" t="inlineStr">
        <is>
          <t>BOOK</t>
        </is>
      </c>
      <c r="BD118" t="inlineStr">
        <is>
          <t>9780874801101</t>
        </is>
      </c>
      <c r="BE118" t="inlineStr">
        <is>
          <t>32285000761238</t>
        </is>
      </c>
      <c r="BF118" t="inlineStr">
        <is>
          <t>893800930</t>
        </is>
      </c>
    </row>
    <row r="119">
      <c r="A119" t="inlineStr">
        <is>
          <t>No</t>
        </is>
      </c>
      <c r="B119" t="inlineStr">
        <is>
          <t>CURAL</t>
        </is>
      </c>
      <c r="C119" t="inlineStr">
        <is>
          <t>SHELVES</t>
        </is>
      </c>
      <c r="D119" t="inlineStr">
        <is>
          <t>PR1209 .J32 1981</t>
        </is>
      </c>
      <c r="E119" t="inlineStr">
        <is>
          <t>0                      PR 1209000J  32          1981</t>
        </is>
      </c>
      <c r="F119" t="inlineStr">
        <is>
          <t>Jacobean and Caroline poetry : an anthology / edited by T.G.S. Cain.</t>
        </is>
      </c>
      <c r="H119" t="inlineStr">
        <is>
          <t>No</t>
        </is>
      </c>
      <c r="I119" t="inlineStr">
        <is>
          <t>1</t>
        </is>
      </c>
      <c r="J119" t="inlineStr">
        <is>
          <t>No</t>
        </is>
      </c>
      <c r="K119" t="inlineStr">
        <is>
          <t>No</t>
        </is>
      </c>
      <c r="L119" t="inlineStr">
        <is>
          <t>0</t>
        </is>
      </c>
      <c r="N119" t="inlineStr">
        <is>
          <t>London ; New York : Methuen, 1981.</t>
        </is>
      </c>
      <c r="O119" t="inlineStr">
        <is>
          <t>1981</t>
        </is>
      </c>
      <c r="Q119" t="inlineStr">
        <is>
          <t>eng</t>
        </is>
      </c>
      <c r="R119" t="inlineStr">
        <is>
          <t>enk</t>
        </is>
      </c>
      <c r="T119" t="inlineStr">
        <is>
          <t xml:space="preserve">PR </t>
        </is>
      </c>
      <c r="U119" t="n">
        <v>2</v>
      </c>
      <c r="V119" t="n">
        <v>2</v>
      </c>
      <c r="W119" t="inlineStr">
        <is>
          <t>1992-05-13</t>
        </is>
      </c>
      <c r="X119" t="inlineStr">
        <is>
          <t>1992-05-13</t>
        </is>
      </c>
      <c r="Y119" t="inlineStr">
        <is>
          <t>1991-09-23</t>
        </is>
      </c>
      <c r="Z119" t="inlineStr">
        <is>
          <t>1991-09-23</t>
        </is>
      </c>
      <c r="AA119" t="n">
        <v>249</v>
      </c>
      <c r="AB119" t="n">
        <v>145</v>
      </c>
      <c r="AC119" t="n">
        <v>152</v>
      </c>
      <c r="AD119" t="n">
        <v>1</v>
      </c>
      <c r="AE119" t="n">
        <v>1</v>
      </c>
      <c r="AF119" t="n">
        <v>9</v>
      </c>
      <c r="AG119" t="n">
        <v>9</v>
      </c>
      <c r="AH119" t="n">
        <v>3</v>
      </c>
      <c r="AI119" t="n">
        <v>3</v>
      </c>
      <c r="AJ119" t="n">
        <v>2</v>
      </c>
      <c r="AK119" t="n">
        <v>2</v>
      </c>
      <c r="AL119" t="n">
        <v>6</v>
      </c>
      <c r="AM119" t="n">
        <v>6</v>
      </c>
      <c r="AN119" t="n">
        <v>0</v>
      </c>
      <c r="AO119" t="n">
        <v>0</v>
      </c>
      <c r="AP119" t="n">
        <v>0</v>
      </c>
      <c r="AQ119" t="n">
        <v>0</v>
      </c>
      <c r="AR119" t="inlineStr">
        <is>
          <t>No</t>
        </is>
      </c>
      <c r="AS119" t="inlineStr">
        <is>
          <t>Yes</t>
        </is>
      </c>
      <c r="AT119">
        <f>HYPERLINK("http://catalog.hathitrust.org/Record/000116978","HathiTrust Record")</f>
        <v/>
      </c>
      <c r="AU119">
        <f>HYPERLINK("https://creighton-primo.hosted.exlibrisgroup.com/primo-explore/search?tab=default_tab&amp;search_scope=EVERYTHING&amp;vid=01CRU&amp;lang=en_US&amp;offset=0&amp;query=any,contains,991005238759702656","Catalog Record")</f>
        <v/>
      </c>
      <c r="AV119">
        <f>HYPERLINK("http://www.worldcat.org/oclc/8398658","WorldCat Record")</f>
        <v/>
      </c>
      <c r="AW119" t="inlineStr">
        <is>
          <t>796531258:eng</t>
        </is>
      </c>
      <c r="AX119" t="inlineStr">
        <is>
          <t>8398658</t>
        </is>
      </c>
      <c r="AY119" t="inlineStr">
        <is>
          <t>991005238759702656</t>
        </is>
      </c>
      <c r="AZ119" t="inlineStr">
        <is>
          <t>991005238759702656</t>
        </is>
      </c>
      <c r="BA119" t="inlineStr">
        <is>
          <t>2261621690002656</t>
        </is>
      </c>
      <c r="BB119" t="inlineStr">
        <is>
          <t>BOOK</t>
        </is>
      </c>
      <c r="BD119" t="inlineStr">
        <is>
          <t>9780416310603</t>
        </is>
      </c>
      <c r="BE119" t="inlineStr">
        <is>
          <t>32285000761246</t>
        </is>
      </c>
      <c r="BF119" t="inlineStr">
        <is>
          <t>893437380</t>
        </is>
      </c>
    </row>
    <row r="120">
      <c r="A120" t="inlineStr">
        <is>
          <t>No</t>
        </is>
      </c>
      <c r="B120" t="inlineStr">
        <is>
          <t>CURAL</t>
        </is>
      </c>
      <c r="C120" t="inlineStr">
        <is>
          <t>SHELVES</t>
        </is>
      </c>
      <c r="D120" t="inlineStr">
        <is>
          <t>PR1209 .P64 1998</t>
        </is>
      </c>
      <c r="E120" t="inlineStr">
        <is>
          <t>0                      PR 1209000P  64          1998</t>
        </is>
      </c>
      <c r="F120" t="inlineStr">
        <is>
          <t>Poetry and revolution : an anthology of British and Irish verse, 1625-1660 / selected, edited, and with an introduction by Peter Davidson.</t>
        </is>
      </c>
      <c r="H120" t="inlineStr">
        <is>
          <t>No</t>
        </is>
      </c>
      <c r="I120" t="inlineStr">
        <is>
          <t>1</t>
        </is>
      </c>
      <c r="J120" t="inlineStr">
        <is>
          <t>No</t>
        </is>
      </c>
      <c r="K120" t="inlineStr">
        <is>
          <t>No</t>
        </is>
      </c>
      <c r="L120" t="inlineStr">
        <is>
          <t>0</t>
        </is>
      </c>
      <c r="N120" t="inlineStr">
        <is>
          <t>Oxford : Clarendon Press ; New York : Oxford University Press, 1998.</t>
        </is>
      </c>
      <c r="O120" t="inlineStr">
        <is>
          <t>1998</t>
        </is>
      </c>
      <c r="Q120" t="inlineStr">
        <is>
          <t>eng</t>
        </is>
      </c>
      <c r="R120" t="inlineStr">
        <is>
          <t>enk</t>
        </is>
      </c>
      <c r="T120" t="inlineStr">
        <is>
          <t xml:space="preserve">PR </t>
        </is>
      </c>
      <c r="U120" t="n">
        <v>1</v>
      </c>
      <c r="V120" t="n">
        <v>1</v>
      </c>
      <c r="W120" t="inlineStr">
        <is>
          <t>2002-12-11</t>
        </is>
      </c>
      <c r="X120" t="inlineStr">
        <is>
          <t>2002-12-11</t>
        </is>
      </c>
      <c r="Y120" t="inlineStr">
        <is>
          <t>2002-12-11</t>
        </is>
      </c>
      <c r="Z120" t="inlineStr">
        <is>
          <t>2002-12-11</t>
        </is>
      </c>
      <c r="AA120" t="n">
        <v>287</v>
      </c>
      <c r="AB120" t="n">
        <v>210</v>
      </c>
      <c r="AC120" t="n">
        <v>250</v>
      </c>
      <c r="AD120" t="n">
        <v>1</v>
      </c>
      <c r="AE120" t="n">
        <v>2</v>
      </c>
      <c r="AF120" t="n">
        <v>12</v>
      </c>
      <c r="AG120" t="n">
        <v>15</v>
      </c>
      <c r="AH120" t="n">
        <v>6</v>
      </c>
      <c r="AI120" t="n">
        <v>6</v>
      </c>
      <c r="AJ120" t="n">
        <v>3</v>
      </c>
      <c r="AK120" t="n">
        <v>5</v>
      </c>
      <c r="AL120" t="n">
        <v>9</v>
      </c>
      <c r="AM120" t="n">
        <v>9</v>
      </c>
      <c r="AN120" t="n">
        <v>0</v>
      </c>
      <c r="AO120" t="n">
        <v>1</v>
      </c>
      <c r="AP120" t="n">
        <v>0</v>
      </c>
      <c r="AQ120" t="n">
        <v>0</v>
      </c>
      <c r="AR120" t="inlineStr">
        <is>
          <t>No</t>
        </is>
      </c>
      <c r="AS120" t="inlineStr">
        <is>
          <t>Yes</t>
        </is>
      </c>
      <c r="AT120">
        <f>HYPERLINK("http://catalog.hathitrust.org/Record/004025366","HathiTrust Record")</f>
        <v/>
      </c>
      <c r="AU120">
        <f>HYPERLINK("https://creighton-primo.hosted.exlibrisgroup.com/primo-explore/search?tab=default_tab&amp;search_scope=EVERYTHING&amp;vid=01CRU&amp;lang=en_US&amp;offset=0&amp;query=any,contains,991003960939702656","Catalog Record")</f>
        <v/>
      </c>
      <c r="AV120">
        <f>HYPERLINK("http://www.worldcat.org/oclc/38067534","WorldCat Record")</f>
        <v/>
      </c>
      <c r="AW120" t="inlineStr">
        <is>
          <t>808414338:eng</t>
        </is>
      </c>
      <c r="AX120" t="inlineStr">
        <is>
          <t>38067534</t>
        </is>
      </c>
      <c r="AY120" t="inlineStr">
        <is>
          <t>991003960939702656</t>
        </is>
      </c>
      <c r="AZ120" t="inlineStr">
        <is>
          <t>991003960939702656</t>
        </is>
      </c>
      <c r="BA120" t="inlineStr">
        <is>
          <t>2260120390002656</t>
        </is>
      </c>
      <c r="BB120" t="inlineStr">
        <is>
          <t>BOOK</t>
        </is>
      </c>
      <c r="BD120" t="inlineStr">
        <is>
          <t>9780198184416</t>
        </is>
      </c>
      <c r="BE120" t="inlineStr">
        <is>
          <t>32285004690821</t>
        </is>
      </c>
      <c r="BF120" t="inlineStr">
        <is>
          <t>893869123</t>
        </is>
      </c>
    </row>
    <row r="121">
      <c r="A121" t="inlineStr">
        <is>
          <t>No</t>
        </is>
      </c>
      <c r="B121" t="inlineStr">
        <is>
          <t>CURAL</t>
        </is>
      </c>
      <c r="C121" t="inlineStr">
        <is>
          <t>SHELVES</t>
        </is>
      </c>
      <c r="D121" t="inlineStr">
        <is>
          <t>PR1215 .N48 1984</t>
        </is>
      </c>
      <c r="E121" t="inlineStr">
        <is>
          <t>0                      PR 1215000N  48          1984</t>
        </is>
      </c>
      <c r="F121" t="inlineStr">
        <is>
          <t>The New Oxford book of eighteenth century verse / chosen and edited by Roger Lonsdale.</t>
        </is>
      </c>
      <c r="H121" t="inlineStr">
        <is>
          <t>No</t>
        </is>
      </c>
      <c r="I121" t="inlineStr">
        <is>
          <t>1</t>
        </is>
      </c>
      <c r="J121" t="inlineStr">
        <is>
          <t>No</t>
        </is>
      </c>
      <c r="K121" t="inlineStr">
        <is>
          <t>No</t>
        </is>
      </c>
      <c r="L121" t="inlineStr">
        <is>
          <t>0</t>
        </is>
      </c>
      <c r="N121" t="inlineStr">
        <is>
          <t>Oxford ; New York : Oxford University Press, 1984.</t>
        </is>
      </c>
      <c r="O121" t="inlineStr">
        <is>
          <t>1984</t>
        </is>
      </c>
      <c r="Q121" t="inlineStr">
        <is>
          <t>eng</t>
        </is>
      </c>
      <c r="R121" t="inlineStr">
        <is>
          <t>enk</t>
        </is>
      </c>
      <c r="T121" t="inlineStr">
        <is>
          <t xml:space="preserve">PR </t>
        </is>
      </c>
      <c r="U121" t="n">
        <v>9</v>
      </c>
      <c r="V121" t="n">
        <v>9</v>
      </c>
      <c r="W121" t="inlineStr">
        <is>
          <t>1996-12-08</t>
        </is>
      </c>
      <c r="X121" t="inlineStr">
        <is>
          <t>1996-12-08</t>
        </is>
      </c>
      <c r="Y121" t="inlineStr">
        <is>
          <t>1990-03-15</t>
        </is>
      </c>
      <c r="Z121" t="inlineStr">
        <is>
          <t>1990-03-15</t>
        </is>
      </c>
      <c r="AA121" t="n">
        <v>1374</v>
      </c>
      <c r="AB121" t="n">
        <v>1101</v>
      </c>
      <c r="AC121" t="n">
        <v>1324</v>
      </c>
      <c r="AD121" t="n">
        <v>6</v>
      </c>
      <c r="AE121" t="n">
        <v>7</v>
      </c>
      <c r="AF121" t="n">
        <v>30</v>
      </c>
      <c r="AG121" t="n">
        <v>37</v>
      </c>
      <c r="AH121" t="n">
        <v>11</v>
      </c>
      <c r="AI121" t="n">
        <v>16</v>
      </c>
      <c r="AJ121" t="n">
        <v>8</v>
      </c>
      <c r="AK121" t="n">
        <v>8</v>
      </c>
      <c r="AL121" t="n">
        <v>18</v>
      </c>
      <c r="AM121" t="n">
        <v>20</v>
      </c>
      <c r="AN121" t="n">
        <v>4</v>
      </c>
      <c r="AO121" t="n">
        <v>5</v>
      </c>
      <c r="AP121" t="n">
        <v>0</v>
      </c>
      <c r="AQ121" t="n">
        <v>0</v>
      </c>
      <c r="AR121" t="inlineStr">
        <is>
          <t>No</t>
        </is>
      </c>
      <c r="AS121" t="inlineStr">
        <is>
          <t>Yes</t>
        </is>
      </c>
      <c r="AT121">
        <f>HYPERLINK("http://catalog.hathitrust.org/Record/000453935","HathiTrust Record")</f>
        <v/>
      </c>
      <c r="AU121">
        <f>HYPERLINK("https://creighton-primo.hosted.exlibrisgroup.com/primo-explore/search?tab=default_tab&amp;search_scope=EVERYTHING&amp;vid=01CRU&amp;lang=en_US&amp;offset=0&amp;query=any,contains,991000282149702656","Catalog Record")</f>
        <v/>
      </c>
      <c r="AV121">
        <f>HYPERLINK("http://www.worldcat.org/oclc/9919213","WorldCat Record")</f>
        <v/>
      </c>
      <c r="AW121" t="inlineStr">
        <is>
          <t>54593497:eng</t>
        </is>
      </c>
      <c r="AX121" t="inlineStr">
        <is>
          <t>9919213</t>
        </is>
      </c>
      <c r="AY121" t="inlineStr">
        <is>
          <t>991000282149702656</t>
        </is>
      </c>
      <c r="AZ121" t="inlineStr">
        <is>
          <t>991000282149702656</t>
        </is>
      </c>
      <c r="BA121" t="inlineStr">
        <is>
          <t>2268088710002656</t>
        </is>
      </c>
      <c r="BB121" t="inlineStr">
        <is>
          <t>BOOK</t>
        </is>
      </c>
      <c r="BD121" t="inlineStr">
        <is>
          <t>9780192141224</t>
        </is>
      </c>
      <c r="BE121" t="inlineStr">
        <is>
          <t>32285000063866</t>
        </is>
      </c>
      <c r="BF121" t="inlineStr">
        <is>
          <t>893614068</t>
        </is>
      </c>
    </row>
    <row r="122">
      <c r="A122" t="inlineStr">
        <is>
          <t>No</t>
        </is>
      </c>
      <c r="B122" t="inlineStr">
        <is>
          <t>CURAL</t>
        </is>
      </c>
      <c r="C122" t="inlineStr">
        <is>
          <t>SHELVES</t>
        </is>
      </c>
      <c r="D122" t="inlineStr">
        <is>
          <t>PR1215 .S75 1964</t>
        </is>
      </c>
      <c r="E122" t="inlineStr">
        <is>
          <t>0                      PR 1215000S  75          1964</t>
        </is>
      </c>
      <c r="F122" t="inlineStr">
        <is>
          <t>Eighteenth-century poetry / edited by Patricia Meyer Spacks.</t>
        </is>
      </c>
      <c r="H122" t="inlineStr">
        <is>
          <t>No</t>
        </is>
      </c>
      <c r="I122" t="inlineStr">
        <is>
          <t>1</t>
        </is>
      </c>
      <c r="J122" t="inlineStr">
        <is>
          <t>No</t>
        </is>
      </c>
      <c r="K122" t="inlineStr">
        <is>
          <t>No</t>
        </is>
      </c>
      <c r="L122" t="inlineStr">
        <is>
          <t>0</t>
        </is>
      </c>
      <c r="N122" t="inlineStr">
        <is>
          <t>Englewood Cliffs, N.J. : Prentice-Hall, [1964]</t>
        </is>
      </c>
      <c r="O122" t="inlineStr">
        <is>
          <t>1964</t>
        </is>
      </c>
      <c r="Q122" t="inlineStr">
        <is>
          <t>eng</t>
        </is>
      </c>
      <c r="R122" t="inlineStr">
        <is>
          <t>nju</t>
        </is>
      </c>
      <c r="S122" t="inlineStr">
        <is>
          <t>Prentice-Hall English literature series</t>
        </is>
      </c>
      <c r="T122" t="inlineStr">
        <is>
          <t xml:space="preserve">PR </t>
        </is>
      </c>
      <c r="U122" t="n">
        <v>1</v>
      </c>
      <c r="V122" t="n">
        <v>1</v>
      </c>
      <c r="W122" t="inlineStr">
        <is>
          <t>2003-09-10</t>
        </is>
      </c>
      <c r="X122" t="inlineStr">
        <is>
          <t>2003-09-10</t>
        </is>
      </c>
      <c r="Y122" t="inlineStr">
        <is>
          <t>2003-09-10</t>
        </is>
      </c>
      <c r="Z122" t="inlineStr">
        <is>
          <t>2003-09-10</t>
        </is>
      </c>
      <c r="AA122" t="n">
        <v>669</v>
      </c>
      <c r="AB122" t="n">
        <v>601</v>
      </c>
      <c r="AC122" t="n">
        <v>608</v>
      </c>
      <c r="AD122" t="n">
        <v>3</v>
      </c>
      <c r="AE122" t="n">
        <v>3</v>
      </c>
      <c r="AF122" t="n">
        <v>21</v>
      </c>
      <c r="AG122" t="n">
        <v>21</v>
      </c>
      <c r="AH122" t="n">
        <v>9</v>
      </c>
      <c r="AI122" t="n">
        <v>9</v>
      </c>
      <c r="AJ122" t="n">
        <v>4</v>
      </c>
      <c r="AK122" t="n">
        <v>4</v>
      </c>
      <c r="AL122" t="n">
        <v>11</v>
      </c>
      <c r="AM122" t="n">
        <v>11</v>
      </c>
      <c r="AN122" t="n">
        <v>2</v>
      </c>
      <c r="AO122" t="n">
        <v>2</v>
      </c>
      <c r="AP122" t="n">
        <v>0</v>
      </c>
      <c r="AQ122" t="n">
        <v>0</v>
      </c>
      <c r="AR122" t="inlineStr">
        <is>
          <t>No</t>
        </is>
      </c>
      <c r="AS122" t="inlineStr">
        <is>
          <t>Yes</t>
        </is>
      </c>
      <c r="AT122">
        <f>HYPERLINK("http://catalog.hathitrust.org/Record/007858960","HathiTrust Record")</f>
        <v/>
      </c>
      <c r="AU122">
        <f>HYPERLINK("https://creighton-primo.hosted.exlibrisgroup.com/primo-explore/search?tab=default_tab&amp;search_scope=EVERYTHING&amp;vid=01CRU&amp;lang=en_US&amp;offset=0&amp;query=any,contains,991004119659702656","Catalog Record")</f>
        <v/>
      </c>
      <c r="AV122">
        <f>HYPERLINK("http://www.worldcat.org/oclc/1367464","WorldCat Record")</f>
        <v/>
      </c>
      <c r="AW122" t="inlineStr">
        <is>
          <t>3863696619:eng</t>
        </is>
      </c>
      <c r="AX122" t="inlineStr">
        <is>
          <t>1367464</t>
        </is>
      </c>
      <c r="AY122" t="inlineStr">
        <is>
          <t>991004119659702656</t>
        </is>
      </c>
      <c r="AZ122" t="inlineStr">
        <is>
          <t>991004119659702656</t>
        </is>
      </c>
      <c r="BA122" t="inlineStr">
        <is>
          <t>2256480940002656</t>
        </is>
      </c>
      <c r="BB122" t="inlineStr">
        <is>
          <t>BOOK</t>
        </is>
      </c>
      <c r="BE122" t="inlineStr">
        <is>
          <t>32285004781778</t>
        </is>
      </c>
      <c r="BF122" t="inlineStr">
        <is>
          <t>893894574</t>
        </is>
      </c>
    </row>
    <row r="123">
      <c r="A123" t="inlineStr">
        <is>
          <t>No</t>
        </is>
      </c>
      <c r="B123" t="inlineStr">
        <is>
          <t>CURAL</t>
        </is>
      </c>
      <c r="C123" t="inlineStr">
        <is>
          <t>SHELVES</t>
        </is>
      </c>
      <c r="D123" t="inlineStr">
        <is>
          <t>PR1221 .C26</t>
        </is>
      </c>
      <c r="E123" t="inlineStr">
        <is>
          <t>0                      PR 1221000C  26</t>
        </is>
      </c>
      <c r="F123" t="inlineStr">
        <is>
          <t>Poetry and criticism of the romantic movement; editors: Oscar James Campbell ... J. F. A. Pyre ... [and] Bennett Weaver ...</t>
        </is>
      </c>
      <c r="H123" t="inlineStr">
        <is>
          <t>No</t>
        </is>
      </c>
      <c r="I123" t="inlineStr">
        <is>
          <t>1</t>
        </is>
      </c>
      <c r="J123" t="inlineStr">
        <is>
          <t>No</t>
        </is>
      </c>
      <c r="K123" t="inlineStr">
        <is>
          <t>No</t>
        </is>
      </c>
      <c r="L123" t="inlineStr">
        <is>
          <t>0</t>
        </is>
      </c>
      <c r="M123" t="inlineStr">
        <is>
          <t>Campbell, Oscar James, 1879-1970, editor.</t>
        </is>
      </c>
      <c r="N123" t="inlineStr">
        <is>
          <t>New York, F. S. Crofts &amp; co., 1932.</t>
        </is>
      </c>
      <c r="O123" t="inlineStr">
        <is>
          <t>1932</t>
        </is>
      </c>
      <c r="Q123" t="inlineStr">
        <is>
          <t>eng</t>
        </is>
      </c>
      <c r="R123" t="inlineStr">
        <is>
          <t>nyu</t>
        </is>
      </c>
      <c r="T123" t="inlineStr">
        <is>
          <t xml:space="preserve">PR </t>
        </is>
      </c>
      <c r="U123" t="n">
        <v>9</v>
      </c>
      <c r="V123" t="n">
        <v>9</v>
      </c>
      <c r="W123" t="inlineStr">
        <is>
          <t>1999-02-17</t>
        </is>
      </c>
      <c r="X123" t="inlineStr">
        <is>
          <t>1999-02-17</t>
        </is>
      </c>
      <c r="Y123" t="inlineStr">
        <is>
          <t>1997-07-28</t>
        </is>
      </c>
      <c r="Z123" t="inlineStr">
        <is>
          <t>1997-07-28</t>
        </is>
      </c>
      <c r="AA123" t="n">
        <v>313</v>
      </c>
      <c r="AB123" t="n">
        <v>292</v>
      </c>
      <c r="AC123" t="n">
        <v>567</v>
      </c>
      <c r="AD123" t="n">
        <v>3</v>
      </c>
      <c r="AE123" t="n">
        <v>6</v>
      </c>
      <c r="AF123" t="n">
        <v>13</v>
      </c>
      <c r="AG123" t="n">
        <v>24</v>
      </c>
      <c r="AH123" t="n">
        <v>5</v>
      </c>
      <c r="AI123" t="n">
        <v>9</v>
      </c>
      <c r="AJ123" t="n">
        <v>3</v>
      </c>
      <c r="AK123" t="n">
        <v>5</v>
      </c>
      <c r="AL123" t="n">
        <v>6</v>
      </c>
      <c r="AM123" t="n">
        <v>11</v>
      </c>
      <c r="AN123" t="n">
        <v>2</v>
      </c>
      <c r="AO123" t="n">
        <v>5</v>
      </c>
      <c r="AP123" t="n">
        <v>0</v>
      </c>
      <c r="AQ123" t="n">
        <v>0</v>
      </c>
      <c r="AR123" t="inlineStr">
        <is>
          <t>No</t>
        </is>
      </c>
      <c r="AS123" t="inlineStr">
        <is>
          <t>No</t>
        </is>
      </c>
      <c r="AT123">
        <f>HYPERLINK("http://catalog.hathitrust.org/Record/001004246","HathiTrust Record")</f>
        <v/>
      </c>
      <c r="AU123">
        <f>HYPERLINK("https://creighton-primo.hosted.exlibrisgroup.com/primo-explore/search?tab=default_tab&amp;search_scope=EVERYTHING&amp;vid=01CRU&amp;lang=en_US&amp;offset=0&amp;query=any,contains,991002444089702656","Catalog Record")</f>
        <v/>
      </c>
      <c r="AV123">
        <f>HYPERLINK("http://www.worldcat.org/oclc/351000","WorldCat Record")</f>
        <v/>
      </c>
      <c r="AW123" t="inlineStr">
        <is>
          <t>1347670:eng</t>
        </is>
      </c>
      <c r="AX123" t="inlineStr">
        <is>
          <t>351000</t>
        </is>
      </c>
      <c r="AY123" t="inlineStr">
        <is>
          <t>991002444089702656</t>
        </is>
      </c>
      <c r="AZ123" t="inlineStr">
        <is>
          <t>991002444089702656</t>
        </is>
      </c>
      <c r="BA123" t="inlineStr">
        <is>
          <t>2266527380002656</t>
        </is>
      </c>
      <c r="BB123" t="inlineStr">
        <is>
          <t>BOOK</t>
        </is>
      </c>
      <c r="BE123" t="inlineStr">
        <is>
          <t>32285002964665</t>
        </is>
      </c>
      <c r="BF123" t="inlineStr">
        <is>
          <t>893322949</t>
        </is>
      </c>
    </row>
    <row r="124">
      <c r="A124" t="inlineStr">
        <is>
          <t>No</t>
        </is>
      </c>
      <c r="B124" t="inlineStr">
        <is>
          <t>CURAL</t>
        </is>
      </c>
      <c r="C124" t="inlineStr">
        <is>
          <t>SHELVES</t>
        </is>
      </c>
      <c r="D124" t="inlineStr">
        <is>
          <t>PR1221 .E93</t>
        </is>
      </c>
      <c r="E124" t="inlineStr">
        <is>
          <t>0                      PR 1221000E  93</t>
        </is>
      </c>
      <c r="F124" t="inlineStr">
        <is>
          <t>Everyman's Book of Victorian verse / edited by J. R. Watson.</t>
        </is>
      </c>
      <c r="H124" t="inlineStr">
        <is>
          <t>No</t>
        </is>
      </c>
      <c r="I124" t="inlineStr">
        <is>
          <t>1</t>
        </is>
      </c>
      <c r="J124" t="inlineStr">
        <is>
          <t>No</t>
        </is>
      </c>
      <c r="K124" t="inlineStr">
        <is>
          <t>No</t>
        </is>
      </c>
      <c r="L124" t="inlineStr">
        <is>
          <t>0</t>
        </is>
      </c>
      <c r="N124" t="inlineStr">
        <is>
          <t>London : J. M. Dent, c1982.</t>
        </is>
      </c>
      <c r="O124" t="inlineStr">
        <is>
          <t>1982</t>
        </is>
      </c>
      <c r="Q124" t="inlineStr">
        <is>
          <t>eng</t>
        </is>
      </c>
      <c r="R124" t="inlineStr">
        <is>
          <t>enk</t>
        </is>
      </c>
      <c r="T124" t="inlineStr">
        <is>
          <t xml:space="preserve">PR </t>
        </is>
      </c>
      <c r="U124" t="n">
        <v>2</v>
      </c>
      <c r="V124" t="n">
        <v>2</v>
      </c>
      <c r="W124" t="inlineStr">
        <is>
          <t>1995-04-04</t>
        </is>
      </c>
      <c r="X124" t="inlineStr">
        <is>
          <t>1995-04-04</t>
        </is>
      </c>
      <c r="Y124" t="inlineStr">
        <is>
          <t>1990-04-06</t>
        </is>
      </c>
      <c r="Z124" t="inlineStr">
        <is>
          <t>1990-04-06</t>
        </is>
      </c>
      <c r="AA124" t="n">
        <v>519</v>
      </c>
      <c r="AB124" t="n">
        <v>356</v>
      </c>
      <c r="AC124" t="n">
        <v>363</v>
      </c>
      <c r="AD124" t="n">
        <v>2</v>
      </c>
      <c r="AE124" t="n">
        <v>2</v>
      </c>
      <c r="AF124" t="n">
        <v>8</v>
      </c>
      <c r="AG124" t="n">
        <v>8</v>
      </c>
      <c r="AH124" t="n">
        <v>3</v>
      </c>
      <c r="AI124" t="n">
        <v>3</v>
      </c>
      <c r="AJ124" t="n">
        <v>2</v>
      </c>
      <c r="AK124" t="n">
        <v>2</v>
      </c>
      <c r="AL124" t="n">
        <v>6</v>
      </c>
      <c r="AM124" t="n">
        <v>6</v>
      </c>
      <c r="AN124" t="n">
        <v>1</v>
      </c>
      <c r="AO124" t="n">
        <v>1</v>
      </c>
      <c r="AP124" t="n">
        <v>0</v>
      </c>
      <c r="AQ124" t="n">
        <v>0</v>
      </c>
      <c r="AR124" t="inlineStr">
        <is>
          <t>No</t>
        </is>
      </c>
      <c r="AS124" t="inlineStr">
        <is>
          <t>No</t>
        </is>
      </c>
      <c r="AU124">
        <f>HYPERLINK("https://creighton-primo.hosted.exlibrisgroup.com/primo-explore/search?tab=default_tab&amp;search_scope=EVERYTHING&amp;vid=01CRU&amp;lang=en_US&amp;offset=0&amp;query=any,contains,991000077589702656","Catalog Record")</f>
        <v/>
      </c>
      <c r="AV124">
        <f>HYPERLINK("http://www.worldcat.org/oclc/8817072","WorldCat Record")</f>
        <v/>
      </c>
      <c r="AW124" t="inlineStr">
        <is>
          <t>54526842:eng</t>
        </is>
      </c>
      <c r="AX124" t="inlineStr">
        <is>
          <t>8817072</t>
        </is>
      </c>
      <c r="AY124" t="inlineStr">
        <is>
          <t>991000077589702656</t>
        </is>
      </c>
      <c r="AZ124" t="inlineStr">
        <is>
          <t>991000077589702656</t>
        </is>
      </c>
      <c r="BA124" t="inlineStr">
        <is>
          <t>2272203710002656</t>
        </is>
      </c>
      <c r="BB124" t="inlineStr">
        <is>
          <t>BOOK</t>
        </is>
      </c>
      <c r="BD124" t="inlineStr">
        <is>
          <t>9780460044530</t>
        </is>
      </c>
      <c r="BE124" t="inlineStr">
        <is>
          <t>32285000111889</t>
        </is>
      </c>
      <c r="BF124" t="inlineStr">
        <is>
          <t>893884081</t>
        </is>
      </c>
    </row>
    <row r="125">
      <c r="A125" t="inlineStr">
        <is>
          <t>No</t>
        </is>
      </c>
      <c r="B125" t="inlineStr">
        <is>
          <t>CURAL</t>
        </is>
      </c>
      <c r="C125" t="inlineStr">
        <is>
          <t>SHELVES</t>
        </is>
      </c>
      <c r="D125" t="inlineStr">
        <is>
          <t>PR1221 .O8 1935</t>
        </is>
      </c>
      <c r="E125" t="inlineStr">
        <is>
          <t>0                      PR 1221000O  8           1935</t>
        </is>
      </c>
      <c r="F125" t="inlineStr">
        <is>
          <t>The Oxford book of English verse of the romantic period, 1798-1837 / chosen by H.S. Milford.</t>
        </is>
      </c>
      <c r="H125" t="inlineStr">
        <is>
          <t>No</t>
        </is>
      </c>
      <c r="I125" t="inlineStr">
        <is>
          <t>1</t>
        </is>
      </c>
      <c r="J125" t="inlineStr">
        <is>
          <t>No</t>
        </is>
      </c>
      <c r="K125" t="inlineStr">
        <is>
          <t>No</t>
        </is>
      </c>
      <c r="L125" t="inlineStr">
        <is>
          <t>0</t>
        </is>
      </c>
      <c r="N125" t="inlineStr">
        <is>
          <t>Oxford : Clarendon Press, 1935.</t>
        </is>
      </c>
      <c r="O125" t="inlineStr">
        <is>
          <t>1935</t>
        </is>
      </c>
      <c r="Q125" t="inlineStr">
        <is>
          <t>eng</t>
        </is>
      </c>
      <c r="R125" t="inlineStr">
        <is>
          <t>enk</t>
        </is>
      </c>
      <c r="T125" t="inlineStr">
        <is>
          <t xml:space="preserve">PR </t>
        </is>
      </c>
      <c r="U125" t="n">
        <v>3</v>
      </c>
      <c r="V125" t="n">
        <v>3</v>
      </c>
      <c r="W125" t="inlineStr">
        <is>
          <t>1999-02-17</t>
        </is>
      </c>
      <c r="X125" t="inlineStr">
        <is>
          <t>1999-02-17</t>
        </is>
      </c>
      <c r="Y125" t="inlineStr">
        <is>
          <t>1997-07-28</t>
        </is>
      </c>
      <c r="Z125" t="inlineStr">
        <is>
          <t>1997-07-28</t>
        </is>
      </c>
      <c r="AA125" t="n">
        <v>250</v>
      </c>
      <c r="AB125" t="n">
        <v>194</v>
      </c>
      <c r="AC125" t="n">
        <v>396</v>
      </c>
      <c r="AD125" t="n">
        <v>3</v>
      </c>
      <c r="AE125" t="n">
        <v>3</v>
      </c>
      <c r="AF125" t="n">
        <v>16</v>
      </c>
      <c r="AG125" t="n">
        <v>19</v>
      </c>
      <c r="AH125" t="n">
        <v>5</v>
      </c>
      <c r="AI125" t="n">
        <v>8</v>
      </c>
      <c r="AJ125" t="n">
        <v>1</v>
      </c>
      <c r="AK125" t="n">
        <v>1</v>
      </c>
      <c r="AL125" t="n">
        <v>11</v>
      </c>
      <c r="AM125" t="n">
        <v>12</v>
      </c>
      <c r="AN125" t="n">
        <v>2</v>
      </c>
      <c r="AO125" t="n">
        <v>2</v>
      </c>
      <c r="AP125" t="n">
        <v>0</v>
      </c>
      <c r="AQ125" t="n">
        <v>0</v>
      </c>
      <c r="AR125" t="inlineStr">
        <is>
          <t>No</t>
        </is>
      </c>
      <c r="AS125" t="inlineStr">
        <is>
          <t>No</t>
        </is>
      </c>
      <c r="AU125">
        <f>HYPERLINK("https://creighton-primo.hosted.exlibrisgroup.com/primo-explore/search?tab=default_tab&amp;search_scope=EVERYTHING&amp;vid=01CRU&amp;lang=en_US&amp;offset=0&amp;query=any,contains,991001159959702656","Catalog Record")</f>
        <v/>
      </c>
      <c r="AV125">
        <f>HYPERLINK("http://www.worldcat.org/oclc/16876789","WorldCat Record")</f>
        <v/>
      </c>
      <c r="AW125" t="inlineStr">
        <is>
          <t>54299349:eng</t>
        </is>
      </c>
      <c r="AX125" t="inlineStr">
        <is>
          <t>16876789</t>
        </is>
      </c>
      <c r="AY125" t="inlineStr">
        <is>
          <t>991001159959702656</t>
        </is>
      </c>
      <c r="AZ125" t="inlineStr">
        <is>
          <t>991001159959702656</t>
        </is>
      </c>
      <c r="BA125" t="inlineStr">
        <is>
          <t>2257962280002656</t>
        </is>
      </c>
      <c r="BB125" t="inlineStr">
        <is>
          <t>BOOK</t>
        </is>
      </c>
      <c r="BE125" t="inlineStr">
        <is>
          <t>32285002964707</t>
        </is>
      </c>
      <c r="BF125" t="inlineStr">
        <is>
          <t>893791216</t>
        </is>
      </c>
    </row>
    <row r="126">
      <c r="A126" t="inlineStr">
        <is>
          <t>No</t>
        </is>
      </c>
      <c r="B126" t="inlineStr">
        <is>
          <t>CURAL</t>
        </is>
      </c>
      <c r="C126" t="inlineStr">
        <is>
          <t>SHELVES</t>
        </is>
      </c>
      <c r="D126" t="inlineStr">
        <is>
          <t>PR1221 .R4</t>
        </is>
      </c>
      <c r="E126" t="inlineStr">
        <is>
          <t>0                      PR 1221000R  4</t>
        </is>
      </c>
      <c r="F126" t="inlineStr">
        <is>
          <t>English literature : the romantic period / edited by Albert Granberry Reed.</t>
        </is>
      </c>
      <c r="H126" t="inlineStr">
        <is>
          <t>No</t>
        </is>
      </c>
      <c r="I126" t="inlineStr">
        <is>
          <t>1</t>
        </is>
      </c>
      <c r="J126" t="inlineStr">
        <is>
          <t>No</t>
        </is>
      </c>
      <c r="K126" t="inlineStr">
        <is>
          <t>No</t>
        </is>
      </c>
      <c r="L126" t="inlineStr">
        <is>
          <t>0</t>
        </is>
      </c>
      <c r="M126" t="inlineStr">
        <is>
          <t>Reed, Albert Granberry, 1870-1932, editor.</t>
        </is>
      </c>
      <c r="N126" t="inlineStr">
        <is>
          <t>New York ; Chicago : C. Scribner's sons, [c1929]</t>
        </is>
      </c>
      <c r="O126" t="inlineStr">
        <is>
          <t>1929</t>
        </is>
      </c>
      <c r="Q126" t="inlineStr">
        <is>
          <t>eng</t>
        </is>
      </c>
      <c r="R126" t="inlineStr">
        <is>
          <t xml:space="preserve">xx </t>
        </is>
      </c>
      <c r="S126" t="inlineStr">
        <is>
          <t>English literature ... series of anthologies ... under the general editorship of J. D. McCallum. [v.5]</t>
        </is>
      </c>
      <c r="T126" t="inlineStr">
        <is>
          <t xml:space="preserve">PR </t>
        </is>
      </c>
      <c r="U126" t="n">
        <v>6</v>
      </c>
      <c r="V126" t="n">
        <v>6</v>
      </c>
      <c r="W126" t="inlineStr">
        <is>
          <t>1997-09-15</t>
        </is>
      </c>
      <c r="X126" t="inlineStr">
        <is>
          <t>1997-09-15</t>
        </is>
      </c>
      <c r="Y126" t="inlineStr">
        <is>
          <t>1990-04-10</t>
        </is>
      </c>
      <c r="Z126" t="inlineStr">
        <is>
          <t>1990-04-10</t>
        </is>
      </c>
      <c r="AA126" t="n">
        <v>233</v>
      </c>
      <c r="AB126" t="n">
        <v>223</v>
      </c>
      <c r="AC126" t="n">
        <v>252</v>
      </c>
      <c r="AD126" t="n">
        <v>4</v>
      </c>
      <c r="AE126" t="n">
        <v>4</v>
      </c>
      <c r="AF126" t="n">
        <v>18</v>
      </c>
      <c r="AG126" t="n">
        <v>19</v>
      </c>
      <c r="AH126" t="n">
        <v>6</v>
      </c>
      <c r="AI126" t="n">
        <v>6</v>
      </c>
      <c r="AJ126" t="n">
        <v>5</v>
      </c>
      <c r="AK126" t="n">
        <v>5</v>
      </c>
      <c r="AL126" t="n">
        <v>9</v>
      </c>
      <c r="AM126" t="n">
        <v>10</v>
      </c>
      <c r="AN126" t="n">
        <v>3</v>
      </c>
      <c r="AO126" t="n">
        <v>3</v>
      </c>
      <c r="AP126" t="n">
        <v>0</v>
      </c>
      <c r="AQ126" t="n">
        <v>0</v>
      </c>
      <c r="AR126" t="inlineStr">
        <is>
          <t>No</t>
        </is>
      </c>
      <c r="AS126" t="inlineStr">
        <is>
          <t>No</t>
        </is>
      </c>
      <c r="AU126">
        <f>HYPERLINK("https://creighton-primo.hosted.exlibrisgroup.com/primo-explore/search?tab=default_tab&amp;search_scope=EVERYTHING&amp;vid=01CRU&amp;lang=en_US&amp;offset=0&amp;query=any,contains,991002974479702656","Catalog Record")</f>
        <v/>
      </c>
      <c r="AV126">
        <f>HYPERLINK("http://www.worldcat.org/oclc/551153","WorldCat Record")</f>
        <v/>
      </c>
      <c r="AW126" t="inlineStr">
        <is>
          <t>53983331:eng</t>
        </is>
      </c>
      <c r="AX126" t="inlineStr">
        <is>
          <t>551153</t>
        </is>
      </c>
      <c r="AY126" t="inlineStr">
        <is>
          <t>991002974479702656</t>
        </is>
      </c>
      <c r="AZ126" t="inlineStr">
        <is>
          <t>991002974479702656</t>
        </is>
      </c>
      <c r="BA126" t="inlineStr">
        <is>
          <t>2257679330002656</t>
        </is>
      </c>
      <c r="BB126" t="inlineStr">
        <is>
          <t>BOOK</t>
        </is>
      </c>
      <c r="BE126" t="inlineStr">
        <is>
          <t>32285000103852</t>
        </is>
      </c>
      <c r="BF126" t="inlineStr">
        <is>
          <t>893616842</t>
        </is>
      </c>
    </row>
    <row r="127">
      <c r="A127" t="inlineStr">
        <is>
          <t>No</t>
        </is>
      </c>
      <c r="B127" t="inlineStr">
        <is>
          <t>CURAL</t>
        </is>
      </c>
      <c r="C127" t="inlineStr">
        <is>
          <t>SHELVES</t>
        </is>
      </c>
      <c r="D127" t="inlineStr">
        <is>
          <t>PR1221 .S63</t>
        </is>
      </c>
      <c r="E127" t="inlineStr">
        <is>
          <t>0                      PR 1221000S  63</t>
        </is>
      </c>
      <c r="F127" t="inlineStr">
        <is>
          <t>A choice of English romantic poetry ...</t>
        </is>
      </c>
      <c r="H127" t="inlineStr">
        <is>
          <t>No</t>
        </is>
      </c>
      <c r="I127" t="inlineStr">
        <is>
          <t>1</t>
        </is>
      </c>
      <c r="J127" t="inlineStr">
        <is>
          <t>No</t>
        </is>
      </c>
      <c r="K127" t="inlineStr">
        <is>
          <t>No</t>
        </is>
      </c>
      <c r="L127" t="inlineStr">
        <is>
          <t>0</t>
        </is>
      </c>
      <c r="M127" t="inlineStr">
        <is>
          <t>Spender, Stephen, 1909-1995, editor.</t>
        </is>
      </c>
      <c r="N127" t="inlineStr">
        <is>
          <t>New York, The Dial Press, 1947.</t>
        </is>
      </c>
      <c r="O127" t="inlineStr">
        <is>
          <t>1947</t>
        </is>
      </c>
      <c r="Q127" t="inlineStr">
        <is>
          <t>eng</t>
        </is>
      </c>
      <c r="R127" t="inlineStr">
        <is>
          <t>nyu</t>
        </is>
      </c>
      <c r="S127" t="inlineStr">
        <is>
          <t>A Permanent library book</t>
        </is>
      </c>
      <c r="T127" t="inlineStr">
        <is>
          <t xml:space="preserve">PR </t>
        </is>
      </c>
      <c r="U127" t="n">
        <v>1</v>
      </c>
      <c r="V127" t="n">
        <v>1</v>
      </c>
      <c r="W127" t="inlineStr">
        <is>
          <t>1993-02-23</t>
        </is>
      </c>
      <c r="X127" t="inlineStr">
        <is>
          <t>1993-02-23</t>
        </is>
      </c>
      <c r="Y127" t="inlineStr">
        <is>
          <t>1992-01-22</t>
        </is>
      </c>
      <c r="Z127" t="inlineStr">
        <is>
          <t>1992-01-22</t>
        </is>
      </c>
      <c r="AA127" t="n">
        <v>290</v>
      </c>
      <c r="AB127" t="n">
        <v>272</v>
      </c>
      <c r="AC127" t="n">
        <v>633</v>
      </c>
      <c r="AD127" t="n">
        <v>3</v>
      </c>
      <c r="AE127" t="n">
        <v>5</v>
      </c>
      <c r="AF127" t="n">
        <v>9</v>
      </c>
      <c r="AG127" t="n">
        <v>22</v>
      </c>
      <c r="AH127" t="n">
        <v>3</v>
      </c>
      <c r="AI127" t="n">
        <v>10</v>
      </c>
      <c r="AJ127" t="n">
        <v>2</v>
      </c>
      <c r="AK127" t="n">
        <v>5</v>
      </c>
      <c r="AL127" t="n">
        <v>4</v>
      </c>
      <c r="AM127" t="n">
        <v>8</v>
      </c>
      <c r="AN127" t="n">
        <v>2</v>
      </c>
      <c r="AO127" t="n">
        <v>4</v>
      </c>
      <c r="AP127" t="n">
        <v>0</v>
      </c>
      <c r="AQ127" t="n">
        <v>0</v>
      </c>
      <c r="AR127" t="inlineStr">
        <is>
          <t>No</t>
        </is>
      </c>
      <c r="AS127" t="inlineStr">
        <is>
          <t>No</t>
        </is>
      </c>
      <c r="AT127">
        <f>HYPERLINK("http://catalog.hathitrust.org/Record/001016968","HathiTrust Record")</f>
        <v/>
      </c>
      <c r="AU127">
        <f>HYPERLINK("https://creighton-primo.hosted.exlibrisgroup.com/primo-explore/search?tab=default_tab&amp;search_scope=EVERYTHING&amp;vid=01CRU&amp;lang=en_US&amp;offset=0&amp;query=any,contains,991003519459702656","Catalog Record")</f>
        <v/>
      </c>
      <c r="AV127">
        <f>HYPERLINK("http://www.worldcat.org/oclc/1078921","WorldCat Record")</f>
        <v/>
      </c>
      <c r="AW127" t="inlineStr">
        <is>
          <t>52424356:eng</t>
        </is>
      </c>
      <c r="AX127" t="inlineStr">
        <is>
          <t>1078921</t>
        </is>
      </c>
      <c r="AY127" t="inlineStr">
        <is>
          <t>991003519459702656</t>
        </is>
      </c>
      <c r="AZ127" t="inlineStr">
        <is>
          <t>991003519459702656</t>
        </is>
      </c>
      <c r="BA127" t="inlineStr">
        <is>
          <t>2258806580002656</t>
        </is>
      </c>
      <c r="BB127" t="inlineStr">
        <is>
          <t>BOOK</t>
        </is>
      </c>
      <c r="BD127" t="inlineStr">
        <is>
          <t>9780836960648</t>
        </is>
      </c>
      <c r="BE127" t="inlineStr">
        <is>
          <t>32285000898360</t>
        </is>
      </c>
      <c r="BF127" t="inlineStr">
        <is>
          <t>893781090</t>
        </is>
      </c>
    </row>
    <row r="128">
      <c r="A128" t="inlineStr">
        <is>
          <t>No</t>
        </is>
      </c>
      <c r="B128" t="inlineStr">
        <is>
          <t>CURAL</t>
        </is>
      </c>
      <c r="C128" t="inlineStr">
        <is>
          <t>SHELVES</t>
        </is>
      </c>
      <c r="D128" t="inlineStr">
        <is>
          <t>PR1221 .S8 1935</t>
        </is>
      </c>
      <c r="E128" t="inlineStr">
        <is>
          <t>0                      PR 1221000S  8           1935</t>
        </is>
      </c>
      <c r="F128" t="inlineStr">
        <is>
          <t>English romantic poets.</t>
        </is>
      </c>
      <c r="H128" t="inlineStr">
        <is>
          <t>No</t>
        </is>
      </c>
      <c r="I128" t="inlineStr">
        <is>
          <t>1</t>
        </is>
      </c>
      <c r="J128" t="inlineStr">
        <is>
          <t>No</t>
        </is>
      </c>
      <c r="K128" t="inlineStr">
        <is>
          <t>No</t>
        </is>
      </c>
      <c r="L128" t="inlineStr">
        <is>
          <t>0</t>
        </is>
      </c>
      <c r="M128" t="inlineStr">
        <is>
          <t>Stephens, James, 1882-1950.</t>
        </is>
      </c>
      <c r="N128" t="inlineStr">
        <is>
          <t>New York, American book company [c1935]</t>
        </is>
      </c>
      <c r="O128" t="inlineStr">
        <is>
          <t>1935</t>
        </is>
      </c>
      <c r="Q128" t="inlineStr">
        <is>
          <t>eng</t>
        </is>
      </c>
      <c r="R128" t="inlineStr">
        <is>
          <t>nyu</t>
        </is>
      </c>
      <c r="T128" t="inlineStr">
        <is>
          <t xml:space="preserve">PR </t>
        </is>
      </c>
      <c r="U128" t="n">
        <v>3</v>
      </c>
      <c r="V128" t="n">
        <v>3</v>
      </c>
      <c r="W128" t="inlineStr">
        <is>
          <t>1998-03-18</t>
        </is>
      </c>
      <c r="X128" t="inlineStr">
        <is>
          <t>1998-03-18</t>
        </is>
      </c>
      <c r="Y128" t="inlineStr">
        <is>
          <t>1997-09-17</t>
        </is>
      </c>
      <c r="Z128" t="inlineStr">
        <is>
          <t>1997-09-17</t>
        </is>
      </c>
      <c r="AA128" t="n">
        <v>249</v>
      </c>
      <c r="AB128" t="n">
        <v>236</v>
      </c>
      <c r="AC128" t="n">
        <v>756</v>
      </c>
      <c r="AD128" t="n">
        <v>6</v>
      </c>
      <c r="AE128" t="n">
        <v>9</v>
      </c>
      <c r="AF128" t="n">
        <v>20</v>
      </c>
      <c r="AG128" t="n">
        <v>33</v>
      </c>
      <c r="AH128" t="n">
        <v>5</v>
      </c>
      <c r="AI128" t="n">
        <v>11</v>
      </c>
      <c r="AJ128" t="n">
        <v>5</v>
      </c>
      <c r="AK128" t="n">
        <v>6</v>
      </c>
      <c r="AL128" t="n">
        <v>9</v>
      </c>
      <c r="AM128" t="n">
        <v>15</v>
      </c>
      <c r="AN128" t="n">
        <v>5</v>
      </c>
      <c r="AO128" t="n">
        <v>7</v>
      </c>
      <c r="AP128" t="n">
        <v>0</v>
      </c>
      <c r="AQ128" t="n">
        <v>0</v>
      </c>
      <c r="AR128" t="inlineStr">
        <is>
          <t>No</t>
        </is>
      </c>
      <c r="AS128" t="inlineStr">
        <is>
          <t>Yes</t>
        </is>
      </c>
      <c r="AT128">
        <f>HYPERLINK("http://catalog.hathitrust.org/Record/006671306","HathiTrust Record")</f>
        <v/>
      </c>
      <c r="AU128">
        <f>HYPERLINK("https://creighton-primo.hosted.exlibrisgroup.com/primo-explore/search?tab=default_tab&amp;search_scope=EVERYTHING&amp;vid=01CRU&amp;lang=en_US&amp;offset=0&amp;query=any,contains,991002443749702656","Catalog Record")</f>
        <v/>
      </c>
      <c r="AV128">
        <f>HYPERLINK("http://www.worldcat.org/oclc/350925","WorldCat Record")</f>
        <v/>
      </c>
      <c r="AW128" t="inlineStr">
        <is>
          <t>1384911:eng</t>
        </is>
      </c>
      <c r="AX128" t="inlineStr">
        <is>
          <t>350925</t>
        </is>
      </c>
      <c r="AY128" t="inlineStr">
        <is>
          <t>991002443749702656</t>
        </is>
      </c>
      <c r="AZ128" t="inlineStr">
        <is>
          <t>991002443749702656</t>
        </is>
      </c>
      <c r="BA128" t="inlineStr">
        <is>
          <t>2266484580002656</t>
        </is>
      </c>
      <c r="BB128" t="inlineStr">
        <is>
          <t>BOOK</t>
        </is>
      </c>
      <c r="BE128" t="inlineStr">
        <is>
          <t>32285003173571</t>
        </is>
      </c>
      <c r="BF128" t="inlineStr">
        <is>
          <t>893415206</t>
        </is>
      </c>
    </row>
    <row r="129">
      <c r="A129" t="inlineStr">
        <is>
          <t>No</t>
        </is>
      </c>
      <c r="B129" t="inlineStr">
        <is>
          <t>CURAL</t>
        </is>
      </c>
      <c r="C129" t="inlineStr">
        <is>
          <t>SHELVES</t>
        </is>
      </c>
      <c r="D129" t="inlineStr">
        <is>
          <t>PR1223 .H6 1968</t>
        </is>
      </c>
      <c r="E129" t="inlineStr">
        <is>
          <t>0                      PR 1223000H  6           1968</t>
        </is>
      </c>
      <c r="F129" t="inlineStr">
        <is>
          <t>Victorian poetry and poetics / [by] Walter E. Houghton [and] G. Robert Stange. [Under the general editorship of Gordon N. Ray]</t>
        </is>
      </c>
      <c r="H129" t="inlineStr">
        <is>
          <t>No</t>
        </is>
      </c>
      <c r="I129" t="inlineStr">
        <is>
          <t>1</t>
        </is>
      </c>
      <c r="J129" t="inlineStr">
        <is>
          <t>No</t>
        </is>
      </c>
      <c r="K129" t="inlineStr">
        <is>
          <t>No</t>
        </is>
      </c>
      <c r="L129" t="inlineStr">
        <is>
          <t>0</t>
        </is>
      </c>
      <c r="M129" t="inlineStr">
        <is>
          <t>Houghton, Walter E. (Walter Edwards), 1904-1983, editor.</t>
        </is>
      </c>
      <c r="N129" t="inlineStr">
        <is>
          <t>Boston : Houghton Mifflin, [1968]</t>
        </is>
      </c>
      <c r="O129" t="inlineStr">
        <is>
          <t>1968</t>
        </is>
      </c>
      <c r="P129" t="inlineStr">
        <is>
          <t>2d ed.</t>
        </is>
      </c>
      <c r="Q129" t="inlineStr">
        <is>
          <t>eng</t>
        </is>
      </c>
      <c r="R129" t="inlineStr">
        <is>
          <t>mau</t>
        </is>
      </c>
      <c r="T129" t="inlineStr">
        <is>
          <t xml:space="preserve">PR </t>
        </is>
      </c>
      <c r="U129" t="n">
        <v>3</v>
      </c>
      <c r="V129" t="n">
        <v>3</v>
      </c>
      <c r="W129" t="inlineStr">
        <is>
          <t>1993-12-15</t>
        </is>
      </c>
      <c r="X129" t="inlineStr">
        <is>
          <t>1993-12-15</t>
        </is>
      </c>
      <c r="Y129" t="inlineStr">
        <is>
          <t>1991-10-01</t>
        </is>
      </c>
      <c r="Z129" t="inlineStr">
        <is>
          <t>1991-10-01</t>
        </is>
      </c>
      <c r="AA129" t="n">
        <v>619</v>
      </c>
      <c r="AB129" t="n">
        <v>526</v>
      </c>
      <c r="AC129" t="n">
        <v>940</v>
      </c>
      <c r="AD129" t="n">
        <v>5</v>
      </c>
      <c r="AE129" t="n">
        <v>8</v>
      </c>
      <c r="AF129" t="n">
        <v>18</v>
      </c>
      <c r="AG129" t="n">
        <v>30</v>
      </c>
      <c r="AH129" t="n">
        <v>6</v>
      </c>
      <c r="AI129" t="n">
        <v>10</v>
      </c>
      <c r="AJ129" t="n">
        <v>4</v>
      </c>
      <c r="AK129" t="n">
        <v>7</v>
      </c>
      <c r="AL129" t="n">
        <v>9</v>
      </c>
      <c r="AM129" t="n">
        <v>13</v>
      </c>
      <c r="AN129" t="n">
        <v>4</v>
      </c>
      <c r="AO129" t="n">
        <v>6</v>
      </c>
      <c r="AP129" t="n">
        <v>0</v>
      </c>
      <c r="AQ129" t="n">
        <v>0</v>
      </c>
      <c r="AR129" t="inlineStr">
        <is>
          <t>No</t>
        </is>
      </c>
      <c r="AS129" t="inlineStr">
        <is>
          <t>Yes</t>
        </is>
      </c>
      <c r="AT129">
        <f>HYPERLINK("http://catalog.hathitrust.org/Record/007113687","HathiTrust Record")</f>
        <v/>
      </c>
      <c r="AU129">
        <f>HYPERLINK("https://creighton-primo.hosted.exlibrisgroup.com/primo-explore/search?tab=default_tab&amp;search_scope=EVERYTHING&amp;vid=01CRU&amp;lang=en_US&amp;offset=0&amp;query=any,contains,991001295659702656","Catalog Record")</f>
        <v/>
      </c>
      <c r="AV129">
        <f>HYPERLINK("http://www.worldcat.org/oclc/219522","WorldCat Record")</f>
        <v/>
      </c>
      <c r="AW129" t="inlineStr">
        <is>
          <t>137690994:eng</t>
        </is>
      </c>
      <c r="AX129" t="inlineStr">
        <is>
          <t>219522</t>
        </is>
      </c>
      <c r="AY129" t="inlineStr">
        <is>
          <t>991001295659702656</t>
        </is>
      </c>
      <c r="AZ129" t="inlineStr">
        <is>
          <t>991001295659702656</t>
        </is>
      </c>
      <c r="BA129" t="inlineStr">
        <is>
          <t>2258172480002656</t>
        </is>
      </c>
      <c r="BB129" t="inlineStr">
        <is>
          <t>BOOK</t>
        </is>
      </c>
      <c r="BE129" t="inlineStr">
        <is>
          <t>32285000761303</t>
        </is>
      </c>
      <c r="BF129" t="inlineStr">
        <is>
          <t>893809029</t>
        </is>
      </c>
    </row>
    <row r="130">
      <c r="A130" t="inlineStr">
        <is>
          <t>No</t>
        </is>
      </c>
      <c r="B130" t="inlineStr">
        <is>
          <t>CURAL</t>
        </is>
      </c>
      <c r="C130" t="inlineStr">
        <is>
          <t>SHELVES</t>
        </is>
      </c>
      <c r="D130" t="inlineStr">
        <is>
          <t>PR1223 .S7</t>
        </is>
      </c>
      <c r="E130" t="inlineStr">
        <is>
          <t>0                      PR 1223000S  7</t>
        </is>
      </c>
      <c r="F130" t="inlineStr">
        <is>
          <t>A Victorian anthology, 1837-1895; selections illustrating the editor's critical review of British poetry in the reign of Victoria, ed. by Edmund Clarence Stedman ...</t>
        </is>
      </c>
      <c r="H130" t="inlineStr">
        <is>
          <t>No</t>
        </is>
      </c>
      <c r="I130" t="inlineStr">
        <is>
          <t>1</t>
        </is>
      </c>
      <c r="J130" t="inlineStr">
        <is>
          <t>No</t>
        </is>
      </c>
      <c r="K130" t="inlineStr">
        <is>
          <t>No</t>
        </is>
      </c>
      <c r="L130" t="inlineStr">
        <is>
          <t>0</t>
        </is>
      </c>
      <c r="M130" t="inlineStr">
        <is>
          <t>Stedman, Edmund Clarence, 1833-1908 editor.</t>
        </is>
      </c>
      <c r="N130" t="inlineStr">
        <is>
          <t>Boston, New York, Houghton Mifflin Company, 1895.</t>
        </is>
      </c>
      <c r="O130" t="inlineStr">
        <is>
          <t>1895</t>
        </is>
      </c>
      <c r="Q130" t="inlineStr">
        <is>
          <t>eng</t>
        </is>
      </c>
      <c r="R130" t="inlineStr">
        <is>
          <t>mau</t>
        </is>
      </c>
      <c r="T130" t="inlineStr">
        <is>
          <t xml:space="preserve">PR </t>
        </is>
      </c>
      <c r="U130" t="n">
        <v>1</v>
      </c>
      <c r="V130" t="n">
        <v>1</v>
      </c>
      <c r="W130" t="inlineStr">
        <is>
          <t>2005-03-23</t>
        </is>
      </c>
      <c r="X130" t="inlineStr">
        <is>
          <t>2005-03-23</t>
        </is>
      </c>
      <c r="Y130" t="inlineStr">
        <is>
          <t>1997-07-28</t>
        </is>
      </c>
      <c r="Z130" t="inlineStr">
        <is>
          <t>1997-07-28</t>
        </is>
      </c>
      <c r="AA130" t="n">
        <v>669</v>
      </c>
      <c r="AB130" t="n">
        <v>644</v>
      </c>
      <c r="AC130" t="n">
        <v>916</v>
      </c>
      <c r="AD130" t="n">
        <v>9</v>
      </c>
      <c r="AE130" t="n">
        <v>11</v>
      </c>
      <c r="AF130" t="n">
        <v>26</v>
      </c>
      <c r="AG130" t="n">
        <v>39</v>
      </c>
      <c r="AH130" t="n">
        <v>8</v>
      </c>
      <c r="AI130" t="n">
        <v>13</v>
      </c>
      <c r="AJ130" t="n">
        <v>2</v>
      </c>
      <c r="AK130" t="n">
        <v>5</v>
      </c>
      <c r="AL130" t="n">
        <v>14</v>
      </c>
      <c r="AM130" t="n">
        <v>18</v>
      </c>
      <c r="AN130" t="n">
        <v>6</v>
      </c>
      <c r="AO130" t="n">
        <v>8</v>
      </c>
      <c r="AP130" t="n">
        <v>0</v>
      </c>
      <c r="AQ130" t="n">
        <v>0</v>
      </c>
      <c r="AR130" t="inlineStr">
        <is>
          <t>Yes</t>
        </is>
      </c>
      <c r="AS130" t="inlineStr">
        <is>
          <t>No</t>
        </is>
      </c>
      <c r="AT130">
        <f>HYPERLINK("http://catalog.hathitrust.org/Record/001111909","HathiTrust Record")</f>
        <v/>
      </c>
      <c r="AU130">
        <f>HYPERLINK("https://creighton-primo.hosted.exlibrisgroup.com/primo-explore/search?tab=default_tab&amp;search_scope=EVERYTHING&amp;vid=01CRU&amp;lang=en_US&amp;offset=0&amp;query=any,contains,991003520479702656","Catalog Record")</f>
        <v/>
      </c>
      <c r="AV130">
        <f>HYPERLINK("http://www.worldcat.org/oclc/1080574","WorldCat Record")</f>
        <v/>
      </c>
      <c r="AW130" t="inlineStr">
        <is>
          <t>1145075:eng</t>
        </is>
      </c>
      <c r="AX130" t="inlineStr">
        <is>
          <t>1080574</t>
        </is>
      </c>
      <c r="AY130" t="inlineStr">
        <is>
          <t>991003520479702656</t>
        </is>
      </c>
      <c r="AZ130" t="inlineStr">
        <is>
          <t>991003520479702656</t>
        </is>
      </c>
      <c r="BA130" t="inlineStr">
        <is>
          <t>2268705970002656</t>
        </is>
      </c>
      <c r="BB130" t="inlineStr">
        <is>
          <t>BOOK</t>
        </is>
      </c>
      <c r="BE130" t="inlineStr">
        <is>
          <t>32285002964848</t>
        </is>
      </c>
      <c r="BF130" t="inlineStr">
        <is>
          <t>893505660</t>
        </is>
      </c>
    </row>
    <row r="131">
      <c r="A131" t="inlineStr">
        <is>
          <t>No</t>
        </is>
      </c>
      <c r="B131" t="inlineStr">
        <is>
          <t>CURAL</t>
        </is>
      </c>
      <c r="C131" t="inlineStr">
        <is>
          <t>SHELVES</t>
        </is>
      </c>
      <c r="D131" t="inlineStr">
        <is>
          <t>PR1225 .L3</t>
        </is>
      </c>
      <c r="E131" t="inlineStr">
        <is>
          <t>0                      PR 1225000L  3</t>
        </is>
      </c>
      <c r="F131" t="inlineStr">
        <is>
          <t>The Oxford book of twentieth-century English verse / chosen by Philip Larkin.</t>
        </is>
      </c>
      <c r="H131" t="inlineStr">
        <is>
          <t>No</t>
        </is>
      </c>
      <c r="I131" t="inlineStr">
        <is>
          <t>1</t>
        </is>
      </c>
      <c r="J131" t="inlineStr">
        <is>
          <t>No</t>
        </is>
      </c>
      <c r="K131" t="inlineStr">
        <is>
          <t>No</t>
        </is>
      </c>
      <c r="L131" t="inlineStr">
        <is>
          <t>0</t>
        </is>
      </c>
      <c r="M131" t="inlineStr">
        <is>
          <t>Larkin, Philip compiler.</t>
        </is>
      </c>
      <c r="N131" t="inlineStr">
        <is>
          <t>Oxford : Clarendon Press, 1973.</t>
        </is>
      </c>
      <c r="O131" t="inlineStr">
        <is>
          <t>1973</t>
        </is>
      </c>
      <c r="Q131" t="inlineStr">
        <is>
          <t>eng</t>
        </is>
      </c>
      <c r="R131" t="inlineStr">
        <is>
          <t>enk</t>
        </is>
      </c>
      <c r="T131" t="inlineStr">
        <is>
          <t xml:space="preserve">PR </t>
        </is>
      </c>
      <c r="U131" t="n">
        <v>3</v>
      </c>
      <c r="V131" t="n">
        <v>3</v>
      </c>
      <c r="W131" t="inlineStr">
        <is>
          <t>1993-03-15</t>
        </is>
      </c>
      <c r="X131" t="inlineStr">
        <is>
          <t>1993-03-15</t>
        </is>
      </c>
      <c r="Y131" t="inlineStr">
        <is>
          <t>1991-07-24</t>
        </is>
      </c>
      <c r="Z131" t="inlineStr">
        <is>
          <t>1991-07-24</t>
        </is>
      </c>
      <c r="AA131" t="n">
        <v>2263</v>
      </c>
      <c r="AB131" t="n">
        <v>1898</v>
      </c>
      <c r="AC131" t="n">
        <v>2049</v>
      </c>
      <c r="AD131" t="n">
        <v>13</v>
      </c>
      <c r="AE131" t="n">
        <v>16</v>
      </c>
      <c r="AF131" t="n">
        <v>51</v>
      </c>
      <c r="AG131" t="n">
        <v>55</v>
      </c>
      <c r="AH131" t="n">
        <v>19</v>
      </c>
      <c r="AI131" t="n">
        <v>20</v>
      </c>
      <c r="AJ131" t="n">
        <v>11</v>
      </c>
      <c r="AK131" t="n">
        <v>11</v>
      </c>
      <c r="AL131" t="n">
        <v>26</v>
      </c>
      <c r="AM131" t="n">
        <v>26</v>
      </c>
      <c r="AN131" t="n">
        <v>7</v>
      </c>
      <c r="AO131" t="n">
        <v>10</v>
      </c>
      <c r="AP131" t="n">
        <v>0</v>
      </c>
      <c r="AQ131" t="n">
        <v>0</v>
      </c>
      <c r="AR131" t="inlineStr">
        <is>
          <t>No</t>
        </is>
      </c>
      <c r="AS131" t="inlineStr">
        <is>
          <t>No</t>
        </is>
      </c>
      <c r="AU131">
        <f>HYPERLINK("https://creighton-primo.hosted.exlibrisgroup.com/primo-explore/search?tab=default_tab&amp;search_scope=EVERYTHING&amp;vid=01CRU&amp;lang=en_US&amp;offset=0&amp;query=any,contains,991003086969702656","Catalog Record")</f>
        <v/>
      </c>
      <c r="AV131">
        <f>HYPERLINK("http://www.worldcat.org/oclc/637331","WorldCat Record")</f>
        <v/>
      </c>
      <c r="AW131" t="inlineStr">
        <is>
          <t>54353549:eng</t>
        </is>
      </c>
      <c r="AX131" t="inlineStr">
        <is>
          <t>637331</t>
        </is>
      </c>
      <c r="AY131" t="inlineStr">
        <is>
          <t>991003086969702656</t>
        </is>
      </c>
      <c r="AZ131" t="inlineStr">
        <is>
          <t>991003086969702656</t>
        </is>
      </c>
      <c r="BA131" t="inlineStr">
        <is>
          <t>2256539440002656</t>
        </is>
      </c>
      <c r="BB131" t="inlineStr">
        <is>
          <t>BOOK</t>
        </is>
      </c>
      <c r="BD131" t="inlineStr">
        <is>
          <t>9780198121374</t>
        </is>
      </c>
      <c r="BE131" t="inlineStr">
        <is>
          <t>32285000679299</t>
        </is>
      </c>
      <c r="BF131" t="inlineStr">
        <is>
          <t>893227668</t>
        </is>
      </c>
    </row>
    <row r="132">
      <c r="A132" t="inlineStr">
        <is>
          <t>No</t>
        </is>
      </c>
      <c r="B132" t="inlineStr">
        <is>
          <t>CURAL</t>
        </is>
      </c>
      <c r="C132" t="inlineStr">
        <is>
          <t>SHELVES</t>
        </is>
      </c>
      <c r="D132" t="inlineStr">
        <is>
          <t>PR1225 .P46 1998</t>
        </is>
      </c>
      <c r="E132" t="inlineStr">
        <is>
          <t>0                      PR 1225000P  46          1998</t>
        </is>
      </c>
      <c r="F132" t="inlineStr">
        <is>
          <t>The Penguin book of poetry from Britain and Ireland since 1945 / edited by Simon Armitage and Robert Crawford.</t>
        </is>
      </c>
      <c r="H132" t="inlineStr">
        <is>
          <t>No</t>
        </is>
      </c>
      <c r="I132" t="inlineStr">
        <is>
          <t>1</t>
        </is>
      </c>
      <c r="J132" t="inlineStr">
        <is>
          <t>No</t>
        </is>
      </c>
      <c r="K132" t="inlineStr">
        <is>
          <t>No</t>
        </is>
      </c>
      <c r="L132" t="inlineStr">
        <is>
          <t>0</t>
        </is>
      </c>
      <c r="N132" t="inlineStr">
        <is>
          <t>London ; New York, NY : Viking, 1998.</t>
        </is>
      </c>
      <c r="O132" t="inlineStr">
        <is>
          <t>1998</t>
        </is>
      </c>
      <c r="Q132" t="inlineStr">
        <is>
          <t>eng</t>
        </is>
      </c>
      <c r="R132" t="inlineStr">
        <is>
          <t>enk</t>
        </is>
      </c>
      <c r="T132" t="inlineStr">
        <is>
          <t xml:space="preserve">PR </t>
        </is>
      </c>
      <c r="U132" t="n">
        <v>4</v>
      </c>
      <c r="V132" t="n">
        <v>4</v>
      </c>
      <c r="W132" t="inlineStr">
        <is>
          <t>2009-01-26</t>
        </is>
      </c>
      <c r="X132" t="inlineStr">
        <is>
          <t>2009-01-26</t>
        </is>
      </c>
      <c r="Y132" t="inlineStr">
        <is>
          <t>1999-03-11</t>
        </is>
      </c>
      <c r="Z132" t="inlineStr">
        <is>
          <t>1999-03-11</t>
        </is>
      </c>
      <c r="AA132" t="n">
        <v>224</v>
      </c>
      <c r="AB132" t="n">
        <v>67</v>
      </c>
      <c r="AC132" t="n">
        <v>69</v>
      </c>
      <c r="AD132" t="n">
        <v>2</v>
      </c>
      <c r="AE132" t="n">
        <v>2</v>
      </c>
      <c r="AF132" t="n">
        <v>6</v>
      </c>
      <c r="AG132" t="n">
        <v>6</v>
      </c>
      <c r="AH132" t="n">
        <v>1</v>
      </c>
      <c r="AI132" t="n">
        <v>1</v>
      </c>
      <c r="AJ132" t="n">
        <v>3</v>
      </c>
      <c r="AK132" t="n">
        <v>3</v>
      </c>
      <c r="AL132" t="n">
        <v>3</v>
      </c>
      <c r="AM132" t="n">
        <v>3</v>
      </c>
      <c r="AN132" t="n">
        <v>1</v>
      </c>
      <c r="AO132" t="n">
        <v>1</v>
      </c>
      <c r="AP132" t="n">
        <v>0</v>
      </c>
      <c r="AQ132" t="n">
        <v>0</v>
      </c>
      <c r="AR132" t="inlineStr">
        <is>
          <t>No</t>
        </is>
      </c>
      <c r="AS132" t="inlineStr">
        <is>
          <t>Yes</t>
        </is>
      </c>
      <c r="AT132">
        <f>HYPERLINK("http://catalog.hathitrust.org/Record/004021033","HathiTrust Record")</f>
        <v/>
      </c>
      <c r="AU132">
        <f>HYPERLINK("https://creighton-primo.hosted.exlibrisgroup.com/primo-explore/search?tab=default_tab&amp;search_scope=EVERYTHING&amp;vid=01CRU&amp;lang=en_US&amp;offset=0&amp;query=any,contains,991002984789702656","Catalog Record")</f>
        <v/>
      </c>
      <c r="AV132">
        <f>HYPERLINK("http://www.worldcat.org/oclc/40198521","WorldCat Record")</f>
        <v/>
      </c>
      <c r="AW132" t="inlineStr">
        <is>
          <t>351726840:eng</t>
        </is>
      </c>
      <c r="AX132" t="inlineStr">
        <is>
          <t>40198521</t>
        </is>
      </c>
      <c r="AY132" t="inlineStr">
        <is>
          <t>991002984789702656</t>
        </is>
      </c>
      <c r="AZ132" t="inlineStr">
        <is>
          <t>991002984789702656</t>
        </is>
      </c>
      <c r="BA132" t="inlineStr">
        <is>
          <t>2264550370002656</t>
        </is>
      </c>
      <c r="BB132" t="inlineStr">
        <is>
          <t>BOOK</t>
        </is>
      </c>
      <c r="BD132" t="inlineStr">
        <is>
          <t>9780670868292</t>
        </is>
      </c>
      <c r="BE132" t="inlineStr">
        <is>
          <t>32285003531141</t>
        </is>
      </c>
      <c r="BF132" t="inlineStr">
        <is>
          <t>893239759</t>
        </is>
      </c>
    </row>
    <row r="133">
      <c r="A133" t="inlineStr">
        <is>
          <t>No</t>
        </is>
      </c>
      <c r="B133" t="inlineStr">
        <is>
          <t>CURAL</t>
        </is>
      </c>
      <c r="C133" t="inlineStr">
        <is>
          <t>SHELVES</t>
        </is>
      </c>
      <c r="D133" t="inlineStr">
        <is>
          <t>PR1225 .S25 1970</t>
        </is>
      </c>
      <c r="E133" t="inlineStr">
        <is>
          <t>0                      PR 1225000S  25          1970</t>
        </is>
      </c>
      <c r="F133" t="inlineStr">
        <is>
          <t>Chief modern poets of Britain and America / selected and edited by Gerald DeWitt Sanders, John Herbert Nelson [and] M. L. Rosenthal.</t>
        </is>
      </c>
      <c r="H133" t="inlineStr">
        <is>
          <t>Yes</t>
        </is>
      </c>
      <c r="I133" t="inlineStr">
        <is>
          <t>1</t>
        </is>
      </c>
      <c r="J133" t="inlineStr">
        <is>
          <t>Yes</t>
        </is>
      </c>
      <c r="K133" t="inlineStr">
        <is>
          <t>No</t>
        </is>
      </c>
      <c r="L133" t="inlineStr">
        <is>
          <t>0</t>
        </is>
      </c>
      <c r="M133" t="inlineStr">
        <is>
          <t>Sanders, Gerald DeWitt, 1895-</t>
        </is>
      </c>
      <c r="N133" t="inlineStr">
        <is>
          <t>New York : Macmillan, [1970]</t>
        </is>
      </c>
      <c r="O133" t="inlineStr">
        <is>
          <t>1970</t>
        </is>
      </c>
      <c r="P133" t="inlineStr">
        <is>
          <t>5th edition.</t>
        </is>
      </c>
      <c r="Q133" t="inlineStr">
        <is>
          <t>eng</t>
        </is>
      </c>
      <c r="R133" t="inlineStr">
        <is>
          <t>nyu</t>
        </is>
      </c>
      <c r="T133" t="inlineStr">
        <is>
          <t xml:space="preserve">PR </t>
        </is>
      </c>
      <c r="U133" t="n">
        <v>3</v>
      </c>
      <c r="V133" t="n">
        <v>8</v>
      </c>
      <c r="W133" t="inlineStr">
        <is>
          <t>1994-08-22</t>
        </is>
      </c>
      <c r="X133" t="inlineStr">
        <is>
          <t>1999-01-14</t>
        </is>
      </c>
      <c r="Y133" t="inlineStr">
        <is>
          <t>1991-11-21</t>
        </is>
      </c>
      <c r="Z133" t="inlineStr">
        <is>
          <t>1991-11-21</t>
        </is>
      </c>
      <c r="AA133" t="n">
        <v>701</v>
      </c>
      <c r="AB133" t="n">
        <v>676</v>
      </c>
      <c r="AC133" t="n">
        <v>910</v>
      </c>
      <c r="AD133" t="n">
        <v>5</v>
      </c>
      <c r="AE133" t="n">
        <v>5</v>
      </c>
      <c r="AF133" t="n">
        <v>18</v>
      </c>
      <c r="AG133" t="n">
        <v>24</v>
      </c>
      <c r="AH133" t="n">
        <v>9</v>
      </c>
      <c r="AI133" t="n">
        <v>12</v>
      </c>
      <c r="AJ133" t="n">
        <v>4</v>
      </c>
      <c r="AK133" t="n">
        <v>5</v>
      </c>
      <c r="AL133" t="n">
        <v>7</v>
      </c>
      <c r="AM133" t="n">
        <v>11</v>
      </c>
      <c r="AN133" t="n">
        <v>3</v>
      </c>
      <c r="AO133" t="n">
        <v>3</v>
      </c>
      <c r="AP133" t="n">
        <v>0</v>
      </c>
      <c r="AQ133" t="n">
        <v>0</v>
      </c>
      <c r="AR133" t="inlineStr">
        <is>
          <t>No</t>
        </is>
      </c>
      <c r="AS133" t="inlineStr">
        <is>
          <t>Yes</t>
        </is>
      </c>
      <c r="AT133">
        <f>HYPERLINK("http://catalog.hathitrust.org/Record/006210475","HathiTrust Record")</f>
        <v/>
      </c>
      <c r="AU133">
        <f>HYPERLINK("https://creighton-primo.hosted.exlibrisgroup.com/primo-explore/search?tab=default_tab&amp;search_scope=EVERYTHING&amp;vid=01CRU&amp;lang=en_US&amp;offset=0&amp;query=any,contains,991000165129702656","Catalog Record")</f>
        <v/>
      </c>
      <c r="AV133">
        <f>HYPERLINK("http://www.worldcat.org/oclc/61652","WorldCat Record")</f>
        <v/>
      </c>
      <c r="AW133" t="inlineStr">
        <is>
          <t>3768613701:eng</t>
        </is>
      </c>
      <c r="AX133" t="inlineStr">
        <is>
          <t>61652</t>
        </is>
      </c>
      <c r="AY133" t="inlineStr">
        <is>
          <t>991000165129702656</t>
        </is>
      </c>
      <c r="AZ133" t="inlineStr">
        <is>
          <t>991000165129702656</t>
        </is>
      </c>
      <c r="BA133" t="inlineStr">
        <is>
          <t>2255230970002656</t>
        </is>
      </c>
      <c r="BB133" t="inlineStr">
        <is>
          <t>BOOK</t>
        </is>
      </c>
      <c r="BE133" t="inlineStr">
        <is>
          <t>32285000855097</t>
        </is>
      </c>
      <c r="BF133" t="inlineStr">
        <is>
          <t>893595362</t>
        </is>
      </c>
    </row>
    <row r="134">
      <c r="A134" t="inlineStr">
        <is>
          <t>No</t>
        </is>
      </c>
      <c r="B134" t="inlineStr">
        <is>
          <t>CURAL</t>
        </is>
      </c>
      <c r="C134" t="inlineStr">
        <is>
          <t>SHELVES</t>
        </is>
      </c>
      <c r="D134" t="inlineStr">
        <is>
          <t>PR1225 .W535 1950</t>
        </is>
      </c>
      <c r="E134" t="inlineStr">
        <is>
          <t>0                      PR 1225000W  535         1950</t>
        </is>
      </c>
      <c r="F134" t="inlineStr">
        <is>
          <t>A little treasury of modern poetry / edited with an introduction by Oscar Williams.</t>
        </is>
      </c>
      <c r="H134" t="inlineStr">
        <is>
          <t>No</t>
        </is>
      </c>
      <c r="I134" t="inlineStr">
        <is>
          <t>1</t>
        </is>
      </c>
      <c r="J134" t="inlineStr">
        <is>
          <t>No</t>
        </is>
      </c>
      <c r="K134" t="inlineStr">
        <is>
          <t>No</t>
        </is>
      </c>
      <c r="L134" t="inlineStr">
        <is>
          <t>0</t>
        </is>
      </c>
      <c r="M134" t="inlineStr">
        <is>
          <t>Williams, Oscar, 1900-1964, editor.</t>
        </is>
      </c>
      <c r="N134" t="inlineStr">
        <is>
          <t>New York : Scribner, c1950, 1952 printing.</t>
        </is>
      </c>
      <c r="O134" t="inlineStr">
        <is>
          <t>1950</t>
        </is>
      </c>
      <c r="P134" t="inlineStr">
        <is>
          <t>Rev. ed.</t>
        </is>
      </c>
      <c r="Q134" t="inlineStr">
        <is>
          <t>eng</t>
        </is>
      </c>
      <c r="R134" t="inlineStr">
        <is>
          <t>___</t>
        </is>
      </c>
      <c r="S134" t="inlineStr">
        <is>
          <t>The Little treasury series</t>
        </is>
      </c>
      <c r="T134" t="inlineStr">
        <is>
          <t xml:space="preserve">PR </t>
        </is>
      </c>
      <c r="U134" t="n">
        <v>7</v>
      </c>
      <c r="V134" t="n">
        <v>7</v>
      </c>
      <c r="W134" t="inlineStr">
        <is>
          <t>1997-06-11</t>
        </is>
      </c>
      <c r="X134" t="inlineStr">
        <is>
          <t>1997-06-11</t>
        </is>
      </c>
      <c r="Y134" t="inlineStr">
        <is>
          <t>1991-09-23</t>
        </is>
      </c>
      <c r="Z134" t="inlineStr">
        <is>
          <t>1991-09-23</t>
        </is>
      </c>
      <c r="AA134" t="n">
        <v>366</v>
      </c>
      <c r="AB134" t="n">
        <v>348</v>
      </c>
      <c r="AC134" t="n">
        <v>1385</v>
      </c>
      <c r="AD134" t="n">
        <v>2</v>
      </c>
      <c r="AE134" t="n">
        <v>10</v>
      </c>
      <c r="AF134" t="n">
        <v>10</v>
      </c>
      <c r="AG134" t="n">
        <v>46</v>
      </c>
      <c r="AH134" t="n">
        <v>6</v>
      </c>
      <c r="AI134" t="n">
        <v>19</v>
      </c>
      <c r="AJ134" t="n">
        <v>0</v>
      </c>
      <c r="AK134" t="n">
        <v>9</v>
      </c>
      <c r="AL134" t="n">
        <v>5</v>
      </c>
      <c r="AM134" t="n">
        <v>23</v>
      </c>
      <c r="AN134" t="n">
        <v>1</v>
      </c>
      <c r="AO134" t="n">
        <v>7</v>
      </c>
      <c r="AP134" t="n">
        <v>0</v>
      </c>
      <c r="AQ134" t="n">
        <v>0</v>
      </c>
      <c r="AR134" t="inlineStr">
        <is>
          <t>No</t>
        </is>
      </c>
      <c r="AS134" t="inlineStr">
        <is>
          <t>Yes</t>
        </is>
      </c>
      <c r="AT134">
        <f>HYPERLINK("http://catalog.hathitrust.org/Record/001908009","HathiTrust Record")</f>
        <v/>
      </c>
      <c r="AU134">
        <f>HYPERLINK("https://creighton-primo.hosted.exlibrisgroup.com/primo-explore/search?tab=default_tab&amp;search_scope=EVERYTHING&amp;vid=01CRU&amp;lang=en_US&amp;offset=0&amp;query=any,contains,991002442899702656","Catalog Record")</f>
        <v/>
      </c>
      <c r="AV134">
        <f>HYPERLINK("http://www.worldcat.org/oclc/350631","WorldCat Record")</f>
        <v/>
      </c>
      <c r="AW134" t="inlineStr">
        <is>
          <t>1189919:eng</t>
        </is>
      </c>
      <c r="AX134" t="inlineStr">
        <is>
          <t>350631</t>
        </is>
      </c>
      <c r="AY134" t="inlineStr">
        <is>
          <t>991002442899702656</t>
        </is>
      </c>
      <c r="AZ134" t="inlineStr">
        <is>
          <t>991002442899702656</t>
        </is>
      </c>
      <c r="BA134" t="inlineStr">
        <is>
          <t>2268809610002656</t>
        </is>
      </c>
      <c r="BB134" t="inlineStr">
        <is>
          <t>BOOK</t>
        </is>
      </c>
      <c r="BE134" t="inlineStr">
        <is>
          <t>32285000761386</t>
        </is>
      </c>
      <c r="BF134" t="inlineStr">
        <is>
          <t>893609869</t>
        </is>
      </c>
    </row>
    <row r="135">
      <c r="A135" t="inlineStr">
        <is>
          <t>No</t>
        </is>
      </c>
      <c r="B135" t="inlineStr">
        <is>
          <t>CURAL</t>
        </is>
      </c>
      <c r="C135" t="inlineStr">
        <is>
          <t>SHELVES</t>
        </is>
      </c>
      <c r="D135" t="inlineStr">
        <is>
          <t>PR1226 .W3 1970</t>
        </is>
      </c>
      <c r="E135" t="inlineStr">
        <is>
          <t>0                      PR 1226000W  3           1970</t>
        </is>
      </c>
      <c r="F135" t="inlineStr">
        <is>
          <t>An anthology of recent poetry / compiled by L. D'O. Walters.</t>
        </is>
      </c>
      <c r="H135" t="inlineStr">
        <is>
          <t>No</t>
        </is>
      </c>
      <c r="I135" t="inlineStr">
        <is>
          <t>1</t>
        </is>
      </c>
      <c r="J135" t="inlineStr">
        <is>
          <t>No</t>
        </is>
      </c>
      <c r="K135" t="inlineStr">
        <is>
          <t>No</t>
        </is>
      </c>
      <c r="L135" t="inlineStr">
        <is>
          <t>0</t>
        </is>
      </c>
      <c r="M135" t="inlineStr">
        <is>
          <t>Walters, L. D'O. (Lettice D'Oyly), 1880-, compiler.</t>
        </is>
      </c>
      <c r="N135" t="inlineStr">
        <is>
          <t>Freeport, N.Y. : Books for Libraries Press, [1970]</t>
        </is>
      </c>
      <c r="O135" t="inlineStr">
        <is>
          <t>1970</t>
        </is>
      </c>
      <c r="Q135" t="inlineStr">
        <is>
          <t>eng</t>
        </is>
      </c>
      <c r="R135" t="inlineStr">
        <is>
          <t>nyu</t>
        </is>
      </c>
      <c r="S135" t="inlineStr">
        <is>
          <t>Granger index reprint series</t>
        </is>
      </c>
      <c r="T135" t="inlineStr">
        <is>
          <t xml:space="preserve">PR </t>
        </is>
      </c>
      <c r="U135" t="n">
        <v>1</v>
      </c>
      <c r="V135" t="n">
        <v>1</v>
      </c>
      <c r="W135" t="inlineStr">
        <is>
          <t>2002-09-09</t>
        </is>
      </c>
      <c r="X135" t="inlineStr">
        <is>
          <t>2002-09-09</t>
        </is>
      </c>
      <c r="Y135" t="inlineStr">
        <is>
          <t>1991-10-01</t>
        </is>
      </c>
      <c r="Z135" t="inlineStr">
        <is>
          <t>1991-10-01</t>
        </is>
      </c>
      <c r="AA135" t="n">
        <v>172</v>
      </c>
      <c r="AB135" t="n">
        <v>168</v>
      </c>
      <c r="AC135" t="n">
        <v>432</v>
      </c>
      <c r="AD135" t="n">
        <v>1</v>
      </c>
      <c r="AE135" t="n">
        <v>3</v>
      </c>
      <c r="AF135" t="n">
        <v>5</v>
      </c>
      <c r="AG135" t="n">
        <v>13</v>
      </c>
      <c r="AH135" t="n">
        <v>2</v>
      </c>
      <c r="AI135" t="n">
        <v>6</v>
      </c>
      <c r="AJ135" t="n">
        <v>1</v>
      </c>
      <c r="AK135" t="n">
        <v>3</v>
      </c>
      <c r="AL135" t="n">
        <v>4</v>
      </c>
      <c r="AM135" t="n">
        <v>6</v>
      </c>
      <c r="AN135" t="n">
        <v>0</v>
      </c>
      <c r="AO135" t="n">
        <v>2</v>
      </c>
      <c r="AP135" t="n">
        <v>0</v>
      </c>
      <c r="AQ135" t="n">
        <v>0</v>
      </c>
      <c r="AR135" t="inlineStr">
        <is>
          <t>No</t>
        </is>
      </c>
      <c r="AS135" t="inlineStr">
        <is>
          <t>No</t>
        </is>
      </c>
      <c r="AU135">
        <f>HYPERLINK("https://creighton-primo.hosted.exlibrisgroup.com/primo-explore/search?tab=default_tab&amp;search_scope=EVERYTHING&amp;vid=01CRU&amp;lang=en_US&amp;offset=0&amp;query=any,contains,991000403139702656","Catalog Record")</f>
        <v/>
      </c>
      <c r="AV135">
        <f>HYPERLINK("http://www.worldcat.org/oclc/73565","WorldCat Record")</f>
        <v/>
      </c>
      <c r="AW135" t="inlineStr">
        <is>
          <t>1244929:eng</t>
        </is>
      </c>
      <c r="AX135" t="inlineStr">
        <is>
          <t>73565</t>
        </is>
      </c>
      <c r="AY135" t="inlineStr">
        <is>
          <t>991000403139702656</t>
        </is>
      </c>
      <c r="AZ135" t="inlineStr">
        <is>
          <t>991000403139702656</t>
        </is>
      </c>
      <c r="BA135" t="inlineStr">
        <is>
          <t>2269903670002656</t>
        </is>
      </c>
      <c r="BB135" t="inlineStr">
        <is>
          <t>BOOK</t>
        </is>
      </c>
      <c r="BD135" t="inlineStr">
        <is>
          <t>9780836961614</t>
        </is>
      </c>
      <c r="BE135" t="inlineStr">
        <is>
          <t>32285000761394</t>
        </is>
      </c>
      <c r="BF135" t="inlineStr">
        <is>
          <t>893496188</t>
        </is>
      </c>
    </row>
    <row r="136">
      <c r="A136" t="inlineStr">
        <is>
          <t>No</t>
        </is>
      </c>
      <c r="B136" t="inlineStr">
        <is>
          <t>CURAL</t>
        </is>
      </c>
      <c r="C136" t="inlineStr">
        <is>
          <t>SHELVES</t>
        </is>
      </c>
      <c r="D136" t="inlineStr">
        <is>
          <t>PR1227 .G5 1973</t>
        </is>
      </c>
      <c r="E136" t="inlineStr">
        <is>
          <t>0                      PR 1227000G  5           1973</t>
        </is>
      </c>
      <c r="F136" t="inlineStr">
        <is>
          <t>Let the poet choose.</t>
        </is>
      </c>
      <c r="H136" t="inlineStr">
        <is>
          <t>No</t>
        </is>
      </c>
      <c r="I136" t="inlineStr">
        <is>
          <t>1</t>
        </is>
      </c>
      <c r="J136" t="inlineStr">
        <is>
          <t>No</t>
        </is>
      </c>
      <c r="K136" t="inlineStr">
        <is>
          <t>No</t>
        </is>
      </c>
      <c r="L136" t="inlineStr">
        <is>
          <t>0</t>
        </is>
      </c>
      <c r="M136" t="inlineStr">
        <is>
          <t>Gibson, James, 1919-, compiler.</t>
        </is>
      </c>
      <c r="N136" t="inlineStr">
        <is>
          <t>London : Harrap, 1973.</t>
        </is>
      </c>
      <c r="O136" t="inlineStr">
        <is>
          <t>1973</t>
        </is>
      </c>
      <c r="Q136" t="inlineStr">
        <is>
          <t>eng</t>
        </is>
      </c>
      <c r="R136" t="inlineStr">
        <is>
          <t>enk</t>
        </is>
      </c>
      <c r="T136" t="inlineStr">
        <is>
          <t xml:space="preserve">PR </t>
        </is>
      </c>
      <c r="U136" t="n">
        <v>3</v>
      </c>
      <c r="V136" t="n">
        <v>3</v>
      </c>
      <c r="W136" t="inlineStr">
        <is>
          <t>2002-04-21</t>
        </is>
      </c>
      <c r="X136" t="inlineStr">
        <is>
          <t>2002-04-21</t>
        </is>
      </c>
      <c r="Y136" t="inlineStr">
        <is>
          <t>1991-10-01</t>
        </is>
      </c>
      <c r="Z136" t="inlineStr">
        <is>
          <t>1991-10-01</t>
        </is>
      </c>
      <c r="AA136" t="n">
        <v>201</v>
      </c>
      <c r="AB136" t="n">
        <v>96</v>
      </c>
      <c r="AC136" t="n">
        <v>98</v>
      </c>
      <c r="AD136" t="n">
        <v>2</v>
      </c>
      <c r="AE136" t="n">
        <v>2</v>
      </c>
      <c r="AF136" t="n">
        <v>5</v>
      </c>
      <c r="AG136" t="n">
        <v>5</v>
      </c>
      <c r="AH136" t="n">
        <v>1</v>
      </c>
      <c r="AI136" t="n">
        <v>1</v>
      </c>
      <c r="AJ136" t="n">
        <v>1</v>
      </c>
      <c r="AK136" t="n">
        <v>1</v>
      </c>
      <c r="AL136" t="n">
        <v>3</v>
      </c>
      <c r="AM136" t="n">
        <v>3</v>
      </c>
      <c r="AN136" t="n">
        <v>1</v>
      </c>
      <c r="AO136" t="n">
        <v>1</v>
      </c>
      <c r="AP136" t="n">
        <v>0</v>
      </c>
      <c r="AQ136" t="n">
        <v>0</v>
      </c>
      <c r="AR136" t="inlineStr">
        <is>
          <t>No</t>
        </is>
      </c>
      <c r="AS136" t="inlineStr">
        <is>
          <t>Yes</t>
        </is>
      </c>
      <c r="AT136">
        <f>HYPERLINK("http://catalog.hathitrust.org/Record/006664994","HathiTrust Record")</f>
        <v/>
      </c>
      <c r="AU136">
        <f>HYPERLINK("https://creighton-primo.hosted.exlibrisgroup.com/primo-explore/search?tab=default_tab&amp;search_scope=EVERYTHING&amp;vid=01CRU&amp;lang=en_US&amp;offset=0&amp;query=any,contains,991003280719702656","Catalog Record")</f>
        <v/>
      </c>
      <c r="AV136">
        <f>HYPERLINK("http://www.worldcat.org/oclc/803279","WorldCat Record")</f>
        <v/>
      </c>
      <c r="AW136" t="inlineStr">
        <is>
          <t>508026971:eng</t>
        </is>
      </c>
      <c r="AX136" t="inlineStr">
        <is>
          <t>803279</t>
        </is>
      </c>
      <c r="AY136" t="inlineStr">
        <is>
          <t>991003280719702656</t>
        </is>
      </c>
      <c r="AZ136" t="inlineStr">
        <is>
          <t>991003280719702656</t>
        </is>
      </c>
      <c r="BA136" t="inlineStr">
        <is>
          <t>2268913960002656</t>
        </is>
      </c>
      <c r="BB136" t="inlineStr">
        <is>
          <t>BOOK</t>
        </is>
      </c>
      <c r="BD136" t="inlineStr">
        <is>
          <t>9780245519321</t>
        </is>
      </c>
      <c r="BE136" t="inlineStr">
        <is>
          <t>32285000761402</t>
        </is>
      </c>
      <c r="BF136" t="inlineStr">
        <is>
          <t>893793484</t>
        </is>
      </c>
    </row>
    <row r="137">
      <c r="A137" t="inlineStr">
        <is>
          <t>No</t>
        </is>
      </c>
      <c r="B137" t="inlineStr">
        <is>
          <t>CURAL</t>
        </is>
      </c>
      <c r="C137" t="inlineStr">
        <is>
          <t>SHELVES</t>
        </is>
      </c>
      <c r="D137" t="inlineStr">
        <is>
          <t>PR1245 .A7</t>
        </is>
      </c>
      <c r="E137" t="inlineStr">
        <is>
          <t>0                      PR 1245000A  7</t>
        </is>
      </c>
      <c r="F137" t="inlineStr">
        <is>
          <t>Types of English drama / edited by John W. Ashton.</t>
        </is>
      </c>
      <c r="H137" t="inlineStr">
        <is>
          <t>No</t>
        </is>
      </c>
      <c r="I137" t="inlineStr">
        <is>
          <t>1</t>
        </is>
      </c>
      <c r="J137" t="inlineStr">
        <is>
          <t>No</t>
        </is>
      </c>
      <c r="K137" t="inlineStr">
        <is>
          <t>No</t>
        </is>
      </c>
      <c r="L137" t="inlineStr">
        <is>
          <t>0</t>
        </is>
      </c>
      <c r="M137" t="inlineStr">
        <is>
          <t>Ashton, John William, 1900-, editor.</t>
        </is>
      </c>
      <c r="N137" t="inlineStr">
        <is>
          <t>New York : The Macmillan Company, 1940.</t>
        </is>
      </c>
      <c r="O137" t="inlineStr">
        <is>
          <t>1940</t>
        </is>
      </c>
      <c r="Q137" t="inlineStr">
        <is>
          <t>eng</t>
        </is>
      </c>
      <c r="R137" t="inlineStr">
        <is>
          <t>nyu</t>
        </is>
      </c>
      <c r="S137" t="inlineStr">
        <is>
          <t>Types of English literature</t>
        </is>
      </c>
      <c r="T137" t="inlineStr">
        <is>
          <t xml:space="preserve">PR </t>
        </is>
      </c>
      <c r="U137" t="n">
        <v>8</v>
      </c>
      <c r="V137" t="n">
        <v>8</v>
      </c>
      <c r="W137" t="inlineStr">
        <is>
          <t>1997-03-29</t>
        </is>
      </c>
      <c r="X137" t="inlineStr">
        <is>
          <t>1997-03-29</t>
        </is>
      </c>
      <c r="Y137" t="inlineStr">
        <is>
          <t>1992-12-04</t>
        </is>
      </c>
      <c r="Z137" t="inlineStr">
        <is>
          <t>1992-12-04</t>
        </is>
      </c>
      <c r="AA137" t="n">
        <v>435</v>
      </c>
      <c r="AB137" t="n">
        <v>405</v>
      </c>
      <c r="AC137" t="n">
        <v>461</v>
      </c>
      <c r="AD137" t="n">
        <v>7</v>
      </c>
      <c r="AE137" t="n">
        <v>7</v>
      </c>
      <c r="AF137" t="n">
        <v>23</v>
      </c>
      <c r="AG137" t="n">
        <v>23</v>
      </c>
      <c r="AH137" t="n">
        <v>6</v>
      </c>
      <c r="AI137" t="n">
        <v>6</v>
      </c>
      <c r="AJ137" t="n">
        <v>4</v>
      </c>
      <c r="AK137" t="n">
        <v>4</v>
      </c>
      <c r="AL137" t="n">
        <v>10</v>
      </c>
      <c r="AM137" t="n">
        <v>10</v>
      </c>
      <c r="AN137" t="n">
        <v>6</v>
      </c>
      <c r="AO137" t="n">
        <v>6</v>
      </c>
      <c r="AP137" t="n">
        <v>0</v>
      </c>
      <c r="AQ137" t="n">
        <v>0</v>
      </c>
      <c r="AR137" t="inlineStr">
        <is>
          <t>No</t>
        </is>
      </c>
      <c r="AS137" t="inlineStr">
        <is>
          <t>No</t>
        </is>
      </c>
      <c r="AT137">
        <f>HYPERLINK("http://catalog.hathitrust.org/Record/001016996","HathiTrust Record")</f>
        <v/>
      </c>
      <c r="AU137">
        <f>HYPERLINK("https://creighton-primo.hosted.exlibrisgroup.com/primo-explore/search?tab=default_tab&amp;search_scope=EVERYTHING&amp;vid=01CRU&amp;lang=en_US&amp;offset=0&amp;query=any,contains,991003615849702656","Catalog Record")</f>
        <v/>
      </c>
      <c r="AV137">
        <f>HYPERLINK("http://www.worldcat.org/oclc/1200127","WorldCat Record")</f>
        <v/>
      </c>
      <c r="AW137" t="inlineStr">
        <is>
          <t>2081805:eng</t>
        </is>
      </c>
      <c r="AX137" t="inlineStr">
        <is>
          <t>1200127</t>
        </is>
      </c>
      <c r="AY137" t="inlineStr">
        <is>
          <t>991003615849702656</t>
        </is>
      </c>
      <c r="AZ137" t="inlineStr">
        <is>
          <t>991003615849702656</t>
        </is>
      </c>
      <c r="BA137" t="inlineStr">
        <is>
          <t>2266069580002656</t>
        </is>
      </c>
      <c r="BB137" t="inlineStr">
        <is>
          <t>BOOK</t>
        </is>
      </c>
      <c r="BE137" t="inlineStr">
        <is>
          <t>32285001412740</t>
        </is>
      </c>
      <c r="BF137" t="inlineStr">
        <is>
          <t>893435183</t>
        </is>
      </c>
    </row>
    <row r="138">
      <c r="A138" t="inlineStr">
        <is>
          <t>No</t>
        </is>
      </c>
      <c r="B138" t="inlineStr">
        <is>
          <t>CURAL</t>
        </is>
      </c>
      <c r="C138" t="inlineStr">
        <is>
          <t>SHELVES</t>
        </is>
      </c>
      <c r="D138" t="inlineStr">
        <is>
          <t>PR1245 .R8 1928a</t>
        </is>
      </c>
      <c r="E138" t="inlineStr">
        <is>
          <t>0                      PR 1245000R  8           1928a</t>
        </is>
      </c>
      <c r="F138" t="inlineStr">
        <is>
          <t>Great English plays : twenty-three masterpieces from the mysteries to Sheridan (excluding Shakespeare) with three representative plays of the nineteenth century / edited with a running commentary by H.F. Rubinstein.</t>
        </is>
      </c>
      <c r="H138" t="inlineStr">
        <is>
          <t>No</t>
        </is>
      </c>
      <c r="I138" t="inlineStr">
        <is>
          <t>1</t>
        </is>
      </c>
      <c r="J138" t="inlineStr">
        <is>
          <t>No</t>
        </is>
      </c>
      <c r="K138" t="inlineStr">
        <is>
          <t>No</t>
        </is>
      </c>
      <c r="L138" t="inlineStr">
        <is>
          <t>0</t>
        </is>
      </c>
      <c r="M138" t="inlineStr">
        <is>
          <t>Rubinstein, Harold F., 1891-1975, editor.</t>
        </is>
      </c>
      <c r="N138" t="inlineStr">
        <is>
          <t>New York, London, Harper &amp; Brothers, 1928.</t>
        </is>
      </c>
      <c r="O138" t="inlineStr">
        <is>
          <t>1928</t>
        </is>
      </c>
      <c r="Q138" t="inlineStr">
        <is>
          <t>eng</t>
        </is>
      </c>
      <c r="R138" t="inlineStr">
        <is>
          <t>nyu</t>
        </is>
      </c>
      <c r="T138" t="inlineStr">
        <is>
          <t xml:space="preserve">PR </t>
        </is>
      </c>
      <c r="U138" t="n">
        <v>1</v>
      </c>
      <c r="V138" t="n">
        <v>1</v>
      </c>
      <c r="W138" t="inlineStr">
        <is>
          <t>2009-05-26</t>
        </is>
      </c>
      <c r="X138" t="inlineStr">
        <is>
          <t>2009-05-26</t>
        </is>
      </c>
      <c r="Y138" t="inlineStr">
        <is>
          <t>1998-04-22</t>
        </is>
      </c>
      <c r="Z138" t="inlineStr">
        <is>
          <t>1998-04-22</t>
        </is>
      </c>
      <c r="AA138" t="n">
        <v>275</v>
      </c>
      <c r="AB138" t="n">
        <v>269</v>
      </c>
      <c r="AC138" t="n">
        <v>314</v>
      </c>
      <c r="AD138" t="n">
        <v>4</v>
      </c>
      <c r="AE138" t="n">
        <v>4</v>
      </c>
      <c r="AF138" t="n">
        <v>18</v>
      </c>
      <c r="AG138" t="n">
        <v>19</v>
      </c>
      <c r="AH138" t="n">
        <v>8</v>
      </c>
      <c r="AI138" t="n">
        <v>9</v>
      </c>
      <c r="AJ138" t="n">
        <v>2</v>
      </c>
      <c r="AK138" t="n">
        <v>2</v>
      </c>
      <c r="AL138" t="n">
        <v>8</v>
      </c>
      <c r="AM138" t="n">
        <v>9</v>
      </c>
      <c r="AN138" t="n">
        <v>3</v>
      </c>
      <c r="AO138" t="n">
        <v>3</v>
      </c>
      <c r="AP138" t="n">
        <v>0</v>
      </c>
      <c r="AQ138" t="n">
        <v>0</v>
      </c>
      <c r="AR138" t="inlineStr">
        <is>
          <t>No</t>
        </is>
      </c>
      <c r="AS138" t="inlineStr">
        <is>
          <t>No</t>
        </is>
      </c>
      <c r="AT138">
        <f>HYPERLINK("http://catalog.hathitrust.org/Record/001004259","HathiTrust Record")</f>
        <v/>
      </c>
      <c r="AU138">
        <f>HYPERLINK("https://creighton-primo.hosted.exlibrisgroup.com/primo-explore/search?tab=default_tab&amp;search_scope=EVERYTHING&amp;vid=01CRU&amp;lang=en_US&amp;offset=0&amp;query=any,contains,991003574329702656","Catalog Record")</f>
        <v/>
      </c>
      <c r="AV138">
        <f>HYPERLINK("http://www.worldcat.org/oclc/1150970","WorldCat Record")</f>
        <v/>
      </c>
      <c r="AW138" t="inlineStr">
        <is>
          <t>2080091:eng</t>
        </is>
      </c>
      <c r="AX138" t="inlineStr">
        <is>
          <t>1150970</t>
        </is>
      </c>
      <c r="AY138" t="inlineStr">
        <is>
          <t>991003574329702656</t>
        </is>
      </c>
      <c r="AZ138" t="inlineStr">
        <is>
          <t>991003574329702656</t>
        </is>
      </c>
      <c r="BA138" t="inlineStr">
        <is>
          <t>2268369300002656</t>
        </is>
      </c>
      <c r="BB138" t="inlineStr">
        <is>
          <t>BOOK</t>
        </is>
      </c>
      <c r="BE138" t="inlineStr">
        <is>
          <t>32285003394565</t>
        </is>
      </c>
      <c r="BF138" t="inlineStr">
        <is>
          <t>893445732</t>
        </is>
      </c>
    </row>
    <row r="139">
      <c r="A139" t="inlineStr">
        <is>
          <t>No</t>
        </is>
      </c>
      <c r="B139" t="inlineStr">
        <is>
          <t>CURAL</t>
        </is>
      </c>
      <c r="C139" t="inlineStr">
        <is>
          <t>SHELVES</t>
        </is>
      </c>
      <c r="D139" t="inlineStr">
        <is>
          <t>PR1246.W65 K49 1985</t>
        </is>
      </c>
      <c r="E139" t="inlineStr">
        <is>
          <t>0                      PR 1246000W  65                 K  49          1985</t>
        </is>
      </c>
      <c r="F139" t="inlineStr">
        <is>
          <t>Feminist theatre : an introduction to plays of contemporary British and American women / Helene Keyssar.</t>
        </is>
      </c>
      <c r="H139" t="inlineStr">
        <is>
          <t>No</t>
        </is>
      </c>
      <c r="I139" t="inlineStr">
        <is>
          <t>1</t>
        </is>
      </c>
      <c r="J139" t="inlineStr">
        <is>
          <t>No</t>
        </is>
      </c>
      <c r="K139" t="inlineStr">
        <is>
          <t>No</t>
        </is>
      </c>
      <c r="L139" t="inlineStr">
        <is>
          <t>0</t>
        </is>
      </c>
      <c r="M139" t="inlineStr">
        <is>
          <t>Keyssar, Helene.</t>
        </is>
      </c>
      <c r="N139" t="inlineStr">
        <is>
          <t>New York : Grove Press, 1985.</t>
        </is>
      </c>
      <c r="O139" t="inlineStr">
        <is>
          <t>1985</t>
        </is>
      </c>
      <c r="P139" t="inlineStr">
        <is>
          <t>1st Grove Press ed.</t>
        </is>
      </c>
      <c r="Q139" t="inlineStr">
        <is>
          <t>eng</t>
        </is>
      </c>
      <c r="R139" t="inlineStr">
        <is>
          <t>nyu</t>
        </is>
      </c>
      <c r="S139" t="inlineStr">
        <is>
          <t>Grove Press modern dramatists</t>
        </is>
      </c>
      <c r="T139" t="inlineStr">
        <is>
          <t xml:space="preserve">PR </t>
        </is>
      </c>
      <c r="U139" t="n">
        <v>5</v>
      </c>
      <c r="V139" t="n">
        <v>5</v>
      </c>
      <c r="W139" t="inlineStr">
        <is>
          <t>2009-12-10</t>
        </is>
      </c>
      <c r="X139" t="inlineStr">
        <is>
          <t>2009-12-10</t>
        </is>
      </c>
      <c r="Y139" t="inlineStr">
        <is>
          <t>1991-09-23</t>
        </is>
      </c>
      <c r="Z139" t="inlineStr">
        <is>
          <t>1991-09-23</t>
        </is>
      </c>
      <c r="AA139" t="n">
        <v>298</v>
      </c>
      <c r="AB139" t="n">
        <v>271</v>
      </c>
      <c r="AC139" t="n">
        <v>467</v>
      </c>
      <c r="AD139" t="n">
        <v>1</v>
      </c>
      <c r="AE139" t="n">
        <v>3</v>
      </c>
      <c r="AF139" t="n">
        <v>9</v>
      </c>
      <c r="AG139" t="n">
        <v>21</v>
      </c>
      <c r="AH139" t="n">
        <v>4</v>
      </c>
      <c r="AI139" t="n">
        <v>10</v>
      </c>
      <c r="AJ139" t="n">
        <v>3</v>
      </c>
      <c r="AK139" t="n">
        <v>6</v>
      </c>
      <c r="AL139" t="n">
        <v>6</v>
      </c>
      <c r="AM139" t="n">
        <v>13</v>
      </c>
      <c r="AN139" t="n">
        <v>0</v>
      </c>
      <c r="AO139" t="n">
        <v>2</v>
      </c>
      <c r="AP139" t="n">
        <v>0</v>
      </c>
      <c r="AQ139" t="n">
        <v>0</v>
      </c>
      <c r="AR139" t="inlineStr">
        <is>
          <t>No</t>
        </is>
      </c>
      <c r="AS139" t="inlineStr">
        <is>
          <t>No</t>
        </is>
      </c>
      <c r="AU139">
        <f>HYPERLINK("https://creighton-primo.hosted.exlibrisgroup.com/primo-explore/search?tab=default_tab&amp;search_scope=EVERYTHING&amp;vid=01CRU&amp;lang=en_US&amp;offset=0&amp;query=any,contains,991000736109702656","Catalog Record")</f>
        <v/>
      </c>
      <c r="AV139">
        <f>HYPERLINK("http://www.worldcat.org/oclc/12777029","WorldCat Record")</f>
        <v/>
      </c>
      <c r="AW139" t="inlineStr">
        <is>
          <t>4904925:eng</t>
        </is>
      </c>
      <c r="AX139" t="inlineStr">
        <is>
          <t>12777029</t>
        </is>
      </c>
      <c r="AY139" t="inlineStr">
        <is>
          <t>991000736109702656</t>
        </is>
      </c>
      <c r="AZ139" t="inlineStr">
        <is>
          <t>991000736109702656</t>
        </is>
      </c>
      <c r="BA139" t="inlineStr">
        <is>
          <t>2271894670002656</t>
        </is>
      </c>
      <c r="BB139" t="inlineStr">
        <is>
          <t>BOOK</t>
        </is>
      </c>
      <c r="BD139" t="inlineStr">
        <is>
          <t>9780394620596</t>
        </is>
      </c>
      <c r="BE139" t="inlineStr">
        <is>
          <t>32285000761428</t>
        </is>
      </c>
      <c r="BF139" t="inlineStr">
        <is>
          <t>893865630</t>
        </is>
      </c>
    </row>
    <row r="140">
      <c r="A140" t="inlineStr">
        <is>
          <t>No</t>
        </is>
      </c>
      <c r="B140" t="inlineStr">
        <is>
          <t>CURAL</t>
        </is>
      </c>
      <c r="C140" t="inlineStr">
        <is>
          <t>SHELVES</t>
        </is>
      </c>
      <c r="D140" t="inlineStr">
        <is>
          <t>PR125 .T5 1954</t>
        </is>
      </c>
      <c r="E140" t="inlineStr">
        <is>
          <t>0                      PR 0125000T  5           1954</t>
        </is>
      </c>
      <c r="F140" t="inlineStr">
        <is>
          <t>The English epic and its background.</t>
        </is>
      </c>
      <c r="H140" t="inlineStr">
        <is>
          <t>No</t>
        </is>
      </c>
      <c r="I140" t="inlineStr">
        <is>
          <t>1</t>
        </is>
      </c>
      <c r="J140" t="inlineStr">
        <is>
          <t>No</t>
        </is>
      </c>
      <c r="K140" t="inlineStr">
        <is>
          <t>No</t>
        </is>
      </c>
      <c r="L140" t="inlineStr">
        <is>
          <t>0</t>
        </is>
      </c>
      <c r="M140" t="inlineStr">
        <is>
          <t>Tillyard, E. M. W. (Eustace Mandeville Wetenhall), 1889-1962.</t>
        </is>
      </c>
      <c r="N140" t="inlineStr">
        <is>
          <t>London, Chatto and Windus, 1954.</t>
        </is>
      </c>
      <c r="O140" t="inlineStr">
        <is>
          <t>1954</t>
        </is>
      </c>
      <c r="Q140" t="inlineStr">
        <is>
          <t>eng</t>
        </is>
      </c>
      <c r="R140" t="inlineStr">
        <is>
          <t>enk</t>
        </is>
      </c>
      <c r="T140" t="inlineStr">
        <is>
          <t xml:space="preserve">PR </t>
        </is>
      </c>
      <c r="U140" t="n">
        <v>2</v>
      </c>
      <c r="V140" t="n">
        <v>2</v>
      </c>
      <c r="W140" t="inlineStr">
        <is>
          <t>1997-11-26</t>
        </is>
      </c>
      <c r="X140" t="inlineStr">
        <is>
          <t>1997-11-26</t>
        </is>
      </c>
      <c r="Y140" t="inlineStr">
        <is>
          <t>1997-08-15</t>
        </is>
      </c>
      <c r="Z140" t="inlineStr">
        <is>
          <t>1997-08-15</t>
        </is>
      </c>
      <c r="AA140" t="n">
        <v>483</v>
      </c>
      <c r="AB140" t="n">
        <v>309</v>
      </c>
      <c r="AC140" t="n">
        <v>1198</v>
      </c>
      <c r="AD140" t="n">
        <v>3</v>
      </c>
      <c r="AE140" t="n">
        <v>12</v>
      </c>
      <c r="AF140" t="n">
        <v>18</v>
      </c>
      <c r="AG140" t="n">
        <v>55</v>
      </c>
      <c r="AH140" t="n">
        <v>7</v>
      </c>
      <c r="AI140" t="n">
        <v>24</v>
      </c>
      <c r="AJ140" t="n">
        <v>3</v>
      </c>
      <c r="AK140" t="n">
        <v>7</v>
      </c>
      <c r="AL140" t="n">
        <v>12</v>
      </c>
      <c r="AM140" t="n">
        <v>26</v>
      </c>
      <c r="AN140" t="n">
        <v>2</v>
      </c>
      <c r="AO140" t="n">
        <v>10</v>
      </c>
      <c r="AP140" t="n">
        <v>0</v>
      </c>
      <c r="AQ140" t="n">
        <v>0</v>
      </c>
      <c r="AR140" t="inlineStr">
        <is>
          <t>No</t>
        </is>
      </c>
      <c r="AS140" t="inlineStr">
        <is>
          <t>Yes</t>
        </is>
      </c>
      <c r="AT140">
        <f>HYPERLINK("http://catalog.hathitrust.org/Record/001016259","HathiTrust Record")</f>
        <v/>
      </c>
      <c r="AU140">
        <f>HYPERLINK("https://creighton-primo.hosted.exlibrisgroup.com/primo-explore/search?tab=default_tab&amp;search_scope=EVERYTHING&amp;vid=01CRU&amp;lang=en_US&amp;offset=0&amp;query=any,contains,991003986329702656","Catalog Record")</f>
        <v/>
      </c>
      <c r="AV140">
        <f>HYPERLINK("http://www.worldcat.org/oclc/2032538","WorldCat Record")</f>
        <v/>
      </c>
      <c r="AW140" t="inlineStr">
        <is>
          <t>501687:eng</t>
        </is>
      </c>
      <c r="AX140" t="inlineStr">
        <is>
          <t>2032538</t>
        </is>
      </c>
      <c r="AY140" t="inlineStr">
        <is>
          <t>991003986329702656</t>
        </is>
      </c>
      <c r="AZ140" t="inlineStr">
        <is>
          <t>991003986329702656</t>
        </is>
      </c>
      <c r="BA140" t="inlineStr">
        <is>
          <t>2269256570002656</t>
        </is>
      </c>
      <c r="BB140" t="inlineStr">
        <is>
          <t>BOOK</t>
        </is>
      </c>
      <c r="BE140" t="inlineStr">
        <is>
          <t>32285003150116</t>
        </is>
      </c>
      <c r="BF140" t="inlineStr">
        <is>
          <t>893627928</t>
        </is>
      </c>
    </row>
    <row r="141">
      <c r="A141" t="inlineStr">
        <is>
          <t>No</t>
        </is>
      </c>
      <c r="B141" t="inlineStr">
        <is>
          <t>CURAL</t>
        </is>
      </c>
      <c r="C141" t="inlineStr">
        <is>
          <t>SHELVES</t>
        </is>
      </c>
      <c r="D141" t="inlineStr">
        <is>
          <t>PR1259.M4 G6</t>
        </is>
      </c>
      <c r="E141" t="inlineStr">
        <is>
          <t>0                      PR 1259000M  4                  G  6</t>
        </is>
      </c>
      <c r="F141" t="inlineStr">
        <is>
          <t>The Golden age of melodrama : twelve 19th century melodramas / abridged and introduced by Michael Kilgarriff.</t>
        </is>
      </c>
      <c r="H141" t="inlineStr">
        <is>
          <t>No</t>
        </is>
      </c>
      <c r="I141" t="inlineStr">
        <is>
          <t>1</t>
        </is>
      </c>
      <c r="J141" t="inlineStr">
        <is>
          <t>No</t>
        </is>
      </c>
      <c r="K141" t="inlineStr">
        <is>
          <t>No</t>
        </is>
      </c>
      <c r="L141" t="inlineStr">
        <is>
          <t>0</t>
        </is>
      </c>
      <c r="N141" t="inlineStr">
        <is>
          <t>London : Wolfe, 1974.</t>
        </is>
      </c>
      <c r="O141" t="inlineStr">
        <is>
          <t>1974</t>
        </is>
      </c>
      <c r="Q141" t="inlineStr">
        <is>
          <t>eng</t>
        </is>
      </c>
      <c r="R141" t="inlineStr">
        <is>
          <t>enk</t>
        </is>
      </c>
      <c r="T141" t="inlineStr">
        <is>
          <t xml:space="preserve">PR </t>
        </is>
      </c>
      <c r="U141" t="n">
        <v>5</v>
      </c>
      <c r="V141" t="n">
        <v>5</v>
      </c>
      <c r="W141" t="inlineStr">
        <is>
          <t>2010-07-20</t>
        </is>
      </c>
      <c r="X141" t="inlineStr">
        <is>
          <t>2010-07-20</t>
        </is>
      </c>
      <c r="Y141" t="inlineStr">
        <is>
          <t>1991-10-01</t>
        </is>
      </c>
      <c r="Z141" t="inlineStr">
        <is>
          <t>1991-10-01</t>
        </is>
      </c>
      <c r="AA141" t="n">
        <v>540</v>
      </c>
      <c r="AB141" t="n">
        <v>397</v>
      </c>
      <c r="AC141" t="n">
        <v>404</v>
      </c>
      <c r="AD141" t="n">
        <v>4</v>
      </c>
      <c r="AE141" t="n">
        <v>4</v>
      </c>
      <c r="AF141" t="n">
        <v>17</v>
      </c>
      <c r="AG141" t="n">
        <v>17</v>
      </c>
      <c r="AH141" t="n">
        <v>9</v>
      </c>
      <c r="AI141" t="n">
        <v>9</v>
      </c>
      <c r="AJ141" t="n">
        <v>4</v>
      </c>
      <c r="AK141" t="n">
        <v>4</v>
      </c>
      <c r="AL141" t="n">
        <v>8</v>
      </c>
      <c r="AM141" t="n">
        <v>8</v>
      </c>
      <c r="AN141" t="n">
        <v>3</v>
      </c>
      <c r="AO141" t="n">
        <v>3</v>
      </c>
      <c r="AP141" t="n">
        <v>0</v>
      </c>
      <c r="AQ141" t="n">
        <v>0</v>
      </c>
      <c r="AR141" t="inlineStr">
        <is>
          <t>No</t>
        </is>
      </c>
      <c r="AS141" t="inlineStr">
        <is>
          <t>Yes</t>
        </is>
      </c>
      <c r="AT141">
        <f>HYPERLINK("http://catalog.hathitrust.org/Record/004437838","HathiTrust Record")</f>
        <v/>
      </c>
      <c r="AU141">
        <f>HYPERLINK("https://creighton-primo.hosted.exlibrisgroup.com/primo-explore/search?tab=default_tab&amp;search_scope=EVERYTHING&amp;vid=01CRU&amp;lang=en_US&amp;offset=0&amp;query=any,contains,991003969699702656","Catalog Record")</f>
        <v/>
      </c>
      <c r="AV141">
        <f>HYPERLINK("http://www.worldcat.org/oclc/1991343","WorldCat Record")</f>
        <v/>
      </c>
      <c r="AW141" t="inlineStr">
        <is>
          <t>962434744:eng</t>
        </is>
      </c>
      <c r="AX141" t="inlineStr">
        <is>
          <t>1991343</t>
        </is>
      </c>
      <c r="AY141" t="inlineStr">
        <is>
          <t>991003969699702656</t>
        </is>
      </c>
      <c r="AZ141" t="inlineStr">
        <is>
          <t>991003969699702656</t>
        </is>
      </c>
      <c r="BA141" t="inlineStr">
        <is>
          <t>2263947620002656</t>
        </is>
      </c>
      <c r="BB141" t="inlineStr">
        <is>
          <t>BOOK</t>
        </is>
      </c>
      <c r="BD141" t="inlineStr">
        <is>
          <t>9780723405146</t>
        </is>
      </c>
      <c r="BE141" t="inlineStr">
        <is>
          <t>32285000761469</t>
        </is>
      </c>
      <c r="BF141" t="inlineStr">
        <is>
          <t>893687192</t>
        </is>
      </c>
    </row>
    <row r="142">
      <c r="A142" t="inlineStr">
        <is>
          <t>No</t>
        </is>
      </c>
      <c r="B142" t="inlineStr">
        <is>
          <t>CURAL</t>
        </is>
      </c>
      <c r="C142" t="inlineStr">
        <is>
          <t>SHELVES</t>
        </is>
      </c>
      <c r="D142" t="inlineStr">
        <is>
          <t>PR1259.M6 F6 1979</t>
        </is>
      </c>
      <c r="E142" t="inlineStr">
        <is>
          <t>0                      PR 1259000M  6                  F  6           1979</t>
        </is>
      </c>
      <c r="F142" t="inlineStr">
        <is>
          <t>Four morality plays / edited with an introd. and notes by Peter Happé.</t>
        </is>
      </c>
      <c r="H142" t="inlineStr">
        <is>
          <t>No</t>
        </is>
      </c>
      <c r="I142" t="inlineStr">
        <is>
          <t>1</t>
        </is>
      </c>
      <c r="J142" t="inlineStr">
        <is>
          <t>No</t>
        </is>
      </c>
      <c r="K142" t="inlineStr">
        <is>
          <t>No</t>
        </is>
      </c>
      <c r="L142" t="inlineStr">
        <is>
          <t>0</t>
        </is>
      </c>
      <c r="N142" t="inlineStr">
        <is>
          <t>Harmondsworth, Eng. ; New York : Penguin Books, c1979, 1987 printing.</t>
        </is>
      </c>
      <c r="O142" t="inlineStr">
        <is>
          <t>1979</t>
        </is>
      </c>
      <c r="Q142" t="inlineStr">
        <is>
          <t>eng</t>
        </is>
      </c>
      <c r="R142" t="inlineStr">
        <is>
          <t>enk</t>
        </is>
      </c>
      <c r="S142" t="inlineStr">
        <is>
          <t>Penguin classics</t>
        </is>
      </c>
      <c r="T142" t="inlineStr">
        <is>
          <t xml:space="preserve">PR </t>
        </is>
      </c>
      <c r="U142" t="n">
        <v>7</v>
      </c>
      <c r="V142" t="n">
        <v>7</v>
      </c>
      <c r="W142" t="inlineStr">
        <is>
          <t>2010-04-05</t>
        </is>
      </c>
      <c r="X142" t="inlineStr">
        <is>
          <t>2010-04-05</t>
        </is>
      </c>
      <c r="Y142" t="inlineStr">
        <is>
          <t>1991-09-23</t>
        </is>
      </c>
      <c r="Z142" t="inlineStr">
        <is>
          <t>1991-09-23</t>
        </is>
      </c>
      <c r="AA142" t="n">
        <v>348</v>
      </c>
      <c r="AB142" t="n">
        <v>219</v>
      </c>
      <c r="AC142" t="n">
        <v>234</v>
      </c>
      <c r="AD142" t="n">
        <v>3</v>
      </c>
      <c r="AE142" t="n">
        <v>3</v>
      </c>
      <c r="AF142" t="n">
        <v>8</v>
      </c>
      <c r="AG142" t="n">
        <v>8</v>
      </c>
      <c r="AH142" t="n">
        <v>3</v>
      </c>
      <c r="AI142" t="n">
        <v>3</v>
      </c>
      <c r="AJ142" t="n">
        <v>3</v>
      </c>
      <c r="AK142" t="n">
        <v>3</v>
      </c>
      <c r="AL142" t="n">
        <v>3</v>
      </c>
      <c r="AM142" t="n">
        <v>3</v>
      </c>
      <c r="AN142" t="n">
        <v>2</v>
      </c>
      <c r="AO142" t="n">
        <v>2</v>
      </c>
      <c r="AP142" t="n">
        <v>0</v>
      </c>
      <c r="AQ142" t="n">
        <v>0</v>
      </c>
      <c r="AR142" t="inlineStr">
        <is>
          <t>No</t>
        </is>
      </c>
      <c r="AS142" t="inlineStr">
        <is>
          <t>No</t>
        </is>
      </c>
      <c r="AU142">
        <f>HYPERLINK("https://creighton-primo.hosted.exlibrisgroup.com/primo-explore/search?tab=default_tab&amp;search_scope=EVERYTHING&amp;vid=01CRU&amp;lang=en_US&amp;offset=0&amp;query=any,contains,991004961739702656","Catalog Record")</f>
        <v/>
      </c>
      <c r="AV142">
        <f>HYPERLINK("http://www.worldcat.org/oclc/6307007","WorldCat Record")</f>
        <v/>
      </c>
      <c r="AW142" t="inlineStr">
        <is>
          <t>54376584:eng</t>
        </is>
      </c>
      <c r="AX142" t="inlineStr">
        <is>
          <t>6307007</t>
        </is>
      </c>
      <c r="AY142" t="inlineStr">
        <is>
          <t>991004961739702656</t>
        </is>
      </c>
      <c r="AZ142" t="inlineStr">
        <is>
          <t>991004961739702656</t>
        </is>
      </c>
      <c r="BA142" t="inlineStr">
        <is>
          <t>2255874810002656</t>
        </is>
      </c>
      <c r="BB142" t="inlineStr">
        <is>
          <t>BOOK</t>
        </is>
      </c>
      <c r="BD142" t="inlineStr">
        <is>
          <t>9780140431193</t>
        </is>
      </c>
      <c r="BE142" t="inlineStr">
        <is>
          <t>32285000761477</t>
        </is>
      </c>
      <c r="BF142" t="inlineStr">
        <is>
          <t>893600430</t>
        </is>
      </c>
    </row>
    <row r="143">
      <c r="A143" t="inlineStr">
        <is>
          <t>No</t>
        </is>
      </c>
      <c r="B143" t="inlineStr">
        <is>
          <t>CURAL</t>
        </is>
      </c>
      <c r="C143" t="inlineStr">
        <is>
          <t>SHELVES</t>
        </is>
      </c>
      <c r="D143" t="inlineStr">
        <is>
          <t>PR1260 .B3 1962</t>
        </is>
      </c>
      <c r="E143" t="inlineStr">
        <is>
          <t>0                      PR 1260000B  3           1962</t>
        </is>
      </c>
      <c r="F143" t="inlineStr">
        <is>
          <t>The genius of the early English theater / edited and with an introd. by Sylvan Barnet, Morton Berman [and] William Burto.</t>
        </is>
      </c>
      <c r="H143" t="inlineStr">
        <is>
          <t>No</t>
        </is>
      </c>
      <c r="I143" t="inlineStr">
        <is>
          <t>1</t>
        </is>
      </c>
      <c r="J143" t="inlineStr">
        <is>
          <t>No</t>
        </is>
      </c>
      <c r="K143" t="inlineStr">
        <is>
          <t>No</t>
        </is>
      </c>
      <c r="L143" t="inlineStr">
        <is>
          <t>0</t>
        </is>
      </c>
      <c r="M143" t="inlineStr">
        <is>
          <t>Barnet, Sylvan editor.</t>
        </is>
      </c>
      <c r="N143" t="inlineStr">
        <is>
          <t>[New York] : New American Library, [1962]</t>
        </is>
      </c>
      <c r="O143" t="inlineStr">
        <is>
          <t>1962</t>
        </is>
      </c>
      <c r="Q143" t="inlineStr">
        <is>
          <t>eng</t>
        </is>
      </c>
      <c r="R143" t="inlineStr">
        <is>
          <t>nyu</t>
        </is>
      </c>
      <c r="S143" t="inlineStr">
        <is>
          <t>A Mentor book, MQ438</t>
        </is>
      </c>
      <c r="T143" t="inlineStr">
        <is>
          <t xml:space="preserve">PR </t>
        </is>
      </c>
      <c r="U143" t="n">
        <v>12</v>
      </c>
      <c r="V143" t="n">
        <v>12</v>
      </c>
      <c r="W143" t="inlineStr">
        <is>
          <t>1998-06-30</t>
        </is>
      </c>
      <c r="X143" t="inlineStr">
        <is>
          <t>1998-06-30</t>
        </is>
      </c>
      <c r="Y143" t="inlineStr">
        <is>
          <t>1991-10-28</t>
        </is>
      </c>
      <c r="Z143" t="inlineStr">
        <is>
          <t>1991-10-28</t>
        </is>
      </c>
      <c r="AA143" t="n">
        <v>806</v>
      </c>
      <c r="AB143" t="n">
        <v>708</v>
      </c>
      <c r="AC143" t="n">
        <v>746</v>
      </c>
      <c r="AD143" t="n">
        <v>3</v>
      </c>
      <c r="AE143" t="n">
        <v>3</v>
      </c>
      <c r="AF143" t="n">
        <v>24</v>
      </c>
      <c r="AG143" t="n">
        <v>25</v>
      </c>
      <c r="AH143" t="n">
        <v>9</v>
      </c>
      <c r="AI143" t="n">
        <v>9</v>
      </c>
      <c r="AJ143" t="n">
        <v>6</v>
      </c>
      <c r="AK143" t="n">
        <v>6</v>
      </c>
      <c r="AL143" t="n">
        <v>11</v>
      </c>
      <c r="AM143" t="n">
        <v>12</v>
      </c>
      <c r="AN143" t="n">
        <v>2</v>
      </c>
      <c r="AO143" t="n">
        <v>2</v>
      </c>
      <c r="AP143" t="n">
        <v>0</v>
      </c>
      <c r="AQ143" t="n">
        <v>0</v>
      </c>
      <c r="AR143" t="inlineStr">
        <is>
          <t>No</t>
        </is>
      </c>
      <c r="AS143" t="inlineStr">
        <is>
          <t>Yes</t>
        </is>
      </c>
      <c r="AT143">
        <f>HYPERLINK("http://catalog.hathitrust.org/Record/006056141","HathiTrust Record")</f>
        <v/>
      </c>
      <c r="AU143">
        <f>HYPERLINK("https://creighton-primo.hosted.exlibrisgroup.com/primo-explore/search?tab=default_tab&amp;search_scope=EVERYTHING&amp;vid=01CRU&amp;lang=en_US&amp;offset=0&amp;query=any,contains,991002001559702656","Catalog Record")</f>
        <v/>
      </c>
      <c r="AV143">
        <f>HYPERLINK("http://www.worldcat.org/oclc/256489","WorldCat Record")</f>
        <v/>
      </c>
      <c r="AW143" t="inlineStr">
        <is>
          <t>1355203:eng</t>
        </is>
      </c>
      <c r="AX143" t="inlineStr">
        <is>
          <t>256489</t>
        </is>
      </c>
      <c r="AY143" t="inlineStr">
        <is>
          <t>991002001559702656</t>
        </is>
      </c>
      <c r="AZ143" t="inlineStr">
        <is>
          <t>991002001559702656</t>
        </is>
      </c>
      <c r="BA143" t="inlineStr">
        <is>
          <t>2272261500002656</t>
        </is>
      </c>
      <c r="BB143" t="inlineStr">
        <is>
          <t>BOOK</t>
        </is>
      </c>
      <c r="BE143" t="inlineStr">
        <is>
          <t>32285000802578</t>
        </is>
      </c>
      <c r="BF143" t="inlineStr">
        <is>
          <t>893615576</t>
        </is>
      </c>
    </row>
    <row r="144">
      <c r="A144" t="inlineStr">
        <is>
          <t>No</t>
        </is>
      </c>
      <c r="B144" t="inlineStr">
        <is>
          <t>CURAL</t>
        </is>
      </c>
      <c r="C144" t="inlineStr">
        <is>
          <t>SHELVES</t>
        </is>
      </c>
      <c r="D144" t="inlineStr">
        <is>
          <t>PR1260 .E27 1993</t>
        </is>
      </c>
      <c r="E144" t="inlineStr">
        <is>
          <t>0                      PR 1260000E  27          1993</t>
        </is>
      </c>
      <c r="F144" t="inlineStr">
        <is>
          <t>Early English drama : an anthology / edited by John C. Coldewey.</t>
        </is>
      </c>
      <c r="H144" t="inlineStr">
        <is>
          <t>No</t>
        </is>
      </c>
      <c r="I144" t="inlineStr">
        <is>
          <t>1</t>
        </is>
      </c>
      <c r="J144" t="inlineStr">
        <is>
          <t>No</t>
        </is>
      </c>
      <c r="K144" t="inlineStr">
        <is>
          <t>No</t>
        </is>
      </c>
      <c r="L144" t="inlineStr">
        <is>
          <t>0</t>
        </is>
      </c>
      <c r="N144" t="inlineStr">
        <is>
          <t>New York : Garland Pub., 1993.</t>
        </is>
      </c>
      <c r="O144" t="inlineStr">
        <is>
          <t>1993</t>
        </is>
      </c>
      <c r="Q144" t="inlineStr">
        <is>
          <t>eng</t>
        </is>
      </c>
      <c r="R144" t="inlineStr">
        <is>
          <t>nyu</t>
        </is>
      </c>
      <c r="S144" t="inlineStr">
        <is>
          <t>Garland reference library of the humanities ; v. 1313</t>
        </is>
      </c>
      <c r="T144" t="inlineStr">
        <is>
          <t xml:space="preserve">PR </t>
        </is>
      </c>
      <c r="U144" t="n">
        <v>4</v>
      </c>
      <c r="V144" t="n">
        <v>4</v>
      </c>
      <c r="W144" t="inlineStr">
        <is>
          <t>2001-03-26</t>
        </is>
      </c>
      <c r="X144" t="inlineStr">
        <is>
          <t>2001-03-26</t>
        </is>
      </c>
      <c r="Y144" t="inlineStr">
        <is>
          <t>1993-10-21</t>
        </is>
      </c>
      <c r="Z144" t="inlineStr">
        <is>
          <t>1993-10-21</t>
        </is>
      </c>
      <c r="AA144" t="n">
        <v>423</v>
      </c>
      <c r="AB144" t="n">
        <v>328</v>
      </c>
      <c r="AC144" t="n">
        <v>349</v>
      </c>
      <c r="AD144" t="n">
        <v>2</v>
      </c>
      <c r="AE144" t="n">
        <v>2</v>
      </c>
      <c r="AF144" t="n">
        <v>17</v>
      </c>
      <c r="AG144" t="n">
        <v>17</v>
      </c>
      <c r="AH144" t="n">
        <v>8</v>
      </c>
      <c r="AI144" t="n">
        <v>8</v>
      </c>
      <c r="AJ144" t="n">
        <v>3</v>
      </c>
      <c r="AK144" t="n">
        <v>3</v>
      </c>
      <c r="AL144" t="n">
        <v>12</v>
      </c>
      <c r="AM144" t="n">
        <v>12</v>
      </c>
      <c r="AN144" t="n">
        <v>1</v>
      </c>
      <c r="AO144" t="n">
        <v>1</v>
      </c>
      <c r="AP144" t="n">
        <v>0</v>
      </c>
      <c r="AQ144" t="n">
        <v>0</v>
      </c>
      <c r="AR144" t="inlineStr">
        <is>
          <t>No</t>
        </is>
      </c>
      <c r="AS144" t="inlineStr">
        <is>
          <t>No</t>
        </is>
      </c>
      <c r="AU144">
        <f>HYPERLINK("https://creighton-primo.hosted.exlibrisgroup.com/primo-explore/search?tab=default_tab&amp;search_scope=EVERYTHING&amp;vid=01CRU&amp;lang=en_US&amp;offset=0&amp;query=any,contains,991001995639702656","Catalog Record")</f>
        <v/>
      </c>
      <c r="AV144">
        <f>HYPERLINK("http://www.worldcat.org/oclc/25368762","WorldCat Record")</f>
        <v/>
      </c>
      <c r="AW144" t="inlineStr">
        <is>
          <t>836875213:eng</t>
        </is>
      </c>
      <c r="AX144" t="inlineStr">
        <is>
          <t>25368762</t>
        </is>
      </c>
      <c r="AY144" t="inlineStr">
        <is>
          <t>991001995639702656</t>
        </is>
      </c>
      <c r="AZ144" t="inlineStr">
        <is>
          <t>991001995639702656</t>
        </is>
      </c>
      <c r="BA144" t="inlineStr">
        <is>
          <t>2256910210002656</t>
        </is>
      </c>
      <c r="BB144" t="inlineStr">
        <is>
          <t>BOOK</t>
        </is>
      </c>
      <c r="BD144" t="inlineStr">
        <is>
          <t>9780824046996</t>
        </is>
      </c>
      <c r="BE144" t="inlineStr">
        <is>
          <t>32285001787588</t>
        </is>
      </c>
      <c r="BF144" t="inlineStr">
        <is>
          <t>893256746</t>
        </is>
      </c>
    </row>
    <row r="145">
      <c r="A145" t="inlineStr">
        <is>
          <t>No</t>
        </is>
      </c>
      <c r="B145" t="inlineStr">
        <is>
          <t>CURAL</t>
        </is>
      </c>
      <c r="C145" t="inlineStr">
        <is>
          <t>SHELVES</t>
        </is>
      </c>
      <c r="D145" t="inlineStr">
        <is>
          <t>PR1260 .E94</t>
        </is>
      </c>
      <c r="E145" t="inlineStr">
        <is>
          <t>0                      PR 1260000E  94</t>
        </is>
      </c>
      <c r="F145" t="inlineStr">
        <is>
          <t>Everyman, and medieval miracle plays / edited with an introd. by A. C. Cawley.</t>
        </is>
      </c>
      <c r="H145" t="inlineStr">
        <is>
          <t>No</t>
        </is>
      </c>
      <c r="I145" t="inlineStr">
        <is>
          <t>1</t>
        </is>
      </c>
      <c r="J145" t="inlineStr">
        <is>
          <t>No</t>
        </is>
      </c>
      <c r="K145" t="inlineStr">
        <is>
          <t>No</t>
        </is>
      </c>
      <c r="L145" t="inlineStr">
        <is>
          <t>0</t>
        </is>
      </c>
      <c r="N145" t="inlineStr">
        <is>
          <t>London : Dent ; New York : Dutton, [1962]</t>
        </is>
      </c>
      <c r="O145" t="inlineStr">
        <is>
          <t>1962</t>
        </is>
      </c>
      <c r="Q145" t="inlineStr">
        <is>
          <t>eng</t>
        </is>
      </c>
      <c r="R145" t="inlineStr">
        <is>
          <t>enk</t>
        </is>
      </c>
      <c r="S145" t="inlineStr">
        <is>
          <t>Everyman's library ; 381</t>
        </is>
      </c>
      <c r="T145" t="inlineStr">
        <is>
          <t xml:space="preserve">PR </t>
        </is>
      </c>
      <c r="U145" t="n">
        <v>11</v>
      </c>
      <c r="V145" t="n">
        <v>11</v>
      </c>
      <c r="W145" t="inlineStr">
        <is>
          <t>2010-04-05</t>
        </is>
      </c>
      <c r="X145" t="inlineStr">
        <is>
          <t>2010-04-05</t>
        </is>
      </c>
      <c r="Y145" t="inlineStr">
        <is>
          <t>1992-03-03</t>
        </is>
      </c>
      <c r="Z145" t="inlineStr">
        <is>
          <t>1992-03-03</t>
        </is>
      </c>
      <c r="AA145" t="n">
        <v>425</v>
      </c>
      <c r="AB145" t="n">
        <v>378</v>
      </c>
      <c r="AC145" t="n">
        <v>956</v>
      </c>
      <c r="AD145" t="n">
        <v>4</v>
      </c>
      <c r="AE145" t="n">
        <v>7</v>
      </c>
      <c r="AF145" t="n">
        <v>10</v>
      </c>
      <c r="AG145" t="n">
        <v>27</v>
      </c>
      <c r="AH145" t="n">
        <v>3</v>
      </c>
      <c r="AI145" t="n">
        <v>10</v>
      </c>
      <c r="AJ145" t="n">
        <v>5</v>
      </c>
      <c r="AK145" t="n">
        <v>9</v>
      </c>
      <c r="AL145" t="n">
        <v>3</v>
      </c>
      <c r="AM145" t="n">
        <v>14</v>
      </c>
      <c r="AN145" t="n">
        <v>3</v>
      </c>
      <c r="AO145" t="n">
        <v>5</v>
      </c>
      <c r="AP145" t="n">
        <v>0</v>
      </c>
      <c r="AQ145" t="n">
        <v>0</v>
      </c>
      <c r="AR145" t="inlineStr">
        <is>
          <t>No</t>
        </is>
      </c>
      <c r="AS145" t="inlineStr">
        <is>
          <t>Yes</t>
        </is>
      </c>
      <c r="AT145">
        <f>HYPERLINK("http://catalog.hathitrust.org/Record/006056142","HathiTrust Record")</f>
        <v/>
      </c>
      <c r="AU145">
        <f>HYPERLINK("https://creighton-primo.hosted.exlibrisgroup.com/primo-explore/search?tab=default_tab&amp;search_scope=EVERYTHING&amp;vid=01CRU&amp;lang=en_US&amp;offset=0&amp;query=any,contains,991004096309702656","Catalog Record")</f>
        <v/>
      </c>
      <c r="AV145">
        <f>HYPERLINK("http://www.worldcat.org/oclc/2360193","WorldCat Record")</f>
        <v/>
      </c>
      <c r="AW145" t="inlineStr">
        <is>
          <t>10628159040:eng</t>
        </is>
      </c>
      <c r="AX145" t="inlineStr">
        <is>
          <t>2360193</t>
        </is>
      </c>
      <c r="AY145" t="inlineStr">
        <is>
          <t>991004096309702656</t>
        </is>
      </c>
      <c r="AZ145" t="inlineStr">
        <is>
          <t>991004096309702656</t>
        </is>
      </c>
      <c r="BA145" t="inlineStr">
        <is>
          <t>2272707060002656</t>
        </is>
      </c>
      <c r="BB145" t="inlineStr">
        <is>
          <t>BOOK</t>
        </is>
      </c>
      <c r="BE145" t="inlineStr">
        <is>
          <t>32285000979905</t>
        </is>
      </c>
      <c r="BF145" t="inlineStr">
        <is>
          <t>893324916</t>
        </is>
      </c>
    </row>
    <row r="146">
      <c r="A146" t="inlineStr">
        <is>
          <t>No</t>
        </is>
      </c>
      <c r="B146" t="inlineStr">
        <is>
          <t>CURAL</t>
        </is>
      </c>
      <c r="C146" t="inlineStr">
        <is>
          <t>SHELVES</t>
        </is>
      </c>
      <c r="D146" t="inlineStr">
        <is>
          <t>PR1260 .F7 1975</t>
        </is>
      </c>
      <c r="E146" t="inlineStr">
        <is>
          <t>0                      PR 1260000F  7           1975</t>
        </is>
      </c>
      <c r="F146" t="inlineStr">
        <is>
          <t>Seven miracle plays.</t>
        </is>
      </c>
      <c r="H146" t="inlineStr">
        <is>
          <t>No</t>
        </is>
      </c>
      <c r="I146" t="inlineStr">
        <is>
          <t>1</t>
        </is>
      </c>
      <c r="J146" t="inlineStr">
        <is>
          <t>No</t>
        </is>
      </c>
      <c r="K146" t="inlineStr">
        <is>
          <t>No</t>
        </is>
      </c>
      <c r="L146" t="inlineStr">
        <is>
          <t>0</t>
        </is>
      </c>
      <c r="M146" t="inlineStr">
        <is>
          <t>Franklin, Alexander, editor.</t>
        </is>
      </c>
      <c r="N146" t="inlineStr">
        <is>
          <t>[London ; New York] : Oxford University Press, [1975]</t>
        </is>
      </c>
      <c r="O146" t="inlineStr">
        <is>
          <t>1975</t>
        </is>
      </c>
      <c r="Q146" t="inlineStr">
        <is>
          <t>eng</t>
        </is>
      </c>
      <c r="R146" t="inlineStr">
        <is>
          <t>enk</t>
        </is>
      </c>
      <c r="T146" t="inlineStr">
        <is>
          <t xml:space="preserve">PR </t>
        </is>
      </c>
      <c r="U146" t="n">
        <v>1</v>
      </c>
      <c r="V146" t="n">
        <v>1</v>
      </c>
      <c r="W146" t="inlineStr">
        <is>
          <t>1998-10-04</t>
        </is>
      </c>
      <c r="X146" t="inlineStr">
        <is>
          <t>1998-10-04</t>
        </is>
      </c>
      <c r="Y146" t="inlineStr">
        <is>
          <t>1998-01-16</t>
        </is>
      </c>
      <c r="Z146" t="inlineStr">
        <is>
          <t>1998-01-16</t>
        </is>
      </c>
      <c r="AA146" t="n">
        <v>17</v>
      </c>
      <c r="AB146" t="n">
        <v>11</v>
      </c>
      <c r="AC146" t="n">
        <v>603</v>
      </c>
      <c r="AD146" t="n">
        <v>1</v>
      </c>
      <c r="AE146" t="n">
        <v>4</v>
      </c>
      <c r="AF146" t="n">
        <v>2</v>
      </c>
      <c r="AG146" t="n">
        <v>27</v>
      </c>
      <c r="AH146" t="n">
        <v>0</v>
      </c>
      <c r="AI146" t="n">
        <v>11</v>
      </c>
      <c r="AJ146" t="n">
        <v>0</v>
      </c>
      <c r="AK146" t="n">
        <v>7</v>
      </c>
      <c r="AL146" t="n">
        <v>2</v>
      </c>
      <c r="AM146" t="n">
        <v>14</v>
      </c>
      <c r="AN146" t="n">
        <v>0</v>
      </c>
      <c r="AO146" t="n">
        <v>3</v>
      </c>
      <c r="AP146" t="n">
        <v>0</v>
      </c>
      <c r="AQ146" t="n">
        <v>0</v>
      </c>
      <c r="AR146" t="inlineStr">
        <is>
          <t>No</t>
        </is>
      </c>
      <c r="AS146" t="inlineStr">
        <is>
          <t>No</t>
        </is>
      </c>
      <c r="AU146">
        <f>HYPERLINK("https://creighton-primo.hosted.exlibrisgroup.com/primo-explore/search?tab=default_tab&amp;search_scope=EVERYTHING&amp;vid=01CRU&amp;lang=en_US&amp;offset=0&amp;query=any,contains,991001981189702656","Catalog Record")</f>
        <v/>
      </c>
      <c r="AV146">
        <f>HYPERLINK("http://www.worldcat.org/oclc/25134470","WorldCat Record")</f>
        <v/>
      </c>
      <c r="AW146" t="inlineStr">
        <is>
          <t>571277:eng</t>
        </is>
      </c>
      <c r="AX146" t="inlineStr">
        <is>
          <t>25134470</t>
        </is>
      </c>
      <c r="AY146" t="inlineStr">
        <is>
          <t>991001981189702656</t>
        </is>
      </c>
      <c r="AZ146" t="inlineStr">
        <is>
          <t>991001981189702656</t>
        </is>
      </c>
      <c r="BA146" t="inlineStr">
        <is>
          <t>2271687240002656</t>
        </is>
      </c>
      <c r="BB146" t="inlineStr">
        <is>
          <t>BOOK</t>
        </is>
      </c>
      <c r="BE146" t="inlineStr">
        <is>
          <t>32285003319778</t>
        </is>
      </c>
      <c r="BF146" t="inlineStr">
        <is>
          <t>893420823</t>
        </is>
      </c>
    </row>
    <row r="147">
      <c r="A147" t="inlineStr">
        <is>
          <t>No</t>
        </is>
      </c>
      <c r="B147" t="inlineStr">
        <is>
          <t>CURAL</t>
        </is>
      </c>
      <c r="C147" t="inlineStr">
        <is>
          <t>SHELVES</t>
        </is>
      </c>
      <c r="D147" t="inlineStr">
        <is>
          <t>PR1260 .H4</t>
        </is>
      </c>
      <c r="E147" t="inlineStr">
        <is>
          <t>0                      PR 1260000H  4</t>
        </is>
      </c>
      <c r="F147" t="inlineStr">
        <is>
          <t>English nativity plays, edited, with introd., notes, and glossary, by Samuel B. Hemingway.</t>
        </is>
      </c>
      <c r="H147" t="inlineStr">
        <is>
          <t>No</t>
        </is>
      </c>
      <c r="I147" t="inlineStr">
        <is>
          <t>1</t>
        </is>
      </c>
      <c r="J147" t="inlineStr">
        <is>
          <t>No</t>
        </is>
      </c>
      <c r="K147" t="inlineStr">
        <is>
          <t>No</t>
        </is>
      </c>
      <c r="L147" t="inlineStr">
        <is>
          <t>0</t>
        </is>
      </c>
      <c r="M147" t="inlineStr">
        <is>
          <t>Hemingway, Samuel Burdett, 1883-1958 editor.</t>
        </is>
      </c>
      <c r="N147" t="inlineStr">
        <is>
          <t>New York, Russell &amp; Russell, 1964.</t>
        </is>
      </c>
      <c r="O147" t="inlineStr">
        <is>
          <t>1964</t>
        </is>
      </c>
      <c r="Q147" t="inlineStr">
        <is>
          <t>eng</t>
        </is>
      </c>
      <c r="R147" t="inlineStr">
        <is>
          <t>nyu</t>
        </is>
      </c>
      <c r="T147" t="inlineStr">
        <is>
          <t xml:space="preserve">PR </t>
        </is>
      </c>
      <c r="U147" t="n">
        <v>2</v>
      </c>
      <c r="V147" t="n">
        <v>2</v>
      </c>
      <c r="W147" t="inlineStr">
        <is>
          <t>1998-02-19</t>
        </is>
      </c>
      <c r="X147" t="inlineStr">
        <is>
          <t>1998-02-19</t>
        </is>
      </c>
      <c r="Y147" t="inlineStr">
        <is>
          <t>1997-07-28</t>
        </is>
      </c>
      <c r="Z147" t="inlineStr">
        <is>
          <t>1997-07-28</t>
        </is>
      </c>
      <c r="AA147" t="n">
        <v>439</v>
      </c>
      <c r="AB147" t="n">
        <v>379</v>
      </c>
      <c r="AC147" t="n">
        <v>459</v>
      </c>
      <c r="AD147" t="n">
        <v>4</v>
      </c>
      <c r="AE147" t="n">
        <v>4</v>
      </c>
      <c r="AF147" t="n">
        <v>24</v>
      </c>
      <c r="AG147" t="n">
        <v>27</v>
      </c>
      <c r="AH147" t="n">
        <v>10</v>
      </c>
      <c r="AI147" t="n">
        <v>10</v>
      </c>
      <c r="AJ147" t="n">
        <v>4</v>
      </c>
      <c r="AK147" t="n">
        <v>6</v>
      </c>
      <c r="AL147" t="n">
        <v>12</v>
      </c>
      <c r="AM147" t="n">
        <v>14</v>
      </c>
      <c r="AN147" t="n">
        <v>3</v>
      </c>
      <c r="AO147" t="n">
        <v>3</v>
      </c>
      <c r="AP147" t="n">
        <v>0</v>
      </c>
      <c r="AQ147" t="n">
        <v>0</v>
      </c>
      <c r="AR147" t="inlineStr">
        <is>
          <t>No</t>
        </is>
      </c>
      <c r="AS147" t="inlineStr">
        <is>
          <t>Yes</t>
        </is>
      </c>
      <c r="AT147">
        <f>HYPERLINK("http://catalog.hathitrust.org/Record/001372382","HathiTrust Record")</f>
        <v/>
      </c>
      <c r="AU147">
        <f>HYPERLINK("https://creighton-primo.hosted.exlibrisgroup.com/primo-explore/search?tab=default_tab&amp;search_scope=EVERYTHING&amp;vid=01CRU&amp;lang=en_US&amp;offset=0&amp;query=any,contains,991002451929702656","Catalog Record")</f>
        <v/>
      </c>
      <c r="AV147">
        <f>HYPERLINK("http://www.worldcat.org/oclc/352973","WorldCat Record")</f>
        <v/>
      </c>
      <c r="AW147" t="inlineStr">
        <is>
          <t>9980548148:eng</t>
        </is>
      </c>
      <c r="AX147" t="inlineStr">
        <is>
          <t>352973</t>
        </is>
      </c>
      <c r="AY147" t="inlineStr">
        <is>
          <t>991002451929702656</t>
        </is>
      </c>
      <c r="AZ147" t="inlineStr">
        <is>
          <t>991002451929702656</t>
        </is>
      </c>
      <c r="BA147" t="inlineStr">
        <is>
          <t>2267811840002656</t>
        </is>
      </c>
      <c r="BB147" t="inlineStr">
        <is>
          <t>BOOK</t>
        </is>
      </c>
      <c r="BE147" t="inlineStr">
        <is>
          <t>32285002985587</t>
        </is>
      </c>
      <c r="BF147" t="inlineStr">
        <is>
          <t>893517307</t>
        </is>
      </c>
    </row>
    <row r="148">
      <c r="A148" t="inlineStr">
        <is>
          <t>No</t>
        </is>
      </c>
      <c r="B148" t="inlineStr">
        <is>
          <t>CURAL</t>
        </is>
      </c>
      <c r="C148" t="inlineStr">
        <is>
          <t>SHELVES</t>
        </is>
      </c>
      <c r="D148" t="inlineStr">
        <is>
          <t>PR1260 .T6 1962</t>
        </is>
      </c>
      <c r="E148" t="inlineStr">
        <is>
          <t>0                      PR 1260000T  6           1962</t>
        </is>
      </c>
      <c r="F148" t="inlineStr">
        <is>
          <t>The Wakefield mystery plays / edited by Martial Rose.</t>
        </is>
      </c>
      <c r="H148" t="inlineStr">
        <is>
          <t>No</t>
        </is>
      </c>
      <c r="I148" t="inlineStr">
        <is>
          <t>1</t>
        </is>
      </c>
      <c r="J148" t="inlineStr">
        <is>
          <t>No</t>
        </is>
      </c>
      <c r="K148" t="inlineStr">
        <is>
          <t>No</t>
        </is>
      </c>
      <c r="L148" t="inlineStr">
        <is>
          <t>0</t>
        </is>
      </c>
      <c r="M148" t="inlineStr">
        <is>
          <t>Towneley plays.</t>
        </is>
      </c>
      <c r="N148" t="inlineStr">
        <is>
          <t>Garden City, N.Y. : Doubleday, 1962 [c1961]</t>
        </is>
      </c>
      <c r="O148" t="inlineStr">
        <is>
          <t>1962</t>
        </is>
      </c>
      <c r="P148" t="inlineStr">
        <is>
          <t>[1st ed. in the U.S.A.]</t>
        </is>
      </c>
      <c r="Q148" t="inlineStr">
        <is>
          <t>eng</t>
        </is>
      </c>
      <c r="R148" t="inlineStr">
        <is>
          <t>nyu</t>
        </is>
      </c>
      <c r="T148" t="inlineStr">
        <is>
          <t xml:space="preserve">PR </t>
        </is>
      </c>
      <c r="U148" t="n">
        <v>7</v>
      </c>
      <c r="V148" t="n">
        <v>7</v>
      </c>
      <c r="W148" t="inlineStr">
        <is>
          <t>2004-10-05</t>
        </is>
      </c>
      <c r="X148" t="inlineStr">
        <is>
          <t>2004-10-05</t>
        </is>
      </c>
      <c r="Y148" t="inlineStr">
        <is>
          <t>1993-01-19</t>
        </is>
      </c>
      <c r="Z148" t="inlineStr">
        <is>
          <t>1993-01-19</t>
        </is>
      </c>
      <c r="AA148" t="n">
        <v>451</v>
      </c>
      <c r="AB148" t="n">
        <v>433</v>
      </c>
      <c r="AC148" t="n">
        <v>1058</v>
      </c>
      <c r="AD148" t="n">
        <v>4</v>
      </c>
      <c r="AE148" t="n">
        <v>10</v>
      </c>
      <c r="AF148" t="n">
        <v>24</v>
      </c>
      <c r="AG148" t="n">
        <v>48</v>
      </c>
      <c r="AH148" t="n">
        <v>10</v>
      </c>
      <c r="AI148" t="n">
        <v>18</v>
      </c>
      <c r="AJ148" t="n">
        <v>2</v>
      </c>
      <c r="AK148" t="n">
        <v>10</v>
      </c>
      <c r="AL148" t="n">
        <v>16</v>
      </c>
      <c r="AM148" t="n">
        <v>25</v>
      </c>
      <c r="AN148" t="n">
        <v>2</v>
      </c>
      <c r="AO148" t="n">
        <v>7</v>
      </c>
      <c r="AP148" t="n">
        <v>0</v>
      </c>
      <c r="AQ148" t="n">
        <v>0</v>
      </c>
      <c r="AR148" t="inlineStr">
        <is>
          <t>No</t>
        </is>
      </c>
      <c r="AS148" t="inlineStr">
        <is>
          <t>Yes</t>
        </is>
      </c>
      <c r="AT148">
        <f>HYPERLINK("http://catalog.hathitrust.org/Record/001372452","HathiTrust Record")</f>
        <v/>
      </c>
      <c r="AU148">
        <f>HYPERLINK("https://creighton-primo.hosted.exlibrisgroup.com/primo-explore/search?tab=default_tab&amp;search_scope=EVERYTHING&amp;vid=01CRU&amp;lang=en_US&amp;offset=0&amp;query=any,contains,991003733939702656","Catalog Record")</f>
        <v/>
      </c>
      <c r="AV148">
        <f>HYPERLINK("http://www.worldcat.org/oclc/1387308","WorldCat Record")</f>
        <v/>
      </c>
      <c r="AW148" t="inlineStr">
        <is>
          <t>1380305767:eng</t>
        </is>
      </c>
      <c r="AX148" t="inlineStr">
        <is>
          <t>1387308</t>
        </is>
      </c>
      <c r="AY148" t="inlineStr">
        <is>
          <t>991003733939702656</t>
        </is>
      </c>
      <c r="AZ148" t="inlineStr">
        <is>
          <t>991003733939702656</t>
        </is>
      </c>
      <c r="BA148" t="inlineStr">
        <is>
          <t>2263663190002656</t>
        </is>
      </c>
      <c r="BB148" t="inlineStr">
        <is>
          <t>BOOK</t>
        </is>
      </c>
      <c r="BE148" t="inlineStr">
        <is>
          <t>32285001476554</t>
        </is>
      </c>
      <c r="BF148" t="inlineStr">
        <is>
          <t>893531534</t>
        </is>
      </c>
    </row>
    <row r="149">
      <c r="A149" t="inlineStr">
        <is>
          <t>No</t>
        </is>
      </c>
      <c r="B149" t="inlineStr">
        <is>
          <t>CURAL</t>
        </is>
      </c>
      <c r="C149" t="inlineStr">
        <is>
          <t>SHELVES</t>
        </is>
      </c>
      <c r="D149" t="inlineStr">
        <is>
          <t>PR1260 .Y6 1957</t>
        </is>
      </c>
      <c r="E149" t="inlineStr">
        <is>
          <t>0                      PR 1260000Y  6           1957</t>
        </is>
      </c>
      <c r="F149" t="inlineStr">
        <is>
          <t>The York cycle of mystery plays / a complete version, by J.S. Purvis.</t>
        </is>
      </c>
      <c r="H149" t="inlineStr">
        <is>
          <t>No</t>
        </is>
      </c>
      <c r="I149" t="inlineStr">
        <is>
          <t>1</t>
        </is>
      </c>
      <c r="J149" t="inlineStr">
        <is>
          <t>No</t>
        </is>
      </c>
      <c r="K149" t="inlineStr">
        <is>
          <t>No</t>
        </is>
      </c>
      <c r="L149" t="inlineStr">
        <is>
          <t>0</t>
        </is>
      </c>
      <c r="M149" t="inlineStr">
        <is>
          <t>York plays.</t>
        </is>
      </c>
      <c r="N149" t="inlineStr">
        <is>
          <t>London : S.P.C.K., c1957.</t>
        </is>
      </c>
      <c r="O149" t="inlineStr">
        <is>
          <t>1957</t>
        </is>
      </c>
      <c r="Q149" t="inlineStr">
        <is>
          <t>eng</t>
        </is>
      </c>
      <c r="R149" t="inlineStr">
        <is>
          <t>enk</t>
        </is>
      </c>
      <c r="T149" t="inlineStr">
        <is>
          <t xml:space="preserve">PR </t>
        </is>
      </c>
      <c r="U149" t="n">
        <v>3</v>
      </c>
      <c r="V149" t="n">
        <v>3</v>
      </c>
      <c r="W149" t="inlineStr">
        <is>
          <t>2001-03-26</t>
        </is>
      </c>
      <c r="X149" t="inlineStr">
        <is>
          <t>2001-03-26</t>
        </is>
      </c>
      <c r="Y149" t="inlineStr">
        <is>
          <t>1993-01-19</t>
        </is>
      </c>
      <c r="Z149" t="inlineStr">
        <is>
          <t>1993-01-19</t>
        </is>
      </c>
      <c r="AA149" t="n">
        <v>434</v>
      </c>
      <c r="AB149" t="n">
        <v>345</v>
      </c>
      <c r="AC149" t="n">
        <v>440</v>
      </c>
      <c r="AD149" t="n">
        <v>3</v>
      </c>
      <c r="AE149" t="n">
        <v>5</v>
      </c>
      <c r="AF149" t="n">
        <v>22</v>
      </c>
      <c r="AG149" t="n">
        <v>26</v>
      </c>
      <c r="AH149" t="n">
        <v>7</v>
      </c>
      <c r="AI149" t="n">
        <v>8</v>
      </c>
      <c r="AJ149" t="n">
        <v>6</v>
      </c>
      <c r="AK149" t="n">
        <v>6</v>
      </c>
      <c r="AL149" t="n">
        <v>14</v>
      </c>
      <c r="AM149" t="n">
        <v>15</v>
      </c>
      <c r="AN149" t="n">
        <v>2</v>
      </c>
      <c r="AO149" t="n">
        <v>4</v>
      </c>
      <c r="AP149" t="n">
        <v>0</v>
      </c>
      <c r="AQ149" t="n">
        <v>0</v>
      </c>
      <c r="AR149" t="inlineStr">
        <is>
          <t>No</t>
        </is>
      </c>
      <c r="AS149" t="inlineStr">
        <is>
          <t>Yes</t>
        </is>
      </c>
      <c r="AT149">
        <f>HYPERLINK("http://catalog.hathitrust.org/Record/001004262","HathiTrust Record")</f>
        <v/>
      </c>
      <c r="AU149">
        <f>HYPERLINK("https://creighton-primo.hosted.exlibrisgroup.com/primo-explore/search?tab=default_tab&amp;search_scope=EVERYTHING&amp;vid=01CRU&amp;lang=en_US&amp;offset=0&amp;query=any,contains,991004273869702656","Catalog Record")</f>
        <v/>
      </c>
      <c r="AV149">
        <f>HYPERLINK("http://www.worldcat.org/oclc/2887473","WorldCat Record")</f>
        <v/>
      </c>
      <c r="AW149" t="inlineStr">
        <is>
          <t>4451752825:eng</t>
        </is>
      </c>
      <c r="AX149" t="inlineStr">
        <is>
          <t>2887473</t>
        </is>
      </c>
      <c r="AY149" t="inlineStr">
        <is>
          <t>991004273869702656</t>
        </is>
      </c>
      <c r="AZ149" t="inlineStr">
        <is>
          <t>991004273869702656</t>
        </is>
      </c>
      <c r="BA149" t="inlineStr">
        <is>
          <t>2259801820002656</t>
        </is>
      </c>
      <c r="BB149" t="inlineStr">
        <is>
          <t>BOOK</t>
        </is>
      </c>
      <c r="BE149" t="inlineStr">
        <is>
          <t>32285001476547</t>
        </is>
      </c>
      <c r="BF149" t="inlineStr">
        <is>
          <t>893411327</t>
        </is>
      </c>
    </row>
    <row r="150">
      <c r="A150" t="inlineStr">
        <is>
          <t>No</t>
        </is>
      </c>
      <c r="B150" t="inlineStr">
        <is>
          <t>CURAL</t>
        </is>
      </c>
      <c r="C150" t="inlineStr">
        <is>
          <t>SHELVES</t>
        </is>
      </c>
      <c r="D150" t="inlineStr">
        <is>
          <t>PR1261 .C6 1972</t>
        </is>
      </c>
      <c r="E150" t="inlineStr">
        <is>
          <t>0                      PR 1261000C  6           1972</t>
        </is>
      </c>
      <c r="F150" t="inlineStr">
        <is>
          <t>The Corpus Christi play of the English Middle Ages / an edition with introd. and notes by R. T. Davies.</t>
        </is>
      </c>
      <c r="H150" t="inlineStr">
        <is>
          <t>No</t>
        </is>
      </c>
      <c r="I150" t="inlineStr">
        <is>
          <t>1</t>
        </is>
      </c>
      <c r="J150" t="inlineStr">
        <is>
          <t>No</t>
        </is>
      </c>
      <c r="K150" t="inlineStr">
        <is>
          <t>No</t>
        </is>
      </c>
      <c r="L150" t="inlineStr">
        <is>
          <t>0</t>
        </is>
      </c>
      <c r="M150" t="inlineStr">
        <is>
          <t>N-Town plays.</t>
        </is>
      </c>
      <c r="N150" t="inlineStr">
        <is>
          <t>Totowa, N.J. : Rowman and Littlefield, [1972]</t>
        </is>
      </c>
      <c r="O150" t="inlineStr">
        <is>
          <t>1972</t>
        </is>
      </c>
      <c r="Q150" t="inlineStr">
        <is>
          <t>eng</t>
        </is>
      </c>
      <c r="R150" t="inlineStr">
        <is>
          <t>nju</t>
        </is>
      </c>
      <c r="T150" t="inlineStr">
        <is>
          <t xml:space="preserve">PR </t>
        </is>
      </c>
      <c r="U150" t="n">
        <v>2</v>
      </c>
      <c r="V150" t="n">
        <v>2</v>
      </c>
      <c r="W150" t="inlineStr">
        <is>
          <t>2001-03-26</t>
        </is>
      </c>
      <c r="X150" t="inlineStr">
        <is>
          <t>2001-03-26</t>
        </is>
      </c>
      <c r="Y150" t="inlineStr">
        <is>
          <t>1993-01-19</t>
        </is>
      </c>
      <c r="Z150" t="inlineStr">
        <is>
          <t>1993-01-19</t>
        </is>
      </c>
      <c r="AA150" t="n">
        <v>358</v>
      </c>
      <c r="AB150" t="n">
        <v>331</v>
      </c>
      <c r="AC150" t="n">
        <v>448</v>
      </c>
      <c r="AD150" t="n">
        <v>2</v>
      </c>
      <c r="AE150" t="n">
        <v>2</v>
      </c>
      <c r="AF150" t="n">
        <v>19</v>
      </c>
      <c r="AG150" t="n">
        <v>24</v>
      </c>
      <c r="AH150" t="n">
        <v>4</v>
      </c>
      <c r="AI150" t="n">
        <v>8</v>
      </c>
      <c r="AJ150" t="n">
        <v>6</v>
      </c>
      <c r="AK150" t="n">
        <v>6</v>
      </c>
      <c r="AL150" t="n">
        <v>12</v>
      </c>
      <c r="AM150" t="n">
        <v>15</v>
      </c>
      <c r="AN150" t="n">
        <v>1</v>
      </c>
      <c r="AO150" t="n">
        <v>1</v>
      </c>
      <c r="AP150" t="n">
        <v>0</v>
      </c>
      <c r="AQ150" t="n">
        <v>0</v>
      </c>
      <c r="AR150" t="inlineStr">
        <is>
          <t>No</t>
        </is>
      </c>
      <c r="AS150" t="inlineStr">
        <is>
          <t>Yes</t>
        </is>
      </c>
      <c r="AT150">
        <f>HYPERLINK("http://catalog.hathitrust.org/Record/004437851","HathiTrust Record")</f>
        <v/>
      </c>
      <c r="AU150">
        <f>HYPERLINK("https://creighton-primo.hosted.exlibrisgroup.com/primo-explore/search?tab=default_tab&amp;search_scope=EVERYTHING&amp;vid=01CRU&amp;lang=en_US&amp;offset=0&amp;query=any,contains,991002970879702656","Catalog Record")</f>
        <v/>
      </c>
      <c r="AV150">
        <f>HYPERLINK("http://www.worldcat.org/oclc/548461","WorldCat Record")</f>
        <v/>
      </c>
      <c r="AW150" t="inlineStr">
        <is>
          <t>1807066392:eng</t>
        </is>
      </c>
      <c r="AX150" t="inlineStr">
        <is>
          <t>548461</t>
        </is>
      </c>
      <c r="AY150" t="inlineStr">
        <is>
          <t>991002970879702656</t>
        </is>
      </c>
      <c r="AZ150" t="inlineStr">
        <is>
          <t>991002970879702656</t>
        </is>
      </c>
      <c r="BA150" t="inlineStr">
        <is>
          <t>2265918970002656</t>
        </is>
      </c>
      <c r="BB150" t="inlineStr">
        <is>
          <t>BOOK</t>
        </is>
      </c>
      <c r="BD150" t="inlineStr">
        <is>
          <t>9780874711240</t>
        </is>
      </c>
      <c r="BE150" t="inlineStr">
        <is>
          <t>32285001476539</t>
        </is>
      </c>
      <c r="BF150" t="inlineStr">
        <is>
          <t>893598118</t>
        </is>
      </c>
    </row>
    <row r="151">
      <c r="A151" t="inlineStr">
        <is>
          <t>No</t>
        </is>
      </c>
      <c r="B151" t="inlineStr">
        <is>
          <t>CURAL</t>
        </is>
      </c>
      <c r="C151" t="inlineStr">
        <is>
          <t>SHELVES</t>
        </is>
      </c>
      <c r="D151" t="inlineStr">
        <is>
          <t>PR1261 .C6 1981</t>
        </is>
      </c>
      <c r="E151" t="inlineStr">
        <is>
          <t>0                      PR 1261000C  6           1981</t>
        </is>
      </c>
      <c r="F151" t="inlineStr">
        <is>
          <t>The Coventry mystery plays / adapted by Keith Miles.</t>
        </is>
      </c>
      <c r="H151" t="inlineStr">
        <is>
          <t>No</t>
        </is>
      </c>
      <c r="I151" t="inlineStr">
        <is>
          <t>1</t>
        </is>
      </c>
      <c r="J151" t="inlineStr">
        <is>
          <t>No</t>
        </is>
      </c>
      <c r="K151" t="inlineStr">
        <is>
          <t>No</t>
        </is>
      </c>
      <c r="L151" t="inlineStr">
        <is>
          <t>0</t>
        </is>
      </c>
      <c r="M151" t="inlineStr">
        <is>
          <t>Coventry Corpus Christi plays.</t>
        </is>
      </c>
      <c r="N151" t="inlineStr">
        <is>
          <t>London : Heinemann, c1981.</t>
        </is>
      </c>
      <c r="O151" t="inlineStr">
        <is>
          <t>1981</t>
        </is>
      </c>
      <c r="Q151" t="inlineStr">
        <is>
          <t>eng</t>
        </is>
      </c>
      <c r="R151" t="inlineStr">
        <is>
          <t>enk</t>
        </is>
      </c>
      <c r="T151" t="inlineStr">
        <is>
          <t xml:space="preserve">PR </t>
        </is>
      </c>
      <c r="U151" t="n">
        <v>5</v>
      </c>
      <c r="V151" t="n">
        <v>5</v>
      </c>
      <c r="W151" t="inlineStr">
        <is>
          <t>2001-03-26</t>
        </is>
      </c>
      <c r="X151" t="inlineStr">
        <is>
          <t>2001-03-26</t>
        </is>
      </c>
      <c r="Y151" t="inlineStr">
        <is>
          <t>1991-09-23</t>
        </is>
      </c>
      <c r="Z151" t="inlineStr">
        <is>
          <t>1991-09-23</t>
        </is>
      </c>
      <c r="AA151" t="n">
        <v>117</v>
      </c>
      <c r="AB151" t="n">
        <v>67</v>
      </c>
      <c r="AC151" t="n">
        <v>72</v>
      </c>
      <c r="AD151" t="n">
        <v>1</v>
      </c>
      <c r="AE151" t="n">
        <v>1</v>
      </c>
      <c r="AF151" t="n">
        <v>5</v>
      </c>
      <c r="AG151" t="n">
        <v>5</v>
      </c>
      <c r="AH151" t="n">
        <v>3</v>
      </c>
      <c r="AI151" t="n">
        <v>3</v>
      </c>
      <c r="AJ151" t="n">
        <v>2</v>
      </c>
      <c r="AK151" t="n">
        <v>2</v>
      </c>
      <c r="AL151" t="n">
        <v>4</v>
      </c>
      <c r="AM151" t="n">
        <v>4</v>
      </c>
      <c r="AN151" t="n">
        <v>0</v>
      </c>
      <c r="AO151" t="n">
        <v>0</v>
      </c>
      <c r="AP151" t="n">
        <v>0</v>
      </c>
      <c r="AQ151" t="n">
        <v>0</v>
      </c>
      <c r="AR151" t="inlineStr">
        <is>
          <t>No</t>
        </is>
      </c>
      <c r="AS151" t="inlineStr">
        <is>
          <t>Yes</t>
        </is>
      </c>
      <c r="AT151">
        <f>HYPERLINK("http://catalog.hathitrust.org/Record/006664995","HathiTrust Record")</f>
        <v/>
      </c>
      <c r="AU151">
        <f>HYPERLINK("https://creighton-primo.hosted.exlibrisgroup.com/primo-explore/search?tab=default_tab&amp;search_scope=EVERYTHING&amp;vid=01CRU&amp;lang=en_US&amp;offset=0&amp;query=any,contains,991000078019702656","Catalog Record")</f>
        <v/>
      </c>
      <c r="AV151">
        <f>HYPERLINK("http://www.worldcat.org/oclc/13331284","WorldCat Record")</f>
        <v/>
      </c>
      <c r="AW151" t="inlineStr">
        <is>
          <t>479519:eng</t>
        </is>
      </c>
      <c r="AX151" t="inlineStr">
        <is>
          <t>13331284</t>
        </is>
      </c>
      <c r="AY151" t="inlineStr">
        <is>
          <t>991000078019702656</t>
        </is>
      </c>
      <c r="AZ151" t="inlineStr">
        <is>
          <t>991000078019702656</t>
        </is>
      </c>
      <c r="BA151" t="inlineStr">
        <is>
          <t>2264776590002656</t>
        </is>
      </c>
      <c r="BB151" t="inlineStr">
        <is>
          <t>BOOK</t>
        </is>
      </c>
      <c r="BD151" t="inlineStr">
        <is>
          <t>9780435236007</t>
        </is>
      </c>
      <c r="BE151" t="inlineStr">
        <is>
          <t>32285000761501</t>
        </is>
      </c>
      <c r="BF151" t="inlineStr">
        <is>
          <t>893796384</t>
        </is>
      </c>
    </row>
    <row r="152">
      <c r="A152" t="inlineStr">
        <is>
          <t>No</t>
        </is>
      </c>
      <c r="B152" t="inlineStr">
        <is>
          <t>CURAL</t>
        </is>
      </c>
      <c r="C152" t="inlineStr">
        <is>
          <t>SHELVES</t>
        </is>
      </c>
      <c r="D152" t="inlineStr">
        <is>
          <t>PR1261 .E9 1939</t>
        </is>
      </c>
      <c r="E152" t="inlineStr">
        <is>
          <t>0                      PR 1261000E  9           1939</t>
        </is>
      </c>
      <c r="F152" t="inlineStr">
        <is>
          <t>Everyman and other interludes.</t>
        </is>
      </c>
      <c r="H152" t="inlineStr">
        <is>
          <t>No</t>
        </is>
      </c>
      <c r="I152" t="inlineStr">
        <is>
          <t>1</t>
        </is>
      </c>
      <c r="J152" t="inlineStr">
        <is>
          <t>No</t>
        </is>
      </c>
      <c r="K152" t="inlineStr">
        <is>
          <t>No</t>
        </is>
      </c>
      <c r="L152" t="inlineStr">
        <is>
          <t>0</t>
        </is>
      </c>
      <c r="N152" t="inlineStr">
        <is>
          <t>London, Dent; New York, Dutton [1939]</t>
        </is>
      </c>
      <c r="O152" t="inlineStr">
        <is>
          <t>1939</t>
        </is>
      </c>
      <c r="Q152" t="inlineStr">
        <is>
          <t>eng</t>
        </is>
      </c>
      <c r="R152" t="inlineStr">
        <is>
          <t xml:space="preserve">xx </t>
        </is>
      </c>
      <c r="S152" t="inlineStr">
        <is>
          <t>Everyman's library ; no. 381</t>
        </is>
      </c>
      <c r="T152" t="inlineStr">
        <is>
          <t xml:space="preserve">PR </t>
        </is>
      </c>
      <c r="U152" t="n">
        <v>1</v>
      </c>
      <c r="V152" t="n">
        <v>1</v>
      </c>
      <c r="W152" t="inlineStr">
        <is>
          <t>2001-03-26</t>
        </is>
      </c>
      <c r="X152" t="inlineStr">
        <is>
          <t>2001-03-26</t>
        </is>
      </c>
      <c r="Y152" t="inlineStr">
        <is>
          <t>1997-07-28</t>
        </is>
      </c>
      <c r="Z152" t="inlineStr">
        <is>
          <t>1997-07-28</t>
        </is>
      </c>
      <c r="AA152" t="n">
        <v>49</v>
      </c>
      <c r="AB152" t="n">
        <v>42</v>
      </c>
      <c r="AC152" t="n">
        <v>210</v>
      </c>
      <c r="AD152" t="n">
        <v>1</v>
      </c>
      <c r="AE152" t="n">
        <v>2</v>
      </c>
      <c r="AF152" t="n">
        <v>4</v>
      </c>
      <c r="AG152" t="n">
        <v>9</v>
      </c>
      <c r="AH152" t="n">
        <v>1</v>
      </c>
      <c r="AI152" t="n">
        <v>3</v>
      </c>
      <c r="AJ152" t="n">
        <v>1</v>
      </c>
      <c r="AK152" t="n">
        <v>1</v>
      </c>
      <c r="AL152" t="n">
        <v>3</v>
      </c>
      <c r="AM152" t="n">
        <v>5</v>
      </c>
      <c r="AN152" t="n">
        <v>0</v>
      </c>
      <c r="AO152" t="n">
        <v>1</v>
      </c>
      <c r="AP152" t="n">
        <v>0</v>
      </c>
      <c r="AQ152" t="n">
        <v>0</v>
      </c>
      <c r="AR152" t="inlineStr">
        <is>
          <t>No</t>
        </is>
      </c>
      <c r="AS152" t="inlineStr">
        <is>
          <t>No</t>
        </is>
      </c>
      <c r="AU152">
        <f>HYPERLINK("https://creighton-primo.hosted.exlibrisgroup.com/primo-explore/search?tab=default_tab&amp;search_scope=EVERYTHING&amp;vid=01CRU&amp;lang=en_US&amp;offset=0&amp;query=any,contains,991003329849702656","Catalog Record")</f>
        <v/>
      </c>
      <c r="AV152">
        <f>HYPERLINK("http://www.worldcat.org/oclc/860229","WorldCat Record")</f>
        <v/>
      </c>
      <c r="AW152" t="inlineStr">
        <is>
          <t>54009675:eng</t>
        </is>
      </c>
      <c r="AX152" t="inlineStr">
        <is>
          <t>860229</t>
        </is>
      </c>
      <c r="AY152" t="inlineStr">
        <is>
          <t>991003329849702656</t>
        </is>
      </c>
      <c r="AZ152" t="inlineStr">
        <is>
          <t>991003329849702656</t>
        </is>
      </c>
      <c r="BA152" t="inlineStr">
        <is>
          <t>2263064290002656</t>
        </is>
      </c>
      <c r="BB152" t="inlineStr">
        <is>
          <t>BOOK</t>
        </is>
      </c>
      <c r="BE152" t="inlineStr">
        <is>
          <t>32285002985611</t>
        </is>
      </c>
      <c r="BF152" t="inlineStr">
        <is>
          <t>893893621</t>
        </is>
      </c>
    </row>
    <row r="153">
      <c r="A153" t="inlineStr">
        <is>
          <t>No</t>
        </is>
      </c>
      <c r="B153" t="inlineStr">
        <is>
          <t>CURAL</t>
        </is>
      </c>
      <c r="C153" t="inlineStr">
        <is>
          <t>SHELVES</t>
        </is>
      </c>
      <c r="D153" t="inlineStr">
        <is>
          <t>PR1262 .C8 1970</t>
        </is>
      </c>
      <c r="E153" t="inlineStr">
        <is>
          <t>0                      PR 1262000C  8           1970</t>
        </is>
      </c>
      <c r="F153" t="inlineStr">
        <is>
          <t>Early English classical tragedies / edited with introd. and notes. Oxford, Clarendon Press, 1912.</t>
        </is>
      </c>
      <c r="H153" t="inlineStr">
        <is>
          <t>No</t>
        </is>
      </c>
      <c r="I153" t="inlineStr">
        <is>
          <t>1</t>
        </is>
      </c>
      <c r="J153" t="inlineStr">
        <is>
          <t>No</t>
        </is>
      </c>
      <c r="K153" t="inlineStr">
        <is>
          <t>No</t>
        </is>
      </c>
      <c r="L153" t="inlineStr">
        <is>
          <t>0</t>
        </is>
      </c>
      <c r="M153" t="inlineStr">
        <is>
          <t>Cunliffe, John William, 1865-1946 editor.</t>
        </is>
      </c>
      <c r="N153" t="inlineStr">
        <is>
          <t>St. Clair Shores, Mich. : Scholarly Press, 1970.</t>
        </is>
      </c>
      <c r="O153" t="inlineStr">
        <is>
          <t>1970</t>
        </is>
      </c>
      <c r="Q153" t="inlineStr">
        <is>
          <t>eng</t>
        </is>
      </c>
      <c r="R153" t="inlineStr">
        <is>
          <t>miu</t>
        </is>
      </c>
      <c r="T153" t="inlineStr">
        <is>
          <t xml:space="preserve">PR </t>
        </is>
      </c>
      <c r="U153" t="n">
        <v>2</v>
      </c>
      <c r="V153" t="n">
        <v>2</v>
      </c>
      <c r="W153" t="inlineStr">
        <is>
          <t>2010-11-23</t>
        </is>
      </c>
      <c r="X153" t="inlineStr">
        <is>
          <t>2010-11-23</t>
        </is>
      </c>
      <c r="Y153" t="inlineStr">
        <is>
          <t>1991-10-01</t>
        </is>
      </c>
      <c r="Z153" t="inlineStr">
        <is>
          <t>1991-10-01</t>
        </is>
      </c>
      <c r="AA153" t="n">
        <v>155</v>
      </c>
      <c r="AB153" t="n">
        <v>138</v>
      </c>
      <c r="AC153" t="n">
        <v>443</v>
      </c>
      <c r="AD153" t="n">
        <v>1</v>
      </c>
      <c r="AE153" t="n">
        <v>3</v>
      </c>
      <c r="AF153" t="n">
        <v>7</v>
      </c>
      <c r="AG153" t="n">
        <v>25</v>
      </c>
      <c r="AH153" t="n">
        <v>2</v>
      </c>
      <c r="AI153" t="n">
        <v>8</v>
      </c>
      <c r="AJ153" t="n">
        <v>2</v>
      </c>
      <c r="AK153" t="n">
        <v>6</v>
      </c>
      <c r="AL153" t="n">
        <v>5</v>
      </c>
      <c r="AM153" t="n">
        <v>16</v>
      </c>
      <c r="AN153" t="n">
        <v>0</v>
      </c>
      <c r="AO153" t="n">
        <v>2</v>
      </c>
      <c r="AP153" t="n">
        <v>0</v>
      </c>
      <c r="AQ153" t="n">
        <v>0</v>
      </c>
      <c r="AR153" t="inlineStr">
        <is>
          <t>No</t>
        </is>
      </c>
      <c r="AS153" t="inlineStr">
        <is>
          <t>Yes</t>
        </is>
      </c>
      <c r="AT153">
        <f>HYPERLINK("http://catalog.hathitrust.org/Record/009493682","HathiTrust Record")</f>
        <v/>
      </c>
      <c r="AU153">
        <f>HYPERLINK("https://creighton-primo.hosted.exlibrisgroup.com/primo-explore/search?tab=default_tab&amp;search_scope=EVERYTHING&amp;vid=01CRU&amp;lang=en_US&amp;offset=0&amp;query=any,contains,991000658789702656","Catalog Record")</f>
        <v/>
      </c>
      <c r="AV153">
        <f>HYPERLINK("http://www.worldcat.org/oclc/116754","WorldCat Record")</f>
        <v/>
      </c>
      <c r="AW153" t="inlineStr">
        <is>
          <t>474158:eng</t>
        </is>
      </c>
      <c r="AX153" t="inlineStr">
        <is>
          <t>116754</t>
        </is>
      </c>
      <c r="AY153" t="inlineStr">
        <is>
          <t>991000658789702656</t>
        </is>
      </c>
      <c r="AZ153" t="inlineStr">
        <is>
          <t>991000658789702656</t>
        </is>
      </c>
      <c r="BA153" t="inlineStr">
        <is>
          <t>2260518980002656</t>
        </is>
      </c>
      <c r="BB153" t="inlineStr">
        <is>
          <t>BOOK</t>
        </is>
      </c>
      <c r="BD153" t="inlineStr">
        <is>
          <t>9780403009138</t>
        </is>
      </c>
      <c r="BE153" t="inlineStr">
        <is>
          <t>32285000761527</t>
        </is>
      </c>
      <c r="BF153" t="inlineStr">
        <is>
          <t>893249551</t>
        </is>
      </c>
    </row>
    <row r="154">
      <c r="A154" t="inlineStr">
        <is>
          <t>No</t>
        </is>
      </c>
      <c r="B154" t="inlineStr">
        <is>
          <t>CURAL</t>
        </is>
      </c>
      <c r="C154" t="inlineStr">
        <is>
          <t>SHELVES</t>
        </is>
      </c>
      <c r="D154" t="inlineStr">
        <is>
          <t>PR1263 .C5</t>
        </is>
      </c>
      <c r="E154" t="inlineStr">
        <is>
          <t>0                      PR 1263000C  5</t>
        </is>
      </c>
      <c r="F154" t="inlineStr">
        <is>
          <t>The Christmas prince.</t>
        </is>
      </c>
      <c r="H154" t="inlineStr">
        <is>
          <t>No</t>
        </is>
      </c>
      <c r="I154" t="inlineStr">
        <is>
          <t>1</t>
        </is>
      </c>
      <c r="J154" t="inlineStr">
        <is>
          <t>No</t>
        </is>
      </c>
      <c r="K154" t="inlineStr">
        <is>
          <t>No</t>
        </is>
      </c>
      <c r="L154" t="inlineStr">
        <is>
          <t>0</t>
        </is>
      </c>
      <c r="N154" t="inlineStr">
        <is>
          <t>[London, Printed for the Malone society, by F. Hall at the Oxford university press, 1922]</t>
        </is>
      </c>
      <c r="O154" t="inlineStr">
        <is>
          <t>1922</t>
        </is>
      </c>
      <c r="Q154" t="inlineStr">
        <is>
          <t>eng</t>
        </is>
      </c>
      <c r="R154" t="inlineStr">
        <is>
          <t>enk</t>
        </is>
      </c>
      <c r="S154" t="inlineStr">
        <is>
          <t>The Malone society reprints</t>
        </is>
      </c>
      <c r="T154" t="inlineStr">
        <is>
          <t xml:space="preserve">PR </t>
        </is>
      </c>
      <c r="U154" t="n">
        <v>1</v>
      </c>
      <c r="V154" t="n">
        <v>1</v>
      </c>
      <c r="W154" t="inlineStr">
        <is>
          <t>2008-12-22</t>
        </is>
      </c>
      <c r="X154" t="inlineStr">
        <is>
          <t>2008-12-22</t>
        </is>
      </c>
      <c r="Y154" t="inlineStr">
        <is>
          <t>1997-07-31</t>
        </is>
      </c>
      <c r="Z154" t="inlineStr">
        <is>
          <t>1997-07-31</t>
        </is>
      </c>
      <c r="AA154" t="n">
        <v>55</v>
      </c>
      <c r="AB154" t="n">
        <v>20</v>
      </c>
      <c r="AC154" t="n">
        <v>177</v>
      </c>
      <c r="AD154" t="n">
        <v>1</v>
      </c>
      <c r="AE154" t="n">
        <v>2</v>
      </c>
      <c r="AF154" t="n">
        <v>1</v>
      </c>
      <c r="AG154" t="n">
        <v>11</v>
      </c>
      <c r="AH154" t="n">
        <v>1</v>
      </c>
      <c r="AI154" t="n">
        <v>2</v>
      </c>
      <c r="AJ154" t="n">
        <v>0</v>
      </c>
      <c r="AK154" t="n">
        <v>3</v>
      </c>
      <c r="AL154" t="n">
        <v>0</v>
      </c>
      <c r="AM154" t="n">
        <v>8</v>
      </c>
      <c r="AN154" t="n">
        <v>0</v>
      </c>
      <c r="AO154" t="n">
        <v>1</v>
      </c>
      <c r="AP154" t="n">
        <v>0</v>
      </c>
      <c r="AQ154" t="n">
        <v>0</v>
      </c>
      <c r="AR154" t="inlineStr">
        <is>
          <t>No</t>
        </is>
      </c>
      <c r="AS154" t="inlineStr">
        <is>
          <t>No</t>
        </is>
      </c>
      <c r="AU154">
        <f>HYPERLINK("https://creighton-primo.hosted.exlibrisgroup.com/primo-explore/search?tab=default_tab&amp;search_scope=EVERYTHING&amp;vid=01CRU&amp;lang=en_US&amp;offset=0&amp;query=any,contains,991005228469702656","Catalog Record")</f>
        <v/>
      </c>
      <c r="AV154">
        <f>HYPERLINK("http://www.worldcat.org/oclc/8295859","WorldCat Record")</f>
        <v/>
      </c>
      <c r="AW154" t="inlineStr">
        <is>
          <t>354782157:eng</t>
        </is>
      </c>
      <c r="AX154" t="inlineStr">
        <is>
          <t>8295859</t>
        </is>
      </c>
      <c r="AY154" t="inlineStr">
        <is>
          <t>991005228469702656</t>
        </is>
      </c>
      <c r="AZ154" t="inlineStr">
        <is>
          <t>991005228469702656</t>
        </is>
      </c>
      <c r="BA154" t="inlineStr">
        <is>
          <t>2261495460002656</t>
        </is>
      </c>
      <c r="BB154" t="inlineStr">
        <is>
          <t>BOOK</t>
        </is>
      </c>
      <c r="BE154" t="inlineStr">
        <is>
          <t>32285002985678</t>
        </is>
      </c>
      <c r="BF154" t="inlineStr">
        <is>
          <t>893350943</t>
        </is>
      </c>
    </row>
    <row r="155">
      <c r="A155" t="inlineStr">
        <is>
          <t>No</t>
        </is>
      </c>
      <c r="B155" t="inlineStr">
        <is>
          <t>CURAL</t>
        </is>
      </c>
      <c r="C155" t="inlineStr">
        <is>
          <t>SHELVES</t>
        </is>
      </c>
      <c r="D155" t="inlineStr">
        <is>
          <t>PR1263 .D75 1976</t>
        </is>
      </c>
      <c r="E155" t="inlineStr">
        <is>
          <t>0                      PR 1263000D  75          1976</t>
        </is>
      </c>
      <c r="F155" t="inlineStr">
        <is>
          <t>Drama of the English Renaissance / edited by Russell A . Fraser and Norman C. Rabkin.</t>
        </is>
      </c>
      <c r="G155" t="inlineStr">
        <is>
          <t>V.1</t>
        </is>
      </c>
      <c r="H155" t="inlineStr">
        <is>
          <t>Yes</t>
        </is>
      </c>
      <c r="I155" t="inlineStr">
        <is>
          <t>1</t>
        </is>
      </c>
      <c r="J155" t="inlineStr">
        <is>
          <t>No</t>
        </is>
      </c>
      <c r="K155" t="inlineStr">
        <is>
          <t>No</t>
        </is>
      </c>
      <c r="L155" t="inlineStr">
        <is>
          <t>0</t>
        </is>
      </c>
      <c r="N155" t="inlineStr">
        <is>
          <t>New York : Macmillan, c1976.</t>
        </is>
      </c>
      <c r="O155" t="inlineStr">
        <is>
          <t>1976</t>
        </is>
      </c>
      <c r="Q155" t="inlineStr">
        <is>
          <t>eng</t>
        </is>
      </c>
      <c r="R155" t="inlineStr">
        <is>
          <t>nyu</t>
        </is>
      </c>
      <c r="T155" t="inlineStr">
        <is>
          <t xml:space="preserve">PR </t>
        </is>
      </c>
      <c r="U155" t="n">
        <v>4</v>
      </c>
      <c r="V155" t="n">
        <v>7</v>
      </c>
      <c r="W155" t="inlineStr">
        <is>
          <t>1997-12-22</t>
        </is>
      </c>
      <c r="X155" t="inlineStr">
        <is>
          <t>1997-12-22</t>
        </is>
      </c>
      <c r="Y155" t="inlineStr">
        <is>
          <t>1991-09-23</t>
        </is>
      </c>
      <c r="Z155" t="inlineStr">
        <is>
          <t>1991-09-23</t>
        </is>
      </c>
      <c r="AA155" t="n">
        <v>357</v>
      </c>
      <c r="AB155" t="n">
        <v>302</v>
      </c>
      <c r="AC155" t="n">
        <v>317</v>
      </c>
      <c r="AD155" t="n">
        <v>4</v>
      </c>
      <c r="AE155" t="n">
        <v>4</v>
      </c>
      <c r="AF155" t="n">
        <v>13</v>
      </c>
      <c r="AG155" t="n">
        <v>13</v>
      </c>
      <c r="AH155" t="n">
        <v>5</v>
      </c>
      <c r="AI155" t="n">
        <v>5</v>
      </c>
      <c r="AJ155" t="n">
        <v>4</v>
      </c>
      <c r="AK155" t="n">
        <v>4</v>
      </c>
      <c r="AL155" t="n">
        <v>6</v>
      </c>
      <c r="AM155" t="n">
        <v>6</v>
      </c>
      <c r="AN155" t="n">
        <v>2</v>
      </c>
      <c r="AO155" t="n">
        <v>2</v>
      </c>
      <c r="AP155" t="n">
        <v>0</v>
      </c>
      <c r="AQ155" t="n">
        <v>0</v>
      </c>
      <c r="AR155" t="inlineStr">
        <is>
          <t>No</t>
        </is>
      </c>
      <c r="AS155" t="inlineStr">
        <is>
          <t>Yes</t>
        </is>
      </c>
      <c r="AT155">
        <f>HYPERLINK("http://catalog.hathitrust.org/Record/000189725","HathiTrust Record")</f>
        <v/>
      </c>
      <c r="AU155">
        <f>HYPERLINK("https://creighton-primo.hosted.exlibrisgroup.com/primo-explore/search?tab=default_tab&amp;search_scope=EVERYTHING&amp;vid=01CRU&amp;lang=en_US&amp;offset=0&amp;query=any,contains,991003651939702656","Catalog Record")</f>
        <v/>
      </c>
      <c r="AV155">
        <f>HYPERLINK("http://www.worldcat.org/oclc/1255964","WorldCat Record")</f>
        <v/>
      </c>
      <c r="AW155" t="inlineStr">
        <is>
          <t>2865889575:eng</t>
        </is>
      </c>
      <c r="AX155" t="inlineStr">
        <is>
          <t>1255964</t>
        </is>
      </c>
      <c r="AY155" t="inlineStr">
        <is>
          <t>991003651939702656</t>
        </is>
      </c>
      <c r="AZ155" t="inlineStr">
        <is>
          <t>991003651939702656</t>
        </is>
      </c>
      <c r="BA155" t="inlineStr">
        <is>
          <t>2257833730002656</t>
        </is>
      </c>
      <c r="BB155" t="inlineStr">
        <is>
          <t>BOOK</t>
        </is>
      </c>
      <c r="BD155" t="inlineStr">
        <is>
          <t>9780023395703</t>
        </is>
      </c>
      <c r="BE155" t="inlineStr">
        <is>
          <t>32285000761535</t>
        </is>
      </c>
      <c r="BF155" t="inlineStr">
        <is>
          <t>893258661</t>
        </is>
      </c>
    </row>
    <row r="156">
      <c r="A156" t="inlineStr">
        <is>
          <t>No</t>
        </is>
      </c>
      <c r="B156" t="inlineStr">
        <is>
          <t>CURAL</t>
        </is>
      </c>
      <c r="C156" t="inlineStr">
        <is>
          <t>SHELVES</t>
        </is>
      </c>
      <c r="D156" t="inlineStr">
        <is>
          <t>PR1263 .D75 1976</t>
        </is>
      </c>
      <c r="E156" t="inlineStr">
        <is>
          <t>0                      PR 1263000D  75          1976</t>
        </is>
      </c>
      <c r="F156" t="inlineStr">
        <is>
          <t>Drama of the English Renaissance / edited by Russell A . Fraser and Norman C. Rabkin.</t>
        </is>
      </c>
      <c r="G156" t="inlineStr">
        <is>
          <t>V.2</t>
        </is>
      </c>
      <c r="H156" t="inlineStr">
        <is>
          <t>Yes</t>
        </is>
      </c>
      <c r="I156" t="inlineStr">
        <is>
          <t>1</t>
        </is>
      </c>
      <c r="J156" t="inlineStr">
        <is>
          <t>No</t>
        </is>
      </c>
      <c r="K156" t="inlineStr">
        <is>
          <t>No</t>
        </is>
      </c>
      <c r="L156" t="inlineStr">
        <is>
          <t>0</t>
        </is>
      </c>
      <c r="N156" t="inlineStr">
        <is>
          <t>New York : Macmillan, c1976.</t>
        </is>
      </c>
      <c r="O156" t="inlineStr">
        <is>
          <t>1976</t>
        </is>
      </c>
      <c r="Q156" t="inlineStr">
        <is>
          <t>eng</t>
        </is>
      </c>
      <c r="R156" t="inlineStr">
        <is>
          <t>nyu</t>
        </is>
      </c>
      <c r="T156" t="inlineStr">
        <is>
          <t xml:space="preserve">PR </t>
        </is>
      </c>
      <c r="U156" t="n">
        <v>3</v>
      </c>
      <c r="V156" t="n">
        <v>7</v>
      </c>
      <c r="W156" t="inlineStr">
        <is>
          <t>1997-12-22</t>
        </is>
      </c>
      <c r="X156" t="inlineStr">
        <is>
          <t>1997-12-22</t>
        </is>
      </c>
      <c r="Y156" t="inlineStr">
        <is>
          <t>1991-09-23</t>
        </is>
      </c>
      <c r="Z156" t="inlineStr">
        <is>
          <t>1991-09-23</t>
        </is>
      </c>
      <c r="AA156" t="n">
        <v>357</v>
      </c>
      <c r="AB156" t="n">
        <v>302</v>
      </c>
      <c r="AC156" t="n">
        <v>317</v>
      </c>
      <c r="AD156" t="n">
        <v>4</v>
      </c>
      <c r="AE156" t="n">
        <v>4</v>
      </c>
      <c r="AF156" t="n">
        <v>13</v>
      </c>
      <c r="AG156" t="n">
        <v>13</v>
      </c>
      <c r="AH156" t="n">
        <v>5</v>
      </c>
      <c r="AI156" t="n">
        <v>5</v>
      </c>
      <c r="AJ156" t="n">
        <v>4</v>
      </c>
      <c r="AK156" t="n">
        <v>4</v>
      </c>
      <c r="AL156" t="n">
        <v>6</v>
      </c>
      <c r="AM156" t="n">
        <v>6</v>
      </c>
      <c r="AN156" t="n">
        <v>2</v>
      </c>
      <c r="AO156" t="n">
        <v>2</v>
      </c>
      <c r="AP156" t="n">
        <v>0</v>
      </c>
      <c r="AQ156" t="n">
        <v>0</v>
      </c>
      <c r="AR156" t="inlineStr">
        <is>
          <t>No</t>
        </is>
      </c>
      <c r="AS156" t="inlineStr">
        <is>
          <t>Yes</t>
        </is>
      </c>
      <c r="AT156">
        <f>HYPERLINK("http://catalog.hathitrust.org/Record/000189725","HathiTrust Record")</f>
        <v/>
      </c>
      <c r="AU156">
        <f>HYPERLINK("https://creighton-primo.hosted.exlibrisgroup.com/primo-explore/search?tab=default_tab&amp;search_scope=EVERYTHING&amp;vid=01CRU&amp;lang=en_US&amp;offset=0&amp;query=any,contains,991003651939702656","Catalog Record")</f>
        <v/>
      </c>
      <c r="AV156">
        <f>HYPERLINK("http://www.worldcat.org/oclc/1255964","WorldCat Record")</f>
        <v/>
      </c>
      <c r="AW156" t="inlineStr">
        <is>
          <t>2865889575:eng</t>
        </is>
      </c>
      <c r="AX156" t="inlineStr">
        <is>
          <t>1255964</t>
        </is>
      </c>
      <c r="AY156" t="inlineStr">
        <is>
          <t>991003651939702656</t>
        </is>
      </c>
      <c r="AZ156" t="inlineStr">
        <is>
          <t>991003651939702656</t>
        </is>
      </c>
      <c r="BA156" t="inlineStr">
        <is>
          <t>2257833730002656</t>
        </is>
      </c>
      <c r="BB156" t="inlineStr">
        <is>
          <t>BOOK</t>
        </is>
      </c>
      <c r="BD156" t="inlineStr">
        <is>
          <t>9780023395703</t>
        </is>
      </c>
      <c r="BE156" t="inlineStr">
        <is>
          <t>32285000761543</t>
        </is>
      </c>
      <c r="BF156" t="inlineStr">
        <is>
          <t>893246585</t>
        </is>
      </c>
    </row>
    <row r="157">
      <c r="A157" t="inlineStr">
        <is>
          <t>No</t>
        </is>
      </c>
      <c r="B157" t="inlineStr">
        <is>
          <t>CURAL</t>
        </is>
      </c>
      <c r="C157" t="inlineStr">
        <is>
          <t>SHELVES</t>
        </is>
      </c>
      <c r="D157" t="inlineStr">
        <is>
          <t>PR1263 .E55 1962</t>
        </is>
      </c>
      <c r="E157" t="inlineStr">
        <is>
          <t>0                      PR 1263000E  55          1962</t>
        </is>
      </c>
      <c r="F157" t="inlineStr">
        <is>
          <t>Elizabethan and Stuart plays / edited by Charles Read Baskervill, Virgil B. Heltzel, Arthur H. Nethercot</t>
        </is>
      </c>
      <c r="H157" t="inlineStr">
        <is>
          <t>No</t>
        </is>
      </c>
      <c r="I157" t="inlineStr">
        <is>
          <t>1</t>
        </is>
      </c>
      <c r="J157" t="inlineStr">
        <is>
          <t>No</t>
        </is>
      </c>
      <c r="K157" t="inlineStr">
        <is>
          <t>No</t>
        </is>
      </c>
      <c r="L157" t="inlineStr">
        <is>
          <t>0</t>
        </is>
      </c>
      <c r="N157" t="inlineStr">
        <is>
          <t>New York : Holt, Rinehart and Winston c1962.</t>
        </is>
      </c>
      <c r="O157" t="inlineStr">
        <is>
          <t>1962</t>
        </is>
      </c>
      <c r="Q157" t="inlineStr">
        <is>
          <t>eng</t>
        </is>
      </c>
      <c r="R157" t="inlineStr">
        <is>
          <t>nyu</t>
        </is>
      </c>
      <c r="T157" t="inlineStr">
        <is>
          <t xml:space="preserve">PR </t>
        </is>
      </c>
      <c r="U157" t="n">
        <v>1</v>
      </c>
      <c r="V157" t="n">
        <v>1</v>
      </c>
      <c r="W157" t="inlineStr">
        <is>
          <t>2001-07-12</t>
        </is>
      </c>
      <c r="X157" t="inlineStr">
        <is>
          <t>2001-07-12</t>
        </is>
      </c>
      <c r="Y157" t="inlineStr">
        <is>
          <t>2001-07-11</t>
        </is>
      </c>
      <c r="Z157" t="inlineStr">
        <is>
          <t>2001-07-11</t>
        </is>
      </c>
      <c r="AA157" t="n">
        <v>202</v>
      </c>
      <c r="AB157" t="n">
        <v>178</v>
      </c>
      <c r="AC157" t="n">
        <v>910</v>
      </c>
      <c r="AD157" t="n">
        <v>1</v>
      </c>
      <c r="AE157" t="n">
        <v>8</v>
      </c>
      <c r="AF157" t="n">
        <v>7</v>
      </c>
      <c r="AG157" t="n">
        <v>36</v>
      </c>
      <c r="AH157" t="n">
        <v>2</v>
      </c>
      <c r="AI157" t="n">
        <v>14</v>
      </c>
      <c r="AJ157" t="n">
        <v>1</v>
      </c>
      <c r="AK157" t="n">
        <v>6</v>
      </c>
      <c r="AL157" t="n">
        <v>6</v>
      </c>
      <c r="AM157" t="n">
        <v>17</v>
      </c>
      <c r="AN157" t="n">
        <v>0</v>
      </c>
      <c r="AO157" t="n">
        <v>7</v>
      </c>
      <c r="AP157" t="n">
        <v>0</v>
      </c>
      <c r="AQ157" t="n">
        <v>0</v>
      </c>
      <c r="AR157" t="inlineStr">
        <is>
          <t>No</t>
        </is>
      </c>
      <c r="AS157" t="inlineStr">
        <is>
          <t>Yes</t>
        </is>
      </c>
      <c r="AT157">
        <f>HYPERLINK("http://catalog.hathitrust.org/Record/007061396","HathiTrust Record")</f>
        <v/>
      </c>
      <c r="AU157">
        <f>HYPERLINK("https://creighton-primo.hosted.exlibrisgroup.com/primo-explore/search?tab=default_tab&amp;search_scope=EVERYTHING&amp;vid=01CRU&amp;lang=en_US&amp;offset=0&amp;query=any,contains,991003566709702656","Catalog Record")</f>
        <v/>
      </c>
      <c r="AV157">
        <f>HYPERLINK("http://www.worldcat.org/oclc/355287","WorldCat Record")</f>
        <v/>
      </c>
      <c r="AW157" t="inlineStr">
        <is>
          <t>2023641:eng</t>
        </is>
      </c>
      <c r="AX157" t="inlineStr">
        <is>
          <t>355287</t>
        </is>
      </c>
      <c r="AY157" t="inlineStr">
        <is>
          <t>991003566709702656</t>
        </is>
      </c>
      <c r="AZ157" t="inlineStr">
        <is>
          <t>991003566709702656</t>
        </is>
      </c>
      <c r="BA157" t="inlineStr">
        <is>
          <t>2264561650002656</t>
        </is>
      </c>
      <c r="BB157" t="inlineStr">
        <is>
          <t>BOOK</t>
        </is>
      </c>
      <c r="BE157" t="inlineStr">
        <is>
          <t>32285004331764</t>
        </is>
      </c>
      <c r="BF157" t="inlineStr">
        <is>
          <t>893781137</t>
        </is>
      </c>
    </row>
    <row r="158">
      <c r="A158" t="inlineStr">
        <is>
          <t>No</t>
        </is>
      </c>
      <c r="B158" t="inlineStr">
        <is>
          <t>CURAL</t>
        </is>
      </c>
      <c r="C158" t="inlineStr">
        <is>
          <t>SHELVES</t>
        </is>
      </c>
      <c r="D158" t="inlineStr">
        <is>
          <t>PR1265 .N4 1978</t>
        </is>
      </c>
      <c r="E158" t="inlineStr">
        <is>
          <t>0                      PR 1265000N  4           1978</t>
        </is>
      </c>
      <c r="F158" t="inlineStr">
        <is>
          <t>British dramatists from Dryden to Sheridan / edited by George H. Nettleton and Arthur E. Case ; revised by George Winchester Stone, Jr.</t>
        </is>
      </c>
      <c r="H158" t="inlineStr">
        <is>
          <t>No</t>
        </is>
      </c>
      <c r="I158" t="inlineStr">
        <is>
          <t>1</t>
        </is>
      </c>
      <c r="J158" t="inlineStr">
        <is>
          <t>No</t>
        </is>
      </c>
      <c r="K158" t="inlineStr">
        <is>
          <t>No</t>
        </is>
      </c>
      <c r="L158" t="inlineStr">
        <is>
          <t>0</t>
        </is>
      </c>
      <c r="M158" t="inlineStr">
        <is>
          <t>Nettleton, George Henry, 1874-1959, editor.</t>
        </is>
      </c>
      <c r="N158" t="inlineStr">
        <is>
          <t>Carbondale, : Southern Illinois University Press, 1978, c1969.</t>
        </is>
      </c>
      <c r="O158" t="inlineStr">
        <is>
          <t>1975</t>
        </is>
      </c>
      <c r="Q158" t="inlineStr">
        <is>
          <t>eng</t>
        </is>
      </c>
      <c r="R158" t="inlineStr">
        <is>
          <t>ilu</t>
        </is>
      </c>
      <c r="T158" t="inlineStr">
        <is>
          <t xml:space="preserve">PR </t>
        </is>
      </c>
      <c r="U158" t="n">
        <v>1</v>
      </c>
      <c r="V158" t="n">
        <v>1</v>
      </c>
      <c r="W158" t="inlineStr">
        <is>
          <t>1996-10-21</t>
        </is>
      </c>
      <c r="X158" t="inlineStr">
        <is>
          <t>1996-10-21</t>
        </is>
      </c>
      <c r="Y158" t="inlineStr">
        <is>
          <t>1991-10-01</t>
        </is>
      </c>
      <c r="Z158" t="inlineStr">
        <is>
          <t>1991-10-01</t>
        </is>
      </c>
      <c r="AA158" t="n">
        <v>221</v>
      </c>
      <c r="AB158" t="n">
        <v>200</v>
      </c>
      <c r="AC158" t="n">
        <v>1078</v>
      </c>
      <c r="AD158" t="n">
        <v>1</v>
      </c>
      <c r="AE158" t="n">
        <v>9</v>
      </c>
      <c r="AF158" t="n">
        <v>10</v>
      </c>
      <c r="AG158" t="n">
        <v>45</v>
      </c>
      <c r="AH158" t="n">
        <v>2</v>
      </c>
      <c r="AI158" t="n">
        <v>18</v>
      </c>
      <c r="AJ158" t="n">
        <v>3</v>
      </c>
      <c r="AK158" t="n">
        <v>9</v>
      </c>
      <c r="AL158" t="n">
        <v>7</v>
      </c>
      <c r="AM158" t="n">
        <v>21</v>
      </c>
      <c r="AN158" t="n">
        <v>0</v>
      </c>
      <c r="AO158" t="n">
        <v>7</v>
      </c>
      <c r="AP158" t="n">
        <v>0</v>
      </c>
      <c r="AQ158" t="n">
        <v>0</v>
      </c>
      <c r="AR158" t="inlineStr">
        <is>
          <t>No</t>
        </is>
      </c>
      <c r="AS158" t="inlineStr">
        <is>
          <t>No</t>
        </is>
      </c>
      <c r="AU158">
        <f>HYPERLINK("https://creighton-primo.hosted.exlibrisgroup.com/primo-explore/search?tab=default_tab&amp;search_scope=EVERYTHING&amp;vid=01CRU&amp;lang=en_US&amp;offset=0&amp;query=any,contains,991003939009702656","Catalog Record")</f>
        <v/>
      </c>
      <c r="AV158">
        <f>HYPERLINK("http://www.worldcat.org/oclc/1924010","WorldCat Record")</f>
        <v/>
      </c>
      <c r="AW158" t="inlineStr">
        <is>
          <t>466961:eng</t>
        </is>
      </c>
      <c r="AX158" t="inlineStr">
        <is>
          <t>1924010</t>
        </is>
      </c>
      <c r="AY158" t="inlineStr">
        <is>
          <t>991003939009702656</t>
        </is>
      </c>
      <c r="AZ158" t="inlineStr">
        <is>
          <t>991003939009702656</t>
        </is>
      </c>
      <c r="BA158" t="inlineStr">
        <is>
          <t>2263639580002656</t>
        </is>
      </c>
      <c r="BB158" t="inlineStr">
        <is>
          <t>BOOK</t>
        </is>
      </c>
      <c r="BD158" t="inlineStr">
        <is>
          <t>9780809307432</t>
        </is>
      </c>
      <c r="BE158" t="inlineStr">
        <is>
          <t>32285000761550</t>
        </is>
      </c>
      <c r="BF158" t="inlineStr">
        <is>
          <t>893441973</t>
        </is>
      </c>
    </row>
    <row r="159">
      <c r="A159" t="inlineStr">
        <is>
          <t>No</t>
        </is>
      </c>
      <c r="B159" t="inlineStr">
        <is>
          <t>CURAL</t>
        </is>
      </c>
      <c r="C159" t="inlineStr">
        <is>
          <t>SHELVES</t>
        </is>
      </c>
      <c r="D159" t="inlineStr">
        <is>
          <t>PR1265 .T8</t>
        </is>
      </c>
      <c r="E159" t="inlineStr">
        <is>
          <t>0                      PR 1265000T  8</t>
        </is>
      </c>
      <c r="F159" t="inlineStr">
        <is>
          <t>Twelve famous plays of the restoration and eighteenth century; introduction by Professor Cecil A. Moore.</t>
        </is>
      </c>
      <c r="H159" t="inlineStr">
        <is>
          <t>No</t>
        </is>
      </c>
      <c r="I159" t="inlineStr">
        <is>
          <t>1</t>
        </is>
      </c>
      <c r="J159" t="inlineStr">
        <is>
          <t>No</t>
        </is>
      </c>
      <c r="K159" t="inlineStr">
        <is>
          <t>No</t>
        </is>
      </c>
      <c r="L159" t="inlineStr">
        <is>
          <t>0</t>
        </is>
      </c>
      <c r="N159" t="inlineStr">
        <is>
          <t>New York, B. A. Cerf, D. S. Klopfer, The Modern library [c1933]</t>
        </is>
      </c>
      <c r="O159" t="inlineStr">
        <is>
          <t>1933</t>
        </is>
      </c>
      <c r="Q159" t="inlineStr">
        <is>
          <t>eng</t>
        </is>
      </c>
      <c r="R159" t="inlineStr">
        <is>
          <t>nyu</t>
        </is>
      </c>
      <c r="S159" t="inlineStr">
        <is>
          <t>The Modern library of the world's best books. [Modern library giants]</t>
        </is>
      </c>
      <c r="T159" t="inlineStr">
        <is>
          <t xml:space="preserve">PR </t>
        </is>
      </c>
      <c r="U159" t="n">
        <v>1</v>
      </c>
      <c r="V159" t="n">
        <v>1</v>
      </c>
      <c r="W159" t="inlineStr">
        <is>
          <t>2004-03-04</t>
        </is>
      </c>
      <c r="X159" t="inlineStr">
        <is>
          <t>2004-03-04</t>
        </is>
      </c>
      <c r="Y159" t="inlineStr">
        <is>
          <t>1997-07-28</t>
        </is>
      </c>
      <c r="Z159" t="inlineStr">
        <is>
          <t>1997-07-28</t>
        </is>
      </c>
      <c r="AA159" t="n">
        <v>1526</v>
      </c>
      <c r="AB159" t="n">
        <v>1409</v>
      </c>
      <c r="AC159" t="n">
        <v>1424</v>
      </c>
      <c r="AD159" t="n">
        <v>15</v>
      </c>
      <c r="AE159" t="n">
        <v>15</v>
      </c>
      <c r="AF159" t="n">
        <v>47</v>
      </c>
      <c r="AG159" t="n">
        <v>47</v>
      </c>
      <c r="AH159" t="n">
        <v>13</v>
      </c>
      <c r="AI159" t="n">
        <v>13</v>
      </c>
      <c r="AJ159" t="n">
        <v>8</v>
      </c>
      <c r="AK159" t="n">
        <v>8</v>
      </c>
      <c r="AL159" t="n">
        <v>21</v>
      </c>
      <c r="AM159" t="n">
        <v>21</v>
      </c>
      <c r="AN159" t="n">
        <v>12</v>
      </c>
      <c r="AO159" t="n">
        <v>12</v>
      </c>
      <c r="AP159" t="n">
        <v>0</v>
      </c>
      <c r="AQ159" t="n">
        <v>0</v>
      </c>
      <c r="AR159" t="inlineStr">
        <is>
          <t>No</t>
        </is>
      </c>
      <c r="AS159" t="inlineStr">
        <is>
          <t>No</t>
        </is>
      </c>
      <c r="AT159">
        <f>HYPERLINK("http://catalog.hathitrust.org/Record/001017125","HathiTrust Record")</f>
        <v/>
      </c>
      <c r="AU159">
        <f>HYPERLINK("https://creighton-primo.hosted.exlibrisgroup.com/primo-explore/search?tab=default_tab&amp;search_scope=EVERYTHING&amp;vid=01CRU&amp;lang=en_US&amp;offset=0&amp;query=any,contains,991002443429702656","Catalog Record")</f>
        <v/>
      </c>
      <c r="AV159">
        <f>HYPERLINK("http://www.worldcat.org/oclc/350819","WorldCat Record")</f>
        <v/>
      </c>
      <c r="AW159" t="inlineStr">
        <is>
          <t>54844139:eng</t>
        </is>
      </c>
      <c r="AX159" t="inlineStr">
        <is>
          <t>350819</t>
        </is>
      </c>
      <c r="AY159" t="inlineStr">
        <is>
          <t>991002443429702656</t>
        </is>
      </c>
      <c r="AZ159" t="inlineStr">
        <is>
          <t>991002443429702656</t>
        </is>
      </c>
      <c r="BA159" t="inlineStr">
        <is>
          <t>2268816530002656</t>
        </is>
      </c>
      <c r="BB159" t="inlineStr">
        <is>
          <t>BOOK</t>
        </is>
      </c>
      <c r="BE159" t="inlineStr">
        <is>
          <t>32285002985793</t>
        </is>
      </c>
      <c r="BF159" t="inlineStr">
        <is>
          <t>893232956</t>
        </is>
      </c>
    </row>
    <row r="160">
      <c r="A160" t="inlineStr">
        <is>
          <t>No</t>
        </is>
      </c>
      <c r="B160" t="inlineStr">
        <is>
          <t>CURAL</t>
        </is>
      </c>
      <c r="C160" t="inlineStr">
        <is>
          <t>SHELVES</t>
        </is>
      </c>
      <c r="D160" t="inlineStr">
        <is>
          <t>PR1266 .F39 1991</t>
        </is>
      </c>
      <c r="E160" t="inlineStr">
        <is>
          <t>0                      PR 1266000F  39          1991</t>
        </is>
      </c>
      <c r="F160" t="inlineStr">
        <is>
          <t>Female playwrights of the Restoration : five comedies / edited and introduced by Paddy Lyons and Fidelis Morgan.</t>
        </is>
      </c>
      <c r="H160" t="inlineStr">
        <is>
          <t>No</t>
        </is>
      </c>
      <c r="I160" t="inlineStr">
        <is>
          <t>1</t>
        </is>
      </c>
      <c r="J160" t="inlineStr">
        <is>
          <t>No</t>
        </is>
      </c>
      <c r="K160" t="inlineStr">
        <is>
          <t>No</t>
        </is>
      </c>
      <c r="L160" t="inlineStr">
        <is>
          <t>0</t>
        </is>
      </c>
      <c r="N160" t="inlineStr">
        <is>
          <t>London : J.M. Dent ; Rutland, Vt. : C.E. Tuttle, 1991.</t>
        </is>
      </c>
      <c r="O160" t="inlineStr">
        <is>
          <t>1991</t>
        </is>
      </c>
      <c r="Q160" t="inlineStr">
        <is>
          <t>eng</t>
        </is>
      </c>
      <c r="R160" t="inlineStr">
        <is>
          <t>enk</t>
        </is>
      </c>
      <c r="S160" t="inlineStr">
        <is>
          <t>Everyman's library</t>
        </is>
      </c>
      <c r="T160" t="inlineStr">
        <is>
          <t xml:space="preserve">PR </t>
        </is>
      </c>
      <c r="U160" t="n">
        <v>1</v>
      </c>
      <c r="V160" t="n">
        <v>1</v>
      </c>
      <c r="W160" t="inlineStr">
        <is>
          <t>2003-09-29</t>
        </is>
      </c>
      <c r="X160" t="inlineStr">
        <is>
          <t>2003-09-29</t>
        </is>
      </c>
      <c r="Y160" t="inlineStr">
        <is>
          <t>2003-09-29</t>
        </is>
      </c>
      <c r="Z160" t="inlineStr">
        <is>
          <t>2003-09-29</t>
        </is>
      </c>
      <c r="AA160" t="n">
        <v>219</v>
      </c>
      <c r="AB160" t="n">
        <v>122</v>
      </c>
      <c r="AC160" t="n">
        <v>122</v>
      </c>
      <c r="AD160" t="n">
        <v>1</v>
      </c>
      <c r="AE160" t="n">
        <v>1</v>
      </c>
      <c r="AF160" t="n">
        <v>6</v>
      </c>
      <c r="AG160" t="n">
        <v>6</v>
      </c>
      <c r="AH160" t="n">
        <v>4</v>
      </c>
      <c r="AI160" t="n">
        <v>4</v>
      </c>
      <c r="AJ160" t="n">
        <v>1</v>
      </c>
      <c r="AK160" t="n">
        <v>1</v>
      </c>
      <c r="AL160" t="n">
        <v>5</v>
      </c>
      <c r="AM160" t="n">
        <v>5</v>
      </c>
      <c r="AN160" t="n">
        <v>0</v>
      </c>
      <c r="AO160" t="n">
        <v>0</v>
      </c>
      <c r="AP160" t="n">
        <v>0</v>
      </c>
      <c r="AQ160" t="n">
        <v>0</v>
      </c>
      <c r="AR160" t="inlineStr">
        <is>
          <t>No</t>
        </is>
      </c>
      <c r="AS160" t="inlineStr">
        <is>
          <t>No</t>
        </is>
      </c>
      <c r="AU160">
        <f>HYPERLINK("https://creighton-primo.hosted.exlibrisgroup.com/primo-explore/search?tab=default_tab&amp;search_scope=EVERYTHING&amp;vid=01CRU&amp;lang=en_US&amp;offset=0&amp;query=any,contains,991004139429702656","Catalog Record")</f>
        <v/>
      </c>
      <c r="AV160">
        <f>HYPERLINK("http://www.worldcat.org/oclc/28344289","WorldCat Record")</f>
        <v/>
      </c>
      <c r="AW160" t="inlineStr">
        <is>
          <t>836839165:eng</t>
        </is>
      </c>
      <c r="AX160" t="inlineStr">
        <is>
          <t>28344289</t>
        </is>
      </c>
      <c r="AY160" t="inlineStr">
        <is>
          <t>991004139429702656</t>
        </is>
      </c>
      <c r="AZ160" t="inlineStr">
        <is>
          <t>991004139429702656</t>
        </is>
      </c>
      <c r="BA160" t="inlineStr">
        <is>
          <t>2265800750002656</t>
        </is>
      </c>
      <c r="BB160" t="inlineStr">
        <is>
          <t>BOOK</t>
        </is>
      </c>
      <c r="BD160" t="inlineStr">
        <is>
          <t>9780460870801</t>
        </is>
      </c>
      <c r="BE160" t="inlineStr">
        <is>
          <t>32285004785696</t>
        </is>
      </c>
      <c r="BF160" t="inlineStr">
        <is>
          <t>893535832</t>
        </is>
      </c>
    </row>
    <row r="161">
      <c r="A161" t="inlineStr">
        <is>
          <t>No</t>
        </is>
      </c>
      <c r="B161" t="inlineStr">
        <is>
          <t>CURAL</t>
        </is>
      </c>
      <c r="C161" t="inlineStr">
        <is>
          <t>SHELVES</t>
        </is>
      </c>
      <c r="D161" t="inlineStr">
        <is>
          <t>PR1266 .H3 1953</t>
        </is>
      </c>
      <c r="E161" t="inlineStr">
        <is>
          <t>0                      PR 1266000H  3           1953</t>
        </is>
      </c>
      <c r="F161" t="inlineStr">
        <is>
          <t>Restoration plays / with an introduction by Brice Harris.</t>
        </is>
      </c>
      <c r="H161" t="inlineStr">
        <is>
          <t>No</t>
        </is>
      </c>
      <c r="I161" t="inlineStr">
        <is>
          <t>1</t>
        </is>
      </c>
      <c r="J161" t="inlineStr">
        <is>
          <t>No</t>
        </is>
      </c>
      <c r="K161" t="inlineStr">
        <is>
          <t>No</t>
        </is>
      </c>
      <c r="L161" t="inlineStr">
        <is>
          <t>0</t>
        </is>
      </c>
      <c r="M161" t="inlineStr">
        <is>
          <t>Harris, Brice, 1900-1984, editor.</t>
        </is>
      </c>
      <c r="N161" t="inlineStr">
        <is>
          <t>New York : Modern Library, [1953]</t>
        </is>
      </c>
      <c r="O161" t="inlineStr">
        <is>
          <t>1953</t>
        </is>
      </c>
      <c r="Q161" t="inlineStr">
        <is>
          <t>eng</t>
        </is>
      </c>
      <c r="R161" t="inlineStr">
        <is>
          <t>nyu</t>
        </is>
      </c>
      <c r="S161" t="inlineStr">
        <is>
          <t>The Modern library of the world's best books, 287</t>
        </is>
      </c>
      <c r="T161" t="inlineStr">
        <is>
          <t xml:space="preserve">PR </t>
        </is>
      </c>
      <c r="U161" t="n">
        <v>1</v>
      </c>
      <c r="V161" t="n">
        <v>1</v>
      </c>
      <c r="W161" t="inlineStr">
        <is>
          <t>2004-12-15</t>
        </is>
      </c>
      <c r="X161" t="inlineStr">
        <is>
          <t>2004-12-15</t>
        </is>
      </c>
      <c r="Y161" t="inlineStr">
        <is>
          <t>2004-12-15</t>
        </is>
      </c>
      <c r="Z161" t="inlineStr">
        <is>
          <t>2004-12-15</t>
        </is>
      </c>
      <c r="AA161" t="n">
        <v>1276</v>
      </c>
      <c r="AB161" t="n">
        <v>1182</v>
      </c>
      <c r="AC161" t="n">
        <v>1198</v>
      </c>
      <c r="AD161" t="n">
        <v>8</v>
      </c>
      <c r="AE161" t="n">
        <v>9</v>
      </c>
      <c r="AF161" t="n">
        <v>37</v>
      </c>
      <c r="AG161" t="n">
        <v>40</v>
      </c>
      <c r="AH161" t="n">
        <v>14</v>
      </c>
      <c r="AI161" t="n">
        <v>15</v>
      </c>
      <c r="AJ161" t="n">
        <v>6</v>
      </c>
      <c r="AK161" t="n">
        <v>7</v>
      </c>
      <c r="AL161" t="n">
        <v>19</v>
      </c>
      <c r="AM161" t="n">
        <v>19</v>
      </c>
      <c r="AN161" t="n">
        <v>6</v>
      </c>
      <c r="AO161" t="n">
        <v>7</v>
      </c>
      <c r="AP161" t="n">
        <v>0</v>
      </c>
      <c r="AQ161" t="n">
        <v>0</v>
      </c>
      <c r="AR161" t="inlineStr">
        <is>
          <t>No</t>
        </is>
      </c>
      <c r="AS161" t="inlineStr">
        <is>
          <t>Yes</t>
        </is>
      </c>
      <c r="AT161">
        <f>HYPERLINK("http://catalog.hathitrust.org/Record/001017128","HathiTrust Record")</f>
        <v/>
      </c>
      <c r="AU161">
        <f>HYPERLINK("https://creighton-primo.hosted.exlibrisgroup.com/primo-explore/search?tab=default_tab&amp;search_scope=EVERYTHING&amp;vid=01CRU&amp;lang=en_US&amp;offset=0&amp;query=any,contains,991004438699702656","Catalog Record")</f>
        <v/>
      </c>
      <c r="AV161">
        <f>HYPERLINK("http://www.worldcat.org/oclc/682815","WorldCat Record")</f>
        <v/>
      </c>
      <c r="AW161" t="inlineStr">
        <is>
          <t>4921310291:eng</t>
        </is>
      </c>
      <c r="AX161" t="inlineStr">
        <is>
          <t>682815</t>
        </is>
      </c>
      <c r="AY161" t="inlineStr">
        <is>
          <t>991004438699702656</t>
        </is>
      </c>
      <c r="AZ161" t="inlineStr">
        <is>
          <t>991004438699702656</t>
        </is>
      </c>
      <c r="BA161" t="inlineStr">
        <is>
          <t>2262722070002656</t>
        </is>
      </c>
      <c r="BB161" t="inlineStr">
        <is>
          <t>BOOK</t>
        </is>
      </c>
      <c r="BE161" t="inlineStr">
        <is>
          <t>32285005017305</t>
        </is>
      </c>
      <c r="BF161" t="inlineStr">
        <is>
          <t>893430063</t>
        </is>
      </c>
    </row>
    <row r="162">
      <c r="A162" t="inlineStr">
        <is>
          <t>No</t>
        </is>
      </c>
      <c r="B162" t="inlineStr">
        <is>
          <t>CURAL</t>
        </is>
      </c>
      <c r="C162" t="inlineStr">
        <is>
          <t>SHELVES</t>
        </is>
      </c>
      <c r="D162" t="inlineStr">
        <is>
          <t>PR1266 .M47 1994</t>
        </is>
      </c>
      <c r="E162" t="inlineStr">
        <is>
          <t>0                      PR 1266000M  47          1994</t>
        </is>
      </c>
      <c r="F162" t="inlineStr">
        <is>
          <t>The Meridian anthology of Restoration and Eighteenth-century plays by women / Katharine M. Rogers, editor.</t>
        </is>
      </c>
      <c r="H162" t="inlineStr">
        <is>
          <t>No</t>
        </is>
      </c>
      <c r="I162" t="inlineStr">
        <is>
          <t>1</t>
        </is>
      </c>
      <c r="J162" t="inlineStr">
        <is>
          <t>No</t>
        </is>
      </c>
      <c r="K162" t="inlineStr">
        <is>
          <t>No</t>
        </is>
      </c>
      <c r="L162" t="inlineStr">
        <is>
          <t>0</t>
        </is>
      </c>
      <c r="N162" t="inlineStr">
        <is>
          <t>New York : Meridian, 1994.</t>
        </is>
      </c>
      <c r="O162" t="inlineStr">
        <is>
          <t>1994</t>
        </is>
      </c>
      <c r="Q162" t="inlineStr">
        <is>
          <t>eng</t>
        </is>
      </c>
      <c r="R162" t="inlineStr">
        <is>
          <t>nyu</t>
        </is>
      </c>
      <c r="T162" t="inlineStr">
        <is>
          <t xml:space="preserve">PR </t>
        </is>
      </c>
      <c r="U162" t="n">
        <v>2</v>
      </c>
      <c r="V162" t="n">
        <v>2</v>
      </c>
      <c r="W162" t="inlineStr">
        <is>
          <t>2004-03-04</t>
        </is>
      </c>
      <c r="X162" t="inlineStr">
        <is>
          <t>2004-03-04</t>
        </is>
      </c>
      <c r="Y162" t="inlineStr">
        <is>
          <t>2003-09-15</t>
        </is>
      </c>
      <c r="Z162" t="inlineStr">
        <is>
          <t>2003-09-15</t>
        </is>
      </c>
      <c r="AA162" t="n">
        <v>375</v>
      </c>
      <c r="AB162" t="n">
        <v>328</v>
      </c>
      <c r="AC162" t="n">
        <v>345</v>
      </c>
      <c r="AD162" t="n">
        <v>2</v>
      </c>
      <c r="AE162" t="n">
        <v>2</v>
      </c>
      <c r="AF162" t="n">
        <v>19</v>
      </c>
      <c r="AG162" t="n">
        <v>21</v>
      </c>
      <c r="AH162" t="n">
        <v>8</v>
      </c>
      <c r="AI162" t="n">
        <v>9</v>
      </c>
      <c r="AJ162" t="n">
        <v>4</v>
      </c>
      <c r="AK162" t="n">
        <v>5</v>
      </c>
      <c r="AL162" t="n">
        <v>13</v>
      </c>
      <c r="AM162" t="n">
        <v>13</v>
      </c>
      <c r="AN162" t="n">
        <v>1</v>
      </c>
      <c r="AO162" t="n">
        <v>1</v>
      </c>
      <c r="AP162" t="n">
        <v>0</v>
      </c>
      <c r="AQ162" t="n">
        <v>0</v>
      </c>
      <c r="AR162" t="inlineStr">
        <is>
          <t>No</t>
        </is>
      </c>
      <c r="AS162" t="inlineStr">
        <is>
          <t>Yes</t>
        </is>
      </c>
      <c r="AT162">
        <f>HYPERLINK("http://catalog.hathitrust.org/Record/002932252","HathiTrust Record")</f>
        <v/>
      </c>
      <c r="AU162">
        <f>HYPERLINK("https://creighton-primo.hosted.exlibrisgroup.com/primo-explore/search?tab=default_tab&amp;search_scope=EVERYTHING&amp;vid=01CRU&amp;lang=en_US&amp;offset=0&amp;query=any,contains,991004123539702656","Catalog Record")</f>
        <v/>
      </c>
      <c r="AV162">
        <f>HYPERLINK("http://www.worldcat.org/oclc/29311561","WorldCat Record")</f>
        <v/>
      </c>
      <c r="AW162" t="inlineStr">
        <is>
          <t>31277789:eng</t>
        </is>
      </c>
      <c r="AX162" t="inlineStr">
        <is>
          <t>29311561</t>
        </is>
      </c>
      <c r="AY162" t="inlineStr">
        <is>
          <t>991004123539702656</t>
        </is>
      </c>
      <c r="AZ162" t="inlineStr">
        <is>
          <t>991004123539702656</t>
        </is>
      </c>
      <c r="BA162" t="inlineStr">
        <is>
          <t>2258129530002656</t>
        </is>
      </c>
      <c r="BB162" t="inlineStr">
        <is>
          <t>BOOK</t>
        </is>
      </c>
      <c r="BD162" t="inlineStr">
        <is>
          <t>9780452011106</t>
        </is>
      </c>
      <c r="BE162" t="inlineStr">
        <is>
          <t>32285004782917</t>
        </is>
      </c>
      <c r="BF162" t="inlineStr">
        <is>
          <t>893699877</t>
        </is>
      </c>
    </row>
    <row r="163">
      <c r="A163" t="inlineStr">
        <is>
          <t>No</t>
        </is>
      </c>
      <c r="B163" t="inlineStr">
        <is>
          <t>CURAL</t>
        </is>
      </c>
      <c r="C163" t="inlineStr">
        <is>
          <t>SHELVES</t>
        </is>
      </c>
      <c r="D163" t="inlineStr">
        <is>
          <t>PR1266 .R36 2000</t>
        </is>
      </c>
      <c r="E163" t="inlineStr">
        <is>
          <t>0                      PR 1266000R  36          2000</t>
        </is>
      </c>
      <c r="F163" t="inlineStr">
        <is>
          <t>Restoration drama : an anthology / edited by David Womersley.</t>
        </is>
      </c>
      <c r="H163" t="inlineStr">
        <is>
          <t>No</t>
        </is>
      </c>
      <c r="I163" t="inlineStr">
        <is>
          <t>1</t>
        </is>
      </c>
      <c r="J163" t="inlineStr">
        <is>
          <t>No</t>
        </is>
      </c>
      <c r="K163" t="inlineStr">
        <is>
          <t>No</t>
        </is>
      </c>
      <c r="L163" t="inlineStr">
        <is>
          <t>0</t>
        </is>
      </c>
      <c r="N163" t="inlineStr">
        <is>
          <t>Oxford, UK ; Malden, Mass. : Blackwell Publishers, 2000.</t>
        </is>
      </c>
      <c r="O163" t="inlineStr">
        <is>
          <t>2000</t>
        </is>
      </c>
      <c r="Q163" t="inlineStr">
        <is>
          <t>eng</t>
        </is>
      </c>
      <c r="R163" t="inlineStr">
        <is>
          <t>enk</t>
        </is>
      </c>
      <c r="S163" t="inlineStr">
        <is>
          <t>Blackwell anthologies</t>
        </is>
      </c>
      <c r="T163" t="inlineStr">
        <is>
          <t xml:space="preserve">PR </t>
        </is>
      </c>
      <c r="U163" t="n">
        <v>1</v>
      </c>
      <c r="V163" t="n">
        <v>1</v>
      </c>
      <c r="W163" t="inlineStr">
        <is>
          <t>2002-11-20</t>
        </is>
      </c>
      <c r="X163" t="inlineStr">
        <is>
          <t>2002-11-20</t>
        </is>
      </c>
      <c r="Y163" t="inlineStr">
        <is>
          <t>2002-11-20</t>
        </is>
      </c>
      <c r="Z163" t="inlineStr">
        <is>
          <t>2002-11-20</t>
        </is>
      </c>
      <c r="AA163" t="n">
        <v>306</v>
      </c>
      <c r="AB163" t="n">
        <v>216</v>
      </c>
      <c r="AC163" t="n">
        <v>226</v>
      </c>
      <c r="AD163" t="n">
        <v>3</v>
      </c>
      <c r="AE163" t="n">
        <v>3</v>
      </c>
      <c r="AF163" t="n">
        <v>13</v>
      </c>
      <c r="AG163" t="n">
        <v>13</v>
      </c>
      <c r="AH163" t="n">
        <v>4</v>
      </c>
      <c r="AI163" t="n">
        <v>4</v>
      </c>
      <c r="AJ163" t="n">
        <v>4</v>
      </c>
      <c r="AK163" t="n">
        <v>4</v>
      </c>
      <c r="AL163" t="n">
        <v>6</v>
      </c>
      <c r="AM163" t="n">
        <v>6</v>
      </c>
      <c r="AN163" t="n">
        <v>2</v>
      </c>
      <c r="AO163" t="n">
        <v>2</v>
      </c>
      <c r="AP163" t="n">
        <v>0</v>
      </c>
      <c r="AQ163" t="n">
        <v>0</v>
      </c>
      <c r="AR163" t="inlineStr">
        <is>
          <t>No</t>
        </is>
      </c>
      <c r="AS163" t="inlineStr">
        <is>
          <t>No</t>
        </is>
      </c>
      <c r="AU163">
        <f>HYPERLINK("https://creighton-primo.hosted.exlibrisgroup.com/primo-explore/search?tab=default_tab&amp;search_scope=EVERYTHING&amp;vid=01CRU&amp;lang=en_US&amp;offset=0&amp;query=any,contains,991003947429702656","Catalog Record")</f>
        <v/>
      </c>
      <c r="AV163">
        <f>HYPERLINK("http://www.worldcat.org/oclc/41468474","WorldCat Record")</f>
        <v/>
      </c>
      <c r="AW163" t="inlineStr">
        <is>
          <t>837008492:eng</t>
        </is>
      </c>
      <c r="AX163" t="inlineStr">
        <is>
          <t>41468474</t>
        </is>
      </c>
      <c r="AY163" t="inlineStr">
        <is>
          <t>991003947429702656</t>
        </is>
      </c>
      <c r="AZ163" t="inlineStr">
        <is>
          <t>991003947429702656</t>
        </is>
      </c>
      <c r="BA163" t="inlineStr">
        <is>
          <t>2272321540002656</t>
        </is>
      </c>
      <c r="BB163" t="inlineStr">
        <is>
          <t>BOOK</t>
        </is>
      </c>
      <c r="BD163" t="inlineStr">
        <is>
          <t>9780631209027</t>
        </is>
      </c>
      <c r="BE163" t="inlineStr">
        <is>
          <t>32285004665039</t>
        </is>
      </c>
      <c r="BF163" t="inlineStr">
        <is>
          <t>893417035</t>
        </is>
      </c>
    </row>
    <row r="164">
      <c r="A164" t="inlineStr">
        <is>
          <t>No</t>
        </is>
      </c>
      <c r="B164" t="inlineStr">
        <is>
          <t>CURAL</t>
        </is>
      </c>
      <c r="C164" t="inlineStr">
        <is>
          <t>SHELVES</t>
        </is>
      </c>
      <c r="D164" t="inlineStr">
        <is>
          <t>PR1266 .R45</t>
        </is>
      </c>
      <c r="E164" t="inlineStr">
        <is>
          <t>0                      PR 1266000R  45</t>
        </is>
      </c>
      <c r="F164" t="inlineStr">
        <is>
          <t>Restoration tragedies / edited with an introduction by James Sutherland.</t>
        </is>
      </c>
      <c r="H164" t="inlineStr">
        <is>
          <t>No</t>
        </is>
      </c>
      <c r="I164" t="inlineStr">
        <is>
          <t>1</t>
        </is>
      </c>
      <c r="J164" t="inlineStr">
        <is>
          <t>No</t>
        </is>
      </c>
      <c r="K164" t="inlineStr">
        <is>
          <t>No</t>
        </is>
      </c>
      <c r="L164" t="inlineStr">
        <is>
          <t>0</t>
        </is>
      </c>
      <c r="N164" t="inlineStr">
        <is>
          <t>London ; New York : Oxford University Press, 1977.</t>
        </is>
      </c>
      <c r="O164" t="inlineStr">
        <is>
          <t>1977</t>
        </is>
      </c>
      <c r="Q164" t="inlineStr">
        <is>
          <t>eng</t>
        </is>
      </c>
      <c r="R164" t="inlineStr">
        <is>
          <t>enk</t>
        </is>
      </c>
      <c r="S164" t="inlineStr">
        <is>
          <t>Oxford paperbacks ; 371</t>
        </is>
      </c>
      <c r="T164" t="inlineStr">
        <is>
          <t xml:space="preserve">PR </t>
        </is>
      </c>
      <c r="U164" t="n">
        <v>1</v>
      </c>
      <c r="V164" t="n">
        <v>1</v>
      </c>
      <c r="W164" t="inlineStr">
        <is>
          <t>1994-03-14</t>
        </is>
      </c>
      <c r="X164" t="inlineStr">
        <is>
          <t>1994-03-14</t>
        </is>
      </c>
      <c r="Y164" t="inlineStr">
        <is>
          <t>1991-09-23</t>
        </is>
      </c>
      <c r="Z164" t="inlineStr">
        <is>
          <t>1991-09-23</t>
        </is>
      </c>
      <c r="AA164" t="n">
        <v>259</v>
      </c>
      <c r="AB164" t="n">
        <v>142</v>
      </c>
      <c r="AC164" t="n">
        <v>148</v>
      </c>
      <c r="AD164" t="n">
        <v>4</v>
      </c>
      <c r="AE164" t="n">
        <v>4</v>
      </c>
      <c r="AF164" t="n">
        <v>11</v>
      </c>
      <c r="AG164" t="n">
        <v>11</v>
      </c>
      <c r="AH164" t="n">
        <v>1</v>
      </c>
      <c r="AI164" t="n">
        <v>1</v>
      </c>
      <c r="AJ164" t="n">
        <v>2</v>
      </c>
      <c r="AK164" t="n">
        <v>2</v>
      </c>
      <c r="AL164" t="n">
        <v>6</v>
      </c>
      <c r="AM164" t="n">
        <v>6</v>
      </c>
      <c r="AN164" t="n">
        <v>3</v>
      </c>
      <c r="AO164" t="n">
        <v>3</v>
      </c>
      <c r="AP164" t="n">
        <v>0</v>
      </c>
      <c r="AQ164" t="n">
        <v>0</v>
      </c>
      <c r="AR164" t="inlineStr">
        <is>
          <t>No</t>
        </is>
      </c>
      <c r="AS164" t="inlineStr">
        <is>
          <t>Yes</t>
        </is>
      </c>
      <c r="AT164">
        <f>HYPERLINK("http://catalog.hathitrust.org/Record/007854853","HathiTrust Record")</f>
        <v/>
      </c>
      <c r="AU164">
        <f>HYPERLINK("https://creighton-primo.hosted.exlibrisgroup.com/primo-explore/search?tab=default_tab&amp;search_scope=EVERYTHING&amp;vid=01CRU&amp;lang=en_US&amp;offset=0&amp;query=any,contains,991004391729702656","Catalog Record")</f>
        <v/>
      </c>
      <c r="AV164">
        <f>HYPERLINK("http://www.worldcat.org/oclc/3267955","WorldCat Record")</f>
        <v/>
      </c>
      <c r="AW164" t="inlineStr">
        <is>
          <t>479343445:eng</t>
        </is>
      </c>
      <c r="AX164" t="inlineStr">
        <is>
          <t>3267955</t>
        </is>
      </c>
      <c r="AY164" t="inlineStr">
        <is>
          <t>991004391729702656</t>
        </is>
      </c>
      <c r="AZ164" t="inlineStr">
        <is>
          <t>991004391729702656</t>
        </is>
      </c>
      <c r="BA164" t="inlineStr">
        <is>
          <t>2257766140002656</t>
        </is>
      </c>
      <c r="BB164" t="inlineStr">
        <is>
          <t>BOOK</t>
        </is>
      </c>
      <c r="BD164" t="inlineStr">
        <is>
          <t>9780192811769</t>
        </is>
      </c>
      <c r="BE164" t="inlineStr">
        <is>
          <t>32285000761568</t>
        </is>
      </c>
      <c r="BF164" t="inlineStr">
        <is>
          <t>893687680</t>
        </is>
      </c>
    </row>
    <row r="165">
      <c r="A165" t="inlineStr">
        <is>
          <t>No</t>
        </is>
      </c>
      <c r="B165" t="inlineStr">
        <is>
          <t>CURAL</t>
        </is>
      </c>
      <c r="C165" t="inlineStr">
        <is>
          <t>SHELVES</t>
        </is>
      </c>
      <c r="D165" t="inlineStr">
        <is>
          <t>PR1269 .B38 1993</t>
        </is>
      </c>
      <c r="E165" t="inlineStr">
        <is>
          <t>0                      PR 1269000B  38          1993</t>
        </is>
      </c>
      <c r="F165" t="inlineStr">
        <is>
          <t>The beggar's opera and other eighteenth-century plays / introduced by David W. Lindsay.</t>
        </is>
      </c>
      <c r="H165" t="inlineStr">
        <is>
          <t>No</t>
        </is>
      </c>
      <c r="I165" t="inlineStr">
        <is>
          <t>1</t>
        </is>
      </c>
      <c r="J165" t="inlineStr">
        <is>
          <t>No</t>
        </is>
      </c>
      <c r="K165" t="inlineStr">
        <is>
          <t>No</t>
        </is>
      </c>
      <c r="L165" t="inlineStr">
        <is>
          <t>0</t>
        </is>
      </c>
      <c r="N165" t="inlineStr">
        <is>
          <t>London : Everyman, c1993.</t>
        </is>
      </c>
      <c r="O165" t="inlineStr">
        <is>
          <t>1993</t>
        </is>
      </c>
      <c r="Q165" t="inlineStr">
        <is>
          <t>eng</t>
        </is>
      </c>
      <c r="R165" t="inlineStr">
        <is>
          <t>enk</t>
        </is>
      </c>
      <c r="T165" t="inlineStr">
        <is>
          <t xml:space="preserve">PR </t>
        </is>
      </c>
      <c r="U165" t="n">
        <v>2</v>
      </c>
      <c r="V165" t="n">
        <v>2</v>
      </c>
      <c r="W165" t="inlineStr">
        <is>
          <t>2006-11-20</t>
        </is>
      </c>
      <c r="X165" t="inlineStr">
        <is>
          <t>2006-11-20</t>
        </is>
      </c>
      <c r="Y165" t="inlineStr">
        <is>
          <t>2003-09-15</t>
        </is>
      </c>
      <c r="Z165" t="inlineStr">
        <is>
          <t>2003-09-15</t>
        </is>
      </c>
      <c r="AA165" t="n">
        <v>46</v>
      </c>
      <c r="AB165" t="n">
        <v>42</v>
      </c>
      <c r="AC165" t="n">
        <v>168</v>
      </c>
      <c r="AD165" t="n">
        <v>2</v>
      </c>
      <c r="AE165" t="n">
        <v>3</v>
      </c>
      <c r="AF165" t="n">
        <v>2</v>
      </c>
      <c r="AG165" t="n">
        <v>9</v>
      </c>
      <c r="AH165" t="n">
        <v>0</v>
      </c>
      <c r="AI165" t="n">
        <v>4</v>
      </c>
      <c r="AJ165" t="n">
        <v>1</v>
      </c>
      <c r="AK165" t="n">
        <v>4</v>
      </c>
      <c r="AL165" t="n">
        <v>0</v>
      </c>
      <c r="AM165" t="n">
        <v>2</v>
      </c>
      <c r="AN165" t="n">
        <v>1</v>
      </c>
      <c r="AO165" t="n">
        <v>2</v>
      </c>
      <c r="AP165" t="n">
        <v>0</v>
      </c>
      <c r="AQ165" t="n">
        <v>0</v>
      </c>
      <c r="AR165" t="inlineStr">
        <is>
          <t>No</t>
        </is>
      </c>
      <c r="AS165" t="inlineStr">
        <is>
          <t>No</t>
        </is>
      </c>
      <c r="AU165">
        <f>HYPERLINK("https://creighton-primo.hosted.exlibrisgroup.com/primo-explore/search?tab=default_tab&amp;search_scope=EVERYTHING&amp;vid=01CRU&amp;lang=en_US&amp;offset=0&amp;query=any,contains,991004123569702656","Catalog Record")</f>
        <v/>
      </c>
      <c r="AV165">
        <f>HYPERLINK("http://www.worldcat.org/oclc/36460745","WorldCat Record")</f>
        <v/>
      </c>
      <c r="AW165" t="inlineStr">
        <is>
          <t>1489317:eng</t>
        </is>
      </c>
      <c r="AX165" t="inlineStr">
        <is>
          <t>36460745</t>
        </is>
      </c>
      <c r="AY165" t="inlineStr">
        <is>
          <t>991004123569702656</t>
        </is>
      </c>
      <c r="AZ165" t="inlineStr">
        <is>
          <t>991004123569702656</t>
        </is>
      </c>
      <c r="BA165" t="inlineStr">
        <is>
          <t>2256424870002656</t>
        </is>
      </c>
      <c r="BB165" t="inlineStr">
        <is>
          <t>BOOK</t>
        </is>
      </c>
      <c r="BD165" t="inlineStr">
        <is>
          <t>9780460873147</t>
        </is>
      </c>
      <c r="BE165" t="inlineStr">
        <is>
          <t>32285004783006</t>
        </is>
      </c>
      <c r="BF165" t="inlineStr">
        <is>
          <t>893429689</t>
        </is>
      </c>
    </row>
    <row r="166">
      <c r="A166" t="inlineStr">
        <is>
          <t>No</t>
        </is>
      </c>
      <c r="B166" t="inlineStr">
        <is>
          <t>CURAL</t>
        </is>
      </c>
      <c r="C166" t="inlineStr">
        <is>
          <t>SHELVES</t>
        </is>
      </c>
      <c r="D166" t="inlineStr">
        <is>
          <t>PR1269 .C53 1995</t>
        </is>
      </c>
      <c r="E166" t="inlineStr">
        <is>
          <t>0                      PR 1269000C  53          1995</t>
        </is>
      </c>
      <c r="F166" t="inlineStr">
        <is>
          <t>The clandestine marriage / by David Garrick &amp; George Coleman the elder ; edited by Noel Chevalier.</t>
        </is>
      </c>
      <c r="H166" t="inlineStr">
        <is>
          <t>No</t>
        </is>
      </c>
      <c r="I166" t="inlineStr">
        <is>
          <t>1</t>
        </is>
      </c>
      <c r="J166" t="inlineStr">
        <is>
          <t>No</t>
        </is>
      </c>
      <c r="K166" t="inlineStr">
        <is>
          <t>No</t>
        </is>
      </c>
      <c r="L166" t="inlineStr">
        <is>
          <t>0</t>
        </is>
      </c>
      <c r="M166" t="inlineStr">
        <is>
          <t>Garrick, David, 1717-1779.</t>
        </is>
      </c>
      <c r="N166" t="inlineStr">
        <is>
          <t>Peterborough, Ont. : Broadview Press, c1995.</t>
        </is>
      </c>
      <c r="O166" t="inlineStr">
        <is>
          <t>1995</t>
        </is>
      </c>
      <c r="Q166" t="inlineStr">
        <is>
          <t>eng</t>
        </is>
      </c>
      <c r="R166" t="inlineStr">
        <is>
          <t>onc</t>
        </is>
      </c>
      <c r="S166" t="inlineStr">
        <is>
          <t>Broadview literary texts</t>
        </is>
      </c>
      <c r="T166" t="inlineStr">
        <is>
          <t xml:space="preserve">PR </t>
        </is>
      </c>
      <c r="U166" t="n">
        <v>1</v>
      </c>
      <c r="V166" t="n">
        <v>1</v>
      </c>
      <c r="W166" t="inlineStr">
        <is>
          <t>2003-09-15</t>
        </is>
      </c>
      <c r="X166" t="inlineStr">
        <is>
          <t>2003-09-15</t>
        </is>
      </c>
      <c r="Y166" t="inlineStr">
        <is>
          <t>2003-09-15</t>
        </is>
      </c>
      <c r="Z166" t="inlineStr">
        <is>
          <t>2003-09-15</t>
        </is>
      </c>
      <c r="AA166" t="n">
        <v>151</v>
      </c>
      <c r="AB166" t="n">
        <v>109</v>
      </c>
      <c r="AC166" t="n">
        <v>140</v>
      </c>
      <c r="AD166" t="n">
        <v>1</v>
      </c>
      <c r="AE166" t="n">
        <v>1</v>
      </c>
      <c r="AF166" t="n">
        <v>3</v>
      </c>
      <c r="AG166" t="n">
        <v>4</v>
      </c>
      <c r="AH166" t="n">
        <v>2</v>
      </c>
      <c r="AI166" t="n">
        <v>2</v>
      </c>
      <c r="AJ166" t="n">
        <v>1</v>
      </c>
      <c r="AK166" t="n">
        <v>2</v>
      </c>
      <c r="AL166" t="n">
        <v>2</v>
      </c>
      <c r="AM166" t="n">
        <v>3</v>
      </c>
      <c r="AN166" t="n">
        <v>0</v>
      </c>
      <c r="AO166" t="n">
        <v>0</v>
      </c>
      <c r="AP166" t="n">
        <v>0</v>
      </c>
      <c r="AQ166" t="n">
        <v>0</v>
      </c>
      <c r="AR166" t="inlineStr">
        <is>
          <t>No</t>
        </is>
      </c>
      <c r="AS166" t="inlineStr">
        <is>
          <t>Yes</t>
        </is>
      </c>
      <c r="AT166">
        <f>HYPERLINK("http://catalog.hathitrust.org/Record/003578092","HathiTrust Record")</f>
        <v/>
      </c>
      <c r="AU166">
        <f>HYPERLINK("https://creighton-primo.hosted.exlibrisgroup.com/primo-explore/search?tab=default_tab&amp;search_scope=EVERYTHING&amp;vid=01CRU&amp;lang=en_US&amp;offset=0&amp;query=any,contains,991004123629702656","Catalog Record")</f>
        <v/>
      </c>
      <c r="AV166">
        <f>HYPERLINK("http://www.worldcat.org/oclc/32389798","WorldCat Record")</f>
        <v/>
      </c>
      <c r="AW166" t="inlineStr">
        <is>
          <t>3901016691:eng</t>
        </is>
      </c>
      <c r="AX166" t="inlineStr">
        <is>
          <t>32389798</t>
        </is>
      </c>
      <c r="AY166" t="inlineStr">
        <is>
          <t>991004123629702656</t>
        </is>
      </c>
      <c r="AZ166" t="inlineStr">
        <is>
          <t>991004123629702656</t>
        </is>
      </c>
      <c r="BA166" t="inlineStr">
        <is>
          <t>2259102150002656</t>
        </is>
      </c>
      <c r="BB166" t="inlineStr">
        <is>
          <t>BOOK</t>
        </is>
      </c>
      <c r="BD166" t="inlineStr">
        <is>
          <t>9781551110271</t>
        </is>
      </c>
      <c r="BE166" t="inlineStr">
        <is>
          <t>32285004783121</t>
        </is>
      </c>
      <c r="BF166" t="inlineStr">
        <is>
          <t>893512839</t>
        </is>
      </c>
    </row>
    <row r="167">
      <c r="A167" t="inlineStr">
        <is>
          <t>No</t>
        </is>
      </c>
      <c r="B167" t="inlineStr">
        <is>
          <t>CURAL</t>
        </is>
      </c>
      <c r="C167" t="inlineStr">
        <is>
          <t>SHELVES</t>
        </is>
      </c>
      <c r="D167" t="inlineStr">
        <is>
          <t>PR1269 .E35 1952</t>
        </is>
      </c>
      <c r="E167" t="inlineStr">
        <is>
          <t>0                      PR 1269000E  35          1952</t>
        </is>
      </c>
      <c r="F167" t="inlineStr">
        <is>
          <t>Eighteenth-century plays / with an introduction by Ricardo Quintana.</t>
        </is>
      </c>
      <c r="H167" t="inlineStr">
        <is>
          <t>No</t>
        </is>
      </c>
      <c r="I167" t="inlineStr">
        <is>
          <t>1</t>
        </is>
      </c>
      <c r="J167" t="inlineStr">
        <is>
          <t>No</t>
        </is>
      </c>
      <c r="K167" t="inlineStr">
        <is>
          <t>No</t>
        </is>
      </c>
      <c r="L167" t="inlineStr">
        <is>
          <t>0</t>
        </is>
      </c>
      <c r="N167" t="inlineStr">
        <is>
          <t>New York : Modern Library, [1952]</t>
        </is>
      </c>
      <c r="O167" t="inlineStr">
        <is>
          <t>1952</t>
        </is>
      </c>
      <c r="Q167" t="inlineStr">
        <is>
          <t>eng</t>
        </is>
      </c>
      <c r="R167" t="inlineStr">
        <is>
          <t>nyu</t>
        </is>
      </c>
      <c r="S167" t="inlineStr">
        <is>
          <t>The Modern library of the world's best books [224]</t>
        </is>
      </c>
      <c r="T167" t="inlineStr">
        <is>
          <t xml:space="preserve">PR </t>
        </is>
      </c>
      <c r="U167" t="n">
        <v>1</v>
      </c>
      <c r="V167" t="n">
        <v>1</v>
      </c>
      <c r="W167" t="inlineStr">
        <is>
          <t>2004-12-15</t>
        </is>
      </c>
      <c r="X167" t="inlineStr">
        <is>
          <t>2004-12-15</t>
        </is>
      </c>
      <c r="Y167" t="inlineStr">
        <is>
          <t>2004-12-15</t>
        </is>
      </c>
      <c r="Z167" t="inlineStr">
        <is>
          <t>2004-12-15</t>
        </is>
      </c>
      <c r="AA167" t="n">
        <v>1224</v>
      </c>
      <c r="AB167" t="n">
        <v>1125</v>
      </c>
      <c r="AC167" t="n">
        <v>1131</v>
      </c>
      <c r="AD167" t="n">
        <v>12</v>
      </c>
      <c r="AE167" t="n">
        <v>12</v>
      </c>
      <c r="AF167" t="n">
        <v>45</v>
      </c>
      <c r="AG167" t="n">
        <v>45</v>
      </c>
      <c r="AH167" t="n">
        <v>18</v>
      </c>
      <c r="AI167" t="n">
        <v>18</v>
      </c>
      <c r="AJ167" t="n">
        <v>7</v>
      </c>
      <c r="AK167" t="n">
        <v>7</v>
      </c>
      <c r="AL167" t="n">
        <v>19</v>
      </c>
      <c r="AM167" t="n">
        <v>19</v>
      </c>
      <c r="AN167" t="n">
        <v>8</v>
      </c>
      <c r="AO167" t="n">
        <v>8</v>
      </c>
      <c r="AP167" t="n">
        <v>0</v>
      </c>
      <c r="AQ167" t="n">
        <v>0</v>
      </c>
      <c r="AR167" t="inlineStr">
        <is>
          <t>No</t>
        </is>
      </c>
      <c r="AS167" t="inlineStr">
        <is>
          <t>No</t>
        </is>
      </c>
      <c r="AT167">
        <f>HYPERLINK("http://catalog.hathitrust.org/Record/001017129","HathiTrust Record")</f>
        <v/>
      </c>
      <c r="AU167">
        <f>HYPERLINK("https://creighton-primo.hosted.exlibrisgroup.com/primo-explore/search?tab=default_tab&amp;search_scope=EVERYTHING&amp;vid=01CRU&amp;lang=en_US&amp;offset=0&amp;query=any,contains,991004438859702656","Catalog Record")</f>
        <v/>
      </c>
      <c r="AV167">
        <f>HYPERLINK("http://www.worldcat.org/oclc/294873","WorldCat Record")</f>
        <v/>
      </c>
      <c r="AW167" t="inlineStr">
        <is>
          <t>2564838868:eng</t>
        </is>
      </c>
      <c r="AX167" t="inlineStr">
        <is>
          <t>294873</t>
        </is>
      </c>
      <c r="AY167" t="inlineStr">
        <is>
          <t>991004438859702656</t>
        </is>
      </c>
      <c r="AZ167" t="inlineStr">
        <is>
          <t>991004438859702656</t>
        </is>
      </c>
      <c r="BA167" t="inlineStr">
        <is>
          <t>2268446370002656</t>
        </is>
      </c>
      <c r="BB167" t="inlineStr">
        <is>
          <t>BOOK</t>
        </is>
      </c>
      <c r="BE167" t="inlineStr">
        <is>
          <t>32285005017685</t>
        </is>
      </c>
      <c r="BF167" t="inlineStr">
        <is>
          <t>893349996</t>
        </is>
      </c>
    </row>
    <row r="168">
      <c r="A168" t="inlineStr">
        <is>
          <t>No</t>
        </is>
      </c>
      <c r="B168" t="inlineStr">
        <is>
          <t>CURAL</t>
        </is>
      </c>
      <c r="C168" t="inlineStr">
        <is>
          <t>SHELVES</t>
        </is>
      </c>
      <c r="D168" t="inlineStr">
        <is>
          <t>PR1269 .W5 1963</t>
        </is>
      </c>
      <c r="E168" t="inlineStr">
        <is>
          <t>0                      PR 1269000W  5           1963</t>
        </is>
      </c>
      <c r="F168" t="inlineStr">
        <is>
          <t>Six eighteenth-century plays / edited, with an introduction by John Harold Wilson.</t>
        </is>
      </c>
      <c r="H168" t="inlineStr">
        <is>
          <t>No</t>
        </is>
      </c>
      <c r="I168" t="inlineStr">
        <is>
          <t>1</t>
        </is>
      </c>
      <c r="J168" t="inlineStr">
        <is>
          <t>No</t>
        </is>
      </c>
      <c r="K168" t="inlineStr">
        <is>
          <t>No</t>
        </is>
      </c>
      <c r="L168" t="inlineStr">
        <is>
          <t>0</t>
        </is>
      </c>
      <c r="M168" t="inlineStr">
        <is>
          <t>Wilson, John Harold, 1900-, editor.</t>
        </is>
      </c>
      <c r="N168" t="inlineStr">
        <is>
          <t>Boston : Houghton Mifflin, [c1963]</t>
        </is>
      </c>
      <c r="O168" t="inlineStr">
        <is>
          <t>1963</t>
        </is>
      </c>
      <c r="Q168" t="inlineStr">
        <is>
          <t>eng</t>
        </is>
      </c>
      <c r="R168" t="inlineStr">
        <is>
          <t>mau</t>
        </is>
      </c>
      <c r="S168" t="inlineStr">
        <is>
          <t>Riverside editions ; B85</t>
        </is>
      </c>
      <c r="T168" t="inlineStr">
        <is>
          <t xml:space="preserve">PR </t>
        </is>
      </c>
      <c r="U168" t="n">
        <v>4</v>
      </c>
      <c r="V168" t="n">
        <v>4</v>
      </c>
      <c r="W168" t="inlineStr">
        <is>
          <t>1994-03-14</t>
        </is>
      </c>
      <c r="X168" t="inlineStr">
        <is>
          <t>1994-03-14</t>
        </is>
      </c>
      <c r="Y168" t="inlineStr">
        <is>
          <t>1990-08-10</t>
        </is>
      </c>
      <c r="Z168" t="inlineStr">
        <is>
          <t>1990-08-10</t>
        </is>
      </c>
      <c r="AA168" t="n">
        <v>499</v>
      </c>
      <c r="AB168" t="n">
        <v>440</v>
      </c>
      <c r="AC168" t="n">
        <v>441</v>
      </c>
      <c r="AD168" t="n">
        <v>6</v>
      </c>
      <c r="AE168" t="n">
        <v>6</v>
      </c>
      <c r="AF168" t="n">
        <v>21</v>
      </c>
      <c r="AG168" t="n">
        <v>21</v>
      </c>
      <c r="AH168" t="n">
        <v>10</v>
      </c>
      <c r="AI168" t="n">
        <v>10</v>
      </c>
      <c r="AJ168" t="n">
        <v>1</v>
      </c>
      <c r="AK168" t="n">
        <v>1</v>
      </c>
      <c r="AL168" t="n">
        <v>8</v>
      </c>
      <c r="AM168" t="n">
        <v>8</v>
      </c>
      <c r="AN168" t="n">
        <v>5</v>
      </c>
      <c r="AO168" t="n">
        <v>5</v>
      </c>
      <c r="AP168" t="n">
        <v>0</v>
      </c>
      <c r="AQ168" t="n">
        <v>0</v>
      </c>
      <c r="AR168" t="inlineStr">
        <is>
          <t>No</t>
        </is>
      </c>
      <c r="AS168" t="inlineStr">
        <is>
          <t>Yes</t>
        </is>
      </c>
      <c r="AT168">
        <f>HYPERLINK("http://catalog.hathitrust.org/Record/006056213","HathiTrust Record")</f>
        <v/>
      </c>
      <c r="AU168">
        <f>HYPERLINK("https://creighton-primo.hosted.exlibrisgroup.com/primo-explore/search?tab=default_tab&amp;search_scope=EVERYTHING&amp;vid=01CRU&amp;lang=en_US&amp;offset=0&amp;query=any,contains,991001026909702656","Catalog Record")</f>
        <v/>
      </c>
      <c r="AV168">
        <f>HYPERLINK("http://www.worldcat.org/oclc/174721","WorldCat Record")</f>
        <v/>
      </c>
      <c r="AW168" t="inlineStr">
        <is>
          <t>1306504:eng</t>
        </is>
      </c>
      <c r="AX168" t="inlineStr">
        <is>
          <t>174721</t>
        </is>
      </c>
      <c r="AY168" t="inlineStr">
        <is>
          <t>991001026909702656</t>
        </is>
      </c>
      <c r="AZ168" t="inlineStr">
        <is>
          <t>991001026909702656</t>
        </is>
      </c>
      <c r="BA168" t="inlineStr">
        <is>
          <t>2266542680002656</t>
        </is>
      </c>
      <c r="BB168" t="inlineStr">
        <is>
          <t>BOOK</t>
        </is>
      </c>
      <c r="BE168" t="inlineStr">
        <is>
          <t>32285000023944</t>
        </is>
      </c>
      <c r="BF168" t="inlineStr">
        <is>
          <t>893528605</t>
        </is>
      </c>
    </row>
    <row r="169">
      <c r="A169" t="inlineStr">
        <is>
          <t>No</t>
        </is>
      </c>
      <c r="B169" t="inlineStr">
        <is>
          <t>CURAL</t>
        </is>
      </c>
      <c r="C169" t="inlineStr">
        <is>
          <t>SHELVES</t>
        </is>
      </c>
      <c r="D169" t="inlineStr">
        <is>
          <t>PR127 .R65 1984</t>
        </is>
      </c>
      <c r="E169" t="inlineStr">
        <is>
          <t>0                      PR 0127000R  65          1984</t>
        </is>
      </c>
      <c r="F169" t="inlineStr">
        <is>
          <t>Roman images / edited, with an introduction by Annabel Patterson.</t>
        </is>
      </c>
      <c r="H169" t="inlineStr">
        <is>
          <t>No</t>
        </is>
      </c>
      <c r="I169" t="inlineStr">
        <is>
          <t>1</t>
        </is>
      </c>
      <c r="J169" t="inlineStr">
        <is>
          <t>No</t>
        </is>
      </c>
      <c r="K169" t="inlineStr">
        <is>
          <t>No</t>
        </is>
      </c>
      <c r="L169" t="inlineStr">
        <is>
          <t>0</t>
        </is>
      </c>
      <c r="N169" t="inlineStr">
        <is>
          <t>Baltimore : Johns Hopkins University Press, c1984.</t>
        </is>
      </c>
      <c r="O169" t="inlineStr">
        <is>
          <t>1984</t>
        </is>
      </c>
      <c r="Q169" t="inlineStr">
        <is>
          <t>eng</t>
        </is>
      </c>
      <c r="R169" t="inlineStr">
        <is>
          <t>mdu</t>
        </is>
      </c>
      <c r="S169" t="inlineStr">
        <is>
          <t>Selected papers from the English Institute ; 1982, new ser., no. 8</t>
        </is>
      </c>
      <c r="T169" t="inlineStr">
        <is>
          <t xml:space="preserve">PR </t>
        </is>
      </c>
      <c r="U169" t="n">
        <v>2</v>
      </c>
      <c r="V169" t="n">
        <v>2</v>
      </c>
      <c r="W169" t="inlineStr">
        <is>
          <t>1993-02-04</t>
        </is>
      </c>
      <c r="X169" t="inlineStr">
        <is>
          <t>1993-02-04</t>
        </is>
      </c>
      <c r="Y169" t="inlineStr">
        <is>
          <t>1991-08-27</t>
        </is>
      </c>
      <c r="Z169" t="inlineStr">
        <is>
          <t>1991-08-27</t>
        </is>
      </c>
      <c r="AA169" t="n">
        <v>520</v>
      </c>
      <c r="AB169" t="n">
        <v>427</v>
      </c>
      <c r="AC169" t="n">
        <v>571</v>
      </c>
      <c r="AD169" t="n">
        <v>2</v>
      </c>
      <c r="AE169" t="n">
        <v>3</v>
      </c>
      <c r="AF169" t="n">
        <v>22</v>
      </c>
      <c r="AG169" t="n">
        <v>30</v>
      </c>
      <c r="AH169" t="n">
        <v>10</v>
      </c>
      <c r="AI169" t="n">
        <v>14</v>
      </c>
      <c r="AJ169" t="n">
        <v>5</v>
      </c>
      <c r="AK169" t="n">
        <v>7</v>
      </c>
      <c r="AL169" t="n">
        <v>13</v>
      </c>
      <c r="AM169" t="n">
        <v>15</v>
      </c>
      <c r="AN169" t="n">
        <v>1</v>
      </c>
      <c r="AO169" t="n">
        <v>2</v>
      </c>
      <c r="AP169" t="n">
        <v>0</v>
      </c>
      <c r="AQ169" t="n">
        <v>0</v>
      </c>
      <c r="AR169" t="inlineStr">
        <is>
          <t>No</t>
        </is>
      </c>
      <c r="AS169" t="inlineStr">
        <is>
          <t>Yes</t>
        </is>
      </c>
      <c r="AT169">
        <f>HYPERLINK("http://catalog.hathitrust.org/Record/000852683","HathiTrust Record")</f>
        <v/>
      </c>
      <c r="AU169">
        <f>HYPERLINK("https://creighton-primo.hosted.exlibrisgroup.com/primo-explore/search?tab=default_tab&amp;search_scope=EVERYTHING&amp;vid=01CRU&amp;lang=en_US&amp;offset=0&amp;query=any,contains,991000344089702656","Catalog Record")</f>
        <v/>
      </c>
      <c r="AV169">
        <f>HYPERLINK("http://www.worldcat.org/oclc/10277195","WorldCat Record")</f>
        <v/>
      </c>
      <c r="AW169" t="inlineStr">
        <is>
          <t>1117889350:eng</t>
        </is>
      </c>
      <c r="AX169" t="inlineStr">
        <is>
          <t>10277195</t>
        </is>
      </c>
      <c r="AY169" t="inlineStr">
        <is>
          <t>991000344089702656</t>
        </is>
      </c>
      <c r="AZ169" t="inlineStr">
        <is>
          <t>991000344089702656</t>
        </is>
      </c>
      <c r="BA169" t="inlineStr">
        <is>
          <t>2269059710002656</t>
        </is>
      </c>
      <c r="BB169" t="inlineStr">
        <is>
          <t>BOOK</t>
        </is>
      </c>
      <c r="BD169" t="inlineStr">
        <is>
          <t>9780801831270</t>
        </is>
      </c>
      <c r="BE169" t="inlineStr">
        <is>
          <t>32285000699743</t>
        </is>
      </c>
      <c r="BF169" t="inlineStr">
        <is>
          <t>893496139</t>
        </is>
      </c>
    </row>
    <row r="170">
      <c r="A170" t="inlineStr">
        <is>
          <t>No</t>
        </is>
      </c>
      <c r="B170" t="inlineStr">
        <is>
          <t>CURAL</t>
        </is>
      </c>
      <c r="C170" t="inlineStr">
        <is>
          <t>SHELVES</t>
        </is>
      </c>
      <c r="D170" t="inlineStr">
        <is>
          <t>PR1271 .B6</t>
        </is>
      </c>
      <c r="E170" t="inlineStr">
        <is>
          <t>0                      PR 1271000B  6</t>
        </is>
      </c>
      <c r="F170" t="inlineStr">
        <is>
          <t>Hiss the villain; six English and American melodramas. Edited, with an introd., by Michael Booth.</t>
        </is>
      </c>
      <c r="H170" t="inlineStr">
        <is>
          <t>No</t>
        </is>
      </c>
      <c r="I170" t="inlineStr">
        <is>
          <t>1</t>
        </is>
      </c>
      <c r="J170" t="inlineStr">
        <is>
          <t>No</t>
        </is>
      </c>
      <c r="K170" t="inlineStr">
        <is>
          <t>No</t>
        </is>
      </c>
      <c r="L170" t="inlineStr">
        <is>
          <t>0</t>
        </is>
      </c>
      <c r="M170" t="inlineStr">
        <is>
          <t>Booth, Michael R., editor.</t>
        </is>
      </c>
      <c r="N170" t="inlineStr">
        <is>
          <t>New York, B. Blom [1964]</t>
        </is>
      </c>
      <c r="O170" t="inlineStr">
        <is>
          <t>1964</t>
        </is>
      </c>
      <c r="Q170" t="inlineStr">
        <is>
          <t>eng</t>
        </is>
      </c>
      <c r="R170" t="inlineStr">
        <is>
          <t>nyu</t>
        </is>
      </c>
      <c r="T170" t="inlineStr">
        <is>
          <t xml:space="preserve">PR </t>
        </is>
      </c>
      <c r="U170" t="n">
        <v>2</v>
      </c>
      <c r="V170" t="n">
        <v>2</v>
      </c>
      <c r="W170" t="inlineStr">
        <is>
          <t>2008-05-27</t>
        </is>
      </c>
      <c r="X170" t="inlineStr">
        <is>
          <t>2008-05-27</t>
        </is>
      </c>
      <c r="Y170" t="inlineStr">
        <is>
          <t>1997-07-28</t>
        </is>
      </c>
      <c r="Z170" t="inlineStr">
        <is>
          <t>1997-07-28</t>
        </is>
      </c>
      <c r="AA170" t="n">
        <v>823</v>
      </c>
      <c r="AB170" t="n">
        <v>791</v>
      </c>
      <c r="AC170" t="n">
        <v>939</v>
      </c>
      <c r="AD170" t="n">
        <v>7</v>
      </c>
      <c r="AE170" t="n">
        <v>7</v>
      </c>
      <c r="AF170" t="n">
        <v>36</v>
      </c>
      <c r="AG170" t="n">
        <v>41</v>
      </c>
      <c r="AH170" t="n">
        <v>17</v>
      </c>
      <c r="AI170" t="n">
        <v>20</v>
      </c>
      <c r="AJ170" t="n">
        <v>8</v>
      </c>
      <c r="AK170" t="n">
        <v>9</v>
      </c>
      <c r="AL170" t="n">
        <v>14</v>
      </c>
      <c r="AM170" t="n">
        <v>17</v>
      </c>
      <c r="AN170" t="n">
        <v>5</v>
      </c>
      <c r="AO170" t="n">
        <v>5</v>
      </c>
      <c r="AP170" t="n">
        <v>0</v>
      </c>
      <c r="AQ170" t="n">
        <v>0</v>
      </c>
      <c r="AR170" t="inlineStr">
        <is>
          <t>No</t>
        </is>
      </c>
      <c r="AS170" t="inlineStr">
        <is>
          <t>Yes</t>
        </is>
      </c>
      <c r="AT170">
        <f>HYPERLINK("http://catalog.hathitrust.org/Record/007059711","HathiTrust Record")</f>
        <v/>
      </c>
      <c r="AU170">
        <f>HYPERLINK("https://creighton-primo.hosted.exlibrisgroup.com/primo-explore/search?tab=default_tab&amp;search_scope=EVERYTHING&amp;vid=01CRU&amp;lang=en_US&amp;offset=0&amp;query=any,contains,991002445069702656","Catalog Record")</f>
        <v/>
      </c>
      <c r="AV170">
        <f>HYPERLINK("http://www.worldcat.org/oclc/351238","WorldCat Record")</f>
        <v/>
      </c>
      <c r="AW170" t="inlineStr">
        <is>
          <t>1385813:eng</t>
        </is>
      </c>
      <c r="AX170" t="inlineStr">
        <is>
          <t>351238</t>
        </is>
      </c>
      <c r="AY170" t="inlineStr">
        <is>
          <t>991002445069702656</t>
        </is>
      </c>
      <c r="AZ170" t="inlineStr">
        <is>
          <t>991002445069702656</t>
        </is>
      </c>
      <c r="BA170" t="inlineStr">
        <is>
          <t>2266477600002656</t>
        </is>
      </c>
      <c r="BB170" t="inlineStr">
        <is>
          <t>BOOK</t>
        </is>
      </c>
      <c r="BE170" t="inlineStr">
        <is>
          <t>32285002985868</t>
        </is>
      </c>
      <c r="BF170" t="inlineStr">
        <is>
          <t>893697785</t>
        </is>
      </c>
    </row>
    <row r="171">
      <c r="A171" t="inlineStr">
        <is>
          <t>No</t>
        </is>
      </c>
      <c r="B171" t="inlineStr">
        <is>
          <t>CURAL</t>
        </is>
      </c>
      <c r="C171" t="inlineStr">
        <is>
          <t>SHELVES</t>
        </is>
      </c>
      <c r="D171" t="inlineStr">
        <is>
          <t>PR1272 .M3 1978</t>
        </is>
      </c>
      <c r="E171" t="inlineStr">
        <is>
          <t>0                      PR 1272000M  3           1978</t>
        </is>
      </c>
      <c r="F171" t="inlineStr">
        <is>
          <t>One-act plays of to-day : first series / selected by J. W. Marriott.</t>
        </is>
      </c>
      <c r="H171" t="inlineStr">
        <is>
          <t>No</t>
        </is>
      </c>
      <c r="I171" t="inlineStr">
        <is>
          <t>1</t>
        </is>
      </c>
      <c r="J171" t="inlineStr">
        <is>
          <t>No</t>
        </is>
      </c>
      <c r="K171" t="inlineStr">
        <is>
          <t>No</t>
        </is>
      </c>
      <c r="L171" t="inlineStr">
        <is>
          <t>0</t>
        </is>
      </c>
      <c r="M171" t="inlineStr">
        <is>
          <t>Marriott, J. W. (James William), 1884-1953, compiler.</t>
        </is>
      </c>
      <c r="N171" t="inlineStr">
        <is>
          <t>Great Neck, N.Y. : Core Collection Books, 1978.</t>
        </is>
      </c>
      <c r="O171" t="inlineStr">
        <is>
          <t>1978</t>
        </is>
      </c>
      <c r="Q171" t="inlineStr">
        <is>
          <t>eng</t>
        </is>
      </c>
      <c r="R171" t="inlineStr">
        <is>
          <t>nyu</t>
        </is>
      </c>
      <c r="T171" t="inlineStr">
        <is>
          <t xml:space="preserve">PR </t>
        </is>
      </c>
      <c r="U171" t="n">
        <v>1</v>
      </c>
      <c r="V171" t="n">
        <v>1</v>
      </c>
      <c r="W171" t="inlineStr">
        <is>
          <t>2000-12-12</t>
        </is>
      </c>
      <c r="X171" t="inlineStr">
        <is>
          <t>2000-12-12</t>
        </is>
      </c>
      <c r="Y171" t="inlineStr">
        <is>
          <t>1991-09-23</t>
        </is>
      </c>
      <c r="Z171" t="inlineStr">
        <is>
          <t>1991-09-23</t>
        </is>
      </c>
      <c r="AA171" t="n">
        <v>62</v>
      </c>
      <c r="AB171" t="n">
        <v>55</v>
      </c>
      <c r="AC171" t="n">
        <v>74</v>
      </c>
      <c r="AD171" t="n">
        <v>1</v>
      </c>
      <c r="AE171" t="n">
        <v>1</v>
      </c>
      <c r="AF171" t="n">
        <v>1</v>
      </c>
      <c r="AG171" t="n">
        <v>2</v>
      </c>
      <c r="AH171" t="n">
        <v>1</v>
      </c>
      <c r="AI171" t="n">
        <v>2</v>
      </c>
      <c r="AJ171" t="n">
        <v>0</v>
      </c>
      <c r="AK171" t="n">
        <v>0</v>
      </c>
      <c r="AL171" t="n">
        <v>0</v>
      </c>
      <c r="AM171" t="n">
        <v>1</v>
      </c>
      <c r="AN171" t="n">
        <v>0</v>
      </c>
      <c r="AO171" t="n">
        <v>0</v>
      </c>
      <c r="AP171" t="n">
        <v>0</v>
      </c>
      <c r="AQ171" t="n">
        <v>0</v>
      </c>
      <c r="AR171" t="inlineStr">
        <is>
          <t>No</t>
        </is>
      </c>
      <c r="AS171" t="inlineStr">
        <is>
          <t>No</t>
        </is>
      </c>
      <c r="AU171">
        <f>HYPERLINK("https://creighton-primo.hosted.exlibrisgroup.com/primo-explore/search?tab=default_tab&amp;search_scope=EVERYTHING&amp;vid=01CRU&amp;lang=en_US&amp;offset=0&amp;query=any,contains,991004634779702656","Catalog Record")</f>
        <v/>
      </c>
      <c r="AV171">
        <f>HYPERLINK("http://www.worldcat.org/oclc/4400510","WorldCat Record")</f>
        <v/>
      </c>
      <c r="AW171" t="inlineStr">
        <is>
          <t>4915443322:eng</t>
        </is>
      </c>
      <c r="AX171" t="inlineStr">
        <is>
          <t>4400510</t>
        </is>
      </c>
      <c r="AY171" t="inlineStr">
        <is>
          <t>991004634779702656</t>
        </is>
      </c>
      <c r="AZ171" t="inlineStr">
        <is>
          <t>991004634779702656</t>
        </is>
      </c>
      <c r="BA171" t="inlineStr">
        <is>
          <t>2270924390002656</t>
        </is>
      </c>
      <c r="BB171" t="inlineStr">
        <is>
          <t>BOOK</t>
        </is>
      </c>
      <c r="BD171" t="inlineStr">
        <is>
          <t>9780848620394</t>
        </is>
      </c>
      <c r="BE171" t="inlineStr">
        <is>
          <t>32285000761642</t>
        </is>
      </c>
      <c r="BF171" t="inlineStr">
        <is>
          <t>893869930</t>
        </is>
      </c>
    </row>
    <row r="172">
      <c r="A172" t="inlineStr">
        <is>
          <t>No</t>
        </is>
      </c>
      <c r="B172" t="inlineStr">
        <is>
          <t>CURAL</t>
        </is>
      </c>
      <c r="C172" t="inlineStr">
        <is>
          <t>SHELVES</t>
        </is>
      </c>
      <c r="D172" t="inlineStr">
        <is>
          <t>PR1272 .M32 1979</t>
        </is>
      </c>
      <c r="E172" t="inlineStr">
        <is>
          <t>0                      PR 1272000M  32          1979</t>
        </is>
      </c>
      <c r="F172" t="inlineStr">
        <is>
          <t>One-act plays of to-day : second series / selected by J. W. Marriott.</t>
        </is>
      </c>
      <c r="H172" t="inlineStr">
        <is>
          <t>No</t>
        </is>
      </c>
      <c r="I172" t="inlineStr">
        <is>
          <t>1</t>
        </is>
      </c>
      <c r="J172" t="inlineStr">
        <is>
          <t>No</t>
        </is>
      </c>
      <c r="K172" t="inlineStr">
        <is>
          <t>No</t>
        </is>
      </c>
      <c r="L172" t="inlineStr">
        <is>
          <t>0</t>
        </is>
      </c>
      <c r="M172" t="inlineStr">
        <is>
          <t>Marriott, J. W. (James William), 1884-1953, compiler.</t>
        </is>
      </c>
      <c r="N172" t="inlineStr">
        <is>
          <t>Great Neck, N.Y. : Core Collection Books, 1979.</t>
        </is>
      </c>
      <c r="O172" t="inlineStr">
        <is>
          <t>1979</t>
        </is>
      </c>
      <c r="Q172" t="inlineStr">
        <is>
          <t>eng</t>
        </is>
      </c>
      <c r="R172" t="inlineStr">
        <is>
          <t>nyu</t>
        </is>
      </c>
      <c r="S172" t="inlineStr">
        <is>
          <t>One-act plays in reprint</t>
        </is>
      </c>
      <c r="T172" t="inlineStr">
        <is>
          <t xml:space="preserve">PR </t>
        </is>
      </c>
      <c r="U172" t="n">
        <v>3</v>
      </c>
      <c r="V172" t="n">
        <v>3</v>
      </c>
      <c r="W172" t="inlineStr">
        <is>
          <t>2000-12-12</t>
        </is>
      </c>
      <c r="X172" t="inlineStr">
        <is>
          <t>2000-12-12</t>
        </is>
      </c>
      <c r="Y172" t="inlineStr">
        <is>
          <t>1991-09-23</t>
        </is>
      </c>
      <c r="Z172" t="inlineStr">
        <is>
          <t>1991-09-23</t>
        </is>
      </c>
      <c r="AA172" t="n">
        <v>27</v>
      </c>
      <c r="AB172" t="n">
        <v>25</v>
      </c>
      <c r="AC172" t="n">
        <v>188</v>
      </c>
      <c r="AD172" t="n">
        <v>2</v>
      </c>
      <c r="AE172" t="n">
        <v>5</v>
      </c>
      <c r="AF172" t="n">
        <v>1</v>
      </c>
      <c r="AG172" t="n">
        <v>8</v>
      </c>
      <c r="AH172" t="n">
        <v>0</v>
      </c>
      <c r="AI172" t="n">
        <v>0</v>
      </c>
      <c r="AJ172" t="n">
        <v>0</v>
      </c>
      <c r="AK172" t="n">
        <v>0</v>
      </c>
      <c r="AL172" t="n">
        <v>0</v>
      </c>
      <c r="AM172" t="n">
        <v>4</v>
      </c>
      <c r="AN172" t="n">
        <v>1</v>
      </c>
      <c r="AO172" t="n">
        <v>4</v>
      </c>
      <c r="AP172" t="n">
        <v>0</v>
      </c>
      <c r="AQ172" t="n">
        <v>0</v>
      </c>
      <c r="AR172" t="inlineStr">
        <is>
          <t>No</t>
        </is>
      </c>
      <c r="AS172" t="inlineStr">
        <is>
          <t>Yes</t>
        </is>
      </c>
      <c r="AT172">
        <f>HYPERLINK("http://catalog.hathitrust.org/Record/007584779","HathiTrust Record")</f>
        <v/>
      </c>
      <c r="AU172">
        <f>HYPERLINK("https://creighton-primo.hosted.exlibrisgroup.com/primo-explore/search?tab=default_tab&amp;search_scope=EVERYTHING&amp;vid=01CRU&amp;lang=en_US&amp;offset=0&amp;query=any,contains,991004983879702656","Catalog Record")</f>
        <v/>
      </c>
      <c r="AV172">
        <f>HYPERLINK("http://www.worldcat.org/oclc/6446526","WorldCat Record")</f>
        <v/>
      </c>
      <c r="AW172" t="inlineStr">
        <is>
          <t>10628445287:eng</t>
        </is>
      </c>
      <c r="AX172" t="inlineStr">
        <is>
          <t>6446526</t>
        </is>
      </c>
      <c r="AY172" t="inlineStr">
        <is>
          <t>991004983879702656</t>
        </is>
      </c>
      <c r="AZ172" t="inlineStr">
        <is>
          <t>991004983879702656</t>
        </is>
      </c>
      <c r="BA172" t="inlineStr">
        <is>
          <t>2256049500002656</t>
        </is>
      </c>
      <c r="BB172" t="inlineStr">
        <is>
          <t>BOOK</t>
        </is>
      </c>
      <c r="BD172" t="inlineStr">
        <is>
          <t>9780848620516</t>
        </is>
      </c>
      <c r="BE172" t="inlineStr">
        <is>
          <t>32285000761659</t>
        </is>
      </c>
      <c r="BF172" t="inlineStr">
        <is>
          <t>893713276</t>
        </is>
      </c>
    </row>
    <row r="173">
      <c r="A173" t="inlineStr">
        <is>
          <t>No</t>
        </is>
      </c>
      <c r="B173" t="inlineStr">
        <is>
          <t>CURAL</t>
        </is>
      </c>
      <c r="C173" t="inlineStr">
        <is>
          <t>SHELVES</t>
        </is>
      </c>
      <c r="D173" t="inlineStr">
        <is>
          <t>PR1272 .P44</t>
        </is>
      </c>
      <c r="E173" t="inlineStr">
        <is>
          <t>0                      PR 1272000P  44</t>
        </is>
      </c>
      <c r="F173" t="inlineStr">
        <is>
          <t>Best plays of the seventies / edited with an introductory note and prefaces to the plays by Stanley Richards.</t>
        </is>
      </c>
      <c r="H173" t="inlineStr">
        <is>
          <t>No</t>
        </is>
      </c>
      <c r="I173" t="inlineStr">
        <is>
          <t>1</t>
        </is>
      </c>
      <c r="J173" t="inlineStr">
        <is>
          <t>No</t>
        </is>
      </c>
      <c r="K173" t="inlineStr">
        <is>
          <t>No</t>
        </is>
      </c>
      <c r="L173" t="inlineStr">
        <is>
          <t>0</t>
        </is>
      </c>
      <c r="N173" t="inlineStr">
        <is>
          <t>Garden City, N.Y. : Doubleday, 1980.</t>
        </is>
      </c>
      <c r="O173" t="inlineStr">
        <is>
          <t>1980</t>
        </is>
      </c>
      <c r="P173" t="inlineStr">
        <is>
          <t>1st ed.</t>
        </is>
      </c>
      <c r="Q173" t="inlineStr">
        <is>
          <t>eng</t>
        </is>
      </c>
      <c r="R173" t="inlineStr">
        <is>
          <t>nyu</t>
        </is>
      </c>
      <c r="T173" t="inlineStr">
        <is>
          <t xml:space="preserve">PR </t>
        </is>
      </c>
      <c r="U173" t="n">
        <v>6</v>
      </c>
      <c r="V173" t="n">
        <v>6</v>
      </c>
      <c r="W173" t="inlineStr">
        <is>
          <t>2008-09-17</t>
        </is>
      </c>
      <c r="X173" t="inlineStr">
        <is>
          <t>2008-09-17</t>
        </is>
      </c>
      <c r="Y173" t="inlineStr">
        <is>
          <t>1991-09-23</t>
        </is>
      </c>
      <c r="Z173" t="inlineStr">
        <is>
          <t>1991-09-23</t>
        </is>
      </c>
      <c r="AA173" t="n">
        <v>917</v>
      </c>
      <c r="AB173" t="n">
        <v>872</v>
      </c>
      <c r="AC173" t="n">
        <v>879</v>
      </c>
      <c r="AD173" t="n">
        <v>5</v>
      </c>
      <c r="AE173" t="n">
        <v>5</v>
      </c>
      <c r="AF173" t="n">
        <v>21</v>
      </c>
      <c r="AG173" t="n">
        <v>21</v>
      </c>
      <c r="AH173" t="n">
        <v>11</v>
      </c>
      <c r="AI173" t="n">
        <v>11</v>
      </c>
      <c r="AJ173" t="n">
        <v>2</v>
      </c>
      <c r="AK173" t="n">
        <v>2</v>
      </c>
      <c r="AL173" t="n">
        <v>10</v>
      </c>
      <c r="AM173" t="n">
        <v>10</v>
      </c>
      <c r="AN173" t="n">
        <v>3</v>
      </c>
      <c r="AO173" t="n">
        <v>3</v>
      </c>
      <c r="AP173" t="n">
        <v>0</v>
      </c>
      <c r="AQ173" t="n">
        <v>0</v>
      </c>
      <c r="AR173" t="inlineStr">
        <is>
          <t>No</t>
        </is>
      </c>
      <c r="AS173" t="inlineStr">
        <is>
          <t>Yes</t>
        </is>
      </c>
      <c r="AT173">
        <f>HYPERLINK("http://catalog.hathitrust.org/Record/000742787","HathiTrust Record")</f>
        <v/>
      </c>
      <c r="AU173">
        <f>HYPERLINK("https://creighton-primo.hosted.exlibrisgroup.com/primo-explore/search?tab=default_tab&amp;search_scope=EVERYTHING&amp;vid=01CRU&amp;lang=en_US&amp;offset=0&amp;query=any,contains,991004982289702656","Catalog Record")</f>
        <v/>
      </c>
      <c r="AV173">
        <f>HYPERLINK("http://www.worldcat.org/oclc/6424318","WorldCat Record")</f>
        <v/>
      </c>
      <c r="AW173" t="inlineStr">
        <is>
          <t>455253:eng</t>
        </is>
      </c>
      <c r="AX173" t="inlineStr">
        <is>
          <t>6424318</t>
        </is>
      </c>
      <c r="AY173" t="inlineStr">
        <is>
          <t>991004982289702656</t>
        </is>
      </c>
      <c r="AZ173" t="inlineStr">
        <is>
          <t>991004982289702656</t>
        </is>
      </c>
      <c r="BA173" t="inlineStr">
        <is>
          <t>2271905650002656</t>
        </is>
      </c>
      <c r="BB173" t="inlineStr">
        <is>
          <t>BOOK</t>
        </is>
      </c>
      <c r="BD173" t="inlineStr">
        <is>
          <t>9780385147392</t>
        </is>
      </c>
      <c r="BE173" t="inlineStr">
        <is>
          <t>32285000761667</t>
        </is>
      </c>
      <c r="BF173" t="inlineStr">
        <is>
          <t>893230073</t>
        </is>
      </c>
    </row>
    <row r="174">
      <c r="A174" t="inlineStr">
        <is>
          <t>No</t>
        </is>
      </c>
      <c r="B174" t="inlineStr">
        <is>
          <t>CURAL</t>
        </is>
      </c>
      <c r="C174" t="inlineStr">
        <is>
          <t>SHELVES</t>
        </is>
      </c>
      <c r="D174" t="inlineStr">
        <is>
          <t>PR1272 .P624 1992</t>
        </is>
      </c>
      <c r="E174" t="inlineStr">
        <is>
          <t>0                      PR 1272000P  624         1992</t>
        </is>
      </c>
      <c r="F174" t="inlineStr">
        <is>
          <t>Plays from the contemporary British theater / edited and with an introduction by Brooks McNamara.</t>
        </is>
      </c>
      <c r="H174" t="inlineStr">
        <is>
          <t>No</t>
        </is>
      </c>
      <c r="I174" t="inlineStr">
        <is>
          <t>1</t>
        </is>
      </c>
      <c r="J174" t="inlineStr">
        <is>
          <t>No</t>
        </is>
      </c>
      <c r="K174" t="inlineStr">
        <is>
          <t>No</t>
        </is>
      </c>
      <c r="L174" t="inlineStr">
        <is>
          <t>0</t>
        </is>
      </c>
      <c r="N174" t="inlineStr">
        <is>
          <t>New York, NY : Mentor Book, c1992.</t>
        </is>
      </c>
      <c r="O174" t="inlineStr">
        <is>
          <t>1992</t>
        </is>
      </c>
      <c r="Q174" t="inlineStr">
        <is>
          <t>eng</t>
        </is>
      </c>
      <c r="R174" t="inlineStr">
        <is>
          <t>nyu</t>
        </is>
      </c>
      <c r="T174" t="inlineStr">
        <is>
          <t xml:space="preserve">PR </t>
        </is>
      </c>
      <c r="U174" t="n">
        <v>7</v>
      </c>
      <c r="V174" t="n">
        <v>7</v>
      </c>
      <c r="W174" t="inlineStr">
        <is>
          <t>2009-05-26</t>
        </is>
      </c>
      <c r="X174" t="inlineStr">
        <is>
          <t>2009-05-26</t>
        </is>
      </c>
      <c r="Y174" t="inlineStr">
        <is>
          <t>1994-10-06</t>
        </is>
      </c>
      <c r="Z174" t="inlineStr">
        <is>
          <t>1994-10-06</t>
        </is>
      </c>
      <c r="AA174" t="n">
        <v>370</v>
      </c>
      <c r="AB174" t="n">
        <v>355</v>
      </c>
      <c r="AC174" t="n">
        <v>364</v>
      </c>
      <c r="AD174" t="n">
        <v>3</v>
      </c>
      <c r="AE174" t="n">
        <v>3</v>
      </c>
      <c r="AF174" t="n">
        <v>22</v>
      </c>
      <c r="AG174" t="n">
        <v>22</v>
      </c>
      <c r="AH174" t="n">
        <v>14</v>
      </c>
      <c r="AI174" t="n">
        <v>14</v>
      </c>
      <c r="AJ174" t="n">
        <v>3</v>
      </c>
      <c r="AK174" t="n">
        <v>3</v>
      </c>
      <c r="AL174" t="n">
        <v>10</v>
      </c>
      <c r="AM174" t="n">
        <v>10</v>
      </c>
      <c r="AN174" t="n">
        <v>2</v>
      </c>
      <c r="AO174" t="n">
        <v>2</v>
      </c>
      <c r="AP174" t="n">
        <v>0</v>
      </c>
      <c r="AQ174" t="n">
        <v>0</v>
      </c>
      <c r="AR174" t="inlineStr">
        <is>
          <t>No</t>
        </is>
      </c>
      <c r="AS174" t="inlineStr">
        <is>
          <t>Yes</t>
        </is>
      </c>
      <c r="AT174">
        <f>HYPERLINK("http://catalog.hathitrust.org/Record/004531205","HathiTrust Record")</f>
        <v/>
      </c>
      <c r="AU174">
        <f>HYPERLINK("https://creighton-primo.hosted.exlibrisgroup.com/primo-explore/search?tab=default_tab&amp;search_scope=EVERYTHING&amp;vid=01CRU&amp;lang=en_US&amp;offset=0&amp;query=any,contains,991002097569702656","Catalog Record")</f>
        <v/>
      </c>
      <c r="AV174">
        <f>HYPERLINK("http://www.worldcat.org/oclc/26909754","WorldCat Record")</f>
        <v/>
      </c>
      <c r="AW174" t="inlineStr">
        <is>
          <t>29315521:eng</t>
        </is>
      </c>
      <c r="AX174" t="inlineStr">
        <is>
          <t>26909754</t>
        </is>
      </c>
      <c r="AY174" t="inlineStr">
        <is>
          <t>991002097569702656</t>
        </is>
      </c>
      <c r="AZ174" t="inlineStr">
        <is>
          <t>991002097569702656</t>
        </is>
      </c>
      <c r="BA174" t="inlineStr">
        <is>
          <t>2268553360002656</t>
        </is>
      </c>
      <c r="BB174" t="inlineStr">
        <is>
          <t>BOOK</t>
        </is>
      </c>
      <c r="BD174" t="inlineStr">
        <is>
          <t>9780451628510</t>
        </is>
      </c>
      <c r="BE174" t="inlineStr">
        <is>
          <t>32285001949154</t>
        </is>
      </c>
      <c r="BF174" t="inlineStr">
        <is>
          <t>893316380</t>
        </is>
      </c>
    </row>
    <row r="175">
      <c r="A175" t="inlineStr">
        <is>
          <t>No</t>
        </is>
      </c>
      <c r="B175" t="inlineStr">
        <is>
          <t>CURAL</t>
        </is>
      </c>
      <c r="C175" t="inlineStr">
        <is>
          <t>SHELVES</t>
        </is>
      </c>
      <c r="D175" t="inlineStr">
        <is>
          <t>PR1272 .T74</t>
        </is>
      </c>
      <c r="E175" t="inlineStr">
        <is>
          <t>0                      PR 1272000T  74</t>
        </is>
      </c>
      <c r="F175" t="inlineStr">
        <is>
          <t>Modern American and British plays, by S. Marion Tucker ...</t>
        </is>
      </c>
      <c r="H175" t="inlineStr">
        <is>
          <t>No</t>
        </is>
      </c>
      <c r="I175" t="inlineStr">
        <is>
          <t>1</t>
        </is>
      </c>
      <c r="J175" t="inlineStr">
        <is>
          <t>No</t>
        </is>
      </c>
      <c r="K175" t="inlineStr">
        <is>
          <t>No</t>
        </is>
      </c>
      <c r="L175" t="inlineStr">
        <is>
          <t>0</t>
        </is>
      </c>
      <c r="M175" t="inlineStr">
        <is>
          <t>Tucker, S. Marion (Samuel Marion), 1876-1962, editor.</t>
        </is>
      </c>
      <c r="N175" t="inlineStr">
        <is>
          <t>New York, London, Harper &amp; Brothers [c1931]</t>
        </is>
      </c>
      <c r="O175" t="inlineStr">
        <is>
          <t>1931</t>
        </is>
      </c>
      <c r="Q175" t="inlineStr">
        <is>
          <t>eng</t>
        </is>
      </c>
      <c r="R175" t="inlineStr">
        <is>
          <t>nyu</t>
        </is>
      </c>
      <c r="S175" t="inlineStr">
        <is>
          <t>Plays and playwrights series</t>
        </is>
      </c>
      <c r="T175" t="inlineStr">
        <is>
          <t xml:space="preserve">PR </t>
        </is>
      </c>
      <c r="U175" t="n">
        <v>2</v>
      </c>
      <c r="V175" t="n">
        <v>2</v>
      </c>
      <c r="W175" t="inlineStr">
        <is>
          <t>2000-03-16</t>
        </is>
      </c>
      <c r="X175" t="inlineStr">
        <is>
          <t>2000-03-16</t>
        </is>
      </c>
      <c r="Y175" t="inlineStr">
        <is>
          <t>1997-07-28</t>
        </is>
      </c>
      <c r="Z175" t="inlineStr">
        <is>
          <t>1997-07-28</t>
        </is>
      </c>
      <c r="AA175" t="n">
        <v>425</v>
      </c>
      <c r="AB175" t="n">
        <v>409</v>
      </c>
      <c r="AC175" t="n">
        <v>410</v>
      </c>
      <c r="AD175" t="n">
        <v>5</v>
      </c>
      <c r="AE175" t="n">
        <v>5</v>
      </c>
      <c r="AF175" t="n">
        <v>15</v>
      </c>
      <c r="AG175" t="n">
        <v>15</v>
      </c>
      <c r="AH175" t="n">
        <v>5</v>
      </c>
      <c r="AI175" t="n">
        <v>5</v>
      </c>
      <c r="AJ175" t="n">
        <v>2</v>
      </c>
      <c r="AK175" t="n">
        <v>2</v>
      </c>
      <c r="AL175" t="n">
        <v>5</v>
      </c>
      <c r="AM175" t="n">
        <v>5</v>
      </c>
      <c r="AN175" t="n">
        <v>4</v>
      </c>
      <c r="AO175" t="n">
        <v>4</v>
      </c>
      <c r="AP175" t="n">
        <v>0</v>
      </c>
      <c r="AQ175" t="n">
        <v>0</v>
      </c>
      <c r="AR175" t="inlineStr">
        <is>
          <t>No</t>
        </is>
      </c>
      <c r="AS175" t="inlineStr">
        <is>
          <t>Yes</t>
        </is>
      </c>
      <c r="AT175">
        <f>HYPERLINK("http://catalog.hathitrust.org/Record/000120348","HathiTrust Record")</f>
        <v/>
      </c>
      <c r="AU175">
        <f>HYPERLINK("https://creighton-primo.hosted.exlibrisgroup.com/primo-explore/search?tab=default_tab&amp;search_scope=EVERYTHING&amp;vid=01CRU&amp;lang=en_US&amp;offset=0&amp;query=any,contains,991003736629702656","Catalog Record")</f>
        <v/>
      </c>
      <c r="AV175">
        <f>HYPERLINK("http://www.worldcat.org/oclc/1393772","WorldCat Record")</f>
        <v/>
      </c>
      <c r="AW175" t="inlineStr">
        <is>
          <t>481031943:eng</t>
        </is>
      </c>
      <c r="AX175" t="inlineStr">
        <is>
          <t>1393772</t>
        </is>
      </c>
      <c r="AY175" t="inlineStr">
        <is>
          <t>991003736629702656</t>
        </is>
      </c>
      <c r="AZ175" t="inlineStr">
        <is>
          <t>991003736629702656</t>
        </is>
      </c>
      <c r="BA175" t="inlineStr">
        <is>
          <t>2261000340002656</t>
        </is>
      </c>
      <c r="BB175" t="inlineStr">
        <is>
          <t>BOOK</t>
        </is>
      </c>
      <c r="BE175" t="inlineStr">
        <is>
          <t>32285002985975</t>
        </is>
      </c>
      <c r="BF175" t="inlineStr">
        <is>
          <t>893258786</t>
        </is>
      </c>
    </row>
    <row r="176">
      <c r="A176" t="inlineStr">
        <is>
          <t>No</t>
        </is>
      </c>
      <c r="B176" t="inlineStr">
        <is>
          <t>CURAL</t>
        </is>
      </c>
      <c r="C176" t="inlineStr">
        <is>
          <t>SHELVES</t>
        </is>
      </c>
      <c r="D176" t="inlineStr">
        <is>
          <t>PR1272 .W4</t>
        </is>
      </c>
      <c r="E176" t="inlineStr">
        <is>
          <t>0                      PR 1272000W  4</t>
        </is>
      </c>
      <c r="F176" t="inlineStr">
        <is>
          <t>Edwardian plays.</t>
        </is>
      </c>
      <c r="H176" t="inlineStr">
        <is>
          <t>No</t>
        </is>
      </c>
      <c r="I176" t="inlineStr">
        <is>
          <t>1</t>
        </is>
      </c>
      <c r="J176" t="inlineStr">
        <is>
          <t>No</t>
        </is>
      </c>
      <c r="K176" t="inlineStr">
        <is>
          <t>No</t>
        </is>
      </c>
      <c r="L176" t="inlineStr">
        <is>
          <t>0</t>
        </is>
      </c>
      <c r="M176" t="inlineStr">
        <is>
          <t>Weales, Gerald Clifford, 1925- editor.</t>
        </is>
      </c>
      <c r="N176" t="inlineStr">
        <is>
          <t>New York, Hill and Wang [1962]</t>
        </is>
      </c>
      <c r="O176" t="inlineStr">
        <is>
          <t>1962</t>
        </is>
      </c>
      <c r="Q176" t="inlineStr">
        <is>
          <t>eng</t>
        </is>
      </c>
      <c r="R176" t="inlineStr">
        <is>
          <t>nyu</t>
        </is>
      </c>
      <c r="S176" t="inlineStr">
        <is>
          <t>A Mermaid dramabook, MD25</t>
        </is>
      </c>
      <c r="T176" t="inlineStr">
        <is>
          <t xml:space="preserve">PR </t>
        </is>
      </c>
      <c r="U176" t="n">
        <v>2</v>
      </c>
      <c r="V176" t="n">
        <v>2</v>
      </c>
      <c r="W176" t="inlineStr">
        <is>
          <t>2007-06-09</t>
        </is>
      </c>
      <c r="X176" t="inlineStr">
        <is>
          <t>2007-06-09</t>
        </is>
      </c>
      <c r="Y176" t="inlineStr">
        <is>
          <t>1997-07-28</t>
        </is>
      </c>
      <c r="Z176" t="inlineStr">
        <is>
          <t>1997-07-28</t>
        </is>
      </c>
      <c r="AA176" t="n">
        <v>570</v>
      </c>
      <c r="AB176" t="n">
        <v>511</v>
      </c>
      <c r="AC176" t="n">
        <v>518</v>
      </c>
      <c r="AD176" t="n">
        <v>2</v>
      </c>
      <c r="AE176" t="n">
        <v>2</v>
      </c>
      <c r="AF176" t="n">
        <v>21</v>
      </c>
      <c r="AG176" t="n">
        <v>21</v>
      </c>
      <c r="AH176" t="n">
        <v>7</v>
      </c>
      <c r="AI176" t="n">
        <v>7</v>
      </c>
      <c r="AJ176" t="n">
        <v>5</v>
      </c>
      <c r="AK176" t="n">
        <v>5</v>
      </c>
      <c r="AL176" t="n">
        <v>13</v>
      </c>
      <c r="AM176" t="n">
        <v>13</v>
      </c>
      <c r="AN176" t="n">
        <v>1</v>
      </c>
      <c r="AO176" t="n">
        <v>1</v>
      </c>
      <c r="AP176" t="n">
        <v>0</v>
      </c>
      <c r="AQ176" t="n">
        <v>0</v>
      </c>
      <c r="AR176" t="inlineStr">
        <is>
          <t>No</t>
        </is>
      </c>
      <c r="AS176" t="inlineStr">
        <is>
          <t>No</t>
        </is>
      </c>
      <c r="AT176">
        <f>HYPERLINK("http://catalog.hathitrust.org/Record/001017136","HathiTrust Record")</f>
        <v/>
      </c>
      <c r="AU176">
        <f>HYPERLINK("https://creighton-primo.hosted.exlibrisgroup.com/primo-explore/search?tab=default_tab&amp;search_scope=EVERYTHING&amp;vid=01CRU&amp;lang=en_US&amp;offset=0&amp;query=any,contains,991003405589702656","Catalog Record")</f>
        <v/>
      </c>
      <c r="AV176">
        <f>HYPERLINK("http://www.worldcat.org/oclc/945408","WorldCat Record")</f>
        <v/>
      </c>
      <c r="AW176" t="inlineStr">
        <is>
          <t>1906055:eng</t>
        </is>
      </c>
      <c r="AX176" t="inlineStr">
        <is>
          <t>945408</t>
        </is>
      </c>
      <c r="AY176" t="inlineStr">
        <is>
          <t>991003405589702656</t>
        </is>
      </c>
      <c r="AZ176" t="inlineStr">
        <is>
          <t>991003405589702656</t>
        </is>
      </c>
      <c r="BA176" t="inlineStr">
        <is>
          <t>2267985230002656</t>
        </is>
      </c>
      <c r="BB176" t="inlineStr">
        <is>
          <t>BOOK</t>
        </is>
      </c>
      <c r="BE176" t="inlineStr">
        <is>
          <t>32285002986007</t>
        </is>
      </c>
      <c r="BF176" t="inlineStr">
        <is>
          <t>893787293</t>
        </is>
      </c>
    </row>
    <row r="177">
      <c r="A177" t="inlineStr">
        <is>
          <t>No</t>
        </is>
      </c>
      <c r="B177" t="inlineStr">
        <is>
          <t>CURAL</t>
        </is>
      </c>
      <c r="C177" t="inlineStr">
        <is>
          <t>SHELVES</t>
        </is>
      </c>
      <c r="D177" t="inlineStr">
        <is>
          <t>PR1286.W6 L54 2000</t>
        </is>
      </c>
      <c r="E177" t="inlineStr">
        <is>
          <t>0                      PR 1286000W  6                  L  54          2000</t>
        </is>
      </c>
      <c r="F177" t="inlineStr">
        <is>
          <t>Life-writings by British women, 1660-1815 : an anthology / edited by Carolyn A. Barros and Johanna M. Smith.</t>
        </is>
      </c>
      <c r="H177" t="inlineStr">
        <is>
          <t>No</t>
        </is>
      </c>
      <c r="I177" t="inlineStr">
        <is>
          <t>1</t>
        </is>
      </c>
      <c r="J177" t="inlineStr">
        <is>
          <t>No</t>
        </is>
      </c>
      <c r="K177" t="inlineStr">
        <is>
          <t>No</t>
        </is>
      </c>
      <c r="L177" t="inlineStr">
        <is>
          <t>0</t>
        </is>
      </c>
      <c r="N177" t="inlineStr">
        <is>
          <t>Boston : Northeastern University Press, c2000.</t>
        </is>
      </c>
      <c r="O177" t="inlineStr">
        <is>
          <t>2000</t>
        </is>
      </c>
      <c r="Q177" t="inlineStr">
        <is>
          <t>eng</t>
        </is>
      </c>
      <c r="R177" t="inlineStr">
        <is>
          <t>mau</t>
        </is>
      </c>
      <c r="T177" t="inlineStr">
        <is>
          <t xml:space="preserve">PR </t>
        </is>
      </c>
      <c r="U177" t="n">
        <v>2</v>
      </c>
      <c r="V177" t="n">
        <v>2</v>
      </c>
      <c r="W177" t="inlineStr">
        <is>
          <t>2001-05-10</t>
        </is>
      </c>
      <c r="X177" t="inlineStr">
        <is>
          <t>2001-05-10</t>
        </is>
      </c>
      <c r="Y177" t="inlineStr">
        <is>
          <t>2001-05-09</t>
        </is>
      </c>
      <c r="Z177" t="inlineStr">
        <is>
          <t>2001-05-09</t>
        </is>
      </c>
      <c r="AA177" t="n">
        <v>443</v>
      </c>
      <c r="AB177" t="n">
        <v>397</v>
      </c>
      <c r="AC177" t="n">
        <v>402</v>
      </c>
      <c r="AD177" t="n">
        <v>2</v>
      </c>
      <c r="AE177" t="n">
        <v>2</v>
      </c>
      <c r="AF177" t="n">
        <v>18</v>
      </c>
      <c r="AG177" t="n">
        <v>18</v>
      </c>
      <c r="AH177" t="n">
        <v>7</v>
      </c>
      <c r="AI177" t="n">
        <v>7</v>
      </c>
      <c r="AJ177" t="n">
        <v>5</v>
      </c>
      <c r="AK177" t="n">
        <v>5</v>
      </c>
      <c r="AL177" t="n">
        <v>11</v>
      </c>
      <c r="AM177" t="n">
        <v>11</v>
      </c>
      <c r="AN177" t="n">
        <v>1</v>
      </c>
      <c r="AO177" t="n">
        <v>1</v>
      </c>
      <c r="AP177" t="n">
        <v>0</v>
      </c>
      <c r="AQ177" t="n">
        <v>0</v>
      </c>
      <c r="AR177" t="inlineStr">
        <is>
          <t>No</t>
        </is>
      </c>
      <c r="AS177" t="inlineStr">
        <is>
          <t>No</t>
        </is>
      </c>
      <c r="AU177">
        <f>HYPERLINK("https://creighton-primo.hosted.exlibrisgroup.com/primo-explore/search?tab=default_tab&amp;search_scope=EVERYTHING&amp;vid=01CRU&amp;lang=en_US&amp;offset=0&amp;query=any,contains,991003504769702656","Catalog Record")</f>
        <v/>
      </c>
      <c r="AV177">
        <f>HYPERLINK("http://www.worldcat.org/oclc/43185916","WorldCat Record")</f>
        <v/>
      </c>
      <c r="AW177" t="inlineStr">
        <is>
          <t>477788420:eng</t>
        </is>
      </c>
      <c r="AX177" t="inlineStr">
        <is>
          <t>43185916</t>
        </is>
      </c>
      <c r="AY177" t="inlineStr">
        <is>
          <t>991003504769702656</t>
        </is>
      </c>
      <c r="AZ177" t="inlineStr">
        <is>
          <t>991003504769702656</t>
        </is>
      </c>
      <c r="BA177" t="inlineStr">
        <is>
          <t>2271202110002656</t>
        </is>
      </c>
      <c r="BB177" t="inlineStr">
        <is>
          <t>BOOK</t>
        </is>
      </c>
      <c r="BD177" t="inlineStr">
        <is>
          <t>9781555534318</t>
        </is>
      </c>
      <c r="BE177" t="inlineStr">
        <is>
          <t>32285004316682</t>
        </is>
      </c>
      <c r="BF177" t="inlineStr">
        <is>
          <t>893686600</t>
        </is>
      </c>
    </row>
    <row r="178">
      <c r="A178" t="inlineStr">
        <is>
          <t>No</t>
        </is>
      </c>
      <c r="B178" t="inlineStr">
        <is>
          <t>CURAL</t>
        </is>
      </c>
      <c r="C178" t="inlineStr">
        <is>
          <t>SHELVES</t>
        </is>
      </c>
      <c r="D178" t="inlineStr">
        <is>
          <t>PR1286.W6 P76 1996</t>
        </is>
      </c>
      <c r="E178" t="inlineStr">
        <is>
          <t>0                      PR 1286000W  6                  P  76          1996</t>
        </is>
      </c>
      <c r="F178" t="inlineStr">
        <is>
          <t>Prose by Victorian women : an anthology / edited by Andrea Broomfield and Sally Mitchell.</t>
        </is>
      </c>
      <c r="H178" t="inlineStr">
        <is>
          <t>No</t>
        </is>
      </c>
      <c r="I178" t="inlineStr">
        <is>
          <t>1</t>
        </is>
      </c>
      <c r="J178" t="inlineStr">
        <is>
          <t>No</t>
        </is>
      </c>
      <c r="K178" t="inlineStr">
        <is>
          <t>No</t>
        </is>
      </c>
      <c r="L178" t="inlineStr">
        <is>
          <t>0</t>
        </is>
      </c>
      <c r="N178" t="inlineStr">
        <is>
          <t>New York : Garland Pub., 1996.</t>
        </is>
      </c>
      <c r="O178" t="inlineStr">
        <is>
          <t>1996</t>
        </is>
      </c>
      <c r="Q178" t="inlineStr">
        <is>
          <t>eng</t>
        </is>
      </c>
      <c r="R178" t="inlineStr">
        <is>
          <t>nyu</t>
        </is>
      </c>
      <c r="S178" t="inlineStr">
        <is>
          <t>Garland reference library of the humanities ; v. 1893</t>
        </is>
      </c>
      <c r="T178" t="inlineStr">
        <is>
          <t xml:space="preserve">PR </t>
        </is>
      </c>
      <c r="U178" t="n">
        <v>3</v>
      </c>
      <c r="V178" t="n">
        <v>3</v>
      </c>
      <c r="W178" t="inlineStr">
        <is>
          <t>2004-11-13</t>
        </is>
      </c>
      <c r="X178" t="inlineStr">
        <is>
          <t>2004-11-13</t>
        </is>
      </c>
      <c r="Y178" t="inlineStr">
        <is>
          <t>1997-03-11</t>
        </is>
      </c>
      <c r="Z178" t="inlineStr">
        <is>
          <t>1997-03-11</t>
        </is>
      </c>
      <c r="AA178" t="n">
        <v>605</v>
      </c>
      <c r="AB178" t="n">
        <v>534</v>
      </c>
      <c r="AC178" t="n">
        <v>561</v>
      </c>
      <c r="AD178" t="n">
        <v>6</v>
      </c>
      <c r="AE178" t="n">
        <v>6</v>
      </c>
      <c r="AF178" t="n">
        <v>29</v>
      </c>
      <c r="AG178" t="n">
        <v>30</v>
      </c>
      <c r="AH178" t="n">
        <v>8</v>
      </c>
      <c r="AI178" t="n">
        <v>9</v>
      </c>
      <c r="AJ178" t="n">
        <v>9</v>
      </c>
      <c r="AK178" t="n">
        <v>9</v>
      </c>
      <c r="AL178" t="n">
        <v>13</v>
      </c>
      <c r="AM178" t="n">
        <v>14</v>
      </c>
      <c r="AN178" t="n">
        <v>5</v>
      </c>
      <c r="AO178" t="n">
        <v>5</v>
      </c>
      <c r="AP178" t="n">
        <v>0</v>
      </c>
      <c r="AQ178" t="n">
        <v>0</v>
      </c>
      <c r="AR178" t="inlineStr">
        <is>
          <t>No</t>
        </is>
      </c>
      <c r="AS178" t="inlineStr">
        <is>
          <t>No</t>
        </is>
      </c>
      <c r="AU178">
        <f>HYPERLINK("https://creighton-primo.hosted.exlibrisgroup.com/primo-explore/search?tab=default_tab&amp;search_scope=EVERYTHING&amp;vid=01CRU&amp;lang=en_US&amp;offset=0&amp;query=any,contains,991002519389702656","Catalog Record")</f>
        <v/>
      </c>
      <c r="AV178">
        <f>HYPERLINK("http://www.worldcat.org/oclc/32778575","WorldCat Record")</f>
        <v/>
      </c>
      <c r="AW178" t="inlineStr">
        <is>
          <t>836960830:eng</t>
        </is>
      </c>
      <c r="AX178" t="inlineStr">
        <is>
          <t>32778575</t>
        </is>
      </c>
      <c r="AY178" t="inlineStr">
        <is>
          <t>991002519389702656</t>
        </is>
      </c>
      <c r="AZ178" t="inlineStr">
        <is>
          <t>991002519389702656</t>
        </is>
      </c>
      <c r="BA178" t="inlineStr">
        <is>
          <t>2260204130002656</t>
        </is>
      </c>
      <c r="BB178" t="inlineStr">
        <is>
          <t>BOOK</t>
        </is>
      </c>
      <c r="BD178" t="inlineStr">
        <is>
          <t>9780815319672</t>
        </is>
      </c>
      <c r="BE178" t="inlineStr">
        <is>
          <t>32285002441359</t>
        </is>
      </c>
      <c r="BF178" t="inlineStr">
        <is>
          <t>893867325</t>
        </is>
      </c>
    </row>
    <row r="179">
      <c r="A179" t="inlineStr">
        <is>
          <t>No</t>
        </is>
      </c>
      <c r="B179" t="inlineStr">
        <is>
          <t>CURAL</t>
        </is>
      </c>
      <c r="C179" t="inlineStr">
        <is>
          <t>SHELVES</t>
        </is>
      </c>
      <c r="D179" t="inlineStr">
        <is>
          <t>PR129.C37 F47 1993</t>
        </is>
      </c>
      <c r="E179" t="inlineStr">
        <is>
          <t>0                      PR 0129000C  37                 F  47          1993</t>
        </is>
      </c>
      <c r="F179" t="inlineStr">
        <is>
          <t>Colonialism and gender relations from Mary Wollstonecraft to Jamaica Kincaid : East Caribbean connections / Moira Ferguson.</t>
        </is>
      </c>
      <c r="H179" t="inlineStr">
        <is>
          <t>No</t>
        </is>
      </c>
      <c r="I179" t="inlineStr">
        <is>
          <t>1</t>
        </is>
      </c>
      <c r="J179" t="inlineStr">
        <is>
          <t>No</t>
        </is>
      </c>
      <c r="K179" t="inlineStr">
        <is>
          <t>No</t>
        </is>
      </c>
      <c r="L179" t="inlineStr">
        <is>
          <t>0</t>
        </is>
      </c>
      <c r="M179" t="inlineStr">
        <is>
          <t>Ferguson, Moira.</t>
        </is>
      </c>
      <c r="N179" t="inlineStr">
        <is>
          <t>New York : Columbia University Press, c1993.</t>
        </is>
      </c>
      <c r="O179" t="inlineStr">
        <is>
          <t>1993</t>
        </is>
      </c>
      <c r="Q179" t="inlineStr">
        <is>
          <t>eng</t>
        </is>
      </c>
      <c r="R179" t="inlineStr">
        <is>
          <t>nyu</t>
        </is>
      </c>
      <c r="T179" t="inlineStr">
        <is>
          <t xml:space="preserve">PR </t>
        </is>
      </c>
      <c r="U179" t="n">
        <v>4</v>
      </c>
      <c r="V179" t="n">
        <v>4</v>
      </c>
      <c r="W179" t="inlineStr">
        <is>
          <t>2005-12-08</t>
        </is>
      </c>
      <c r="X179" t="inlineStr">
        <is>
          <t>2005-12-08</t>
        </is>
      </c>
      <c r="Y179" t="inlineStr">
        <is>
          <t>1994-01-26</t>
        </is>
      </c>
      <c r="Z179" t="inlineStr">
        <is>
          <t>1994-01-26</t>
        </is>
      </c>
      <c r="AA179" t="n">
        <v>615</v>
      </c>
      <c r="AB179" t="n">
        <v>487</v>
      </c>
      <c r="AC179" t="n">
        <v>491</v>
      </c>
      <c r="AD179" t="n">
        <v>5</v>
      </c>
      <c r="AE179" t="n">
        <v>5</v>
      </c>
      <c r="AF179" t="n">
        <v>33</v>
      </c>
      <c r="AG179" t="n">
        <v>33</v>
      </c>
      <c r="AH179" t="n">
        <v>15</v>
      </c>
      <c r="AI179" t="n">
        <v>15</v>
      </c>
      <c r="AJ179" t="n">
        <v>10</v>
      </c>
      <c r="AK179" t="n">
        <v>10</v>
      </c>
      <c r="AL179" t="n">
        <v>14</v>
      </c>
      <c r="AM179" t="n">
        <v>14</v>
      </c>
      <c r="AN179" t="n">
        <v>3</v>
      </c>
      <c r="AO179" t="n">
        <v>3</v>
      </c>
      <c r="AP179" t="n">
        <v>0</v>
      </c>
      <c r="AQ179" t="n">
        <v>0</v>
      </c>
      <c r="AR179" t="inlineStr">
        <is>
          <t>No</t>
        </is>
      </c>
      <c r="AS179" t="inlineStr">
        <is>
          <t>No</t>
        </is>
      </c>
      <c r="AU179">
        <f>HYPERLINK("https://creighton-primo.hosted.exlibrisgroup.com/primo-explore/search?tab=default_tab&amp;search_scope=EVERYTHING&amp;vid=01CRU&amp;lang=en_US&amp;offset=0&amp;query=any,contains,991002105999702656","Catalog Record")</f>
        <v/>
      </c>
      <c r="AV179">
        <f>HYPERLINK("http://www.worldcat.org/oclc/27013047","WorldCat Record")</f>
        <v/>
      </c>
      <c r="AW179" t="inlineStr">
        <is>
          <t>836877226:eng</t>
        </is>
      </c>
      <c r="AX179" t="inlineStr">
        <is>
          <t>27013047</t>
        </is>
      </c>
      <c r="AY179" t="inlineStr">
        <is>
          <t>991002105999702656</t>
        </is>
      </c>
      <c r="AZ179" t="inlineStr">
        <is>
          <t>991002105999702656</t>
        </is>
      </c>
      <c r="BA179" t="inlineStr">
        <is>
          <t>2256375310002656</t>
        </is>
      </c>
      <c r="BB179" t="inlineStr">
        <is>
          <t>BOOK</t>
        </is>
      </c>
      <c r="BD179" t="inlineStr">
        <is>
          <t>9780231082228</t>
        </is>
      </c>
      <c r="BE179" t="inlineStr">
        <is>
          <t>32285001833929</t>
        </is>
      </c>
      <c r="BF179" t="inlineStr">
        <is>
          <t>893427210</t>
        </is>
      </c>
    </row>
    <row r="180">
      <c r="A180" t="inlineStr">
        <is>
          <t>No</t>
        </is>
      </c>
      <c r="B180" t="inlineStr">
        <is>
          <t>CURAL</t>
        </is>
      </c>
      <c r="C180" t="inlineStr">
        <is>
          <t>SHELVES</t>
        </is>
      </c>
      <c r="D180" t="inlineStr">
        <is>
          <t>PR129.F8 D4 1988</t>
        </is>
      </c>
      <c r="E180" t="inlineStr">
        <is>
          <t>0                      PR 0129000F  8                  D  4           1988</t>
        </is>
      </c>
      <c r="F180" t="inlineStr">
        <is>
          <t>The French Revolution and Enlightenment in England, 1789-1832 / Seamus Deane.</t>
        </is>
      </c>
      <c r="H180" t="inlineStr">
        <is>
          <t>No</t>
        </is>
      </c>
      <c r="I180" t="inlineStr">
        <is>
          <t>1</t>
        </is>
      </c>
      <c r="J180" t="inlineStr">
        <is>
          <t>No</t>
        </is>
      </c>
      <c r="K180" t="inlineStr">
        <is>
          <t>No</t>
        </is>
      </c>
      <c r="L180" t="inlineStr">
        <is>
          <t>0</t>
        </is>
      </c>
      <c r="M180" t="inlineStr">
        <is>
          <t>Deane, Seamus, 1940-</t>
        </is>
      </c>
      <c r="N180" t="inlineStr">
        <is>
          <t>Cambridge, Mass. : Harvard University Press, 1988.</t>
        </is>
      </c>
      <c r="O180" t="inlineStr">
        <is>
          <t>1988</t>
        </is>
      </c>
      <c r="Q180" t="inlineStr">
        <is>
          <t>eng</t>
        </is>
      </c>
      <c r="R180" t="inlineStr">
        <is>
          <t>mau</t>
        </is>
      </c>
      <c r="T180" t="inlineStr">
        <is>
          <t xml:space="preserve">PR </t>
        </is>
      </c>
      <c r="U180" t="n">
        <v>2</v>
      </c>
      <c r="V180" t="n">
        <v>2</v>
      </c>
      <c r="W180" t="inlineStr">
        <is>
          <t>2004-11-29</t>
        </is>
      </c>
      <c r="X180" t="inlineStr">
        <is>
          <t>2004-11-29</t>
        </is>
      </c>
      <c r="Y180" t="inlineStr">
        <is>
          <t>1989-10-20</t>
        </is>
      </c>
      <c r="Z180" t="inlineStr">
        <is>
          <t>1989-10-20</t>
        </is>
      </c>
      <c r="AA180" t="n">
        <v>718</v>
      </c>
      <c r="AB180" t="n">
        <v>557</v>
      </c>
      <c r="AC180" t="n">
        <v>563</v>
      </c>
      <c r="AD180" t="n">
        <v>6</v>
      </c>
      <c r="AE180" t="n">
        <v>6</v>
      </c>
      <c r="AF180" t="n">
        <v>29</v>
      </c>
      <c r="AG180" t="n">
        <v>29</v>
      </c>
      <c r="AH180" t="n">
        <v>10</v>
      </c>
      <c r="AI180" t="n">
        <v>10</v>
      </c>
      <c r="AJ180" t="n">
        <v>8</v>
      </c>
      <c r="AK180" t="n">
        <v>8</v>
      </c>
      <c r="AL180" t="n">
        <v>14</v>
      </c>
      <c r="AM180" t="n">
        <v>14</v>
      </c>
      <c r="AN180" t="n">
        <v>5</v>
      </c>
      <c r="AO180" t="n">
        <v>5</v>
      </c>
      <c r="AP180" t="n">
        <v>0</v>
      </c>
      <c r="AQ180" t="n">
        <v>0</v>
      </c>
      <c r="AR180" t="inlineStr">
        <is>
          <t>No</t>
        </is>
      </c>
      <c r="AS180" t="inlineStr">
        <is>
          <t>Yes</t>
        </is>
      </c>
      <c r="AT180">
        <f>HYPERLINK("http://catalog.hathitrust.org/Record/000951863","HathiTrust Record")</f>
        <v/>
      </c>
      <c r="AU180">
        <f>HYPERLINK("https://creighton-primo.hosted.exlibrisgroup.com/primo-explore/search?tab=default_tab&amp;search_scope=EVERYTHING&amp;vid=01CRU&amp;lang=en_US&amp;offset=0&amp;query=any,contains,991001221859702656","Catalog Record")</f>
        <v/>
      </c>
      <c r="AV180">
        <f>HYPERLINK("http://www.worldcat.org/oclc/17478946","WorldCat Record")</f>
        <v/>
      </c>
      <c r="AW180" t="inlineStr">
        <is>
          <t>2680200:eng</t>
        </is>
      </c>
      <c r="AX180" t="inlineStr">
        <is>
          <t>17478946</t>
        </is>
      </c>
      <c r="AY180" t="inlineStr">
        <is>
          <t>991001221859702656</t>
        </is>
      </c>
      <c r="AZ180" t="inlineStr">
        <is>
          <t>991001221859702656</t>
        </is>
      </c>
      <c r="BA180" t="inlineStr">
        <is>
          <t>2270365100002656</t>
        </is>
      </c>
      <c r="BB180" t="inlineStr">
        <is>
          <t>BOOK</t>
        </is>
      </c>
      <c r="BD180" t="inlineStr">
        <is>
          <t>9780674322400</t>
        </is>
      </c>
      <c r="BE180" t="inlineStr">
        <is>
          <t>32285000003524</t>
        </is>
      </c>
      <c r="BF180" t="inlineStr">
        <is>
          <t>893351816</t>
        </is>
      </c>
    </row>
    <row r="181">
      <c r="A181" t="inlineStr">
        <is>
          <t>No</t>
        </is>
      </c>
      <c r="B181" t="inlineStr">
        <is>
          <t>CURAL</t>
        </is>
      </c>
      <c r="C181" t="inlineStr">
        <is>
          <t>SHELVES</t>
        </is>
      </c>
      <c r="D181" t="inlineStr">
        <is>
          <t>PR129.I7 R47 1993</t>
        </is>
      </c>
      <c r="E181" t="inlineStr">
        <is>
          <t>0                      PR 0129000I  7                  R  47          1993</t>
        </is>
      </c>
      <c r="F181" t="inlineStr">
        <is>
          <t>Representing Ireland : literature and the origins of conflict 1534-1660 / edited by Brendan Bradshaw, Andrew Hadfield, and Willy Maley.</t>
        </is>
      </c>
      <c r="H181" t="inlineStr">
        <is>
          <t>No</t>
        </is>
      </c>
      <c r="I181" t="inlineStr">
        <is>
          <t>1</t>
        </is>
      </c>
      <c r="J181" t="inlineStr">
        <is>
          <t>No</t>
        </is>
      </c>
      <c r="K181" t="inlineStr">
        <is>
          <t>No</t>
        </is>
      </c>
      <c r="L181" t="inlineStr">
        <is>
          <t>0</t>
        </is>
      </c>
      <c r="N181" t="inlineStr">
        <is>
          <t>Cambridge [England] ; New York, NY, USA : Cambridge University Press, 1993.</t>
        </is>
      </c>
      <c r="O181" t="inlineStr">
        <is>
          <t>1993</t>
        </is>
      </c>
      <c r="Q181" t="inlineStr">
        <is>
          <t>eng</t>
        </is>
      </c>
      <c r="R181" t="inlineStr">
        <is>
          <t>enk</t>
        </is>
      </c>
      <c r="T181" t="inlineStr">
        <is>
          <t xml:space="preserve">PR </t>
        </is>
      </c>
      <c r="U181" t="n">
        <v>3</v>
      </c>
      <c r="V181" t="n">
        <v>3</v>
      </c>
      <c r="W181" t="inlineStr">
        <is>
          <t>2005-10-12</t>
        </is>
      </c>
      <c r="X181" t="inlineStr">
        <is>
          <t>2005-10-12</t>
        </is>
      </c>
      <c r="Y181" t="inlineStr">
        <is>
          <t>1994-03-29</t>
        </is>
      </c>
      <c r="Z181" t="inlineStr">
        <is>
          <t>1994-03-29</t>
        </is>
      </c>
      <c r="AA181" t="n">
        <v>341</v>
      </c>
      <c r="AB181" t="n">
        <v>234</v>
      </c>
      <c r="AC181" t="n">
        <v>244</v>
      </c>
      <c r="AD181" t="n">
        <v>3</v>
      </c>
      <c r="AE181" t="n">
        <v>3</v>
      </c>
      <c r="AF181" t="n">
        <v>19</v>
      </c>
      <c r="AG181" t="n">
        <v>19</v>
      </c>
      <c r="AH181" t="n">
        <v>5</v>
      </c>
      <c r="AI181" t="n">
        <v>5</v>
      </c>
      <c r="AJ181" t="n">
        <v>6</v>
      </c>
      <c r="AK181" t="n">
        <v>6</v>
      </c>
      <c r="AL181" t="n">
        <v>12</v>
      </c>
      <c r="AM181" t="n">
        <v>12</v>
      </c>
      <c r="AN181" t="n">
        <v>2</v>
      </c>
      <c r="AO181" t="n">
        <v>2</v>
      </c>
      <c r="AP181" t="n">
        <v>0</v>
      </c>
      <c r="AQ181" t="n">
        <v>0</v>
      </c>
      <c r="AR181" t="inlineStr">
        <is>
          <t>No</t>
        </is>
      </c>
      <c r="AS181" t="inlineStr">
        <is>
          <t>No</t>
        </is>
      </c>
      <c r="AU181">
        <f>HYPERLINK("https://creighton-primo.hosted.exlibrisgroup.com/primo-explore/search?tab=default_tab&amp;search_scope=EVERYTHING&amp;vid=01CRU&amp;lang=en_US&amp;offset=0&amp;query=any,contains,991002091979702656","Catalog Record")</f>
        <v/>
      </c>
      <c r="AV181">
        <f>HYPERLINK("http://www.worldcat.org/oclc/26851788","WorldCat Record")</f>
        <v/>
      </c>
      <c r="AW181" t="inlineStr">
        <is>
          <t>836856192:eng</t>
        </is>
      </c>
      <c r="AX181" t="inlineStr">
        <is>
          <t>26851788</t>
        </is>
      </c>
      <c r="AY181" t="inlineStr">
        <is>
          <t>991002091979702656</t>
        </is>
      </c>
      <c r="AZ181" t="inlineStr">
        <is>
          <t>991002091979702656</t>
        </is>
      </c>
      <c r="BA181" t="inlineStr">
        <is>
          <t>2262663230002656</t>
        </is>
      </c>
      <c r="BB181" t="inlineStr">
        <is>
          <t>BOOK</t>
        </is>
      </c>
      <c r="BD181" t="inlineStr">
        <is>
          <t>9780521416344</t>
        </is>
      </c>
      <c r="BE181" t="inlineStr">
        <is>
          <t>32285001858173</t>
        </is>
      </c>
      <c r="BF181" t="inlineStr">
        <is>
          <t>893809302</t>
        </is>
      </c>
    </row>
    <row r="182">
      <c r="A182" t="inlineStr">
        <is>
          <t>No</t>
        </is>
      </c>
      <c r="B182" t="inlineStr">
        <is>
          <t>CURAL</t>
        </is>
      </c>
      <c r="C182" t="inlineStr">
        <is>
          <t>SHELVES</t>
        </is>
      </c>
      <c r="D182" t="inlineStr">
        <is>
          <t>PR129.I8 C5 1980</t>
        </is>
      </c>
      <c r="E182" t="inlineStr">
        <is>
          <t>0                      PR 0129000I  8                  C  5           1980</t>
        </is>
      </c>
      <c r="F182" t="inlineStr">
        <is>
          <t>Italy and English literature, 1764-1930 / Kenneth Churchill.</t>
        </is>
      </c>
      <c r="H182" t="inlineStr">
        <is>
          <t>No</t>
        </is>
      </c>
      <c r="I182" t="inlineStr">
        <is>
          <t>1</t>
        </is>
      </c>
      <c r="J182" t="inlineStr">
        <is>
          <t>No</t>
        </is>
      </c>
      <c r="K182" t="inlineStr">
        <is>
          <t>No</t>
        </is>
      </c>
      <c r="L182" t="inlineStr">
        <is>
          <t>0</t>
        </is>
      </c>
      <c r="M182" t="inlineStr">
        <is>
          <t>Churchill, Kenneth.</t>
        </is>
      </c>
      <c r="N182" t="inlineStr">
        <is>
          <t>London : Macmillan, 1980.</t>
        </is>
      </c>
      <c r="O182" t="inlineStr">
        <is>
          <t>1980</t>
        </is>
      </c>
      <c r="Q182" t="inlineStr">
        <is>
          <t>eng</t>
        </is>
      </c>
      <c r="R182" t="inlineStr">
        <is>
          <t>nju</t>
        </is>
      </c>
      <c r="T182" t="inlineStr">
        <is>
          <t xml:space="preserve">PR </t>
        </is>
      </c>
      <c r="U182" t="n">
        <v>3</v>
      </c>
      <c r="V182" t="n">
        <v>3</v>
      </c>
      <c r="W182" t="inlineStr">
        <is>
          <t>2003-02-05</t>
        </is>
      </c>
      <c r="X182" t="inlineStr">
        <is>
          <t>2003-02-05</t>
        </is>
      </c>
      <c r="Y182" t="inlineStr">
        <is>
          <t>1991-08-27</t>
        </is>
      </c>
      <c r="Z182" t="inlineStr">
        <is>
          <t>1991-08-27</t>
        </is>
      </c>
      <c r="AA182" t="n">
        <v>339</v>
      </c>
      <c r="AB182" t="n">
        <v>304</v>
      </c>
      <c r="AC182" t="n">
        <v>370</v>
      </c>
      <c r="AD182" t="n">
        <v>1</v>
      </c>
      <c r="AE182" t="n">
        <v>2</v>
      </c>
      <c r="AF182" t="n">
        <v>15</v>
      </c>
      <c r="AG182" t="n">
        <v>17</v>
      </c>
      <c r="AH182" t="n">
        <v>6</v>
      </c>
      <c r="AI182" t="n">
        <v>7</v>
      </c>
      <c r="AJ182" t="n">
        <v>5</v>
      </c>
      <c r="AK182" t="n">
        <v>5</v>
      </c>
      <c r="AL182" t="n">
        <v>9</v>
      </c>
      <c r="AM182" t="n">
        <v>10</v>
      </c>
      <c r="AN182" t="n">
        <v>0</v>
      </c>
      <c r="AO182" t="n">
        <v>1</v>
      </c>
      <c r="AP182" t="n">
        <v>0</v>
      </c>
      <c r="AQ182" t="n">
        <v>0</v>
      </c>
      <c r="AR182" t="inlineStr">
        <is>
          <t>No</t>
        </is>
      </c>
      <c r="AS182" t="inlineStr">
        <is>
          <t>Yes</t>
        </is>
      </c>
      <c r="AT182">
        <f>HYPERLINK("http://catalog.hathitrust.org/Record/000143981","HathiTrust Record")</f>
        <v/>
      </c>
      <c r="AU182">
        <f>HYPERLINK("https://creighton-primo.hosted.exlibrisgroup.com/primo-explore/search?tab=default_tab&amp;search_scope=EVERYTHING&amp;vid=01CRU&amp;lang=en_US&amp;offset=0&amp;query=any,contains,991005074699702656","Catalog Record")</f>
        <v/>
      </c>
      <c r="AV182">
        <f>HYPERLINK("http://www.worldcat.org/oclc/7094831","WorldCat Record")</f>
        <v/>
      </c>
      <c r="AW182" t="inlineStr">
        <is>
          <t>24803961:eng</t>
        </is>
      </c>
      <c r="AX182" t="inlineStr">
        <is>
          <t>7094831</t>
        </is>
      </c>
      <c r="AY182" t="inlineStr">
        <is>
          <t>991005074699702656</t>
        </is>
      </c>
      <c r="AZ182" t="inlineStr">
        <is>
          <t>991005074699702656</t>
        </is>
      </c>
      <c r="BA182" t="inlineStr">
        <is>
          <t>2257668210002656</t>
        </is>
      </c>
      <c r="BB182" t="inlineStr">
        <is>
          <t>BOOK</t>
        </is>
      </c>
      <c r="BD182" t="inlineStr">
        <is>
          <t>9780064911306</t>
        </is>
      </c>
      <c r="BE182" t="inlineStr">
        <is>
          <t>32285000699776</t>
        </is>
      </c>
      <c r="BF182" t="inlineStr">
        <is>
          <t>893801683</t>
        </is>
      </c>
    </row>
    <row r="183">
      <c r="A183" t="inlineStr">
        <is>
          <t>No</t>
        </is>
      </c>
      <c r="B183" t="inlineStr">
        <is>
          <t>CURAL</t>
        </is>
      </c>
      <c r="C183" t="inlineStr">
        <is>
          <t>SHELVES</t>
        </is>
      </c>
      <c r="D183" t="inlineStr">
        <is>
          <t>PR129.I8 F68 1997</t>
        </is>
      </c>
      <c r="E183" t="inlineStr">
        <is>
          <t>0                      PR 0129000I  8                  F  68          1997</t>
        </is>
      </c>
      <c r="F183" t="inlineStr">
        <is>
          <t>The English Renaissance : identity and representation in Elizabethan England / Alistair Fox.</t>
        </is>
      </c>
      <c r="H183" t="inlineStr">
        <is>
          <t>No</t>
        </is>
      </c>
      <c r="I183" t="inlineStr">
        <is>
          <t>1</t>
        </is>
      </c>
      <c r="J183" t="inlineStr">
        <is>
          <t>No</t>
        </is>
      </c>
      <c r="K183" t="inlineStr">
        <is>
          <t>No</t>
        </is>
      </c>
      <c r="L183" t="inlineStr">
        <is>
          <t>0</t>
        </is>
      </c>
      <c r="M183" t="inlineStr">
        <is>
          <t>Fox, Alistair.</t>
        </is>
      </c>
      <c r="N183" t="inlineStr">
        <is>
          <t>Oxford, UK ; Malden, Mass. : Blackwell Publishers, 1997.</t>
        </is>
      </c>
      <c r="O183" t="inlineStr">
        <is>
          <t>1997</t>
        </is>
      </c>
      <c r="Q183" t="inlineStr">
        <is>
          <t>eng</t>
        </is>
      </c>
      <c r="R183" t="inlineStr">
        <is>
          <t>enk</t>
        </is>
      </c>
      <c r="T183" t="inlineStr">
        <is>
          <t xml:space="preserve">PR </t>
        </is>
      </c>
      <c r="U183" t="n">
        <v>2</v>
      </c>
      <c r="V183" t="n">
        <v>2</v>
      </c>
      <c r="W183" t="inlineStr">
        <is>
          <t>2005-02-08</t>
        </is>
      </c>
      <c r="X183" t="inlineStr">
        <is>
          <t>2005-02-08</t>
        </is>
      </c>
      <c r="Y183" t="inlineStr">
        <is>
          <t>1999-04-08</t>
        </is>
      </c>
      <c r="Z183" t="inlineStr">
        <is>
          <t>1999-04-08</t>
        </is>
      </c>
      <c r="AA183" t="n">
        <v>425</v>
      </c>
      <c r="AB183" t="n">
        <v>296</v>
      </c>
      <c r="AC183" t="n">
        <v>297</v>
      </c>
      <c r="AD183" t="n">
        <v>2</v>
      </c>
      <c r="AE183" t="n">
        <v>2</v>
      </c>
      <c r="AF183" t="n">
        <v>19</v>
      </c>
      <c r="AG183" t="n">
        <v>19</v>
      </c>
      <c r="AH183" t="n">
        <v>9</v>
      </c>
      <c r="AI183" t="n">
        <v>9</v>
      </c>
      <c r="AJ183" t="n">
        <v>5</v>
      </c>
      <c r="AK183" t="n">
        <v>5</v>
      </c>
      <c r="AL183" t="n">
        <v>11</v>
      </c>
      <c r="AM183" t="n">
        <v>11</v>
      </c>
      <c r="AN183" t="n">
        <v>1</v>
      </c>
      <c r="AO183" t="n">
        <v>1</v>
      </c>
      <c r="AP183" t="n">
        <v>0</v>
      </c>
      <c r="AQ183" t="n">
        <v>0</v>
      </c>
      <c r="AR183" t="inlineStr">
        <is>
          <t>No</t>
        </is>
      </c>
      <c r="AS183" t="inlineStr">
        <is>
          <t>No</t>
        </is>
      </c>
      <c r="AU183">
        <f>HYPERLINK("https://creighton-primo.hosted.exlibrisgroup.com/primo-explore/search?tab=default_tab&amp;search_scope=EVERYTHING&amp;vid=01CRU&amp;lang=en_US&amp;offset=0&amp;query=any,contains,991002781329702656","Catalog Record")</f>
        <v/>
      </c>
      <c r="AV183">
        <f>HYPERLINK("http://www.worldcat.org/oclc/36510944","WorldCat Record")</f>
        <v/>
      </c>
      <c r="AW183" t="inlineStr">
        <is>
          <t>202132739:eng</t>
        </is>
      </c>
      <c r="AX183" t="inlineStr">
        <is>
          <t>36510944</t>
        </is>
      </c>
      <c r="AY183" t="inlineStr">
        <is>
          <t>991002781329702656</t>
        </is>
      </c>
      <c r="AZ183" t="inlineStr">
        <is>
          <t>991002781329702656</t>
        </is>
      </c>
      <c r="BA183" t="inlineStr">
        <is>
          <t>2269150670002656</t>
        </is>
      </c>
      <c r="BB183" t="inlineStr">
        <is>
          <t>BOOK</t>
        </is>
      </c>
      <c r="BD183" t="inlineStr">
        <is>
          <t>9780631177470</t>
        </is>
      </c>
      <c r="BE183" t="inlineStr">
        <is>
          <t>32285003550703</t>
        </is>
      </c>
      <c r="BF183" t="inlineStr">
        <is>
          <t>893530462</t>
        </is>
      </c>
    </row>
    <row r="184">
      <c r="A184" t="inlineStr">
        <is>
          <t>No</t>
        </is>
      </c>
      <c r="B184" t="inlineStr">
        <is>
          <t>CURAL</t>
        </is>
      </c>
      <c r="C184" t="inlineStr">
        <is>
          <t>SHELVES</t>
        </is>
      </c>
      <c r="D184" t="inlineStr">
        <is>
          <t>PR1293.W5 T4</t>
        </is>
      </c>
      <c r="E184" t="inlineStr">
        <is>
          <t>0                      PR 1293000W  5                  T  4</t>
        </is>
      </c>
      <c r="F184" t="inlineStr">
        <is>
          <t>Through Elizabethan eyes; an abridgment of Life in Shakespeare's England for junior readers, by J. Dover Wilson ...</t>
        </is>
      </c>
      <c r="H184" t="inlineStr">
        <is>
          <t>No</t>
        </is>
      </c>
      <c r="I184" t="inlineStr">
        <is>
          <t>1</t>
        </is>
      </c>
      <c r="J184" t="inlineStr">
        <is>
          <t>No</t>
        </is>
      </c>
      <c r="K184" t="inlineStr">
        <is>
          <t>No</t>
        </is>
      </c>
      <c r="L184" t="inlineStr">
        <is>
          <t>0</t>
        </is>
      </c>
      <c r="M184" t="inlineStr">
        <is>
          <t>Wilson, John Dover, 1881-1969, compiler.</t>
        </is>
      </c>
      <c r="N184" t="inlineStr">
        <is>
          <t>Cambridge [Eng.] The University Press, 1939.</t>
        </is>
      </c>
      <c r="O184" t="inlineStr">
        <is>
          <t>1939</t>
        </is>
      </c>
      <c r="Q184" t="inlineStr">
        <is>
          <t>eng</t>
        </is>
      </c>
      <c r="R184" t="inlineStr">
        <is>
          <t>enk</t>
        </is>
      </c>
      <c r="T184" t="inlineStr">
        <is>
          <t xml:space="preserve">PR </t>
        </is>
      </c>
      <c r="U184" t="n">
        <v>4</v>
      </c>
      <c r="V184" t="n">
        <v>4</v>
      </c>
      <c r="W184" t="inlineStr">
        <is>
          <t>1999-11-21</t>
        </is>
      </c>
      <c r="X184" t="inlineStr">
        <is>
          <t>1999-11-21</t>
        </is>
      </c>
      <c r="Y184" t="inlineStr">
        <is>
          <t>1997-07-29</t>
        </is>
      </c>
      <c r="Z184" t="inlineStr">
        <is>
          <t>1997-07-29</t>
        </is>
      </c>
      <c r="AA184" t="n">
        <v>140</v>
      </c>
      <c r="AB184" t="n">
        <v>114</v>
      </c>
      <c r="AC184" t="n">
        <v>116</v>
      </c>
      <c r="AD184" t="n">
        <v>1</v>
      </c>
      <c r="AE184" t="n">
        <v>1</v>
      </c>
      <c r="AF184" t="n">
        <v>5</v>
      </c>
      <c r="AG184" t="n">
        <v>5</v>
      </c>
      <c r="AH184" t="n">
        <v>2</v>
      </c>
      <c r="AI184" t="n">
        <v>2</v>
      </c>
      <c r="AJ184" t="n">
        <v>1</v>
      </c>
      <c r="AK184" t="n">
        <v>1</v>
      </c>
      <c r="AL184" t="n">
        <v>4</v>
      </c>
      <c r="AM184" t="n">
        <v>4</v>
      </c>
      <c r="AN184" t="n">
        <v>0</v>
      </c>
      <c r="AO184" t="n">
        <v>0</v>
      </c>
      <c r="AP184" t="n">
        <v>0</v>
      </c>
      <c r="AQ184" t="n">
        <v>0</v>
      </c>
      <c r="AR184" t="inlineStr">
        <is>
          <t>No</t>
        </is>
      </c>
      <c r="AS184" t="inlineStr">
        <is>
          <t>No</t>
        </is>
      </c>
      <c r="AT184">
        <f>HYPERLINK("http://catalog.hathitrust.org/Record/006157466","HathiTrust Record")</f>
        <v/>
      </c>
      <c r="AU184">
        <f>HYPERLINK("https://creighton-primo.hosted.exlibrisgroup.com/primo-explore/search?tab=default_tab&amp;search_scope=EVERYTHING&amp;vid=01CRU&amp;lang=en_US&amp;offset=0&amp;query=any,contains,991002446329702656","Catalog Record")</f>
        <v/>
      </c>
      <c r="AV184">
        <f>HYPERLINK("http://www.worldcat.org/oclc/351630","WorldCat Record")</f>
        <v/>
      </c>
      <c r="AW184" t="inlineStr">
        <is>
          <t>315017090:eng</t>
        </is>
      </c>
      <c r="AX184" t="inlineStr">
        <is>
          <t>351630</t>
        </is>
      </c>
      <c r="AY184" t="inlineStr">
        <is>
          <t>991002446329702656</t>
        </is>
      </c>
      <c r="AZ184" t="inlineStr">
        <is>
          <t>991002446329702656</t>
        </is>
      </c>
      <c r="BA184" t="inlineStr">
        <is>
          <t>2266811090002656</t>
        </is>
      </c>
      <c r="BB184" t="inlineStr">
        <is>
          <t>BOOK</t>
        </is>
      </c>
      <c r="BE184" t="inlineStr">
        <is>
          <t>32285002986387</t>
        </is>
      </c>
      <c r="BF184" t="inlineStr">
        <is>
          <t>893415208</t>
        </is>
      </c>
    </row>
    <row r="185">
      <c r="A185" t="inlineStr">
        <is>
          <t>No</t>
        </is>
      </c>
      <c r="B185" t="inlineStr">
        <is>
          <t>CURAL</t>
        </is>
      </c>
      <c r="C185" t="inlineStr">
        <is>
          <t>SHELVES</t>
        </is>
      </c>
      <c r="D185" t="inlineStr">
        <is>
          <t>PR1295 .L37 1988</t>
        </is>
      </c>
      <c r="E185" t="inlineStr">
        <is>
          <t>0                      PR 1295000L  37          1988</t>
        </is>
      </c>
      <c r="F185" t="inlineStr">
        <is>
          <t>Last voyages--Cavendish, Hudson, Ralegh : the original narratives / introduced and edited by Philip Edwards.</t>
        </is>
      </c>
      <c r="H185" t="inlineStr">
        <is>
          <t>No</t>
        </is>
      </c>
      <c r="I185" t="inlineStr">
        <is>
          <t>1</t>
        </is>
      </c>
      <c r="J185" t="inlineStr">
        <is>
          <t>No</t>
        </is>
      </c>
      <c r="K185" t="inlineStr">
        <is>
          <t>No</t>
        </is>
      </c>
      <c r="L185" t="inlineStr">
        <is>
          <t>0</t>
        </is>
      </c>
      <c r="N185" t="inlineStr">
        <is>
          <t>Oxford : Clarendon Press ; Oxford ; New York : Oxford University Press, 1988.</t>
        </is>
      </c>
      <c r="O185" t="inlineStr">
        <is>
          <t>1988</t>
        </is>
      </c>
      <c r="Q185" t="inlineStr">
        <is>
          <t>eng</t>
        </is>
      </c>
      <c r="R185" t="inlineStr">
        <is>
          <t>enk</t>
        </is>
      </c>
      <c r="T185" t="inlineStr">
        <is>
          <t xml:space="preserve">PR </t>
        </is>
      </c>
      <c r="U185" t="n">
        <v>3</v>
      </c>
      <c r="V185" t="n">
        <v>3</v>
      </c>
      <c r="W185" t="inlineStr">
        <is>
          <t>1994-10-30</t>
        </is>
      </c>
      <c r="X185" t="inlineStr">
        <is>
          <t>1994-10-30</t>
        </is>
      </c>
      <c r="Y185" t="inlineStr">
        <is>
          <t>1991-09-23</t>
        </is>
      </c>
      <c r="Z185" t="inlineStr">
        <is>
          <t>1991-09-23</t>
        </is>
      </c>
      <c r="AA185" t="n">
        <v>471</v>
      </c>
      <c r="AB185" t="n">
        <v>381</v>
      </c>
      <c r="AC185" t="n">
        <v>389</v>
      </c>
      <c r="AD185" t="n">
        <v>2</v>
      </c>
      <c r="AE185" t="n">
        <v>2</v>
      </c>
      <c r="AF185" t="n">
        <v>15</v>
      </c>
      <c r="AG185" t="n">
        <v>15</v>
      </c>
      <c r="AH185" t="n">
        <v>3</v>
      </c>
      <c r="AI185" t="n">
        <v>3</v>
      </c>
      <c r="AJ185" t="n">
        <v>6</v>
      </c>
      <c r="AK185" t="n">
        <v>6</v>
      </c>
      <c r="AL185" t="n">
        <v>9</v>
      </c>
      <c r="AM185" t="n">
        <v>9</v>
      </c>
      <c r="AN185" t="n">
        <v>1</v>
      </c>
      <c r="AO185" t="n">
        <v>1</v>
      </c>
      <c r="AP185" t="n">
        <v>0</v>
      </c>
      <c r="AQ185" t="n">
        <v>0</v>
      </c>
      <c r="AR185" t="inlineStr">
        <is>
          <t>No</t>
        </is>
      </c>
      <c r="AS185" t="inlineStr">
        <is>
          <t>Yes</t>
        </is>
      </c>
      <c r="AT185">
        <f>HYPERLINK("http://catalog.hathitrust.org/Record/000950668","HathiTrust Record")</f>
        <v/>
      </c>
      <c r="AU185">
        <f>HYPERLINK("https://creighton-primo.hosted.exlibrisgroup.com/primo-explore/search?tab=default_tab&amp;search_scope=EVERYTHING&amp;vid=01CRU&amp;lang=en_US&amp;offset=0&amp;query=any,contains,991001231409702656","Catalog Record")</f>
        <v/>
      </c>
      <c r="AV185">
        <f>HYPERLINK("http://www.worldcat.org/oclc/17547246","WorldCat Record")</f>
        <v/>
      </c>
      <c r="AW185" t="inlineStr">
        <is>
          <t>16136577:eng</t>
        </is>
      </c>
      <c r="AX185" t="inlineStr">
        <is>
          <t>17547246</t>
        </is>
      </c>
      <c r="AY185" t="inlineStr">
        <is>
          <t>991001231409702656</t>
        </is>
      </c>
      <c r="AZ185" t="inlineStr">
        <is>
          <t>991001231409702656</t>
        </is>
      </c>
      <c r="BA185" t="inlineStr">
        <is>
          <t>2265365660002656</t>
        </is>
      </c>
      <c r="BB185" t="inlineStr">
        <is>
          <t>BOOK</t>
        </is>
      </c>
      <c r="BD185" t="inlineStr">
        <is>
          <t>9780198128946</t>
        </is>
      </c>
      <c r="BE185" t="inlineStr">
        <is>
          <t>32285000761691</t>
        </is>
      </c>
      <c r="BF185" t="inlineStr">
        <is>
          <t>893327985</t>
        </is>
      </c>
    </row>
    <row r="186">
      <c r="A186" t="inlineStr">
        <is>
          <t>No</t>
        </is>
      </c>
      <c r="B186" t="inlineStr">
        <is>
          <t>CURAL</t>
        </is>
      </c>
      <c r="C186" t="inlineStr">
        <is>
          <t>SHELVES</t>
        </is>
      </c>
      <c r="D186" t="inlineStr">
        <is>
          <t>PR1297 .B57 1995</t>
        </is>
      </c>
      <c r="E186" t="inlineStr">
        <is>
          <t>0                      PR 1297000B  57          1995</t>
        </is>
      </c>
      <c r="F186" t="inlineStr">
        <is>
          <t>Black Atlantic writers of the eighteenth century : living the new exodus in England and the Americas / edited by Adam Potkay and Sandra Burr.</t>
        </is>
      </c>
      <c r="H186" t="inlineStr">
        <is>
          <t>No</t>
        </is>
      </c>
      <c r="I186" t="inlineStr">
        <is>
          <t>1</t>
        </is>
      </c>
      <c r="J186" t="inlineStr">
        <is>
          <t>No</t>
        </is>
      </c>
      <c r="K186" t="inlineStr">
        <is>
          <t>No</t>
        </is>
      </c>
      <c r="L186" t="inlineStr">
        <is>
          <t>0</t>
        </is>
      </c>
      <c r="N186" t="inlineStr">
        <is>
          <t>New York : St. Martin's Press, 1995.</t>
        </is>
      </c>
      <c r="O186" t="inlineStr">
        <is>
          <t>1995</t>
        </is>
      </c>
      <c r="P186" t="inlineStr">
        <is>
          <t>1st ed.</t>
        </is>
      </c>
      <c r="Q186" t="inlineStr">
        <is>
          <t>eng</t>
        </is>
      </c>
      <c r="R186" t="inlineStr">
        <is>
          <t>nyu</t>
        </is>
      </c>
      <c r="T186" t="inlineStr">
        <is>
          <t xml:space="preserve">PR </t>
        </is>
      </c>
      <c r="U186" t="n">
        <v>4</v>
      </c>
      <c r="V186" t="n">
        <v>4</v>
      </c>
      <c r="W186" t="inlineStr">
        <is>
          <t>2005-02-22</t>
        </is>
      </c>
      <c r="X186" t="inlineStr">
        <is>
          <t>2005-02-22</t>
        </is>
      </c>
      <c r="Y186" t="inlineStr">
        <is>
          <t>1996-03-26</t>
        </is>
      </c>
      <c r="Z186" t="inlineStr">
        <is>
          <t>1996-03-26</t>
        </is>
      </c>
      <c r="AA186" t="n">
        <v>482</v>
      </c>
      <c r="AB186" t="n">
        <v>439</v>
      </c>
      <c r="AC186" t="n">
        <v>441</v>
      </c>
      <c r="AD186" t="n">
        <v>3</v>
      </c>
      <c r="AE186" t="n">
        <v>3</v>
      </c>
      <c r="AF186" t="n">
        <v>20</v>
      </c>
      <c r="AG186" t="n">
        <v>20</v>
      </c>
      <c r="AH186" t="n">
        <v>7</v>
      </c>
      <c r="AI186" t="n">
        <v>7</v>
      </c>
      <c r="AJ186" t="n">
        <v>7</v>
      </c>
      <c r="AK186" t="n">
        <v>7</v>
      </c>
      <c r="AL186" t="n">
        <v>10</v>
      </c>
      <c r="AM186" t="n">
        <v>10</v>
      </c>
      <c r="AN186" t="n">
        <v>2</v>
      </c>
      <c r="AO186" t="n">
        <v>2</v>
      </c>
      <c r="AP186" t="n">
        <v>0</v>
      </c>
      <c r="AQ186" t="n">
        <v>0</v>
      </c>
      <c r="AR186" t="inlineStr">
        <is>
          <t>No</t>
        </is>
      </c>
      <c r="AS186" t="inlineStr">
        <is>
          <t>No</t>
        </is>
      </c>
      <c r="AU186">
        <f>HYPERLINK("https://creighton-primo.hosted.exlibrisgroup.com/primo-explore/search?tab=default_tab&amp;search_scope=EVERYTHING&amp;vid=01CRU&amp;lang=en_US&amp;offset=0&amp;query=any,contains,991002396459702656","Catalog Record")</f>
        <v/>
      </c>
      <c r="AV186">
        <f>HYPERLINK("http://www.worldcat.org/oclc/31132803","WorldCat Record")</f>
        <v/>
      </c>
      <c r="AW186" t="inlineStr">
        <is>
          <t>866631375:eng</t>
        </is>
      </c>
      <c r="AX186" t="inlineStr">
        <is>
          <t>31132803</t>
        </is>
      </c>
      <c r="AY186" t="inlineStr">
        <is>
          <t>991002396459702656</t>
        </is>
      </c>
      <c r="AZ186" t="inlineStr">
        <is>
          <t>991002396459702656</t>
        </is>
      </c>
      <c r="BA186" t="inlineStr">
        <is>
          <t>2271133720002656</t>
        </is>
      </c>
      <c r="BB186" t="inlineStr">
        <is>
          <t>BOOK</t>
        </is>
      </c>
      <c r="BD186" t="inlineStr">
        <is>
          <t>9780312121334</t>
        </is>
      </c>
      <c r="BE186" t="inlineStr">
        <is>
          <t>32285002146719</t>
        </is>
      </c>
      <c r="BF186" t="inlineStr">
        <is>
          <t>893433828</t>
        </is>
      </c>
    </row>
    <row r="187">
      <c r="A187" t="inlineStr">
        <is>
          <t>No</t>
        </is>
      </c>
      <c r="B187" t="inlineStr">
        <is>
          <t>CURAL</t>
        </is>
      </c>
      <c r="C187" t="inlineStr">
        <is>
          <t>SHELVES</t>
        </is>
      </c>
      <c r="D187" t="inlineStr">
        <is>
          <t>PR1302 .N3 1974</t>
        </is>
      </c>
      <c r="E187" t="inlineStr">
        <is>
          <t>0                      PR 1302000N  3           1974</t>
        </is>
      </c>
      <c r="F187" t="inlineStr">
        <is>
          <t>Prose of the British romantic movement / edited by John R. Nabholtz.</t>
        </is>
      </c>
      <c r="H187" t="inlineStr">
        <is>
          <t>No</t>
        </is>
      </c>
      <c r="I187" t="inlineStr">
        <is>
          <t>1</t>
        </is>
      </c>
      <c r="J187" t="inlineStr">
        <is>
          <t>No</t>
        </is>
      </c>
      <c r="K187" t="inlineStr">
        <is>
          <t>No</t>
        </is>
      </c>
      <c r="L187" t="inlineStr">
        <is>
          <t>0</t>
        </is>
      </c>
      <c r="M187" t="inlineStr">
        <is>
          <t>Nabholtz, John R., compiler.</t>
        </is>
      </c>
      <c r="N187" t="inlineStr">
        <is>
          <t>New York : Macmillan, [1973, c1974]</t>
        </is>
      </c>
      <c r="O187" t="inlineStr">
        <is>
          <t>1973</t>
        </is>
      </c>
      <c r="Q187" t="inlineStr">
        <is>
          <t>eng</t>
        </is>
      </c>
      <c r="R187" t="inlineStr">
        <is>
          <t>nyu</t>
        </is>
      </c>
      <c r="T187" t="inlineStr">
        <is>
          <t xml:space="preserve">PR </t>
        </is>
      </c>
      <c r="U187" t="n">
        <v>1</v>
      </c>
      <c r="V187" t="n">
        <v>1</v>
      </c>
      <c r="W187" t="inlineStr">
        <is>
          <t>2001-07-12</t>
        </is>
      </c>
      <c r="X187" t="inlineStr">
        <is>
          <t>2001-07-12</t>
        </is>
      </c>
      <c r="Y187" t="inlineStr">
        <is>
          <t>2001-07-12</t>
        </is>
      </c>
      <c r="Z187" t="inlineStr">
        <is>
          <t>2001-07-12</t>
        </is>
      </c>
      <c r="AA187" t="n">
        <v>198</v>
      </c>
      <c r="AB187" t="n">
        <v>179</v>
      </c>
      <c r="AC187" t="n">
        <v>186</v>
      </c>
      <c r="AD187" t="n">
        <v>2</v>
      </c>
      <c r="AE187" t="n">
        <v>2</v>
      </c>
      <c r="AF187" t="n">
        <v>10</v>
      </c>
      <c r="AG187" t="n">
        <v>10</v>
      </c>
      <c r="AH187" t="n">
        <v>1</v>
      </c>
      <c r="AI187" t="n">
        <v>1</v>
      </c>
      <c r="AJ187" t="n">
        <v>2</v>
      </c>
      <c r="AK187" t="n">
        <v>2</v>
      </c>
      <c r="AL187" t="n">
        <v>8</v>
      </c>
      <c r="AM187" t="n">
        <v>8</v>
      </c>
      <c r="AN187" t="n">
        <v>1</v>
      </c>
      <c r="AO187" t="n">
        <v>1</v>
      </c>
      <c r="AP187" t="n">
        <v>0</v>
      </c>
      <c r="AQ187" t="n">
        <v>0</v>
      </c>
      <c r="AR187" t="inlineStr">
        <is>
          <t>No</t>
        </is>
      </c>
      <c r="AS187" t="inlineStr">
        <is>
          <t>Yes</t>
        </is>
      </c>
      <c r="AT187">
        <f>HYPERLINK("http://catalog.hathitrust.org/Record/001907101","HathiTrust Record")</f>
        <v/>
      </c>
      <c r="AU187">
        <f>HYPERLINK("https://creighton-primo.hosted.exlibrisgroup.com/primo-explore/search?tab=default_tab&amp;search_scope=EVERYTHING&amp;vid=01CRU&amp;lang=en_US&amp;offset=0&amp;query=any,contains,991003567599702656","Catalog Record")</f>
        <v/>
      </c>
      <c r="AV187">
        <f>HYPERLINK("http://www.worldcat.org/oclc/617981","WorldCat Record")</f>
        <v/>
      </c>
      <c r="AW187" t="inlineStr">
        <is>
          <t>1674739:eng</t>
        </is>
      </c>
      <c r="AX187" t="inlineStr">
        <is>
          <t>617981</t>
        </is>
      </c>
      <c r="AY187" t="inlineStr">
        <is>
          <t>991003567599702656</t>
        </is>
      </c>
      <c r="AZ187" t="inlineStr">
        <is>
          <t>991003567599702656</t>
        </is>
      </c>
      <c r="BA187" t="inlineStr">
        <is>
          <t>2270820420002656</t>
        </is>
      </c>
      <c r="BB187" t="inlineStr">
        <is>
          <t>BOOK</t>
        </is>
      </c>
      <c r="BD187" t="inlineStr">
        <is>
          <t>9780023858406</t>
        </is>
      </c>
      <c r="BE187" t="inlineStr">
        <is>
          <t>32285004332077</t>
        </is>
      </c>
      <c r="BF187" t="inlineStr">
        <is>
          <t>893604919</t>
        </is>
      </c>
    </row>
    <row r="188">
      <c r="A188" t="inlineStr">
        <is>
          <t>No</t>
        </is>
      </c>
      <c r="B188" t="inlineStr">
        <is>
          <t>CURAL</t>
        </is>
      </c>
      <c r="C188" t="inlineStr">
        <is>
          <t>SHELVES</t>
        </is>
      </c>
      <c r="D188" t="inlineStr">
        <is>
          <t>PR1304 .T74 1973</t>
        </is>
      </c>
      <c r="E188" t="inlineStr">
        <is>
          <t>0                      PR 1304000T  74          1973</t>
        </is>
      </c>
      <c r="F188" t="inlineStr">
        <is>
          <t>Victorian prose and poetry / [edited by] Lionel Trilling [and] Harold Bloom.</t>
        </is>
      </c>
      <c r="H188" t="inlineStr">
        <is>
          <t>No</t>
        </is>
      </c>
      <c r="I188" t="inlineStr">
        <is>
          <t>1</t>
        </is>
      </c>
      <c r="J188" t="inlineStr">
        <is>
          <t>No</t>
        </is>
      </c>
      <c r="K188" t="inlineStr">
        <is>
          <t>No</t>
        </is>
      </c>
      <c r="L188" t="inlineStr">
        <is>
          <t>0</t>
        </is>
      </c>
      <c r="M188" t="inlineStr">
        <is>
          <t>Trilling, Lionel, 1905-1975.</t>
        </is>
      </c>
      <c r="N188" t="inlineStr">
        <is>
          <t>New York : Oxford University Press, 1973.</t>
        </is>
      </c>
      <c r="O188" t="inlineStr">
        <is>
          <t>1973</t>
        </is>
      </c>
      <c r="Q188" t="inlineStr">
        <is>
          <t>eng</t>
        </is>
      </c>
      <c r="R188" t="inlineStr">
        <is>
          <t>nyu</t>
        </is>
      </c>
      <c r="S188" t="inlineStr">
        <is>
          <t>The Oxford anthology of English literature ; [5]</t>
        </is>
      </c>
      <c r="T188" t="inlineStr">
        <is>
          <t xml:space="preserve">PR </t>
        </is>
      </c>
      <c r="U188" t="n">
        <v>5</v>
      </c>
      <c r="V188" t="n">
        <v>5</v>
      </c>
      <c r="W188" t="inlineStr">
        <is>
          <t>2000-03-15</t>
        </is>
      </c>
      <c r="X188" t="inlineStr">
        <is>
          <t>2000-03-15</t>
        </is>
      </c>
      <c r="Y188" t="inlineStr">
        <is>
          <t>1990-10-09</t>
        </is>
      </c>
      <c r="Z188" t="inlineStr">
        <is>
          <t>1990-10-09</t>
        </is>
      </c>
      <c r="AA188" t="n">
        <v>462</v>
      </c>
      <c r="AB188" t="n">
        <v>313</v>
      </c>
      <c r="AC188" t="n">
        <v>323</v>
      </c>
      <c r="AD188" t="n">
        <v>3</v>
      </c>
      <c r="AE188" t="n">
        <v>3</v>
      </c>
      <c r="AF188" t="n">
        <v>11</v>
      </c>
      <c r="AG188" t="n">
        <v>11</v>
      </c>
      <c r="AH188" t="n">
        <v>4</v>
      </c>
      <c r="AI188" t="n">
        <v>4</v>
      </c>
      <c r="AJ188" t="n">
        <v>2</v>
      </c>
      <c r="AK188" t="n">
        <v>2</v>
      </c>
      <c r="AL188" t="n">
        <v>7</v>
      </c>
      <c r="AM188" t="n">
        <v>7</v>
      </c>
      <c r="AN188" t="n">
        <v>1</v>
      </c>
      <c r="AO188" t="n">
        <v>1</v>
      </c>
      <c r="AP188" t="n">
        <v>0</v>
      </c>
      <c r="AQ188" t="n">
        <v>0</v>
      </c>
      <c r="AR188" t="inlineStr">
        <is>
          <t>No</t>
        </is>
      </c>
      <c r="AS188" t="inlineStr">
        <is>
          <t>No</t>
        </is>
      </c>
      <c r="AU188">
        <f>HYPERLINK("https://creighton-primo.hosted.exlibrisgroup.com/primo-explore/search?tab=default_tab&amp;search_scope=EVERYTHING&amp;vid=01CRU&amp;lang=en_US&amp;offset=0&amp;query=any,contains,991003576589702656","Catalog Record")</f>
        <v/>
      </c>
      <c r="AV188">
        <f>HYPERLINK("http://www.worldcat.org/oclc/1155666","WorldCat Record")</f>
        <v/>
      </c>
      <c r="AW188" t="inlineStr">
        <is>
          <t>69935881:eng</t>
        </is>
      </c>
      <c r="AX188" t="inlineStr">
        <is>
          <t>1155666</t>
        </is>
      </c>
      <c r="AY188" t="inlineStr">
        <is>
          <t>991003576589702656</t>
        </is>
      </c>
      <c r="AZ188" t="inlineStr">
        <is>
          <t>991003576589702656</t>
        </is>
      </c>
      <c r="BA188" t="inlineStr">
        <is>
          <t>2266032980002656</t>
        </is>
      </c>
      <c r="BB188" t="inlineStr">
        <is>
          <t>BOOK</t>
        </is>
      </c>
      <c r="BE188" t="inlineStr">
        <is>
          <t>32285000295963</t>
        </is>
      </c>
      <c r="BF188" t="inlineStr">
        <is>
          <t>893318115</t>
        </is>
      </c>
    </row>
    <row r="189">
      <c r="A189" t="inlineStr">
        <is>
          <t>No</t>
        </is>
      </c>
      <c r="B189" t="inlineStr">
        <is>
          <t>CURAL</t>
        </is>
      </c>
      <c r="C189" t="inlineStr">
        <is>
          <t>SHELVES</t>
        </is>
      </c>
      <c r="D189" t="inlineStr">
        <is>
          <t>PR1307 .S3 1971</t>
        </is>
      </c>
      <c r="E189" t="inlineStr">
        <is>
          <t>0                      PR 1307000S  3           1971</t>
        </is>
      </c>
      <c r="F189" t="inlineStr">
        <is>
          <t>Some modern writers : essays and fiction by Conrad, Dinesen, Lawrence, Orwell, Faulkner, Ellison / selected and edited by Robert Scholes.</t>
        </is>
      </c>
      <c r="H189" t="inlineStr">
        <is>
          <t>No</t>
        </is>
      </c>
      <c r="I189" t="inlineStr">
        <is>
          <t>1</t>
        </is>
      </c>
      <c r="J189" t="inlineStr">
        <is>
          <t>No</t>
        </is>
      </c>
      <c r="K189" t="inlineStr">
        <is>
          <t>No</t>
        </is>
      </c>
      <c r="L189" t="inlineStr">
        <is>
          <t>0</t>
        </is>
      </c>
      <c r="M189" t="inlineStr">
        <is>
          <t>Scholes, Robert, 1929-</t>
        </is>
      </c>
      <c r="N189" t="inlineStr">
        <is>
          <t>New York : Oxford University Press, c1971.</t>
        </is>
      </c>
      <c r="O189" t="inlineStr">
        <is>
          <t>1971</t>
        </is>
      </c>
      <c r="Q189" t="inlineStr">
        <is>
          <t>eng</t>
        </is>
      </c>
      <c r="R189" t="inlineStr">
        <is>
          <t>nyu</t>
        </is>
      </c>
      <c r="T189" t="inlineStr">
        <is>
          <t xml:space="preserve">PR </t>
        </is>
      </c>
      <c r="U189" t="n">
        <v>2</v>
      </c>
      <c r="V189" t="n">
        <v>2</v>
      </c>
      <c r="W189" t="inlineStr">
        <is>
          <t>1999-02-26</t>
        </is>
      </c>
      <c r="X189" t="inlineStr">
        <is>
          <t>1999-02-26</t>
        </is>
      </c>
      <c r="Y189" t="inlineStr">
        <is>
          <t>1990-08-10</t>
        </is>
      </c>
      <c r="Z189" t="inlineStr">
        <is>
          <t>1990-08-10</t>
        </is>
      </c>
      <c r="AA189" t="n">
        <v>358</v>
      </c>
      <c r="AB189" t="n">
        <v>276</v>
      </c>
      <c r="AC189" t="n">
        <v>283</v>
      </c>
      <c r="AD189" t="n">
        <v>6</v>
      </c>
      <c r="AE189" t="n">
        <v>6</v>
      </c>
      <c r="AF189" t="n">
        <v>14</v>
      </c>
      <c r="AG189" t="n">
        <v>14</v>
      </c>
      <c r="AH189" t="n">
        <v>3</v>
      </c>
      <c r="AI189" t="n">
        <v>3</v>
      </c>
      <c r="AJ189" t="n">
        <v>3</v>
      </c>
      <c r="AK189" t="n">
        <v>3</v>
      </c>
      <c r="AL189" t="n">
        <v>7</v>
      </c>
      <c r="AM189" t="n">
        <v>7</v>
      </c>
      <c r="AN189" t="n">
        <v>4</v>
      </c>
      <c r="AO189" t="n">
        <v>4</v>
      </c>
      <c r="AP189" t="n">
        <v>0</v>
      </c>
      <c r="AQ189" t="n">
        <v>0</v>
      </c>
      <c r="AR189" t="inlineStr">
        <is>
          <t>No</t>
        </is>
      </c>
      <c r="AS189" t="inlineStr">
        <is>
          <t>Yes</t>
        </is>
      </c>
      <c r="AT189">
        <f>HYPERLINK("http://catalog.hathitrust.org/Record/001370493","HathiTrust Record")</f>
        <v/>
      </c>
      <c r="AU189">
        <f>HYPERLINK("https://creighton-primo.hosted.exlibrisgroup.com/primo-explore/search?tab=default_tab&amp;search_scope=EVERYTHING&amp;vid=01CRU&amp;lang=en_US&amp;offset=0&amp;query=any,contains,991000768049702656","Catalog Record")</f>
        <v/>
      </c>
      <c r="AV189">
        <f>HYPERLINK("http://www.worldcat.org/oclc/131205","WorldCat Record")</f>
        <v/>
      </c>
      <c r="AW189" t="inlineStr">
        <is>
          <t>509536109:eng</t>
        </is>
      </c>
      <c r="AX189" t="inlineStr">
        <is>
          <t>131205</t>
        </is>
      </c>
      <c r="AY189" t="inlineStr">
        <is>
          <t>991000768049702656</t>
        </is>
      </c>
      <c r="AZ189" t="inlineStr">
        <is>
          <t>991000768049702656</t>
        </is>
      </c>
      <c r="BA189" t="inlineStr">
        <is>
          <t>2255273030002656</t>
        </is>
      </c>
      <c r="BB189" t="inlineStr">
        <is>
          <t>BOOK</t>
        </is>
      </c>
      <c r="BE189" t="inlineStr">
        <is>
          <t>32285000023951</t>
        </is>
      </c>
      <c r="BF189" t="inlineStr">
        <is>
          <t>893714885</t>
        </is>
      </c>
    </row>
    <row r="190">
      <c r="A190" t="inlineStr">
        <is>
          <t>No</t>
        </is>
      </c>
      <c r="B190" t="inlineStr">
        <is>
          <t>CURAL</t>
        </is>
      </c>
      <c r="C190" t="inlineStr">
        <is>
          <t>SHELVES</t>
        </is>
      </c>
      <c r="D190" t="inlineStr">
        <is>
          <t>PR1309.D4 G7</t>
        </is>
      </c>
      <c r="E190" t="inlineStr">
        <is>
          <t>0                      PR 1309000D  4                  G  7</t>
        </is>
      </c>
      <c r="F190" t="inlineStr">
        <is>
          <t>The rivals of Sherlock Holmes : early detective stories / edited and introduced by Hugh Greene.</t>
        </is>
      </c>
      <c r="H190" t="inlineStr">
        <is>
          <t>No</t>
        </is>
      </c>
      <c r="I190" t="inlineStr">
        <is>
          <t>1</t>
        </is>
      </c>
      <c r="J190" t="inlineStr">
        <is>
          <t>No</t>
        </is>
      </c>
      <c r="K190" t="inlineStr">
        <is>
          <t>No</t>
        </is>
      </c>
      <c r="L190" t="inlineStr">
        <is>
          <t>0</t>
        </is>
      </c>
      <c r="M190" t="inlineStr">
        <is>
          <t>Greene, Hugh, 1910-1987, compiler.</t>
        </is>
      </c>
      <c r="N190" t="inlineStr">
        <is>
          <t>London : Bodley Head, 1970.</t>
        </is>
      </c>
      <c r="O190" t="inlineStr">
        <is>
          <t>1970</t>
        </is>
      </c>
      <c r="Q190" t="inlineStr">
        <is>
          <t>eng</t>
        </is>
      </c>
      <c r="R190" t="inlineStr">
        <is>
          <t>enk</t>
        </is>
      </c>
      <c r="T190" t="inlineStr">
        <is>
          <t xml:space="preserve">PR </t>
        </is>
      </c>
      <c r="U190" t="n">
        <v>1</v>
      </c>
      <c r="V190" t="n">
        <v>1</v>
      </c>
      <c r="W190" t="inlineStr">
        <is>
          <t>1994-08-04</t>
        </is>
      </c>
      <c r="X190" t="inlineStr">
        <is>
          <t>1994-08-04</t>
        </is>
      </c>
      <c r="Y190" t="inlineStr">
        <is>
          <t>1991-10-01</t>
        </is>
      </c>
      <c r="Z190" t="inlineStr">
        <is>
          <t>1991-10-01</t>
        </is>
      </c>
      <c r="AA190" t="n">
        <v>111</v>
      </c>
      <c r="AB190" t="n">
        <v>47</v>
      </c>
      <c r="AC190" t="n">
        <v>547</v>
      </c>
      <c r="AD190" t="n">
        <v>1</v>
      </c>
      <c r="AE190" t="n">
        <v>6</v>
      </c>
      <c r="AF190" t="n">
        <v>4</v>
      </c>
      <c r="AG190" t="n">
        <v>12</v>
      </c>
      <c r="AH190" t="n">
        <v>2</v>
      </c>
      <c r="AI190" t="n">
        <v>2</v>
      </c>
      <c r="AJ190" t="n">
        <v>0</v>
      </c>
      <c r="AK190" t="n">
        <v>2</v>
      </c>
      <c r="AL190" t="n">
        <v>3</v>
      </c>
      <c r="AM190" t="n">
        <v>7</v>
      </c>
      <c r="AN190" t="n">
        <v>0</v>
      </c>
      <c r="AO190" t="n">
        <v>3</v>
      </c>
      <c r="AP190" t="n">
        <v>0</v>
      </c>
      <c r="AQ190" t="n">
        <v>0</v>
      </c>
      <c r="AR190" t="inlineStr">
        <is>
          <t>No</t>
        </is>
      </c>
      <c r="AS190" t="inlineStr">
        <is>
          <t>No</t>
        </is>
      </c>
      <c r="AU190">
        <f>HYPERLINK("https://creighton-primo.hosted.exlibrisgroup.com/primo-explore/search?tab=default_tab&amp;search_scope=EVERYTHING&amp;vid=01CRU&amp;lang=en_US&amp;offset=0&amp;query=any,contains,991000671039702656","Catalog Record")</f>
        <v/>
      </c>
      <c r="AV190">
        <f>HYPERLINK("http://www.worldcat.org/oclc/118881","WorldCat Record")</f>
        <v/>
      </c>
      <c r="AW190" t="inlineStr">
        <is>
          <t>43067898:eng</t>
        </is>
      </c>
      <c r="AX190" t="inlineStr">
        <is>
          <t>118881</t>
        </is>
      </c>
      <c r="AY190" t="inlineStr">
        <is>
          <t>991000671039702656</t>
        </is>
      </c>
      <c r="AZ190" t="inlineStr">
        <is>
          <t>991000671039702656</t>
        </is>
      </c>
      <c r="BA190" t="inlineStr">
        <is>
          <t>2261605190002656</t>
        </is>
      </c>
      <c r="BB190" t="inlineStr">
        <is>
          <t>BOOK</t>
        </is>
      </c>
      <c r="BD190" t="inlineStr">
        <is>
          <t>9780370014340</t>
        </is>
      </c>
      <c r="BE190" t="inlineStr">
        <is>
          <t>32285000761717</t>
        </is>
      </c>
      <c r="BF190" t="inlineStr">
        <is>
          <t>893225196</t>
        </is>
      </c>
    </row>
    <row r="191">
      <c r="A191" t="inlineStr">
        <is>
          <t>No</t>
        </is>
      </c>
      <c r="B191" t="inlineStr">
        <is>
          <t>CURAL</t>
        </is>
      </c>
      <c r="C191" t="inlineStr">
        <is>
          <t>SHELVES</t>
        </is>
      </c>
      <c r="D191" t="inlineStr">
        <is>
          <t>PR1309.D4 G73</t>
        </is>
      </c>
      <c r="E191" t="inlineStr">
        <is>
          <t>0                      PR 1309000D  4                  G  73</t>
        </is>
      </c>
      <c r="F191" t="inlineStr">
        <is>
          <t>The crooked counties : further rivals of Sherlock Holmes / edited and introduced by Hugh Greene.</t>
        </is>
      </c>
      <c r="H191" t="inlineStr">
        <is>
          <t>No</t>
        </is>
      </c>
      <c r="I191" t="inlineStr">
        <is>
          <t>1</t>
        </is>
      </c>
      <c r="J191" t="inlineStr">
        <is>
          <t>No</t>
        </is>
      </c>
      <c r="K191" t="inlineStr">
        <is>
          <t>No</t>
        </is>
      </c>
      <c r="L191" t="inlineStr">
        <is>
          <t>0</t>
        </is>
      </c>
      <c r="M191" t="inlineStr">
        <is>
          <t>Greene, Hugh, 1910-1987.</t>
        </is>
      </c>
      <c r="N191" t="inlineStr">
        <is>
          <t>London : Bodley Head, 1973.</t>
        </is>
      </c>
      <c r="O191" t="inlineStr">
        <is>
          <t>1973</t>
        </is>
      </c>
      <c r="Q191" t="inlineStr">
        <is>
          <t>eng</t>
        </is>
      </c>
      <c r="R191" t="inlineStr">
        <is>
          <t>enk</t>
        </is>
      </c>
      <c r="T191" t="inlineStr">
        <is>
          <t xml:space="preserve">PR </t>
        </is>
      </c>
      <c r="U191" t="n">
        <v>2</v>
      </c>
      <c r="V191" t="n">
        <v>2</v>
      </c>
      <c r="W191" t="inlineStr">
        <is>
          <t>1994-08-15</t>
        </is>
      </c>
      <c r="X191" t="inlineStr">
        <is>
          <t>1994-08-15</t>
        </is>
      </c>
      <c r="Y191" t="inlineStr">
        <is>
          <t>1991-10-01</t>
        </is>
      </c>
      <c r="Z191" t="inlineStr">
        <is>
          <t>1991-10-01</t>
        </is>
      </c>
      <c r="AA191" t="n">
        <v>83</v>
      </c>
      <c r="AB191" t="n">
        <v>31</v>
      </c>
      <c r="AC191" t="n">
        <v>298</v>
      </c>
      <c r="AD191" t="n">
        <v>2</v>
      </c>
      <c r="AE191" t="n">
        <v>2</v>
      </c>
      <c r="AF191" t="n">
        <v>3</v>
      </c>
      <c r="AG191" t="n">
        <v>10</v>
      </c>
      <c r="AH191" t="n">
        <v>0</v>
      </c>
      <c r="AI191" t="n">
        <v>5</v>
      </c>
      <c r="AJ191" t="n">
        <v>0</v>
      </c>
      <c r="AK191" t="n">
        <v>1</v>
      </c>
      <c r="AL191" t="n">
        <v>2</v>
      </c>
      <c r="AM191" t="n">
        <v>5</v>
      </c>
      <c r="AN191" t="n">
        <v>1</v>
      </c>
      <c r="AO191" t="n">
        <v>1</v>
      </c>
      <c r="AP191" t="n">
        <v>0</v>
      </c>
      <c r="AQ191" t="n">
        <v>0</v>
      </c>
      <c r="AR191" t="inlineStr">
        <is>
          <t>No</t>
        </is>
      </c>
      <c r="AS191" t="inlineStr">
        <is>
          <t>No</t>
        </is>
      </c>
      <c r="AU191">
        <f>HYPERLINK("https://creighton-primo.hosted.exlibrisgroup.com/primo-explore/search?tab=default_tab&amp;search_scope=EVERYTHING&amp;vid=01CRU&amp;lang=en_US&amp;offset=0&amp;query=any,contains,991003354029702656","Catalog Record")</f>
        <v/>
      </c>
      <c r="AV191">
        <f>HYPERLINK("http://www.worldcat.org/oclc/886767","WorldCat Record")</f>
        <v/>
      </c>
      <c r="AW191" t="inlineStr">
        <is>
          <t>47289275:eng</t>
        </is>
      </c>
      <c r="AX191" t="inlineStr">
        <is>
          <t>886767</t>
        </is>
      </c>
      <c r="AY191" t="inlineStr">
        <is>
          <t>991003354029702656</t>
        </is>
      </c>
      <c r="AZ191" t="inlineStr">
        <is>
          <t>991003354029702656</t>
        </is>
      </c>
      <c r="BA191" t="inlineStr">
        <is>
          <t>2257883470002656</t>
        </is>
      </c>
      <c r="BB191" t="inlineStr">
        <is>
          <t>BOOK</t>
        </is>
      </c>
      <c r="BD191" t="inlineStr">
        <is>
          <t>9780370014906</t>
        </is>
      </c>
      <c r="BE191" t="inlineStr">
        <is>
          <t>32285000761725</t>
        </is>
      </c>
      <c r="BF191" t="inlineStr">
        <is>
          <t>893887401</t>
        </is>
      </c>
    </row>
    <row r="192">
      <c r="A192" t="inlineStr">
        <is>
          <t>No</t>
        </is>
      </c>
      <c r="B192" t="inlineStr">
        <is>
          <t>CURAL</t>
        </is>
      </c>
      <c r="C192" t="inlineStr">
        <is>
          <t>SHELVES</t>
        </is>
      </c>
      <c r="D192" t="inlineStr">
        <is>
          <t>PR1309.D4 M3 1985</t>
        </is>
      </c>
      <c r="E192" t="inlineStr">
        <is>
          <t>0                      PR 1309000D  4                  M  3           1985</t>
        </is>
      </c>
      <c r="F192" t="inlineStr">
        <is>
          <t>The Mammoth book of great detective stories / edited by Herbert Van Thal.</t>
        </is>
      </c>
      <c r="H192" t="inlineStr">
        <is>
          <t>No</t>
        </is>
      </c>
      <c r="I192" t="inlineStr">
        <is>
          <t>1</t>
        </is>
      </c>
      <c r="J192" t="inlineStr">
        <is>
          <t>No</t>
        </is>
      </c>
      <c r="K192" t="inlineStr">
        <is>
          <t>No</t>
        </is>
      </c>
      <c r="L192" t="inlineStr">
        <is>
          <t>0</t>
        </is>
      </c>
      <c r="N192" t="inlineStr">
        <is>
          <t>London : Robinson Publishing, 1985</t>
        </is>
      </c>
      <c r="O192" t="inlineStr">
        <is>
          <t>1985</t>
        </is>
      </c>
      <c r="P192" t="inlineStr">
        <is>
          <t>Ommibus ed.</t>
        </is>
      </c>
      <c r="Q192" t="inlineStr">
        <is>
          <t>eng</t>
        </is>
      </c>
      <c r="R192" t="inlineStr">
        <is>
          <t>enk</t>
        </is>
      </c>
      <c r="T192" t="inlineStr">
        <is>
          <t xml:space="preserve">PR </t>
        </is>
      </c>
      <c r="U192" t="n">
        <v>4</v>
      </c>
      <c r="V192" t="n">
        <v>4</v>
      </c>
      <c r="W192" t="inlineStr">
        <is>
          <t>1992-09-30</t>
        </is>
      </c>
      <c r="X192" t="inlineStr">
        <is>
          <t>1992-09-30</t>
        </is>
      </c>
      <c r="Y192" t="inlineStr">
        <is>
          <t>1991-09-23</t>
        </is>
      </c>
      <c r="Z192" t="inlineStr">
        <is>
          <t>1991-09-23</t>
        </is>
      </c>
      <c r="AA192" t="n">
        <v>29</v>
      </c>
      <c r="AB192" t="n">
        <v>24</v>
      </c>
      <c r="AC192" t="n">
        <v>27</v>
      </c>
      <c r="AD192" t="n">
        <v>1</v>
      </c>
      <c r="AE192" t="n">
        <v>1</v>
      </c>
      <c r="AF192" t="n">
        <v>0</v>
      </c>
      <c r="AG192" t="n">
        <v>0</v>
      </c>
      <c r="AH192" t="n">
        <v>0</v>
      </c>
      <c r="AI192" t="n">
        <v>0</v>
      </c>
      <c r="AJ192" t="n">
        <v>0</v>
      </c>
      <c r="AK192" t="n">
        <v>0</v>
      </c>
      <c r="AL192" t="n">
        <v>0</v>
      </c>
      <c r="AM192" t="n">
        <v>0</v>
      </c>
      <c r="AN192" t="n">
        <v>0</v>
      </c>
      <c r="AO192" t="n">
        <v>0</v>
      </c>
      <c r="AP192" t="n">
        <v>0</v>
      </c>
      <c r="AQ192" t="n">
        <v>0</v>
      </c>
      <c r="AR192" t="inlineStr">
        <is>
          <t>No</t>
        </is>
      </c>
      <c r="AS192" t="inlineStr">
        <is>
          <t>Yes</t>
        </is>
      </c>
      <c r="AT192">
        <f>HYPERLINK("http://catalog.hathitrust.org/Record/007040116","HathiTrust Record")</f>
        <v/>
      </c>
      <c r="AU192">
        <f>HYPERLINK("https://creighton-primo.hosted.exlibrisgroup.com/primo-explore/search?tab=default_tab&amp;search_scope=EVERYTHING&amp;vid=01CRU&amp;lang=en_US&amp;offset=0&amp;query=any,contains,991000676869702656","Catalog Record")</f>
        <v/>
      </c>
      <c r="AV192">
        <f>HYPERLINK("http://www.worldcat.org/oclc/12369694","WorldCat Record")</f>
        <v/>
      </c>
      <c r="AW192" t="inlineStr">
        <is>
          <t>4161698994:eng</t>
        </is>
      </c>
      <c r="AX192" t="inlineStr">
        <is>
          <t>12369694</t>
        </is>
      </c>
      <c r="AY192" t="inlineStr">
        <is>
          <t>991000676869702656</t>
        </is>
      </c>
      <c r="AZ192" t="inlineStr">
        <is>
          <t>991000676869702656</t>
        </is>
      </c>
      <c r="BA192" t="inlineStr">
        <is>
          <t>2268893180002656</t>
        </is>
      </c>
      <c r="BB192" t="inlineStr">
        <is>
          <t>BOOK</t>
        </is>
      </c>
      <c r="BD192" t="inlineStr">
        <is>
          <t>9780948164033</t>
        </is>
      </c>
      <c r="BE192" t="inlineStr">
        <is>
          <t>32285000761733</t>
        </is>
      </c>
      <c r="BF192" t="inlineStr">
        <is>
          <t>893778137</t>
        </is>
      </c>
    </row>
    <row r="193">
      <c r="A193" t="inlineStr">
        <is>
          <t>No</t>
        </is>
      </c>
      <c r="B193" t="inlineStr">
        <is>
          <t>CURAL</t>
        </is>
      </c>
      <c r="C193" t="inlineStr">
        <is>
          <t>SHELVES</t>
        </is>
      </c>
      <c r="D193" t="inlineStr">
        <is>
          <t>PR1309.D4 V49 1992</t>
        </is>
      </c>
      <c r="E193" t="inlineStr">
        <is>
          <t>0                      PR 1309000D  4                  V  49          1992</t>
        </is>
      </c>
      <c r="F193" t="inlineStr">
        <is>
          <t>Victorian tales of mystery and detection : an Oxford anthology / selected and introduced by Michael Cox.</t>
        </is>
      </c>
      <c r="H193" t="inlineStr">
        <is>
          <t>No</t>
        </is>
      </c>
      <c r="I193" t="inlineStr">
        <is>
          <t>1</t>
        </is>
      </c>
      <c r="J193" t="inlineStr">
        <is>
          <t>No</t>
        </is>
      </c>
      <c r="K193" t="inlineStr">
        <is>
          <t>No</t>
        </is>
      </c>
      <c r="L193" t="inlineStr">
        <is>
          <t>0</t>
        </is>
      </c>
      <c r="N193" t="inlineStr">
        <is>
          <t>Oxford [England] ; New York : Oxford University Press, 1992.</t>
        </is>
      </c>
      <c r="O193" t="inlineStr">
        <is>
          <t>1992</t>
        </is>
      </c>
      <c r="Q193" t="inlineStr">
        <is>
          <t>eng</t>
        </is>
      </c>
      <c r="R193" t="inlineStr">
        <is>
          <t>enk</t>
        </is>
      </c>
      <c r="T193" t="inlineStr">
        <is>
          <t xml:space="preserve">PR </t>
        </is>
      </c>
      <c r="U193" t="n">
        <v>4</v>
      </c>
      <c r="V193" t="n">
        <v>4</v>
      </c>
      <c r="W193" t="inlineStr">
        <is>
          <t>1994-08-26</t>
        </is>
      </c>
      <c r="X193" t="inlineStr">
        <is>
          <t>1994-08-26</t>
        </is>
      </c>
      <c r="Y193" t="inlineStr">
        <is>
          <t>1993-03-25</t>
        </is>
      </c>
      <c r="Z193" t="inlineStr">
        <is>
          <t>1993-03-25</t>
        </is>
      </c>
      <c r="AA193" t="n">
        <v>477</v>
      </c>
      <c r="AB193" t="n">
        <v>398</v>
      </c>
      <c r="AC193" t="n">
        <v>404</v>
      </c>
      <c r="AD193" t="n">
        <v>4</v>
      </c>
      <c r="AE193" t="n">
        <v>4</v>
      </c>
      <c r="AF193" t="n">
        <v>13</v>
      </c>
      <c r="AG193" t="n">
        <v>13</v>
      </c>
      <c r="AH193" t="n">
        <v>4</v>
      </c>
      <c r="AI193" t="n">
        <v>4</v>
      </c>
      <c r="AJ193" t="n">
        <v>2</v>
      </c>
      <c r="AK193" t="n">
        <v>2</v>
      </c>
      <c r="AL193" t="n">
        <v>10</v>
      </c>
      <c r="AM193" t="n">
        <v>10</v>
      </c>
      <c r="AN193" t="n">
        <v>2</v>
      </c>
      <c r="AO193" t="n">
        <v>2</v>
      </c>
      <c r="AP193" t="n">
        <v>0</v>
      </c>
      <c r="AQ193" t="n">
        <v>0</v>
      </c>
      <c r="AR193" t="inlineStr">
        <is>
          <t>No</t>
        </is>
      </c>
      <c r="AS193" t="inlineStr">
        <is>
          <t>Yes</t>
        </is>
      </c>
      <c r="AT193">
        <f>HYPERLINK("http://catalog.hathitrust.org/Record/007110614","HathiTrust Record")</f>
        <v/>
      </c>
      <c r="AU193">
        <f>HYPERLINK("https://creighton-primo.hosted.exlibrisgroup.com/primo-explore/search?tab=default_tab&amp;search_scope=EVERYTHING&amp;vid=01CRU&amp;lang=en_US&amp;offset=0&amp;query=any,contains,991001980849702656","Catalog Record")</f>
        <v/>
      </c>
      <c r="AV193">
        <f>HYPERLINK("http://www.worldcat.org/oclc/25131374","WorldCat Record")</f>
        <v/>
      </c>
      <c r="AW193" t="inlineStr">
        <is>
          <t>3372906917:eng</t>
        </is>
      </c>
      <c r="AX193" t="inlineStr">
        <is>
          <t>25131374</t>
        </is>
      </c>
      <c r="AY193" t="inlineStr">
        <is>
          <t>991001980849702656</t>
        </is>
      </c>
      <c r="AZ193" t="inlineStr">
        <is>
          <t>991001980849702656</t>
        </is>
      </c>
      <c r="BA193" t="inlineStr">
        <is>
          <t>2271252740002656</t>
        </is>
      </c>
      <c r="BB193" t="inlineStr">
        <is>
          <t>BOOK</t>
        </is>
      </c>
      <c r="BD193" t="inlineStr">
        <is>
          <t>9780192123084</t>
        </is>
      </c>
      <c r="BE193" t="inlineStr">
        <is>
          <t>32285001498582</t>
        </is>
      </c>
      <c r="BF193" t="inlineStr">
        <is>
          <t>893879369</t>
        </is>
      </c>
    </row>
    <row r="194">
      <c r="A194" t="inlineStr">
        <is>
          <t>No</t>
        </is>
      </c>
      <c r="B194" t="inlineStr">
        <is>
          <t>CURAL</t>
        </is>
      </c>
      <c r="C194" t="inlineStr">
        <is>
          <t>SHELVES</t>
        </is>
      </c>
      <c r="D194" t="inlineStr">
        <is>
          <t>PR1309.E4 N5 1956</t>
        </is>
      </c>
      <c r="E194" t="inlineStr">
        <is>
          <t>0                      PR 1309000E  4                  N  5           1956</t>
        </is>
      </c>
      <c r="F194" t="inlineStr">
        <is>
          <t>To the hustings : election scenes from English fiction / H. G. Nicholas.</t>
        </is>
      </c>
      <c r="H194" t="inlineStr">
        <is>
          <t>No</t>
        </is>
      </c>
      <c r="I194" t="inlineStr">
        <is>
          <t>1</t>
        </is>
      </c>
      <c r="J194" t="inlineStr">
        <is>
          <t>No</t>
        </is>
      </c>
      <c r="K194" t="inlineStr">
        <is>
          <t>No</t>
        </is>
      </c>
      <c r="L194" t="inlineStr">
        <is>
          <t>0</t>
        </is>
      </c>
      <c r="M194" t="inlineStr">
        <is>
          <t>Nicholas, H. G. (Herbert George), 1911-1998.</t>
        </is>
      </c>
      <c r="N194" t="inlineStr">
        <is>
          <t>London : Cassell, [1956]</t>
        </is>
      </c>
      <c r="O194" t="inlineStr">
        <is>
          <t>1956</t>
        </is>
      </c>
      <c r="Q194" t="inlineStr">
        <is>
          <t>eng</t>
        </is>
      </c>
      <c r="R194" t="inlineStr">
        <is>
          <t>enk</t>
        </is>
      </c>
      <c r="T194" t="inlineStr">
        <is>
          <t xml:space="preserve">PR </t>
        </is>
      </c>
      <c r="U194" t="n">
        <v>0</v>
      </c>
      <c r="V194" t="n">
        <v>0</v>
      </c>
      <c r="W194" t="inlineStr">
        <is>
          <t>2010-02-15</t>
        </is>
      </c>
      <c r="X194" t="inlineStr">
        <is>
          <t>2010-02-15</t>
        </is>
      </c>
      <c r="Y194" t="inlineStr">
        <is>
          <t>1991-03-21</t>
        </is>
      </c>
      <c r="Z194" t="inlineStr">
        <is>
          <t>1991-03-21</t>
        </is>
      </c>
      <c r="AA194" t="n">
        <v>122</v>
      </c>
      <c r="AB194" t="n">
        <v>65</v>
      </c>
      <c r="AC194" t="n">
        <v>67</v>
      </c>
      <c r="AD194" t="n">
        <v>1</v>
      </c>
      <c r="AE194" t="n">
        <v>1</v>
      </c>
      <c r="AF194" t="n">
        <v>5</v>
      </c>
      <c r="AG194" t="n">
        <v>5</v>
      </c>
      <c r="AH194" t="n">
        <v>1</v>
      </c>
      <c r="AI194" t="n">
        <v>1</v>
      </c>
      <c r="AJ194" t="n">
        <v>3</v>
      </c>
      <c r="AK194" t="n">
        <v>3</v>
      </c>
      <c r="AL194" t="n">
        <v>4</v>
      </c>
      <c r="AM194" t="n">
        <v>4</v>
      </c>
      <c r="AN194" t="n">
        <v>0</v>
      </c>
      <c r="AO194" t="n">
        <v>0</v>
      </c>
      <c r="AP194" t="n">
        <v>0</v>
      </c>
      <c r="AQ194" t="n">
        <v>0</v>
      </c>
      <c r="AR194" t="inlineStr">
        <is>
          <t>No</t>
        </is>
      </c>
      <c r="AS194" t="inlineStr">
        <is>
          <t>Yes</t>
        </is>
      </c>
      <c r="AT194">
        <f>HYPERLINK("http://catalog.hathitrust.org/Record/006606717","HathiTrust Record")</f>
        <v/>
      </c>
      <c r="AU194">
        <f>HYPERLINK("https://creighton-primo.hosted.exlibrisgroup.com/primo-explore/search?tab=default_tab&amp;search_scope=EVERYTHING&amp;vid=01CRU&amp;lang=en_US&amp;offset=0&amp;query=any,contains,991004434359702656","Catalog Record")</f>
        <v/>
      </c>
      <c r="AV194">
        <f>HYPERLINK("http://www.worldcat.org/oclc/3456374","WorldCat Record")</f>
        <v/>
      </c>
      <c r="AW194" t="inlineStr">
        <is>
          <t>836699754:eng</t>
        </is>
      </c>
      <c r="AX194" t="inlineStr">
        <is>
          <t>3456374</t>
        </is>
      </c>
      <c r="AY194" t="inlineStr">
        <is>
          <t>991004434359702656</t>
        </is>
      </c>
      <c r="AZ194" t="inlineStr">
        <is>
          <t>991004434359702656</t>
        </is>
      </c>
      <c r="BA194" t="inlineStr">
        <is>
          <t>2268703070002656</t>
        </is>
      </c>
      <c r="BB194" t="inlineStr">
        <is>
          <t>BOOK</t>
        </is>
      </c>
      <c r="BE194" t="inlineStr">
        <is>
          <t>32285000536408</t>
        </is>
      </c>
      <c r="BF194" t="inlineStr">
        <is>
          <t>893263268</t>
        </is>
      </c>
    </row>
    <row r="195">
      <c r="A195" t="inlineStr">
        <is>
          <t>No</t>
        </is>
      </c>
      <c r="B195" t="inlineStr">
        <is>
          <t>CURAL</t>
        </is>
      </c>
      <c r="C195" t="inlineStr">
        <is>
          <t>SHELVES</t>
        </is>
      </c>
      <c r="D195" t="inlineStr">
        <is>
          <t>PR1309.F3 A14 1997</t>
        </is>
      </c>
      <c r="E195" t="inlineStr">
        <is>
          <t>0                      PR 1309000F  3                  A  14          1997</t>
        </is>
      </c>
      <c r="F195" t="inlineStr">
        <is>
          <t>12 tales of the supernatural / selected and introduced by Michael Cox.</t>
        </is>
      </c>
      <c r="H195" t="inlineStr">
        <is>
          <t>No</t>
        </is>
      </c>
      <c r="I195" t="inlineStr">
        <is>
          <t>1</t>
        </is>
      </c>
      <c r="J195" t="inlineStr">
        <is>
          <t>No</t>
        </is>
      </c>
      <c r="K195" t="inlineStr">
        <is>
          <t>No</t>
        </is>
      </c>
      <c r="L195" t="inlineStr">
        <is>
          <t>0</t>
        </is>
      </c>
      <c r="N195" t="inlineStr">
        <is>
          <t>Oxford [England] ; New York : Oxford University Press, 1997.</t>
        </is>
      </c>
      <c r="O195" t="inlineStr">
        <is>
          <t>1997</t>
        </is>
      </c>
      <c r="Q195" t="inlineStr">
        <is>
          <t>eng</t>
        </is>
      </c>
      <c r="R195" t="inlineStr">
        <is>
          <t>enk</t>
        </is>
      </c>
      <c r="T195" t="inlineStr">
        <is>
          <t xml:space="preserve">PR </t>
        </is>
      </c>
      <c r="U195" t="n">
        <v>7</v>
      </c>
      <c r="V195" t="n">
        <v>7</v>
      </c>
      <c r="W195" t="inlineStr">
        <is>
          <t>2005-06-17</t>
        </is>
      </c>
      <c r="X195" t="inlineStr">
        <is>
          <t>2005-06-17</t>
        </is>
      </c>
      <c r="Y195" t="inlineStr">
        <is>
          <t>2001-07-10</t>
        </is>
      </c>
      <c r="Z195" t="inlineStr">
        <is>
          <t>2001-07-10</t>
        </is>
      </c>
      <c r="AA195" t="n">
        <v>78</v>
      </c>
      <c r="AB195" t="n">
        <v>46</v>
      </c>
      <c r="AC195" t="n">
        <v>46</v>
      </c>
      <c r="AD195" t="n">
        <v>2</v>
      </c>
      <c r="AE195" t="n">
        <v>2</v>
      </c>
      <c r="AF195" t="n">
        <v>4</v>
      </c>
      <c r="AG195" t="n">
        <v>4</v>
      </c>
      <c r="AH195" t="n">
        <v>0</v>
      </c>
      <c r="AI195" t="n">
        <v>0</v>
      </c>
      <c r="AJ195" t="n">
        <v>1</v>
      </c>
      <c r="AK195" t="n">
        <v>1</v>
      </c>
      <c r="AL195" t="n">
        <v>3</v>
      </c>
      <c r="AM195" t="n">
        <v>3</v>
      </c>
      <c r="AN195" t="n">
        <v>1</v>
      </c>
      <c r="AO195" t="n">
        <v>1</v>
      </c>
      <c r="AP195" t="n">
        <v>0</v>
      </c>
      <c r="AQ195" t="n">
        <v>0</v>
      </c>
      <c r="AR195" t="inlineStr">
        <is>
          <t>No</t>
        </is>
      </c>
      <c r="AS195" t="inlineStr">
        <is>
          <t>No</t>
        </is>
      </c>
      <c r="AU195">
        <f>HYPERLINK("https://creighton-primo.hosted.exlibrisgroup.com/primo-explore/search?tab=default_tab&amp;search_scope=EVERYTHING&amp;vid=01CRU&amp;lang=en_US&amp;offset=0&amp;query=any,contains,991003505789702656","Catalog Record")</f>
        <v/>
      </c>
      <c r="AV195">
        <f>HYPERLINK("http://www.worldcat.org/oclc/38990253","WorldCat Record")</f>
        <v/>
      </c>
      <c r="AW195" t="inlineStr">
        <is>
          <t>596508:eng</t>
        </is>
      </c>
      <c r="AX195" t="inlineStr">
        <is>
          <t>38990253</t>
        </is>
      </c>
      <c r="AY195" t="inlineStr">
        <is>
          <t>991003505789702656</t>
        </is>
      </c>
      <c r="AZ195" t="inlineStr">
        <is>
          <t>991003505789702656</t>
        </is>
      </c>
      <c r="BA195" t="inlineStr">
        <is>
          <t>2269876990002656</t>
        </is>
      </c>
      <c r="BB195" t="inlineStr">
        <is>
          <t>BOOK</t>
        </is>
      </c>
      <c r="BD195" t="inlineStr">
        <is>
          <t>9780192880277</t>
        </is>
      </c>
      <c r="BE195" t="inlineStr">
        <is>
          <t>32285004330725</t>
        </is>
      </c>
      <c r="BF195" t="inlineStr">
        <is>
          <t>893774792</t>
        </is>
      </c>
    </row>
    <row r="196">
      <c r="A196" t="inlineStr">
        <is>
          <t>No</t>
        </is>
      </c>
      <c r="B196" t="inlineStr">
        <is>
          <t>CURAL</t>
        </is>
      </c>
      <c r="C196" t="inlineStr">
        <is>
          <t>SHELVES</t>
        </is>
      </c>
      <c r="D196" t="inlineStr">
        <is>
          <t>PR1309.H57 P46 1994</t>
        </is>
      </c>
      <c r="E196" t="inlineStr">
        <is>
          <t>0                      PR 1309000H  57                 P  46          1994</t>
        </is>
      </c>
      <c r="F196" t="inlineStr">
        <is>
          <t>The Penguin book of gay short stories / edited by David Leavitt and Mark Mitchell ; introduction by David Leavitt.</t>
        </is>
      </c>
      <c r="H196" t="inlineStr">
        <is>
          <t>No</t>
        </is>
      </c>
      <c r="I196" t="inlineStr">
        <is>
          <t>1</t>
        </is>
      </c>
      <c r="J196" t="inlineStr">
        <is>
          <t>No</t>
        </is>
      </c>
      <c r="K196" t="inlineStr">
        <is>
          <t>No</t>
        </is>
      </c>
      <c r="L196" t="inlineStr">
        <is>
          <t>0</t>
        </is>
      </c>
      <c r="N196" t="inlineStr">
        <is>
          <t>New York : Viking, 1994.</t>
        </is>
      </c>
      <c r="O196" t="inlineStr">
        <is>
          <t>1994</t>
        </is>
      </c>
      <c r="Q196" t="inlineStr">
        <is>
          <t>eng</t>
        </is>
      </c>
      <c r="R196" t="inlineStr">
        <is>
          <t>nyu</t>
        </is>
      </c>
      <c r="T196" t="inlineStr">
        <is>
          <t xml:space="preserve">PR </t>
        </is>
      </c>
      <c r="U196" t="n">
        <v>7</v>
      </c>
      <c r="V196" t="n">
        <v>7</v>
      </c>
      <c r="W196" t="inlineStr">
        <is>
          <t>2004-09-01</t>
        </is>
      </c>
      <c r="X196" t="inlineStr">
        <is>
          <t>2004-09-01</t>
        </is>
      </c>
      <c r="Y196" t="inlineStr">
        <is>
          <t>1995-10-24</t>
        </is>
      </c>
      <c r="Z196" t="inlineStr">
        <is>
          <t>1995-10-24</t>
        </is>
      </c>
      <c r="AA196" t="n">
        <v>471</v>
      </c>
      <c r="AB196" t="n">
        <v>414</v>
      </c>
      <c r="AC196" t="n">
        <v>500</v>
      </c>
      <c r="AD196" t="n">
        <v>2</v>
      </c>
      <c r="AE196" t="n">
        <v>3</v>
      </c>
      <c r="AF196" t="n">
        <v>15</v>
      </c>
      <c r="AG196" t="n">
        <v>17</v>
      </c>
      <c r="AH196" t="n">
        <v>5</v>
      </c>
      <c r="AI196" t="n">
        <v>6</v>
      </c>
      <c r="AJ196" t="n">
        <v>5</v>
      </c>
      <c r="AK196" t="n">
        <v>5</v>
      </c>
      <c r="AL196" t="n">
        <v>6</v>
      </c>
      <c r="AM196" t="n">
        <v>6</v>
      </c>
      <c r="AN196" t="n">
        <v>1</v>
      </c>
      <c r="AO196" t="n">
        <v>2</v>
      </c>
      <c r="AP196" t="n">
        <v>0</v>
      </c>
      <c r="AQ196" t="n">
        <v>0</v>
      </c>
      <c r="AR196" t="inlineStr">
        <is>
          <t>No</t>
        </is>
      </c>
      <c r="AS196" t="inlineStr">
        <is>
          <t>No</t>
        </is>
      </c>
      <c r="AU196">
        <f>HYPERLINK("https://creighton-primo.hosted.exlibrisgroup.com/primo-explore/search?tab=default_tab&amp;search_scope=EVERYTHING&amp;vid=01CRU&amp;lang=en_US&amp;offset=0&amp;query=any,contains,991002172989702656","Catalog Record")</f>
        <v/>
      </c>
      <c r="AV196">
        <f>HYPERLINK("http://www.worldcat.org/oclc/27974656","WorldCat Record")</f>
        <v/>
      </c>
      <c r="AW196" t="inlineStr">
        <is>
          <t>353562846:eng</t>
        </is>
      </c>
      <c r="AX196" t="inlineStr">
        <is>
          <t>27974656</t>
        </is>
      </c>
      <c r="AY196" t="inlineStr">
        <is>
          <t>991002172989702656</t>
        </is>
      </c>
      <c r="AZ196" t="inlineStr">
        <is>
          <t>991002172989702656</t>
        </is>
      </c>
      <c r="BA196" t="inlineStr">
        <is>
          <t>2264180760002656</t>
        </is>
      </c>
      <c r="BB196" t="inlineStr">
        <is>
          <t>BOOK</t>
        </is>
      </c>
      <c r="BD196" t="inlineStr">
        <is>
          <t>9780670854684</t>
        </is>
      </c>
      <c r="BE196" t="inlineStr">
        <is>
          <t>32285002097433</t>
        </is>
      </c>
      <c r="BF196" t="inlineStr">
        <is>
          <t>893335006</t>
        </is>
      </c>
    </row>
    <row r="197">
      <c r="A197" t="inlineStr">
        <is>
          <t>No</t>
        </is>
      </c>
      <c r="B197" t="inlineStr">
        <is>
          <t>CURAL</t>
        </is>
      </c>
      <c r="C197" t="inlineStr">
        <is>
          <t>SHELVES</t>
        </is>
      </c>
      <c r="D197" t="inlineStr">
        <is>
          <t>PR1309.S2 F57 1971</t>
        </is>
      </c>
      <c r="E197" t="inlineStr">
        <is>
          <t>0                      PR 1309000S  2                  F  57          1971</t>
        </is>
      </c>
      <c r="F197" t="inlineStr">
        <is>
          <t>Modern satiric stories : the impropriety principle / Gregory Fitz Gerald.</t>
        </is>
      </c>
      <c r="H197" t="inlineStr">
        <is>
          <t>No</t>
        </is>
      </c>
      <c r="I197" t="inlineStr">
        <is>
          <t>1</t>
        </is>
      </c>
      <c r="J197" t="inlineStr">
        <is>
          <t>No</t>
        </is>
      </c>
      <c r="K197" t="inlineStr">
        <is>
          <t>No</t>
        </is>
      </c>
      <c r="L197" t="inlineStr">
        <is>
          <t>0</t>
        </is>
      </c>
      <c r="M197" t="inlineStr">
        <is>
          <t>Fitz Gerald, Gregory, 1923-, compiler.</t>
        </is>
      </c>
      <c r="N197" t="inlineStr">
        <is>
          <t>Glenview, Ill. : Scott, Foresman, [1971]</t>
        </is>
      </c>
      <c r="O197" t="inlineStr">
        <is>
          <t>1971</t>
        </is>
      </c>
      <c r="Q197" t="inlineStr">
        <is>
          <t>eng</t>
        </is>
      </c>
      <c r="R197" t="inlineStr">
        <is>
          <t>ilu</t>
        </is>
      </c>
      <c r="T197" t="inlineStr">
        <is>
          <t xml:space="preserve">PR </t>
        </is>
      </c>
      <c r="U197" t="n">
        <v>1</v>
      </c>
      <c r="V197" t="n">
        <v>1</v>
      </c>
      <c r="W197" t="inlineStr">
        <is>
          <t>2004-12-15</t>
        </is>
      </c>
      <c r="X197" t="inlineStr">
        <is>
          <t>2004-12-15</t>
        </is>
      </c>
      <c r="Y197" t="inlineStr">
        <is>
          <t>2004-12-15</t>
        </is>
      </c>
      <c r="Z197" t="inlineStr">
        <is>
          <t>2004-12-15</t>
        </is>
      </c>
      <c r="AA197" t="n">
        <v>172</v>
      </c>
      <c r="AB197" t="n">
        <v>148</v>
      </c>
      <c r="AC197" t="n">
        <v>150</v>
      </c>
      <c r="AD197" t="n">
        <v>2</v>
      </c>
      <c r="AE197" t="n">
        <v>2</v>
      </c>
      <c r="AF197" t="n">
        <v>6</v>
      </c>
      <c r="AG197" t="n">
        <v>6</v>
      </c>
      <c r="AH197" t="n">
        <v>4</v>
      </c>
      <c r="AI197" t="n">
        <v>4</v>
      </c>
      <c r="AJ197" t="n">
        <v>0</v>
      </c>
      <c r="AK197" t="n">
        <v>0</v>
      </c>
      <c r="AL197" t="n">
        <v>1</v>
      </c>
      <c r="AM197" t="n">
        <v>1</v>
      </c>
      <c r="AN197" t="n">
        <v>1</v>
      </c>
      <c r="AO197" t="n">
        <v>1</v>
      </c>
      <c r="AP197" t="n">
        <v>0</v>
      </c>
      <c r="AQ197" t="n">
        <v>0</v>
      </c>
      <c r="AR197" t="inlineStr">
        <is>
          <t>No</t>
        </is>
      </c>
      <c r="AS197" t="inlineStr">
        <is>
          <t>Yes</t>
        </is>
      </c>
      <c r="AT197">
        <f>HYPERLINK("http://catalog.hathitrust.org/Record/009814159","HathiTrust Record")</f>
        <v/>
      </c>
      <c r="AU197">
        <f>HYPERLINK("https://creighton-primo.hosted.exlibrisgroup.com/primo-explore/search?tab=default_tab&amp;search_scope=EVERYTHING&amp;vid=01CRU&amp;lang=en_US&amp;offset=0&amp;query=any,contains,991004438799702656","Catalog Record")</f>
        <v/>
      </c>
      <c r="AV197">
        <f>HYPERLINK("http://www.worldcat.org/oclc/134569","WorldCat Record")</f>
        <v/>
      </c>
      <c r="AW197" t="inlineStr">
        <is>
          <t>1044000553:eng</t>
        </is>
      </c>
      <c r="AX197" t="inlineStr">
        <is>
          <t>134569</t>
        </is>
      </c>
      <c r="AY197" t="inlineStr">
        <is>
          <t>991004438799702656</t>
        </is>
      </c>
      <c r="AZ197" t="inlineStr">
        <is>
          <t>991004438799702656</t>
        </is>
      </c>
      <c r="BA197" t="inlineStr">
        <is>
          <t>2260737410002656</t>
        </is>
      </c>
      <c r="BB197" t="inlineStr">
        <is>
          <t>BOOK</t>
        </is>
      </c>
      <c r="BE197" t="inlineStr">
        <is>
          <t>32285005017693</t>
        </is>
      </c>
      <c r="BF197" t="inlineStr">
        <is>
          <t>893593684</t>
        </is>
      </c>
    </row>
    <row r="198">
      <c r="A198" t="inlineStr">
        <is>
          <t>No</t>
        </is>
      </c>
      <c r="B198" t="inlineStr">
        <is>
          <t>CURAL</t>
        </is>
      </c>
      <c r="C198" t="inlineStr">
        <is>
          <t>SHELVES</t>
        </is>
      </c>
      <c r="D198" t="inlineStr">
        <is>
          <t>PR1345 .W5 1973</t>
        </is>
      </c>
      <c r="E198" t="inlineStr">
        <is>
          <t>0                      PR 1345000W  5           1973</t>
        </is>
      </c>
      <c r="F198" t="inlineStr">
        <is>
          <t>English letters and letter-writers of the eighteenth century / with explanatory notes. 1st series. Swift and Pope.</t>
        </is>
      </c>
      <c r="H198" t="inlineStr">
        <is>
          <t>No</t>
        </is>
      </c>
      <c r="I198" t="inlineStr">
        <is>
          <t>1</t>
        </is>
      </c>
      <c r="J198" t="inlineStr">
        <is>
          <t>No</t>
        </is>
      </c>
      <c r="K198" t="inlineStr">
        <is>
          <t>No</t>
        </is>
      </c>
      <c r="L198" t="inlineStr">
        <is>
          <t>0</t>
        </is>
      </c>
      <c r="M198" t="inlineStr">
        <is>
          <t>Williams, Howard, 1837-1931, editor.</t>
        </is>
      </c>
      <c r="N198" t="inlineStr">
        <is>
          <t>Plainview, N.Y. : Books for Libraries Press, [1973]</t>
        </is>
      </c>
      <c r="O198" t="inlineStr">
        <is>
          <t>1973</t>
        </is>
      </c>
      <c r="Q198" t="inlineStr">
        <is>
          <t>eng</t>
        </is>
      </c>
      <c r="R198" t="inlineStr">
        <is>
          <t>nyu</t>
        </is>
      </c>
      <c r="S198" t="inlineStr">
        <is>
          <t>Essay index reprint series</t>
        </is>
      </c>
      <c r="T198" t="inlineStr">
        <is>
          <t xml:space="preserve">PR </t>
        </is>
      </c>
      <c r="U198" t="n">
        <v>2</v>
      </c>
      <c r="V198" t="n">
        <v>2</v>
      </c>
      <c r="W198" t="inlineStr">
        <is>
          <t>2002-10-31</t>
        </is>
      </c>
      <c r="X198" t="inlineStr">
        <is>
          <t>2002-10-31</t>
        </is>
      </c>
      <c r="Y198" t="inlineStr">
        <is>
          <t>1991-10-01</t>
        </is>
      </c>
      <c r="Z198" t="inlineStr">
        <is>
          <t>1991-10-01</t>
        </is>
      </c>
      <c r="AA198" t="n">
        <v>42</v>
      </c>
      <c r="AB198" t="n">
        <v>40</v>
      </c>
      <c r="AC198" t="n">
        <v>118</v>
      </c>
      <c r="AD198" t="n">
        <v>1</v>
      </c>
      <c r="AE198" t="n">
        <v>2</v>
      </c>
      <c r="AF198" t="n">
        <v>0</v>
      </c>
      <c r="AG198" t="n">
        <v>4</v>
      </c>
      <c r="AH198" t="n">
        <v>0</v>
      </c>
      <c r="AI198" t="n">
        <v>0</v>
      </c>
      <c r="AJ198" t="n">
        <v>0</v>
      </c>
      <c r="AK198" t="n">
        <v>1</v>
      </c>
      <c r="AL198" t="n">
        <v>0</v>
      </c>
      <c r="AM198" t="n">
        <v>2</v>
      </c>
      <c r="AN198" t="n">
        <v>0</v>
      </c>
      <c r="AO198" t="n">
        <v>1</v>
      </c>
      <c r="AP198" t="n">
        <v>0</v>
      </c>
      <c r="AQ198" t="n">
        <v>0</v>
      </c>
      <c r="AR198" t="inlineStr">
        <is>
          <t>No</t>
        </is>
      </c>
      <c r="AS198" t="inlineStr">
        <is>
          <t>No</t>
        </is>
      </c>
      <c r="AU198">
        <f>HYPERLINK("https://creighton-primo.hosted.exlibrisgroup.com/primo-explore/search?tab=default_tab&amp;search_scope=EVERYTHING&amp;vid=01CRU&amp;lang=en_US&amp;offset=0&amp;query=any,contains,991003012129702656","Catalog Record")</f>
        <v/>
      </c>
      <c r="AV198">
        <f>HYPERLINK("http://www.worldcat.org/oclc/578800","WorldCat Record")</f>
        <v/>
      </c>
      <c r="AW198" t="inlineStr">
        <is>
          <t>423063721:eng</t>
        </is>
      </c>
      <c r="AX198" t="inlineStr">
        <is>
          <t>578800</t>
        </is>
      </c>
      <c r="AY198" t="inlineStr">
        <is>
          <t>991003012129702656</t>
        </is>
      </c>
      <c r="AZ198" t="inlineStr">
        <is>
          <t>991003012129702656</t>
        </is>
      </c>
      <c r="BA198" t="inlineStr">
        <is>
          <t>2258552690002656</t>
        </is>
      </c>
      <c r="BB198" t="inlineStr">
        <is>
          <t>BOOK</t>
        </is>
      </c>
      <c r="BD198" t="inlineStr">
        <is>
          <t>9780518100683</t>
        </is>
      </c>
      <c r="BE198" t="inlineStr">
        <is>
          <t>32285000761865</t>
        </is>
      </c>
      <c r="BF198" t="inlineStr">
        <is>
          <t>893627415</t>
        </is>
      </c>
    </row>
    <row r="199">
      <c r="A199" t="inlineStr">
        <is>
          <t>No</t>
        </is>
      </c>
      <c r="B199" t="inlineStr">
        <is>
          <t>CURAL</t>
        </is>
      </c>
      <c r="C199" t="inlineStr">
        <is>
          <t>SHELVES</t>
        </is>
      </c>
      <c r="D199" t="inlineStr">
        <is>
          <t>PR1363 .O9 1991</t>
        </is>
      </c>
      <c r="E199" t="inlineStr">
        <is>
          <t>0                      PR 1363000O  9           1991</t>
        </is>
      </c>
      <c r="F199" t="inlineStr">
        <is>
          <t>The Oxford book of essays / chosen and edited by John Gross.</t>
        </is>
      </c>
      <c r="H199" t="inlineStr">
        <is>
          <t>No</t>
        </is>
      </c>
      <c r="I199" t="inlineStr">
        <is>
          <t>1</t>
        </is>
      </c>
      <c r="J199" t="inlineStr">
        <is>
          <t>No</t>
        </is>
      </c>
      <c r="K199" t="inlineStr">
        <is>
          <t>No</t>
        </is>
      </c>
      <c r="L199" t="inlineStr">
        <is>
          <t>0</t>
        </is>
      </c>
      <c r="N199" t="inlineStr">
        <is>
          <t>Oxford [England] ; New York : Oxford University Press, 1991.</t>
        </is>
      </c>
      <c r="O199" t="inlineStr">
        <is>
          <t>1991</t>
        </is>
      </c>
      <c r="Q199" t="inlineStr">
        <is>
          <t>eng</t>
        </is>
      </c>
      <c r="R199" t="inlineStr">
        <is>
          <t>enk</t>
        </is>
      </c>
      <c r="T199" t="inlineStr">
        <is>
          <t xml:space="preserve">PR </t>
        </is>
      </c>
      <c r="U199" t="n">
        <v>5</v>
      </c>
      <c r="V199" t="n">
        <v>5</v>
      </c>
      <c r="W199" t="inlineStr">
        <is>
          <t>1992-05-13</t>
        </is>
      </c>
      <c r="X199" t="inlineStr">
        <is>
          <t>1992-05-13</t>
        </is>
      </c>
      <c r="Y199" t="inlineStr">
        <is>
          <t>1991-08-01</t>
        </is>
      </c>
      <c r="Z199" t="inlineStr">
        <is>
          <t>1991-08-01</t>
        </is>
      </c>
      <c r="AA199" t="n">
        <v>1538</v>
      </c>
      <c r="AB199" t="n">
        <v>1315</v>
      </c>
      <c r="AC199" t="n">
        <v>1469</v>
      </c>
      <c r="AD199" t="n">
        <v>9</v>
      </c>
      <c r="AE199" t="n">
        <v>11</v>
      </c>
      <c r="AF199" t="n">
        <v>30</v>
      </c>
      <c r="AG199" t="n">
        <v>36</v>
      </c>
      <c r="AH199" t="n">
        <v>12</v>
      </c>
      <c r="AI199" t="n">
        <v>15</v>
      </c>
      <c r="AJ199" t="n">
        <v>7</v>
      </c>
      <c r="AK199" t="n">
        <v>7</v>
      </c>
      <c r="AL199" t="n">
        <v>16</v>
      </c>
      <c r="AM199" t="n">
        <v>17</v>
      </c>
      <c r="AN199" t="n">
        <v>4</v>
      </c>
      <c r="AO199" t="n">
        <v>6</v>
      </c>
      <c r="AP199" t="n">
        <v>1</v>
      </c>
      <c r="AQ199" t="n">
        <v>1</v>
      </c>
      <c r="AR199" t="inlineStr">
        <is>
          <t>No</t>
        </is>
      </c>
      <c r="AS199" t="inlineStr">
        <is>
          <t>Yes</t>
        </is>
      </c>
      <c r="AT199">
        <f>HYPERLINK("http://catalog.hathitrust.org/Record/002466284","HathiTrust Record")</f>
        <v/>
      </c>
      <c r="AU199">
        <f>HYPERLINK("https://creighton-primo.hosted.exlibrisgroup.com/primo-explore/search?tab=default_tab&amp;search_scope=EVERYTHING&amp;vid=01CRU&amp;lang=en_US&amp;offset=0&amp;query=any,contains,991001678449702656","Catalog Record")</f>
        <v/>
      </c>
      <c r="AV199">
        <f>HYPERLINK("http://www.worldcat.org/oclc/21335450","WorldCat Record")</f>
        <v/>
      </c>
      <c r="AW199" t="inlineStr">
        <is>
          <t>769904507:eng</t>
        </is>
      </c>
      <c r="AX199" t="inlineStr">
        <is>
          <t>21335450</t>
        </is>
      </c>
      <c r="AY199" t="inlineStr">
        <is>
          <t>991001678449702656</t>
        </is>
      </c>
      <c r="AZ199" t="inlineStr">
        <is>
          <t>991001678449702656</t>
        </is>
      </c>
      <c r="BA199" t="inlineStr">
        <is>
          <t>2263894500002656</t>
        </is>
      </c>
      <c r="BB199" t="inlineStr">
        <is>
          <t>BOOK</t>
        </is>
      </c>
      <c r="BD199" t="inlineStr">
        <is>
          <t>9780192141859</t>
        </is>
      </c>
      <c r="BE199" t="inlineStr">
        <is>
          <t>32285000663723</t>
        </is>
      </c>
      <c r="BF199" t="inlineStr">
        <is>
          <t>893615297</t>
        </is>
      </c>
    </row>
    <row r="200">
      <c r="A200" t="inlineStr">
        <is>
          <t>No</t>
        </is>
      </c>
      <c r="B200" t="inlineStr">
        <is>
          <t>CURAL</t>
        </is>
      </c>
      <c r="C200" t="inlineStr">
        <is>
          <t>SHELVES</t>
        </is>
      </c>
      <c r="D200" t="inlineStr">
        <is>
          <t>PR1365 .S7 1965</t>
        </is>
      </c>
      <c r="E200" t="inlineStr">
        <is>
          <t>0                      PR 1365000S  7           1965</t>
        </is>
      </c>
      <c r="F200" t="inlineStr">
        <is>
          <t>The spectator / [by Joseph Addison ... et al.] ; edited with an introduction and notes by Donald F. Bond.</t>
        </is>
      </c>
      <c r="G200" t="inlineStr">
        <is>
          <t>V.5</t>
        </is>
      </c>
      <c r="H200" t="inlineStr">
        <is>
          <t>Yes</t>
        </is>
      </c>
      <c r="I200" t="inlineStr">
        <is>
          <t>1</t>
        </is>
      </c>
      <c r="J200" t="inlineStr">
        <is>
          <t>No</t>
        </is>
      </c>
      <c r="K200" t="inlineStr">
        <is>
          <t>Yes</t>
        </is>
      </c>
      <c r="L200" t="inlineStr">
        <is>
          <t>0</t>
        </is>
      </c>
      <c r="N200" t="inlineStr">
        <is>
          <t>Oxford : Clarendon Press, 1965.</t>
        </is>
      </c>
      <c r="O200" t="inlineStr">
        <is>
          <t>1965</t>
        </is>
      </c>
      <c r="Q200" t="inlineStr">
        <is>
          <t>eng</t>
        </is>
      </c>
      <c r="R200" t="inlineStr">
        <is>
          <t>enk</t>
        </is>
      </c>
      <c r="T200" t="inlineStr">
        <is>
          <t xml:space="preserve">PR </t>
        </is>
      </c>
      <c r="U200" t="n">
        <v>0</v>
      </c>
      <c r="V200" t="n">
        <v>7</v>
      </c>
      <c r="X200" t="inlineStr">
        <is>
          <t>2007-09-10</t>
        </is>
      </c>
      <c r="Y200" t="inlineStr">
        <is>
          <t>1998-04-22</t>
        </is>
      </c>
      <c r="Z200" t="inlineStr">
        <is>
          <t>1998-04-22</t>
        </is>
      </c>
      <c r="AA200" t="n">
        <v>400</v>
      </c>
      <c r="AB200" t="n">
        <v>311</v>
      </c>
      <c r="AC200" t="n">
        <v>1419</v>
      </c>
      <c r="AD200" t="n">
        <v>5</v>
      </c>
      <c r="AE200" t="n">
        <v>16</v>
      </c>
      <c r="AF200" t="n">
        <v>18</v>
      </c>
      <c r="AG200" t="n">
        <v>54</v>
      </c>
      <c r="AH200" t="n">
        <v>7</v>
      </c>
      <c r="AI200" t="n">
        <v>22</v>
      </c>
      <c r="AJ200" t="n">
        <v>4</v>
      </c>
      <c r="AK200" t="n">
        <v>8</v>
      </c>
      <c r="AL200" t="n">
        <v>7</v>
      </c>
      <c r="AM200" t="n">
        <v>22</v>
      </c>
      <c r="AN200" t="n">
        <v>4</v>
      </c>
      <c r="AO200" t="n">
        <v>13</v>
      </c>
      <c r="AP200" t="n">
        <v>0</v>
      </c>
      <c r="AQ200" t="n">
        <v>0</v>
      </c>
      <c r="AR200" t="inlineStr">
        <is>
          <t>No</t>
        </is>
      </c>
      <c r="AS200" t="inlineStr">
        <is>
          <t>Yes</t>
        </is>
      </c>
      <c r="AT200">
        <f>HYPERLINK("http://catalog.hathitrust.org/Record/000656460","HathiTrust Record")</f>
        <v/>
      </c>
      <c r="AU200">
        <f>HYPERLINK("https://creighton-primo.hosted.exlibrisgroup.com/primo-explore/search?tab=default_tab&amp;search_scope=EVERYTHING&amp;vid=01CRU&amp;lang=en_US&amp;offset=0&amp;query=any,contains,991001712989702656","Catalog Record")</f>
        <v/>
      </c>
      <c r="AV200">
        <f>HYPERLINK("http://www.worldcat.org/oclc/21638903","WorldCat Record")</f>
        <v/>
      </c>
      <c r="AW200" t="inlineStr">
        <is>
          <t>1056658705:eng</t>
        </is>
      </c>
      <c r="AX200" t="inlineStr">
        <is>
          <t>21638903</t>
        </is>
      </c>
      <c r="AY200" t="inlineStr">
        <is>
          <t>991001712989702656</t>
        </is>
      </c>
      <c r="AZ200" t="inlineStr">
        <is>
          <t>991001712989702656</t>
        </is>
      </c>
      <c r="BA200" t="inlineStr">
        <is>
          <t>2269771690002656</t>
        </is>
      </c>
      <c r="BB200" t="inlineStr">
        <is>
          <t>BOOK</t>
        </is>
      </c>
      <c r="BE200" t="inlineStr">
        <is>
          <t>32285003394755</t>
        </is>
      </c>
      <c r="BF200" t="inlineStr">
        <is>
          <t>893596680</t>
        </is>
      </c>
    </row>
    <row r="201">
      <c r="A201" t="inlineStr">
        <is>
          <t>No</t>
        </is>
      </c>
      <c r="B201" t="inlineStr">
        <is>
          <t>CURAL</t>
        </is>
      </c>
      <c r="C201" t="inlineStr">
        <is>
          <t>SHELVES</t>
        </is>
      </c>
      <c r="D201" t="inlineStr">
        <is>
          <t>PR1365 .S7 1965</t>
        </is>
      </c>
      <c r="E201" t="inlineStr">
        <is>
          <t>0                      PR 1365000S  7           1965</t>
        </is>
      </c>
      <c r="F201" t="inlineStr">
        <is>
          <t>The spectator / [by Joseph Addison ... et al.] ; edited with an introduction and notes by Donald F. Bond.</t>
        </is>
      </c>
      <c r="G201" t="inlineStr">
        <is>
          <t>V.3</t>
        </is>
      </c>
      <c r="H201" t="inlineStr">
        <is>
          <t>Yes</t>
        </is>
      </c>
      <c r="I201" t="inlineStr">
        <is>
          <t>1</t>
        </is>
      </c>
      <c r="J201" t="inlineStr">
        <is>
          <t>No</t>
        </is>
      </c>
      <c r="K201" t="inlineStr">
        <is>
          <t>Yes</t>
        </is>
      </c>
      <c r="L201" t="inlineStr">
        <is>
          <t>0</t>
        </is>
      </c>
      <c r="N201" t="inlineStr">
        <is>
          <t>Oxford : Clarendon Press, 1965.</t>
        </is>
      </c>
      <c r="O201" t="inlineStr">
        <is>
          <t>1965</t>
        </is>
      </c>
      <c r="Q201" t="inlineStr">
        <is>
          <t>eng</t>
        </is>
      </c>
      <c r="R201" t="inlineStr">
        <is>
          <t>enk</t>
        </is>
      </c>
      <c r="T201" t="inlineStr">
        <is>
          <t xml:space="preserve">PR </t>
        </is>
      </c>
      <c r="U201" t="n">
        <v>1</v>
      </c>
      <c r="V201" t="n">
        <v>7</v>
      </c>
      <c r="W201" t="inlineStr">
        <is>
          <t>2002-12-10</t>
        </is>
      </c>
      <c r="X201" t="inlineStr">
        <is>
          <t>2007-09-10</t>
        </is>
      </c>
      <c r="Y201" t="inlineStr">
        <is>
          <t>1998-04-22</t>
        </is>
      </c>
      <c r="Z201" t="inlineStr">
        <is>
          <t>1998-04-22</t>
        </is>
      </c>
      <c r="AA201" t="n">
        <v>400</v>
      </c>
      <c r="AB201" t="n">
        <v>311</v>
      </c>
      <c r="AC201" t="n">
        <v>1419</v>
      </c>
      <c r="AD201" t="n">
        <v>5</v>
      </c>
      <c r="AE201" t="n">
        <v>16</v>
      </c>
      <c r="AF201" t="n">
        <v>18</v>
      </c>
      <c r="AG201" t="n">
        <v>54</v>
      </c>
      <c r="AH201" t="n">
        <v>7</v>
      </c>
      <c r="AI201" t="n">
        <v>22</v>
      </c>
      <c r="AJ201" t="n">
        <v>4</v>
      </c>
      <c r="AK201" t="n">
        <v>8</v>
      </c>
      <c r="AL201" t="n">
        <v>7</v>
      </c>
      <c r="AM201" t="n">
        <v>22</v>
      </c>
      <c r="AN201" t="n">
        <v>4</v>
      </c>
      <c r="AO201" t="n">
        <v>13</v>
      </c>
      <c r="AP201" t="n">
        <v>0</v>
      </c>
      <c r="AQ201" t="n">
        <v>0</v>
      </c>
      <c r="AR201" t="inlineStr">
        <is>
          <t>No</t>
        </is>
      </c>
      <c r="AS201" t="inlineStr">
        <is>
          <t>Yes</t>
        </is>
      </c>
      <c r="AT201">
        <f>HYPERLINK("http://catalog.hathitrust.org/Record/000656460","HathiTrust Record")</f>
        <v/>
      </c>
      <c r="AU201">
        <f>HYPERLINK("https://creighton-primo.hosted.exlibrisgroup.com/primo-explore/search?tab=default_tab&amp;search_scope=EVERYTHING&amp;vid=01CRU&amp;lang=en_US&amp;offset=0&amp;query=any,contains,991001712989702656","Catalog Record")</f>
        <v/>
      </c>
      <c r="AV201">
        <f>HYPERLINK("http://www.worldcat.org/oclc/21638903","WorldCat Record")</f>
        <v/>
      </c>
      <c r="AW201" t="inlineStr">
        <is>
          <t>1056658705:eng</t>
        </is>
      </c>
      <c r="AX201" t="inlineStr">
        <is>
          <t>21638903</t>
        </is>
      </c>
      <c r="AY201" t="inlineStr">
        <is>
          <t>991001712989702656</t>
        </is>
      </c>
      <c r="AZ201" t="inlineStr">
        <is>
          <t>991001712989702656</t>
        </is>
      </c>
      <c r="BA201" t="inlineStr">
        <is>
          <t>2269771690002656</t>
        </is>
      </c>
      <c r="BB201" t="inlineStr">
        <is>
          <t>BOOK</t>
        </is>
      </c>
      <c r="BE201" t="inlineStr">
        <is>
          <t>32285003394730</t>
        </is>
      </c>
      <c r="BF201" t="inlineStr">
        <is>
          <t>893615325</t>
        </is>
      </c>
    </row>
    <row r="202">
      <c r="A202" t="inlineStr">
        <is>
          <t>No</t>
        </is>
      </c>
      <c r="B202" t="inlineStr">
        <is>
          <t>CURAL</t>
        </is>
      </c>
      <c r="C202" t="inlineStr">
        <is>
          <t>SHELVES</t>
        </is>
      </c>
      <c r="D202" t="inlineStr">
        <is>
          <t>PR1365 .S7 1965</t>
        </is>
      </c>
      <c r="E202" t="inlineStr">
        <is>
          <t>0                      PR 1365000S  7           1965</t>
        </is>
      </c>
      <c r="F202" t="inlineStr">
        <is>
          <t>The spectator / [by Joseph Addison ... et al.] ; edited with an introduction and notes by Donald F. Bond.</t>
        </is>
      </c>
      <c r="G202" t="inlineStr">
        <is>
          <t>V.4</t>
        </is>
      </c>
      <c r="H202" t="inlineStr">
        <is>
          <t>Yes</t>
        </is>
      </c>
      <c r="I202" t="inlineStr">
        <is>
          <t>1</t>
        </is>
      </c>
      <c r="J202" t="inlineStr">
        <is>
          <t>No</t>
        </is>
      </c>
      <c r="K202" t="inlineStr">
        <is>
          <t>Yes</t>
        </is>
      </c>
      <c r="L202" t="inlineStr">
        <is>
          <t>0</t>
        </is>
      </c>
      <c r="N202" t="inlineStr">
        <is>
          <t>Oxford : Clarendon Press, 1965.</t>
        </is>
      </c>
      <c r="O202" t="inlineStr">
        <is>
          <t>1965</t>
        </is>
      </c>
      <c r="Q202" t="inlineStr">
        <is>
          <t>eng</t>
        </is>
      </c>
      <c r="R202" t="inlineStr">
        <is>
          <t>enk</t>
        </is>
      </c>
      <c r="T202" t="inlineStr">
        <is>
          <t xml:space="preserve">PR </t>
        </is>
      </c>
      <c r="U202" t="n">
        <v>3</v>
      </c>
      <c r="V202" t="n">
        <v>7</v>
      </c>
      <c r="W202" t="inlineStr">
        <is>
          <t>2007-09-10</t>
        </is>
      </c>
      <c r="X202" t="inlineStr">
        <is>
          <t>2007-09-10</t>
        </is>
      </c>
      <c r="Y202" t="inlineStr">
        <is>
          <t>1998-04-22</t>
        </is>
      </c>
      <c r="Z202" t="inlineStr">
        <is>
          <t>1998-04-22</t>
        </is>
      </c>
      <c r="AA202" t="n">
        <v>400</v>
      </c>
      <c r="AB202" t="n">
        <v>311</v>
      </c>
      <c r="AC202" t="n">
        <v>1419</v>
      </c>
      <c r="AD202" t="n">
        <v>5</v>
      </c>
      <c r="AE202" t="n">
        <v>16</v>
      </c>
      <c r="AF202" t="n">
        <v>18</v>
      </c>
      <c r="AG202" t="n">
        <v>54</v>
      </c>
      <c r="AH202" t="n">
        <v>7</v>
      </c>
      <c r="AI202" t="n">
        <v>22</v>
      </c>
      <c r="AJ202" t="n">
        <v>4</v>
      </c>
      <c r="AK202" t="n">
        <v>8</v>
      </c>
      <c r="AL202" t="n">
        <v>7</v>
      </c>
      <c r="AM202" t="n">
        <v>22</v>
      </c>
      <c r="AN202" t="n">
        <v>4</v>
      </c>
      <c r="AO202" t="n">
        <v>13</v>
      </c>
      <c r="AP202" t="n">
        <v>0</v>
      </c>
      <c r="AQ202" t="n">
        <v>0</v>
      </c>
      <c r="AR202" t="inlineStr">
        <is>
          <t>No</t>
        </is>
      </c>
      <c r="AS202" t="inlineStr">
        <is>
          <t>Yes</t>
        </is>
      </c>
      <c r="AT202">
        <f>HYPERLINK("http://catalog.hathitrust.org/Record/000656460","HathiTrust Record")</f>
        <v/>
      </c>
      <c r="AU202">
        <f>HYPERLINK("https://creighton-primo.hosted.exlibrisgroup.com/primo-explore/search?tab=default_tab&amp;search_scope=EVERYTHING&amp;vid=01CRU&amp;lang=en_US&amp;offset=0&amp;query=any,contains,991001712989702656","Catalog Record")</f>
        <v/>
      </c>
      <c r="AV202">
        <f>HYPERLINK("http://www.worldcat.org/oclc/21638903","WorldCat Record")</f>
        <v/>
      </c>
      <c r="AW202" t="inlineStr">
        <is>
          <t>1056658705:eng</t>
        </is>
      </c>
      <c r="AX202" t="inlineStr">
        <is>
          <t>21638903</t>
        </is>
      </c>
      <c r="AY202" t="inlineStr">
        <is>
          <t>991001712989702656</t>
        </is>
      </c>
      <c r="AZ202" t="inlineStr">
        <is>
          <t>991001712989702656</t>
        </is>
      </c>
      <c r="BA202" t="inlineStr">
        <is>
          <t>2269771690002656</t>
        </is>
      </c>
      <c r="BB202" t="inlineStr">
        <is>
          <t>BOOK</t>
        </is>
      </c>
      <c r="BE202" t="inlineStr">
        <is>
          <t>32285003394748</t>
        </is>
      </c>
      <c r="BF202" t="inlineStr">
        <is>
          <t>893626796</t>
        </is>
      </c>
    </row>
    <row r="203">
      <c r="A203" t="inlineStr">
        <is>
          <t>No</t>
        </is>
      </c>
      <c r="B203" t="inlineStr">
        <is>
          <t>CURAL</t>
        </is>
      </c>
      <c r="C203" t="inlineStr">
        <is>
          <t>SHELVES</t>
        </is>
      </c>
      <c r="D203" t="inlineStr">
        <is>
          <t>PR1365 .S7 1965</t>
        </is>
      </c>
      <c r="E203" t="inlineStr">
        <is>
          <t>0                      PR 1365000S  7           1965</t>
        </is>
      </c>
      <c r="F203" t="inlineStr">
        <is>
          <t>The spectator / [by Joseph Addison ... et al.] ; edited with an introduction and notes by Donald F. Bond.</t>
        </is>
      </c>
      <c r="G203" t="inlineStr">
        <is>
          <t>V.1</t>
        </is>
      </c>
      <c r="H203" t="inlineStr">
        <is>
          <t>Yes</t>
        </is>
      </c>
      <c r="I203" t="inlineStr">
        <is>
          <t>1</t>
        </is>
      </c>
      <c r="J203" t="inlineStr">
        <is>
          <t>No</t>
        </is>
      </c>
      <c r="K203" t="inlineStr">
        <is>
          <t>Yes</t>
        </is>
      </c>
      <c r="L203" t="inlineStr">
        <is>
          <t>0</t>
        </is>
      </c>
      <c r="N203" t="inlineStr">
        <is>
          <t>Oxford : Clarendon Press, 1965.</t>
        </is>
      </c>
      <c r="O203" t="inlineStr">
        <is>
          <t>1965</t>
        </is>
      </c>
      <c r="Q203" t="inlineStr">
        <is>
          <t>eng</t>
        </is>
      </c>
      <c r="R203" t="inlineStr">
        <is>
          <t>enk</t>
        </is>
      </c>
      <c r="T203" t="inlineStr">
        <is>
          <t xml:space="preserve">PR </t>
        </is>
      </c>
      <c r="U203" t="n">
        <v>2</v>
      </c>
      <c r="V203" t="n">
        <v>7</v>
      </c>
      <c r="W203" t="inlineStr">
        <is>
          <t>2003-04-27</t>
        </is>
      </c>
      <c r="X203" t="inlineStr">
        <is>
          <t>2007-09-10</t>
        </is>
      </c>
      <c r="Y203" t="inlineStr">
        <is>
          <t>1998-04-22</t>
        </is>
      </c>
      <c r="Z203" t="inlineStr">
        <is>
          <t>1998-04-22</t>
        </is>
      </c>
      <c r="AA203" t="n">
        <v>400</v>
      </c>
      <c r="AB203" t="n">
        <v>311</v>
      </c>
      <c r="AC203" t="n">
        <v>1419</v>
      </c>
      <c r="AD203" t="n">
        <v>5</v>
      </c>
      <c r="AE203" t="n">
        <v>16</v>
      </c>
      <c r="AF203" t="n">
        <v>18</v>
      </c>
      <c r="AG203" t="n">
        <v>54</v>
      </c>
      <c r="AH203" t="n">
        <v>7</v>
      </c>
      <c r="AI203" t="n">
        <v>22</v>
      </c>
      <c r="AJ203" t="n">
        <v>4</v>
      </c>
      <c r="AK203" t="n">
        <v>8</v>
      </c>
      <c r="AL203" t="n">
        <v>7</v>
      </c>
      <c r="AM203" t="n">
        <v>22</v>
      </c>
      <c r="AN203" t="n">
        <v>4</v>
      </c>
      <c r="AO203" t="n">
        <v>13</v>
      </c>
      <c r="AP203" t="n">
        <v>0</v>
      </c>
      <c r="AQ203" t="n">
        <v>0</v>
      </c>
      <c r="AR203" t="inlineStr">
        <is>
          <t>No</t>
        </is>
      </c>
      <c r="AS203" t="inlineStr">
        <is>
          <t>Yes</t>
        </is>
      </c>
      <c r="AT203">
        <f>HYPERLINK("http://catalog.hathitrust.org/Record/000656460","HathiTrust Record")</f>
        <v/>
      </c>
      <c r="AU203">
        <f>HYPERLINK("https://creighton-primo.hosted.exlibrisgroup.com/primo-explore/search?tab=default_tab&amp;search_scope=EVERYTHING&amp;vid=01CRU&amp;lang=en_US&amp;offset=0&amp;query=any,contains,991001712989702656","Catalog Record")</f>
        <v/>
      </c>
      <c r="AV203">
        <f>HYPERLINK("http://www.worldcat.org/oclc/21638903","WorldCat Record")</f>
        <v/>
      </c>
      <c r="AW203" t="inlineStr">
        <is>
          <t>1056658705:eng</t>
        </is>
      </c>
      <c r="AX203" t="inlineStr">
        <is>
          <t>21638903</t>
        </is>
      </c>
      <c r="AY203" t="inlineStr">
        <is>
          <t>991001712989702656</t>
        </is>
      </c>
      <c r="AZ203" t="inlineStr">
        <is>
          <t>991001712989702656</t>
        </is>
      </c>
      <c r="BA203" t="inlineStr">
        <is>
          <t>2269771690002656</t>
        </is>
      </c>
      <c r="BB203" t="inlineStr">
        <is>
          <t>BOOK</t>
        </is>
      </c>
      <c r="BE203" t="inlineStr">
        <is>
          <t>32285003394714</t>
        </is>
      </c>
      <c r="BF203" t="inlineStr">
        <is>
          <t>893602831</t>
        </is>
      </c>
    </row>
    <row r="204">
      <c r="A204" t="inlineStr">
        <is>
          <t>No</t>
        </is>
      </c>
      <c r="B204" t="inlineStr">
        <is>
          <t>CURAL</t>
        </is>
      </c>
      <c r="C204" t="inlineStr">
        <is>
          <t>SHELVES</t>
        </is>
      </c>
      <c r="D204" t="inlineStr">
        <is>
          <t>PR1365 .S7 1965</t>
        </is>
      </c>
      <c r="E204" t="inlineStr">
        <is>
          <t>0                      PR 1365000S  7           1965</t>
        </is>
      </c>
      <c r="F204" t="inlineStr">
        <is>
          <t>The spectator / [by Joseph Addison ... et al.] ; edited with an introduction and notes by Donald F. Bond.</t>
        </is>
      </c>
      <c r="G204" t="inlineStr">
        <is>
          <t>V.2</t>
        </is>
      </c>
      <c r="H204" t="inlineStr">
        <is>
          <t>Yes</t>
        </is>
      </c>
      <c r="I204" t="inlineStr">
        <is>
          <t>1</t>
        </is>
      </c>
      <c r="J204" t="inlineStr">
        <is>
          <t>No</t>
        </is>
      </c>
      <c r="K204" t="inlineStr">
        <is>
          <t>Yes</t>
        </is>
      </c>
      <c r="L204" t="inlineStr">
        <is>
          <t>0</t>
        </is>
      </c>
      <c r="N204" t="inlineStr">
        <is>
          <t>Oxford : Clarendon Press, 1965.</t>
        </is>
      </c>
      <c r="O204" t="inlineStr">
        <is>
          <t>1965</t>
        </is>
      </c>
      <c r="Q204" t="inlineStr">
        <is>
          <t>eng</t>
        </is>
      </c>
      <c r="R204" t="inlineStr">
        <is>
          <t>enk</t>
        </is>
      </c>
      <c r="T204" t="inlineStr">
        <is>
          <t xml:space="preserve">PR </t>
        </is>
      </c>
      <c r="U204" t="n">
        <v>1</v>
      </c>
      <c r="V204" t="n">
        <v>7</v>
      </c>
      <c r="W204" t="inlineStr">
        <is>
          <t>2003-04-27</t>
        </is>
      </c>
      <c r="X204" t="inlineStr">
        <is>
          <t>2007-09-10</t>
        </is>
      </c>
      <c r="Y204" t="inlineStr">
        <is>
          <t>1998-04-22</t>
        </is>
      </c>
      <c r="Z204" t="inlineStr">
        <is>
          <t>1998-04-22</t>
        </is>
      </c>
      <c r="AA204" t="n">
        <v>400</v>
      </c>
      <c r="AB204" t="n">
        <v>311</v>
      </c>
      <c r="AC204" t="n">
        <v>1419</v>
      </c>
      <c r="AD204" t="n">
        <v>5</v>
      </c>
      <c r="AE204" t="n">
        <v>16</v>
      </c>
      <c r="AF204" t="n">
        <v>18</v>
      </c>
      <c r="AG204" t="n">
        <v>54</v>
      </c>
      <c r="AH204" t="n">
        <v>7</v>
      </c>
      <c r="AI204" t="n">
        <v>22</v>
      </c>
      <c r="AJ204" t="n">
        <v>4</v>
      </c>
      <c r="AK204" t="n">
        <v>8</v>
      </c>
      <c r="AL204" t="n">
        <v>7</v>
      </c>
      <c r="AM204" t="n">
        <v>22</v>
      </c>
      <c r="AN204" t="n">
        <v>4</v>
      </c>
      <c r="AO204" t="n">
        <v>13</v>
      </c>
      <c r="AP204" t="n">
        <v>0</v>
      </c>
      <c r="AQ204" t="n">
        <v>0</v>
      </c>
      <c r="AR204" t="inlineStr">
        <is>
          <t>No</t>
        </is>
      </c>
      <c r="AS204" t="inlineStr">
        <is>
          <t>Yes</t>
        </is>
      </c>
      <c r="AT204">
        <f>HYPERLINK("http://catalog.hathitrust.org/Record/000656460","HathiTrust Record")</f>
        <v/>
      </c>
      <c r="AU204">
        <f>HYPERLINK("https://creighton-primo.hosted.exlibrisgroup.com/primo-explore/search?tab=default_tab&amp;search_scope=EVERYTHING&amp;vid=01CRU&amp;lang=en_US&amp;offset=0&amp;query=any,contains,991001712989702656","Catalog Record")</f>
        <v/>
      </c>
      <c r="AV204">
        <f>HYPERLINK("http://www.worldcat.org/oclc/21638903","WorldCat Record")</f>
        <v/>
      </c>
      <c r="AW204" t="inlineStr">
        <is>
          <t>1056658705:eng</t>
        </is>
      </c>
      <c r="AX204" t="inlineStr">
        <is>
          <t>21638903</t>
        </is>
      </c>
      <c r="AY204" t="inlineStr">
        <is>
          <t>991001712989702656</t>
        </is>
      </c>
      <c r="AZ204" t="inlineStr">
        <is>
          <t>991001712989702656</t>
        </is>
      </c>
      <c r="BA204" t="inlineStr">
        <is>
          <t>2269771690002656</t>
        </is>
      </c>
      <c r="BB204" t="inlineStr">
        <is>
          <t>BOOK</t>
        </is>
      </c>
      <c r="BE204" t="inlineStr">
        <is>
          <t>32285003394722</t>
        </is>
      </c>
      <c r="BF204" t="inlineStr">
        <is>
          <t>893615326</t>
        </is>
      </c>
    </row>
    <row r="205">
      <c r="A205" t="inlineStr">
        <is>
          <t>No</t>
        </is>
      </c>
      <c r="B205" t="inlineStr">
        <is>
          <t>CURAL</t>
        </is>
      </c>
      <c r="C205" t="inlineStr">
        <is>
          <t>SHELVES</t>
        </is>
      </c>
      <c r="D205" t="inlineStr">
        <is>
          <t>PR1365.T23 B6</t>
        </is>
      </c>
      <c r="E205" t="inlineStr">
        <is>
          <t>0                      PR 1365000T  23                 B  6</t>
        </is>
      </c>
      <c r="F205" t="inlineStr">
        <is>
          <t>The Tatler: the making of a literary journal [by] Richmond P. Bond.</t>
        </is>
      </c>
      <c r="H205" t="inlineStr">
        <is>
          <t>No</t>
        </is>
      </c>
      <c r="I205" t="inlineStr">
        <is>
          <t>1</t>
        </is>
      </c>
      <c r="J205" t="inlineStr">
        <is>
          <t>No</t>
        </is>
      </c>
      <c r="K205" t="inlineStr">
        <is>
          <t>No</t>
        </is>
      </c>
      <c r="L205" t="inlineStr">
        <is>
          <t>0</t>
        </is>
      </c>
      <c r="M205" t="inlineStr">
        <is>
          <t>Bond, Richmond Pugh, 1899-1979.</t>
        </is>
      </c>
      <c r="N205" t="inlineStr">
        <is>
          <t>Cambridge, Mass., Harvard University Press, 1971.</t>
        </is>
      </c>
      <c r="O205" t="inlineStr">
        <is>
          <t>1971</t>
        </is>
      </c>
      <c r="Q205" t="inlineStr">
        <is>
          <t>eng</t>
        </is>
      </c>
      <c r="R205" t="inlineStr">
        <is>
          <t>mau</t>
        </is>
      </c>
      <c r="T205" t="inlineStr">
        <is>
          <t xml:space="preserve">PR </t>
        </is>
      </c>
      <c r="U205" t="n">
        <v>1</v>
      </c>
      <c r="V205" t="n">
        <v>1</v>
      </c>
      <c r="W205" t="inlineStr">
        <is>
          <t>2002-11-24</t>
        </is>
      </c>
      <c r="X205" t="inlineStr">
        <is>
          <t>2002-11-24</t>
        </is>
      </c>
      <c r="Y205" t="inlineStr">
        <is>
          <t>1997-07-29</t>
        </is>
      </c>
      <c r="Z205" t="inlineStr">
        <is>
          <t>1997-07-29</t>
        </is>
      </c>
      <c r="AA205" t="n">
        <v>894</v>
      </c>
      <c r="AB205" t="n">
        <v>740</v>
      </c>
      <c r="AC205" t="n">
        <v>750</v>
      </c>
      <c r="AD205" t="n">
        <v>7</v>
      </c>
      <c r="AE205" t="n">
        <v>7</v>
      </c>
      <c r="AF205" t="n">
        <v>35</v>
      </c>
      <c r="AG205" t="n">
        <v>35</v>
      </c>
      <c r="AH205" t="n">
        <v>10</v>
      </c>
      <c r="AI205" t="n">
        <v>10</v>
      </c>
      <c r="AJ205" t="n">
        <v>10</v>
      </c>
      <c r="AK205" t="n">
        <v>10</v>
      </c>
      <c r="AL205" t="n">
        <v>18</v>
      </c>
      <c r="AM205" t="n">
        <v>18</v>
      </c>
      <c r="AN205" t="n">
        <v>6</v>
      </c>
      <c r="AO205" t="n">
        <v>6</v>
      </c>
      <c r="AP205" t="n">
        <v>0</v>
      </c>
      <c r="AQ205" t="n">
        <v>0</v>
      </c>
      <c r="AR205" t="inlineStr">
        <is>
          <t>No</t>
        </is>
      </c>
      <c r="AS205" t="inlineStr">
        <is>
          <t>Yes</t>
        </is>
      </c>
      <c r="AT205">
        <f>HYPERLINK("http://catalog.hathitrust.org/Record/001186268","HathiTrust Record")</f>
        <v/>
      </c>
      <c r="AU205">
        <f>HYPERLINK("https://creighton-primo.hosted.exlibrisgroup.com/primo-explore/search?tab=default_tab&amp;search_scope=EVERYTHING&amp;vid=01CRU&amp;lang=en_US&amp;offset=0&amp;query=any,contains,991001137529702656","Catalog Record")</f>
        <v/>
      </c>
      <c r="AV205">
        <f>HYPERLINK("http://www.worldcat.org/oclc/185182","WorldCat Record")</f>
        <v/>
      </c>
      <c r="AW205" t="inlineStr">
        <is>
          <t>375330482:eng</t>
        </is>
      </c>
      <c r="AX205" t="inlineStr">
        <is>
          <t>185182</t>
        </is>
      </c>
      <c r="AY205" t="inlineStr">
        <is>
          <t>991001137529702656</t>
        </is>
      </c>
      <c r="AZ205" t="inlineStr">
        <is>
          <t>991001137529702656</t>
        </is>
      </c>
      <c r="BA205" t="inlineStr">
        <is>
          <t>2270844470002656</t>
        </is>
      </c>
      <c r="BB205" t="inlineStr">
        <is>
          <t>BOOK</t>
        </is>
      </c>
      <c r="BD205" t="inlineStr">
        <is>
          <t>9780674868304</t>
        </is>
      </c>
      <c r="BE205" t="inlineStr">
        <is>
          <t>32285002986916</t>
        </is>
      </c>
      <c r="BF205" t="inlineStr">
        <is>
          <t>893784857</t>
        </is>
      </c>
    </row>
    <row r="206">
      <c r="A206" t="inlineStr">
        <is>
          <t>No</t>
        </is>
      </c>
      <c r="B206" t="inlineStr">
        <is>
          <t>CURAL</t>
        </is>
      </c>
      <c r="C206" t="inlineStr">
        <is>
          <t>SHELVES</t>
        </is>
      </c>
      <c r="D206" t="inlineStr">
        <is>
          <t>PR14 .L48</t>
        </is>
      </c>
      <c r="E206" t="inlineStr">
        <is>
          <t>0                      PR 0014000L  48</t>
        </is>
      </c>
      <c r="F206" t="inlineStr">
        <is>
          <t>Literary theory and structure : essays in honor of William K. Wimsatt / edited by Frank Brady, John Palmer, and Martin Price.</t>
        </is>
      </c>
      <c r="H206" t="inlineStr">
        <is>
          <t>No</t>
        </is>
      </c>
      <c r="I206" t="inlineStr">
        <is>
          <t>1</t>
        </is>
      </c>
      <c r="J206" t="inlineStr">
        <is>
          <t>No</t>
        </is>
      </c>
      <c r="K206" t="inlineStr">
        <is>
          <t>No</t>
        </is>
      </c>
      <c r="L206" t="inlineStr">
        <is>
          <t>0</t>
        </is>
      </c>
      <c r="N206" t="inlineStr">
        <is>
          <t>New Haven : Yale University Press, 1973.</t>
        </is>
      </c>
      <c r="O206" t="inlineStr">
        <is>
          <t>1973</t>
        </is>
      </c>
      <c r="Q206" t="inlineStr">
        <is>
          <t>eng</t>
        </is>
      </c>
      <c r="R206" t="inlineStr">
        <is>
          <t>ctu</t>
        </is>
      </c>
      <c r="T206" t="inlineStr">
        <is>
          <t xml:space="preserve">PR </t>
        </is>
      </c>
      <c r="U206" t="n">
        <v>5</v>
      </c>
      <c r="V206" t="n">
        <v>5</v>
      </c>
      <c r="W206" t="inlineStr">
        <is>
          <t>1999-10-21</t>
        </is>
      </c>
      <c r="X206" t="inlineStr">
        <is>
          <t>1999-10-21</t>
        </is>
      </c>
      <c r="Y206" t="inlineStr">
        <is>
          <t>1990-10-02</t>
        </is>
      </c>
      <c r="Z206" t="inlineStr">
        <is>
          <t>1990-10-02</t>
        </is>
      </c>
      <c r="AA206" t="n">
        <v>675</v>
      </c>
      <c r="AB206" t="n">
        <v>528</v>
      </c>
      <c r="AC206" t="n">
        <v>531</v>
      </c>
      <c r="AD206" t="n">
        <v>5</v>
      </c>
      <c r="AE206" t="n">
        <v>5</v>
      </c>
      <c r="AF206" t="n">
        <v>27</v>
      </c>
      <c r="AG206" t="n">
        <v>27</v>
      </c>
      <c r="AH206" t="n">
        <v>9</v>
      </c>
      <c r="AI206" t="n">
        <v>9</v>
      </c>
      <c r="AJ206" t="n">
        <v>6</v>
      </c>
      <c r="AK206" t="n">
        <v>6</v>
      </c>
      <c r="AL206" t="n">
        <v>16</v>
      </c>
      <c r="AM206" t="n">
        <v>16</v>
      </c>
      <c r="AN206" t="n">
        <v>4</v>
      </c>
      <c r="AO206" t="n">
        <v>4</v>
      </c>
      <c r="AP206" t="n">
        <v>0</v>
      </c>
      <c r="AQ206" t="n">
        <v>0</v>
      </c>
      <c r="AR206" t="inlineStr">
        <is>
          <t>No</t>
        </is>
      </c>
      <c r="AS206" t="inlineStr">
        <is>
          <t>No</t>
        </is>
      </c>
      <c r="AU206">
        <f>HYPERLINK("https://creighton-primo.hosted.exlibrisgroup.com/primo-explore/search?tab=default_tab&amp;search_scope=EVERYTHING&amp;vid=01CRU&amp;lang=en_US&amp;offset=0&amp;query=any,contains,991003276269702656","Catalog Record")</f>
        <v/>
      </c>
      <c r="AV206">
        <f>HYPERLINK("http://www.worldcat.org/oclc/800473","WorldCat Record")</f>
        <v/>
      </c>
      <c r="AW206" t="inlineStr">
        <is>
          <t>375590228:eng</t>
        </is>
      </c>
      <c r="AX206" t="inlineStr">
        <is>
          <t>800473</t>
        </is>
      </c>
      <c r="AY206" t="inlineStr">
        <is>
          <t>991003276269702656</t>
        </is>
      </c>
      <c r="AZ206" t="inlineStr">
        <is>
          <t>991003276269702656</t>
        </is>
      </c>
      <c r="BA206" t="inlineStr">
        <is>
          <t>2267172400002656</t>
        </is>
      </c>
      <c r="BB206" t="inlineStr">
        <is>
          <t>BOOK</t>
        </is>
      </c>
      <c r="BD206" t="inlineStr">
        <is>
          <t>9780300016031</t>
        </is>
      </c>
      <c r="BE206" t="inlineStr">
        <is>
          <t>32285000325000</t>
        </is>
      </c>
      <c r="BF206" t="inlineStr">
        <is>
          <t>893330158</t>
        </is>
      </c>
    </row>
    <row r="207">
      <c r="A207" t="inlineStr">
        <is>
          <t>No</t>
        </is>
      </c>
      <c r="B207" t="inlineStr">
        <is>
          <t>CURAL</t>
        </is>
      </c>
      <c r="C207" t="inlineStr">
        <is>
          <t>SHELVES</t>
        </is>
      </c>
      <c r="D207" t="inlineStr">
        <is>
          <t>PR14 .P4</t>
        </is>
      </c>
      <c r="E207" t="inlineStr">
        <is>
          <t>0                      PR 0014000P  4</t>
        </is>
      </c>
      <c r="F207" t="inlineStr">
        <is>
          <t>Essays and studies in language and literature / general editor: Herbert H. Petit.</t>
        </is>
      </c>
      <c r="H207" t="inlineStr">
        <is>
          <t>No</t>
        </is>
      </c>
      <c r="I207" t="inlineStr">
        <is>
          <t>1</t>
        </is>
      </c>
      <c r="J207" t="inlineStr">
        <is>
          <t>No</t>
        </is>
      </c>
      <c r="K207" t="inlineStr">
        <is>
          <t>No</t>
        </is>
      </c>
      <c r="L207" t="inlineStr">
        <is>
          <t>0</t>
        </is>
      </c>
      <c r="M207" t="inlineStr">
        <is>
          <t>Petit, Herbert H., editor.</t>
        </is>
      </c>
      <c r="N207" t="inlineStr">
        <is>
          <t>Pittsburgh : Duquesne University Press, 1964.</t>
        </is>
      </c>
      <c r="O207" t="inlineStr">
        <is>
          <t>1964</t>
        </is>
      </c>
      <c r="Q207" t="inlineStr">
        <is>
          <t>eng</t>
        </is>
      </c>
      <c r="R207" t="inlineStr">
        <is>
          <t>pau</t>
        </is>
      </c>
      <c r="S207" t="inlineStr">
        <is>
          <t>Duquesne studies. Philological series ; 5</t>
        </is>
      </c>
      <c r="T207" t="inlineStr">
        <is>
          <t xml:space="preserve">PR </t>
        </is>
      </c>
      <c r="U207" t="n">
        <v>4</v>
      </c>
      <c r="V207" t="n">
        <v>4</v>
      </c>
      <c r="W207" t="inlineStr">
        <is>
          <t>1995-02-24</t>
        </is>
      </c>
      <c r="X207" t="inlineStr">
        <is>
          <t>1995-02-24</t>
        </is>
      </c>
      <c r="Y207" t="inlineStr">
        <is>
          <t>1994-12-29</t>
        </is>
      </c>
      <c r="Z207" t="inlineStr">
        <is>
          <t>1994-12-29</t>
        </is>
      </c>
      <c r="AA207" t="n">
        <v>467</v>
      </c>
      <c r="AB207" t="n">
        <v>414</v>
      </c>
      <c r="AC207" t="n">
        <v>421</v>
      </c>
      <c r="AD207" t="n">
        <v>5</v>
      </c>
      <c r="AE207" t="n">
        <v>5</v>
      </c>
      <c r="AF207" t="n">
        <v>21</v>
      </c>
      <c r="AG207" t="n">
        <v>21</v>
      </c>
      <c r="AH207" t="n">
        <v>7</v>
      </c>
      <c r="AI207" t="n">
        <v>7</v>
      </c>
      <c r="AJ207" t="n">
        <v>3</v>
      </c>
      <c r="AK207" t="n">
        <v>3</v>
      </c>
      <c r="AL207" t="n">
        <v>12</v>
      </c>
      <c r="AM207" t="n">
        <v>12</v>
      </c>
      <c r="AN207" t="n">
        <v>4</v>
      </c>
      <c r="AO207" t="n">
        <v>4</v>
      </c>
      <c r="AP207" t="n">
        <v>0</v>
      </c>
      <c r="AQ207" t="n">
        <v>0</v>
      </c>
      <c r="AR207" t="inlineStr">
        <is>
          <t>No</t>
        </is>
      </c>
      <c r="AS207" t="inlineStr">
        <is>
          <t>Yes</t>
        </is>
      </c>
      <c r="AT207">
        <f>HYPERLINK("http://catalog.hathitrust.org/Record/001644475","HathiTrust Record")</f>
        <v/>
      </c>
      <c r="AU207">
        <f>HYPERLINK("https://creighton-primo.hosted.exlibrisgroup.com/primo-explore/search?tab=default_tab&amp;search_scope=EVERYTHING&amp;vid=01CRU&amp;lang=en_US&amp;offset=0&amp;query=any,contains,991002436999702656","Catalog Record")</f>
        <v/>
      </c>
      <c r="AV207">
        <f>HYPERLINK("http://www.worldcat.org/oclc/349108","WorldCat Record")</f>
        <v/>
      </c>
      <c r="AW207" t="inlineStr">
        <is>
          <t>1507706:eng</t>
        </is>
      </c>
      <c r="AX207" t="inlineStr">
        <is>
          <t>349108</t>
        </is>
      </c>
      <c r="AY207" t="inlineStr">
        <is>
          <t>991002436999702656</t>
        </is>
      </c>
      <c r="AZ207" t="inlineStr">
        <is>
          <t>991002436999702656</t>
        </is>
      </c>
      <c r="BA207" t="inlineStr">
        <is>
          <t>2267456230002656</t>
        </is>
      </c>
      <c r="BB207" t="inlineStr">
        <is>
          <t>BOOK</t>
        </is>
      </c>
      <c r="BE207" t="inlineStr">
        <is>
          <t>32285001985620</t>
        </is>
      </c>
      <c r="BF207" t="inlineStr">
        <is>
          <t>893535006</t>
        </is>
      </c>
    </row>
    <row r="208">
      <c r="A208" t="inlineStr">
        <is>
          <t>No</t>
        </is>
      </c>
      <c r="B208" t="inlineStr">
        <is>
          <t>CURAL</t>
        </is>
      </c>
      <c r="C208" t="inlineStr">
        <is>
          <t>SHELVES</t>
        </is>
      </c>
      <c r="D208" t="inlineStr">
        <is>
          <t>PR143 .B6 1929a</t>
        </is>
      </c>
      <c r="E208" t="inlineStr">
        <is>
          <t>0                      PR 0143000B  6           1929a</t>
        </is>
      </c>
      <c r="F208" t="inlineStr">
        <is>
          <t>Nature in English literature by Edmund Blunden.</t>
        </is>
      </c>
      <c r="H208" t="inlineStr">
        <is>
          <t>No</t>
        </is>
      </c>
      <c r="I208" t="inlineStr">
        <is>
          <t>1</t>
        </is>
      </c>
      <c r="J208" t="inlineStr">
        <is>
          <t>No</t>
        </is>
      </c>
      <c r="K208" t="inlineStr">
        <is>
          <t>No</t>
        </is>
      </c>
      <c r="L208" t="inlineStr">
        <is>
          <t>0</t>
        </is>
      </c>
      <c r="M208" t="inlineStr">
        <is>
          <t>Blunden, Edmund, 1896-1974.</t>
        </is>
      </c>
      <c r="N208" t="inlineStr">
        <is>
          <t>New York Harcourt, Brace &amp; company 1929</t>
        </is>
      </c>
      <c r="O208" t="inlineStr">
        <is>
          <t>1929</t>
        </is>
      </c>
      <c r="Q208" t="inlineStr">
        <is>
          <t>eng</t>
        </is>
      </c>
      <c r="R208" t="inlineStr">
        <is>
          <t xml:space="preserve">xx </t>
        </is>
      </c>
      <c r="S208" t="inlineStr">
        <is>
          <t>Half title: Hogarth lectures on literature [no. 9]</t>
        </is>
      </c>
      <c r="T208" t="inlineStr">
        <is>
          <t xml:space="preserve">PR </t>
        </is>
      </c>
      <c r="U208" t="n">
        <v>2</v>
      </c>
      <c r="V208" t="n">
        <v>2</v>
      </c>
      <c r="W208" t="inlineStr">
        <is>
          <t>2003-10-24</t>
        </is>
      </c>
      <c r="X208" t="inlineStr">
        <is>
          <t>2003-10-24</t>
        </is>
      </c>
      <c r="Y208" t="inlineStr">
        <is>
          <t>1997-08-15</t>
        </is>
      </c>
      <c r="Z208" t="inlineStr">
        <is>
          <t>1997-08-15</t>
        </is>
      </c>
      <c r="AA208" t="n">
        <v>221</v>
      </c>
      <c r="AB208" t="n">
        <v>197</v>
      </c>
      <c r="AC208" t="n">
        <v>572</v>
      </c>
      <c r="AD208" t="n">
        <v>3</v>
      </c>
      <c r="AE208" t="n">
        <v>6</v>
      </c>
      <c r="AF208" t="n">
        <v>8</v>
      </c>
      <c r="AG208" t="n">
        <v>32</v>
      </c>
      <c r="AH208" t="n">
        <v>2</v>
      </c>
      <c r="AI208" t="n">
        <v>14</v>
      </c>
      <c r="AJ208" t="n">
        <v>0</v>
      </c>
      <c r="AK208" t="n">
        <v>6</v>
      </c>
      <c r="AL208" t="n">
        <v>5</v>
      </c>
      <c r="AM208" t="n">
        <v>15</v>
      </c>
      <c r="AN208" t="n">
        <v>2</v>
      </c>
      <c r="AO208" t="n">
        <v>5</v>
      </c>
      <c r="AP208" t="n">
        <v>0</v>
      </c>
      <c r="AQ208" t="n">
        <v>0</v>
      </c>
      <c r="AR208" t="inlineStr">
        <is>
          <t>No</t>
        </is>
      </c>
      <c r="AS208" t="inlineStr">
        <is>
          <t>No</t>
        </is>
      </c>
      <c r="AU208">
        <f>HYPERLINK("https://creighton-primo.hosted.exlibrisgroup.com/primo-explore/search?tab=default_tab&amp;search_scope=EVERYTHING&amp;vid=01CRU&amp;lang=en_US&amp;offset=0&amp;query=any,contains,991003776959702656","Catalog Record")</f>
        <v/>
      </c>
      <c r="AV208">
        <f>HYPERLINK("http://www.worldcat.org/oclc/1486167","WorldCat Record")</f>
        <v/>
      </c>
      <c r="AW208" t="inlineStr">
        <is>
          <t>1298687:eng</t>
        </is>
      </c>
      <c r="AX208" t="inlineStr">
        <is>
          <t>1486167</t>
        </is>
      </c>
      <c r="AY208" t="inlineStr">
        <is>
          <t>991003776959702656</t>
        </is>
      </c>
      <c r="AZ208" t="inlineStr">
        <is>
          <t>991003776959702656</t>
        </is>
      </c>
      <c r="BA208" t="inlineStr">
        <is>
          <t>2258551350002656</t>
        </is>
      </c>
      <c r="BB208" t="inlineStr">
        <is>
          <t>BOOK</t>
        </is>
      </c>
      <c r="BE208" t="inlineStr">
        <is>
          <t>32285003150199</t>
        </is>
      </c>
      <c r="BF208" t="inlineStr">
        <is>
          <t>893627765</t>
        </is>
      </c>
    </row>
    <row r="209">
      <c r="A209" t="inlineStr">
        <is>
          <t>No</t>
        </is>
      </c>
      <c r="B209" t="inlineStr">
        <is>
          <t>CURAL</t>
        </is>
      </c>
      <c r="C209" t="inlineStr">
        <is>
          <t>SHELVES</t>
        </is>
      </c>
      <c r="D209" t="inlineStr">
        <is>
          <t>PR143 .K5</t>
        </is>
      </c>
      <c r="E209" t="inlineStr">
        <is>
          <t>0                      PR 0143000K  5</t>
        </is>
      </c>
      <c r="F209" t="inlineStr">
        <is>
          <t>Beyond the land itself; views of nature in Canada and the United States [by] Marcia B. Kline.</t>
        </is>
      </c>
      <c r="H209" t="inlineStr">
        <is>
          <t>No</t>
        </is>
      </c>
      <c r="I209" t="inlineStr">
        <is>
          <t>1</t>
        </is>
      </c>
      <c r="J209" t="inlineStr">
        <is>
          <t>No</t>
        </is>
      </c>
      <c r="K209" t="inlineStr">
        <is>
          <t>No</t>
        </is>
      </c>
      <c r="L209" t="inlineStr">
        <is>
          <t>0</t>
        </is>
      </c>
      <c r="M209" t="inlineStr">
        <is>
          <t>Kline, Marcia B.</t>
        </is>
      </c>
      <c r="N209" t="inlineStr">
        <is>
          <t>Cambridge, Mass., Harvard University Press, 1970.</t>
        </is>
      </c>
      <c r="O209" t="inlineStr">
        <is>
          <t>1970</t>
        </is>
      </c>
      <c r="Q209" t="inlineStr">
        <is>
          <t>eng</t>
        </is>
      </c>
      <c r="R209" t="inlineStr">
        <is>
          <t>mau</t>
        </is>
      </c>
      <c r="S209" t="inlineStr">
        <is>
          <t>Essays in history and literature</t>
        </is>
      </c>
      <c r="T209" t="inlineStr">
        <is>
          <t xml:space="preserve">PR </t>
        </is>
      </c>
      <c r="U209" t="n">
        <v>2</v>
      </c>
      <c r="V209" t="n">
        <v>2</v>
      </c>
      <c r="W209" t="inlineStr">
        <is>
          <t>2005-11-16</t>
        </is>
      </c>
      <c r="X209" t="inlineStr">
        <is>
          <t>2005-11-16</t>
        </is>
      </c>
      <c r="Y209" t="inlineStr">
        <is>
          <t>1997-08-15</t>
        </is>
      </c>
      <c r="Z209" t="inlineStr">
        <is>
          <t>1997-08-15</t>
        </is>
      </c>
      <c r="AA209" t="n">
        <v>270</v>
      </c>
      <c r="AB209" t="n">
        <v>214</v>
      </c>
      <c r="AC209" t="n">
        <v>219</v>
      </c>
      <c r="AD209" t="n">
        <v>3</v>
      </c>
      <c r="AE209" t="n">
        <v>3</v>
      </c>
      <c r="AF209" t="n">
        <v>9</v>
      </c>
      <c r="AG209" t="n">
        <v>9</v>
      </c>
      <c r="AH209" t="n">
        <v>2</v>
      </c>
      <c r="AI209" t="n">
        <v>2</v>
      </c>
      <c r="AJ209" t="n">
        <v>3</v>
      </c>
      <c r="AK209" t="n">
        <v>3</v>
      </c>
      <c r="AL209" t="n">
        <v>3</v>
      </c>
      <c r="AM209" t="n">
        <v>3</v>
      </c>
      <c r="AN209" t="n">
        <v>2</v>
      </c>
      <c r="AO209" t="n">
        <v>2</v>
      </c>
      <c r="AP209" t="n">
        <v>0</v>
      </c>
      <c r="AQ209" t="n">
        <v>0</v>
      </c>
      <c r="AR209" t="inlineStr">
        <is>
          <t>No</t>
        </is>
      </c>
      <c r="AS209" t="inlineStr">
        <is>
          <t>Yes</t>
        </is>
      </c>
      <c r="AT209">
        <f>HYPERLINK("http://catalog.hathitrust.org/Record/001370950","HathiTrust Record")</f>
        <v/>
      </c>
      <c r="AU209">
        <f>HYPERLINK("https://creighton-primo.hosted.exlibrisgroup.com/primo-explore/search?tab=default_tab&amp;search_scope=EVERYTHING&amp;vid=01CRU&amp;lang=en_US&amp;offset=0&amp;query=any,contains,991000640539702656","Catalog Record")</f>
        <v/>
      </c>
      <c r="AV209">
        <f>HYPERLINK("http://www.worldcat.org/oclc/109487","WorldCat Record")</f>
        <v/>
      </c>
      <c r="AW209" t="inlineStr">
        <is>
          <t>310706429:eng</t>
        </is>
      </c>
      <c r="AX209" t="inlineStr">
        <is>
          <t>109487</t>
        </is>
      </c>
      <c r="AY209" t="inlineStr">
        <is>
          <t>991000640539702656</t>
        </is>
      </c>
      <c r="AZ209" t="inlineStr">
        <is>
          <t>991000640539702656</t>
        </is>
      </c>
      <c r="BA209" t="inlineStr">
        <is>
          <t>2254824640002656</t>
        </is>
      </c>
      <c r="BB209" t="inlineStr">
        <is>
          <t>BOOK</t>
        </is>
      </c>
      <c r="BD209" t="inlineStr">
        <is>
          <t>9780674069152</t>
        </is>
      </c>
      <c r="BE209" t="inlineStr">
        <is>
          <t>32285003150207</t>
        </is>
      </c>
      <c r="BF209" t="inlineStr">
        <is>
          <t>893897075</t>
        </is>
      </c>
    </row>
    <row r="210">
      <c r="A210" t="inlineStr">
        <is>
          <t>No</t>
        </is>
      </c>
      <c r="B210" t="inlineStr">
        <is>
          <t>CURAL</t>
        </is>
      </c>
      <c r="C210" t="inlineStr">
        <is>
          <t>SHELVES</t>
        </is>
      </c>
      <c r="D210" t="inlineStr">
        <is>
          <t>PR146 .B98 1982</t>
        </is>
      </c>
      <c r="E210" t="inlineStr">
        <is>
          <t>0                      PR 0146000B  98          1982</t>
        </is>
      </c>
      <c r="F210" t="inlineStr">
        <is>
          <t>Romantics, rebels and reactionaries : English literature and its background, 1760-1830 / Marilyn Butler.</t>
        </is>
      </c>
      <c r="H210" t="inlineStr">
        <is>
          <t>No</t>
        </is>
      </c>
      <c r="I210" t="inlineStr">
        <is>
          <t>1</t>
        </is>
      </c>
      <c r="J210" t="inlineStr">
        <is>
          <t>No</t>
        </is>
      </c>
      <c r="K210" t="inlineStr">
        <is>
          <t>No</t>
        </is>
      </c>
      <c r="L210" t="inlineStr">
        <is>
          <t>0</t>
        </is>
      </c>
      <c r="M210" t="inlineStr">
        <is>
          <t>Butler, Marilyn.</t>
        </is>
      </c>
      <c r="N210" t="inlineStr">
        <is>
          <t>New York : Oxford University Press, 1982, c1981.</t>
        </is>
      </c>
      <c r="O210" t="inlineStr">
        <is>
          <t>1982</t>
        </is>
      </c>
      <c r="Q210" t="inlineStr">
        <is>
          <t>eng</t>
        </is>
      </c>
      <c r="R210" t="inlineStr">
        <is>
          <t>nyu</t>
        </is>
      </c>
      <c r="T210" t="inlineStr">
        <is>
          <t xml:space="preserve">PR </t>
        </is>
      </c>
      <c r="U210" t="n">
        <v>4</v>
      </c>
      <c r="V210" t="n">
        <v>4</v>
      </c>
      <c r="W210" t="inlineStr">
        <is>
          <t>2005-02-08</t>
        </is>
      </c>
      <c r="X210" t="inlineStr">
        <is>
          <t>2005-02-08</t>
        </is>
      </c>
      <c r="Y210" t="inlineStr">
        <is>
          <t>1991-08-27</t>
        </is>
      </c>
      <c r="Z210" t="inlineStr">
        <is>
          <t>1991-08-27</t>
        </is>
      </c>
      <c r="AA210" t="n">
        <v>653</v>
      </c>
      <c r="AB210" t="n">
        <v>604</v>
      </c>
      <c r="AC210" t="n">
        <v>764</v>
      </c>
      <c r="AD210" t="n">
        <v>7</v>
      </c>
      <c r="AE210" t="n">
        <v>9</v>
      </c>
      <c r="AF210" t="n">
        <v>31</v>
      </c>
      <c r="AG210" t="n">
        <v>38</v>
      </c>
      <c r="AH210" t="n">
        <v>11</v>
      </c>
      <c r="AI210" t="n">
        <v>14</v>
      </c>
      <c r="AJ210" t="n">
        <v>8</v>
      </c>
      <c r="AK210" t="n">
        <v>9</v>
      </c>
      <c r="AL210" t="n">
        <v>15</v>
      </c>
      <c r="AM210" t="n">
        <v>17</v>
      </c>
      <c r="AN210" t="n">
        <v>6</v>
      </c>
      <c r="AO210" t="n">
        <v>8</v>
      </c>
      <c r="AP210" t="n">
        <v>0</v>
      </c>
      <c r="AQ210" t="n">
        <v>0</v>
      </c>
      <c r="AR210" t="inlineStr">
        <is>
          <t>No</t>
        </is>
      </c>
      <c r="AS210" t="inlineStr">
        <is>
          <t>No</t>
        </is>
      </c>
      <c r="AU210">
        <f>HYPERLINK("https://creighton-primo.hosted.exlibrisgroup.com/primo-explore/search?tab=default_tab&amp;search_scope=EVERYTHING&amp;vid=01CRU&amp;lang=en_US&amp;offset=0&amp;query=any,contains,991005234269702656","Catalog Record")</f>
        <v/>
      </c>
      <c r="AV210">
        <f>HYPERLINK("http://www.worldcat.org/oclc/8350297","WorldCat Record")</f>
        <v/>
      </c>
      <c r="AW210" t="inlineStr">
        <is>
          <t>478518308:eng</t>
        </is>
      </c>
      <c r="AX210" t="inlineStr">
        <is>
          <t>8350297</t>
        </is>
      </c>
      <c r="AY210" t="inlineStr">
        <is>
          <t>991005234269702656</t>
        </is>
      </c>
      <c r="AZ210" t="inlineStr">
        <is>
          <t>991005234269702656</t>
        </is>
      </c>
      <c r="BA210" t="inlineStr">
        <is>
          <t>2260267650002656</t>
        </is>
      </c>
      <c r="BB210" t="inlineStr">
        <is>
          <t>BOOK</t>
        </is>
      </c>
      <c r="BD210" t="inlineStr">
        <is>
          <t>9780195203844</t>
        </is>
      </c>
      <c r="BE210" t="inlineStr">
        <is>
          <t>32285000699792</t>
        </is>
      </c>
      <c r="BF210" t="inlineStr">
        <is>
          <t>893514298</t>
        </is>
      </c>
    </row>
    <row r="211">
      <c r="A211" t="inlineStr">
        <is>
          <t>No</t>
        </is>
      </c>
      <c r="B211" t="inlineStr">
        <is>
          <t>CURAL</t>
        </is>
      </c>
      <c r="C211" t="inlineStr">
        <is>
          <t>SHELVES</t>
        </is>
      </c>
      <c r="D211" t="inlineStr">
        <is>
          <t>PR146 .F3</t>
        </is>
      </c>
      <c r="E211" t="inlineStr">
        <is>
          <t>0                      PR 0146000F  3</t>
        </is>
      </c>
      <c r="F211" t="inlineStr">
        <is>
          <t>The noble savage; a study in romantic naturalism, by Hoxie Neale Fairchild.</t>
        </is>
      </c>
      <c r="H211" t="inlineStr">
        <is>
          <t>No</t>
        </is>
      </c>
      <c r="I211" t="inlineStr">
        <is>
          <t>1</t>
        </is>
      </c>
      <c r="J211" t="inlineStr">
        <is>
          <t>No</t>
        </is>
      </c>
      <c r="K211" t="inlineStr">
        <is>
          <t>No</t>
        </is>
      </c>
      <c r="L211" t="inlineStr">
        <is>
          <t>0</t>
        </is>
      </c>
      <c r="M211" t="inlineStr">
        <is>
          <t>Fairchild, Hoxie Neale, 1894-1973.</t>
        </is>
      </c>
      <c r="N211" t="inlineStr">
        <is>
          <t>New York, Columbia University Press, 1928.</t>
        </is>
      </c>
      <c r="O211" t="inlineStr">
        <is>
          <t>1928</t>
        </is>
      </c>
      <c r="Q211" t="inlineStr">
        <is>
          <t>eng</t>
        </is>
      </c>
      <c r="R211" t="inlineStr">
        <is>
          <t>nyu</t>
        </is>
      </c>
      <c r="T211" t="inlineStr">
        <is>
          <t xml:space="preserve">PR </t>
        </is>
      </c>
      <c r="U211" t="n">
        <v>1</v>
      </c>
      <c r="V211" t="n">
        <v>1</v>
      </c>
      <c r="W211" t="inlineStr">
        <is>
          <t>2006-10-28</t>
        </is>
      </c>
      <c r="X211" t="inlineStr">
        <is>
          <t>2006-10-28</t>
        </is>
      </c>
      <c r="Y211" t="inlineStr">
        <is>
          <t>1997-08-15</t>
        </is>
      </c>
      <c r="Z211" t="inlineStr">
        <is>
          <t>1997-08-15</t>
        </is>
      </c>
      <c r="AA211" t="n">
        <v>368</v>
      </c>
      <c r="AB211" t="n">
        <v>316</v>
      </c>
      <c r="AC211" t="n">
        <v>1012</v>
      </c>
      <c r="AD211" t="n">
        <v>3</v>
      </c>
      <c r="AE211" t="n">
        <v>9</v>
      </c>
      <c r="AF211" t="n">
        <v>23</v>
      </c>
      <c r="AG211" t="n">
        <v>55</v>
      </c>
      <c r="AH211" t="n">
        <v>12</v>
      </c>
      <c r="AI211" t="n">
        <v>27</v>
      </c>
      <c r="AJ211" t="n">
        <v>4</v>
      </c>
      <c r="AK211" t="n">
        <v>10</v>
      </c>
      <c r="AL211" t="n">
        <v>12</v>
      </c>
      <c r="AM211" t="n">
        <v>22</v>
      </c>
      <c r="AN211" t="n">
        <v>2</v>
      </c>
      <c r="AO211" t="n">
        <v>8</v>
      </c>
      <c r="AP211" t="n">
        <v>0</v>
      </c>
      <c r="AQ211" t="n">
        <v>0</v>
      </c>
      <c r="AR211" t="inlineStr">
        <is>
          <t>No</t>
        </is>
      </c>
      <c r="AS211" t="inlineStr">
        <is>
          <t>Yes</t>
        </is>
      </c>
      <c r="AT211">
        <f>HYPERLINK("http://catalog.hathitrust.org/Record/001016271","HathiTrust Record")</f>
        <v/>
      </c>
      <c r="AU211">
        <f>HYPERLINK("https://creighton-primo.hosted.exlibrisgroup.com/primo-explore/search?tab=default_tab&amp;search_scope=EVERYTHING&amp;vid=01CRU&amp;lang=en_US&amp;offset=0&amp;query=any,contains,991002443929702656","Catalog Record")</f>
        <v/>
      </c>
      <c r="AV211">
        <f>HYPERLINK("http://www.worldcat.org/oclc/350984","WorldCat Record")</f>
        <v/>
      </c>
      <c r="AW211" t="inlineStr">
        <is>
          <t>1359894:eng</t>
        </is>
      </c>
      <c r="AX211" t="inlineStr">
        <is>
          <t>350984</t>
        </is>
      </c>
      <c r="AY211" t="inlineStr">
        <is>
          <t>991002443929702656</t>
        </is>
      </c>
      <c r="AZ211" t="inlineStr">
        <is>
          <t>991002443929702656</t>
        </is>
      </c>
      <c r="BA211" t="inlineStr">
        <is>
          <t>2266515840002656</t>
        </is>
      </c>
      <c r="BB211" t="inlineStr">
        <is>
          <t>BOOK</t>
        </is>
      </c>
      <c r="BE211" t="inlineStr">
        <is>
          <t>32285003150231</t>
        </is>
      </c>
      <c r="BF211" t="inlineStr">
        <is>
          <t>893239045</t>
        </is>
      </c>
    </row>
    <row r="212">
      <c r="A212" t="inlineStr">
        <is>
          <t>No</t>
        </is>
      </c>
      <c r="B212" t="inlineStr">
        <is>
          <t>CURAL</t>
        </is>
      </c>
      <c r="C212" t="inlineStr">
        <is>
          <t>SHELVES</t>
        </is>
      </c>
      <c r="D212" t="inlineStr">
        <is>
          <t>PR146 .G5</t>
        </is>
      </c>
      <c r="E212" t="inlineStr">
        <is>
          <t>0                      PR 0146000G  5</t>
        </is>
      </c>
      <c r="F212" t="inlineStr">
        <is>
          <t>Romanticism; points of view, edited by Robert F. Gleckner [and] Gerald E. Enscoe.</t>
        </is>
      </c>
      <c r="H212" t="inlineStr">
        <is>
          <t>No</t>
        </is>
      </c>
      <c r="I212" t="inlineStr">
        <is>
          <t>1</t>
        </is>
      </c>
      <c r="J212" t="inlineStr">
        <is>
          <t>No</t>
        </is>
      </c>
      <c r="K212" t="inlineStr">
        <is>
          <t>No</t>
        </is>
      </c>
      <c r="L212" t="inlineStr">
        <is>
          <t>0</t>
        </is>
      </c>
      <c r="M212" t="inlineStr">
        <is>
          <t>Gleckner, Robert F. editor.</t>
        </is>
      </c>
      <c r="N212" t="inlineStr">
        <is>
          <t>Englewood Cliffs, N.J., Prentice-Hall, 1962.</t>
        </is>
      </c>
      <c r="O212" t="inlineStr">
        <is>
          <t>1962</t>
        </is>
      </c>
      <c r="Q212" t="inlineStr">
        <is>
          <t>eng</t>
        </is>
      </c>
      <c r="R212" t="inlineStr">
        <is>
          <t>nju</t>
        </is>
      </c>
      <c r="T212" t="inlineStr">
        <is>
          <t xml:space="preserve">PR </t>
        </is>
      </c>
      <c r="U212" t="n">
        <v>2</v>
      </c>
      <c r="V212" t="n">
        <v>2</v>
      </c>
      <c r="W212" t="inlineStr">
        <is>
          <t>2005-02-08</t>
        </is>
      </c>
      <c r="X212" t="inlineStr">
        <is>
          <t>2005-02-08</t>
        </is>
      </c>
      <c r="Y212" t="inlineStr">
        <is>
          <t>1997-08-15</t>
        </is>
      </c>
      <c r="Z212" t="inlineStr">
        <is>
          <t>1997-08-15</t>
        </is>
      </c>
      <c r="AA212" t="n">
        <v>677</v>
      </c>
      <c r="AB212" t="n">
        <v>596</v>
      </c>
      <c r="AC212" t="n">
        <v>1173</v>
      </c>
      <c r="AD212" t="n">
        <v>7</v>
      </c>
      <c r="AE212" t="n">
        <v>10</v>
      </c>
      <c r="AF212" t="n">
        <v>30</v>
      </c>
      <c r="AG212" t="n">
        <v>49</v>
      </c>
      <c r="AH212" t="n">
        <v>12</v>
      </c>
      <c r="AI212" t="n">
        <v>20</v>
      </c>
      <c r="AJ212" t="n">
        <v>5</v>
      </c>
      <c r="AK212" t="n">
        <v>8</v>
      </c>
      <c r="AL212" t="n">
        <v>12</v>
      </c>
      <c r="AM212" t="n">
        <v>23</v>
      </c>
      <c r="AN212" t="n">
        <v>6</v>
      </c>
      <c r="AO212" t="n">
        <v>8</v>
      </c>
      <c r="AP212" t="n">
        <v>0</v>
      </c>
      <c r="AQ212" t="n">
        <v>0</v>
      </c>
      <c r="AR212" t="inlineStr">
        <is>
          <t>No</t>
        </is>
      </c>
      <c r="AS212" t="inlineStr">
        <is>
          <t>No</t>
        </is>
      </c>
      <c r="AT212">
        <f>HYPERLINK("http://catalog.hathitrust.org/Record/001958304","HathiTrust Record")</f>
        <v/>
      </c>
      <c r="AU212">
        <f>HYPERLINK("https://creighton-primo.hosted.exlibrisgroup.com/primo-explore/search?tab=default_tab&amp;search_scope=EVERYTHING&amp;vid=01CRU&amp;lang=en_US&amp;offset=0&amp;query=any,contains,991002443959702656","Catalog Record")</f>
        <v/>
      </c>
      <c r="AV212">
        <f>HYPERLINK("http://www.worldcat.org/oclc/350986","WorldCat Record")</f>
        <v/>
      </c>
      <c r="AW212" t="inlineStr">
        <is>
          <t>151093641:eng</t>
        </is>
      </c>
      <c r="AX212" t="inlineStr">
        <is>
          <t>350986</t>
        </is>
      </c>
      <c r="AY212" t="inlineStr">
        <is>
          <t>991002443959702656</t>
        </is>
      </c>
      <c r="AZ212" t="inlineStr">
        <is>
          <t>991002443959702656</t>
        </is>
      </c>
      <c r="BA212" t="inlineStr">
        <is>
          <t>2266518880002656</t>
        </is>
      </c>
      <c r="BB212" t="inlineStr">
        <is>
          <t>BOOK</t>
        </is>
      </c>
      <c r="BE212" t="inlineStr">
        <is>
          <t>32285003150249</t>
        </is>
      </c>
      <c r="BF212" t="inlineStr">
        <is>
          <t>893773630</t>
        </is>
      </c>
    </row>
    <row r="213">
      <c r="A213" t="inlineStr">
        <is>
          <t>No</t>
        </is>
      </c>
      <c r="B213" t="inlineStr">
        <is>
          <t>CURAL</t>
        </is>
      </c>
      <c r="C213" t="inlineStr">
        <is>
          <t>SHELVES</t>
        </is>
      </c>
      <c r="D213" t="inlineStr">
        <is>
          <t>PR146 .R6</t>
        </is>
      </c>
      <c r="E213" t="inlineStr">
        <is>
          <t>0                      PR 0146000R  6</t>
        </is>
      </c>
      <c r="F213" t="inlineStr">
        <is>
          <t>The tradition of Romantic morality.</t>
        </is>
      </c>
      <c r="H213" t="inlineStr">
        <is>
          <t>No</t>
        </is>
      </c>
      <c r="I213" t="inlineStr">
        <is>
          <t>1</t>
        </is>
      </c>
      <c r="J213" t="inlineStr">
        <is>
          <t>No</t>
        </is>
      </c>
      <c r="K213" t="inlineStr">
        <is>
          <t>No</t>
        </is>
      </c>
      <c r="L213" t="inlineStr">
        <is>
          <t>0</t>
        </is>
      </c>
      <c r="M213" t="inlineStr">
        <is>
          <t>Roberts, Mark, 1923-2006.</t>
        </is>
      </c>
      <c r="N213" t="inlineStr">
        <is>
          <t>London, Macmillan, 1973.</t>
        </is>
      </c>
      <c r="O213" t="inlineStr">
        <is>
          <t>1973</t>
        </is>
      </c>
      <c r="Q213" t="inlineStr">
        <is>
          <t>eng</t>
        </is>
      </c>
      <c r="R213" t="inlineStr">
        <is>
          <t>enk</t>
        </is>
      </c>
      <c r="T213" t="inlineStr">
        <is>
          <t xml:space="preserve">PR </t>
        </is>
      </c>
      <c r="U213" t="n">
        <v>3</v>
      </c>
      <c r="V213" t="n">
        <v>3</v>
      </c>
      <c r="W213" t="inlineStr">
        <is>
          <t>2001-03-26</t>
        </is>
      </c>
      <c r="X213" t="inlineStr">
        <is>
          <t>2001-03-26</t>
        </is>
      </c>
      <c r="Y213" t="inlineStr">
        <is>
          <t>1997-08-15</t>
        </is>
      </c>
      <c r="Z213" t="inlineStr">
        <is>
          <t>1997-08-15</t>
        </is>
      </c>
      <c r="AA213" t="n">
        <v>388</v>
      </c>
      <c r="AB213" t="n">
        <v>211</v>
      </c>
      <c r="AC213" t="n">
        <v>395</v>
      </c>
      <c r="AD213" t="n">
        <v>4</v>
      </c>
      <c r="AE213" t="n">
        <v>4</v>
      </c>
      <c r="AF213" t="n">
        <v>9</v>
      </c>
      <c r="AG213" t="n">
        <v>24</v>
      </c>
      <c r="AH213" t="n">
        <v>1</v>
      </c>
      <c r="AI213" t="n">
        <v>11</v>
      </c>
      <c r="AJ213" t="n">
        <v>2</v>
      </c>
      <c r="AK213" t="n">
        <v>6</v>
      </c>
      <c r="AL213" t="n">
        <v>4</v>
      </c>
      <c r="AM213" t="n">
        <v>10</v>
      </c>
      <c r="AN213" t="n">
        <v>3</v>
      </c>
      <c r="AO213" t="n">
        <v>3</v>
      </c>
      <c r="AP213" t="n">
        <v>0</v>
      </c>
      <c r="AQ213" t="n">
        <v>0</v>
      </c>
      <c r="AR213" t="inlineStr">
        <is>
          <t>No</t>
        </is>
      </c>
      <c r="AS213" t="inlineStr">
        <is>
          <t>Yes</t>
        </is>
      </c>
      <c r="AT213">
        <f>HYPERLINK("http://catalog.hathitrust.org/Record/001371148","HathiTrust Record")</f>
        <v/>
      </c>
      <c r="AU213">
        <f>HYPERLINK("https://creighton-primo.hosted.exlibrisgroup.com/primo-explore/search?tab=default_tab&amp;search_scope=EVERYTHING&amp;vid=01CRU&amp;lang=en_US&amp;offset=0&amp;query=any,contains,991003091179702656","Catalog Record")</f>
        <v/>
      </c>
      <c r="AV213">
        <f>HYPERLINK("http://www.worldcat.org/oclc/641250","WorldCat Record")</f>
        <v/>
      </c>
      <c r="AW213" t="inlineStr">
        <is>
          <t>147055719:eng</t>
        </is>
      </c>
      <c r="AX213" t="inlineStr">
        <is>
          <t>641250</t>
        </is>
      </c>
      <c r="AY213" t="inlineStr">
        <is>
          <t>991003091179702656</t>
        </is>
      </c>
      <c r="AZ213" t="inlineStr">
        <is>
          <t>991003091179702656</t>
        </is>
      </c>
      <c r="BA213" t="inlineStr">
        <is>
          <t>2263942740002656</t>
        </is>
      </c>
      <c r="BB213" t="inlineStr">
        <is>
          <t>BOOK</t>
        </is>
      </c>
      <c r="BD213" t="inlineStr">
        <is>
          <t>9780333142462</t>
        </is>
      </c>
      <c r="BE213" t="inlineStr">
        <is>
          <t>32285003150272</t>
        </is>
      </c>
      <c r="BF213" t="inlineStr">
        <is>
          <t>893416031</t>
        </is>
      </c>
    </row>
    <row r="214">
      <c r="A214" t="inlineStr">
        <is>
          <t>No</t>
        </is>
      </c>
      <c r="B214" t="inlineStr">
        <is>
          <t>CURAL</t>
        </is>
      </c>
      <c r="C214" t="inlineStr">
        <is>
          <t>SHELVES</t>
        </is>
      </c>
      <c r="D214" t="inlineStr">
        <is>
          <t>PR149 .F35 M36 2003</t>
        </is>
      </c>
      <c r="E214" t="inlineStr">
        <is>
          <t>0                      PR 0149000F  35                 M  36          2003</t>
        </is>
      </c>
      <c r="F214" t="inlineStr">
        <is>
          <t>From Alice to Harry Potter : children's fantasy in England / Colin Manlove.</t>
        </is>
      </c>
      <c r="H214" t="inlineStr">
        <is>
          <t>No</t>
        </is>
      </c>
      <c r="I214" t="inlineStr">
        <is>
          <t>1</t>
        </is>
      </c>
      <c r="J214" t="inlineStr">
        <is>
          <t>No</t>
        </is>
      </c>
      <c r="K214" t="inlineStr">
        <is>
          <t>No</t>
        </is>
      </c>
      <c r="L214" t="inlineStr">
        <is>
          <t>0</t>
        </is>
      </c>
      <c r="M214" t="inlineStr">
        <is>
          <t>Manlove, C. N. (Colin Nicholas), 1942-</t>
        </is>
      </c>
      <c r="N214" t="inlineStr">
        <is>
          <t>Christchurch, New Zealand : Cybereditions, c2003.</t>
        </is>
      </c>
      <c r="O214" t="inlineStr">
        <is>
          <t>2003</t>
        </is>
      </c>
      <c r="Q214" t="inlineStr">
        <is>
          <t>eng</t>
        </is>
      </c>
      <c r="R214" t="inlineStr">
        <is>
          <t xml:space="preserve">nz </t>
        </is>
      </c>
      <c r="T214" t="inlineStr">
        <is>
          <t xml:space="preserve">PR </t>
        </is>
      </c>
      <c r="U214" t="n">
        <v>3</v>
      </c>
      <c r="V214" t="n">
        <v>3</v>
      </c>
      <c r="W214" t="inlineStr">
        <is>
          <t>2006-10-31</t>
        </is>
      </c>
      <c r="X214" t="inlineStr">
        <is>
          <t>2006-10-31</t>
        </is>
      </c>
      <c r="Y214" t="inlineStr">
        <is>
          <t>2004-03-16</t>
        </is>
      </c>
      <c r="Z214" t="inlineStr">
        <is>
          <t>2004-03-16</t>
        </is>
      </c>
      <c r="AA214" t="n">
        <v>551</v>
      </c>
      <c r="AB214" t="n">
        <v>482</v>
      </c>
      <c r="AC214" t="n">
        <v>852</v>
      </c>
      <c r="AD214" t="n">
        <v>5</v>
      </c>
      <c r="AE214" t="n">
        <v>30</v>
      </c>
      <c r="AF214" t="n">
        <v>26</v>
      </c>
      <c r="AG214" t="n">
        <v>37</v>
      </c>
      <c r="AH214" t="n">
        <v>15</v>
      </c>
      <c r="AI214" t="n">
        <v>17</v>
      </c>
      <c r="AJ214" t="n">
        <v>3</v>
      </c>
      <c r="AK214" t="n">
        <v>4</v>
      </c>
      <c r="AL214" t="n">
        <v>11</v>
      </c>
      <c r="AM214" t="n">
        <v>13</v>
      </c>
      <c r="AN214" t="n">
        <v>4</v>
      </c>
      <c r="AO214" t="n">
        <v>11</v>
      </c>
      <c r="AP214" t="n">
        <v>0</v>
      </c>
      <c r="AQ214" t="n">
        <v>0</v>
      </c>
      <c r="AR214" t="inlineStr">
        <is>
          <t>No</t>
        </is>
      </c>
      <c r="AS214" t="inlineStr">
        <is>
          <t>Yes</t>
        </is>
      </c>
      <c r="AT214">
        <f>HYPERLINK("http://catalog.hathitrust.org/Record/004717918","HathiTrust Record")</f>
        <v/>
      </c>
      <c r="AU214">
        <f>HYPERLINK("https://creighton-primo.hosted.exlibrisgroup.com/primo-explore/search?tab=default_tab&amp;search_scope=EVERYTHING&amp;vid=01CRU&amp;lang=en_US&amp;offset=0&amp;query=any,contains,991004206069702656","Catalog Record")</f>
        <v/>
      </c>
      <c r="AV214">
        <f>HYPERLINK("http://www.worldcat.org/oclc/53149675","WorldCat Record")</f>
        <v/>
      </c>
      <c r="AW214" t="inlineStr">
        <is>
          <t>793902963:eng</t>
        </is>
      </c>
      <c r="AX214" t="inlineStr">
        <is>
          <t>53149675</t>
        </is>
      </c>
      <c r="AY214" t="inlineStr">
        <is>
          <t>991004206069702656</t>
        </is>
      </c>
      <c r="AZ214" t="inlineStr">
        <is>
          <t>991004206069702656</t>
        </is>
      </c>
      <c r="BA214" t="inlineStr">
        <is>
          <t>2266492230002656</t>
        </is>
      </c>
      <c r="BB214" t="inlineStr">
        <is>
          <t>BOOK</t>
        </is>
      </c>
      <c r="BD214" t="inlineStr">
        <is>
          <t>9781877275555</t>
        </is>
      </c>
      <c r="BE214" t="inlineStr">
        <is>
          <t>32285004894613</t>
        </is>
      </c>
      <c r="BF214" t="inlineStr">
        <is>
          <t>893500270</t>
        </is>
      </c>
    </row>
    <row r="215">
      <c r="A215" t="inlineStr">
        <is>
          <t>No</t>
        </is>
      </c>
      <c r="B215" t="inlineStr">
        <is>
          <t>CURAL</t>
        </is>
      </c>
      <c r="C215" t="inlineStr">
        <is>
          <t>SHELVES</t>
        </is>
      </c>
      <c r="D215" t="inlineStr">
        <is>
          <t>PR149.A79 G66 1988</t>
        </is>
      </c>
      <c r="E215" t="inlineStr">
        <is>
          <t>0                      PR 0149000A  79                 G  66          1988</t>
        </is>
      </c>
      <c r="F215" t="inlineStr">
        <is>
          <t>The legend of Arthur in British and American literature / by Jennifer R. Goodman.</t>
        </is>
      </c>
      <c r="H215" t="inlineStr">
        <is>
          <t>No</t>
        </is>
      </c>
      <c r="I215" t="inlineStr">
        <is>
          <t>1</t>
        </is>
      </c>
      <c r="J215" t="inlineStr">
        <is>
          <t>No</t>
        </is>
      </c>
      <c r="K215" t="inlineStr">
        <is>
          <t>No</t>
        </is>
      </c>
      <c r="L215" t="inlineStr">
        <is>
          <t>0</t>
        </is>
      </c>
      <c r="M215" t="inlineStr">
        <is>
          <t>Goodman, Jennifer R. (Jennifer Robin), 1953-</t>
        </is>
      </c>
      <c r="N215" t="inlineStr">
        <is>
          <t>Boston, Mass. : Twayne Publishers, c1988.</t>
        </is>
      </c>
      <c r="O215" t="inlineStr">
        <is>
          <t>1988</t>
        </is>
      </c>
      <c r="Q215" t="inlineStr">
        <is>
          <t>eng</t>
        </is>
      </c>
      <c r="R215" t="inlineStr">
        <is>
          <t>mau</t>
        </is>
      </c>
      <c r="S215" t="inlineStr">
        <is>
          <t>Twayne's English authors series ; TEAS 461</t>
        </is>
      </c>
      <c r="T215" t="inlineStr">
        <is>
          <t xml:space="preserve">PR </t>
        </is>
      </c>
      <c r="U215" t="n">
        <v>3</v>
      </c>
      <c r="V215" t="n">
        <v>3</v>
      </c>
      <c r="W215" t="inlineStr">
        <is>
          <t>1998-03-16</t>
        </is>
      </c>
      <c r="X215" t="inlineStr">
        <is>
          <t>1998-03-16</t>
        </is>
      </c>
      <c r="Y215" t="inlineStr">
        <is>
          <t>1991-08-27</t>
        </is>
      </c>
      <c r="Z215" t="inlineStr">
        <is>
          <t>1991-08-27</t>
        </is>
      </c>
      <c r="AA215" t="n">
        <v>1080</v>
      </c>
      <c r="AB215" t="n">
        <v>968</v>
      </c>
      <c r="AC215" t="n">
        <v>1066</v>
      </c>
      <c r="AD215" t="n">
        <v>6</v>
      </c>
      <c r="AE215" t="n">
        <v>6</v>
      </c>
      <c r="AF215" t="n">
        <v>37</v>
      </c>
      <c r="AG215" t="n">
        <v>38</v>
      </c>
      <c r="AH215" t="n">
        <v>17</v>
      </c>
      <c r="AI215" t="n">
        <v>17</v>
      </c>
      <c r="AJ215" t="n">
        <v>8</v>
      </c>
      <c r="AK215" t="n">
        <v>8</v>
      </c>
      <c r="AL215" t="n">
        <v>19</v>
      </c>
      <c r="AM215" t="n">
        <v>20</v>
      </c>
      <c r="AN215" t="n">
        <v>4</v>
      </c>
      <c r="AO215" t="n">
        <v>4</v>
      </c>
      <c r="AP215" t="n">
        <v>0</v>
      </c>
      <c r="AQ215" t="n">
        <v>0</v>
      </c>
      <c r="AR215" t="inlineStr">
        <is>
          <t>No</t>
        </is>
      </c>
      <c r="AS215" t="inlineStr">
        <is>
          <t>Yes</t>
        </is>
      </c>
      <c r="AT215">
        <f>HYPERLINK("http://catalog.hathitrust.org/Record/000904677","HathiTrust Record")</f>
        <v/>
      </c>
      <c r="AU215">
        <f>HYPERLINK("https://creighton-primo.hosted.exlibrisgroup.com/primo-explore/search?tab=default_tab&amp;search_scope=EVERYTHING&amp;vid=01CRU&amp;lang=en_US&amp;offset=0&amp;query=any,contains,991001152279702656","Catalog Record")</f>
        <v/>
      </c>
      <c r="AV215">
        <f>HYPERLINK("http://www.worldcat.org/oclc/16830372","WorldCat Record")</f>
        <v/>
      </c>
      <c r="AW215" t="inlineStr">
        <is>
          <t>13745684:eng</t>
        </is>
      </c>
      <c r="AX215" t="inlineStr">
        <is>
          <t>16830372</t>
        </is>
      </c>
      <c r="AY215" t="inlineStr">
        <is>
          <t>991001152279702656</t>
        </is>
      </c>
      <c r="AZ215" t="inlineStr">
        <is>
          <t>991001152279702656</t>
        </is>
      </c>
      <c r="BA215" t="inlineStr">
        <is>
          <t>2255016310002656</t>
        </is>
      </c>
      <c r="BB215" t="inlineStr">
        <is>
          <t>BOOK</t>
        </is>
      </c>
      <c r="BD215" t="inlineStr">
        <is>
          <t>9780805769654</t>
        </is>
      </c>
      <c r="BE215" t="inlineStr">
        <is>
          <t>32285000699818</t>
        </is>
      </c>
      <c r="BF215" t="inlineStr">
        <is>
          <t>893803388</t>
        </is>
      </c>
    </row>
    <row r="216">
      <c r="A216" t="inlineStr">
        <is>
          <t>No</t>
        </is>
      </c>
      <c r="B216" t="inlineStr">
        <is>
          <t>CURAL</t>
        </is>
      </c>
      <c r="C216" t="inlineStr">
        <is>
          <t>SHELVES</t>
        </is>
      </c>
      <c r="D216" t="inlineStr">
        <is>
          <t>PR149.N3 L5 1991</t>
        </is>
      </c>
      <c r="E216" t="inlineStr">
        <is>
          <t>0                      PR 0149000N  3                  L  5           1991</t>
        </is>
      </c>
      <c r="F216" t="inlineStr">
        <is>
          <t>Literature and nationalism / edited by Vincent Newey and Ann Thompson.</t>
        </is>
      </c>
      <c r="H216" t="inlineStr">
        <is>
          <t>No</t>
        </is>
      </c>
      <c r="I216" t="inlineStr">
        <is>
          <t>1</t>
        </is>
      </c>
      <c r="J216" t="inlineStr">
        <is>
          <t>No</t>
        </is>
      </c>
      <c r="K216" t="inlineStr">
        <is>
          <t>No</t>
        </is>
      </c>
      <c r="L216" t="inlineStr">
        <is>
          <t>0</t>
        </is>
      </c>
      <c r="N216" t="inlineStr">
        <is>
          <t>Savage, Md. : Barnes &amp; Noble Books, 1991.</t>
        </is>
      </c>
      <c r="O216" t="inlineStr">
        <is>
          <t>1991</t>
        </is>
      </c>
      <c r="Q216" t="inlineStr">
        <is>
          <t>eng</t>
        </is>
      </c>
      <c r="R216" t="inlineStr">
        <is>
          <t>mdu</t>
        </is>
      </c>
      <c r="T216" t="inlineStr">
        <is>
          <t xml:space="preserve">PR </t>
        </is>
      </c>
      <c r="U216" t="n">
        <v>3</v>
      </c>
      <c r="V216" t="n">
        <v>3</v>
      </c>
      <c r="W216" t="inlineStr">
        <is>
          <t>2002-03-27</t>
        </is>
      </c>
      <c r="X216" t="inlineStr">
        <is>
          <t>2002-03-27</t>
        </is>
      </c>
      <c r="Y216" t="inlineStr">
        <is>
          <t>1992-01-21</t>
        </is>
      </c>
      <c r="Z216" t="inlineStr">
        <is>
          <t>1992-01-21</t>
        </is>
      </c>
      <c r="AA216" t="n">
        <v>155</v>
      </c>
      <c r="AB216" t="n">
        <v>130</v>
      </c>
      <c r="AC216" t="n">
        <v>357</v>
      </c>
      <c r="AD216" t="n">
        <v>2</v>
      </c>
      <c r="AE216" t="n">
        <v>2</v>
      </c>
      <c r="AF216" t="n">
        <v>10</v>
      </c>
      <c r="AG216" t="n">
        <v>18</v>
      </c>
      <c r="AH216" t="n">
        <v>2</v>
      </c>
      <c r="AI216" t="n">
        <v>8</v>
      </c>
      <c r="AJ216" t="n">
        <v>4</v>
      </c>
      <c r="AK216" t="n">
        <v>6</v>
      </c>
      <c r="AL216" t="n">
        <v>7</v>
      </c>
      <c r="AM216" t="n">
        <v>9</v>
      </c>
      <c r="AN216" t="n">
        <v>1</v>
      </c>
      <c r="AO216" t="n">
        <v>1</v>
      </c>
      <c r="AP216" t="n">
        <v>0</v>
      </c>
      <c r="AQ216" t="n">
        <v>0</v>
      </c>
      <c r="AR216" t="inlineStr">
        <is>
          <t>No</t>
        </is>
      </c>
      <c r="AS216" t="inlineStr">
        <is>
          <t>No</t>
        </is>
      </c>
      <c r="AU216">
        <f>HYPERLINK("https://creighton-primo.hosted.exlibrisgroup.com/primo-explore/search?tab=default_tab&amp;search_scope=EVERYTHING&amp;vid=01CRU&amp;lang=en_US&amp;offset=0&amp;query=any,contains,991001843349702656","Catalog Record")</f>
        <v/>
      </c>
      <c r="AV216">
        <f>HYPERLINK("http://www.worldcat.org/oclc/23144569","WorldCat Record")</f>
        <v/>
      </c>
      <c r="AW216" t="inlineStr">
        <is>
          <t>347306614:eng</t>
        </is>
      </c>
      <c r="AX216" t="inlineStr">
        <is>
          <t>23144569</t>
        </is>
      </c>
      <c r="AY216" t="inlineStr">
        <is>
          <t>991001843349702656</t>
        </is>
      </c>
      <c r="AZ216" t="inlineStr">
        <is>
          <t>991001843349702656</t>
        </is>
      </c>
      <c r="BA216" t="inlineStr">
        <is>
          <t>2266201740002656</t>
        </is>
      </c>
      <c r="BB216" t="inlineStr">
        <is>
          <t>BOOK</t>
        </is>
      </c>
      <c r="BD216" t="inlineStr">
        <is>
          <t>9780389209546</t>
        </is>
      </c>
      <c r="BE216" t="inlineStr">
        <is>
          <t>32285000864701</t>
        </is>
      </c>
      <c r="BF216" t="inlineStr">
        <is>
          <t>893439486</t>
        </is>
      </c>
    </row>
    <row r="217">
      <c r="A217" t="inlineStr">
        <is>
          <t>No</t>
        </is>
      </c>
      <c r="B217" t="inlineStr">
        <is>
          <t>CURAL</t>
        </is>
      </c>
      <c r="C217" t="inlineStr">
        <is>
          <t>SHELVES</t>
        </is>
      </c>
      <c r="D217" t="inlineStr">
        <is>
          <t>PR1502 .A7 v.1</t>
        </is>
      </c>
      <c r="E217" t="inlineStr">
        <is>
          <t>0                      PR 1502000A  7                                                       v.1</t>
        </is>
      </c>
      <c r="F217" t="inlineStr">
        <is>
          <t>The Junius manuscript / edited by George Philip Krapp.</t>
        </is>
      </c>
      <c r="G217" t="inlineStr">
        <is>
          <t>V.1</t>
        </is>
      </c>
      <c r="H217" t="inlineStr">
        <is>
          <t>No</t>
        </is>
      </c>
      <c r="I217" t="inlineStr">
        <is>
          <t>1</t>
        </is>
      </c>
      <c r="J217" t="inlineStr">
        <is>
          <t>No</t>
        </is>
      </c>
      <c r="K217" t="inlineStr">
        <is>
          <t>No</t>
        </is>
      </c>
      <c r="L217" t="inlineStr">
        <is>
          <t>0</t>
        </is>
      </c>
      <c r="M217" t="inlineStr">
        <is>
          <t>Caedmon manuscript.</t>
        </is>
      </c>
      <c r="N217" t="inlineStr">
        <is>
          <t>New York : Columbia University Press, 1931.</t>
        </is>
      </c>
      <c r="O217" t="inlineStr">
        <is>
          <t>1931</t>
        </is>
      </c>
      <c r="Q217" t="inlineStr">
        <is>
          <t>eng</t>
        </is>
      </c>
      <c r="R217" t="inlineStr">
        <is>
          <t>nyu</t>
        </is>
      </c>
      <c r="S217" t="inlineStr">
        <is>
          <t>The Anglo-Saxon poetic records, a collective edition ; 1</t>
        </is>
      </c>
      <c r="T217" t="inlineStr">
        <is>
          <t xml:space="preserve">PR </t>
        </is>
      </c>
      <c r="U217" t="n">
        <v>1</v>
      </c>
      <c r="V217" t="n">
        <v>1</v>
      </c>
      <c r="W217" t="inlineStr">
        <is>
          <t>2008-01-28</t>
        </is>
      </c>
      <c r="X217" t="inlineStr">
        <is>
          <t>2008-01-28</t>
        </is>
      </c>
      <c r="Y217" t="inlineStr">
        <is>
          <t>1994-03-31</t>
        </is>
      </c>
      <c r="Z217" t="inlineStr">
        <is>
          <t>1994-03-31</t>
        </is>
      </c>
      <c r="AA217" t="n">
        <v>698</v>
      </c>
      <c r="AB217" t="n">
        <v>574</v>
      </c>
      <c r="AC217" t="n">
        <v>579</v>
      </c>
      <c r="AD217" t="n">
        <v>3</v>
      </c>
      <c r="AE217" t="n">
        <v>3</v>
      </c>
      <c r="AF217" t="n">
        <v>37</v>
      </c>
      <c r="AG217" t="n">
        <v>37</v>
      </c>
      <c r="AH217" t="n">
        <v>15</v>
      </c>
      <c r="AI217" t="n">
        <v>15</v>
      </c>
      <c r="AJ217" t="n">
        <v>9</v>
      </c>
      <c r="AK217" t="n">
        <v>9</v>
      </c>
      <c r="AL217" t="n">
        <v>22</v>
      </c>
      <c r="AM217" t="n">
        <v>22</v>
      </c>
      <c r="AN217" t="n">
        <v>2</v>
      </c>
      <c r="AO217" t="n">
        <v>2</v>
      </c>
      <c r="AP217" t="n">
        <v>0</v>
      </c>
      <c r="AQ217" t="n">
        <v>0</v>
      </c>
      <c r="AR217" t="inlineStr">
        <is>
          <t>No</t>
        </is>
      </c>
      <c r="AS217" t="inlineStr">
        <is>
          <t>Yes</t>
        </is>
      </c>
      <c r="AT217">
        <f>HYPERLINK("http://catalog.hathitrust.org/Record/003086649","HathiTrust Record")</f>
        <v/>
      </c>
      <c r="AU217">
        <f>HYPERLINK("https://creighton-primo.hosted.exlibrisgroup.com/primo-explore/search?tab=default_tab&amp;search_scope=EVERYTHING&amp;vid=01CRU&amp;lang=en_US&amp;offset=0&amp;query=any,contains,991002454579702656","Catalog Record")</f>
        <v/>
      </c>
      <c r="AV217">
        <f>HYPERLINK("http://www.worldcat.org/oclc/353894","WorldCat Record")</f>
        <v/>
      </c>
      <c r="AW217" t="inlineStr">
        <is>
          <t>5473867690:eng</t>
        </is>
      </c>
      <c r="AX217" t="inlineStr">
        <is>
          <t>353894</t>
        </is>
      </c>
      <c r="AY217" t="inlineStr">
        <is>
          <t>991002454579702656</t>
        </is>
      </c>
      <c r="AZ217" t="inlineStr">
        <is>
          <t>991002454579702656</t>
        </is>
      </c>
      <c r="BA217" t="inlineStr">
        <is>
          <t>2267820520002656</t>
        </is>
      </c>
      <c r="BB217" t="inlineStr">
        <is>
          <t>BOOK</t>
        </is>
      </c>
      <c r="BE217" t="inlineStr">
        <is>
          <t>32285001872224</t>
        </is>
      </c>
      <c r="BF217" t="inlineStr">
        <is>
          <t>893779833</t>
        </is>
      </c>
    </row>
    <row r="218">
      <c r="A218" t="inlineStr">
        <is>
          <t>No</t>
        </is>
      </c>
      <c r="B218" t="inlineStr">
        <is>
          <t>CURAL</t>
        </is>
      </c>
      <c r="C218" t="inlineStr">
        <is>
          <t>SHELVES</t>
        </is>
      </c>
      <c r="D218" t="inlineStr">
        <is>
          <t>PR1502 .A7 v.2</t>
        </is>
      </c>
      <c r="E218" t="inlineStr">
        <is>
          <t>0                      PR 1502000A  7                                                       v.2</t>
        </is>
      </c>
      <c r="F218" t="inlineStr">
        <is>
          <t>The Vercelli book / edited by George Philip Krapp.</t>
        </is>
      </c>
      <c r="G218" t="inlineStr">
        <is>
          <t>V.2</t>
        </is>
      </c>
      <c r="H218" t="inlineStr">
        <is>
          <t>No</t>
        </is>
      </c>
      <c r="I218" t="inlineStr">
        <is>
          <t>1</t>
        </is>
      </c>
      <c r="J218" t="inlineStr">
        <is>
          <t>No</t>
        </is>
      </c>
      <c r="K218" t="inlineStr">
        <is>
          <t>No</t>
        </is>
      </c>
      <c r="L218" t="inlineStr">
        <is>
          <t>0</t>
        </is>
      </c>
      <c r="M218" t="inlineStr">
        <is>
          <t>Vercelli book.</t>
        </is>
      </c>
      <c r="N218" t="inlineStr">
        <is>
          <t>New York : Columbia University Press, 1932.</t>
        </is>
      </c>
      <c r="O218" t="inlineStr">
        <is>
          <t>1932</t>
        </is>
      </c>
      <c r="Q218" t="inlineStr">
        <is>
          <t>eng</t>
        </is>
      </c>
      <c r="R218" t="inlineStr">
        <is>
          <t>nyu</t>
        </is>
      </c>
      <c r="S218" t="inlineStr">
        <is>
          <t>The Anglo-Saxon poetic records, a collective edition ; 2</t>
        </is>
      </c>
      <c r="T218" t="inlineStr">
        <is>
          <t xml:space="preserve">PR </t>
        </is>
      </c>
      <c r="U218" t="n">
        <v>5</v>
      </c>
      <c r="V218" t="n">
        <v>5</v>
      </c>
      <c r="W218" t="inlineStr">
        <is>
          <t>2008-01-28</t>
        </is>
      </c>
      <c r="X218" t="inlineStr">
        <is>
          <t>2008-01-28</t>
        </is>
      </c>
      <c r="Y218" t="inlineStr">
        <is>
          <t>1994-03-31</t>
        </is>
      </c>
      <c r="Z218" t="inlineStr">
        <is>
          <t>1994-03-31</t>
        </is>
      </c>
      <c r="AA218" t="n">
        <v>659</v>
      </c>
      <c r="AB218" t="n">
        <v>541</v>
      </c>
      <c r="AC218" t="n">
        <v>581</v>
      </c>
      <c r="AD218" t="n">
        <v>3</v>
      </c>
      <c r="AE218" t="n">
        <v>3</v>
      </c>
      <c r="AF218" t="n">
        <v>38</v>
      </c>
      <c r="AG218" t="n">
        <v>39</v>
      </c>
      <c r="AH218" t="n">
        <v>17</v>
      </c>
      <c r="AI218" t="n">
        <v>17</v>
      </c>
      <c r="AJ218" t="n">
        <v>9</v>
      </c>
      <c r="AK218" t="n">
        <v>10</v>
      </c>
      <c r="AL218" t="n">
        <v>22</v>
      </c>
      <c r="AM218" t="n">
        <v>22</v>
      </c>
      <c r="AN218" t="n">
        <v>2</v>
      </c>
      <c r="AO218" t="n">
        <v>2</v>
      </c>
      <c r="AP218" t="n">
        <v>0</v>
      </c>
      <c r="AQ218" t="n">
        <v>0</v>
      </c>
      <c r="AR218" t="inlineStr">
        <is>
          <t>No</t>
        </is>
      </c>
      <c r="AS218" t="inlineStr">
        <is>
          <t>Yes</t>
        </is>
      </c>
      <c r="AT218">
        <f>HYPERLINK("http://catalog.hathitrust.org/Record/009511291","HathiTrust Record")</f>
        <v/>
      </c>
      <c r="AU218">
        <f>HYPERLINK("https://creighton-primo.hosted.exlibrisgroup.com/primo-explore/search?tab=default_tab&amp;search_scope=EVERYTHING&amp;vid=01CRU&amp;lang=en_US&amp;offset=0&amp;query=any,contains,991003084619702656","Catalog Record")</f>
        <v/>
      </c>
      <c r="AV218">
        <f>HYPERLINK("http://www.worldcat.org/oclc/635743","WorldCat Record")</f>
        <v/>
      </c>
      <c r="AW218" t="inlineStr">
        <is>
          <t>1151010523:eng</t>
        </is>
      </c>
      <c r="AX218" t="inlineStr">
        <is>
          <t>635743</t>
        </is>
      </c>
      <c r="AY218" t="inlineStr">
        <is>
          <t>991003084619702656</t>
        </is>
      </c>
      <c r="AZ218" t="inlineStr">
        <is>
          <t>991003084619702656</t>
        </is>
      </c>
      <c r="BA218" t="inlineStr">
        <is>
          <t>2256135490002656</t>
        </is>
      </c>
      <c r="BB218" t="inlineStr">
        <is>
          <t>BOOK</t>
        </is>
      </c>
      <c r="BE218" t="inlineStr">
        <is>
          <t>32285001872232</t>
        </is>
      </c>
      <c r="BF218" t="inlineStr">
        <is>
          <t>893598251</t>
        </is>
      </c>
    </row>
    <row r="219">
      <c r="A219" t="inlineStr">
        <is>
          <t>No</t>
        </is>
      </c>
      <c r="B219" t="inlineStr">
        <is>
          <t>CURAL</t>
        </is>
      </c>
      <c r="C219" t="inlineStr">
        <is>
          <t>SHELVES</t>
        </is>
      </c>
      <c r="D219" t="inlineStr">
        <is>
          <t>PR1502 .A7 v.3</t>
        </is>
      </c>
      <c r="E219" t="inlineStr">
        <is>
          <t>0                      PR 1502000A  7                                                       v.3</t>
        </is>
      </c>
      <c r="F219" t="inlineStr">
        <is>
          <t>The Exeter book / edited by George Philip Krapp and Elliott Van Kirk Dobbie.</t>
        </is>
      </c>
      <c r="G219" t="inlineStr">
        <is>
          <t>V.3</t>
        </is>
      </c>
      <c r="H219" t="inlineStr">
        <is>
          <t>No</t>
        </is>
      </c>
      <c r="I219" t="inlineStr">
        <is>
          <t>1</t>
        </is>
      </c>
      <c r="J219" t="inlineStr">
        <is>
          <t>No</t>
        </is>
      </c>
      <c r="K219" t="inlineStr">
        <is>
          <t>No</t>
        </is>
      </c>
      <c r="L219" t="inlineStr">
        <is>
          <t>0</t>
        </is>
      </c>
      <c r="M219" t="inlineStr">
        <is>
          <t>Exeter book.</t>
        </is>
      </c>
      <c r="N219" t="inlineStr">
        <is>
          <t>New York : Columbia University Press, 1936.</t>
        </is>
      </c>
      <c r="O219" t="inlineStr">
        <is>
          <t>1936</t>
        </is>
      </c>
      <c r="Q219" t="inlineStr">
        <is>
          <t>eng</t>
        </is>
      </c>
      <c r="R219" t="inlineStr">
        <is>
          <t>nyu</t>
        </is>
      </c>
      <c r="S219" t="inlineStr">
        <is>
          <t>The Anglo Saxon poetic records, a collective edition ; 3</t>
        </is>
      </c>
      <c r="T219" t="inlineStr">
        <is>
          <t xml:space="preserve">PR </t>
        </is>
      </c>
      <c r="U219" t="n">
        <v>7</v>
      </c>
      <c r="V219" t="n">
        <v>7</v>
      </c>
      <c r="W219" t="inlineStr">
        <is>
          <t>2008-01-28</t>
        </is>
      </c>
      <c r="X219" t="inlineStr">
        <is>
          <t>2008-01-28</t>
        </is>
      </c>
      <c r="Y219" t="inlineStr">
        <is>
          <t>1994-03-28</t>
        </is>
      </c>
      <c r="Z219" t="inlineStr">
        <is>
          <t>1994-03-28</t>
        </is>
      </c>
      <c r="AA219" t="n">
        <v>717</v>
      </c>
      <c r="AB219" t="n">
        <v>596</v>
      </c>
      <c r="AC219" t="n">
        <v>653</v>
      </c>
      <c r="AD219" t="n">
        <v>4</v>
      </c>
      <c r="AE219" t="n">
        <v>4</v>
      </c>
      <c r="AF219" t="n">
        <v>37</v>
      </c>
      <c r="AG219" t="n">
        <v>39</v>
      </c>
      <c r="AH219" t="n">
        <v>16</v>
      </c>
      <c r="AI219" t="n">
        <v>17</v>
      </c>
      <c r="AJ219" t="n">
        <v>8</v>
      </c>
      <c r="AK219" t="n">
        <v>9</v>
      </c>
      <c r="AL219" t="n">
        <v>21</v>
      </c>
      <c r="AM219" t="n">
        <v>21</v>
      </c>
      <c r="AN219" t="n">
        <v>3</v>
      </c>
      <c r="AO219" t="n">
        <v>3</v>
      </c>
      <c r="AP219" t="n">
        <v>0</v>
      </c>
      <c r="AQ219" t="n">
        <v>0</v>
      </c>
      <c r="AR219" t="inlineStr">
        <is>
          <t>No</t>
        </is>
      </c>
      <c r="AS219" t="inlineStr">
        <is>
          <t>Yes</t>
        </is>
      </c>
      <c r="AT219">
        <f>HYPERLINK("http://catalog.hathitrust.org/Record/003086648","HathiTrust Record")</f>
        <v/>
      </c>
      <c r="AU219">
        <f>HYPERLINK("https://creighton-primo.hosted.exlibrisgroup.com/primo-explore/search?tab=default_tab&amp;search_scope=EVERYTHING&amp;vid=01CRU&amp;lang=en_US&amp;offset=0&amp;query=any,contains,991002447709702656","Catalog Record")</f>
        <v/>
      </c>
      <c r="AV219">
        <f>HYPERLINK("http://www.worldcat.org/oclc/352008","WorldCat Record")</f>
        <v/>
      </c>
      <c r="AW219" t="inlineStr">
        <is>
          <t>10141388076:eng</t>
        </is>
      </c>
      <c r="AX219" t="inlineStr">
        <is>
          <t>352008</t>
        </is>
      </c>
      <c r="AY219" t="inlineStr">
        <is>
          <t>991002447709702656</t>
        </is>
      </c>
      <c r="AZ219" t="inlineStr">
        <is>
          <t>991002447709702656</t>
        </is>
      </c>
      <c r="BA219" t="inlineStr">
        <is>
          <t>2265273790002656</t>
        </is>
      </c>
      <c r="BB219" t="inlineStr">
        <is>
          <t>BOOK</t>
        </is>
      </c>
      <c r="BE219" t="inlineStr">
        <is>
          <t>32285001872216</t>
        </is>
      </c>
      <c r="BF219" t="inlineStr">
        <is>
          <t>893535011</t>
        </is>
      </c>
    </row>
    <row r="220">
      <c r="A220" t="inlineStr">
        <is>
          <t>No</t>
        </is>
      </c>
      <c r="B220" t="inlineStr">
        <is>
          <t>CURAL</t>
        </is>
      </c>
      <c r="C220" t="inlineStr">
        <is>
          <t>SHELVES</t>
        </is>
      </c>
      <c r="D220" t="inlineStr">
        <is>
          <t>PR1502 .A7 v.4</t>
        </is>
      </c>
      <c r="E220" t="inlineStr">
        <is>
          <t>0                      PR 1502000A  7                                                       v.4</t>
        </is>
      </c>
      <c r="F220" t="inlineStr">
        <is>
          <t>Beowulf, and Judith / edited by Elliott Van Kirk Dobbie.</t>
        </is>
      </c>
      <c r="G220" t="inlineStr">
        <is>
          <t>V.4</t>
        </is>
      </c>
      <c r="H220" t="inlineStr">
        <is>
          <t>No</t>
        </is>
      </c>
      <c r="I220" t="inlineStr">
        <is>
          <t>1</t>
        </is>
      </c>
      <c r="J220" t="inlineStr">
        <is>
          <t>No</t>
        </is>
      </c>
      <c r="K220" t="inlineStr">
        <is>
          <t>No</t>
        </is>
      </c>
      <c r="L220" t="inlineStr">
        <is>
          <t>0</t>
        </is>
      </c>
      <c r="M220" t="inlineStr">
        <is>
          <t>Beowulf.</t>
        </is>
      </c>
      <c r="N220" t="inlineStr">
        <is>
          <t>New York : Columbia University Press, 1953.</t>
        </is>
      </c>
      <c r="O220" t="inlineStr">
        <is>
          <t>1953</t>
        </is>
      </c>
      <c r="Q220" t="inlineStr">
        <is>
          <t>eng</t>
        </is>
      </c>
      <c r="R220" t="inlineStr">
        <is>
          <t>nyu</t>
        </is>
      </c>
      <c r="S220" t="inlineStr">
        <is>
          <t>The Anglo-Saxon poetic records, a collective edition ; 4</t>
        </is>
      </c>
      <c r="T220" t="inlineStr">
        <is>
          <t xml:space="preserve">PR </t>
        </is>
      </c>
      <c r="U220" t="n">
        <v>2</v>
      </c>
      <c r="V220" t="n">
        <v>2</v>
      </c>
      <c r="W220" t="inlineStr">
        <is>
          <t>2008-01-28</t>
        </is>
      </c>
      <c r="X220" t="inlineStr">
        <is>
          <t>2008-01-28</t>
        </is>
      </c>
      <c r="Y220" t="inlineStr">
        <is>
          <t>1994-03-31</t>
        </is>
      </c>
      <c r="Z220" t="inlineStr">
        <is>
          <t>1994-03-31</t>
        </is>
      </c>
      <c r="AA220" t="n">
        <v>716</v>
      </c>
      <c r="AB220" t="n">
        <v>610</v>
      </c>
      <c r="AC220" t="n">
        <v>645</v>
      </c>
      <c r="AD220" t="n">
        <v>4</v>
      </c>
      <c r="AE220" t="n">
        <v>4</v>
      </c>
      <c r="AF220" t="n">
        <v>39</v>
      </c>
      <c r="AG220" t="n">
        <v>40</v>
      </c>
      <c r="AH220" t="n">
        <v>18</v>
      </c>
      <c r="AI220" t="n">
        <v>18</v>
      </c>
      <c r="AJ220" t="n">
        <v>9</v>
      </c>
      <c r="AK220" t="n">
        <v>10</v>
      </c>
      <c r="AL220" t="n">
        <v>21</v>
      </c>
      <c r="AM220" t="n">
        <v>21</v>
      </c>
      <c r="AN220" t="n">
        <v>3</v>
      </c>
      <c r="AO220" t="n">
        <v>3</v>
      </c>
      <c r="AP220" t="n">
        <v>0</v>
      </c>
      <c r="AQ220" t="n">
        <v>0</v>
      </c>
      <c r="AR220" t="inlineStr">
        <is>
          <t>No</t>
        </is>
      </c>
      <c r="AS220" t="inlineStr">
        <is>
          <t>Yes</t>
        </is>
      </c>
      <c r="AT220">
        <f>HYPERLINK("http://catalog.hathitrust.org/Record/001017177","HathiTrust Record")</f>
        <v/>
      </c>
      <c r="AU220">
        <f>HYPERLINK("https://creighton-primo.hosted.exlibrisgroup.com/primo-explore/search?tab=default_tab&amp;search_scope=EVERYTHING&amp;vid=01CRU&amp;lang=en_US&amp;offset=0&amp;query=any,contains,991002447719702656","Catalog Record")</f>
        <v/>
      </c>
      <c r="AV220">
        <f>HYPERLINK("http://www.worldcat.org/oclc/352009","WorldCat Record")</f>
        <v/>
      </c>
      <c r="AW220" t="inlineStr">
        <is>
          <t>364074611:eng</t>
        </is>
      </c>
      <c r="AX220" t="inlineStr">
        <is>
          <t>352009</t>
        </is>
      </c>
      <c r="AY220" t="inlineStr">
        <is>
          <t>991002447719702656</t>
        </is>
      </c>
      <c r="AZ220" t="inlineStr">
        <is>
          <t>991002447719702656</t>
        </is>
      </c>
      <c r="BA220" t="inlineStr">
        <is>
          <t>2265275100002656</t>
        </is>
      </c>
      <c r="BB220" t="inlineStr">
        <is>
          <t>BOOK</t>
        </is>
      </c>
      <c r="BE220" t="inlineStr">
        <is>
          <t>32285001872240</t>
        </is>
      </c>
      <c r="BF220" t="inlineStr">
        <is>
          <t>893616127</t>
        </is>
      </c>
    </row>
    <row r="221">
      <c r="A221" t="inlineStr">
        <is>
          <t>No</t>
        </is>
      </c>
      <c r="B221" t="inlineStr">
        <is>
          <t>CURAL</t>
        </is>
      </c>
      <c r="C221" t="inlineStr">
        <is>
          <t>SHELVES</t>
        </is>
      </c>
      <c r="D221" t="inlineStr">
        <is>
          <t>PR1502 .A7 v.5</t>
        </is>
      </c>
      <c r="E221" t="inlineStr">
        <is>
          <t>0                      PR 1502000A  7                                                       v.5</t>
        </is>
      </c>
      <c r="F221" t="inlineStr">
        <is>
          <t>The Paris Psalter and the meters of Boethius.</t>
        </is>
      </c>
      <c r="G221" t="inlineStr">
        <is>
          <t>V.5</t>
        </is>
      </c>
      <c r="H221" t="inlineStr">
        <is>
          <t>No</t>
        </is>
      </c>
      <c r="I221" t="inlineStr">
        <is>
          <t>1</t>
        </is>
      </c>
      <c r="J221" t="inlineStr">
        <is>
          <t>No</t>
        </is>
      </c>
      <c r="K221" t="inlineStr">
        <is>
          <t>No</t>
        </is>
      </c>
      <c r="L221" t="inlineStr">
        <is>
          <t>0</t>
        </is>
      </c>
      <c r="M221" t="inlineStr">
        <is>
          <t>Bible. Psalms. English (Old English). 1932.</t>
        </is>
      </c>
      <c r="N221" t="inlineStr">
        <is>
          <t>New York : Columbia University, 1932.</t>
        </is>
      </c>
      <c r="O221" t="inlineStr">
        <is>
          <t>1932</t>
        </is>
      </c>
      <c r="Q221" t="inlineStr">
        <is>
          <t>eng</t>
        </is>
      </c>
      <c r="R221" t="inlineStr">
        <is>
          <t>nyu</t>
        </is>
      </c>
      <c r="S221" t="inlineStr">
        <is>
          <t>The Anglo-Saxon poetic records, a collective edition ; 5</t>
        </is>
      </c>
      <c r="T221" t="inlineStr">
        <is>
          <t xml:space="preserve">PR </t>
        </is>
      </c>
      <c r="U221" t="n">
        <v>2</v>
      </c>
      <c r="V221" t="n">
        <v>2</v>
      </c>
      <c r="W221" t="inlineStr">
        <is>
          <t>2009-05-05</t>
        </is>
      </c>
      <c r="X221" t="inlineStr">
        <is>
          <t>2009-05-05</t>
        </is>
      </c>
      <c r="Y221" t="inlineStr">
        <is>
          <t>1994-03-31</t>
        </is>
      </c>
      <c r="Z221" t="inlineStr">
        <is>
          <t>1994-03-31</t>
        </is>
      </c>
      <c r="AA221" t="n">
        <v>527</v>
      </c>
      <c r="AB221" t="n">
        <v>436</v>
      </c>
      <c r="AC221" t="n">
        <v>541</v>
      </c>
      <c r="AD221" t="n">
        <v>4</v>
      </c>
      <c r="AE221" t="n">
        <v>4</v>
      </c>
      <c r="AF221" t="n">
        <v>34</v>
      </c>
      <c r="AG221" t="n">
        <v>37</v>
      </c>
      <c r="AH221" t="n">
        <v>13</v>
      </c>
      <c r="AI221" t="n">
        <v>14</v>
      </c>
      <c r="AJ221" t="n">
        <v>8</v>
      </c>
      <c r="AK221" t="n">
        <v>9</v>
      </c>
      <c r="AL221" t="n">
        <v>21</v>
      </c>
      <c r="AM221" t="n">
        <v>22</v>
      </c>
      <c r="AN221" t="n">
        <v>3</v>
      </c>
      <c r="AO221" t="n">
        <v>3</v>
      </c>
      <c r="AP221" t="n">
        <v>0</v>
      </c>
      <c r="AQ221" t="n">
        <v>0</v>
      </c>
      <c r="AR221" t="inlineStr">
        <is>
          <t>Yes</t>
        </is>
      </c>
      <c r="AS221" t="inlineStr">
        <is>
          <t>No</t>
        </is>
      </c>
      <c r="AT221">
        <f>HYPERLINK("http://catalog.hathitrust.org/Record/003086646","HathiTrust Record")</f>
        <v/>
      </c>
      <c r="AU221">
        <f>HYPERLINK("https://creighton-primo.hosted.exlibrisgroup.com/primo-explore/search?tab=default_tab&amp;search_scope=EVERYTHING&amp;vid=01CRU&amp;lang=en_US&amp;offset=0&amp;query=any,contains,991002447649702656","Catalog Record")</f>
        <v/>
      </c>
      <c r="AV221">
        <f>HYPERLINK("http://www.worldcat.org/oclc/351981","WorldCat Record")</f>
        <v/>
      </c>
      <c r="AW221" t="inlineStr">
        <is>
          <t>8908374900:eng</t>
        </is>
      </c>
      <c r="AX221" t="inlineStr">
        <is>
          <t>351981</t>
        </is>
      </c>
      <c r="AY221" t="inlineStr">
        <is>
          <t>991002447649702656</t>
        </is>
      </c>
      <c r="AZ221" t="inlineStr">
        <is>
          <t>991002447649702656</t>
        </is>
      </c>
      <c r="BA221" t="inlineStr">
        <is>
          <t>2266785260002656</t>
        </is>
      </c>
      <c r="BB221" t="inlineStr">
        <is>
          <t>BOOK</t>
        </is>
      </c>
      <c r="BE221" t="inlineStr">
        <is>
          <t>32285001872257</t>
        </is>
      </c>
      <c r="BF221" t="inlineStr">
        <is>
          <t>893721471</t>
        </is>
      </c>
    </row>
    <row r="222">
      <c r="A222" t="inlineStr">
        <is>
          <t>No</t>
        </is>
      </c>
      <c r="B222" t="inlineStr">
        <is>
          <t>CURAL</t>
        </is>
      </c>
      <c r="C222" t="inlineStr">
        <is>
          <t>SHELVES</t>
        </is>
      </c>
      <c r="D222" t="inlineStr">
        <is>
          <t>PR1502 .A7 v.6</t>
        </is>
      </c>
      <c r="E222" t="inlineStr">
        <is>
          <t>0                      PR 1502000A  7                                                       v.6</t>
        </is>
      </c>
      <c r="F222" t="inlineStr">
        <is>
          <t>The Anglo-Saxon minor poems / edited by Elliott Van Kirk Dobbie.</t>
        </is>
      </c>
      <c r="G222" t="inlineStr">
        <is>
          <t>V.6</t>
        </is>
      </c>
      <c r="H222" t="inlineStr">
        <is>
          <t>No</t>
        </is>
      </c>
      <c r="I222" t="inlineStr">
        <is>
          <t>1</t>
        </is>
      </c>
      <c r="J222" t="inlineStr">
        <is>
          <t>No</t>
        </is>
      </c>
      <c r="K222" t="inlineStr">
        <is>
          <t>No</t>
        </is>
      </c>
      <c r="L222" t="inlineStr">
        <is>
          <t>0</t>
        </is>
      </c>
      <c r="M222" t="inlineStr">
        <is>
          <t>Dobbie, Elliott Van Kirk, 1907-1970, editor.</t>
        </is>
      </c>
      <c r="N222" t="inlineStr">
        <is>
          <t>New York : Columbia university press, 1942.</t>
        </is>
      </c>
      <c r="O222" t="inlineStr">
        <is>
          <t>1942</t>
        </is>
      </c>
      <c r="Q222" t="inlineStr">
        <is>
          <t>eng</t>
        </is>
      </c>
      <c r="R222" t="inlineStr">
        <is>
          <t>nyu</t>
        </is>
      </c>
      <c r="S222" t="inlineStr">
        <is>
          <t>The Anglo-Saxon poetic records, a collective edition ; 6</t>
        </is>
      </c>
      <c r="T222" t="inlineStr">
        <is>
          <t xml:space="preserve">PR </t>
        </is>
      </c>
      <c r="U222" t="n">
        <v>1</v>
      </c>
      <c r="V222" t="n">
        <v>1</v>
      </c>
      <c r="W222" t="inlineStr">
        <is>
          <t>2008-01-28</t>
        </is>
      </c>
      <c r="X222" t="inlineStr">
        <is>
          <t>2008-01-28</t>
        </is>
      </c>
      <c r="Y222" t="inlineStr">
        <is>
          <t>1994-03-31</t>
        </is>
      </c>
      <c r="Z222" t="inlineStr">
        <is>
          <t>1994-03-31</t>
        </is>
      </c>
      <c r="AA222" t="n">
        <v>665</v>
      </c>
      <c r="AB222" t="n">
        <v>561</v>
      </c>
      <c r="AC222" t="n">
        <v>620</v>
      </c>
      <c r="AD222" t="n">
        <v>3</v>
      </c>
      <c r="AE222" t="n">
        <v>3</v>
      </c>
      <c r="AF222" t="n">
        <v>35</v>
      </c>
      <c r="AG222" t="n">
        <v>36</v>
      </c>
      <c r="AH222" t="n">
        <v>14</v>
      </c>
      <c r="AI222" t="n">
        <v>15</v>
      </c>
      <c r="AJ222" t="n">
        <v>9</v>
      </c>
      <c r="AK222" t="n">
        <v>9</v>
      </c>
      <c r="AL222" t="n">
        <v>21</v>
      </c>
      <c r="AM222" t="n">
        <v>22</v>
      </c>
      <c r="AN222" t="n">
        <v>2</v>
      </c>
      <c r="AO222" t="n">
        <v>2</v>
      </c>
      <c r="AP222" t="n">
        <v>0</v>
      </c>
      <c r="AQ222" t="n">
        <v>0</v>
      </c>
      <c r="AR222" t="inlineStr">
        <is>
          <t>No</t>
        </is>
      </c>
      <c r="AS222" t="inlineStr">
        <is>
          <t>Yes</t>
        </is>
      </c>
      <c r="AT222">
        <f>HYPERLINK("http://catalog.hathitrust.org/Record/003086647","HathiTrust Record")</f>
        <v/>
      </c>
      <c r="AU222">
        <f>HYPERLINK("https://creighton-primo.hosted.exlibrisgroup.com/primo-explore/search?tab=default_tab&amp;search_scope=EVERYTHING&amp;vid=01CRU&amp;lang=en_US&amp;offset=0&amp;query=any,contains,991002447669702656","Catalog Record")</f>
        <v/>
      </c>
      <c r="AV222">
        <f>HYPERLINK("http://www.worldcat.org/oclc/351982","WorldCat Record")</f>
        <v/>
      </c>
      <c r="AW222" t="inlineStr">
        <is>
          <t>54442900:eng</t>
        </is>
      </c>
      <c r="AX222" t="inlineStr">
        <is>
          <t>351982</t>
        </is>
      </c>
      <c r="AY222" t="inlineStr">
        <is>
          <t>991002447669702656</t>
        </is>
      </c>
      <c r="AZ222" t="inlineStr">
        <is>
          <t>991002447669702656</t>
        </is>
      </c>
      <c r="BA222" t="inlineStr">
        <is>
          <t>2266784970002656</t>
        </is>
      </c>
      <c r="BB222" t="inlineStr">
        <is>
          <t>BOOK</t>
        </is>
      </c>
      <c r="BE222" t="inlineStr">
        <is>
          <t>32285001872265</t>
        </is>
      </c>
      <c r="BF222" t="inlineStr">
        <is>
          <t>893498120</t>
        </is>
      </c>
    </row>
    <row r="223">
      <c r="A223" t="inlineStr">
        <is>
          <t>No</t>
        </is>
      </c>
      <c r="B223" t="inlineStr">
        <is>
          <t>CURAL</t>
        </is>
      </c>
      <c r="C223" t="inlineStr">
        <is>
          <t>SHELVES</t>
        </is>
      </c>
      <c r="D223" t="inlineStr">
        <is>
          <t>PR1502 .M4 1966</t>
        </is>
      </c>
      <c r="E223" t="inlineStr">
        <is>
          <t>0                      PR 1502000M  4           1966</t>
        </is>
      </c>
      <c r="F223" t="inlineStr">
        <is>
          <t>The battle of Maldon [edited] by E.V. Gordon.</t>
        </is>
      </c>
      <c r="H223" t="inlineStr">
        <is>
          <t>No</t>
        </is>
      </c>
      <c r="I223" t="inlineStr">
        <is>
          <t>1</t>
        </is>
      </c>
      <c r="J223" t="inlineStr">
        <is>
          <t>No</t>
        </is>
      </c>
      <c r="K223" t="inlineStr">
        <is>
          <t>No</t>
        </is>
      </c>
      <c r="L223" t="inlineStr">
        <is>
          <t>0</t>
        </is>
      </c>
      <c r="M223" t="inlineStr">
        <is>
          <t>Maldon (Anglo-Saxon poem)</t>
        </is>
      </c>
      <c r="N223" t="inlineStr">
        <is>
          <t>New York, Appleton-Century-Crofts [1966]</t>
        </is>
      </c>
      <c r="O223" t="inlineStr">
        <is>
          <t>1966</t>
        </is>
      </c>
      <c r="Q223" t="inlineStr">
        <is>
          <t>ang</t>
        </is>
      </c>
      <c r="R223" t="inlineStr">
        <is>
          <t>nyu</t>
        </is>
      </c>
      <c r="S223" t="inlineStr">
        <is>
          <t>Methuen's Old English library. A, Poetic texts ; 6</t>
        </is>
      </c>
      <c r="T223" t="inlineStr">
        <is>
          <t xml:space="preserve">PR </t>
        </is>
      </c>
      <c r="U223" t="n">
        <v>2</v>
      </c>
      <c r="V223" t="n">
        <v>2</v>
      </c>
      <c r="W223" t="inlineStr">
        <is>
          <t>2009-03-28</t>
        </is>
      </c>
      <c r="X223" t="inlineStr">
        <is>
          <t>2009-03-28</t>
        </is>
      </c>
      <c r="Y223" t="inlineStr">
        <is>
          <t>1997-07-29</t>
        </is>
      </c>
      <c r="Z223" t="inlineStr">
        <is>
          <t>1997-07-29</t>
        </is>
      </c>
      <c r="AA223" t="n">
        <v>219</v>
      </c>
      <c r="AB223" t="n">
        <v>210</v>
      </c>
      <c r="AC223" t="n">
        <v>211</v>
      </c>
      <c r="AD223" t="n">
        <v>4</v>
      </c>
      <c r="AE223" t="n">
        <v>4</v>
      </c>
      <c r="AF223" t="n">
        <v>10</v>
      </c>
      <c r="AG223" t="n">
        <v>10</v>
      </c>
      <c r="AH223" t="n">
        <v>2</v>
      </c>
      <c r="AI223" t="n">
        <v>2</v>
      </c>
      <c r="AJ223" t="n">
        <v>3</v>
      </c>
      <c r="AK223" t="n">
        <v>3</v>
      </c>
      <c r="AL223" t="n">
        <v>5</v>
      </c>
      <c r="AM223" t="n">
        <v>5</v>
      </c>
      <c r="AN223" t="n">
        <v>3</v>
      </c>
      <c r="AO223" t="n">
        <v>3</v>
      </c>
      <c r="AP223" t="n">
        <v>0</v>
      </c>
      <c r="AQ223" t="n">
        <v>0</v>
      </c>
      <c r="AR223" t="inlineStr">
        <is>
          <t>No</t>
        </is>
      </c>
      <c r="AS223" t="inlineStr">
        <is>
          <t>Yes</t>
        </is>
      </c>
      <c r="AT223">
        <f>HYPERLINK("http://catalog.hathitrust.org/Record/007107435","HathiTrust Record")</f>
        <v/>
      </c>
      <c r="AU223">
        <f>HYPERLINK("https://creighton-primo.hosted.exlibrisgroup.com/primo-explore/search?tab=default_tab&amp;search_scope=EVERYTHING&amp;vid=01CRU&amp;lang=en_US&amp;offset=0&amp;query=any,contains,991000993179702656","Catalog Record")</f>
        <v/>
      </c>
      <c r="AV223">
        <f>HYPERLINK("http://www.worldcat.org/oclc/171244","WorldCat Record")</f>
        <v/>
      </c>
      <c r="AW223" t="inlineStr">
        <is>
          <t>5090497027:ang</t>
        </is>
      </c>
      <c r="AX223" t="inlineStr">
        <is>
          <t>171244</t>
        </is>
      </c>
      <c r="AY223" t="inlineStr">
        <is>
          <t>991000993179702656</t>
        </is>
      </c>
      <c r="AZ223" t="inlineStr">
        <is>
          <t>991000993179702656</t>
        </is>
      </c>
      <c r="BA223" t="inlineStr">
        <is>
          <t>2267349630002656</t>
        </is>
      </c>
      <c r="BB223" t="inlineStr">
        <is>
          <t>BOOK</t>
        </is>
      </c>
      <c r="BE223" t="inlineStr">
        <is>
          <t>32285002987039</t>
        </is>
      </c>
      <c r="BF223" t="inlineStr">
        <is>
          <t>893225520</t>
        </is>
      </c>
    </row>
    <row r="224">
      <c r="A224" t="inlineStr">
        <is>
          <t>No</t>
        </is>
      </c>
      <c r="B224" t="inlineStr">
        <is>
          <t>CURAL</t>
        </is>
      </c>
      <c r="C224" t="inlineStr">
        <is>
          <t>SHELVES</t>
        </is>
      </c>
      <c r="D224" t="inlineStr">
        <is>
          <t>PR1505 .G4 1953</t>
        </is>
      </c>
      <c r="E224" t="inlineStr">
        <is>
          <t>0                      PR 1505000G  4           1953</t>
        </is>
      </c>
      <c r="F224" t="inlineStr">
        <is>
          <t>Beowulf and Sir Gawain and the Green Knight : poems of two great eras with certain contemporary pieces.</t>
        </is>
      </c>
      <c r="H224" t="inlineStr">
        <is>
          <t>No</t>
        </is>
      </c>
      <c r="I224" t="inlineStr">
        <is>
          <t>1</t>
        </is>
      </c>
      <c r="J224" t="inlineStr">
        <is>
          <t>No</t>
        </is>
      </c>
      <c r="K224" t="inlineStr">
        <is>
          <t>No</t>
        </is>
      </c>
      <c r="L224" t="inlineStr">
        <is>
          <t>0</t>
        </is>
      </c>
      <c r="M224" t="inlineStr">
        <is>
          <t>Gerould, Gordon Hall, 1877-1953 editor, translator.</t>
        </is>
      </c>
      <c r="N224" t="inlineStr">
        <is>
          <t>New York : Ronald Press, [1953, c1935]</t>
        </is>
      </c>
      <c r="O224" t="inlineStr">
        <is>
          <t>1953</t>
        </is>
      </c>
      <c r="Q224" t="inlineStr">
        <is>
          <t>eng</t>
        </is>
      </c>
      <c r="R224" t="inlineStr">
        <is>
          <t>nyu</t>
        </is>
      </c>
      <c r="S224" t="inlineStr">
        <is>
          <t>English series</t>
        </is>
      </c>
      <c r="T224" t="inlineStr">
        <is>
          <t xml:space="preserve">PR </t>
        </is>
      </c>
      <c r="U224" t="n">
        <v>7</v>
      </c>
      <c r="V224" t="n">
        <v>7</v>
      </c>
      <c r="W224" t="inlineStr">
        <is>
          <t>2000-04-02</t>
        </is>
      </c>
      <c r="X224" t="inlineStr">
        <is>
          <t>2000-04-02</t>
        </is>
      </c>
      <c r="Y224" t="inlineStr">
        <is>
          <t>1993-11-19</t>
        </is>
      </c>
      <c r="Z224" t="inlineStr">
        <is>
          <t>1993-11-19</t>
        </is>
      </c>
      <c r="AA224" t="n">
        <v>275</v>
      </c>
      <c r="AB224" t="n">
        <v>267</v>
      </c>
      <c r="AC224" t="n">
        <v>279</v>
      </c>
      <c r="AD224" t="n">
        <v>5</v>
      </c>
      <c r="AE224" t="n">
        <v>5</v>
      </c>
      <c r="AF224" t="n">
        <v>12</v>
      </c>
      <c r="AG224" t="n">
        <v>12</v>
      </c>
      <c r="AH224" t="n">
        <v>5</v>
      </c>
      <c r="AI224" t="n">
        <v>5</v>
      </c>
      <c r="AJ224" t="n">
        <v>2</v>
      </c>
      <c r="AK224" t="n">
        <v>2</v>
      </c>
      <c r="AL224" t="n">
        <v>6</v>
      </c>
      <c r="AM224" t="n">
        <v>6</v>
      </c>
      <c r="AN224" t="n">
        <v>2</v>
      </c>
      <c r="AO224" t="n">
        <v>2</v>
      </c>
      <c r="AP224" t="n">
        <v>0</v>
      </c>
      <c r="AQ224" t="n">
        <v>0</v>
      </c>
      <c r="AR224" t="inlineStr">
        <is>
          <t>Yes</t>
        </is>
      </c>
      <c r="AS224" t="inlineStr">
        <is>
          <t>No</t>
        </is>
      </c>
      <c r="AT224">
        <f>HYPERLINK("http://catalog.hathitrust.org/Record/006549023","HathiTrust Record")</f>
        <v/>
      </c>
      <c r="AU224">
        <f>HYPERLINK("https://creighton-primo.hosted.exlibrisgroup.com/primo-explore/search?tab=default_tab&amp;search_scope=EVERYTHING&amp;vid=01CRU&amp;lang=en_US&amp;offset=0&amp;query=any,contains,991003534179702656","Catalog Record")</f>
        <v/>
      </c>
      <c r="AV224">
        <f>HYPERLINK("http://www.worldcat.org/oclc/1097686","WorldCat Record")</f>
        <v/>
      </c>
      <c r="AW224" t="inlineStr">
        <is>
          <t>3772389619:eng</t>
        </is>
      </c>
      <c r="AX224" t="inlineStr">
        <is>
          <t>1097686</t>
        </is>
      </c>
      <c r="AY224" t="inlineStr">
        <is>
          <t>991003534179702656</t>
        </is>
      </c>
      <c r="AZ224" t="inlineStr">
        <is>
          <t>991003534179702656</t>
        </is>
      </c>
      <c r="BA224" t="inlineStr">
        <is>
          <t>2266657610002656</t>
        </is>
      </c>
      <c r="BB224" t="inlineStr">
        <is>
          <t>BOOK</t>
        </is>
      </c>
      <c r="BE224" t="inlineStr">
        <is>
          <t>32285001687929</t>
        </is>
      </c>
      <c r="BF224" t="inlineStr">
        <is>
          <t>893799846</t>
        </is>
      </c>
    </row>
    <row r="225">
      <c r="A225" t="inlineStr">
        <is>
          <t>No</t>
        </is>
      </c>
      <c r="B225" t="inlineStr">
        <is>
          <t>CURAL</t>
        </is>
      </c>
      <c r="C225" t="inlineStr">
        <is>
          <t>SHELVES</t>
        </is>
      </c>
      <c r="D225" t="inlineStr">
        <is>
          <t>PR1506 .B47 1978</t>
        </is>
      </c>
      <c r="E225" t="inlineStr">
        <is>
          <t>0                      PR 1506000B  47          1978</t>
        </is>
      </c>
      <c r="F225" t="inlineStr">
        <is>
          <t>A concordance to the Anglo-Saxon poetic records / edited by J. B. Bessinger, Jr. ; programmed by Philip H. Smith, Jr. ; with an index of compounds compiled by Michael W. Twomey.</t>
        </is>
      </c>
      <c r="H225" t="inlineStr">
        <is>
          <t>No</t>
        </is>
      </c>
      <c r="I225" t="inlineStr">
        <is>
          <t>1</t>
        </is>
      </c>
      <c r="J225" t="inlineStr">
        <is>
          <t>No</t>
        </is>
      </c>
      <c r="K225" t="inlineStr">
        <is>
          <t>No</t>
        </is>
      </c>
      <c r="L225" t="inlineStr">
        <is>
          <t>0</t>
        </is>
      </c>
      <c r="M225" t="inlineStr">
        <is>
          <t>Bessinger, Jess B., Jr., 1921-1994.</t>
        </is>
      </c>
      <c r="N225" t="inlineStr">
        <is>
          <t>Ithaca, N.Y. : Cornell University Press, 1978.</t>
        </is>
      </c>
      <c r="O225" t="inlineStr">
        <is>
          <t>1978</t>
        </is>
      </c>
      <c r="Q225" t="inlineStr">
        <is>
          <t>eng</t>
        </is>
      </c>
      <c r="R225" t="inlineStr">
        <is>
          <t>nyu</t>
        </is>
      </c>
      <c r="S225" t="inlineStr">
        <is>
          <t>The Cornell concordances</t>
        </is>
      </c>
      <c r="T225" t="inlineStr">
        <is>
          <t xml:space="preserve">PR </t>
        </is>
      </c>
      <c r="U225" t="n">
        <v>1</v>
      </c>
      <c r="V225" t="n">
        <v>1</v>
      </c>
      <c r="W225" t="inlineStr">
        <is>
          <t>2008-01-28</t>
        </is>
      </c>
      <c r="X225" t="inlineStr">
        <is>
          <t>2008-01-28</t>
        </is>
      </c>
      <c r="Y225" t="inlineStr">
        <is>
          <t>1991-09-23</t>
        </is>
      </c>
      <c r="Z225" t="inlineStr">
        <is>
          <t>1991-09-23</t>
        </is>
      </c>
      <c r="AA225" t="n">
        <v>436</v>
      </c>
      <c r="AB225" t="n">
        <v>315</v>
      </c>
      <c r="AC225" t="n">
        <v>323</v>
      </c>
      <c r="AD225" t="n">
        <v>3</v>
      </c>
      <c r="AE225" t="n">
        <v>3</v>
      </c>
      <c r="AF225" t="n">
        <v>16</v>
      </c>
      <c r="AG225" t="n">
        <v>16</v>
      </c>
      <c r="AH225" t="n">
        <v>3</v>
      </c>
      <c r="AI225" t="n">
        <v>3</v>
      </c>
      <c r="AJ225" t="n">
        <v>5</v>
      </c>
      <c r="AK225" t="n">
        <v>5</v>
      </c>
      <c r="AL225" t="n">
        <v>10</v>
      </c>
      <c r="AM225" t="n">
        <v>10</v>
      </c>
      <c r="AN225" t="n">
        <v>2</v>
      </c>
      <c r="AO225" t="n">
        <v>2</v>
      </c>
      <c r="AP225" t="n">
        <v>0</v>
      </c>
      <c r="AQ225" t="n">
        <v>0</v>
      </c>
      <c r="AR225" t="inlineStr">
        <is>
          <t>No</t>
        </is>
      </c>
      <c r="AS225" t="inlineStr">
        <is>
          <t>Yes</t>
        </is>
      </c>
      <c r="AT225">
        <f>HYPERLINK("http://catalog.hathitrust.org/Record/000089781","HathiTrust Record")</f>
        <v/>
      </c>
      <c r="AU225">
        <f>HYPERLINK("https://creighton-primo.hosted.exlibrisgroup.com/primo-explore/search?tab=default_tab&amp;search_scope=EVERYTHING&amp;vid=01CRU&amp;lang=en_US&amp;offset=0&amp;query=any,contains,991004461549702656","Catalog Record")</f>
        <v/>
      </c>
      <c r="AV225">
        <f>HYPERLINK("http://www.worldcat.org/oclc/3543703","WorldCat Record")</f>
        <v/>
      </c>
      <c r="AW225" t="inlineStr">
        <is>
          <t>11414705:eng</t>
        </is>
      </c>
      <c r="AX225" t="inlineStr">
        <is>
          <t>3543703</t>
        </is>
      </c>
      <c r="AY225" t="inlineStr">
        <is>
          <t>991004461549702656</t>
        </is>
      </c>
      <c r="AZ225" t="inlineStr">
        <is>
          <t>991004461549702656</t>
        </is>
      </c>
      <c r="BA225" t="inlineStr">
        <is>
          <t>2264951440002656</t>
        </is>
      </c>
      <c r="BB225" t="inlineStr">
        <is>
          <t>BOOK</t>
        </is>
      </c>
      <c r="BD225" t="inlineStr">
        <is>
          <t>9780801411465</t>
        </is>
      </c>
      <c r="BE225" t="inlineStr">
        <is>
          <t>32285000761931</t>
        </is>
      </c>
      <c r="BF225" t="inlineStr">
        <is>
          <t>893535999</t>
        </is>
      </c>
    </row>
    <row r="226">
      <c r="A226" t="inlineStr">
        <is>
          <t>No</t>
        </is>
      </c>
      <c r="B226" t="inlineStr">
        <is>
          <t>CURAL</t>
        </is>
      </c>
      <c r="C226" t="inlineStr">
        <is>
          <t>SHELVES</t>
        </is>
      </c>
      <c r="D226" t="inlineStr">
        <is>
          <t>PR1508 .A5 1970</t>
        </is>
      </c>
      <c r="E226" t="inlineStr">
        <is>
          <t>0                      PR 1508000A  5           1970</t>
        </is>
      </c>
      <c r="F226" t="inlineStr">
        <is>
          <t>The earliest English poems : a bilingual edition / translated and introduced by Michael Alexander.</t>
        </is>
      </c>
      <c r="H226" t="inlineStr">
        <is>
          <t>No</t>
        </is>
      </c>
      <c r="I226" t="inlineStr">
        <is>
          <t>1</t>
        </is>
      </c>
      <c r="J226" t="inlineStr">
        <is>
          <t>No</t>
        </is>
      </c>
      <c r="K226" t="inlineStr">
        <is>
          <t>No</t>
        </is>
      </c>
      <c r="L226" t="inlineStr">
        <is>
          <t>0</t>
        </is>
      </c>
      <c r="M226" t="inlineStr">
        <is>
          <t>Alexander, Michael J. editor, translator.</t>
        </is>
      </c>
      <c r="N226" t="inlineStr">
        <is>
          <t>Berkeley : University of California Press, 1970 [c1966]</t>
        </is>
      </c>
      <c r="O226" t="inlineStr">
        <is>
          <t>1970</t>
        </is>
      </c>
      <c r="Q226" t="inlineStr">
        <is>
          <t>eng</t>
        </is>
      </c>
      <c r="R226" t="inlineStr">
        <is>
          <t>cau</t>
        </is>
      </c>
      <c r="T226" t="inlineStr">
        <is>
          <t xml:space="preserve">PR </t>
        </is>
      </c>
      <c r="U226" t="n">
        <v>3</v>
      </c>
      <c r="V226" t="n">
        <v>3</v>
      </c>
      <c r="W226" t="inlineStr">
        <is>
          <t>2000-01-24</t>
        </is>
      </c>
      <c r="X226" t="inlineStr">
        <is>
          <t>2000-01-24</t>
        </is>
      </c>
      <c r="Y226" t="inlineStr">
        <is>
          <t>1991-10-01</t>
        </is>
      </c>
      <c r="Z226" t="inlineStr">
        <is>
          <t>1991-10-01</t>
        </is>
      </c>
      <c r="AA226" t="n">
        <v>706</v>
      </c>
      <c r="AB226" t="n">
        <v>628</v>
      </c>
      <c r="AC226" t="n">
        <v>629</v>
      </c>
      <c r="AD226" t="n">
        <v>6</v>
      </c>
      <c r="AE226" t="n">
        <v>6</v>
      </c>
      <c r="AF226" t="n">
        <v>31</v>
      </c>
      <c r="AG226" t="n">
        <v>31</v>
      </c>
      <c r="AH226" t="n">
        <v>8</v>
      </c>
      <c r="AI226" t="n">
        <v>8</v>
      </c>
      <c r="AJ226" t="n">
        <v>8</v>
      </c>
      <c r="AK226" t="n">
        <v>8</v>
      </c>
      <c r="AL226" t="n">
        <v>16</v>
      </c>
      <c r="AM226" t="n">
        <v>16</v>
      </c>
      <c r="AN226" t="n">
        <v>5</v>
      </c>
      <c r="AO226" t="n">
        <v>5</v>
      </c>
      <c r="AP226" t="n">
        <v>0</v>
      </c>
      <c r="AQ226" t="n">
        <v>0</v>
      </c>
      <c r="AR226" t="inlineStr">
        <is>
          <t>No</t>
        </is>
      </c>
      <c r="AS226" t="inlineStr">
        <is>
          <t>Yes</t>
        </is>
      </c>
      <c r="AT226">
        <f>HYPERLINK("http://catalog.hathitrust.org/Record/001371810","HathiTrust Record")</f>
        <v/>
      </c>
      <c r="AU226">
        <f>HYPERLINK("https://creighton-primo.hosted.exlibrisgroup.com/primo-explore/search?tab=default_tab&amp;search_scope=EVERYTHING&amp;vid=01CRU&amp;lang=en_US&amp;offset=0&amp;query=any,contains,991000544019702656","Catalog Record")</f>
        <v/>
      </c>
      <c r="AV226">
        <f>HYPERLINK("http://www.worldcat.org/oclc/91214","WorldCat Record")</f>
        <v/>
      </c>
      <c r="AW226" t="inlineStr">
        <is>
          <t>5576869323:eng</t>
        </is>
      </c>
      <c r="AX226" t="inlineStr">
        <is>
          <t>91214</t>
        </is>
      </c>
      <c r="AY226" t="inlineStr">
        <is>
          <t>991000544019702656</t>
        </is>
      </c>
      <c r="AZ226" t="inlineStr">
        <is>
          <t>991000544019702656</t>
        </is>
      </c>
      <c r="BA226" t="inlineStr">
        <is>
          <t>2264556890002656</t>
        </is>
      </c>
      <c r="BB226" t="inlineStr">
        <is>
          <t>BOOK</t>
        </is>
      </c>
      <c r="BD226" t="inlineStr">
        <is>
          <t>9780520015043</t>
        </is>
      </c>
      <c r="BE226" t="inlineStr">
        <is>
          <t>32285000761949</t>
        </is>
      </c>
      <c r="BF226" t="inlineStr">
        <is>
          <t>893502572</t>
        </is>
      </c>
    </row>
    <row r="227">
      <c r="A227" t="inlineStr">
        <is>
          <t>No</t>
        </is>
      </c>
      <c r="B227" t="inlineStr">
        <is>
          <t>CURAL</t>
        </is>
      </c>
      <c r="C227" t="inlineStr">
        <is>
          <t>SHELVES</t>
        </is>
      </c>
      <c r="D227" t="inlineStr">
        <is>
          <t>PR1508 .K4 1969</t>
        </is>
      </c>
      <c r="E227" t="inlineStr">
        <is>
          <t>0                      PR 1508000K  4           1969</t>
        </is>
      </c>
      <c r="F227" t="inlineStr">
        <is>
          <t>Old English elegies, translated into alliterative verse with a critical introduction by Charles W. Kennedy.</t>
        </is>
      </c>
      <c r="H227" t="inlineStr">
        <is>
          <t>No</t>
        </is>
      </c>
      <c r="I227" t="inlineStr">
        <is>
          <t>1</t>
        </is>
      </c>
      <c r="J227" t="inlineStr">
        <is>
          <t>No</t>
        </is>
      </c>
      <c r="K227" t="inlineStr">
        <is>
          <t>No</t>
        </is>
      </c>
      <c r="L227" t="inlineStr">
        <is>
          <t>0</t>
        </is>
      </c>
      <c r="M227" t="inlineStr">
        <is>
          <t>Kennedy, Charles W. (Charles William), 1882-1969 translator.</t>
        </is>
      </c>
      <c r="N227" t="inlineStr">
        <is>
          <t>[Princeton, N. J.] Princeton university press, 1936.</t>
        </is>
      </c>
      <c r="O227" t="inlineStr">
        <is>
          <t>1936</t>
        </is>
      </c>
      <c r="Q227" t="inlineStr">
        <is>
          <t>eng</t>
        </is>
      </c>
      <c r="R227" t="inlineStr">
        <is>
          <t>nju</t>
        </is>
      </c>
      <c r="T227" t="inlineStr">
        <is>
          <t xml:space="preserve">PR </t>
        </is>
      </c>
      <c r="U227" t="n">
        <v>2</v>
      </c>
      <c r="V227" t="n">
        <v>2</v>
      </c>
      <c r="W227" t="inlineStr">
        <is>
          <t>2002-04-20</t>
        </is>
      </c>
      <c r="X227" t="inlineStr">
        <is>
          <t>2002-04-20</t>
        </is>
      </c>
      <c r="Y227" t="inlineStr">
        <is>
          <t>1997-07-29</t>
        </is>
      </c>
      <c r="Z227" t="inlineStr">
        <is>
          <t>1997-07-29</t>
        </is>
      </c>
      <c r="AA227" t="n">
        <v>284</v>
      </c>
      <c r="AB227" t="n">
        <v>258</v>
      </c>
      <c r="AC227" t="n">
        <v>310</v>
      </c>
      <c r="AD227" t="n">
        <v>3</v>
      </c>
      <c r="AE227" t="n">
        <v>3</v>
      </c>
      <c r="AF227" t="n">
        <v>12</v>
      </c>
      <c r="AG227" t="n">
        <v>14</v>
      </c>
      <c r="AH227" t="n">
        <v>4</v>
      </c>
      <c r="AI227" t="n">
        <v>4</v>
      </c>
      <c r="AJ227" t="n">
        <v>3</v>
      </c>
      <c r="AK227" t="n">
        <v>4</v>
      </c>
      <c r="AL227" t="n">
        <v>9</v>
      </c>
      <c r="AM227" t="n">
        <v>10</v>
      </c>
      <c r="AN227" t="n">
        <v>2</v>
      </c>
      <c r="AO227" t="n">
        <v>2</v>
      </c>
      <c r="AP227" t="n">
        <v>0</v>
      </c>
      <c r="AQ227" t="n">
        <v>0</v>
      </c>
      <c r="AR227" t="inlineStr">
        <is>
          <t>No</t>
        </is>
      </c>
      <c r="AS227" t="inlineStr">
        <is>
          <t>No</t>
        </is>
      </c>
      <c r="AU227">
        <f>HYPERLINK("https://creighton-primo.hosted.exlibrisgroup.com/primo-explore/search?tab=default_tab&amp;search_scope=EVERYTHING&amp;vid=01CRU&amp;lang=en_US&amp;offset=0&amp;query=any,contains,991004209319702656","Catalog Record")</f>
        <v/>
      </c>
      <c r="AV227">
        <f>HYPERLINK("http://www.worldcat.org/oclc/2679092","WorldCat Record")</f>
        <v/>
      </c>
      <c r="AW227" t="inlineStr">
        <is>
          <t>1337401:eng</t>
        </is>
      </c>
      <c r="AX227" t="inlineStr">
        <is>
          <t>2679092</t>
        </is>
      </c>
      <c r="AY227" t="inlineStr">
        <is>
          <t>991004209319702656</t>
        </is>
      </c>
      <c r="AZ227" t="inlineStr">
        <is>
          <t>991004209319702656</t>
        </is>
      </c>
      <c r="BA227" t="inlineStr">
        <is>
          <t>2260828340002656</t>
        </is>
      </c>
      <c r="BB227" t="inlineStr">
        <is>
          <t>BOOK</t>
        </is>
      </c>
      <c r="BE227" t="inlineStr">
        <is>
          <t>32285002987054</t>
        </is>
      </c>
      <c r="BF227" t="inlineStr">
        <is>
          <t>893605769</t>
        </is>
      </c>
    </row>
    <row r="228">
      <c r="A228" t="inlineStr">
        <is>
          <t>No</t>
        </is>
      </c>
      <c r="B228" t="inlineStr">
        <is>
          <t>CURAL</t>
        </is>
      </c>
      <c r="C228" t="inlineStr">
        <is>
          <t>SHELVES</t>
        </is>
      </c>
      <c r="D228" t="inlineStr">
        <is>
          <t>PR1508 .N37 1991</t>
        </is>
      </c>
      <c r="E228" t="inlineStr">
        <is>
          <t>0                      PR 1508000N  37          1991</t>
        </is>
      </c>
      <c r="F228" t="inlineStr">
        <is>
          <t>Judith, Juliana, and Elene : three fighting saints / Marie Nelson.</t>
        </is>
      </c>
      <c r="H228" t="inlineStr">
        <is>
          <t>No</t>
        </is>
      </c>
      <c r="I228" t="inlineStr">
        <is>
          <t>1</t>
        </is>
      </c>
      <c r="J228" t="inlineStr">
        <is>
          <t>No</t>
        </is>
      </c>
      <c r="K228" t="inlineStr">
        <is>
          <t>No</t>
        </is>
      </c>
      <c r="L228" t="inlineStr">
        <is>
          <t>0</t>
        </is>
      </c>
      <c r="M228" t="inlineStr">
        <is>
          <t>Nelson, Marie.</t>
        </is>
      </c>
      <c r="N228" t="inlineStr">
        <is>
          <t>New York : P. Lang, c1991.</t>
        </is>
      </c>
      <c r="O228" t="inlineStr">
        <is>
          <t>1991</t>
        </is>
      </c>
      <c r="Q228" t="inlineStr">
        <is>
          <t>eng</t>
        </is>
      </c>
      <c r="R228" t="inlineStr">
        <is>
          <t>nyu</t>
        </is>
      </c>
      <c r="S228" t="inlineStr">
        <is>
          <t>American university studies. Series IV, English language and literature, 0741-0700 ; v. 135</t>
        </is>
      </c>
      <c r="T228" t="inlineStr">
        <is>
          <t xml:space="preserve">PR </t>
        </is>
      </c>
      <c r="U228" t="n">
        <v>3</v>
      </c>
      <c r="V228" t="n">
        <v>3</v>
      </c>
      <c r="W228" t="inlineStr">
        <is>
          <t>2006-10-30</t>
        </is>
      </c>
      <c r="X228" t="inlineStr">
        <is>
          <t>2006-10-30</t>
        </is>
      </c>
      <c r="Y228" t="inlineStr">
        <is>
          <t>1992-11-12</t>
        </is>
      </c>
      <c r="Z228" t="inlineStr">
        <is>
          <t>1992-11-12</t>
        </is>
      </c>
      <c r="AA228" t="n">
        <v>89</v>
      </c>
      <c r="AB228" t="n">
        <v>59</v>
      </c>
      <c r="AC228" t="n">
        <v>209</v>
      </c>
      <c r="AD228" t="n">
        <v>1</v>
      </c>
      <c r="AE228" t="n">
        <v>3</v>
      </c>
      <c r="AF228" t="n">
        <v>3</v>
      </c>
      <c r="AG228" t="n">
        <v>6</v>
      </c>
      <c r="AH228" t="n">
        <v>0</v>
      </c>
      <c r="AI228" t="n">
        <v>1</v>
      </c>
      <c r="AJ228" t="n">
        <v>1</v>
      </c>
      <c r="AK228" t="n">
        <v>1</v>
      </c>
      <c r="AL228" t="n">
        <v>3</v>
      </c>
      <c r="AM228" t="n">
        <v>4</v>
      </c>
      <c r="AN228" t="n">
        <v>0</v>
      </c>
      <c r="AO228" t="n">
        <v>2</v>
      </c>
      <c r="AP228" t="n">
        <v>0</v>
      </c>
      <c r="AQ228" t="n">
        <v>0</v>
      </c>
      <c r="AR228" t="inlineStr">
        <is>
          <t>No</t>
        </is>
      </c>
      <c r="AS228" t="inlineStr">
        <is>
          <t>No</t>
        </is>
      </c>
      <c r="AU228">
        <f>HYPERLINK("https://creighton-primo.hosted.exlibrisgroup.com/primo-explore/search?tab=default_tab&amp;search_scope=EVERYTHING&amp;vid=01CRU&amp;lang=en_US&amp;offset=0&amp;query=any,contains,991001876729702656","Catalog Record")</f>
        <v/>
      </c>
      <c r="AV228">
        <f>HYPERLINK("http://www.worldcat.org/oclc/23689605","WorldCat Record")</f>
        <v/>
      </c>
      <c r="AW228" t="inlineStr">
        <is>
          <t>897804576:eng</t>
        </is>
      </c>
      <c r="AX228" t="inlineStr">
        <is>
          <t>23689605</t>
        </is>
      </c>
      <c r="AY228" t="inlineStr">
        <is>
          <t>991001876729702656</t>
        </is>
      </c>
      <c r="AZ228" t="inlineStr">
        <is>
          <t>991001876729702656</t>
        </is>
      </c>
      <c r="BA228" t="inlineStr">
        <is>
          <t>2265076700002656</t>
        </is>
      </c>
      <c r="BB228" t="inlineStr">
        <is>
          <t>BOOK</t>
        </is>
      </c>
      <c r="BD228" t="inlineStr">
        <is>
          <t>9780820415765</t>
        </is>
      </c>
      <c r="BE228" t="inlineStr">
        <is>
          <t>32285001361897</t>
        </is>
      </c>
      <c r="BF228" t="inlineStr">
        <is>
          <t>893866547</t>
        </is>
      </c>
    </row>
    <row r="229">
      <c r="A229" t="inlineStr">
        <is>
          <t>No</t>
        </is>
      </c>
      <c r="B229" t="inlineStr">
        <is>
          <t>CURAL</t>
        </is>
      </c>
      <c r="C229" t="inlineStr">
        <is>
          <t>SHELVES</t>
        </is>
      </c>
      <c r="D229" t="inlineStr">
        <is>
          <t>PR1508 .W5</t>
        </is>
      </c>
      <c r="E229" t="inlineStr">
        <is>
          <t>0                      PR 1508000W  5</t>
        </is>
      </c>
      <c r="F229" t="inlineStr">
        <is>
          <t>Word-hoard... Passages from Old English literature from the sixth to the eleventh centuries, translated and arranged by Margaret Williams ... illustrated by Anne A. Pracny.</t>
        </is>
      </c>
      <c r="H229" t="inlineStr">
        <is>
          <t>No</t>
        </is>
      </c>
      <c r="I229" t="inlineStr">
        <is>
          <t>1</t>
        </is>
      </c>
      <c r="J229" t="inlineStr">
        <is>
          <t>No</t>
        </is>
      </c>
      <c r="K229" t="inlineStr">
        <is>
          <t>No</t>
        </is>
      </c>
      <c r="L229" t="inlineStr">
        <is>
          <t>0</t>
        </is>
      </c>
      <c r="M229" t="inlineStr">
        <is>
          <t>Williams, Margaret, 1902-1996 editor, translator.</t>
        </is>
      </c>
      <c r="N229" t="inlineStr">
        <is>
          <t>New York, Sheed &amp; Ward, 1940.</t>
        </is>
      </c>
      <c r="O229" t="inlineStr">
        <is>
          <t>1940</t>
        </is>
      </c>
      <c r="Q229" t="inlineStr">
        <is>
          <t>eng</t>
        </is>
      </c>
      <c r="R229" t="inlineStr">
        <is>
          <t xml:space="preserve">xx </t>
        </is>
      </c>
      <c r="T229" t="inlineStr">
        <is>
          <t xml:space="preserve">PR </t>
        </is>
      </c>
      <c r="U229" t="n">
        <v>3</v>
      </c>
      <c r="V229" t="n">
        <v>3</v>
      </c>
      <c r="W229" t="inlineStr">
        <is>
          <t>2004-12-16</t>
        </is>
      </c>
      <c r="X229" t="inlineStr">
        <is>
          <t>2004-12-16</t>
        </is>
      </c>
      <c r="Y229" t="inlineStr">
        <is>
          <t>1997-07-29</t>
        </is>
      </c>
      <c r="Z229" t="inlineStr">
        <is>
          <t>1997-07-29</t>
        </is>
      </c>
      <c r="AA229" t="n">
        <v>323</v>
      </c>
      <c r="AB229" t="n">
        <v>305</v>
      </c>
      <c r="AC229" t="n">
        <v>328</v>
      </c>
      <c r="AD229" t="n">
        <v>2</v>
      </c>
      <c r="AE229" t="n">
        <v>2</v>
      </c>
      <c r="AF229" t="n">
        <v>28</v>
      </c>
      <c r="AG229" t="n">
        <v>30</v>
      </c>
      <c r="AH229" t="n">
        <v>10</v>
      </c>
      <c r="AI229" t="n">
        <v>11</v>
      </c>
      <c r="AJ229" t="n">
        <v>7</v>
      </c>
      <c r="AK229" t="n">
        <v>7</v>
      </c>
      <c r="AL229" t="n">
        <v>19</v>
      </c>
      <c r="AM229" t="n">
        <v>21</v>
      </c>
      <c r="AN229" t="n">
        <v>1</v>
      </c>
      <c r="AO229" t="n">
        <v>1</v>
      </c>
      <c r="AP229" t="n">
        <v>0</v>
      </c>
      <c r="AQ229" t="n">
        <v>0</v>
      </c>
      <c r="AR229" t="inlineStr">
        <is>
          <t>No</t>
        </is>
      </c>
      <c r="AS229" t="inlineStr">
        <is>
          <t>Yes</t>
        </is>
      </c>
      <c r="AT229">
        <f>HYPERLINK("http://catalog.hathitrust.org/Record/001017172","HathiTrust Record")</f>
        <v/>
      </c>
      <c r="AU229">
        <f>HYPERLINK("https://creighton-primo.hosted.exlibrisgroup.com/primo-explore/search?tab=default_tab&amp;search_scope=EVERYTHING&amp;vid=01CRU&amp;lang=en_US&amp;offset=0&amp;query=any,contains,991002670419702656","Catalog Record")</f>
        <v/>
      </c>
      <c r="AV229">
        <f>HYPERLINK("http://www.worldcat.org/oclc/394910","WorldCat Record")</f>
        <v/>
      </c>
      <c r="AW229" t="inlineStr">
        <is>
          <t>1537170:eng</t>
        </is>
      </c>
      <c r="AX229" t="inlineStr">
        <is>
          <t>394910</t>
        </is>
      </c>
      <c r="AY229" t="inlineStr">
        <is>
          <t>991002670419702656</t>
        </is>
      </c>
      <c r="AZ229" t="inlineStr">
        <is>
          <t>991002670419702656</t>
        </is>
      </c>
      <c r="BA229" t="inlineStr">
        <is>
          <t>2260303560002656</t>
        </is>
      </c>
      <c r="BB229" t="inlineStr">
        <is>
          <t>BOOK</t>
        </is>
      </c>
      <c r="BE229" t="inlineStr">
        <is>
          <t>32285002987088</t>
        </is>
      </c>
      <c r="BF229" t="inlineStr">
        <is>
          <t>893523903</t>
        </is>
      </c>
    </row>
    <row r="230">
      <c r="A230" t="inlineStr">
        <is>
          <t>No</t>
        </is>
      </c>
      <c r="B230" t="inlineStr">
        <is>
          <t>CURAL</t>
        </is>
      </c>
      <c r="C230" t="inlineStr">
        <is>
          <t>SHELVES</t>
        </is>
      </c>
      <c r="D230" t="inlineStr">
        <is>
          <t>PR151.C5 C6 1967b</t>
        </is>
      </c>
      <c r="E230" t="inlineStr">
        <is>
          <t>0                      PR 0151000C  5                  C  6           1967b</t>
        </is>
      </c>
      <c r="F230" t="inlineStr">
        <is>
          <t>The image of childhood; the individual and society: a study of the theme in English literature.</t>
        </is>
      </c>
      <c r="H230" t="inlineStr">
        <is>
          <t>No</t>
        </is>
      </c>
      <c r="I230" t="inlineStr">
        <is>
          <t>1</t>
        </is>
      </c>
      <c r="J230" t="inlineStr">
        <is>
          <t>No</t>
        </is>
      </c>
      <c r="K230" t="inlineStr">
        <is>
          <t>No</t>
        </is>
      </c>
      <c r="L230" t="inlineStr">
        <is>
          <t>0</t>
        </is>
      </c>
      <c r="M230" t="inlineStr">
        <is>
          <t>Coveney, Peter.</t>
        </is>
      </c>
      <c r="N230" t="inlineStr">
        <is>
          <t>Baltimore, Penguin books [1967]</t>
        </is>
      </c>
      <c r="O230" t="inlineStr">
        <is>
          <t>1967</t>
        </is>
      </c>
      <c r="P230" t="inlineStr">
        <is>
          <t>Rev. ed. with an introd. by F. R. Leavis.</t>
        </is>
      </c>
      <c r="Q230" t="inlineStr">
        <is>
          <t>eng</t>
        </is>
      </c>
      <c r="R230" t="inlineStr">
        <is>
          <t>mdu</t>
        </is>
      </c>
      <c r="S230" t="inlineStr">
        <is>
          <t>Peregrine books ; Y62</t>
        </is>
      </c>
      <c r="T230" t="inlineStr">
        <is>
          <t xml:space="preserve">PR </t>
        </is>
      </c>
      <c r="U230" t="n">
        <v>3</v>
      </c>
      <c r="V230" t="n">
        <v>3</v>
      </c>
      <c r="W230" t="inlineStr">
        <is>
          <t>1998-05-18</t>
        </is>
      </c>
      <c r="X230" t="inlineStr">
        <is>
          <t>1998-05-18</t>
        </is>
      </c>
      <c r="Y230" t="inlineStr">
        <is>
          <t>1997-08-15</t>
        </is>
      </c>
      <c r="Z230" t="inlineStr">
        <is>
          <t>1997-08-15</t>
        </is>
      </c>
      <c r="AA230" t="n">
        <v>295</v>
      </c>
      <c r="AB230" t="n">
        <v>231</v>
      </c>
      <c r="AC230" t="n">
        <v>285</v>
      </c>
      <c r="AD230" t="n">
        <v>1</v>
      </c>
      <c r="AE230" t="n">
        <v>1</v>
      </c>
      <c r="AF230" t="n">
        <v>7</v>
      </c>
      <c r="AG230" t="n">
        <v>13</v>
      </c>
      <c r="AH230" t="n">
        <v>1</v>
      </c>
      <c r="AI230" t="n">
        <v>5</v>
      </c>
      <c r="AJ230" t="n">
        <v>2</v>
      </c>
      <c r="AK230" t="n">
        <v>2</v>
      </c>
      <c r="AL230" t="n">
        <v>7</v>
      </c>
      <c r="AM230" t="n">
        <v>11</v>
      </c>
      <c r="AN230" t="n">
        <v>0</v>
      </c>
      <c r="AO230" t="n">
        <v>0</v>
      </c>
      <c r="AP230" t="n">
        <v>0</v>
      </c>
      <c r="AQ230" t="n">
        <v>0</v>
      </c>
      <c r="AR230" t="inlineStr">
        <is>
          <t>No</t>
        </is>
      </c>
      <c r="AS230" t="inlineStr">
        <is>
          <t>Yes</t>
        </is>
      </c>
      <c r="AT230">
        <f>HYPERLINK("http://catalog.hathitrust.org/Record/001370743","HathiTrust Record")</f>
        <v/>
      </c>
      <c r="AU230">
        <f>HYPERLINK("https://creighton-primo.hosted.exlibrisgroup.com/primo-explore/search?tab=default_tab&amp;search_scope=EVERYTHING&amp;vid=01CRU&amp;lang=en_US&amp;offset=0&amp;query=any,contains,991003559299702656","Catalog Record")</f>
        <v/>
      </c>
      <c r="AV230">
        <f>HYPERLINK("http://www.worldcat.org/oclc/1129436","WorldCat Record")</f>
        <v/>
      </c>
      <c r="AW230" t="inlineStr">
        <is>
          <t>222208569:eng</t>
        </is>
      </c>
      <c r="AX230" t="inlineStr">
        <is>
          <t>1129436</t>
        </is>
      </c>
      <c r="AY230" t="inlineStr">
        <is>
          <t>991003559299702656</t>
        </is>
      </c>
      <c r="AZ230" t="inlineStr">
        <is>
          <t>991003559299702656</t>
        </is>
      </c>
      <c r="BA230" t="inlineStr">
        <is>
          <t>2272447440002656</t>
        </is>
      </c>
      <c r="BB230" t="inlineStr">
        <is>
          <t>BOOK</t>
        </is>
      </c>
      <c r="BE230" t="inlineStr">
        <is>
          <t>32285003150439</t>
        </is>
      </c>
      <c r="BF230" t="inlineStr">
        <is>
          <t>893246486</t>
        </is>
      </c>
    </row>
    <row r="231">
      <c r="A231" t="inlineStr">
        <is>
          <t>No</t>
        </is>
      </c>
      <c r="B231" t="inlineStr">
        <is>
          <t>CURAL</t>
        </is>
      </c>
      <c r="C231" t="inlineStr">
        <is>
          <t>SHELVES</t>
        </is>
      </c>
      <c r="D231" t="inlineStr">
        <is>
          <t>PR151.J5 B48 1996</t>
        </is>
      </c>
      <c r="E231" t="inlineStr">
        <is>
          <t>0                      PR 0151000J  5                  B  48          1996</t>
        </is>
      </c>
      <c r="F231" t="inlineStr">
        <is>
          <t>Between "race" and culture : representations of "the Jew" in English and American literature / edited by Bryan Cheyette.</t>
        </is>
      </c>
      <c r="H231" t="inlineStr">
        <is>
          <t>No</t>
        </is>
      </c>
      <c r="I231" t="inlineStr">
        <is>
          <t>1</t>
        </is>
      </c>
      <c r="J231" t="inlineStr">
        <is>
          <t>No</t>
        </is>
      </c>
      <c r="K231" t="inlineStr">
        <is>
          <t>No</t>
        </is>
      </c>
      <c r="L231" t="inlineStr">
        <is>
          <t>0</t>
        </is>
      </c>
      <c r="N231" t="inlineStr">
        <is>
          <t>Stanford, Calif. : Stanford University Press, 1996.</t>
        </is>
      </c>
      <c r="O231" t="inlineStr">
        <is>
          <t>1996</t>
        </is>
      </c>
      <c r="Q231" t="inlineStr">
        <is>
          <t>eng</t>
        </is>
      </c>
      <c r="R231" t="inlineStr">
        <is>
          <t>cau</t>
        </is>
      </c>
      <c r="S231" t="inlineStr">
        <is>
          <t>Stanford studies in Jewish history and culture</t>
        </is>
      </c>
      <c r="T231" t="inlineStr">
        <is>
          <t xml:space="preserve">PR </t>
        </is>
      </c>
      <c r="U231" t="n">
        <v>0</v>
      </c>
      <c r="V231" t="n">
        <v>0</v>
      </c>
      <c r="W231" t="inlineStr">
        <is>
          <t>2002-06-14</t>
        </is>
      </c>
      <c r="X231" t="inlineStr">
        <is>
          <t>2002-06-14</t>
        </is>
      </c>
      <c r="Y231" t="inlineStr">
        <is>
          <t>1997-01-17</t>
        </is>
      </c>
      <c r="Z231" t="inlineStr">
        <is>
          <t>1997-01-17</t>
        </is>
      </c>
      <c r="AA231" t="n">
        <v>621</v>
      </c>
      <c r="AB231" t="n">
        <v>516</v>
      </c>
      <c r="AC231" t="n">
        <v>517</v>
      </c>
      <c r="AD231" t="n">
        <v>4</v>
      </c>
      <c r="AE231" t="n">
        <v>4</v>
      </c>
      <c r="AF231" t="n">
        <v>28</v>
      </c>
      <c r="AG231" t="n">
        <v>28</v>
      </c>
      <c r="AH231" t="n">
        <v>11</v>
      </c>
      <c r="AI231" t="n">
        <v>11</v>
      </c>
      <c r="AJ231" t="n">
        <v>7</v>
      </c>
      <c r="AK231" t="n">
        <v>7</v>
      </c>
      <c r="AL231" t="n">
        <v>13</v>
      </c>
      <c r="AM231" t="n">
        <v>13</v>
      </c>
      <c r="AN231" t="n">
        <v>3</v>
      </c>
      <c r="AO231" t="n">
        <v>3</v>
      </c>
      <c r="AP231" t="n">
        <v>0</v>
      </c>
      <c r="AQ231" t="n">
        <v>0</v>
      </c>
      <c r="AR231" t="inlineStr">
        <is>
          <t>No</t>
        </is>
      </c>
      <c r="AS231" t="inlineStr">
        <is>
          <t>No</t>
        </is>
      </c>
      <c r="AU231">
        <f>HYPERLINK("https://creighton-primo.hosted.exlibrisgroup.com/primo-explore/search?tab=default_tab&amp;search_scope=EVERYTHING&amp;vid=01CRU&amp;lang=en_US&amp;offset=0&amp;query=any,contains,991002627909702656","Catalog Record")</f>
        <v/>
      </c>
      <c r="AV231">
        <f>HYPERLINK("http://www.worldcat.org/oclc/34471384","WorldCat Record")</f>
        <v/>
      </c>
      <c r="AW231" t="inlineStr">
        <is>
          <t>807243126:eng</t>
        </is>
      </c>
      <c r="AX231" t="inlineStr">
        <is>
          <t>34471384</t>
        </is>
      </c>
      <c r="AY231" t="inlineStr">
        <is>
          <t>991002627909702656</t>
        </is>
      </c>
      <c r="AZ231" t="inlineStr">
        <is>
          <t>991002627909702656</t>
        </is>
      </c>
      <c r="BA231" t="inlineStr">
        <is>
          <t>2264446220002656</t>
        </is>
      </c>
      <c r="BB231" t="inlineStr">
        <is>
          <t>BOOK</t>
        </is>
      </c>
      <c r="BD231" t="inlineStr">
        <is>
          <t>9780804726351</t>
        </is>
      </c>
      <c r="BE231" t="inlineStr">
        <is>
          <t>32285002408903</t>
        </is>
      </c>
      <c r="BF231" t="inlineStr">
        <is>
          <t>893245409</t>
        </is>
      </c>
    </row>
    <row r="232">
      <c r="A232" t="inlineStr">
        <is>
          <t>No</t>
        </is>
      </c>
      <c r="B232" t="inlineStr">
        <is>
          <t>CURAL</t>
        </is>
      </c>
      <c r="C232" t="inlineStr">
        <is>
          <t>SHELVES</t>
        </is>
      </c>
      <c r="D232" t="inlineStr">
        <is>
          <t>PR151.J5 P6 1978a</t>
        </is>
      </c>
      <c r="E232" t="inlineStr">
        <is>
          <t>0                      PR 0151000J  5                  P  6           1978a</t>
        </is>
      </c>
      <c r="F232" t="inlineStr">
        <is>
          <t>The Jew in English fiction / by David Philipson. --</t>
        </is>
      </c>
      <c r="H232" t="inlineStr">
        <is>
          <t>No</t>
        </is>
      </c>
      <c r="I232" t="inlineStr">
        <is>
          <t>1</t>
        </is>
      </c>
      <c r="J232" t="inlineStr">
        <is>
          <t>No</t>
        </is>
      </c>
      <c r="K232" t="inlineStr">
        <is>
          <t>No</t>
        </is>
      </c>
      <c r="L232" t="inlineStr">
        <is>
          <t>0</t>
        </is>
      </c>
      <c r="M232" t="inlineStr">
        <is>
          <t>Philipson, David, 1862-1949.</t>
        </is>
      </c>
      <c r="N232" t="inlineStr">
        <is>
          <t>[Norwood, Pa.] : Norwood Editions, 1978, c1889.</t>
        </is>
      </c>
      <c r="O232" t="inlineStr">
        <is>
          <t>1978</t>
        </is>
      </c>
      <c r="Q232" t="inlineStr">
        <is>
          <t>eng</t>
        </is>
      </c>
      <c r="R232" t="inlineStr">
        <is>
          <t>pau</t>
        </is>
      </c>
      <c r="T232" t="inlineStr">
        <is>
          <t xml:space="preserve">PR </t>
        </is>
      </c>
      <c r="U232" t="n">
        <v>2</v>
      </c>
      <c r="V232" t="n">
        <v>2</v>
      </c>
      <c r="W232" t="inlineStr">
        <is>
          <t>1996-04-25</t>
        </is>
      </c>
      <c r="X232" t="inlineStr">
        <is>
          <t>1996-04-25</t>
        </is>
      </c>
      <c r="Y232" t="inlineStr">
        <is>
          <t>1991-08-27</t>
        </is>
      </c>
      <c r="Z232" t="inlineStr">
        <is>
          <t>1991-08-27</t>
        </is>
      </c>
      <c r="AA232" t="n">
        <v>4</v>
      </c>
      <c r="AB232" t="n">
        <v>4</v>
      </c>
      <c r="AC232" t="n">
        <v>313</v>
      </c>
      <c r="AD232" t="n">
        <v>1</v>
      </c>
      <c r="AE232" t="n">
        <v>2</v>
      </c>
      <c r="AF232" t="n">
        <v>0</v>
      </c>
      <c r="AG232" t="n">
        <v>10</v>
      </c>
      <c r="AH232" t="n">
        <v>0</v>
      </c>
      <c r="AI232" t="n">
        <v>1</v>
      </c>
      <c r="AJ232" t="n">
        <v>0</v>
      </c>
      <c r="AK232" t="n">
        <v>5</v>
      </c>
      <c r="AL232" t="n">
        <v>0</v>
      </c>
      <c r="AM232" t="n">
        <v>6</v>
      </c>
      <c r="AN232" t="n">
        <v>0</v>
      </c>
      <c r="AO232" t="n">
        <v>1</v>
      </c>
      <c r="AP232" t="n">
        <v>0</v>
      </c>
      <c r="AQ232" t="n">
        <v>0</v>
      </c>
      <c r="AR232" t="inlineStr">
        <is>
          <t>No</t>
        </is>
      </c>
      <c r="AS232" t="inlineStr">
        <is>
          <t>No</t>
        </is>
      </c>
      <c r="AU232">
        <f>HYPERLINK("https://creighton-primo.hosted.exlibrisgroup.com/primo-explore/search?tab=default_tab&amp;search_scope=EVERYTHING&amp;vid=01CRU&amp;lang=en_US&amp;offset=0&amp;query=any,contains,991004634009702656","Catalog Record")</f>
        <v/>
      </c>
      <c r="AV232">
        <f>HYPERLINK("http://www.worldcat.org/oclc/4394715","WorldCat Record")</f>
        <v/>
      </c>
      <c r="AW232" t="inlineStr">
        <is>
          <t>1365005:eng</t>
        </is>
      </c>
      <c r="AX232" t="inlineStr">
        <is>
          <t>4394715</t>
        </is>
      </c>
      <c r="AY232" t="inlineStr">
        <is>
          <t>991004634009702656</t>
        </is>
      </c>
      <c r="AZ232" t="inlineStr">
        <is>
          <t>991004634009702656</t>
        </is>
      </c>
      <c r="BA232" t="inlineStr">
        <is>
          <t>2256826170002656</t>
        </is>
      </c>
      <c r="BB232" t="inlineStr">
        <is>
          <t>BOOK</t>
        </is>
      </c>
      <c r="BE232" t="inlineStr">
        <is>
          <t>32285000699883</t>
        </is>
      </c>
      <c r="BF232" t="inlineStr">
        <is>
          <t>893337938</t>
        </is>
      </c>
    </row>
    <row r="233">
      <c r="A233" t="inlineStr">
        <is>
          <t>No</t>
        </is>
      </c>
      <c r="B233" t="inlineStr">
        <is>
          <t>CURAL</t>
        </is>
      </c>
      <c r="C233" t="inlineStr">
        <is>
          <t>SHELVES</t>
        </is>
      </c>
      <c r="D233" t="inlineStr">
        <is>
          <t>PR151.M46 C37 1987</t>
        </is>
      </c>
      <c r="E233" t="inlineStr">
        <is>
          <t>0                      PR 0151000M  46                 C  37          1987</t>
        </is>
      </c>
      <c r="F233" t="inlineStr">
        <is>
          <t>The English gentleman : images and ideals in literature and society / David Castronovo.</t>
        </is>
      </c>
      <c r="H233" t="inlineStr">
        <is>
          <t>No</t>
        </is>
      </c>
      <c r="I233" t="inlineStr">
        <is>
          <t>1</t>
        </is>
      </c>
      <c r="J233" t="inlineStr">
        <is>
          <t>No</t>
        </is>
      </c>
      <c r="K233" t="inlineStr">
        <is>
          <t>No</t>
        </is>
      </c>
      <c r="L233" t="inlineStr">
        <is>
          <t>0</t>
        </is>
      </c>
      <c r="M233" t="inlineStr">
        <is>
          <t>Castronovo, David.</t>
        </is>
      </c>
      <c r="N233" t="inlineStr">
        <is>
          <t>New York : Ungar, 1987.</t>
        </is>
      </c>
      <c r="O233" t="inlineStr">
        <is>
          <t>1987</t>
        </is>
      </c>
      <c r="Q233" t="inlineStr">
        <is>
          <t>eng</t>
        </is>
      </c>
      <c r="R233" t="inlineStr">
        <is>
          <t>nyu</t>
        </is>
      </c>
      <c r="T233" t="inlineStr">
        <is>
          <t xml:space="preserve">PR </t>
        </is>
      </c>
      <c r="U233" t="n">
        <v>1</v>
      </c>
      <c r="V233" t="n">
        <v>1</v>
      </c>
      <c r="W233" t="inlineStr">
        <is>
          <t>2004-11-10</t>
        </is>
      </c>
      <c r="X233" t="inlineStr">
        <is>
          <t>2004-11-10</t>
        </is>
      </c>
      <c r="Y233" t="inlineStr">
        <is>
          <t>2004-11-10</t>
        </is>
      </c>
      <c r="Z233" t="inlineStr">
        <is>
          <t>2004-11-10</t>
        </is>
      </c>
      <c r="AA233" t="n">
        <v>399</v>
      </c>
      <c r="AB233" t="n">
        <v>335</v>
      </c>
      <c r="AC233" t="n">
        <v>342</v>
      </c>
      <c r="AD233" t="n">
        <v>3</v>
      </c>
      <c r="AE233" t="n">
        <v>3</v>
      </c>
      <c r="AF233" t="n">
        <v>19</v>
      </c>
      <c r="AG233" t="n">
        <v>19</v>
      </c>
      <c r="AH233" t="n">
        <v>10</v>
      </c>
      <c r="AI233" t="n">
        <v>10</v>
      </c>
      <c r="AJ233" t="n">
        <v>4</v>
      </c>
      <c r="AK233" t="n">
        <v>4</v>
      </c>
      <c r="AL233" t="n">
        <v>9</v>
      </c>
      <c r="AM233" t="n">
        <v>9</v>
      </c>
      <c r="AN233" t="n">
        <v>2</v>
      </c>
      <c r="AO233" t="n">
        <v>2</v>
      </c>
      <c r="AP233" t="n">
        <v>0</v>
      </c>
      <c r="AQ233" t="n">
        <v>0</v>
      </c>
      <c r="AR233" t="inlineStr">
        <is>
          <t>No</t>
        </is>
      </c>
      <c r="AS233" t="inlineStr">
        <is>
          <t>Yes</t>
        </is>
      </c>
      <c r="AT233">
        <f>HYPERLINK("http://catalog.hathitrust.org/Record/000882971","HathiTrust Record")</f>
        <v/>
      </c>
      <c r="AU233">
        <f>HYPERLINK("https://creighton-primo.hosted.exlibrisgroup.com/primo-explore/search?tab=default_tab&amp;search_scope=EVERYTHING&amp;vid=01CRU&amp;lang=en_US&amp;offset=0&amp;query=any,contains,991004415249702656","Catalog Record")</f>
        <v/>
      </c>
      <c r="AV233">
        <f>HYPERLINK("http://www.worldcat.org/oclc/15220737","WorldCat Record")</f>
        <v/>
      </c>
      <c r="AW233" t="inlineStr">
        <is>
          <t>10184326:eng</t>
        </is>
      </c>
      <c r="AX233" t="inlineStr">
        <is>
          <t>15220737</t>
        </is>
      </c>
      <c r="AY233" t="inlineStr">
        <is>
          <t>991004415249702656</t>
        </is>
      </c>
      <c r="AZ233" t="inlineStr">
        <is>
          <t>991004415249702656</t>
        </is>
      </c>
      <c r="BA233" t="inlineStr">
        <is>
          <t>2262613720002656</t>
        </is>
      </c>
      <c r="BB233" t="inlineStr">
        <is>
          <t>BOOK</t>
        </is>
      </c>
      <c r="BD233" t="inlineStr">
        <is>
          <t>9780804421058</t>
        </is>
      </c>
      <c r="BE233" t="inlineStr">
        <is>
          <t>32285005005300</t>
        </is>
      </c>
      <c r="BF233" t="inlineStr">
        <is>
          <t>893904848</t>
        </is>
      </c>
    </row>
    <row r="234">
      <c r="A234" t="inlineStr">
        <is>
          <t>No</t>
        </is>
      </c>
      <c r="B234" t="inlineStr">
        <is>
          <t>CURAL</t>
        </is>
      </c>
      <c r="C234" t="inlineStr">
        <is>
          <t>SHELVES</t>
        </is>
      </c>
      <c r="D234" t="inlineStr">
        <is>
          <t>PR1585 .A66 1984</t>
        </is>
      </c>
      <c r="E234" t="inlineStr">
        <is>
          <t>0                      PR 1585000A  66          1984</t>
        </is>
      </c>
      <c r="F234" t="inlineStr">
        <is>
          <t>Approaches to teaching Beowulf / edited by Jess B. Bessinger, Jr. and Robert F. Yeager.</t>
        </is>
      </c>
      <c r="H234" t="inlineStr">
        <is>
          <t>No</t>
        </is>
      </c>
      <c r="I234" t="inlineStr">
        <is>
          <t>1</t>
        </is>
      </c>
      <c r="J234" t="inlineStr">
        <is>
          <t>No</t>
        </is>
      </c>
      <c r="K234" t="inlineStr">
        <is>
          <t>No</t>
        </is>
      </c>
      <c r="L234" t="inlineStr">
        <is>
          <t>0</t>
        </is>
      </c>
      <c r="N234" t="inlineStr">
        <is>
          <t>New York : Modern Language Association of America, 1984.</t>
        </is>
      </c>
      <c r="O234" t="inlineStr">
        <is>
          <t>1984</t>
        </is>
      </c>
      <c r="Q234" t="inlineStr">
        <is>
          <t>eng</t>
        </is>
      </c>
      <c r="R234" t="inlineStr">
        <is>
          <t>nyu</t>
        </is>
      </c>
      <c r="S234" t="inlineStr">
        <is>
          <t>Approaches to teaching masterpieces of world literature ; 4</t>
        </is>
      </c>
      <c r="T234" t="inlineStr">
        <is>
          <t xml:space="preserve">PR </t>
        </is>
      </c>
      <c r="U234" t="n">
        <v>8</v>
      </c>
      <c r="V234" t="n">
        <v>8</v>
      </c>
      <c r="W234" t="inlineStr">
        <is>
          <t>2000-03-23</t>
        </is>
      </c>
      <c r="X234" t="inlineStr">
        <is>
          <t>2000-03-23</t>
        </is>
      </c>
      <c r="Y234" t="inlineStr">
        <is>
          <t>1991-09-23</t>
        </is>
      </c>
      <c r="Z234" t="inlineStr">
        <is>
          <t>1991-09-23</t>
        </is>
      </c>
      <c r="AA234" t="n">
        <v>873</v>
      </c>
      <c r="AB234" t="n">
        <v>767</v>
      </c>
      <c r="AC234" t="n">
        <v>769</v>
      </c>
      <c r="AD234" t="n">
        <v>9</v>
      </c>
      <c r="AE234" t="n">
        <v>9</v>
      </c>
      <c r="AF234" t="n">
        <v>36</v>
      </c>
      <c r="AG234" t="n">
        <v>36</v>
      </c>
      <c r="AH234" t="n">
        <v>11</v>
      </c>
      <c r="AI234" t="n">
        <v>11</v>
      </c>
      <c r="AJ234" t="n">
        <v>7</v>
      </c>
      <c r="AK234" t="n">
        <v>7</v>
      </c>
      <c r="AL234" t="n">
        <v>15</v>
      </c>
      <c r="AM234" t="n">
        <v>15</v>
      </c>
      <c r="AN234" t="n">
        <v>8</v>
      </c>
      <c r="AO234" t="n">
        <v>8</v>
      </c>
      <c r="AP234" t="n">
        <v>0</v>
      </c>
      <c r="AQ234" t="n">
        <v>0</v>
      </c>
      <c r="AR234" t="inlineStr">
        <is>
          <t>No</t>
        </is>
      </c>
      <c r="AS234" t="inlineStr">
        <is>
          <t>No</t>
        </is>
      </c>
      <c r="AU234">
        <f>HYPERLINK("https://creighton-primo.hosted.exlibrisgroup.com/primo-explore/search?tab=default_tab&amp;search_scope=EVERYTHING&amp;vid=01CRU&amp;lang=en_US&amp;offset=0&amp;query=any,contains,991000313529702656","Catalog Record")</f>
        <v/>
      </c>
      <c r="AV234">
        <f>HYPERLINK("http://www.worldcat.org/oclc/10100861","WorldCat Record")</f>
        <v/>
      </c>
      <c r="AW234" t="inlineStr">
        <is>
          <t>365341366:eng</t>
        </is>
      </c>
      <c r="AX234" t="inlineStr">
        <is>
          <t>10100861</t>
        </is>
      </c>
      <c r="AY234" t="inlineStr">
        <is>
          <t>991000313529702656</t>
        </is>
      </c>
      <c r="AZ234" t="inlineStr">
        <is>
          <t>991000313529702656</t>
        </is>
      </c>
      <c r="BA234" t="inlineStr">
        <is>
          <t>2256094520002656</t>
        </is>
      </c>
      <c r="BB234" t="inlineStr">
        <is>
          <t>BOOK</t>
        </is>
      </c>
      <c r="BD234" t="inlineStr">
        <is>
          <t>9780873524827</t>
        </is>
      </c>
      <c r="BE234" t="inlineStr">
        <is>
          <t>32285000762087</t>
        </is>
      </c>
      <c r="BF234" t="inlineStr">
        <is>
          <t>893261427</t>
        </is>
      </c>
    </row>
    <row r="235">
      <c r="A235" t="inlineStr">
        <is>
          <t>No</t>
        </is>
      </c>
      <c r="B235" t="inlineStr">
        <is>
          <t>CURAL</t>
        </is>
      </c>
      <c r="C235" t="inlineStr">
        <is>
          <t>SHELVES</t>
        </is>
      </c>
      <c r="D235" t="inlineStr">
        <is>
          <t>PR1585 .C45</t>
        </is>
      </c>
      <c r="E235" t="inlineStr">
        <is>
          <t>0                      PR 1585000C  45</t>
        </is>
      </c>
      <c r="F235" t="inlineStr">
        <is>
          <t>The dating of Beowulf / edited by Colin Chase.</t>
        </is>
      </c>
      <c r="H235" t="inlineStr">
        <is>
          <t>No</t>
        </is>
      </c>
      <c r="I235" t="inlineStr">
        <is>
          <t>1</t>
        </is>
      </c>
      <c r="J235" t="inlineStr">
        <is>
          <t>No</t>
        </is>
      </c>
      <c r="K235" t="inlineStr">
        <is>
          <t>No</t>
        </is>
      </c>
      <c r="L235" t="inlineStr">
        <is>
          <t>0</t>
        </is>
      </c>
      <c r="M235" t="inlineStr">
        <is>
          <t>Chase, Colin.</t>
        </is>
      </c>
      <c r="N235" t="inlineStr">
        <is>
          <t>Toronto ; Buffalo : Published in association with the Centre for Medieval Studies, University of Toronto, by University of Toronto Press, c1981.</t>
        </is>
      </c>
      <c r="O235" t="inlineStr">
        <is>
          <t>1981</t>
        </is>
      </c>
      <c r="Q235" t="inlineStr">
        <is>
          <t>eng</t>
        </is>
      </c>
      <c r="R235" t="inlineStr">
        <is>
          <t>onc</t>
        </is>
      </c>
      <c r="S235" t="inlineStr">
        <is>
          <t>Toronto Old English series ; 6</t>
        </is>
      </c>
      <c r="T235" t="inlineStr">
        <is>
          <t xml:space="preserve">PR </t>
        </is>
      </c>
      <c r="U235" t="n">
        <v>9</v>
      </c>
      <c r="V235" t="n">
        <v>9</v>
      </c>
      <c r="W235" t="inlineStr">
        <is>
          <t>2004-09-08</t>
        </is>
      </c>
      <c r="X235" t="inlineStr">
        <is>
          <t>2004-09-08</t>
        </is>
      </c>
      <c r="Y235" t="inlineStr">
        <is>
          <t>1991-09-23</t>
        </is>
      </c>
      <c r="Z235" t="inlineStr">
        <is>
          <t>1991-09-23</t>
        </is>
      </c>
      <c r="AA235" t="n">
        <v>377</v>
      </c>
      <c r="AB235" t="n">
        <v>268</v>
      </c>
      <c r="AC235" t="n">
        <v>696</v>
      </c>
      <c r="AD235" t="n">
        <v>2</v>
      </c>
      <c r="AE235" t="n">
        <v>6</v>
      </c>
      <c r="AF235" t="n">
        <v>16</v>
      </c>
      <c r="AG235" t="n">
        <v>35</v>
      </c>
      <c r="AH235" t="n">
        <v>6</v>
      </c>
      <c r="AI235" t="n">
        <v>14</v>
      </c>
      <c r="AJ235" t="n">
        <v>3</v>
      </c>
      <c r="AK235" t="n">
        <v>8</v>
      </c>
      <c r="AL235" t="n">
        <v>12</v>
      </c>
      <c r="AM235" t="n">
        <v>15</v>
      </c>
      <c r="AN235" t="n">
        <v>1</v>
      </c>
      <c r="AO235" t="n">
        <v>5</v>
      </c>
      <c r="AP235" t="n">
        <v>0</v>
      </c>
      <c r="AQ235" t="n">
        <v>1</v>
      </c>
      <c r="AR235" t="inlineStr">
        <is>
          <t>No</t>
        </is>
      </c>
      <c r="AS235" t="inlineStr">
        <is>
          <t>Yes</t>
        </is>
      </c>
      <c r="AT235">
        <f>HYPERLINK("http://catalog.hathitrust.org/Record/002200605","HathiTrust Record")</f>
        <v/>
      </c>
      <c r="AU235">
        <f>HYPERLINK("https://creighton-primo.hosted.exlibrisgroup.com/primo-explore/search?tab=default_tab&amp;search_scope=EVERYTHING&amp;vid=01CRU&amp;lang=en_US&amp;offset=0&amp;query=any,contains,991005184939702656","Catalog Record")</f>
        <v/>
      </c>
      <c r="AV235">
        <f>HYPERLINK("http://www.worldcat.org/oclc/10948491","WorldCat Record")</f>
        <v/>
      </c>
      <c r="AW235" t="inlineStr">
        <is>
          <t>54651565:eng</t>
        </is>
      </c>
      <c r="AX235" t="inlineStr">
        <is>
          <t>10948491</t>
        </is>
      </c>
      <c r="AY235" t="inlineStr">
        <is>
          <t>991005184939702656</t>
        </is>
      </c>
      <c r="AZ235" t="inlineStr">
        <is>
          <t>991005184939702656</t>
        </is>
      </c>
      <c r="BA235" t="inlineStr">
        <is>
          <t>2263635550002656</t>
        </is>
      </c>
      <c r="BB235" t="inlineStr">
        <is>
          <t>BOOK</t>
        </is>
      </c>
      <c r="BD235" t="inlineStr">
        <is>
          <t>9780802055767</t>
        </is>
      </c>
      <c r="BE235" t="inlineStr">
        <is>
          <t>32285000762103</t>
        </is>
      </c>
      <c r="BF235" t="inlineStr">
        <is>
          <t>893501461</t>
        </is>
      </c>
    </row>
    <row r="236">
      <c r="A236" t="inlineStr">
        <is>
          <t>No</t>
        </is>
      </c>
      <c r="B236" t="inlineStr">
        <is>
          <t>CURAL</t>
        </is>
      </c>
      <c r="C236" t="inlineStr">
        <is>
          <t>SHELVES</t>
        </is>
      </c>
      <c r="D236" t="inlineStr">
        <is>
          <t>PR1585 .C64</t>
        </is>
      </c>
      <c r="E236" t="inlineStr">
        <is>
          <t>0                      PR 1585000C  64</t>
        </is>
      </c>
      <c r="F236" t="inlineStr">
        <is>
          <t>Cruces of Beowulf / [by] Betty S. Cox.</t>
        </is>
      </c>
      <c r="H236" t="inlineStr">
        <is>
          <t>No</t>
        </is>
      </c>
      <c r="I236" t="inlineStr">
        <is>
          <t>1</t>
        </is>
      </c>
      <c r="J236" t="inlineStr">
        <is>
          <t>No</t>
        </is>
      </c>
      <c r="K236" t="inlineStr">
        <is>
          <t>No</t>
        </is>
      </c>
      <c r="L236" t="inlineStr">
        <is>
          <t>0</t>
        </is>
      </c>
      <c r="M236" t="inlineStr">
        <is>
          <t>Cox, Betty S.</t>
        </is>
      </c>
      <c r="N236" t="inlineStr">
        <is>
          <t>The Hague : Mouton, 1971.</t>
        </is>
      </c>
      <c r="O236" t="inlineStr">
        <is>
          <t>1971</t>
        </is>
      </c>
      <c r="Q236" t="inlineStr">
        <is>
          <t>eng</t>
        </is>
      </c>
      <c r="R236" t="inlineStr">
        <is>
          <t xml:space="preserve">ne </t>
        </is>
      </c>
      <c r="S236" t="inlineStr">
        <is>
          <t>Studies in English literature ; v. 60</t>
        </is>
      </c>
      <c r="T236" t="inlineStr">
        <is>
          <t xml:space="preserve">PR </t>
        </is>
      </c>
      <c r="U236" t="n">
        <v>2</v>
      </c>
      <c r="V236" t="n">
        <v>2</v>
      </c>
      <c r="W236" t="inlineStr">
        <is>
          <t>2008-03-25</t>
        </is>
      </c>
      <c r="X236" t="inlineStr">
        <is>
          <t>2008-03-25</t>
        </is>
      </c>
      <c r="Y236" t="inlineStr">
        <is>
          <t>1993-12-17</t>
        </is>
      </c>
      <c r="Z236" t="inlineStr">
        <is>
          <t>1993-12-17</t>
        </is>
      </c>
      <c r="AA236" t="n">
        <v>666</v>
      </c>
      <c r="AB236" t="n">
        <v>563</v>
      </c>
      <c r="AC236" t="n">
        <v>1097</v>
      </c>
      <c r="AD236" t="n">
        <v>8</v>
      </c>
      <c r="AE236" t="n">
        <v>15</v>
      </c>
      <c r="AF236" t="n">
        <v>34</v>
      </c>
      <c r="AG236" t="n">
        <v>55</v>
      </c>
      <c r="AH236" t="n">
        <v>13</v>
      </c>
      <c r="AI236" t="n">
        <v>19</v>
      </c>
      <c r="AJ236" t="n">
        <v>8</v>
      </c>
      <c r="AK236" t="n">
        <v>11</v>
      </c>
      <c r="AL236" t="n">
        <v>15</v>
      </c>
      <c r="AM236" t="n">
        <v>20</v>
      </c>
      <c r="AN236" t="n">
        <v>7</v>
      </c>
      <c r="AO236" t="n">
        <v>13</v>
      </c>
      <c r="AP236" t="n">
        <v>0</v>
      </c>
      <c r="AQ236" t="n">
        <v>2</v>
      </c>
      <c r="AR236" t="inlineStr">
        <is>
          <t>No</t>
        </is>
      </c>
      <c r="AS236" t="inlineStr">
        <is>
          <t>Yes</t>
        </is>
      </c>
      <c r="AT236">
        <f>HYPERLINK("http://catalog.hathitrust.org/Record/000473261","HathiTrust Record")</f>
        <v/>
      </c>
      <c r="AU236">
        <f>HYPERLINK("https://creighton-primo.hosted.exlibrisgroup.com/primo-explore/search?tab=default_tab&amp;search_scope=EVERYTHING&amp;vid=01CRU&amp;lang=en_US&amp;offset=0&amp;query=any,contains,991000904949702656","Catalog Record")</f>
        <v/>
      </c>
      <c r="AV236">
        <f>HYPERLINK("http://www.worldcat.org/oclc/156696","WorldCat Record")</f>
        <v/>
      </c>
      <c r="AW236" t="inlineStr">
        <is>
          <t>1191106:eng</t>
        </is>
      </c>
      <c r="AX236" t="inlineStr">
        <is>
          <t>156696</t>
        </is>
      </c>
      <c r="AY236" t="inlineStr">
        <is>
          <t>991000904949702656</t>
        </is>
      </c>
      <c r="AZ236" t="inlineStr">
        <is>
          <t>991000904949702656</t>
        </is>
      </c>
      <c r="BA236" t="inlineStr">
        <is>
          <t>2255487330002656</t>
        </is>
      </c>
      <c r="BB236" t="inlineStr">
        <is>
          <t>BOOK</t>
        </is>
      </c>
      <c r="BE236" t="inlineStr">
        <is>
          <t>32285001825420</t>
        </is>
      </c>
      <c r="BF236" t="inlineStr">
        <is>
          <t>893596015</t>
        </is>
      </c>
    </row>
    <row r="237">
      <c r="A237" t="inlineStr">
        <is>
          <t>No</t>
        </is>
      </c>
      <c r="B237" t="inlineStr">
        <is>
          <t>CURAL</t>
        </is>
      </c>
      <c r="C237" t="inlineStr">
        <is>
          <t>SHELVES</t>
        </is>
      </c>
      <c r="D237" t="inlineStr">
        <is>
          <t>PR1587.D7 R38 2000</t>
        </is>
      </c>
      <c r="E237" t="inlineStr">
        <is>
          <t>0                      PR 1587000D  7                  R  38          2000</t>
        </is>
      </c>
      <c r="F237" t="inlineStr">
        <is>
          <t>Beowulf and the dragon : parallels and analogues / Christine Rauer.</t>
        </is>
      </c>
      <c r="H237" t="inlineStr">
        <is>
          <t>No</t>
        </is>
      </c>
      <c r="I237" t="inlineStr">
        <is>
          <t>1</t>
        </is>
      </c>
      <c r="J237" t="inlineStr">
        <is>
          <t>No</t>
        </is>
      </c>
      <c r="K237" t="inlineStr">
        <is>
          <t>No</t>
        </is>
      </c>
      <c r="L237" t="inlineStr">
        <is>
          <t>0</t>
        </is>
      </c>
      <c r="M237" t="inlineStr">
        <is>
          <t>Rauer, Christine, 1969-</t>
        </is>
      </c>
      <c r="N237" t="inlineStr">
        <is>
          <t>Cambridge ; Rochester, NY : D.S. Brewer, 2000.</t>
        </is>
      </c>
      <c r="O237" t="inlineStr">
        <is>
          <t>2000</t>
        </is>
      </c>
      <c r="Q237" t="inlineStr">
        <is>
          <t>eng</t>
        </is>
      </c>
      <c r="R237" t="inlineStr">
        <is>
          <t>enk</t>
        </is>
      </c>
      <c r="T237" t="inlineStr">
        <is>
          <t xml:space="preserve">PR </t>
        </is>
      </c>
      <c r="U237" t="n">
        <v>2</v>
      </c>
      <c r="V237" t="n">
        <v>2</v>
      </c>
      <c r="W237" t="inlineStr">
        <is>
          <t>2001-05-02</t>
        </is>
      </c>
      <c r="X237" t="inlineStr">
        <is>
          <t>2001-05-02</t>
        </is>
      </c>
      <c r="Y237" t="inlineStr">
        <is>
          <t>2001-05-02</t>
        </is>
      </c>
      <c r="Z237" t="inlineStr">
        <is>
          <t>2001-05-02</t>
        </is>
      </c>
      <c r="AA237" t="n">
        <v>238</v>
      </c>
      <c r="AB237" t="n">
        <v>164</v>
      </c>
      <c r="AC237" t="n">
        <v>164</v>
      </c>
      <c r="AD237" t="n">
        <v>2</v>
      </c>
      <c r="AE237" t="n">
        <v>2</v>
      </c>
      <c r="AF237" t="n">
        <v>8</v>
      </c>
      <c r="AG237" t="n">
        <v>8</v>
      </c>
      <c r="AH237" t="n">
        <v>1</v>
      </c>
      <c r="AI237" t="n">
        <v>1</v>
      </c>
      <c r="AJ237" t="n">
        <v>3</v>
      </c>
      <c r="AK237" t="n">
        <v>3</v>
      </c>
      <c r="AL237" t="n">
        <v>5</v>
      </c>
      <c r="AM237" t="n">
        <v>5</v>
      </c>
      <c r="AN237" t="n">
        <v>1</v>
      </c>
      <c r="AO237" t="n">
        <v>1</v>
      </c>
      <c r="AP237" t="n">
        <v>0</v>
      </c>
      <c r="AQ237" t="n">
        <v>0</v>
      </c>
      <c r="AR237" t="inlineStr">
        <is>
          <t>No</t>
        </is>
      </c>
      <c r="AS237" t="inlineStr">
        <is>
          <t>No</t>
        </is>
      </c>
      <c r="AU237">
        <f>HYPERLINK("https://creighton-primo.hosted.exlibrisgroup.com/primo-explore/search?tab=default_tab&amp;search_scope=EVERYTHING&amp;vid=01CRU&amp;lang=en_US&amp;offset=0&amp;query=any,contains,991003514319702656","Catalog Record")</f>
        <v/>
      </c>
      <c r="AV237">
        <f>HYPERLINK("http://www.worldcat.org/oclc/43791256","WorldCat Record")</f>
        <v/>
      </c>
      <c r="AW237" t="inlineStr">
        <is>
          <t>221547016:eng</t>
        </is>
      </c>
      <c r="AX237" t="inlineStr">
        <is>
          <t>43791256</t>
        </is>
      </c>
      <c r="AY237" t="inlineStr">
        <is>
          <t>991003514319702656</t>
        </is>
      </c>
      <c r="AZ237" t="inlineStr">
        <is>
          <t>991003514319702656</t>
        </is>
      </c>
      <c r="BA237" t="inlineStr">
        <is>
          <t>2263332020002656</t>
        </is>
      </c>
      <c r="BB237" t="inlineStr">
        <is>
          <t>BOOK</t>
        </is>
      </c>
      <c r="BD237" t="inlineStr">
        <is>
          <t>9780859915922</t>
        </is>
      </c>
      <c r="BE237" t="inlineStr">
        <is>
          <t>32285004315791</t>
        </is>
      </c>
      <c r="BF237" t="inlineStr">
        <is>
          <t>893604870</t>
        </is>
      </c>
    </row>
    <row r="238">
      <c r="A238" t="inlineStr">
        <is>
          <t>No</t>
        </is>
      </c>
      <c r="B238" t="inlineStr">
        <is>
          <t>CURAL</t>
        </is>
      </c>
      <c r="C238" t="inlineStr">
        <is>
          <t>SHELVES</t>
        </is>
      </c>
      <c r="D238" t="inlineStr">
        <is>
          <t>PR1609.A3 T64</t>
        </is>
      </c>
      <c r="E238" t="inlineStr">
        <is>
          <t>0                      PR 1609000A  3                  T  64</t>
        </is>
      </c>
      <c r="F238" t="inlineStr">
        <is>
          <t>The Old English Exodus / text, translation and commentary by J.R.R. Tolkien ; edited by Joan Turville-Petre.</t>
        </is>
      </c>
      <c r="H238" t="inlineStr">
        <is>
          <t>No</t>
        </is>
      </c>
      <c r="I238" t="inlineStr">
        <is>
          <t>1</t>
        </is>
      </c>
      <c r="J238" t="inlineStr">
        <is>
          <t>No</t>
        </is>
      </c>
      <c r="K238" t="inlineStr">
        <is>
          <t>No</t>
        </is>
      </c>
      <c r="L238" t="inlineStr">
        <is>
          <t>0</t>
        </is>
      </c>
      <c r="M238" t="inlineStr">
        <is>
          <t>Exodus (Anglo-Saxon poem)</t>
        </is>
      </c>
      <c r="N238" t="inlineStr">
        <is>
          <t>Oxford : Clarendon Press ; New York : Oxford University Press, 1981.</t>
        </is>
      </c>
      <c r="O238" t="inlineStr">
        <is>
          <t>1981</t>
        </is>
      </c>
      <c r="Q238" t="inlineStr">
        <is>
          <t>eng</t>
        </is>
      </c>
      <c r="R238" t="inlineStr">
        <is>
          <t>enk</t>
        </is>
      </c>
      <c r="T238" t="inlineStr">
        <is>
          <t xml:space="preserve">PR </t>
        </is>
      </c>
      <c r="U238" t="n">
        <v>2</v>
      </c>
      <c r="V238" t="n">
        <v>2</v>
      </c>
      <c r="W238" t="inlineStr">
        <is>
          <t>2004-12-16</t>
        </is>
      </c>
      <c r="X238" t="inlineStr">
        <is>
          <t>2004-12-16</t>
        </is>
      </c>
      <c r="Y238" t="inlineStr">
        <is>
          <t>1991-09-26</t>
        </is>
      </c>
      <c r="Z238" t="inlineStr">
        <is>
          <t>1991-09-26</t>
        </is>
      </c>
      <c r="AA238" t="n">
        <v>362</v>
      </c>
      <c r="AB238" t="n">
        <v>255</v>
      </c>
      <c r="AC238" t="n">
        <v>257</v>
      </c>
      <c r="AD238" t="n">
        <v>3</v>
      </c>
      <c r="AE238" t="n">
        <v>3</v>
      </c>
      <c r="AF238" t="n">
        <v>11</v>
      </c>
      <c r="AG238" t="n">
        <v>11</v>
      </c>
      <c r="AH238" t="n">
        <v>3</v>
      </c>
      <c r="AI238" t="n">
        <v>3</v>
      </c>
      <c r="AJ238" t="n">
        <v>2</v>
      </c>
      <c r="AK238" t="n">
        <v>2</v>
      </c>
      <c r="AL238" t="n">
        <v>8</v>
      </c>
      <c r="AM238" t="n">
        <v>8</v>
      </c>
      <c r="AN238" t="n">
        <v>2</v>
      </c>
      <c r="AO238" t="n">
        <v>2</v>
      </c>
      <c r="AP238" t="n">
        <v>0</v>
      </c>
      <c r="AQ238" t="n">
        <v>0</v>
      </c>
      <c r="AR238" t="inlineStr">
        <is>
          <t>No</t>
        </is>
      </c>
      <c r="AS238" t="inlineStr">
        <is>
          <t>Yes</t>
        </is>
      </c>
      <c r="AT238">
        <f>HYPERLINK("http://catalog.hathitrust.org/Record/000765708","HathiTrust Record")</f>
        <v/>
      </c>
      <c r="AU238">
        <f>HYPERLINK("https://creighton-primo.hosted.exlibrisgroup.com/primo-explore/search?tab=default_tab&amp;search_scope=EVERYTHING&amp;vid=01CRU&amp;lang=en_US&amp;offset=0&amp;query=any,contains,991005223479702656","Catalog Record")</f>
        <v/>
      </c>
      <c r="AV238">
        <f>HYPERLINK("http://www.worldcat.org/oclc/8253050","WorldCat Record")</f>
        <v/>
      </c>
      <c r="AW238" t="inlineStr">
        <is>
          <t>1862937215:eng</t>
        </is>
      </c>
      <c r="AX238" t="inlineStr">
        <is>
          <t>8253050</t>
        </is>
      </c>
      <c r="AY238" t="inlineStr">
        <is>
          <t>991005223479702656</t>
        </is>
      </c>
      <c r="AZ238" t="inlineStr">
        <is>
          <t>991005223479702656</t>
        </is>
      </c>
      <c r="BA238" t="inlineStr">
        <is>
          <t>2265674630002656</t>
        </is>
      </c>
      <c r="BB238" t="inlineStr">
        <is>
          <t>BOOK</t>
        </is>
      </c>
      <c r="BD238" t="inlineStr">
        <is>
          <t>9780198111771</t>
        </is>
      </c>
      <c r="BE238" t="inlineStr">
        <is>
          <t>32285000762624</t>
        </is>
      </c>
      <c r="BF238" t="inlineStr">
        <is>
          <t>893533388</t>
        </is>
      </c>
    </row>
    <row r="239">
      <c r="A239" t="inlineStr">
        <is>
          <t>No</t>
        </is>
      </c>
      <c r="B239" t="inlineStr">
        <is>
          <t>CURAL</t>
        </is>
      </c>
      <c r="C239" t="inlineStr">
        <is>
          <t>SHELVES</t>
        </is>
      </c>
      <c r="D239" t="inlineStr">
        <is>
          <t>PR161 .C6</t>
        </is>
      </c>
      <c r="E239" t="inlineStr">
        <is>
          <t>0                      PR 0161000C  6</t>
        </is>
      </c>
      <c r="F239" t="inlineStr">
        <is>
          <t>The "still point"; theme and variations in the writings of T.S. Eliot, Coleridge, Yeats, Henry James, Virginia Woolf, and D.H. Lawrence.</t>
        </is>
      </c>
      <c r="H239" t="inlineStr">
        <is>
          <t>No</t>
        </is>
      </c>
      <c r="I239" t="inlineStr">
        <is>
          <t>1</t>
        </is>
      </c>
      <c r="J239" t="inlineStr">
        <is>
          <t>No</t>
        </is>
      </c>
      <c r="K239" t="inlineStr">
        <is>
          <t>No</t>
        </is>
      </c>
      <c r="L239" t="inlineStr">
        <is>
          <t>0</t>
        </is>
      </c>
      <c r="M239" t="inlineStr">
        <is>
          <t>Cornwell, Ethel F.</t>
        </is>
      </c>
      <c r="N239" t="inlineStr">
        <is>
          <t>New Brunswick, N.J., Rutgers University Press [c1962]</t>
        </is>
      </c>
      <c r="O239" t="inlineStr">
        <is>
          <t>1962</t>
        </is>
      </c>
      <c r="Q239" t="inlineStr">
        <is>
          <t>eng</t>
        </is>
      </c>
      <c r="R239" t="inlineStr">
        <is>
          <t>nju</t>
        </is>
      </c>
      <c r="T239" t="inlineStr">
        <is>
          <t xml:space="preserve">PR </t>
        </is>
      </c>
      <c r="U239" t="n">
        <v>3</v>
      </c>
      <c r="V239" t="n">
        <v>3</v>
      </c>
      <c r="W239" t="inlineStr">
        <is>
          <t>2007-05-02</t>
        </is>
      </c>
      <c r="X239" t="inlineStr">
        <is>
          <t>2007-05-02</t>
        </is>
      </c>
      <c r="Y239" t="inlineStr">
        <is>
          <t>1997-09-03</t>
        </is>
      </c>
      <c r="Z239" t="inlineStr">
        <is>
          <t>1997-09-03</t>
        </is>
      </c>
      <c r="AA239" t="n">
        <v>1046</v>
      </c>
      <c r="AB239" t="n">
        <v>932</v>
      </c>
      <c r="AC239" t="n">
        <v>936</v>
      </c>
      <c r="AD239" t="n">
        <v>7</v>
      </c>
      <c r="AE239" t="n">
        <v>7</v>
      </c>
      <c r="AF239" t="n">
        <v>43</v>
      </c>
      <c r="AG239" t="n">
        <v>43</v>
      </c>
      <c r="AH239" t="n">
        <v>17</v>
      </c>
      <c r="AI239" t="n">
        <v>17</v>
      </c>
      <c r="AJ239" t="n">
        <v>9</v>
      </c>
      <c r="AK239" t="n">
        <v>9</v>
      </c>
      <c r="AL239" t="n">
        <v>20</v>
      </c>
      <c r="AM239" t="n">
        <v>20</v>
      </c>
      <c r="AN239" t="n">
        <v>6</v>
      </c>
      <c r="AO239" t="n">
        <v>6</v>
      </c>
      <c r="AP239" t="n">
        <v>0</v>
      </c>
      <c r="AQ239" t="n">
        <v>0</v>
      </c>
      <c r="AR239" t="inlineStr">
        <is>
          <t>No</t>
        </is>
      </c>
      <c r="AS239" t="inlineStr">
        <is>
          <t>Yes</t>
        </is>
      </c>
      <c r="AT239">
        <f>HYPERLINK("http://catalog.hathitrust.org/Record/001004160","HathiTrust Record")</f>
        <v/>
      </c>
      <c r="AU239">
        <f>HYPERLINK("https://creighton-primo.hosted.exlibrisgroup.com/primo-explore/search?tab=default_tab&amp;search_scope=EVERYTHING&amp;vid=01CRU&amp;lang=en_US&amp;offset=0&amp;query=any,contains,991001765109702656","Catalog Record")</f>
        <v/>
      </c>
      <c r="AV239">
        <f>HYPERLINK("http://www.worldcat.org/oclc/236236","WorldCat Record")</f>
        <v/>
      </c>
      <c r="AW239" t="inlineStr">
        <is>
          <t>225062646:eng</t>
        </is>
      </c>
      <c r="AX239" t="inlineStr">
        <is>
          <t>236236</t>
        </is>
      </c>
      <c r="AY239" t="inlineStr">
        <is>
          <t>991001765109702656</t>
        </is>
      </c>
      <c r="AZ239" t="inlineStr">
        <is>
          <t>991001765109702656</t>
        </is>
      </c>
      <c r="BA239" t="inlineStr">
        <is>
          <t>2257667670002656</t>
        </is>
      </c>
      <c r="BB239" t="inlineStr">
        <is>
          <t>BOOK</t>
        </is>
      </c>
      <c r="BE239" t="inlineStr">
        <is>
          <t>32285003154340</t>
        </is>
      </c>
      <c r="BF239" t="inlineStr">
        <is>
          <t>893779054</t>
        </is>
      </c>
    </row>
    <row r="240">
      <c r="A240" t="inlineStr">
        <is>
          <t>No</t>
        </is>
      </c>
      <c r="B240" t="inlineStr">
        <is>
          <t>CURAL</t>
        </is>
      </c>
      <c r="C240" t="inlineStr">
        <is>
          <t>SHELVES</t>
        </is>
      </c>
      <c r="D240" t="inlineStr">
        <is>
          <t>PR161 .T7 1982</t>
        </is>
      </c>
      <c r="E240" t="inlineStr">
        <is>
          <t>0                      PR 0161000T  7           1982</t>
        </is>
      </c>
      <c r="F240" t="inlineStr">
        <is>
          <t>The literary imagination : studies in Dante, Chaucer, and Shakespeare / Derek Traversi.</t>
        </is>
      </c>
      <c r="H240" t="inlineStr">
        <is>
          <t>No</t>
        </is>
      </c>
      <c r="I240" t="inlineStr">
        <is>
          <t>1</t>
        </is>
      </c>
      <c r="J240" t="inlineStr">
        <is>
          <t>No</t>
        </is>
      </c>
      <c r="K240" t="inlineStr">
        <is>
          <t>No</t>
        </is>
      </c>
      <c r="L240" t="inlineStr">
        <is>
          <t>0</t>
        </is>
      </c>
      <c r="M240" t="inlineStr">
        <is>
          <t>Traversi, Derek, 1912-2005.</t>
        </is>
      </c>
      <c r="N240" t="inlineStr">
        <is>
          <t>Newark : University of Delaware Press ; London : Associated University Presses, c1982.</t>
        </is>
      </c>
      <c r="O240" t="inlineStr">
        <is>
          <t>1983</t>
        </is>
      </c>
      <c r="Q240" t="inlineStr">
        <is>
          <t>eng</t>
        </is>
      </c>
      <c r="R240" t="inlineStr">
        <is>
          <t>deu</t>
        </is>
      </c>
      <c r="T240" t="inlineStr">
        <is>
          <t xml:space="preserve">PR </t>
        </is>
      </c>
      <c r="U240" t="n">
        <v>4</v>
      </c>
      <c r="V240" t="n">
        <v>4</v>
      </c>
      <c r="W240" t="inlineStr">
        <is>
          <t>2000-04-16</t>
        </is>
      </c>
      <c r="X240" t="inlineStr">
        <is>
          <t>2000-04-16</t>
        </is>
      </c>
      <c r="Y240" t="inlineStr">
        <is>
          <t>1991-08-28</t>
        </is>
      </c>
      <c r="Z240" t="inlineStr">
        <is>
          <t>1991-08-28</t>
        </is>
      </c>
      <c r="AA240" t="n">
        <v>553</v>
      </c>
      <c r="AB240" t="n">
        <v>448</v>
      </c>
      <c r="AC240" t="n">
        <v>457</v>
      </c>
      <c r="AD240" t="n">
        <v>4</v>
      </c>
      <c r="AE240" t="n">
        <v>4</v>
      </c>
      <c r="AF240" t="n">
        <v>28</v>
      </c>
      <c r="AG240" t="n">
        <v>28</v>
      </c>
      <c r="AH240" t="n">
        <v>13</v>
      </c>
      <c r="AI240" t="n">
        <v>13</v>
      </c>
      <c r="AJ240" t="n">
        <v>5</v>
      </c>
      <c r="AK240" t="n">
        <v>5</v>
      </c>
      <c r="AL240" t="n">
        <v>14</v>
      </c>
      <c r="AM240" t="n">
        <v>14</v>
      </c>
      <c r="AN240" t="n">
        <v>3</v>
      </c>
      <c r="AO240" t="n">
        <v>3</v>
      </c>
      <c r="AP240" t="n">
        <v>0</v>
      </c>
      <c r="AQ240" t="n">
        <v>0</v>
      </c>
      <c r="AR240" t="inlineStr">
        <is>
          <t>No</t>
        </is>
      </c>
      <c r="AS240" t="inlineStr">
        <is>
          <t>Yes</t>
        </is>
      </c>
      <c r="AT240">
        <f>HYPERLINK("http://catalog.hathitrust.org/Record/000188868","HathiTrust Record")</f>
        <v/>
      </c>
      <c r="AU240">
        <f>HYPERLINK("https://creighton-primo.hosted.exlibrisgroup.com/primo-explore/search?tab=default_tab&amp;search_scope=EVERYTHING&amp;vid=01CRU&amp;lang=en_US&amp;offset=0&amp;query=any,contains,991005220389702656","Catalog Record")</f>
        <v/>
      </c>
      <c r="AV240">
        <f>HYPERLINK("http://www.worldcat.org/oclc/8221636","WorldCat Record")</f>
        <v/>
      </c>
      <c r="AW240" t="inlineStr">
        <is>
          <t>198626877:eng</t>
        </is>
      </c>
      <c r="AX240" t="inlineStr">
        <is>
          <t>8221636</t>
        </is>
      </c>
      <c r="AY240" t="inlineStr">
        <is>
          <t>991005220389702656</t>
        </is>
      </c>
      <c r="AZ240" t="inlineStr">
        <is>
          <t>991005220389702656</t>
        </is>
      </c>
      <c r="BA240" t="inlineStr">
        <is>
          <t>2268574480002656</t>
        </is>
      </c>
      <c r="BB240" t="inlineStr">
        <is>
          <t>BOOK</t>
        </is>
      </c>
      <c r="BD240" t="inlineStr">
        <is>
          <t>9780874131987</t>
        </is>
      </c>
      <c r="BE240" t="inlineStr">
        <is>
          <t>32285000699909</t>
        </is>
      </c>
      <c r="BF240" t="inlineStr">
        <is>
          <t>893501522</t>
        </is>
      </c>
    </row>
    <row r="241">
      <c r="A241" t="inlineStr">
        <is>
          <t>No</t>
        </is>
      </c>
      <c r="B241" t="inlineStr">
        <is>
          <t>CURAL</t>
        </is>
      </c>
      <c r="C241" t="inlineStr">
        <is>
          <t>SHELVES</t>
        </is>
      </c>
      <c r="D241" t="inlineStr">
        <is>
          <t>PR1644 .B64 1991</t>
        </is>
      </c>
      <c r="E241" t="inlineStr">
        <is>
          <t>0                      PR 1644000B  64          1991</t>
        </is>
      </c>
      <c r="F241" t="inlineStr">
        <is>
          <t>Saint and hero : Andreas and Medieval doctrine / Robert Boenig.</t>
        </is>
      </c>
      <c r="H241" t="inlineStr">
        <is>
          <t>No</t>
        </is>
      </c>
      <c r="I241" t="inlineStr">
        <is>
          <t>1</t>
        </is>
      </c>
      <c r="J241" t="inlineStr">
        <is>
          <t>No</t>
        </is>
      </c>
      <c r="K241" t="inlineStr">
        <is>
          <t>No</t>
        </is>
      </c>
      <c r="L241" t="inlineStr">
        <is>
          <t>0</t>
        </is>
      </c>
      <c r="M241" t="inlineStr">
        <is>
          <t>Boenig, Robert, 1948-</t>
        </is>
      </c>
      <c r="N241" t="inlineStr">
        <is>
          <t>Lewisburg : Bucknell University Press, 1991.</t>
        </is>
      </c>
      <c r="O241" t="inlineStr">
        <is>
          <t>1991</t>
        </is>
      </c>
      <c r="Q241" t="inlineStr">
        <is>
          <t>eng</t>
        </is>
      </c>
      <c r="R241" t="inlineStr">
        <is>
          <t>pau</t>
        </is>
      </c>
      <c r="T241" t="inlineStr">
        <is>
          <t xml:space="preserve">PR </t>
        </is>
      </c>
      <c r="U241" t="n">
        <v>2</v>
      </c>
      <c r="V241" t="n">
        <v>2</v>
      </c>
      <c r="W241" t="inlineStr">
        <is>
          <t>2005-03-15</t>
        </is>
      </c>
      <c r="X241" t="inlineStr">
        <is>
          <t>2005-03-15</t>
        </is>
      </c>
      <c r="Y241" t="inlineStr">
        <is>
          <t>1991-06-20</t>
        </is>
      </c>
      <c r="Z241" t="inlineStr">
        <is>
          <t>1991-06-20</t>
        </is>
      </c>
      <c r="AA241" t="n">
        <v>235</v>
      </c>
      <c r="AB241" t="n">
        <v>179</v>
      </c>
      <c r="AC241" t="n">
        <v>185</v>
      </c>
      <c r="AD241" t="n">
        <v>2</v>
      </c>
      <c r="AE241" t="n">
        <v>2</v>
      </c>
      <c r="AF241" t="n">
        <v>10</v>
      </c>
      <c r="AG241" t="n">
        <v>10</v>
      </c>
      <c r="AH241" t="n">
        <v>1</v>
      </c>
      <c r="AI241" t="n">
        <v>1</v>
      </c>
      <c r="AJ241" t="n">
        <v>3</v>
      </c>
      <c r="AK241" t="n">
        <v>3</v>
      </c>
      <c r="AL241" t="n">
        <v>8</v>
      </c>
      <c r="AM241" t="n">
        <v>8</v>
      </c>
      <c r="AN241" t="n">
        <v>1</v>
      </c>
      <c r="AO241" t="n">
        <v>1</v>
      </c>
      <c r="AP241" t="n">
        <v>0</v>
      </c>
      <c r="AQ241" t="n">
        <v>0</v>
      </c>
      <c r="AR241" t="inlineStr">
        <is>
          <t>No</t>
        </is>
      </c>
      <c r="AS241" t="inlineStr">
        <is>
          <t>Yes</t>
        </is>
      </c>
      <c r="AT241">
        <f>HYPERLINK("http://catalog.hathitrust.org/Record/002475374","HathiTrust Record")</f>
        <v/>
      </c>
      <c r="AU241">
        <f>HYPERLINK("https://creighton-primo.hosted.exlibrisgroup.com/primo-explore/search?tab=default_tab&amp;search_scope=EVERYTHING&amp;vid=01CRU&amp;lang=en_US&amp;offset=0&amp;query=any,contains,991001742339702656","Catalog Record")</f>
        <v/>
      </c>
      <c r="AV241">
        <f>HYPERLINK("http://www.worldcat.org/oclc/22006207","WorldCat Record")</f>
        <v/>
      </c>
      <c r="AW241" t="inlineStr">
        <is>
          <t>143998035:eng</t>
        </is>
      </c>
      <c r="AX241" t="inlineStr">
        <is>
          <t>22006207</t>
        </is>
      </c>
      <c r="AY241" t="inlineStr">
        <is>
          <t>991001742339702656</t>
        </is>
      </c>
      <c r="AZ241" t="inlineStr">
        <is>
          <t>991001742339702656</t>
        </is>
      </c>
      <c r="BA241" t="inlineStr">
        <is>
          <t>2264972500002656</t>
        </is>
      </c>
      <c r="BB241" t="inlineStr">
        <is>
          <t>BOOK</t>
        </is>
      </c>
      <c r="BD241" t="inlineStr">
        <is>
          <t>9780838751879</t>
        </is>
      </c>
      <c r="BE241" t="inlineStr">
        <is>
          <t>32285000657204</t>
        </is>
      </c>
      <c r="BF241" t="inlineStr">
        <is>
          <t>893684588</t>
        </is>
      </c>
    </row>
    <row r="242">
      <c r="A242" t="inlineStr">
        <is>
          <t>No</t>
        </is>
      </c>
      <c r="B242" t="inlineStr">
        <is>
          <t>CURAL</t>
        </is>
      </c>
      <c r="C242" t="inlineStr">
        <is>
          <t>SHELVES</t>
        </is>
      </c>
      <c r="D242" t="inlineStr">
        <is>
          <t>PR166 .B2 1922</t>
        </is>
      </c>
      <c r="E242" t="inlineStr">
        <is>
          <t>0                      PR 0166000B  2           1922</t>
        </is>
      </c>
      <c r="F242" t="inlineStr">
        <is>
          <t>An introduction to English medieval literature / by Charles Sears Baldwin.</t>
        </is>
      </c>
      <c r="H242" t="inlineStr">
        <is>
          <t>No</t>
        </is>
      </c>
      <c r="I242" t="inlineStr">
        <is>
          <t>1</t>
        </is>
      </c>
      <c r="J242" t="inlineStr">
        <is>
          <t>No</t>
        </is>
      </c>
      <c r="K242" t="inlineStr">
        <is>
          <t>No</t>
        </is>
      </c>
      <c r="L242" t="inlineStr">
        <is>
          <t>0</t>
        </is>
      </c>
      <c r="M242" t="inlineStr">
        <is>
          <t>Baldwin, Charles Sears, 1867-1935.</t>
        </is>
      </c>
      <c r="N242" t="inlineStr">
        <is>
          <t>New York : Longmans, Green, and Co., 1922.</t>
        </is>
      </c>
      <c r="O242" t="inlineStr">
        <is>
          <t>1922</t>
        </is>
      </c>
      <c r="Q242" t="inlineStr">
        <is>
          <t>eng</t>
        </is>
      </c>
      <c r="R242" t="inlineStr">
        <is>
          <t>nyu</t>
        </is>
      </c>
      <c r="T242" t="inlineStr">
        <is>
          <t xml:space="preserve">PR </t>
        </is>
      </c>
      <c r="U242" t="n">
        <v>5</v>
      </c>
      <c r="V242" t="n">
        <v>5</v>
      </c>
      <c r="W242" t="inlineStr">
        <is>
          <t>2005-04-06</t>
        </is>
      </c>
      <c r="X242" t="inlineStr">
        <is>
          <t>2005-04-06</t>
        </is>
      </c>
      <c r="Y242" t="inlineStr">
        <is>
          <t>1998-03-31</t>
        </is>
      </c>
      <c r="Z242" t="inlineStr">
        <is>
          <t>1998-03-31</t>
        </is>
      </c>
      <c r="AA242" t="n">
        <v>75</v>
      </c>
      <c r="AB242" t="n">
        <v>61</v>
      </c>
      <c r="AC242" t="n">
        <v>342</v>
      </c>
      <c r="AD242" t="n">
        <v>1</v>
      </c>
      <c r="AE242" t="n">
        <v>3</v>
      </c>
      <c r="AF242" t="n">
        <v>2</v>
      </c>
      <c r="AG242" t="n">
        <v>16</v>
      </c>
      <c r="AH242" t="n">
        <v>1</v>
      </c>
      <c r="AI242" t="n">
        <v>7</v>
      </c>
      <c r="AJ242" t="n">
        <v>1</v>
      </c>
      <c r="AK242" t="n">
        <v>5</v>
      </c>
      <c r="AL242" t="n">
        <v>2</v>
      </c>
      <c r="AM242" t="n">
        <v>8</v>
      </c>
      <c r="AN242" t="n">
        <v>0</v>
      </c>
      <c r="AO242" t="n">
        <v>2</v>
      </c>
      <c r="AP242" t="n">
        <v>0</v>
      </c>
      <c r="AQ242" t="n">
        <v>0</v>
      </c>
      <c r="AR242" t="inlineStr">
        <is>
          <t>Yes</t>
        </is>
      </c>
      <c r="AS242" t="inlineStr">
        <is>
          <t>No</t>
        </is>
      </c>
      <c r="AT242">
        <f>HYPERLINK("http://catalog.hathitrust.org/Record/011682461","HathiTrust Record")</f>
        <v/>
      </c>
      <c r="AU242">
        <f>HYPERLINK("https://creighton-primo.hosted.exlibrisgroup.com/primo-explore/search?tab=default_tab&amp;search_scope=EVERYTHING&amp;vid=01CRU&amp;lang=en_US&amp;offset=0&amp;query=any,contains,991000357329702656","Catalog Record")</f>
        <v/>
      </c>
      <c r="AV242">
        <f>HYPERLINK("http://www.worldcat.org/oclc/10345366","WorldCat Record")</f>
        <v/>
      </c>
      <c r="AW242" t="inlineStr">
        <is>
          <t>1564897:eng</t>
        </is>
      </c>
      <c r="AX242" t="inlineStr">
        <is>
          <t>10345366</t>
        </is>
      </c>
      <c r="AY242" t="inlineStr">
        <is>
          <t>991000357329702656</t>
        </is>
      </c>
      <c r="AZ242" t="inlineStr">
        <is>
          <t>991000357329702656</t>
        </is>
      </c>
      <c r="BA242" t="inlineStr">
        <is>
          <t>2260580410002656</t>
        </is>
      </c>
      <c r="BB242" t="inlineStr">
        <is>
          <t>BOOK</t>
        </is>
      </c>
      <c r="BE242" t="inlineStr">
        <is>
          <t>32285003372470</t>
        </is>
      </c>
      <c r="BF242" t="inlineStr">
        <is>
          <t>893784151</t>
        </is>
      </c>
    </row>
    <row r="243">
      <c r="A243" t="inlineStr">
        <is>
          <t>No</t>
        </is>
      </c>
      <c r="B243" t="inlineStr">
        <is>
          <t>CURAL</t>
        </is>
      </c>
      <c r="C243" t="inlineStr">
        <is>
          <t>SHELVES</t>
        </is>
      </c>
      <c r="D243" t="inlineStr">
        <is>
          <t>PR166 .M53 1987</t>
        </is>
      </c>
      <c r="E243" t="inlineStr">
        <is>
          <t>0                      PR 0166000M  53          1987</t>
        </is>
      </c>
      <c r="F243" t="inlineStr">
        <is>
          <t>The Middle Ages / edited by W.F. Bolton.</t>
        </is>
      </c>
      <c r="H243" t="inlineStr">
        <is>
          <t>No</t>
        </is>
      </c>
      <c r="I243" t="inlineStr">
        <is>
          <t>1</t>
        </is>
      </c>
      <c r="J243" t="inlineStr">
        <is>
          <t>No</t>
        </is>
      </c>
      <c r="K243" t="inlineStr">
        <is>
          <t>No</t>
        </is>
      </c>
      <c r="L243" t="inlineStr">
        <is>
          <t>0</t>
        </is>
      </c>
      <c r="N243" t="inlineStr">
        <is>
          <t>New York : P. Bedrick Books, 1987, c1986.</t>
        </is>
      </c>
      <c r="O243" t="inlineStr">
        <is>
          <t>1987</t>
        </is>
      </c>
      <c r="P243" t="inlineStr">
        <is>
          <t>1st American ed.</t>
        </is>
      </c>
      <c r="Q243" t="inlineStr">
        <is>
          <t>eng</t>
        </is>
      </c>
      <c r="R243" t="inlineStr">
        <is>
          <t>nyu</t>
        </is>
      </c>
      <c r="S243" t="inlineStr">
        <is>
          <t>The New history of literature ; 1</t>
        </is>
      </c>
      <c r="T243" t="inlineStr">
        <is>
          <t xml:space="preserve">PR </t>
        </is>
      </c>
      <c r="U243" t="n">
        <v>1</v>
      </c>
      <c r="V243" t="n">
        <v>1</v>
      </c>
      <c r="W243" t="inlineStr">
        <is>
          <t>2005-04-06</t>
        </is>
      </c>
      <c r="X243" t="inlineStr">
        <is>
          <t>2005-04-06</t>
        </is>
      </c>
      <c r="Y243" t="inlineStr">
        <is>
          <t>1991-08-28</t>
        </is>
      </c>
      <c r="Z243" t="inlineStr">
        <is>
          <t>1991-08-28</t>
        </is>
      </c>
      <c r="AA243" t="n">
        <v>317</v>
      </c>
      <c r="AB243" t="n">
        <v>305</v>
      </c>
      <c r="AC243" t="n">
        <v>317</v>
      </c>
      <c r="AD243" t="n">
        <v>3</v>
      </c>
      <c r="AE243" t="n">
        <v>3</v>
      </c>
      <c r="AF243" t="n">
        <v>10</v>
      </c>
      <c r="AG243" t="n">
        <v>10</v>
      </c>
      <c r="AH243" t="n">
        <v>4</v>
      </c>
      <c r="AI243" t="n">
        <v>4</v>
      </c>
      <c r="AJ243" t="n">
        <v>1</v>
      </c>
      <c r="AK243" t="n">
        <v>1</v>
      </c>
      <c r="AL243" t="n">
        <v>6</v>
      </c>
      <c r="AM243" t="n">
        <v>6</v>
      </c>
      <c r="AN243" t="n">
        <v>2</v>
      </c>
      <c r="AO243" t="n">
        <v>2</v>
      </c>
      <c r="AP243" t="n">
        <v>0</v>
      </c>
      <c r="AQ243" t="n">
        <v>0</v>
      </c>
      <c r="AR243" t="inlineStr">
        <is>
          <t>No</t>
        </is>
      </c>
      <c r="AS243" t="inlineStr">
        <is>
          <t>No</t>
        </is>
      </c>
      <c r="AU243">
        <f>HYPERLINK("https://creighton-primo.hosted.exlibrisgroup.com/primo-explore/search?tab=default_tab&amp;search_scope=EVERYTHING&amp;vid=01CRU&amp;lang=en_US&amp;offset=0&amp;query=any,contains,991000863249702656","Catalog Record")</f>
        <v/>
      </c>
      <c r="AV243">
        <f>HYPERLINK("http://www.worldcat.org/oclc/13701446","WorldCat Record")</f>
        <v/>
      </c>
      <c r="AW243" t="inlineStr">
        <is>
          <t>9621689300:eng</t>
        </is>
      </c>
      <c r="AX243" t="inlineStr">
        <is>
          <t>13701446</t>
        </is>
      </c>
      <c r="AY243" t="inlineStr">
        <is>
          <t>991000863249702656</t>
        </is>
      </c>
      <c r="AZ243" t="inlineStr">
        <is>
          <t>991000863249702656</t>
        </is>
      </c>
      <c r="BA243" t="inlineStr">
        <is>
          <t>2264010430002656</t>
        </is>
      </c>
      <c r="BB243" t="inlineStr">
        <is>
          <t>BOOK</t>
        </is>
      </c>
      <c r="BD243" t="inlineStr">
        <is>
          <t>9780872261259</t>
        </is>
      </c>
      <c r="BE243" t="inlineStr">
        <is>
          <t>32285000699917</t>
        </is>
      </c>
      <c r="BF243" t="inlineStr">
        <is>
          <t>893891092</t>
        </is>
      </c>
    </row>
    <row r="244">
      <c r="A244" t="inlineStr">
        <is>
          <t>No</t>
        </is>
      </c>
      <c r="B244" t="inlineStr">
        <is>
          <t>CURAL</t>
        </is>
      </c>
      <c r="C244" t="inlineStr">
        <is>
          <t>SHELVES</t>
        </is>
      </c>
      <c r="D244" t="inlineStr">
        <is>
          <t>PR166 .S54 1990</t>
        </is>
      </c>
      <c r="E244" t="inlineStr">
        <is>
          <t>0                      PR 0166000S  54          1990</t>
        </is>
      </c>
      <c r="F244" t="inlineStr">
        <is>
          <t>Poets and prophets : essays in medieval studies / by G.T. Shepherd ; edited by T.A. Shippey and John Pickles.</t>
        </is>
      </c>
      <c r="H244" t="inlineStr">
        <is>
          <t>No</t>
        </is>
      </c>
      <c r="I244" t="inlineStr">
        <is>
          <t>1</t>
        </is>
      </c>
      <c r="J244" t="inlineStr">
        <is>
          <t>No</t>
        </is>
      </c>
      <c r="K244" t="inlineStr">
        <is>
          <t>No</t>
        </is>
      </c>
      <c r="L244" t="inlineStr">
        <is>
          <t>0</t>
        </is>
      </c>
      <c r="M244" t="inlineStr">
        <is>
          <t>Shepherd, Geoffrey, 1918-1982.</t>
        </is>
      </c>
      <c r="N244" t="inlineStr">
        <is>
          <t>Cambridge : D.S. Brewer ; Rochester, NY, USA : Boydell &amp; Brewer, 1990.</t>
        </is>
      </c>
      <c r="O244" t="inlineStr">
        <is>
          <t>1990</t>
        </is>
      </c>
      <c r="Q244" t="inlineStr">
        <is>
          <t>eng</t>
        </is>
      </c>
      <c r="R244" t="inlineStr">
        <is>
          <t>enk</t>
        </is>
      </c>
      <c r="T244" t="inlineStr">
        <is>
          <t xml:space="preserve">PR </t>
        </is>
      </c>
      <c r="U244" t="n">
        <v>2</v>
      </c>
      <c r="V244" t="n">
        <v>2</v>
      </c>
      <c r="W244" t="inlineStr">
        <is>
          <t>1997-03-17</t>
        </is>
      </c>
      <c r="X244" t="inlineStr">
        <is>
          <t>1997-03-17</t>
        </is>
      </c>
      <c r="Y244" t="inlineStr">
        <is>
          <t>1991-04-05</t>
        </is>
      </c>
      <c r="Z244" t="inlineStr">
        <is>
          <t>1991-04-05</t>
        </is>
      </c>
      <c r="AA244" t="n">
        <v>213</v>
      </c>
      <c r="AB244" t="n">
        <v>131</v>
      </c>
      <c r="AC244" t="n">
        <v>131</v>
      </c>
      <c r="AD244" t="n">
        <v>2</v>
      </c>
      <c r="AE244" t="n">
        <v>2</v>
      </c>
      <c r="AF244" t="n">
        <v>8</v>
      </c>
      <c r="AG244" t="n">
        <v>8</v>
      </c>
      <c r="AH244" t="n">
        <v>1</v>
      </c>
      <c r="AI244" t="n">
        <v>1</v>
      </c>
      <c r="AJ244" t="n">
        <v>2</v>
      </c>
      <c r="AK244" t="n">
        <v>2</v>
      </c>
      <c r="AL244" t="n">
        <v>6</v>
      </c>
      <c r="AM244" t="n">
        <v>6</v>
      </c>
      <c r="AN244" t="n">
        <v>1</v>
      </c>
      <c r="AO244" t="n">
        <v>1</v>
      </c>
      <c r="AP244" t="n">
        <v>0</v>
      </c>
      <c r="AQ244" t="n">
        <v>0</v>
      </c>
      <c r="AR244" t="inlineStr">
        <is>
          <t>No</t>
        </is>
      </c>
      <c r="AS244" t="inlineStr">
        <is>
          <t>No</t>
        </is>
      </c>
      <c r="AU244">
        <f>HYPERLINK("https://creighton-primo.hosted.exlibrisgroup.com/primo-explore/search?tab=default_tab&amp;search_scope=EVERYTHING&amp;vid=01CRU&amp;lang=en_US&amp;offset=0&amp;query=any,contains,991001688929702656","Catalog Record")</f>
        <v/>
      </c>
      <c r="AV244">
        <f>HYPERLINK("http://www.worldcat.org/oclc/21412644","WorldCat Record")</f>
        <v/>
      </c>
      <c r="AW244" t="inlineStr">
        <is>
          <t>792056768:eng</t>
        </is>
      </c>
      <c r="AX244" t="inlineStr">
        <is>
          <t>21412644</t>
        </is>
      </c>
      <c r="AY244" t="inlineStr">
        <is>
          <t>991001688929702656</t>
        </is>
      </c>
      <c r="AZ244" t="inlineStr">
        <is>
          <t>991001688929702656</t>
        </is>
      </c>
      <c r="BA244" t="inlineStr">
        <is>
          <t>2257210670002656</t>
        </is>
      </c>
      <c r="BB244" t="inlineStr">
        <is>
          <t>BOOK</t>
        </is>
      </c>
      <c r="BD244" t="inlineStr">
        <is>
          <t>9780859912891</t>
        </is>
      </c>
      <c r="BE244" t="inlineStr">
        <is>
          <t>32285000565894</t>
        </is>
      </c>
      <c r="BF244" t="inlineStr">
        <is>
          <t>893891746</t>
        </is>
      </c>
    </row>
    <row r="245">
      <c r="A245" t="inlineStr">
        <is>
          <t>No</t>
        </is>
      </c>
      <c r="B245" t="inlineStr">
        <is>
          <t>CURAL</t>
        </is>
      </c>
      <c r="C245" t="inlineStr">
        <is>
          <t>SHELVES</t>
        </is>
      </c>
      <c r="D245" t="inlineStr">
        <is>
          <t>PR166 .S96 1987</t>
        </is>
      </c>
      <c r="E245" t="inlineStr">
        <is>
          <t>0                      PR 0166000S  96          1987</t>
        </is>
      </c>
      <c r="F245" t="inlineStr">
        <is>
          <t>English literature before Chaucer / Michael Swanton.</t>
        </is>
      </c>
      <c r="H245" t="inlineStr">
        <is>
          <t>No</t>
        </is>
      </c>
      <c r="I245" t="inlineStr">
        <is>
          <t>1</t>
        </is>
      </c>
      <c r="J245" t="inlineStr">
        <is>
          <t>No</t>
        </is>
      </c>
      <c r="K245" t="inlineStr">
        <is>
          <t>No</t>
        </is>
      </c>
      <c r="L245" t="inlineStr">
        <is>
          <t>0</t>
        </is>
      </c>
      <c r="M245" t="inlineStr">
        <is>
          <t>Swanton, Michael, 1939-</t>
        </is>
      </c>
      <c r="N245" t="inlineStr">
        <is>
          <t>London ; New York : Longman, c1987.</t>
        </is>
      </c>
      <c r="O245" t="inlineStr">
        <is>
          <t>1986</t>
        </is>
      </c>
      <c r="Q245" t="inlineStr">
        <is>
          <t>eng</t>
        </is>
      </c>
      <c r="R245" t="inlineStr">
        <is>
          <t>enk</t>
        </is>
      </c>
      <c r="S245" t="inlineStr">
        <is>
          <t>Longman literature in English series</t>
        </is>
      </c>
      <c r="T245" t="inlineStr">
        <is>
          <t xml:space="preserve">PR </t>
        </is>
      </c>
      <c r="U245" t="n">
        <v>2</v>
      </c>
      <c r="V245" t="n">
        <v>2</v>
      </c>
      <c r="W245" t="inlineStr">
        <is>
          <t>1998-01-16</t>
        </is>
      </c>
      <c r="X245" t="inlineStr">
        <is>
          <t>1998-01-16</t>
        </is>
      </c>
      <c r="Y245" t="inlineStr">
        <is>
          <t>1991-08-28</t>
        </is>
      </c>
      <c r="Z245" t="inlineStr">
        <is>
          <t>1991-08-28</t>
        </is>
      </c>
      <c r="AA245" t="n">
        <v>535</v>
      </c>
      <c r="AB245" t="n">
        <v>355</v>
      </c>
      <c r="AC245" t="n">
        <v>366</v>
      </c>
      <c r="AD245" t="n">
        <v>4</v>
      </c>
      <c r="AE245" t="n">
        <v>4</v>
      </c>
      <c r="AF245" t="n">
        <v>18</v>
      </c>
      <c r="AG245" t="n">
        <v>19</v>
      </c>
      <c r="AH245" t="n">
        <v>6</v>
      </c>
      <c r="AI245" t="n">
        <v>7</v>
      </c>
      <c r="AJ245" t="n">
        <v>4</v>
      </c>
      <c r="AK245" t="n">
        <v>4</v>
      </c>
      <c r="AL245" t="n">
        <v>10</v>
      </c>
      <c r="AM245" t="n">
        <v>10</v>
      </c>
      <c r="AN245" t="n">
        <v>3</v>
      </c>
      <c r="AO245" t="n">
        <v>3</v>
      </c>
      <c r="AP245" t="n">
        <v>0</v>
      </c>
      <c r="AQ245" t="n">
        <v>0</v>
      </c>
      <c r="AR245" t="inlineStr">
        <is>
          <t>No</t>
        </is>
      </c>
      <c r="AS245" t="inlineStr">
        <is>
          <t>Yes</t>
        </is>
      </c>
      <c r="AT245">
        <f>HYPERLINK("http://catalog.hathitrust.org/Record/000836671","HathiTrust Record")</f>
        <v/>
      </c>
      <c r="AU245">
        <f>HYPERLINK("https://creighton-primo.hosted.exlibrisgroup.com/primo-explore/search?tab=default_tab&amp;search_scope=EVERYTHING&amp;vid=01CRU&amp;lang=en_US&amp;offset=0&amp;query=any,contains,991000740009702656","Catalog Record")</f>
        <v/>
      </c>
      <c r="AV245">
        <f>HYPERLINK("http://www.worldcat.org/oclc/12806614","WorldCat Record")</f>
        <v/>
      </c>
      <c r="AW245" t="inlineStr">
        <is>
          <t>5407309:eng</t>
        </is>
      </c>
      <c r="AX245" t="inlineStr">
        <is>
          <t>12806614</t>
        </is>
      </c>
      <c r="AY245" t="inlineStr">
        <is>
          <t>991000740009702656</t>
        </is>
      </c>
      <c r="AZ245" t="inlineStr">
        <is>
          <t>991000740009702656</t>
        </is>
      </c>
      <c r="BA245" t="inlineStr">
        <is>
          <t>2256265290002656</t>
        </is>
      </c>
      <c r="BB245" t="inlineStr">
        <is>
          <t>BOOK</t>
        </is>
      </c>
      <c r="BD245" t="inlineStr">
        <is>
          <t>9780582492424</t>
        </is>
      </c>
      <c r="BE245" t="inlineStr">
        <is>
          <t>32285000699925</t>
        </is>
      </c>
      <c r="BF245" t="inlineStr">
        <is>
          <t>893778194</t>
        </is>
      </c>
    </row>
    <row r="246">
      <c r="A246" t="inlineStr">
        <is>
          <t>No</t>
        </is>
      </c>
      <c r="B246" t="inlineStr">
        <is>
          <t>CURAL</t>
        </is>
      </c>
      <c r="C246" t="inlineStr">
        <is>
          <t>SHELVES</t>
        </is>
      </c>
      <c r="D246" t="inlineStr">
        <is>
          <t>PR166 .W6 1986</t>
        </is>
      </c>
      <c r="E246" t="inlineStr">
        <is>
          <t>0                      PR 0166000W  6           1986</t>
        </is>
      </c>
      <c r="F246" t="inlineStr">
        <is>
          <t>Art and doctrine : essays on medieval literature / Rosemary Woolf ; edited by Heather O'Donoghue.</t>
        </is>
      </c>
      <c r="H246" t="inlineStr">
        <is>
          <t>No</t>
        </is>
      </c>
      <c r="I246" t="inlineStr">
        <is>
          <t>1</t>
        </is>
      </c>
      <c r="J246" t="inlineStr">
        <is>
          <t>No</t>
        </is>
      </c>
      <c r="K246" t="inlineStr">
        <is>
          <t>No</t>
        </is>
      </c>
      <c r="L246" t="inlineStr">
        <is>
          <t>0</t>
        </is>
      </c>
      <c r="M246" t="inlineStr">
        <is>
          <t>Woolf, Rosemary.</t>
        </is>
      </c>
      <c r="N246" t="inlineStr">
        <is>
          <t>London ; Ronceverte, W.Va. : Hambledon Press, 1986.</t>
        </is>
      </c>
      <c r="O246" t="inlineStr">
        <is>
          <t>1986</t>
        </is>
      </c>
      <c r="Q246" t="inlineStr">
        <is>
          <t>eng</t>
        </is>
      </c>
      <c r="R246" t="inlineStr">
        <is>
          <t>enk</t>
        </is>
      </c>
      <c r="T246" t="inlineStr">
        <is>
          <t xml:space="preserve">PR </t>
        </is>
      </c>
      <c r="U246" t="n">
        <v>5</v>
      </c>
      <c r="V246" t="n">
        <v>5</v>
      </c>
      <c r="W246" t="inlineStr">
        <is>
          <t>2000-04-16</t>
        </is>
      </c>
      <c r="X246" t="inlineStr">
        <is>
          <t>2000-04-16</t>
        </is>
      </c>
      <c r="Y246" t="inlineStr">
        <is>
          <t>1991-08-28</t>
        </is>
      </c>
      <c r="Z246" t="inlineStr">
        <is>
          <t>1991-08-28</t>
        </is>
      </c>
      <c r="AA246" t="n">
        <v>330</v>
      </c>
      <c r="AB246" t="n">
        <v>212</v>
      </c>
      <c r="AC246" t="n">
        <v>214</v>
      </c>
      <c r="AD246" t="n">
        <v>3</v>
      </c>
      <c r="AE246" t="n">
        <v>3</v>
      </c>
      <c r="AF246" t="n">
        <v>14</v>
      </c>
      <c r="AG246" t="n">
        <v>14</v>
      </c>
      <c r="AH246" t="n">
        <v>6</v>
      </c>
      <c r="AI246" t="n">
        <v>6</v>
      </c>
      <c r="AJ246" t="n">
        <v>3</v>
      </c>
      <c r="AK246" t="n">
        <v>3</v>
      </c>
      <c r="AL246" t="n">
        <v>9</v>
      </c>
      <c r="AM246" t="n">
        <v>9</v>
      </c>
      <c r="AN246" t="n">
        <v>2</v>
      </c>
      <c r="AO246" t="n">
        <v>2</v>
      </c>
      <c r="AP246" t="n">
        <v>0</v>
      </c>
      <c r="AQ246" t="n">
        <v>0</v>
      </c>
      <c r="AR246" t="inlineStr">
        <is>
          <t>No</t>
        </is>
      </c>
      <c r="AS246" t="inlineStr">
        <is>
          <t>Yes</t>
        </is>
      </c>
      <c r="AT246">
        <f>HYPERLINK("http://catalog.hathitrust.org/Record/000816866","HathiTrust Record")</f>
        <v/>
      </c>
      <c r="AU246">
        <f>HYPERLINK("https://creighton-primo.hosted.exlibrisgroup.com/primo-explore/search?tab=default_tab&amp;search_scope=EVERYTHING&amp;vid=01CRU&amp;lang=en_US&amp;offset=0&amp;query=any,contains,991000767519702656","Catalog Record")</f>
        <v/>
      </c>
      <c r="AV246">
        <f>HYPERLINK("http://www.worldcat.org/oclc/13005163","WorldCat Record")</f>
        <v/>
      </c>
      <c r="AW246" t="inlineStr">
        <is>
          <t>346197167:eng</t>
        </is>
      </c>
      <c r="AX246" t="inlineStr">
        <is>
          <t>13005163</t>
        </is>
      </c>
      <c r="AY246" t="inlineStr">
        <is>
          <t>991000767519702656</t>
        </is>
      </c>
      <c r="AZ246" t="inlineStr">
        <is>
          <t>991000767519702656</t>
        </is>
      </c>
      <c r="BA246" t="inlineStr">
        <is>
          <t>2264914660002656</t>
        </is>
      </c>
      <c r="BB246" t="inlineStr">
        <is>
          <t>BOOK</t>
        </is>
      </c>
      <c r="BD246" t="inlineStr">
        <is>
          <t>9780907628538</t>
        </is>
      </c>
      <c r="BE246" t="inlineStr">
        <is>
          <t>32285000699933</t>
        </is>
      </c>
      <c r="BF246" t="inlineStr">
        <is>
          <t>893321325</t>
        </is>
      </c>
    </row>
    <row r="247">
      <c r="A247" t="inlineStr">
        <is>
          <t>No</t>
        </is>
      </c>
      <c r="B247" t="inlineStr">
        <is>
          <t>CURAL</t>
        </is>
      </c>
      <c r="C247" t="inlineStr">
        <is>
          <t>SHELVES</t>
        </is>
      </c>
      <c r="D247" t="inlineStr">
        <is>
          <t>PR171 .G58 2001</t>
        </is>
      </c>
      <c r="E247" t="inlineStr">
        <is>
          <t>0                      PR 0171000G  58          2001</t>
        </is>
      </c>
      <c r="F247" t="inlineStr">
        <is>
          <t>Handlist of Anglo-Saxon manuscripts : a list of manuscripts and manuscript fragments written or owned in England up to 1100 / by Helmut Gneuss.</t>
        </is>
      </c>
      <c r="H247" t="inlineStr">
        <is>
          <t>No</t>
        </is>
      </c>
      <c r="I247" t="inlineStr">
        <is>
          <t>1</t>
        </is>
      </c>
      <c r="J247" t="inlineStr">
        <is>
          <t>No</t>
        </is>
      </c>
      <c r="K247" t="inlineStr">
        <is>
          <t>No</t>
        </is>
      </c>
      <c r="L247" t="inlineStr">
        <is>
          <t>0</t>
        </is>
      </c>
      <c r="M247" t="inlineStr">
        <is>
          <t>Gneuss, Helmut.</t>
        </is>
      </c>
      <c r="N247" t="inlineStr">
        <is>
          <t>Tempe, Ariz. : Arizona Center for Medieval and Renaissance Studies, 2001.</t>
        </is>
      </c>
      <c r="O247" t="inlineStr">
        <is>
          <t>2001</t>
        </is>
      </c>
      <c r="Q247" t="inlineStr">
        <is>
          <t>eng</t>
        </is>
      </c>
      <c r="R247" t="inlineStr">
        <is>
          <t>azu</t>
        </is>
      </c>
      <c r="S247" t="inlineStr">
        <is>
          <t>Medieval and Renaissance texts and studies ; v. 241</t>
        </is>
      </c>
      <c r="T247" t="inlineStr">
        <is>
          <t xml:space="preserve">PR </t>
        </is>
      </c>
      <c r="U247" t="n">
        <v>1</v>
      </c>
      <c r="V247" t="n">
        <v>1</v>
      </c>
      <c r="W247" t="inlineStr">
        <is>
          <t>2003-12-17</t>
        </is>
      </c>
      <c r="X247" t="inlineStr">
        <is>
          <t>2003-12-17</t>
        </is>
      </c>
      <c r="Y247" t="inlineStr">
        <is>
          <t>2003-12-17</t>
        </is>
      </c>
      <c r="Z247" t="inlineStr">
        <is>
          <t>2003-12-17</t>
        </is>
      </c>
      <c r="AA247" t="n">
        <v>187</v>
      </c>
      <c r="AB247" t="n">
        <v>124</v>
      </c>
      <c r="AC247" t="n">
        <v>124</v>
      </c>
      <c r="AD247" t="n">
        <v>1</v>
      </c>
      <c r="AE247" t="n">
        <v>1</v>
      </c>
      <c r="AF247" t="n">
        <v>9</v>
      </c>
      <c r="AG247" t="n">
        <v>9</v>
      </c>
      <c r="AH247" t="n">
        <v>1</v>
      </c>
      <c r="AI247" t="n">
        <v>1</v>
      </c>
      <c r="AJ247" t="n">
        <v>5</v>
      </c>
      <c r="AK247" t="n">
        <v>5</v>
      </c>
      <c r="AL247" t="n">
        <v>5</v>
      </c>
      <c r="AM247" t="n">
        <v>5</v>
      </c>
      <c r="AN247" t="n">
        <v>0</v>
      </c>
      <c r="AO247" t="n">
        <v>0</v>
      </c>
      <c r="AP247" t="n">
        <v>0</v>
      </c>
      <c r="AQ247" t="n">
        <v>0</v>
      </c>
      <c r="AR247" t="inlineStr">
        <is>
          <t>No</t>
        </is>
      </c>
      <c r="AS247" t="inlineStr">
        <is>
          <t>No</t>
        </is>
      </c>
      <c r="AU247">
        <f>HYPERLINK("https://creighton-primo.hosted.exlibrisgroup.com/primo-explore/search?tab=default_tab&amp;search_scope=EVERYTHING&amp;vid=01CRU&amp;lang=en_US&amp;offset=0&amp;query=any,contains,991004152899702656","Catalog Record")</f>
        <v/>
      </c>
      <c r="AV247">
        <f>HYPERLINK("http://www.worldcat.org/oclc/47815218","WorldCat Record")</f>
        <v/>
      </c>
      <c r="AW247" t="inlineStr">
        <is>
          <t>366871709:eng</t>
        </is>
      </c>
      <c r="AX247" t="inlineStr">
        <is>
          <t>47815218</t>
        </is>
      </c>
      <c r="AY247" t="inlineStr">
        <is>
          <t>991004152899702656</t>
        </is>
      </c>
      <c r="AZ247" t="inlineStr">
        <is>
          <t>991004152899702656</t>
        </is>
      </c>
      <c r="BA247" t="inlineStr">
        <is>
          <t>2269131490002656</t>
        </is>
      </c>
      <c r="BB247" t="inlineStr">
        <is>
          <t>BOOK</t>
        </is>
      </c>
      <c r="BD247" t="inlineStr">
        <is>
          <t>9780866982832</t>
        </is>
      </c>
      <c r="BE247" t="inlineStr">
        <is>
          <t>32285004846373</t>
        </is>
      </c>
      <c r="BF247" t="inlineStr">
        <is>
          <t>893718551</t>
        </is>
      </c>
    </row>
    <row r="248">
      <c r="A248" t="inlineStr">
        <is>
          <t>No</t>
        </is>
      </c>
      <c r="B248" t="inlineStr">
        <is>
          <t>CURAL</t>
        </is>
      </c>
      <c r="C248" t="inlineStr">
        <is>
          <t>SHELVES</t>
        </is>
      </c>
      <c r="D248" t="inlineStr">
        <is>
          <t>PR1722 .A17 1979</t>
        </is>
      </c>
      <c r="E248" t="inlineStr">
        <is>
          <t>0                      PR 1722000A  17          1979</t>
        </is>
      </c>
      <c r="F248" t="inlineStr">
        <is>
          <t>The Guthlac poems of the Exeter book / edited with an introd. and commentary by Jane Roberts.</t>
        </is>
      </c>
      <c r="H248" t="inlineStr">
        <is>
          <t>No</t>
        </is>
      </c>
      <c r="I248" t="inlineStr">
        <is>
          <t>1</t>
        </is>
      </c>
      <c r="J248" t="inlineStr">
        <is>
          <t>No</t>
        </is>
      </c>
      <c r="K248" t="inlineStr">
        <is>
          <t>No</t>
        </is>
      </c>
      <c r="L248" t="inlineStr">
        <is>
          <t>0</t>
        </is>
      </c>
      <c r="M248" t="inlineStr">
        <is>
          <t>Exeter book.</t>
        </is>
      </c>
      <c r="N248" t="inlineStr">
        <is>
          <t>Oxford : Clarendon Press ; New York : Oxford University Press, 1979.</t>
        </is>
      </c>
      <c r="O248" t="inlineStr">
        <is>
          <t>1979</t>
        </is>
      </c>
      <c r="Q248" t="inlineStr">
        <is>
          <t>eng</t>
        </is>
      </c>
      <c r="R248" t="inlineStr">
        <is>
          <t>enk</t>
        </is>
      </c>
      <c r="T248" t="inlineStr">
        <is>
          <t xml:space="preserve">PR </t>
        </is>
      </c>
      <c r="U248" t="n">
        <v>1</v>
      </c>
      <c r="V248" t="n">
        <v>1</v>
      </c>
      <c r="W248" t="inlineStr">
        <is>
          <t>2001-06-26</t>
        </is>
      </c>
      <c r="X248" t="inlineStr">
        <is>
          <t>2001-06-26</t>
        </is>
      </c>
      <c r="Y248" t="inlineStr">
        <is>
          <t>1991-09-26</t>
        </is>
      </c>
      <c r="Z248" t="inlineStr">
        <is>
          <t>1991-09-26</t>
        </is>
      </c>
      <c r="AA248" t="n">
        <v>332</v>
      </c>
      <c r="AB248" t="n">
        <v>252</v>
      </c>
      <c r="AC248" t="n">
        <v>256</v>
      </c>
      <c r="AD248" t="n">
        <v>3</v>
      </c>
      <c r="AE248" t="n">
        <v>3</v>
      </c>
      <c r="AF248" t="n">
        <v>12</v>
      </c>
      <c r="AG248" t="n">
        <v>12</v>
      </c>
      <c r="AH248" t="n">
        <v>3</v>
      </c>
      <c r="AI248" t="n">
        <v>3</v>
      </c>
      <c r="AJ248" t="n">
        <v>4</v>
      </c>
      <c r="AK248" t="n">
        <v>4</v>
      </c>
      <c r="AL248" t="n">
        <v>9</v>
      </c>
      <c r="AM248" t="n">
        <v>9</v>
      </c>
      <c r="AN248" t="n">
        <v>2</v>
      </c>
      <c r="AO248" t="n">
        <v>2</v>
      </c>
      <c r="AP248" t="n">
        <v>0</v>
      </c>
      <c r="AQ248" t="n">
        <v>0</v>
      </c>
      <c r="AR248" t="inlineStr">
        <is>
          <t>No</t>
        </is>
      </c>
      <c r="AS248" t="inlineStr">
        <is>
          <t>Yes</t>
        </is>
      </c>
      <c r="AT248">
        <f>HYPERLINK("http://catalog.hathitrust.org/Record/000027570","HathiTrust Record")</f>
        <v/>
      </c>
      <c r="AU248">
        <f>HYPERLINK("https://creighton-primo.hosted.exlibrisgroup.com/primo-explore/search?tab=default_tab&amp;search_scope=EVERYTHING&amp;vid=01CRU&amp;lang=en_US&amp;offset=0&amp;query=any,contains,991004775009702656","Catalog Record")</f>
        <v/>
      </c>
      <c r="AV248">
        <f>HYPERLINK("http://www.worldcat.org/oclc/5100954","WorldCat Record")</f>
        <v/>
      </c>
      <c r="AW248" t="inlineStr">
        <is>
          <t>1219582893:eng</t>
        </is>
      </c>
      <c r="AX248" t="inlineStr">
        <is>
          <t>5100954</t>
        </is>
      </c>
      <c r="AY248" t="inlineStr">
        <is>
          <t>991004775009702656</t>
        </is>
      </c>
      <c r="AZ248" t="inlineStr">
        <is>
          <t>991004775009702656</t>
        </is>
      </c>
      <c r="BA248" t="inlineStr">
        <is>
          <t>2256110380002656</t>
        </is>
      </c>
      <c r="BB248" t="inlineStr">
        <is>
          <t>BOOK</t>
        </is>
      </c>
      <c r="BD248" t="inlineStr">
        <is>
          <t>9780198124627</t>
        </is>
      </c>
      <c r="BE248" t="inlineStr">
        <is>
          <t>32285000762657</t>
        </is>
      </c>
      <c r="BF248" t="inlineStr">
        <is>
          <t>893776422</t>
        </is>
      </c>
    </row>
    <row r="249">
      <c r="A249" t="inlineStr">
        <is>
          <t>No</t>
        </is>
      </c>
      <c r="B249" t="inlineStr">
        <is>
          <t>CURAL</t>
        </is>
      </c>
      <c r="C249" t="inlineStr">
        <is>
          <t>SHELVES</t>
        </is>
      </c>
      <c r="D249" t="inlineStr">
        <is>
          <t>PR173 .A427 2002</t>
        </is>
      </c>
      <c r="E249" t="inlineStr">
        <is>
          <t>0                      PR 0173000A  427         2002</t>
        </is>
      </c>
      <c r="F249" t="inlineStr">
        <is>
          <t>A history of Old English literature / Michael Alexander.</t>
        </is>
      </c>
      <c r="H249" t="inlineStr">
        <is>
          <t>No</t>
        </is>
      </c>
      <c r="I249" t="inlineStr">
        <is>
          <t>1</t>
        </is>
      </c>
      <c r="J249" t="inlineStr">
        <is>
          <t>No</t>
        </is>
      </c>
      <c r="K249" t="inlineStr">
        <is>
          <t>No</t>
        </is>
      </c>
      <c r="L249" t="inlineStr">
        <is>
          <t>0</t>
        </is>
      </c>
      <c r="M249" t="inlineStr">
        <is>
          <t>Alexander, Michael, 1941-</t>
        </is>
      </c>
      <c r="N249" t="inlineStr">
        <is>
          <t>Peterborough, Ont. : Broadview Press, c2002.</t>
        </is>
      </c>
      <c r="O249" t="inlineStr">
        <is>
          <t>2002</t>
        </is>
      </c>
      <c r="Q249" t="inlineStr">
        <is>
          <t>eng</t>
        </is>
      </c>
      <c r="R249" t="inlineStr">
        <is>
          <t>onc</t>
        </is>
      </c>
      <c r="T249" t="inlineStr">
        <is>
          <t xml:space="preserve">PR </t>
        </is>
      </c>
      <c r="U249" t="n">
        <v>6</v>
      </c>
      <c r="V249" t="n">
        <v>6</v>
      </c>
      <c r="W249" t="inlineStr">
        <is>
          <t>2009-04-01</t>
        </is>
      </c>
      <c r="X249" t="inlineStr">
        <is>
          <t>2009-04-01</t>
        </is>
      </c>
      <c r="Y249" t="inlineStr">
        <is>
          <t>2003-10-15</t>
        </is>
      </c>
      <c r="Z249" t="inlineStr">
        <is>
          <t>2003-10-15</t>
        </is>
      </c>
      <c r="AA249" t="n">
        <v>160</v>
      </c>
      <c r="AB249" t="n">
        <v>99</v>
      </c>
      <c r="AC249" t="n">
        <v>145</v>
      </c>
      <c r="AD249" t="n">
        <v>1</v>
      </c>
      <c r="AE249" t="n">
        <v>3</v>
      </c>
      <c r="AF249" t="n">
        <v>4</v>
      </c>
      <c r="AG249" t="n">
        <v>7</v>
      </c>
      <c r="AH249" t="n">
        <v>1</v>
      </c>
      <c r="AI249" t="n">
        <v>2</v>
      </c>
      <c r="AJ249" t="n">
        <v>2</v>
      </c>
      <c r="AK249" t="n">
        <v>3</v>
      </c>
      <c r="AL249" t="n">
        <v>1</v>
      </c>
      <c r="AM249" t="n">
        <v>1</v>
      </c>
      <c r="AN249" t="n">
        <v>0</v>
      </c>
      <c r="AO249" t="n">
        <v>2</v>
      </c>
      <c r="AP249" t="n">
        <v>0</v>
      </c>
      <c r="AQ249" t="n">
        <v>0</v>
      </c>
      <c r="AR249" t="inlineStr">
        <is>
          <t>No</t>
        </is>
      </c>
      <c r="AS249" t="inlineStr">
        <is>
          <t>Yes</t>
        </is>
      </c>
      <c r="AT249">
        <f>HYPERLINK("http://catalog.hathitrust.org/Record/004277936","HathiTrust Record")</f>
        <v/>
      </c>
      <c r="AU249">
        <f>HYPERLINK("https://creighton-primo.hosted.exlibrisgroup.com/primo-explore/search?tab=default_tab&amp;search_scope=EVERYTHING&amp;vid=01CRU&amp;lang=en_US&amp;offset=0&amp;query=any,contains,991004153199702656","Catalog Record")</f>
        <v/>
      </c>
      <c r="AV249">
        <f>HYPERLINK("http://www.worldcat.org/oclc/50478739","WorldCat Record")</f>
        <v/>
      </c>
      <c r="AW249" t="inlineStr">
        <is>
          <t>3856765428:eng</t>
        </is>
      </c>
      <c r="AX249" t="inlineStr">
        <is>
          <t>50478739</t>
        </is>
      </c>
      <c r="AY249" t="inlineStr">
        <is>
          <t>991004153199702656</t>
        </is>
      </c>
      <c r="AZ249" t="inlineStr">
        <is>
          <t>991004153199702656</t>
        </is>
      </c>
      <c r="BA249" t="inlineStr">
        <is>
          <t>2258700830002656</t>
        </is>
      </c>
      <c r="BB249" t="inlineStr">
        <is>
          <t>BOOK</t>
        </is>
      </c>
      <c r="BD249" t="inlineStr">
        <is>
          <t>9781551113227</t>
        </is>
      </c>
      <c r="BE249" t="inlineStr">
        <is>
          <t>32285004788906</t>
        </is>
      </c>
      <c r="BF249" t="inlineStr">
        <is>
          <t>893624410</t>
        </is>
      </c>
    </row>
    <row r="250">
      <c r="A250" t="inlineStr">
        <is>
          <t>No</t>
        </is>
      </c>
      <c r="B250" t="inlineStr">
        <is>
          <t>CURAL</t>
        </is>
      </c>
      <c r="C250" t="inlineStr">
        <is>
          <t>SHELVES</t>
        </is>
      </c>
      <c r="D250" t="inlineStr">
        <is>
          <t>PR173 .A43 1983</t>
        </is>
      </c>
      <c r="E250" t="inlineStr">
        <is>
          <t>0                      PR 0173000A  43          1983</t>
        </is>
      </c>
      <c r="F250" t="inlineStr">
        <is>
          <t>Old English literature / Michael Alexander.</t>
        </is>
      </c>
      <c r="H250" t="inlineStr">
        <is>
          <t>No</t>
        </is>
      </c>
      <c r="I250" t="inlineStr">
        <is>
          <t>1</t>
        </is>
      </c>
      <c r="J250" t="inlineStr">
        <is>
          <t>No</t>
        </is>
      </c>
      <c r="K250" t="inlineStr">
        <is>
          <t>No</t>
        </is>
      </c>
      <c r="L250" t="inlineStr">
        <is>
          <t>0</t>
        </is>
      </c>
      <c r="M250" t="inlineStr">
        <is>
          <t>Alexander, Michael J.</t>
        </is>
      </c>
      <c r="N250" t="inlineStr">
        <is>
          <t>New York : Schocken Books, 1983.</t>
        </is>
      </c>
      <c r="O250" t="inlineStr">
        <is>
          <t>1983</t>
        </is>
      </c>
      <c r="P250" t="inlineStr">
        <is>
          <t>1st American ed.</t>
        </is>
      </c>
      <c r="Q250" t="inlineStr">
        <is>
          <t>eng</t>
        </is>
      </c>
      <c r="R250" t="inlineStr">
        <is>
          <t>nyu</t>
        </is>
      </c>
      <c r="S250" t="inlineStr">
        <is>
          <t>History of literature series, 0732-1937</t>
        </is>
      </c>
      <c r="T250" t="inlineStr">
        <is>
          <t xml:space="preserve">PR </t>
        </is>
      </c>
      <c r="U250" t="n">
        <v>5</v>
      </c>
      <c r="V250" t="n">
        <v>5</v>
      </c>
      <c r="W250" t="inlineStr">
        <is>
          <t>2006-04-04</t>
        </is>
      </c>
      <c r="X250" t="inlineStr">
        <is>
          <t>2006-04-04</t>
        </is>
      </c>
      <c r="Y250" t="inlineStr">
        <is>
          <t>1991-08-28</t>
        </is>
      </c>
      <c r="Z250" t="inlineStr">
        <is>
          <t>1991-08-28</t>
        </is>
      </c>
      <c r="AA250" t="n">
        <v>231</v>
      </c>
      <c r="AB250" t="n">
        <v>220</v>
      </c>
      <c r="AC250" t="n">
        <v>261</v>
      </c>
      <c r="AD250" t="n">
        <v>2</v>
      </c>
      <c r="AE250" t="n">
        <v>4</v>
      </c>
      <c r="AF250" t="n">
        <v>9</v>
      </c>
      <c r="AG250" t="n">
        <v>11</v>
      </c>
      <c r="AH250" t="n">
        <v>4</v>
      </c>
      <c r="AI250" t="n">
        <v>4</v>
      </c>
      <c r="AJ250" t="n">
        <v>3</v>
      </c>
      <c r="AK250" t="n">
        <v>3</v>
      </c>
      <c r="AL250" t="n">
        <v>6</v>
      </c>
      <c r="AM250" t="n">
        <v>6</v>
      </c>
      <c r="AN250" t="n">
        <v>1</v>
      </c>
      <c r="AO250" t="n">
        <v>3</v>
      </c>
      <c r="AP250" t="n">
        <v>0</v>
      </c>
      <c r="AQ250" t="n">
        <v>0</v>
      </c>
      <c r="AR250" t="inlineStr">
        <is>
          <t>No</t>
        </is>
      </c>
      <c r="AS250" t="inlineStr">
        <is>
          <t>Yes</t>
        </is>
      </c>
      <c r="AT250">
        <f>HYPERLINK("http://catalog.hathitrust.org/Record/000416648","HathiTrust Record")</f>
        <v/>
      </c>
      <c r="AU250">
        <f>HYPERLINK("https://creighton-primo.hosted.exlibrisgroup.com/primo-explore/search?tab=default_tab&amp;search_scope=EVERYTHING&amp;vid=01CRU&amp;lang=en_US&amp;offset=0&amp;query=any,contains,991000154039702656","Catalog Record")</f>
        <v/>
      </c>
      <c r="AV250">
        <f>HYPERLINK("http://www.worldcat.org/oclc/9219368","WorldCat Record")</f>
        <v/>
      </c>
      <c r="AW250" t="inlineStr">
        <is>
          <t>3768756500:eng</t>
        </is>
      </c>
      <c r="AX250" t="inlineStr">
        <is>
          <t>9219368</t>
        </is>
      </c>
      <c r="AY250" t="inlineStr">
        <is>
          <t>991000154039702656</t>
        </is>
      </c>
      <c r="AZ250" t="inlineStr">
        <is>
          <t>991000154039702656</t>
        </is>
      </c>
      <c r="BA250" t="inlineStr">
        <is>
          <t>2268277740002656</t>
        </is>
      </c>
      <c r="BB250" t="inlineStr">
        <is>
          <t>BOOK</t>
        </is>
      </c>
      <c r="BD250" t="inlineStr">
        <is>
          <t>9780805238624</t>
        </is>
      </c>
      <c r="BE250" t="inlineStr">
        <is>
          <t>32285000699941</t>
        </is>
      </c>
      <c r="BF250" t="inlineStr">
        <is>
          <t>893771440</t>
        </is>
      </c>
    </row>
    <row r="251">
      <c r="A251" t="inlineStr">
        <is>
          <t>No</t>
        </is>
      </c>
      <c r="B251" t="inlineStr">
        <is>
          <t>CURAL</t>
        </is>
      </c>
      <c r="C251" t="inlineStr">
        <is>
          <t>SHELVES</t>
        </is>
      </c>
      <c r="D251" t="inlineStr">
        <is>
          <t>PR173 .B58</t>
        </is>
      </c>
      <c r="E251" t="inlineStr">
        <is>
          <t>0                      PR 0173000B  58</t>
        </is>
      </c>
      <c r="F251" t="inlineStr">
        <is>
          <t>Patterns in Old English and Old Icelandic literature, by A. C. Bouman.</t>
        </is>
      </c>
      <c r="H251" t="inlineStr">
        <is>
          <t>No</t>
        </is>
      </c>
      <c r="I251" t="inlineStr">
        <is>
          <t>1</t>
        </is>
      </c>
      <c r="J251" t="inlineStr">
        <is>
          <t>No</t>
        </is>
      </c>
      <c r="K251" t="inlineStr">
        <is>
          <t>No</t>
        </is>
      </c>
      <c r="L251" t="inlineStr">
        <is>
          <t>0</t>
        </is>
      </c>
      <c r="M251" t="inlineStr">
        <is>
          <t>Bouman, A. C. (Arie Cornelis), 1892-</t>
        </is>
      </c>
      <c r="N251" t="inlineStr">
        <is>
          <t>Leiden, Universitaire Pers, 1962.</t>
        </is>
      </c>
      <c r="O251" t="inlineStr">
        <is>
          <t>1962</t>
        </is>
      </c>
      <c r="Q251" t="inlineStr">
        <is>
          <t>eng</t>
        </is>
      </c>
      <c r="R251" t="inlineStr">
        <is>
          <t xml:space="preserve">ne </t>
        </is>
      </c>
      <c r="S251" t="inlineStr">
        <is>
          <t>Leidse Germanistische en Anglistische reeks, deel 1</t>
        </is>
      </c>
      <c r="T251" t="inlineStr">
        <is>
          <t xml:space="preserve">PR </t>
        </is>
      </c>
      <c r="U251" t="n">
        <v>3</v>
      </c>
      <c r="V251" t="n">
        <v>3</v>
      </c>
      <c r="W251" t="inlineStr">
        <is>
          <t>2007-01-09</t>
        </is>
      </c>
      <c r="X251" t="inlineStr">
        <is>
          <t>2007-01-09</t>
        </is>
      </c>
      <c r="Y251" t="inlineStr">
        <is>
          <t>1997-08-15</t>
        </is>
      </c>
      <c r="Z251" t="inlineStr">
        <is>
          <t>1997-08-15</t>
        </is>
      </c>
      <c r="AA251" t="n">
        <v>256</v>
      </c>
      <c r="AB251" t="n">
        <v>171</v>
      </c>
      <c r="AC251" t="n">
        <v>173</v>
      </c>
      <c r="AD251" t="n">
        <v>3</v>
      </c>
      <c r="AE251" t="n">
        <v>3</v>
      </c>
      <c r="AF251" t="n">
        <v>10</v>
      </c>
      <c r="AG251" t="n">
        <v>10</v>
      </c>
      <c r="AH251" t="n">
        <v>1</v>
      </c>
      <c r="AI251" t="n">
        <v>1</v>
      </c>
      <c r="AJ251" t="n">
        <v>4</v>
      </c>
      <c r="AK251" t="n">
        <v>4</v>
      </c>
      <c r="AL251" t="n">
        <v>5</v>
      </c>
      <c r="AM251" t="n">
        <v>5</v>
      </c>
      <c r="AN251" t="n">
        <v>2</v>
      </c>
      <c r="AO251" t="n">
        <v>2</v>
      </c>
      <c r="AP251" t="n">
        <v>0</v>
      </c>
      <c r="AQ251" t="n">
        <v>0</v>
      </c>
      <c r="AR251" t="inlineStr">
        <is>
          <t>No</t>
        </is>
      </c>
      <c r="AS251" t="inlineStr">
        <is>
          <t>Yes</t>
        </is>
      </c>
      <c r="AT251">
        <f>HYPERLINK("http://catalog.hathitrust.org/Record/002048941","HathiTrust Record")</f>
        <v/>
      </c>
      <c r="AU251">
        <f>HYPERLINK("https://creighton-primo.hosted.exlibrisgroup.com/primo-explore/search?tab=default_tab&amp;search_scope=EVERYTHING&amp;vid=01CRU&amp;lang=en_US&amp;offset=0&amp;query=any,contains,991003862769702656","Catalog Record")</f>
        <v/>
      </c>
      <c r="AV251">
        <f>HYPERLINK("http://www.worldcat.org/oclc/1671002","WorldCat Record")</f>
        <v/>
      </c>
      <c r="AW251" t="inlineStr">
        <is>
          <t>118143418:eng</t>
        </is>
      </c>
      <c r="AX251" t="inlineStr">
        <is>
          <t>1671002</t>
        </is>
      </c>
      <c r="AY251" t="inlineStr">
        <is>
          <t>991003862769702656</t>
        </is>
      </c>
      <c r="AZ251" t="inlineStr">
        <is>
          <t>991003862769702656</t>
        </is>
      </c>
      <c r="BA251" t="inlineStr">
        <is>
          <t>2262697690002656</t>
        </is>
      </c>
      <c r="BB251" t="inlineStr">
        <is>
          <t>BOOK</t>
        </is>
      </c>
      <c r="BE251" t="inlineStr">
        <is>
          <t>32285003150538</t>
        </is>
      </c>
      <c r="BF251" t="inlineStr">
        <is>
          <t>893705713</t>
        </is>
      </c>
    </row>
    <row r="252">
      <c r="A252" t="inlineStr">
        <is>
          <t>No</t>
        </is>
      </c>
      <c r="B252" t="inlineStr">
        <is>
          <t>CURAL</t>
        </is>
      </c>
      <c r="C252" t="inlineStr">
        <is>
          <t>SHELVES</t>
        </is>
      </c>
      <c r="D252" t="inlineStr">
        <is>
          <t>PR173 .D66 2004</t>
        </is>
      </c>
      <c r="E252" t="inlineStr">
        <is>
          <t>0                      PR 0173000D  66          2004</t>
        </is>
      </c>
      <c r="F252" t="inlineStr">
        <is>
          <t>Old English literature : a short introduction / Daniel Donoghue.</t>
        </is>
      </c>
      <c r="H252" t="inlineStr">
        <is>
          <t>No</t>
        </is>
      </c>
      <c r="I252" t="inlineStr">
        <is>
          <t>1</t>
        </is>
      </c>
      <c r="J252" t="inlineStr">
        <is>
          <t>No</t>
        </is>
      </c>
      <c r="K252" t="inlineStr">
        <is>
          <t>No</t>
        </is>
      </c>
      <c r="L252" t="inlineStr">
        <is>
          <t>0</t>
        </is>
      </c>
      <c r="M252" t="inlineStr">
        <is>
          <t>Donoghue, Daniel, 1956-</t>
        </is>
      </c>
      <c r="N252" t="inlineStr">
        <is>
          <t>Malden, MA : Blackwell Pub., 2004.</t>
        </is>
      </c>
      <c r="O252" t="inlineStr">
        <is>
          <t>2004</t>
        </is>
      </c>
      <c r="Q252" t="inlineStr">
        <is>
          <t>eng</t>
        </is>
      </c>
      <c r="R252" t="inlineStr">
        <is>
          <t>mau</t>
        </is>
      </c>
      <c r="S252" t="inlineStr">
        <is>
          <t>Blackwell introductions to literature</t>
        </is>
      </c>
      <c r="T252" t="inlineStr">
        <is>
          <t xml:space="preserve">PR </t>
        </is>
      </c>
      <c r="U252" t="n">
        <v>3</v>
      </c>
      <c r="V252" t="n">
        <v>3</v>
      </c>
      <c r="W252" t="inlineStr">
        <is>
          <t>2006-02-03</t>
        </is>
      </c>
      <c r="X252" t="inlineStr">
        <is>
          <t>2006-02-03</t>
        </is>
      </c>
      <c r="Y252" t="inlineStr">
        <is>
          <t>2004-11-15</t>
        </is>
      </c>
      <c r="Z252" t="inlineStr">
        <is>
          <t>2004-11-15</t>
        </is>
      </c>
      <c r="AA252" t="n">
        <v>596</v>
      </c>
      <c r="AB252" t="n">
        <v>492</v>
      </c>
      <c r="AC252" t="n">
        <v>827</v>
      </c>
      <c r="AD252" t="n">
        <v>4</v>
      </c>
      <c r="AE252" t="n">
        <v>7</v>
      </c>
      <c r="AF252" t="n">
        <v>21</v>
      </c>
      <c r="AG252" t="n">
        <v>34</v>
      </c>
      <c r="AH252" t="n">
        <v>9</v>
      </c>
      <c r="AI252" t="n">
        <v>14</v>
      </c>
      <c r="AJ252" t="n">
        <v>6</v>
      </c>
      <c r="AK252" t="n">
        <v>7</v>
      </c>
      <c r="AL252" t="n">
        <v>9</v>
      </c>
      <c r="AM252" t="n">
        <v>13</v>
      </c>
      <c r="AN252" t="n">
        <v>3</v>
      </c>
      <c r="AO252" t="n">
        <v>6</v>
      </c>
      <c r="AP252" t="n">
        <v>0</v>
      </c>
      <c r="AQ252" t="n">
        <v>1</v>
      </c>
      <c r="AR252" t="inlineStr">
        <is>
          <t>No</t>
        </is>
      </c>
      <c r="AS252" t="inlineStr">
        <is>
          <t>No</t>
        </is>
      </c>
      <c r="AU252">
        <f>HYPERLINK("https://creighton-primo.hosted.exlibrisgroup.com/primo-explore/search?tab=default_tab&amp;search_scope=EVERYTHING&amp;vid=01CRU&amp;lang=en_US&amp;offset=0&amp;query=any,contains,991004394249702656","Catalog Record")</f>
        <v/>
      </c>
      <c r="AV252">
        <f>HYPERLINK("http://www.worldcat.org/oclc/52895615","WorldCat Record")</f>
        <v/>
      </c>
      <c r="AW252" t="inlineStr">
        <is>
          <t>784424445:eng</t>
        </is>
      </c>
      <c r="AX252" t="inlineStr">
        <is>
          <t>52895615</t>
        </is>
      </c>
      <c r="AY252" t="inlineStr">
        <is>
          <t>991004394249702656</t>
        </is>
      </c>
      <c r="AZ252" t="inlineStr">
        <is>
          <t>991004394249702656</t>
        </is>
      </c>
      <c r="BA252" t="inlineStr">
        <is>
          <t>2258133990002656</t>
        </is>
      </c>
      <c r="BB252" t="inlineStr">
        <is>
          <t>BOOK</t>
        </is>
      </c>
      <c r="BD252" t="inlineStr">
        <is>
          <t>9780631234852</t>
        </is>
      </c>
      <c r="BE252" t="inlineStr">
        <is>
          <t>32285005009989</t>
        </is>
      </c>
      <c r="BF252" t="inlineStr">
        <is>
          <t>893349956</t>
        </is>
      </c>
    </row>
    <row r="253">
      <c r="A253" t="inlineStr">
        <is>
          <t>No</t>
        </is>
      </c>
      <c r="B253" t="inlineStr">
        <is>
          <t>CURAL</t>
        </is>
      </c>
      <c r="C253" t="inlineStr">
        <is>
          <t>SHELVES</t>
        </is>
      </c>
      <c r="D253" t="inlineStr">
        <is>
          <t>PR173 .G67</t>
        </is>
      </c>
      <c r="E253" t="inlineStr">
        <is>
          <t>0                      PR 0173000G  67</t>
        </is>
      </c>
      <c r="F253" t="inlineStr">
        <is>
          <t>Form and style in early English literature.</t>
        </is>
      </c>
      <c r="H253" t="inlineStr">
        <is>
          <t>No</t>
        </is>
      </c>
      <c r="I253" t="inlineStr">
        <is>
          <t>1</t>
        </is>
      </c>
      <c r="J253" t="inlineStr">
        <is>
          <t>No</t>
        </is>
      </c>
      <c r="K253" t="inlineStr">
        <is>
          <t>No</t>
        </is>
      </c>
      <c r="L253" t="inlineStr">
        <is>
          <t>0</t>
        </is>
      </c>
      <c r="M253" t="inlineStr">
        <is>
          <t>Gradon, Pamela.</t>
        </is>
      </c>
      <c r="N253" t="inlineStr">
        <is>
          <t>London, Methuen [1971]</t>
        </is>
      </c>
      <c r="O253" t="inlineStr">
        <is>
          <t>1971</t>
        </is>
      </c>
      <c r="Q253" t="inlineStr">
        <is>
          <t>eng</t>
        </is>
      </c>
      <c r="R253" t="inlineStr">
        <is>
          <t>enk</t>
        </is>
      </c>
      <c r="T253" t="inlineStr">
        <is>
          <t xml:space="preserve">PR </t>
        </is>
      </c>
      <c r="U253" t="n">
        <v>5</v>
      </c>
      <c r="V253" t="n">
        <v>5</v>
      </c>
      <c r="W253" t="inlineStr">
        <is>
          <t>1999-11-29</t>
        </is>
      </c>
      <c r="X253" t="inlineStr">
        <is>
          <t>1999-11-29</t>
        </is>
      </c>
      <c r="Y253" t="inlineStr">
        <is>
          <t>1997-08-15</t>
        </is>
      </c>
      <c r="Z253" t="inlineStr">
        <is>
          <t>1997-08-15</t>
        </is>
      </c>
      <c r="AA253" t="n">
        <v>517</v>
      </c>
      <c r="AB253" t="n">
        <v>335</v>
      </c>
      <c r="AC253" t="n">
        <v>365</v>
      </c>
      <c r="AD253" t="n">
        <v>4</v>
      </c>
      <c r="AE253" t="n">
        <v>4</v>
      </c>
      <c r="AF253" t="n">
        <v>24</v>
      </c>
      <c r="AG253" t="n">
        <v>24</v>
      </c>
      <c r="AH253" t="n">
        <v>7</v>
      </c>
      <c r="AI253" t="n">
        <v>7</v>
      </c>
      <c r="AJ253" t="n">
        <v>5</v>
      </c>
      <c r="AK253" t="n">
        <v>5</v>
      </c>
      <c r="AL253" t="n">
        <v>15</v>
      </c>
      <c r="AM253" t="n">
        <v>15</v>
      </c>
      <c r="AN253" t="n">
        <v>3</v>
      </c>
      <c r="AO253" t="n">
        <v>3</v>
      </c>
      <c r="AP253" t="n">
        <v>0</v>
      </c>
      <c r="AQ253" t="n">
        <v>0</v>
      </c>
      <c r="AR253" t="inlineStr">
        <is>
          <t>No</t>
        </is>
      </c>
      <c r="AS253" t="inlineStr">
        <is>
          <t>Yes</t>
        </is>
      </c>
      <c r="AT253">
        <f>HYPERLINK("http://catalog.hathitrust.org/Record/001370861","HathiTrust Record")</f>
        <v/>
      </c>
      <c r="AU253">
        <f>HYPERLINK("https://creighton-primo.hosted.exlibrisgroup.com/primo-explore/search?tab=default_tab&amp;search_scope=EVERYTHING&amp;vid=01CRU&amp;lang=en_US&amp;offset=0&amp;query=any,contains,991002249089702656","Catalog Record")</f>
        <v/>
      </c>
      <c r="AV253">
        <f>HYPERLINK("http://www.worldcat.org/oclc/298395","WorldCat Record")</f>
        <v/>
      </c>
      <c r="AW253" t="inlineStr">
        <is>
          <t>1504322:eng</t>
        </is>
      </c>
      <c r="AX253" t="inlineStr">
        <is>
          <t>298395</t>
        </is>
      </c>
      <c r="AY253" t="inlineStr">
        <is>
          <t>991002249089702656</t>
        </is>
      </c>
      <c r="AZ253" t="inlineStr">
        <is>
          <t>991002249089702656</t>
        </is>
      </c>
      <c r="BA253" t="inlineStr">
        <is>
          <t>2264990240002656</t>
        </is>
      </c>
      <c r="BB253" t="inlineStr">
        <is>
          <t>BOOK</t>
        </is>
      </c>
      <c r="BD253" t="inlineStr">
        <is>
          <t>9780416122701</t>
        </is>
      </c>
      <c r="BE253" t="inlineStr">
        <is>
          <t>32285003150603</t>
        </is>
      </c>
      <c r="BF253" t="inlineStr">
        <is>
          <t>893257063</t>
        </is>
      </c>
    </row>
    <row r="254">
      <c r="A254" t="inlineStr">
        <is>
          <t>No</t>
        </is>
      </c>
      <c r="B254" t="inlineStr">
        <is>
          <t>CURAL</t>
        </is>
      </c>
      <c r="C254" t="inlineStr">
        <is>
          <t>SHELVES</t>
        </is>
      </c>
      <c r="D254" t="inlineStr">
        <is>
          <t>PR173 .G68 2001</t>
        </is>
      </c>
      <c r="E254" t="inlineStr">
        <is>
          <t>0                      PR 0173000G  68          2001</t>
        </is>
      </c>
      <c r="F254" t="inlineStr">
        <is>
          <t>Anglo-Saxon audiences / Eugene Green.</t>
        </is>
      </c>
      <c r="H254" t="inlineStr">
        <is>
          <t>No</t>
        </is>
      </c>
      <c r="I254" t="inlineStr">
        <is>
          <t>1</t>
        </is>
      </c>
      <c r="J254" t="inlineStr">
        <is>
          <t>No</t>
        </is>
      </c>
      <c r="K254" t="inlineStr">
        <is>
          <t>No</t>
        </is>
      </c>
      <c r="L254" t="inlineStr">
        <is>
          <t>0</t>
        </is>
      </c>
      <c r="M254" t="inlineStr">
        <is>
          <t>Green, Eugene, 1932-</t>
        </is>
      </c>
      <c r="N254" t="inlineStr">
        <is>
          <t>New York : P. Lang, c2001.</t>
        </is>
      </c>
      <c r="O254" t="inlineStr">
        <is>
          <t>2001</t>
        </is>
      </c>
      <c r="Q254" t="inlineStr">
        <is>
          <t>eng</t>
        </is>
      </c>
      <c r="R254" t="inlineStr">
        <is>
          <t>nyu</t>
        </is>
      </c>
      <c r="S254" t="inlineStr">
        <is>
          <t>Berkeley insights in linguistics and semiotics, 0893-6935 ; vol. 44</t>
        </is>
      </c>
      <c r="T254" t="inlineStr">
        <is>
          <t xml:space="preserve">PR </t>
        </is>
      </c>
      <c r="U254" t="n">
        <v>3</v>
      </c>
      <c r="V254" t="n">
        <v>3</v>
      </c>
      <c r="W254" t="inlineStr">
        <is>
          <t>2006-08-07</t>
        </is>
      </c>
      <c r="X254" t="inlineStr">
        <is>
          <t>2006-08-07</t>
        </is>
      </c>
      <c r="Y254" t="inlineStr">
        <is>
          <t>2002-06-03</t>
        </is>
      </c>
      <c r="Z254" t="inlineStr">
        <is>
          <t>2002-06-03</t>
        </is>
      </c>
      <c r="AA254" t="n">
        <v>156</v>
      </c>
      <c r="AB254" t="n">
        <v>114</v>
      </c>
      <c r="AC254" t="n">
        <v>116</v>
      </c>
      <c r="AD254" t="n">
        <v>2</v>
      </c>
      <c r="AE254" t="n">
        <v>2</v>
      </c>
      <c r="AF254" t="n">
        <v>8</v>
      </c>
      <c r="AG254" t="n">
        <v>8</v>
      </c>
      <c r="AH254" t="n">
        <v>2</v>
      </c>
      <c r="AI254" t="n">
        <v>2</v>
      </c>
      <c r="AJ254" t="n">
        <v>3</v>
      </c>
      <c r="AK254" t="n">
        <v>3</v>
      </c>
      <c r="AL254" t="n">
        <v>4</v>
      </c>
      <c r="AM254" t="n">
        <v>4</v>
      </c>
      <c r="AN254" t="n">
        <v>1</v>
      </c>
      <c r="AO254" t="n">
        <v>1</v>
      </c>
      <c r="AP254" t="n">
        <v>0</v>
      </c>
      <c r="AQ254" t="n">
        <v>0</v>
      </c>
      <c r="AR254" t="inlineStr">
        <is>
          <t>No</t>
        </is>
      </c>
      <c r="AS254" t="inlineStr">
        <is>
          <t>Yes</t>
        </is>
      </c>
      <c r="AT254">
        <f>HYPERLINK("http://catalog.hathitrust.org/Record/004202883","HathiTrust Record")</f>
        <v/>
      </c>
      <c r="AU254">
        <f>HYPERLINK("https://creighton-primo.hosted.exlibrisgroup.com/primo-explore/search?tab=default_tab&amp;search_scope=EVERYTHING&amp;vid=01CRU&amp;lang=en_US&amp;offset=0&amp;query=any,contains,991003790529702656","Catalog Record")</f>
        <v/>
      </c>
      <c r="AV254">
        <f>HYPERLINK("http://www.worldcat.org/oclc/41223919","WorldCat Record")</f>
        <v/>
      </c>
      <c r="AW254" t="inlineStr">
        <is>
          <t>26921033:eng</t>
        </is>
      </c>
      <c r="AX254" t="inlineStr">
        <is>
          <t>41223919</t>
        </is>
      </c>
      <c r="AY254" t="inlineStr">
        <is>
          <t>991003790529702656</t>
        </is>
      </c>
      <c r="AZ254" t="inlineStr">
        <is>
          <t>991003790529702656</t>
        </is>
      </c>
      <c r="BA254" t="inlineStr">
        <is>
          <t>2260600870002656</t>
        </is>
      </c>
      <c r="BB254" t="inlineStr">
        <is>
          <t>BOOK</t>
        </is>
      </c>
      <c r="BD254" t="inlineStr">
        <is>
          <t>9780820445502</t>
        </is>
      </c>
      <c r="BE254" t="inlineStr">
        <is>
          <t>32285004490792</t>
        </is>
      </c>
      <c r="BF254" t="inlineStr">
        <is>
          <t>893894131</t>
        </is>
      </c>
    </row>
    <row r="255">
      <c r="A255" t="inlineStr">
        <is>
          <t>No</t>
        </is>
      </c>
      <c r="B255" t="inlineStr">
        <is>
          <t>CURAL</t>
        </is>
      </c>
      <c r="C255" t="inlineStr">
        <is>
          <t>SHELVES</t>
        </is>
      </c>
      <c r="D255" t="inlineStr">
        <is>
          <t>PR173 .G75 1973b</t>
        </is>
      </c>
      <c r="E255" t="inlineStr">
        <is>
          <t>0                      PR 0173000G  75          1973b</t>
        </is>
      </c>
      <c r="F255" t="inlineStr">
        <is>
          <t>Old English literature [by] M. W. Grose and Deirdre McKenna.</t>
        </is>
      </c>
      <c r="H255" t="inlineStr">
        <is>
          <t>No</t>
        </is>
      </c>
      <c r="I255" t="inlineStr">
        <is>
          <t>1</t>
        </is>
      </c>
      <c r="J255" t="inlineStr">
        <is>
          <t>No</t>
        </is>
      </c>
      <c r="K255" t="inlineStr">
        <is>
          <t>No</t>
        </is>
      </c>
      <c r="L255" t="inlineStr">
        <is>
          <t>0</t>
        </is>
      </c>
      <c r="M255" t="inlineStr">
        <is>
          <t>Grose, M. W.</t>
        </is>
      </c>
      <c r="N255" t="inlineStr">
        <is>
          <t>London, Evans Bros., 1973.</t>
        </is>
      </c>
      <c r="O255" t="inlineStr">
        <is>
          <t>1973</t>
        </is>
      </c>
      <c r="Q255" t="inlineStr">
        <is>
          <t>eng</t>
        </is>
      </c>
      <c r="R255" t="inlineStr">
        <is>
          <t>enk</t>
        </is>
      </c>
      <c r="S255" t="inlineStr">
        <is>
          <t>Literature in perspective</t>
        </is>
      </c>
      <c r="T255" t="inlineStr">
        <is>
          <t xml:space="preserve">PR </t>
        </is>
      </c>
      <c r="U255" t="n">
        <v>2</v>
      </c>
      <c r="V255" t="n">
        <v>2</v>
      </c>
      <c r="W255" t="inlineStr">
        <is>
          <t>2003-10-28</t>
        </is>
      </c>
      <c r="X255" t="inlineStr">
        <is>
          <t>2003-10-28</t>
        </is>
      </c>
      <c r="Y255" t="inlineStr">
        <is>
          <t>1997-08-15</t>
        </is>
      </c>
      <c r="Z255" t="inlineStr">
        <is>
          <t>1997-08-15</t>
        </is>
      </c>
      <c r="AA255" t="n">
        <v>165</v>
      </c>
      <c r="AB255" t="n">
        <v>50</v>
      </c>
      <c r="AC255" t="n">
        <v>447</v>
      </c>
      <c r="AD255" t="n">
        <v>1</v>
      </c>
      <c r="AE255" t="n">
        <v>4</v>
      </c>
      <c r="AF255" t="n">
        <v>2</v>
      </c>
      <c r="AG255" t="n">
        <v>30</v>
      </c>
      <c r="AH255" t="n">
        <v>0</v>
      </c>
      <c r="AI255" t="n">
        <v>11</v>
      </c>
      <c r="AJ255" t="n">
        <v>0</v>
      </c>
      <c r="AK255" t="n">
        <v>7</v>
      </c>
      <c r="AL255" t="n">
        <v>2</v>
      </c>
      <c r="AM255" t="n">
        <v>17</v>
      </c>
      <c r="AN255" t="n">
        <v>0</v>
      </c>
      <c r="AO255" t="n">
        <v>3</v>
      </c>
      <c r="AP255" t="n">
        <v>0</v>
      </c>
      <c r="AQ255" t="n">
        <v>0</v>
      </c>
      <c r="AR255" t="inlineStr">
        <is>
          <t>No</t>
        </is>
      </c>
      <c r="AS255" t="inlineStr">
        <is>
          <t>Yes</t>
        </is>
      </c>
      <c r="AT255">
        <f>HYPERLINK("http://catalog.hathitrust.org/Record/001370871","HathiTrust Record")</f>
        <v/>
      </c>
      <c r="AU255">
        <f>HYPERLINK("https://creighton-primo.hosted.exlibrisgroup.com/primo-explore/search?tab=default_tab&amp;search_scope=EVERYTHING&amp;vid=01CRU&amp;lang=en_US&amp;offset=0&amp;query=any,contains,991003268029702656","Catalog Record")</f>
        <v/>
      </c>
      <c r="AV255">
        <f>HYPERLINK("http://www.worldcat.org/oclc/794068","WorldCat Record")</f>
        <v/>
      </c>
      <c r="AW255" t="inlineStr">
        <is>
          <t>1755541:eng</t>
        </is>
      </c>
      <c r="AX255" t="inlineStr">
        <is>
          <t>794068</t>
        </is>
      </c>
      <c r="AY255" t="inlineStr">
        <is>
          <t>991003268029702656</t>
        </is>
      </c>
      <c r="AZ255" t="inlineStr">
        <is>
          <t>991003268029702656</t>
        </is>
      </c>
      <c r="BA255" t="inlineStr">
        <is>
          <t>2263671010002656</t>
        </is>
      </c>
      <c r="BB255" t="inlineStr">
        <is>
          <t>BOOK</t>
        </is>
      </c>
      <c r="BD255" t="inlineStr">
        <is>
          <t>9780237352073</t>
        </is>
      </c>
      <c r="BE255" t="inlineStr">
        <is>
          <t>32285003150546</t>
        </is>
      </c>
      <c r="BF255" t="inlineStr">
        <is>
          <t>893774577</t>
        </is>
      </c>
    </row>
    <row r="256">
      <c r="A256" t="inlineStr">
        <is>
          <t>No</t>
        </is>
      </c>
      <c r="B256" t="inlineStr">
        <is>
          <t>CURAL</t>
        </is>
      </c>
      <c r="C256" t="inlineStr">
        <is>
          <t>SHELVES</t>
        </is>
      </c>
      <c r="D256" t="inlineStr">
        <is>
          <t>PR173 .W75</t>
        </is>
      </c>
      <c r="E256" t="inlineStr">
        <is>
          <t>0                      PR 0173000W  75</t>
        </is>
      </c>
      <c r="F256" t="inlineStr">
        <is>
          <t>A study of Old English literature, by C. L. Wrenn.</t>
        </is>
      </c>
      <c r="H256" t="inlineStr">
        <is>
          <t>No</t>
        </is>
      </c>
      <c r="I256" t="inlineStr">
        <is>
          <t>1</t>
        </is>
      </c>
      <c r="J256" t="inlineStr">
        <is>
          <t>No</t>
        </is>
      </c>
      <c r="K256" t="inlineStr">
        <is>
          <t>No</t>
        </is>
      </c>
      <c r="L256" t="inlineStr">
        <is>
          <t>0</t>
        </is>
      </c>
      <c r="M256" t="inlineStr">
        <is>
          <t>Wrenn, C. L. (Charles Leslie), 1895-1969.</t>
        </is>
      </c>
      <c r="N256" t="inlineStr">
        <is>
          <t>London, Toronto [etc.] Harrap, 1967.</t>
        </is>
      </c>
      <c r="O256" t="inlineStr">
        <is>
          <t>1967</t>
        </is>
      </c>
      <c r="Q256" t="inlineStr">
        <is>
          <t>eng</t>
        </is>
      </c>
      <c r="R256" t="inlineStr">
        <is>
          <t>enk</t>
        </is>
      </c>
      <c r="T256" t="inlineStr">
        <is>
          <t xml:space="preserve">PR </t>
        </is>
      </c>
      <c r="U256" t="n">
        <v>3</v>
      </c>
      <c r="V256" t="n">
        <v>3</v>
      </c>
      <c r="W256" t="inlineStr">
        <is>
          <t>1998-01-16</t>
        </is>
      </c>
      <c r="X256" t="inlineStr">
        <is>
          <t>1998-01-16</t>
        </is>
      </c>
      <c r="Y256" t="inlineStr">
        <is>
          <t>1997-08-15</t>
        </is>
      </c>
      <c r="Z256" t="inlineStr">
        <is>
          <t>1997-08-15</t>
        </is>
      </c>
      <c r="AA256" t="n">
        <v>365</v>
      </c>
      <c r="AB256" t="n">
        <v>174</v>
      </c>
      <c r="AC256" t="n">
        <v>681</v>
      </c>
      <c r="AD256" t="n">
        <v>3</v>
      </c>
      <c r="AE256" t="n">
        <v>6</v>
      </c>
      <c r="AF256" t="n">
        <v>11</v>
      </c>
      <c r="AG256" t="n">
        <v>29</v>
      </c>
      <c r="AH256" t="n">
        <v>2</v>
      </c>
      <c r="AI256" t="n">
        <v>11</v>
      </c>
      <c r="AJ256" t="n">
        <v>4</v>
      </c>
      <c r="AK256" t="n">
        <v>9</v>
      </c>
      <c r="AL256" t="n">
        <v>8</v>
      </c>
      <c r="AM256" t="n">
        <v>16</v>
      </c>
      <c r="AN256" t="n">
        <v>2</v>
      </c>
      <c r="AO256" t="n">
        <v>5</v>
      </c>
      <c r="AP256" t="n">
        <v>0</v>
      </c>
      <c r="AQ256" t="n">
        <v>0</v>
      </c>
      <c r="AR256" t="inlineStr">
        <is>
          <t>No</t>
        </is>
      </c>
      <c r="AS256" t="inlineStr">
        <is>
          <t>Yes</t>
        </is>
      </c>
      <c r="AT256">
        <f>HYPERLINK("http://catalog.hathitrust.org/Record/004429315","HathiTrust Record")</f>
        <v/>
      </c>
      <c r="AU256">
        <f>HYPERLINK("https://creighton-primo.hosted.exlibrisgroup.com/primo-explore/search?tab=default_tab&amp;search_scope=EVERYTHING&amp;vid=01CRU&amp;lang=en_US&amp;offset=0&amp;query=any,contains,991003415949702656","Catalog Record")</f>
        <v/>
      </c>
      <c r="AV256">
        <f>HYPERLINK("http://www.worldcat.org/oclc/956020","WorldCat Record")</f>
        <v/>
      </c>
      <c r="AW256" t="inlineStr">
        <is>
          <t>1423701:eng</t>
        </is>
      </c>
      <c r="AX256" t="inlineStr">
        <is>
          <t>956020</t>
        </is>
      </c>
      <c r="AY256" t="inlineStr">
        <is>
          <t>991003415949702656</t>
        </is>
      </c>
      <c r="AZ256" t="inlineStr">
        <is>
          <t>991003415949702656</t>
        </is>
      </c>
      <c r="BA256" t="inlineStr">
        <is>
          <t>2265234500002656</t>
        </is>
      </c>
      <c r="BB256" t="inlineStr">
        <is>
          <t>BOOK</t>
        </is>
      </c>
      <c r="BE256" t="inlineStr">
        <is>
          <t>32285003150587</t>
        </is>
      </c>
      <c r="BF256" t="inlineStr">
        <is>
          <t>893434975</t>
        </is>
      </c>
    </row>
    <row r="257">
      <c r="A257" t="inlineStr">
        <is>
          <t>No</t>
        </is>
      </c>
      <c r="B257" t="inlineStr">
        <is>
          <t>CURAL</t>
        </is>
      </c>
      <c r="C257" t="inlineStr">
        <is>
          <t>SHELVES</t>
        </is>
      </c>
      <c r="D257" t="inlineStr">
        <is>
          <t>PR176 .E87 1986</t>
        </is>
      </c>
      <c r="E257" t="inlineStr">
        <is>
          <t>0                      PR 0176000E  87          1986</t>
        </is>
      </c>
      <c r="F257" t="inlineStr">
        <is>
          <t>Modes of interpretation in Old English literature : essays in honour of Stanley B. Greenfield / edited by Phyllis Rugg Brown, Georgia Ronan Crampton [and] Fred C. Robinson.</t>
        </is>
      </c>
      <c r="H257" t="inlineStr">
        <is>
          <t>No</t>
        </is>
      </c>
      <c r="I257" t="inlineStr">
        <is>
          <t>1</t>
        </is>
      </c>
      <c r="J257" t="inlineStr">
        <is>
          <t>No</t>
        </is>
      </c>
      <c r="K257" t="inlineStr">
        <is>
          <t>No</t>
        </is>
      </c>
      <c r="L257" t="inlineStr">
        <is>
          <t>0</t>
        </is>
      </c>
      <c r="N257" t="inlineStr">
        <is>
          <t>Toronto ; Buffalo : University of Toronto Press, c1986.</t>
        </is>
      </c>
      <c r="O257" t="inlineStr">
        <is>
          <t>1986</t>
        </is>
      </c>
      <c r="Q257" t="inlineStr">
        <is>
          <t>eng</t>
        </is>
      </c>
      <c r="R257" t="inlineStr">
        <is>
          <t>onc</t>
        </is>
      </c>
      <c r="T257" t="inlineStr">
        <is>
          <t xml:space="preserve">PR </t>
        </is>
      </c>
      <c r="U257" t="n">
        <v>7</v>
      </c>
      <c r="V257" t="n">
        <v>7</v>
      </c>
      <c r="W257" t="inlineStr">
        <is>
          <t>2000-03-04</t>
        </is>
      </c>
      <c r="X257" t="inlineStr">
        <is>
          <t>2000-03-04</t>
        </is>
      </c>
      <c r="Y257" t="inlineStr">
        <is>
          <t>1991-08-28</t>
        </is>
      </c>
      <c r="Z257" t="inlineStr">
        <is>
          <t>1991-08-28</t>
        </is>
      </c>
      <c r="AA257" t="n">
        <v>392</v>
      </c>
      <c r="AB257" t="n">
        <v>280</v>
      </c>
      <c r="AC257" t="n">
        <v>282</v>
      </c>
      <c r="AD257" t="n">
        <v>2</v>
      </c>
      <c r="AE257" t="n">
        <v>2</v>
      </c>
      <c r="AF257" t="n">
        <v>15</v>
      </c>
      <c r="AG257" t="n">
        <v>15</v>
      </c>
      <c r="AH257" t="n">
        <v>4</v>
      </c>
      <c r="AI257" t="n">
        <v>4</v>
      </c>
      <c r="AJ257" t="n">
        <v>5</v>
      </c>
      <c r="AK257" t="n">
        <v>5</v>
      </c>
      <c r="AL257" t="n">
        <v>12</v>
      </c>
      <c r="AM257" t="n">
        <v>12</v>
      </c>
      <c r="AN257" t="n">
        <v>1</v>
      </c>
      <c r="AO257" t="n">
        <v>1</v>
      </c>
      <c r="AP257" t="n">
        <v>0</v>
      </c>
      <c r="AQ257" t="n">
        <v>0</v>
      </c>
      <c r="AR257" t="inlineStr">
        <is>
          <t>No</t>
        </is>
      </c>
      <c r="AS257" t="inlineStr">
        <is>
          <t>Yes</t>
        </is>
      </c>
      <c r="AT257">
        <f>HYPERLINK("http://catalog.hathitrust.org/Record/000835376","HathiTrust Record")</f>
        <v/>
      </c>
      <c r="AU257">
        <f>HYPERLINK("https://creighton-primo.hosted.exlibrisgroup.com/primo-explore/search?tab=default_tab&amp;search_scope=EVERYTHING&amp;vid=01CRU&amp;lang=en_US&amp;offset=0&amp;query=any,contains,991000891859702656","Catalog Record")</f>
        <v/>
      </c>
      <c r="AV257">
        <f>HYPERLINK("http://www.worldcat.org/oclc/17841082","WorldCat Record")</f>
        <v/>
      </c>
      <c r="AW257" t="inlineStr">
        <is>
          <t>863912743:eng</t>
        </is>
      </c>
      <c r="AX257" t="inlineStr">
        <is>
          <t>17841082</t>
        </is>
      </c>
      <c r="AY257" t="inlineStr">
        <is>
          <t>991000891859702656</t>
        </is>
      </c>
      <c r="AZ257" t="inlineStr">
        <is>
          <t>991000891859702656</t>
        </is>
      </c>
      <c r="BA257" t="inlineStr">
        <is>
          <t>2261479310002656</t>
        </is>
      </c>
      <c r="BB257" t="inlineStr">
        <is>
          <t>BOOK</t>
        </is>
      </c>
      <c r="BD257" t="inlineStr">
        <is>
          <t>9780802056788</t>
        </is>
      </c>
      <c r="BE257" t="inlineStr">
        <is>
          <t>32285000699974</t>
        </is>
      </c>
      <c r="BF257" t="inlineStr">
        <is>
          <t>893714990</t>
        </is>
      </c>
    </row>
    <row r="258">
      <c r="A258" t="inlineStr">
        <is>
          <t>No</t>
        </is>
      </c>
      <c r="B258" t="inlineStr">
        <is>
          <t>CURAL</t>
        </is>
      </c>
      <c r="C258" t="inlineStr">
        <is>
          <t>SHELVES</t>
        </is>
      </c>
      <c r="D258" t="inlineStr">
        <is>
          <t>PR176 .L4 1985</t>
        </is>
      </c>
      <c r="E258" t="inlineStr">
        <is>
          <t>0                      PR 0176000L  4           1985</t>
        </is>
      </c>
      <c r="F258" t="inlineStr">
        <is>
          <t>Learning and literature in Anglo-Saxon England : studies presented to Peter Clemoes on the occasion of his sixty-fifth birthday / edited by Michael Lapidge and Helmut Gneuss.</t>
        </is>
      </c>
      <c r="H258" t="inlineStr">
        <is>
          <t>No</t>
        </is>
      </c>
      <c r="I258" t="inlineStr">
        <is>
          <t>1</t>
        </is>
      </c>
      <c r="J258" t="inlineStr">
        <is>
          <t>No</t>
        </is>
      </c>
      <c r="K258" t="inlineStr">
        <is>
          <t>No</t>
        </is>
      </c>
      <c r="L258" t="inlineStr">
        <is>
          <t>0</t>
        </is>
      </c>
      <c r="N258" t="inlineStr">
        <is>
          <t>Cambridge [Cambridgeshire] ; New York : Cambridge University Press, 1985.</t>
        </is>
      </c>
      <c r="O258" t="inlineStr">
        <is>
          <t>1985</t>
        </is>
      </c>
      <c r="Q258" t="inlineStr">
        <is>
          <t>eng</t>
        </is>
      </c>
      <c r="R258" t="inlineStr">
        <is>
          <t>enk</t>
        </is>
      </c>
      <c r="T258" t="inlineStr">
        <is>
          <t xml:space="preserve">PR </t>
        </is>
      </c>
      <c r="U258" t="n">
        <v>3</v>
      </c>
      <c r="V258" t="n">
        <v>3</v>
      </c>
      <c r="W258" t="inlineStr">
        <is>
          <t>2003-10-28</t>
        </is>
      </c>
      <c r="X258" t="inlineStr">
        <is>
          <t>2003-10-28</t>
        </is>
      </c>
      <c r="Y258" t="inlineStr">
        <is>
          <t>1991-08-28</t>
        </is>
      </c>
      <c r="Z258" t="inlineStr">
        <is>
          <t>1991-08-28</t>
        </is>
      </c>
      <c r="AA258" t="n">
        <v>480</v>
      </c>
      <c r="AB258" t="n">
        <v>366</v>
      </c>
      <c r="AC258" t="n">
        <v>372</v>
      </c>
      <c r="AD258" t="n">
        <v>2</v>
      </c>
      <c r="AE258" t="n">
        <v>2</v>
      </c>
      <c r="AF258" t="n">
        <v>19</v>
      </c>
      <c r="AG258" t="n">
        <v>20</v>
      </c>
      <c r="AH258" t="n">
        <v>6</v>
      </c>
      <c r="AI258" t="n">
        <v>6</v>
      </c>
      <c r="AJ258" t="n">
        <v>8</v>
      </c>
      <c r="AK258" t="n">
        <v>9</v>
      </c>
      <c r="AL258" t="n">
        <v>11</v>
      </c>
      <c r="AM258" t="n">
        <v>11</v>
      </c>
      <c r="AN258" t="n">
        <v>1</v>
      </c>
      <c r="AO258" t="n">
        <v>1</v>
      </c>
      <c r="AP258" t="n">
        <v>0</v>
      </c>
      <c r="AQ258" t="n">
        <v>0</v>
      </c>
      <c r="AR258" t="inlineStr">
        <is>
          <t>No</t>
        </is>
      </c>
      <c r="AS258" t="inlineStr">
        <is>
          <t>Yes</t>
        </is>
      </c>
      <c r="AT258">
        <f>HYPERLINK("http://catalog.hathitrust.org/Record/000347974","HathiTrust Record")</f>
        <v/>
      </c>
      <c r="AU258">
        <f>HYPERLINK("https://creighton-primo.hosted.exlibrisgroup.com/primo-explore/search?tab=default_tab&amp;search_scope=EVERYTHING&amp;vid=01CRU&amp;lang=en_US&amp;offset=0&amp;query=any,contains,991000518709702656","Catalog Record")</f>
        <v/>
      </c>
      <c r="AV258">
        <f>HYPERLINK("http://www.worldcat.org/oclc/11315763","WorldCat Record")</f>
        <v/>
      </c>
      <c r="AW258" t="inlineStr">
        <is>
          <t>863909223:eng</t>
        </is>
      </c>
      <c r="AX258" t="inlineStr">
        <is>
          <t>11315763</t>
        </is>
      </c>
      <c r="AY258" t="inlineStr">
        <is>
          <t>991000518709702656</t>
        </is>
      </c>
      <c r="AZ258" t="inlineStr">
        <is>
          <t>991000518709702656</t>
        </is>
      </c>
      <c r="BA258" t="inlineStr">
        <is>
          <t>2258926660002656</t>
        </is>
      </c>
      <c r="BB258" t="inlineStr">
        <is>
          <t>BOOK</t>
        </is>
      </c>
      <c r="BD258" t="inlineStr">
        <is>
          <t>9780521259026</t>
        </is>
      </c>
      <c r="BE258" t="inlineStr">
        <is>
          <t>32285000699982</t>
        </is>
      </c>
      <c r="BF258" t="inlineStr">
        <is>
          <t>893702199</t>
        </is>
      </c>
    </row>
    <row r="259">
      <c r="A259" t="inlineStr">
        <is>
          <t>No</t>
        </is>
      </c>
      <c r="B259" t="inlineStr">
        <is>
          <t>CURAL</t>
        </is>
      </c>
      <c r="C259" t="inlineStr">
        <is>
          <t>SHELVES</t>
        </is>
      </c>
      <c r="D259" t="inlineStr">
        <is>
          <t>PR176.G7 S7 1973</t>
        </is>
      </c>
      <c r="E259" t="inlineStr">
        <is>
          <t>0                      PR 0176000G  7                  S  7           1973</t>
        </is>
      </c>
      <c r="F259" t="inlineStr">
        <is>
          <t>Studies in Old English literature in honor of Arthur G. Brodeur. Edited by Stanley B. Greenfield.</t>
        </is>
      </c>
      <c r="H259" t="inlineStr">
        <is>
          <t>No</t>
        </is>
      </c>
      <c r="I259" t="inlineStr">
        <is>
          <t>1</t>
        </is>
      </c>
      <c r="J259" t="inlineStr">
        <is>
          <t>No</t>
        </is>
      </c>
      <c r="K259" t="inlineStr">
        <is>
          <t>No</t>
        </is>
      </c>
      <c r="L259" t="inlineStr">
        <is>
          <t>0</t>
        </is>
      </c>
      <c r="M259" t="inlineStr">
        <is>
          <t>Greenfield, Stanley B., editor.</t>
        </is>
      </c>
      <c r="N259" t="inlineStr">
        <is>
          <t>New York, Russell &amp; Russell [1973]</t>
        </is>
      </c>
      <c r="O259" t="inlineStr">
        <is>
          <t>1973</t>
        </is>
      </c>
      <c r="Q259" t="inlineStr">
        <is>
          <t>eng</t>
        </is>
      </c>
      <c r="R259" t="inlineStr">
        <is>
          <t>nyu</t>
        </is>
      </c>
      <c r="T259" t="inlineStr">
        <is>
          <t xml:space="preserve">PR </t>
        </is>
      </c>
      <c r="U259" t="n">
        <v>3</v>
      </c>
      <c r="V259" t="n">
        <v>3</v>
      </c>
      <c r="W259" t="inlineStr">
        <is>
          <t>2003-10-28</t>
        </is>
      </c>
      <c r="X259" t="inlineStr">
        <is>
          <t>2003-10-28</t>
        </is>
      </c>
      <c r="Y259" t="inlineStr">
        <is>
          <t>1997-08-18</t>
        </is>
      </c>
      <c r="Z259" t="inlineStr">
        <is>
          <t>1997-08-18</t>
        </is>
      </c>
      <c r="AA259" t="n">
        <v>118</v>
      </c>
      <c r="AB259" t="n">
        <v>87</v>
      </c>
      <c r="AC259" t="n">
        <v>302</v>
      </c>
      <c r="AD259" t="n">
        <v>1</v>
      </c>
      <c r="AE259" t="n">
        <v>2</v>
      </c>
      <c r="AF259" t="n">
        <v>3</v>
      </c>
      <c r="AG259" t="n">
        <v>16</v>
      </c>
      <c r="AH259" t="n">
        <v>0</v>
      </c>
      <c r="AI259" t="n">
        <v>3</v>
      </c>
      <c r="AJ259" t="n">
        <v>2</v>
      </c>
      <c r="AK259" t="n">
        <v>5</v>
      </c>
      <c r="AL259" t="n">
        <v>2</v>
      </c>
      <c r="AM259" t="n">
        <v>10</v>
      </c>
      <c r="AN259" t="n">
        <v>0</v>
      </c>
      <c r="AO259" t="n">
        <v>1</v>
      </c>
      <c r="AP259" t="n">
        <v>0</v>
      </c>
      <c r="AQ259" t="n">
        <v>0</v>
      </c>
      <c r="AR259" t="inlineStr">
        <is>
          <t>No</t>
        </is>
      </c>
      <c r="AS259" t="inlineStr">
        <is>
          <t>Yes</t>
        </is>
      </c>
      <c r="AT259">
        <f>HYPERLINK("http://catalog.hathitrust.org/Record/009913183","HathiTrust Record")</f>
        <v/>
      </c>
      <c r="AU259">
        <f>HYPERLINK("https://creighton-primo.hosted.exlibrisgroup.com/primo-explore/search?tab=default_tab&amp;search_scope=EVERYTHING&amp;vid=01CRU&amp;lang=en_US&amp;offset=0&amp;query=any,contains,991003347689702656","Catalog Record")</f>
        <v/>
      </c>
      <c r="AV259">
        <f>HYPERLINK("http://www.worldcat.org/oclc/879789","WorldCat Record")</f>
        <v/>
      </c>
      <c r="AW259" t="inlineStr">
        <is>
          <t>350136909:eng</t>
        </is>
      </c>
      <c r="AX259" t="inlineStr">
        <is>
          <t>879789</t>
        </is>
      </c>
      <c r="AY259" t="inlineStr">
        <is>
          <t>991003347689702656</t>
        </is>
      </c>
      <c r="AZ259" t="inlineStr">
        <is>
          <t>991003347689702656</t>
        </is>
      </c>
      <c r="BA259" t="inlineStr">
        <is>
          <t>2271688640002656</t>
        </is>
      </c>
      <c r="BB259" t="inlineStr">
        <is>
          <t>BOOK</t>
        </is>
      </c>
      <c r="BD259" t="inlineStr">
        <is>
          <t>9780846216735</t>
        </is>
      </c>
      <c r="BE259" t="inlineStr">
        <is>
          <t>32285003150629</t>
        </is>
      </c>
      <c r="BF259" t="inlineStr">
        <is>
          <t>893511871</t>
        </is>
      </c>
    </row>
    <row r="260">
      <c r="A260" t="inlineStr">
        <is>
          <t>No</t>
        </is>
      </c>
      <c r="B260" t="inlineStr">
        <is>
          <t>CURAL</t>
        </is>
      </c>
      <c r="C260" t="inlineStr">
        <is>
          <t>SHELVES</t>
        </is>
      </c>
      <c r="D260" t="inlineStr">
        <is>
          <t>PR1760 .A2 1963</t>
        </is>
      </c>
      <c r="E260" t="inlineStr">
        <is>
          <t>0                      PR 1760000A  2           1963</t>
        </is>
      </c>
      <c r="F260" t="inlineStr">
        <is>
          <t>Anglo-Saxon riddles of the Exeter book. Translated by Paull F. Baum.</t>
        </is>
      </c>
      <c r="H260" t="inlineStr">
        <is>
          <t>No</t>
        </is>
      </c>
      <c r="I260" t="inlineStr">
        <is>
          <t>1</t>
        </is>
      </c>
      <c r="J260" t="inlineStr">
        <is>
          <t>No</t>
        </is>
      </c>
      <c r="K260" t="inlineStr">
        <is>
          <t>No</t>
        </is>
      </c>
      <c r="L260" t="inlineStr">
        <is>
          <t>0</t>
        </is>
      </c>
      <c r="M260" t="inlineStr">
        <is>
          <t>Exeter book.</t>
        </is>
      </c>
      <c r="N260" t="inlineStr">
        <is>
          <t>Durham, N.C., Duke University Press, 1963.</t>
        </is>
      </c>
      <c r="O260" t="inlineStr">
        <is>
          <t>1963</t>
        </is>
      </c>
      <c r="Q260" t="inlineStr">
        <is>
          <t>eng</t>
        </is>
      </c>
      <c r="R260" t="inlineStr">
        <is>
          <t>ncu</t>
        </is>
      </c>
      <c r="T260" t="inlineStr">
        <is>
          <t xml:space="preserve">PR </t>
        </is>
      </c>
      <c r="U260" t="n">
        <v>5</v>
      </c>
      <c r="V260" t="n">
        <v>5</v>
      </c>
      <c r="W260" t="inlineStr">
        <is>
          <t>2006-04-04</t>
        </is>
      </c>
      <c r="X260" t="inlineStr">
        <is>
          <t>2006-04-04</t>
        </is>
      </c>
      <c r="Y260" t="inlineStr">
        <is>
          <t>1997-07-29</t>
        </is>
      </c>
      <c r="Z260" t="inlineStr">
        <is>
          <t>1997-07-29</t>
        </is>
      </c>
      <c r="AA260" t="n">
        <v>527</v>
      </c>
      <c r="AB260" t="n">
        <v>443</v>
      </c>
      <c r="AC260" t="n">
        <v>450</v>
      </c>
      <c r="AD260" t="n">
        <v>3</v>
      </c>
      <c r="AE260" t="n">
        <v>3</v>
      </c>
      <c r="AF260" t="n">
        <v>19</v>
      </c>
      <c r="AG260" t="n">
        <v>19</v>
      </c>
      <c r="AH260" t="n">
        <v>5</v>
      </c>
      <c r="AI260" t="n">
        <v>5</v>
      </c>
      <c r="AJ260" t="n">
        <v>7</v>
      </c>
      <c r="AK260" t="n">
        <v>7</v>
      </c>
      <c r="AL260" t="n">
        <v>9</v>
      </c>
      <c r="AM260" t="n">
        <v>9</v>
      </c>
      <c r="AN260" t="n">
        <v>2</v>
      </c>
      <c r="AO260" t="n">
        <v>2</v>
      </c>
      <c r="AP260" t="n">
        <v>0</v>
      </c>
      <c r="AQ260" t="n">
        <v>0</v>
      </c>
      <c r="AR260" t="inlineStr">
        <is>
          <t>Yes</t>
        </is>
      </c>
      <c r="AS260" t="inlineStr">
        <is>
          <t>No</t>
        </is>
      </c>
      <c r="AT260">
        <f>HYPERLINK("http://catalog.hathitrust.org/Record/000557997","HathiTrust Record")</f>
        <v/>
      </c>
      <c r="AU260">
        <f>HYPERLINK("https://creighton-primo.hosted.exlibrisgroup.com/primo-explore/search?tab=default_tab&amp;search_scope=EVERYTHING&amp;vid=01CRU&amp;lang=en_US&amp;offset=0&amp;query=any,contains,991003979129702656","Catalog Record")</f>
        <v/>
      </c>
      <c r="AV260">
        <f>HYPERLINK("http://www.worldcat.org/oclc/2016130","WorldCat Record")</f>
        <v/>
      </c>
      <c r="AW260" t="inlineStr">
        <is>
          <t>1779167172:eng</t>
        </is>
      </c>
      <c r="AX260" t="inlineStr">
        <is>
          <t>2016130</t>
        </is>
      </c>
      <c r="AY260" t="inlineStr">
        <is>
          <t>991003979129702656</t>
        </is>
      </c>
      <c r="AZ260" t="inlineStr">
        <is>
          <t>991003979129702656</t>
        </is>
      </c>
      <c r="BA260" t="inlineStr">
        <is>
          <t>2258291940002656</t>
        </is>
      </c>
      <c r="BB260" t="inlineStr">
        <is>
          <t>BOOK</t>
        </is>
      </c>
      <c r="BE260" t="inlineStr">
        <is>
          <t>32285002987245</t>
        </is>
      </c>
      <c r="BF260" t="inlineStr">
        <is>
          <t>893605484</t>
        </is>
      </c>
    </row>
    <row r="261">
      <c r="A261" t="inlineStr">
        <is>
          <t>No</t>
        </is>
      </c>
      <c r="B261" t="inlineStr">
        <is>
          <t>CURAL</t>
        </is>
      </c>
      <c r="C261" t="inlineStr">
        <is>
          <t>SHELVES</t>
        </is>
      </c>
      <c r="D261" t="inlineStr">
        <is>
          <t>PR1786 .A1</t>
        </is>
      </c>
      <c r="E261" t="inlineStr">
        <is>
          <t>0                      PR 1786000A  1</t>
        </is>
      </c>
      <c r="F261" t="inlineStr">
        <is>
          <t>The Wandere /; edited by R.F. Leslie.</t>
        </is>
      </c>
      <c r="H261" t="inlineStr">
        <is>
          <t>No</t>
        </is>
      </c>
      <c r="I261" t="inlineStr">
        <is>
          <t>1</t>
        </is>
      </c>
      <c r="J261" t="inlineStr">
        <is>
          <t>No</t>
        </is>
      </c>
      <c r="K261" t="inlineStr">
        <is>
          <t>No</t>
        </is>
      </c>
      <c r="L261" t="inlineStr">
        <is>
          <t>0</t>
        </is>
      </c>
      <c r="M261" t="inlineStr">
        <is>
          <t>Wanderer (Anglo-Saxon poem)</t>
        </is>
      </c>
      <c r="N261" t="inlineStr">
        <is>
          <t>Manchester : Manchester U.P., [1966]</t>
        </is>
      </c>
      <c r="O261" t="inlineStr">
        <is>
          <t>1966</t>
        </is>
      </c>
      <c r="Q261" t="inlineStr">
        <is>
          <t>ang</t>
        </is>
      </c>
      <c r="R261" t="inlineStr">
        <is>
          <t>enk</t>
        </is>
      </c>
      <c r="S261" t="inlineStr">
        <is>
          <t>Old and Middle English texts</t>
        </is>
      </c>
      <c r="T261" t="inlineStr">
        <is>
          <t xml:space="preserve">PR </t>
        </is>
      </c>
      <c r="U261" t="n">
        <v>2</v>
      </c>
      <c r="V261" t="n">
        <v>2</v>
      </c>
      <c r="W261" t="inlineStr">
        <is>
          <t>1998-03-17</t>
        </is>
      </c>
      <c r="X261" t="inlineStr">
        <is>
          <t>1998-03-17</t>
        </is>
      </c>
      <c r="Y261" t="inlineStr">
        <is>
          <t>1997-07-29</t>
        </is>
      </c>
      <c r="Z261" t="inlineStr">
        <is>
          <t>1997-07-29</t>
        </is>
      </c>
      <c r="AA261" t="n">
        <v>305</v>
      </c>
      <c r="AB261" t="n">
        <v>194</v>
      </c>
      <c r="AC261" t="n">
        <v>221</v>
      </c>
      <c r="AD261" t="n">
        <v>2</v>
      </c>
      <c r="AE261" t="n">
        <v>2</v>
      </c>
      <c r="AF261" t="n">
        <v>13</v>
      </c>
      <c r="AG261" t="n">
        <v>13</v>
      </c>
      <c r="AH261" t="n">
        <v>4</v>
      </c>
      <c r="AI261" t="n">
        <v>4</v>
      </c>
      <c r="AJ261" t="n">
        <v>2</v>
      </c>
      <c r="AK261" t="n">
        <v>2</v>
      </c>
      <c r="AL261" t="n">
        <v>10</v>
      </c>
      <c r="AM261" t="n">
        <v>10</v>
      </c>
      <c r="AN261" t="n">
        <v>1</v>
      </c>
      <c r="AO261" t="n">
        <v>1</v>
      </c>
      <c r="AP261" t="n">
        <v>0</v>
      </c>
      <c r="AQ261" t="n">
        <v>0</v>
      </c>
      <c r="AR261" t="inlineStr">
        <is>
          <t>No</t>
        </is>
      </c>
      <c r="AS261" t="inlineStr">
        <is>
          <t>Yes</t>
        </is>
      </c>
      <c r="AT261">
        <f>HYPERLINK("http://catalog.hathitrust.org/Record/001187894","HathiTrust Record")</f>
        <v/>
      </c>
      <c r="AU261">
        <f>HYPERLINK("https://creighton-primo.hosted.exlibrisgroup.com/primo-explore/search?tab=default_tab&amp;search_scope=EVERYTHING&amp;vid=01CRU&amp;lang=en_US&amp;offset=0&amp;query=any,contains,991003979159702656","Catalog Record")</f>
        <v/>
      </c>
      <c r="AV261">
        <f>HYPERLINK("http://www.worldcat.org/oclc/2016228","WorldCat Record")</f>
        <v/>
      </c>
      <c r="AW261" t="inlineStr">
        <is>
          <t>3372205700:ang</t>
        </is>
      </c>
      <c r="AX261" t="inlineStr">
        <is>
          <t>2016228</t>
        </is>
      </c>
      <c r="AY261" t="inlineStr">
        <is>
          <t>991003979159702656</t>
        </is>
      </c>
      <c r="AZ261" t="inlineStr">
        <is>
          <t>991003979159702656</t>
        </is>
      </c>
      <c r="BA261" t="inlineStr">
        <is>
          <t>2258352380002656</t>
        </is>
      </c>
      <c r="BB261" t="inlineStr">
        <is>
          <t>BOOK</t>
        </is>
      </c>
      <c r="BE261" t="inlineStr">
        <is>
          <t>32285002987260</t>
        </is>
      </c>
      <c r="BF261" t="inlineStr">
        <is>
          <t>893525492</t>
        </is>
      </c>
    </row>
    <row r="262">
      <c r="A262" t="inlineStr">
        <is>
          <t>No</t>
        </is>
      </c>
      <c r="B262" t="inlineStr">
        <is>
          <t>CURAL</t>
        </is>
      </c>
      <c r="C262" t="inlineStr">
        <is>
          <t>SHELVES</t>
        </is>
      </c>
      <c r="D262" t="inlineStr">
        <is>
          <t>PR179.M53 H68 1989</t>
        </is>
      </c>
      <c r="E262" t="inlineStr">
        <is>
          <t>0                      PR 0179000M  53                 H  68          1989</t>
        </is>
      </c>
      <c r="F262" t="inlineStr">
        <is>
          <t>Migration and mythmaking in Anglo-Saxon England / Nicholas Howe.</t>
        </is>
      </c>
      <c r="H262" t="inlineStr">
        <is>
          <t>No</t>
        </is>
      </c>
      <c r="I262" t="inlineStr">
        <is>
          <t>1</t>
        </is>
      </c>
      <c r="J262" t="inlineStr">
        <is>
          <t>No</t>
        </is>
      </c>
      <c r="K262" t="inlineStr">
        <is>
          <t>No</t>
        </is>
      </c>
      <c r="L262" t="inlineStr">
        <is>
          <t>0</t>
        </is>
      </c>
      <c r="M262" t="inlineStr">
        <is>
          <t>Howe, Nicholas.</t>
        </is>
      </c>
      <c r="N262" t="inlineStr">
        <is>
          <t>New Haven : Yale University Press, c1989.</t>
        </is>
      </c>
      <c r="O262" t="inlineStr">
        <is>
          <t>1989</t>
        </is>
      </c>
      <c r="Q262" t="inlineStr">
        <is>
          <t>eng</t>
        </is>
      </c>
      <c r="R262" t="inlineStr">
        <is>
          <t>ctu</t>
        </is>
      </c>
      <c r="T262" t="inlineStr">
        <is>
          <t xml:space="preserve">PR </t>
        </is>
      </c>
      <c r="U262" t="n">
        <v>12</v>
      </c>
      <c r="V262" t="n">
        <v>12</v>
      </c>
      <c r="W262" t="inlineStr">
        <is>
          <t>2008-10-27</t>
        </is>
      </c>
      <c r="X262" t="inlineStr">
        <is>
          <t>2008-10-27</t>
        </is>
      </c>
      <c r="Y262" t="inlineStr">
        <is>
          <t>1989-12-29</t>
        </is>
      </c>
      <c r="Z262" t="inlineStr">
        <is>
          <t>1989-12-29</t>
        </is>
      </c>
      <c r="AA262" t="n">
        <v>538</v>
      </c>
      <c r="AB262" t="n">
        <v>432</v>
      </c>
      <c r="AC262" t="n">
        <v>460</v>
      </c>
      <c r="AD262" t="n">
        <v>4</v>
      </c>
      <c r="AE262" t="n">
        <v>4</v>
      </c>
      <c r="AF262" t="n">
        <v>27</v>
      </c>
      <c r="AG262" t="n">
        <v>28</v>
      </c>
      <c r="AH262" t="n">
        <v>11</v>
      </c>
      <c r="AI262" t="n">
        <v>12</v>
      </c>
      <c r="AJ262" t="n">
        <v>6</v>
      </c>
      <c r="AK262" t="n">
        <v>6</v>
      </c>
      <c r="AL262" t="n">
        <v>17</v>
      </c>
      <c r="AM262" t="n">
        <v>17</v>
      </c>
      <c r="AN262" t="n">
        <v>3</v>
      </c>
      <c r="AO262" t="n">
        <v>3</v>
      </c>
      <c r="AP262" t="n">
        <v>0</v>
      </c>
      <c r="AQ262" t="n">
        <v>0</v>
      </c>
      <c r="AR262" t="inlineStr">
        <is>
          <t>No</t>
        </is>
      </c>
      <c r="AS262" t="inlineStr">
        <is>
          <t>No</t>
        </is>
      </c>
      <c r="AU262">
        <f>HYPERLINK("https://creighton-primo.hosted.exlibrisgroup.com/primo-explore/search?tab=default_tab&amp;search_scope=EVERYTHING&amp;vid=01CRU&amp;lang=en_US&amp;offset=0&amp;query=any,contains,991001451949702656","Catalog Record")</f>
        <v/>
      </c>
      <c r="AV262">
        <f>HYPERLINK("http://www.worldcat.org/oclc/19325612","WorldCat Record")</f>
        <v/>
      </c>
      <c r="AW262" t="inlineStr">
        <is>
          <t>21433039:eng</t>
        </is>
      </c>
      <c r="AX262" t="inlineStr">
        <is>
          <t>19325612</t>
        </is>
      </c>
      <c r="AY262" t="inlineStr">
        <is>
          <t>991001451949702656</t>
        </is>
      </c>
      <c r="AZ262" t="inlineStr">
        <is>
          <t>991001451949702656</t>
        </is>
      </c>
      <c r="BA262" t="inlineStr">
        <is>
          <t>2265425710002656</t>
        </is>
      </c>
      <c r="BB262" t="inlineStr">
        <is>
          <t>BOOK</t>
        </is>
      </c>
      <c r="BD262" t="inlineStr">
        <is>
          <t>9780300045123</t>
        </is>
      </c>
      <c r="BE262" t="inlineStr">
        <is>
          <t>32285000025212</t>
        </is>
      </c>
      <c r="BF262" t="inlineStr">
        <is>
          <t>893785114</t>
        </is>
      </c>
    </row>
    <row r="263">
      <c r="A263" t="inlineStr">
        <is>
          <t>No</t>
        </is>
      </c>
      <c r="B263" t="inlineStr">
        <is>
          <t>CURAL</t>
        </is>
      </c>
      <c r="C263" t="inlineStr">
        <is>
          <t>SHELVES</t>
        </is>
      </c>
      <c r="D263" t="inlineStr">
        <is>
          <t>PR179.T48 R49 2000</t>
        </is>
      </c>
      <c r="E263" t="inlineStr">
        <is>
          <t>0                      PR 0179000T  48                 R  49          2000</t>
        </is>
      </c>
      <c r="F263" t="inlineStr">
        <is>
          <t>Rewriting Old English in the twelfth century / edited by Mary Swan, Elaine M. Treharne.</t>
        </is>
      </c>
      <c r="H263" t="inlineStr">
        <is>
          <t>No</t>
        </is>
      </c>
      <c r="I263" t="inlineStr">
        <is>
          <t>1</t>
        </is>
      </c>
      <c r="J263" t="inlineStr">
        <is>
          <t>No</t>
        </is>
      </c>
      <c r="K263" t="inlineStr">
        <is>
          <t>No</t>
        </is>
      </c>
      <c r="L263" t="inlineStr">
        <is>
          <t>0</t>
        </is>
      </c>
      <c r="N263" t="inlineStr">
        <is>
          <t>Cambridge ; New York : Cambridge University Press, 2000.</t>
        </is>
      </c>
      <c r="O263" t="inlineStr">
        <is>
          <t>2000</t>
        </is>
      </c>
      <c r="Q263" t="inlineStr">
        <is>
          <t>eng</t>
        </is>
      </c>
      <c r="R263" t="inlineStr">
        <is>
          <t>enk</t>
        </is>
      </c>
      <c r="S263" t="inlineStr">
        <is>
          <t>Cambridge studies in Anglo-Saxon England ; 30</t>
        </is>
      </c>
      <c r="T263" t="inlineStr">
        <is>
          <t xml:space="preserve">PR </t>
        </is>
      </c>
      <c r="U263" t="n">
        <v>1</v>
      </c>
      <c r="V263" t="n">
        <v>1</v>
      </c>
      <c r="W263" t="inlineStr">
        <is>
          <t>2002-05-22</t>
        </is>
      </c>
      <c r="X263" t="inlineStr">
        <is>
          <t>2002-05-22</t>
        </is>
      </c>
      <c r="Y263" t="inlineStr">
        <is>
          <t>2002-05-15</t>
        </is>
      </c>
      <c r="Z263" t="inlineStr">
        <is>
          <t>2002-05-15</t>
        </is>
      </c>
      <c r="AA263" t="n">
        <v>290</v>
      </c>
      <c r="AB263" t="n">
        <v>200</v>
      </c>
      <c r="AC263" t="n">
        <v>205</v>
      </c>
      <c r="AD263" t="n">
        <v>3</v>
      </c>
      <c r="AE263" t="n">
        <v>3</v>
      </c>
      <c r="AF263" t="n">
        <v>16</v>
      </c>
      <c r="AG263" t="n">
        <v>16</v>
      </c>
      <c r="AH263" t="n">
        <v>5</v>
      </c>
      <c r="AI263" t="n">
        <v>5</v>
      </c>
      <c r="AJ263" t="n">
        <v>4</v>
      </c>
      <c r="AK263" t="n">
        <v>4</v>
      </c>
      <c r="AL263" t="n">
        <v>10</v>
      </c>
      <c r="AM263" t="n">
        <v>10</v>
      </c>
      <c r="AN263" t="n">
        <v>2</v>
      </c>
      <c r="AO263" t="n">
        <v>2</v>
      </c>
      <c r="AP263" t="n">
        <v>0</v>
      </c>
      <c r="AQ263" t="n">
        <v>0</v>
      </c>
      <c r="AR263" t="inlineStr">
        <is>
          <t>No</t>
        </is>
      </c>
      <c r="AS263" t="inlineStr">
        <is>
          <t>No</t>
        </is>
      </c>
      <c r="AU263">
        <f>HYPERLINK("https://creighton-primo.hosted.exlibrisgroup.com/primo-explore/search?tab=default_tab&amp;search_scope=EVERYTHING&amp;vid=01CRU&amp;lang=en_US&amp;offset=0&amp;query=any,contains,991003792049702656","Catalog Record")</f>
        <v/>
      </c>
      <c r="AV263">
        <f>HYPERLINK("http://www.worldcat.org/oclc/42692154","WorldCat Record")</f>
        <v/>
      </c>
      <c r="AW263" t="inlineStr">
        <is>
          <t>351059250:eng</t>
        </is>
      </c>
      <c r="AX263" t="inlineStr">
        <is>
          <t>42692154</t>
        </is>
      </c>
      <c r="AY263" t="inlineStr">
        <is>
          <t>991003792049702656</t>
        </is>
      </c>
      <c r="AZ263" t="inlineStr">
        <is>
          <t>991003792049702656</t>
        </is>
      </c>
      <c r="BA263" t="inlineStr">
        <is>
          <t>2258044890002656</t>
        </is>
      </c>
      <c r="BB263" t="inlineStr">
        <is>
          <t>BOOK</t>
        </is>
      </c>
      <c r="BD263" t="inlineStr">
        <is>
          <t>9780521623728</t>
        </is>
      </c>
      <c r="BE263" t="inlineStr">
        <is>
          <t>32285004488879</t>
        </is>
      </c>
      <c r="BF263" t="inlineStr">
        <is>
          <t>893336954</t>
        </is>
      </c>
    </row>
    <row r="264">
      <c r="A264" t="inlineStr">
        <is>
          <t>No</t>
        </is>
      </c>
      <c r="B264" t="inlineStr">
        <is>
          <t>CURAL</t>
        </is>
      </c>
      <c r="C264" t="inlineStr">
        <is>
          <t>SHELVES</t>
        </is>
      </c>
      <c r="D264" t="inlineStr">
        <is>
          <t>PR179.W65 C4 1986</t>
        </is>
      </c>
      <c r="E264" t="inlineStr">
        <is>
          <t>0                      PR 0179000W  65                 C  4           1986</t>
        </is>
      </c>
      <c r="F264" t="inlineStr">
        <is>
          <t>Woman as hero in Old English literature / Jane Chance.</t>
        </is>
      </c>
      <c r="H264" t="inlineStr">
        <is>
          <t>No</t>
        </is>
      </c>
      <c r="I264" t="inlineStr">
        <is>
          <t>1</t>
        </is>
      </c>
      <c r="J264" t="inlineStr">
        <is>
          <t>No</t>
        </is>
      </c>
      <c r="K264" t="inlineStr">
        <is>
          <t>No</t>
        </is>
      </c>
      <c r="L264" t="inlineStr">
        <is>
          <t>0</t>
        </is>
      </c>
      <c r="M264" t="inlineStr">
        <is>
          <t>Chance, Jane, 1945-</t>
        </is>
      </c>
      <c r="N264" t="inlineStr">
        <is>
          <t>Syracuse, N.Y. : Syracuse University Press, 1986.</t>
        </is>
      </c>
      <c r="O264" t="inlineStr">
        <is>
          <t>1986</t>
        </is>
      </c>
      <c r="P264" t="inlineStr">
        <is>
          <t>1st ed.</t>
        </is>
      </c>
      <c r="Q264" t="inlineStr">
        <is>
          <t>eng</t>
        </is>
      </c>
      <c r="R264" t="inlineStr">
        <is>
          <t>nyu</t>
        </is>
      </c>
      <c r="T264" t="inlineStr">
        <is>
          <t xml:space="preserve">PR </t>
        </is>
      </c>
      <c r="U264" t="n">
        <v>3</v>
      </c>
      <c r="V264" t="n">
        <v>3</v>
      </c>
      <c r="W264" t="inlineStr">
        <is>
          <t>2008-03-25</t>
        </is>
      </c>
      <c r="X264" t="inlineStr">
        <is>
          <t>2008-03-25</t>
        </is>
      </c>
      <c r="Y264" t="inlineStr">
        <is>
          <t>1991-08-28</t>
        </is>
      </c>
      <c r="Z264" t="inlineStr">
        <is>
          <t>1991-08-28</t>
        </is>
      </c>
      <c r="AA264" t="n">
        <v>571</v>
      </c>
      <c r="AB264" t="n">
        <v>469</v>
      </c>
      <c r="AC264" t="n">
        <v>490</v>
      </c>
      <c r="AD264" t="n">
        <v>4</v>
      </c>
      <c r="AE264" t="n">
        <v>4</v>
      </c>
      <c r="AF264" t="n">
        <v>21</v>
      </c>
      <c r="AG264" t="n">
        <v>21</v>
      </c>
      <c r="AH264" t="n">
        <v>6</v>
      </c>
      <c r="AI264" t="n">
        <v>6</v>
      </c>
      <c r="AJ264" t="n">
        <v>5</v>
      </c>
      <c r="AK264" t="n">
        <v>5</v>
      </c>
      <c r="AL264" t="n">
        <v>13</v>
      </c>
      <c r="AM264" t="n">
        <v>13</v>
      </c>
      <c r="AN264" t="n">
        <v>3</v>
      </c>
      <c r="AO264" t="n">
        <v>3</v>
      </c>
      <c r="AP264" t="n">
        <v>0</v>
      </c>
      <c r="AQ264" t="n">
        <v>0</v>
      </c>
      <c r="AR264" t="inlineStr">
        <is>
          <t>No</t>
        </is>
      </c>
      <c r="AS264" t="inlineStr">
        <is>
          <t>Yes</t>
        </is>
      </c>
      <c r="AT264">
        <f>HYPERLINK("http://catalog.hathitrust.org/Record/000466432","HathiTrust Record")</f>
        <v/>
      </c>
      <c r="AU264">
        <f>HYPERLINK("https://creighton-primo.hosted.exlibrisgroup.com/primo-explore/search?tab=default_tab&amp;search_scope=EVERYTHING&amp;vid=01CRU&amp;lang=en_US&amp;offset=0&amp;query=any,contains,991000677749702656","Catalog Record")</f>
        <v/>
      </c>
      <c r="AV264">
        <f>HYPERLINK("http://www.worldcat.org/oclc/12370449","WorldCat Record")</f>
        <v/>
      </c>
      <c r="AW264" t="inlineStr">
        <is>
          <t>5023170:eng</t>
        </is>
      </c>
      <c r="AX264" t="inlineStr">
        <is>
          <t>12370449</t>
        </is>
      </c>
      <c r="AY264" t="inlineStr">
        <is>
          <t>991000677749702656</t>
        </is>
      </c>
      <c r="AZ264" t="inlineStr">
        <is>
          <t>991000677749702656</t>
        </is>
      </c>
      <c r="BA264" t="inlineStr">
        <is>
          <t>2261361450002656</t>
        </is>
      </c>
      <c r="BB264" t="inlineStr">
        <is>
          <t>BOOK</t>
        </is>
      </c>
      <c r="BD264" t="inlineStr">
        <is>
          <t>9780815623465</t>
        </is>
      </c>
      <c r="BE264" t="inlineStr">
        <is>
          <t>32285000730019</t>
        </is>
      </c>
      <c r="BF264" t="inlineStr">
        <is>
          <t>893589657</t>
        </is>
      </c>
    </row>
    <row r="265">
      <c r="A265" t="inlineStr">
        <is>
          <t>No</t>
        </is>
      </c>
      <c r="B265" t="inlineStr">
        <is>
          <t>CURAL</t>
        </is>
      </c>
      <c r="C265" t="inlineStr">
        <is>
          <t>SHELVES</t>
        </is>
      </c>
      <c r="D265" t="inlineStr">
        <is>
          <t>PR1810 .G4</t>
        </is>
      </c>
      <c r="E265" t="inlineStr">
        <is>
          <t>0                      PR 1810000G  4</t>
        </is>
      </c>
      <c r="F265" t="inlineStr">
        <is>
          <t>The solitary self : individuality in the Ancrene wisse / Linda Georgianna.</t>
        </is>
      </c>
      <c r="H265" t="inlineStr">
        <is>
          <t>No</t>
        </is>
      </c>
      <c r="I265" t="inlineStr">
        <is>
          <t>1</t>
        </is>
      </c>
      <c r="J265" t="inlineStr">
        <is>
          <t>No</t>
        </is>
      </c>
      <c r="K265" t="inlineStr">
        <is>
          <t>No</t>
        </is>
      </c>
      <c r="L265" t="inlineStr">
        <is>
          <t>0</t>
        </is>
      </c>
      <c r="M265" t="inlineStr">
        <is>
          <t>Georgianna, Linda, 1947-</t>
        </is>
      </c>
      <c r="N265" t="inlineStr">
        <is>
          <t>Cambridge, Mass. : Harvard University Press, 1981.</t>
        </is>
      </c>
      <c r="O265" t="inlineStr">
        <is>
          <t>1981</t>
        </is>
      </c>
      <c r="Q265" t="inlineStr">
        <is>
          <t>eng</t>
        </is>
      </c>
      <c r="R265" t="inlineStr">
        <is>
          <t>mau</t>
        </is>
      </c>
      <c r="T265" t="inlineStr">
        <is>
          <t xml:space="preserve">PR </t>
        </is>
      </c>
      <c r="U265" t="n">
        <v>1</v>
      </c>
      <c r="V265" t="n">
        <v>1</v>
      </c>
      <c r="W265" t="inlineStr">
        <is>
          <t>2007-10-08</t>
        </is>
      </c>
      <c r="X265" t="inlineStr">
        <is>
          <t>2007-10-08</t>
        </is>
      </c>
      <c r="Y265" t="inlineStr">
        <is>
          <t>1991-09-26</t>
        </is>
      </c>
      <c r="Z265" t="inlineStr">
        <is>
          <t>1991-09-26</t>
        </is>
      </c>
      <c r="AA265" t="n">
        <v>540</v>
      </c>
      <c r="AB265" t="n">
        <v>445</v>
      </c>
      <c r="AC265" t="n">
        <v>452</v>
      </c>
      <c r="AD265" t="n">
        <v>4</v>
      </c>
      <c r="AE265" t="n">
        <v>4</v>
      </c>
      <c r="AF265" t="n">
        <v>25</v>
      </c>
      <c r="AG265" t="n">
        <v>25</v>
      </c>
      <c r="AH265" t="n">
        <v>10</v>
      </c>
      <c r="AI265" t="n">
        <v>10</v>
      </c>
      <c r="AJ265" t="n">
        <v>6</v>
      </c>
      <c r="AK265" t="n">
        <v>6</v>
      </c>
      <c r="AL265" t="n">
        <v>14</v>
      </c>
      <c r="AM265" t="n">
        <v>14</v>
      </c>
      <c r="AN265" t="n">
        <v>3</v>
      </c>
      <c r="AO265" t="n">
        <v>3</v>
      </c>
      <c r="AP265" t="n">
        <v>0</v>
      </c>
      <c r="AQ265" t="n">
        <v>0</v>
      </c>
      <c r="AR265" t="inlineStr">
        <is>
          <t>No</t>
        </is>
      </c>
      <c r="AS265" t="inlineStr">
        <is>
          <t>Yes</t>
        </is>
      </c>
      <c r="AT265">
        <f>HYPERLINK("http://catalog.hathitrust.org/Record/000100397","HathiTrust Record")</f>
        <v/>
      </c>
      <c r="AU265">
        <f>HYPERLINK("https://creighton-primo.hosted.exlibrisgroup.com/primo-explore/search?tab=default_tab&amp;search_scope=EVERYTHING&amp;vid=01CRU&amp;lang=en_US&amp;offset=0&amp;query=any,contains,991005097829702656","Catalog Record")</f>
        <v/>
      </c>
      <c r="AV265">
        <f>HYPERLINK("http://www.worldcat.org/oclc/7276821","WorldCat Record")</f>
        <v/>
      </c>
      <c r="AW265" t="inlineStr">
        <is>
          <t>576938:eng</t>
        </is>
      </c>
      <c r="AX265" t="inlineStr">
        <is>
          <t>7276821</t>
        </is>
      </c>
      <c r="AY265" t="inlineStr">
        <is>
          <t>991005097829702656</t>
        </is>
      </c>
      <c r="AZ265" t="inlineStr">
        <is>
          <t>991005097829702656</t>
        </is>
      </c>
      <c r="BA265" t="inlineStr">
        <is>
          <t>2263456820002656</t>
        </is>
      </c>
      <c r="BB265" t="inlineStr">
        <is>
          <t>BOOK</t>
        </is>
      </c>
      <c r="BD265" t="inlineStr">
        <is>
          <t>9780674817517</t>
        </is>
      </c>
      <c r="BE265" t="inlineStr">
        <is>
          <t>32285000762673</t>
        </is>
      </c>
      <c r="BF265" t="inlineStr">
        <is>
          <t>893338501</t>
        </is>
      </c>
    </row>
    <row r="266">
      <c r="A266" t="inlineStr">
        <is>
          <t>No</t>
        </is>
      </c>
      <c r="B266" t="inlineStr">
        <is>
          <t>CURAL</t>
        </is>
      </c>
      <c r="C266" t="inlineStr">
        <is>
          <t>SHELVES</t>
        </is>
      </c>
      <c r="D266" t="inlineStr">
        <is>
          <t>PR182 .W75 1993</t>
        </is>
      </c>
      <c r="E266" t="inlineStr">
        <is>
          <t>0                      PR 0182000W  75          1993</t>
        </is>
      </c>
      <c r="F266" t="inlineStr">
        <is>
          <t>The Irish tradition in Old English literature / Charles D. Wright.</t>
        </is>
      </c>
      <c r="H266" t="inlineStr">
        <is>
          <t>No</t>
        </is>
      </c>
      <c r="I266" t="inlineStr">
        <is>
          <t>1</t>
        </is>
      </c>
      <c r="J266" t="inlineStr">
        <is>
          <t>No</t>
        </is>
      </c>
      <c r="K266" t="inlineStr">
        <is>
          <t>No</t>
        </is>
      </c>
      <c r="L266" t="inlineStr">
        <is>
          <t>0</t>
        </is>
      </c>
      <c r="M266" t="inlineStr">
        <is>
          <t>Wright, Charles Darwin, 1954-</t>
        </is>
      </c>
      <c r="N266" t="inlineStr">
        <is>
          <t>New York : Cambridge University Press, 1993.</t>
        </is>
      </c>
      <c r="O266" t="inlineStr">
        <is>
          <t>1993</t>
        </is>
      </c>
      <c r="Q266" t="inlineStr">
        <is>
          <t>eng</t>
        </is>
      </c>
      <c r="R266" t="inlineStr">
        <is>
          <t>nyu</t>
        </is>
      </c>
      <c r="S266" t="inlineStr">
        <is>
          <t>Cambridge studies in Anglo-Saxon England ; 6</t>
        </is>
      </c>
      <c r="T266" t="inlineStr">
        <is>
          <t xml:space="preserve">PR </t>
        </is>
      </c>
      <c r="U266" t="n">
        <v>7</v>
      </c>
      <c r="V266" t="n">
        <v>7</v>
      </c>
      <c r="W266" t="inlineStr">
        <is>
          <t>1999-09-14</t>
        </is>
      </c>
      <c r="X266" t="inlineStr">
        <is>
          <t>1999-09-14</t>
        </is>
      </c>
      <c r="Y266" t="inlineStr">
        <is>
          <t>1993-09-28</t>
        </is>
      </c>
      <c r="Z266" t="inlineStr">
        <is>
          <t>1993-09-28</t>
        </is>
      </c>
      <c r="AA266" t="n">
        <v>325</v>
      </c>
      <c r="AB266" t="n">
        <v>210</v>
      </c>
      <c r="AC266" t="n">
        <v>225</v>
      </c>
      <c r="AD266" t="n">
        <v>3</v>
      </c>
      <c r="AE266" t="n">
        <v>3</v>
      </c>
      <c r="AF266" t="n">
        <v>16</v>
      </c>
      <c r="AG266" t="n">
        <v>18</v>
      </c>
      <c r="AH266" t="n">
        <v>4</v>
      </c>
      <c r="AI266" t="n">
        <v>5</v>
      </c>
      <c r="AJ266" t="n">
        <v>5</v>
      </c>
      <c r="AK266" t="n">
        <v>6</v>
      </c>
      <c r="AL266" t="n">
        <v>12</v>
      </c>
      <c r="AM266" t="n">
        <v>12</v>
      </c>
      <c r="AN266" t="n">
        <v>2</v>
      </c>
      <c r="AO266" t="n">
        <v>2</v>
      </c>
      <c r="AP266" t="n">
        <v>0</v>
      </c>
      <c r="AQ266" t="n">
        <v>0</v>
      </c>
      <c r="AR266" t="inlineStr">
        <is>
          <t>No</t>
        </is>
      </c>
      <c r="AS266" t="inlineStr">
        <is>
          <t>No</t>
        </is>
      </c>
      <c r="AU266">
        <f>HYPERLINK("https://creighton-primo.hosted.exlibrisgroup.com/primo-explore/search?tab=default_tab&amp;search_scope=EVERYTHING&amp;vid=01CRU&amp;lang=en_US&amp;offset=0&amp;query=any,contains,991002000369702656","Catalog Record")</f>
        <v/>
      </c>
      <c r="AV266">
        <f>HYPERLINK("http://www.worldcat.org/oclc/25411127","WorldCat Record")</f>
        <v/>
      </c>
      <c r="AW266" t="inlineStr">
        <is>
          <t>27876246:eng</t>
        </is>
      </c>
      <c r="AX266" t="inlineStr">
        <is>
          <t>25411127</t>
        </is>
      </c>
      <c r="AY266" t="inlineStr">
        <is>
          <t>991002000369702656</t>
        </is>
      </c>
      <c r="AZ266" t="inlineStr">
        <is>
          <t>991002000369702656</t>
        </is>
      </c>
      <c r="BA266" t="inlineStr">
        <is>
          <t>2256424130002656</t>
        </is>
      </c>
      <c r="BB266" t="inlineStr">
        <is>
          <t>BOOK</t>
        </is>
      </c>
      <c r="BD266" t="inlineStr">
        <is>
          <t>9780521419093</t>
        </is>
      </c>
      <c r="BE266" t="inlineStr">
        <is>
          <t>32285001768240</t>
        </is>
      </c>
      <c r="BF266" t="inlineStr">
        <is>
          <t>893244635</t>
        </is>
      </c>
    </row>
    <row r="267">
      <c r="A267" t="inlineStr">
        <is>
          <t>No</t>
        </is>
      </c>
      <c r="B267" t="inlineStr">
        <is>
          <t>CURAL</t>
        </is>
      </c>
      <c r="C267" t="inlineStr">
        <is>
          <t>SHELVES</t>
        </is>
      </c>
      <c r="D267" t="inlineStr">
        <is>
          <t>PR1868.C63 B76 1994</t>
        </is>
      </c>
      <c r="E267" t="inlineStr">
        <is>
          <t>0                      PR 1868000C  63                 B  76          1994</t>
        </is>
      </c>
      <c r="F267" t="inlineStr">
        <is>
          <t>Chaucer's Clerk's tale : the Griselda story received, rewritten, illustrated / Judith Bronfman.</t>
        </is>
      </c>
      <c r="H267" t="inlineStr">
        <is>
          <t>No</t>
        </is>
      </c>
      <c r="I267" t="inlineStr">
        <is>
          <t>1</t>
        </is>
      </c>
      <c r="J267" t="inlineStr">
        <is>
          <t>No</t>
        </is>
      </c>
      <c r="K267" t="inlineStr">
        <is>
          <t>No</t>
        </is>
      </c>
      <c r="L267" t="inlineStr">
        <is>
          <t>0</t>
        </is>
      </c>
      <c r="M267" t="inlineStr">
        <is>
          <t>Bronfman, Judith.</t>
        </is>
      </c>
      <c r="N267" t="inlineStr">
        <is>
          <t>New York : Garland, 1994.</t>
        </is>
      </c>
      <c r="O267" t="inlineStr">
        <is>
          <t>1994</t>
        </is>
      </c>
      <c r="Q267" t="inlineStr">
        <is>
          <t>eng</t>
        </is>
      </c>
      <c r="R267" t="inlineStr">
        <is>
          <t>nyu</t>
        </is>
      </c>
      <c r="S267" t="inlineStr">
        <is>
          <t>Garland reference library of the humanities ; vol. 1831</t>
        </is>
      </c>
      <c r="T267" t="inlineStr">
        <is>
          <t xml:space="preserve">PR </t>
        </is>
      </c>
      <c r="U267" t="n">
        <v>2</v>
      </c>
      <c r="V267" t="n">
        <v>2</v>
      </c>
      <c r="W267" t="inlineStr">
        <is>
          <t>1995-11-04</t>
        </is>
      </c>
      <c r="X267" t="inlineStr">
        <is>
          <t>1995-11-04</t>
        </is>
      </c>
      <c r="Y267" t="inlineStr">
        <is>
          <t>1995-06-01</t>
        </is>
      </c>
      <c r="Z267" t="inlineStr">
        <is>
          <t>1995-06-01</t>
        </is>
      </c>
      <c r="AA267" t="n">
        <v>244</v>
      </c>
      <c r="AB267" t="n">
        <v>184</v>
      </c>
      <c r="AC267" t="n">
        <v>212</v>
      </c>
      <c r="AD267" t="n">
        <v>3</v>
      </c>
      <c r="AE267" t="n">
        <v>3</v>
      </c>
      <c r="AF267" t="n">
        <v>12</v>
      </c>
      <c r="AG267" t="n">
        <v>12</v>
      </c>
      <c r="AH267" t="n">
        <v>3</v>
      </c>
      <c r="AI267" t="n">
        <v>3</v>
      </c>
      <c r="AJ267" t="n">
        <v>4</v>
      </c>
      <c r="AK267" t="n">
        <v>4</v>
      </c>
      <c r="AL267" t="n">
        <v>8</v>
      </c>
      <c r="AM267" t="n">
        <v>8</v>
      </c>
      <c r="AN267" t="n">
        <v>2</v>
      </c>
      <c r="AO267" t="n">
        <v>2</v>
      </c>
      <c r="AP267" t="n">
        <v>0</v>
      </c>
      <c r="AQ267" t="n">
        <v>0</v>
      </c>
      <c r="AR267" t="inlineStr">
        <is>
          <t>No</t>
        </is>
      </c>
      <c r="AS267" t="inlineStr">
        <is>
          <t>No</t>
        </is>
      </c>
      <c r="AU267">
        <f>HYPERLINK("https://creighton-primo.hosted.exlibrisgroup.com/primo-explore/search?tab=default_tab&amp;search_scope=EVERYTHING&amp;vid=01CRU&amp;lang=en_US&amp;offset=0&amp;query=any,contains,991002313739702656","Catalog Record")</f>
        <v/>
      </c>
      <c r="AV267">
        <f>HYPERLINK("http://www.worldcat.org/oclc/30031129","WorldCat Record")</f>
        <v/>
      </c>
      <c r="AW267" t="inlineStr">
        <is>
          <t>907145:eng</t>
        </is>
      </c>
      <c r="AX267" t="inlineStr">
        <is>
          <t>30031129</t>
        </is>
      </c>
      <c r="AY267" t="inlineStr">
        <is>
          <t>991002313739702656</t>
        </is>
      </c>
      <c r="AZ267" t="inlineStr">
        <is>
          <t>991002313739702656</t>
        </is>
      </c>
      <c r="BA267" t="inlineStr">
        <is>
          <t>2269546860002656</t>
        </is>
      </c>
      <c r="BB267" t="inlineStr">
        <is>
          <t>BOOK</t>
        </is>
      </c>
      <c r="BD267" t="inlineStr">
        <is>
          <t>9780815316404</t>
        </is>
      </c>
      <c r="BE267" t="inlineStr">
        <is>
          <t>32285002049517</t>
        </is>
      </c>
      <c r="BF267" t="inlineStr">
        <is>
          <t>893798435</t>
        </is>
      </c>
    </row>
    <row r="268">
      <c r="A268" t="inlineStr">
        <is>
          <t>No</t>
        </is>
      </c>
      <c r="B268" t="inlineStr">
        <is>
          <t>CURAL</t>
        </is>
      </c>
      <c r="C268" t="inlineStr">
        <is>
          <t>SHELVES</t>
        </is>
      </c>
      <c r="D268" t="inlineStr">
        <is>
          <t>PR1875.H67 C85 1998</t>
        </is>
      </c>
      <c r="E268" t="inlineStr">
        <is>
          <t>0                      PR 1875000H  67                 C  85          1998</t>
        </is>
      </c>
      <c r="F268" t="inlineStr">
        <is>
          <t>Chaucer's host : up-so-doun / Dolores L. Cullen.</t>
        </is>
      </c>
      <c r="H268" t="inlineStr">
        <is>
          <t>No</t>
        </is>
      </c>
      <c r="I268" t="inlineStr">
        <is>
          <t>1</t>
        </is>
      </c>
      <c r="J268" t="inlineStr">
        <is>
          <t>No</t>
        </is>
      </c>
      <c r="K268" t="inlineStr">
        <is>
          <t>No</t>
        </is>
      </c>
      <c r="L268" t="inlineStr">
        <is>
          <t>0</t>
        </is>
      </c>
      <c r="M268" t="inlineStr">
        <is>
          <t>Cullen, Dolores L., 1928-</t>
        </is>
      </c>
      <c r="N268" t="inlineStr">
        <is>
          <t>Santa Barbara, CA : Fithian Press, 1998.</t>
        </is>
      </c>
      <c r="O268" t="inlineStr">
        <is>
          <t>1998</t>
        </is>
      </c>
      <c r="Q268" t="inlineStr">
        <is>
          <t>eng</t>
        </is>
      </c>
      <c r="R268" t="inlineStr">
        <is>
          <t>cau</t>
        </is>
      </c>
      <c r="T268" t="inlineStr">
        <is>
          <t xml:space="preserve">PR </t>
        </is>
      </c>
      <c r="U268" t="n">
        <v>4</v>
      </c>
      <c r="V268" t="n">
        <v>4</v>
      </c>
      <c r="W268" t="inlineStr">
        <is>
          <t>2005-11-06</t>
        </is>
      </c>
      <c r="X268" t="inlineStr">
        <is>
          <t>2005-11-06</t>
        </is>
      </c>
      <c r="Y268" t="inlineStr">
        <is>
          <t>2004-05-17</t>
        </is>
      </c>
      <c r="Z268" t="inlineStr">
        <is>
          <t>2004-05-17</t>
        </is>
      </c>
      <c r="AA268" t="n">
        <v>243</v>
      </c>
      <c r="AB268" t="n">
        <v>228</v>
      </c>
      <c r="AC268" t="n">
        <v>229</v>
      </c>
      <c r="AD268" t="n">
        <v>4</v>
      </c>
      <c r="AE268" t="n">
        <v>4</v>
      </c>
      <c r="AF268" t="n">
        <v>21</v>
      </c>
      <c r="AG268" t="n">
        <v>21</v>
      </c>
      <c r="AH268" t="n">
        <v>7</v>
      </c>
      <c r="AI268" t="n">
        <v>7</v>
      </c>
      <c r="AJ268" t="n">
        <v>6</v>
      </c>
      <c r="AK268" t="n">
        <v>6</v>
      </c>
      <c r="AL268" t="n">
        <v>11</v>
      </c>
      <c r="AM268" t="n">
        <v>11</v>
      </c>
      <c r="AN268" t="n">
        <v>3</v>
      </c>
      <c r="AO268" t="n">
        <v>3</v>
      </c>
      <c r="AP268" t="n">
        <v>0</v>
      </c>
      <c r="AQ268" t="n">
        <v>0</v>
      </c>
      <c r="AR268" t="inlineStr">
        <is>
          <t>No</t>
        </is>
      </c>
      <c r="AS268" t="inlineStr">
        <is>
          <t>No</t>
        </is>
      </c>
      <c r="AU268">
        <f>HYPERLINK("https://creighton-primo.hosted.exlibrisgroup.com/primo-explore/search?tab=default_tab&amp;search_scope=EVERYTHING&amp;vid=01CRU&amp;lang=en_US&amp;offset=0&amp;query=any,contains,991004299929702656","Catalog Record")</f>
        <v/>
      </c>
      <c r="AV268">
        <f>HYPERLINK("http://www.worldcat.org/oclc/38113191","WorldCat Record")</f>
        <v/>
      </c>
      <c r="AW268" t="inlineStr">
        <is>
          <t>675418:eng</t>
        </is>
      </c>
      <c r="AX268" t="inlineStr">
        <is>
          <t>38113191</t>
        </is>
      </c>
      <c r="AY268" t="inlineStr">
        <is>
          <t>991004299929702656</t>
        </is>
      </c>
      <c r="AZ268" t="inlineStr">
        <is>
          <t>991004299929702656</t>
        </is>
      </c>
      <c r="BA268" t="inlineStr">
        <is>
          <t>2269571520002656</t>
        </is>
      </c>
      <c r="BB268" t="inlineStr">
        <is>
          <t>BOOK</t>
        </is>
      </c>
      <c r="BD268" t="inlineStr">
        <is>
          <t>9781564742544</t>
        </is>
      </c>
      <c r="BE268" t="inlineStr">
        <is>
          <t>32285004905500</t>
        </is>
      </c>
      <c r="BF268" t="inlineStr">
        <is>
          <t>893800834</t>
        </is>
      </c>
    </row>
    <row r="269">
      <c r="A269" t="inlineStr">
        <is>
          <t>No</t>
        </is>
      </c>
      <c r="B269" t="inlineStr">
        <is>
          <t>CURAL</t>
        </is>
      </c>
      <c r="C269" t="inlineStr">
        <is>
          <t>SHELVES</t>
        </is>
      </c>
      <c r="D269" t="inlineStr">
        <is>
          <t>PR1875.O73 B68 1987</t>
        </is>
      </c>
      <c r="E269" t="inlineStr">
        <is>
          <t>0                      PR 1875000O  73                 B  68          1987</t>
        </is>
      </c>
      <c r="F269" t="inlineStr">
        <is>
          <t>Chaucer aloud : the varieties of textual interpretation / Betsy Bowden.</t>
        </is>
      </c>
      <c r="H269" t="inlineStr">
        <is>
          <t>No</t>
        </is>
      </c>
      <c r="I269" t="inlineStr">
        <is>
          <t>1</t>
        </is>
      </c>
      <c r="J269" t="inlineStr">
        <is>
          <t>No</t>
        </is>
      </c>
      <c r="K269" t="inlineStr">
        <is>
          <t>No</t>
        </is>
      </c>
      <c r="L269" t="inlineStr">
        <is>
          <t>0</t>
        </is>
      </c>
      <c r="M269" t="inlineStr">
        <is>
          <t>Bowden, Betsy.</t>
        </is>
      </c>
      <c r="N269" t="inlineStr">
        <is>
          <t>Philadelphia : University of Pennsylvania Press, c1987.</t>
        </is>
      </c>
      <c r="O269" t="inlineStr">
        <is>
          <t>1987</t>
        </is>
      </c>
      <c r="Q269" t="inlineStr">
        <is>
          <t>eng</t>
        </is>
      </c>
      <c r="R269" t="inlineStr">
        <is>
          <t>pau</t>
        </is>
      </c>
      <c r="S269" t="inlineStr">
        <is>
          <t>The Middle Ages</t>
        </is>
      </c>
      <c r="T269" t="inlineStr">
        <is>
          <t xml:space="preserve">PR </t>
        </is>
      </c>
      <c r="U269" t="n">
        <v>5</v>
      </c>
      <c r="V269" t="n">
        <v>5</v>
      </c>
      <c r="W269" t="inlineStr">
        <is>
          <t>1995-12-01</t>
        </is>
      </c>
      <c r="X269" t="inlineStr">
        <is>
          <t>1995-12-01</t>
        </is>
      </c>
      <c r="Y269" t="inlineStr">
        <is>
          <t>1991-09-26</t>
        </is>
      </c>
      <c r="Z269" t="inlineStr">
        <is>
          <t>1991-09-26</t>
        </is>
      </c>
      <c r="AA269" t="n">
        <v>377</v>
      </c>
      <c r="AB269" t="n">
        <v>329</v>
      </c>
      <c r="AC269" t="n">
        <v>334</v>
      </c>
      <c r="AD269" t="n">
        <v>1</v>
      </c>
      <c r="AE269" t="n">
        <v>1</v>
      </c>
      <c r="AF269" t="n">
        <v>17</v>
      </c>
      <c r="AG269" t="n">
        <v>17</v>
      </c>
      <c r="AH269" t="n">
        <v>6</v>
      </c>
      <c r="AI269" t="n">
        <v>6</v>
      </c>
      <c r="AJ269" t="n">
        <v>3</v>
      </c>
      <c r="AK269" t="n">
        <v>3</v>
      </c>
      <c r="AL269" t="n">
        <v>13</v>
      </c>
      <c r="AM269" t="n">
        <v>13</v>
      </c>
      <c r="AN269" t="n">
        <v>0</v>
      </c>
      <c r="AO269" t="n">
        <v>0</v>
      </c>
      <c r="AP269" t="n">
        <v>0</v>
      </c>
      <c r="AQ269" t="n">
        <v>0</v>
      </c>
      <c r="AR269" t="inlineStr">
        <is>
          <t>No</t>
        </is>
      </c>
      <c r="AS269" t="inlineStr">
        <is>
          <t>No</t>
        </is>
      </c>
      <c r="AU269">
        <f>HYPERLINK("https://creighton-primo.hosted.exlibrisgroup.com/primo-explore/search?tab=default_tab&amp;search_scope=EVERYTHING&amp;vid=01CRU&amp;lang=en_US&amp;offset=0&amp;query=any,contains,991001041369702656","Catalog Record")</f>
        <v/>
      </c>
      <c r="AV269">
        <f>HYPERLINK("http://www.worldcat.org/oclc/15589785","WorldCat Record")</f>
        <v/>
      </c>
      <c r="AW269" t="inlineStr">
        <is>
          <t>365489945:eng</t>
        </is>
      </c>
      <c r="AX269" t="inlineStr">
        <is>
          <t>15589785</t>
        </is>
      </c>
      <c r="AY269" t="inlineStr">
        <is>
          <t>991001041369702656</t>
        </is>
      </c>
      <c r="AZ269" t="inlineStr">
        <is>
          <t>991001041369702656</t>
        </is>
      </c>
      <c r="BA269" t="inlineStr">
        <is>
          <t>2267354390002656</t>
        </is>
      </c>
      <c r="BB269" t="inlineStr">
        <is>
          <t>BOOK</t>
        </is>
      </c>
      <c r="BD269" t="inlineStr">
        <is>
          <t>9780812280593</t>
        </is>
      </c>
      <c r="BE269" t="inlineStr">
        <is>
          <t>32285000762947</t>
        </is>
      </c>
      <c r="BF269" t="inlineStr">
        <is>
          <t>893231650</t>
        </is>
      </c>
    </row>
    <row r="270">
      <c r="A270" t="inlineStr">
        <is>
          <t>No</t>
        </is>
      </c>
      <c r="B270" t="inlineStr">
        <is>
          <t>CURAL</t>
        </is>
      </c>
      <c r="C270" t="inlineStr">
        <is>
          <t>SHELVES</t>
        </is>
      </c>
      <c r="D270" t="inlineStr">
        <is>
          <t>PR1875.P5 H55 1991</t>
        </is>
      </c>
      <c r="E270" t="inlineStr">
        <is>
          <t>0                      PR 1875000P  5                  H  55          1991</t>
        </is>
      </c>
      <c r="F270" t="inlineStr">
        <is>
          <t>Chaucerian belief : the poetics of reverence and delight / John M. Hill.</t>
        </is>
      </c>
      <c r="H270" t="inlineStr">
        <is>
          <t>No</t>
        </is>
      </c>
      <c r="I270" t="inlineStr">
        <is>
          <t>1</t>
        </is>
      </c>
      <c r="J270" t="inlineStr">
        <is>
          <t>No</t>
        </is>
      </c>
      <c r="K270" t="inlineStr">
        <is>
          <t>No</t>
        </is>
      </c>
      <c r="L270" t="inlineStr">
        <is>
          <t>0</t>
        </is>
      </c>
      <c r="M270" t="inlineStr">
        <is>
          <t>Hill, John M.</t>
        </is>
      </c>
      <c r="N270" t="inlineStr">
        <is>
          <t>New Haven : Yale University Press, c1991.</t>
        </is>
      </c>
      <c r="O270" t="inlineStr">
        <is>
          <t>1991</t>
        </is>
      </c>
      <c r="Q270" t="inlineStr">
        <is>
          <t>eng</t>
        </is>
      </c>
      <c r="R270" t="inlineStr">
        <is>
          <t>ctu</t>
        </is>
      </c>
      <c r="T270" t="inlineStr">
        <is>
          <t xml:space="preserve">PR </t>
        </is>
      </c>
      <c r="U270" t="n">
        <v>7</v>
      </c>
      <c r="V270" t="n">
        <v>7</v>
      </c>
      <c r="W270" t="inlineStr">
        <is>
          <t>2005-11-06</t>
        </is>
      </c>
      <c r="X270" t="inlineStr">
        <is>
          <t>2005-11-06</t>
        </is>
      </c>
      <c r="Y270" t="inlineStr">
        <is>
          <t>1991-04-16</t>
        </is>
      </c>
      <c r="Z270" t="inlineStr">
        <is>
          <t>1991-04-16</t>
        </is>
      </c>
      <c r="AA270" t="n">
        <v>579</v>
      </c>
      <c r="AB270" t="n">
        <v>476</v>
      </c>
      <c r="AC270" t="n">
        <v>645</v>
      </c>
      <c r="AD270" t="n">
        <v>3</v>
      </c>
      <c r="AE270" t="n">
        <v>3</v>
      </c>
      <c r="AF270" t="n">
        <v>29</v>
      </c>
      <c r="AG270" t="n">
        <v>36</v>
      </c>
      <c r="AH270" t="n">
        <v>9</v>
      </c>
      <c r="AI270" t="n">
        <v>14</v>
      </c>
      <c r="AJ270" t="n">
        <v>6</v>
      </c>
      <c r="AK270" t="n">
        <v>8</v>
      </c>
      <c r="AL270" t="n">
        <v>21</v>
      </c>
      <c r="AM270" t="n">
        <v>23</v>
      </c>
      <c r="AN270" t="n">
        <v>2</v>
      </c>
      <c r="AO270" t="n">
        <v>2</v>
      </c>
      <c r="AP270" t="n">
        <v>0</v>
      </c>
      <c r="AQ270" t="n">
        <v>0</v>
      </c>
      <c r="AR270" t="inlineStr">
        <is>
          <t>No</t>
        </is>
      </c>
      <c r="AS270" t="inlineStr">
        <is>
          <t>No</t>
        </is>
      </c>
      <c r="AU270">
        <f>HYPERLINK("https://creighton-primo.hosted.exlibrisgroup.com/primo-explore/search?tab=default_tab&amp;search_scope=EVERYTHING&amp;vid=01CRU&amp;lang=en_US&amp;offset=0&amp;query=any,contains,991001761219702656","Catalog Record")</f>
        <v/>
      </c>
      <c r="AV270">
        <f>HYPERLINK("http://www.worldcat.org/oclc/22275025","WorldCat Record")</f>
        <v/>
      </c>
      <c r="AW270" t="inlineStr">
        <is>
          <t>24277526:eng</t>
        </is>
      </c>
      <c r="AX270" t="inlineStr">
        <is>
          <t>22275025</t>
        </is>
      </c>
      <c r="AY270" t="inlineStr">
        <is>
          <t>991001761219702656</t>
        </is>
      </c>
      <c r="AZ270" t="inlineStr">
        <is>
          <t>991001761219702656</t>
        </is>
      </c>
      <c r="BA270" t="inlineStr">
        <is>
          <t>2262311970002656</t>
        </is>
      </c>
      <c r="BB270" t="inlineStr">
        <is>
          <t>BOOK</t>
        </is>
      </c>
      <c r="BD270" t="inlineStr">
        <is>
          <t>9780300047820</t>
        </is>
      </c>
      <c r="BE270" t="inlineStr">
        <is>
          <t>32285000568161</t>
        </is>
      </c>
      <c r="BF270" t="inlineStr">
        <is>
          <t>893414455</t>
        </is>
      </c>
    </row>
    <row r="271">
      <c r="A271" t="inlineStr">
        <is>
          <t>No</t>
        </is>
      </c>
      <c r="B271" t="inlineStr">
        <is>
          <t>CURAL</t>
        </is>
      </c>
      <c r="C271" t="inlineStr">
        <is>
          <t>SHELVES</t>
        </is>
      </c>
      <c r="D271" t="inlineStr">
        <is>
          <t>PR1875.S45 C85 1999</t>
        </is>
      </c>
      <c r="E271" t="inlineStr">
        <is>
          <t>0                      PR 1875000S  45                 C  85          1999</t>
        </is>
      </c>
      <c r="F271" t="inlineStr">
        <is>
          <t>Pilgrim Chaucer : center stage / Dolores L. Cullen.</t>
        </is>
      </c>
      <c r="H271" t="inlineStr">
        <is>
          <t>No</t>
        </is>
      </c>
      <c r="I271" t="inlineStr">
        <is>
          <t>1</t>
        </is>
      </c>
      <c r="J271" t="inlineStr">
        <is>
          <t>No</t>
        </is>
      </c>
      <c r="K271" t="inlineStr">
        <is>
          <t>No</t>
        </is>
      </c>
      <c r="L271" t="inlineStr">
        <is>
          <t>0</t>
        </is>
      </c>
      <c r="M271" t="inlineStr">
        <is>
          <t>Cullen, Dolores L., 1928-</t>
        </is>
      </c>
      <c r="N271" t="inlineStr">
        <is>
          <t>Santa Barbara, CA : Fithian Press, 1999.</t>
        </is>
      </c>
      <c r="O271" t="inlineStr">
        <is>
          <t>1999</t>
        </is>
      </c>
      <c r="Q271" t="inlineStr">
        <is>
          <t>eng</t>
        </is>
      </c>
      <c r="R271" t="inlineStr">
        <is>
          <t>cau</t>
        </is>
      </c>
      <c r="T271" t="inlineStr">
        <is>
          <t xml:space="preserve">PR </t>
        </is>
      </c>
      <c r="U271" t="n">
        <v>2</v>
      </c>
      <c r="V271" t="n">
        <v>2</v>
      </c>
      <c r="W271" t="inlineStr">
        <is>
          <t>2005-04-25</t>
        </is>
      </c>
      <c r="X271" t="inlineStr">
        <is>
          <t>2005-04-25</t>
        </is>
      </c>
      <c r="Y271" t="inlineStr">
        <is>
          <t>2004-05-17</t>
        </is>
      </c>
      <c r="Z271" t="inlineStr">
        <is>
          <t>2004-05-17</t>
        </is>
      </c>
      <c r="AA271" t="n">
        <v>268</v>
      </c>
      <c r="AB271" t="n">
        <v>253</v>
      </c>
      <c r="AC271" t="n">
        <v>258</v>
      </c>
      <c r="AD271" t="n">
        <v>4</v>
      </c>
      <c r="AE271" t="n">
        <v>4</v>
      </c>
      <c r="AF271" t="n">
        <v>24</v>
      </c>
      <c r="AG271" t="n">
        <v>24</v>
      </c>
      <c r="AH271" t="n">
        <v>8</v>
      </c>
      <c r="AI271" t="n">
        <v>8</v>
      </c>
      <c r="AJ271" t="n">
        <v>8</v>
      </c>
      <c r="AK271" t="n">
        <v>8</v>
      </c>
      <c r="AL271" t="n">
        <v>13</v>
      </c>
      <c r="AM271" t="n">
        <v>13</v>
      </c>
      <c r="AN271" t="n">
        <v>3</v>
      </c>
      <c r="AO271" t="n">
        <v>3</v>
      </c>
      <c r="AP271" t="n">
        <v>0</v>
      </c>
      <c r="AQ271" t="n">
        <v>0</v>
      </c>
      <c r="AR271" t="inlineStr">
        <is>
          <t>No</t>
        </is>
      </c>
      <c r="AS271" t="inlineStr">
        <is>
          <t>No</t>
        </is>
      </c>
      <c r="AU271">
        <f>HYPERLINK("https://creighton-primo.hosted.exlibrisgroup.com/primo-explore/search?tab=default_tab&amp;search_scope=EVERYTHING&amp;vid=01CRU&amp;lang=en_US&amp;offset=0&amp;query=any,contains,991004299979702656","Catalog Record")</f>
        <v/>
      </c>
      <c r="AV271">
        <f>HYPERLINK("http://www.worldcat.org/oclc/40654754","WorldCat Record")</f>
        <v/>
      </c>
      <c r="AW271" t="inlineStr">
        <is>
          <t>23515179:eng</t>
        </is>
      </c>
      <c r="AX271" t="inlineStr">
        <is>
          <t>40654754</t>
        </is>
      </c>
      <c r="AY271" t="inlineStr">
        <is>
          <t>991004299979702656</t>
        </is>
      </c>
      <c r="AZ271" t="inlineStr">
        <is>
          <t>991004299979702656</t>
        </is>
      </c>
      <c r="BA271" t="inlineStr">
        <is>
          <t>2262187150002656</t>
        </is>
      </c>
      <c r="BB271" t="inlineStr">
        <is>
          <t>BOOK</t>
        </is>
      </c>
      <c r="BD271" t="inlineStr">
        <is>
          <t>9781564743060</t>
        </is>
      </c>
      <c r="BE271" t="inlineStr">
        <is>
          <t>32285004905492</t>
        </is>
      </c>
      <c r="BF271" t="inlineStr">
        <is>
          <t>893442455</t>
        </is>
      </c>
    </row>
    <row r="272">
      <c r="A272" t="inlineStr">
        <is>
          <t>No</t>
        </is>
      </c>
      <c r="B272" t="inlineStr">
        <is>
          <t>CURAL</t>
        </is>
      </c>
      <c r="C272" t="inlineStr">
        <is>
          <t>SHELVES</t>
        </is>
      </c>
      <c r="D272" t="inlineStr">
        <is>
          <t>PR1875.T48 O94 1991</t>
        </is>
      </c>
      <c r="E272" t="inlineStr">
        <is>
          <t>0                      PR 1875000T  48                 O  94          1991</t>
        </is>
      </c>
      <c r="F272" t="inlineStr">
        <is>
          <t>The manuscripts of the Canterbury tales / Charles A. Owen, Jr.</t>
        </is>
      </c>
      <c r="H272" t="inlineStr">
        <is>
          <t>No</t>
        </is>
      </c>
      <c r="I272" t="inlineStr">
        <is>
          <t>1</t>
        </is>
      </c>
      <c r="J272" t="inlineStr">
        <is>
          <t>No</t>
        </is>
      </c>
      <c r="K272" t="inlineStr">
        <is>
          <t>No</t>
        </is>
      </c>
      <c r="L272" t="inlineStr">
        <is>
          <t>0</t>
        </is>
      </c>
      <c r="M272" t="inlineStr">
        <is>
          <t>Owen, Charles A. (Charles Abraham), 1914-</t>
        </is>
      </c>
      <c r="N272" t="inlineStr">
        <is>
          <t>Cambridge ; Rochester, NY : D.S. Brewer, 1991.</t>
        </is>
      </c>
      <c r="O272" t="inlineStr">
        <is>
          <t>1991</t>
        </is>
      </c>
      <c r="Q272" t="inlineStr">
        <is>
          <t>eng</t>
        </is>
      </c>
      <c r="R272" t="inlineStr">
        <is>
          <t>enk</t>
        </is>
      </c>
      <c r="S272" t="inlineStr">
        <is>
          <t>Chaucer studies, 0261-9822 ; 17</t>
        </is>
      </c>
      <c r="T272" t="inlineStr">
        <is>
          <t xml:space="preserve">PR </t>
        </is>
      </c>
      <c r="U272" t="n">
        <v>2</v>
      </c>
      <c r="V272" t="n">
        <v>2</v>
      </c>
      <c r="W272" t="inlineStr">
        <is>
          <t>2004-10-31</t>
        </is>
      </c>
      <c r="X272" t="inlineStr">
        <is>
          <t>2004-10-31</t>
        </is>
      </c>
      <c r="Y272" t="inlineStr">
        <is>
          <t>1992-03-01</t>
        </is>
      </c>
      <c r="Z272" t="inlineStr">
        <is>
          <t>1992-03-01</t>
        </is>
      </c>
      <c r="AA272" t="n">
        <v>266</v>
      </c>
      <c r="AB272" t="n">
        <v>173</v>
      </c>
      <c r="AC272" t="n">
        <v>173</v>
      </c>
      <c r="AD272" t="n">
        <v>1</v>
      </c>
      <c r="AE272" t="n">
        <v>1</v>
      </c>
      <c r="AF272" t="n">
        <v>13</v>
      </c>
      <c r="AG272" t="n">
        <v>13</v>
      </c>
      <c r="AH272" t="n">
        <v>4</v>
      </c>
      <c r="AI272" t="n">
        <v>4</v>
      </c>
      <c r="AJ272" t="n">
        <v>3</v>
      </c>
      <c r="AK272" t="n">
        <v>3</v>
      </c>
      <c r="AL272" t="n">
        <v>11</v>
      </c>
      <c r="AM272" t="n">
        <v>11</v>
      </c>
      <c r="AN272" t="n">
        <v>0</v>
      </c>
      <c r="AO272" t="n">
        <v>0</v>
      </c>
      <c r="AP272" t="n">
        <v>0</v>
      </c>
      <c r="AQ272" t="n">
        <v>0</v>
      </c>
      <c r="AR272" t="inlineStr">
        <is>
          <t>No</t>
        </is>
      </c>
      <c r="AS272" t="inlineStr">
        <is>
          <t>No</t>
        </is>
      </c>
      <c r="AU272">
        <f>HYPERLINK("https://creighton-primo.hosted.exlibrisgroup.com/primo-explore/search?tab=default_tab&amp;search_scope=EVERYTHING&amp;vid=01CRU&amp;lang=en_US&amp;offset=0&amp;query=any,contains,991001921499702656","Catalog Record")</f>
        <v/>
      </c>
      <c r="AV272">
        <f>HYPERLINK("http://www.worldcat.org/oclc/24247258","WorldCat Record")</f>
        <v/>
      </c>
      <c r="AW272" t="inlineStr">
        <is>
          <t>118027566:eng</t>
        </is>
      </c>
      <c r="AX272" t="inlineStr">
        <is>
          <t>24247258</t>
        </is>
      </c>
      <c r="AY272" t="inlineStr">
        <is>
          <t>991001921499702656</t>
        </is>
      </c>
      <c r="AZ272" t="inlineStr">
        <is>
          <t>991001921499702656</t>
        </is>
      </c>
      <c r="BA272" t="inlineStr">
        <is>
          <t>2261913190002656</t>
        </is>
      </c>
      <c r="BB272" t="inlineStr">
        <is>
          <t>BOOK</t>
        </is>
      </c>
      <c r="BD272" t="inlineStr">
        <is>
          <t>9780859913348</t>
        </is>
      </c>
      <c r="BE272" t="inlineStr">
        <is>
          <t>32285000937283</t>
        </is>
      </c>
      <c r="BF272" t="inlineStr">
        <is>
          <t>893703452</t>
        </is>
      </c>
    </row>
    <row r="273">
      <c r="A273" t="inlineStr">
        <is>
          <t>No</t>
        </is>
      </c>
      <c r="B273" t="inlineStr">
        <is>
          <t>CURAL</t>
        </is>
      </c>
      <c r="C273" t="inlineStr">
        <is>
          <t>SHELVES</t>
        </is>
      </c>
      <c r="D273" t="inlineStr">
        <is>
          <t>PR1875.V34 F57 1988</t>
        </is>
      </c>
      <c r="E273" t="inlineStr">
        <is>
          <t>0                      PR 1875000V  34                 F  57          1988</t>
        </is>
      </c>
      <c r="F273" t="inlineStr">
        <is>
          <t>Chaucer's poetic alchemy : a study of value and its transformation in The Canterbury tales / Sheila Fisher.</t>
        </is>
      </c>
      <c r="H273" t="inlineStr">
        <is>
          <t>No</t>
        </is>
      </c>
      <c r="I273" t="inlineStr">
        <is>
          <t>1</t>
        </is>
      </c>
      <c r="J273" t="inlineStr">
        <is>
          <t>No</t>
        </is>
      </c>
      <c r="K273" t="inlineStr">
        <is>
          <t>No</t>
        </is>
      </c>
      <c r="L273" t="inlineStr">
        <is>
          <t>0</t>
        </is>
      </c>
      <c r="M273" t="inlineStr">
        <is>
          <t>Fisher, Sheila.</t>
        </is>
      </c>
      <c r="N273" t="inlineStr">
        <is>
          <t>New York : Garland Pub., 1988.</t>
        </is>
      </c>
      <c r="O273" t="inlineStr">
        <is>
          <t>1988</t>
        </is>
      </c>
      <c r="Q273" t="inlineStr">
        <is>
          <t>eng</t>
        </is>
      </c>
      <c r="R273" t="inlineStr">
        <is>
          <t>nyu</t>
        </is>
      </c>
      <c r="S273" t="inlineStr">
        <is>
          <t>Garland publications in American and English literature</t>
        </is>
      </c>
      <c r="T273" t="inlineStr">
        <is>
          <t xml:space="preserve">PR </t>
        </is>
      </c>
      <c r="U273" t="n">
        <v>7</v>
      </c>
      <c r="V273" t="n">
        <v>7</v>
      </c>
      <c r="W273" t="inlineStr">
        <is>
          <t>2005-11-06</t>
        </is>
      </c>
      <c r="X273" t="inlineStr">
        <is>
          <t>2005-11-06</t>
        </is>
      </c>
      <c r="Y273" t="inlineStr">
        <is>
          <t>1990-06-05</t>
        </is>
      </c>
      <c r="Z273" t="inlineStr">
        <is>
          <t>1990-06-05</t>
        </is>
      </c>
      <c r="AA273" t="n">
        <v>123</v>
      </c>
      <c r="AB273" t="n">
        <v>93</v>
      </c>
      <c r="AC273" t="n">
        <v>116</v>
      </c>
      <c r="AD273" t="n">
        <v>2</v>
      </c>
      <c r="AE273" t="n">
        <v>2</v>
      </c>
      <c r="AF273" t="n">
        <v>2</v>
      </c>
      <c r="AG273" t="n">
        <v>2</v>
      </c>
      <c r="AH273" t="n">
        <v>0</v>
      </c>
      <c r="AI273" t="n">
        <v>0</v>
      </c>
      <c r="AJ273" t="n">
        <v>0</v>
      </c>
      <c r="AK273" t="n">
        <v>0</v>
      </c>
      <c r="AL273" t="n">
        <v>1</v>
      </c>
      <c r="AM273" t="n">
        <v>1</v>
      </c>
      <c r="AN273" t="n">
        <v>1</v>
      </c>
      <c r="AO273" t="n">
        <v>1</v>
      </c>
      <c r="AP273" t="n">
        <v>0</v>
      </c>
      <c r="AQ273" t="n">
        <v>0</v>
      </c>
      <c r="AR273" t="inlineStr">
        <is>
          <t>No</t>
        </is>
      </c>
      <c r="AS273" t="inlineStr">
        <is>
          <t>No</t>
        </is>
      </c>
      <c r="AU273">
        <f>HYPERLINK("https://creighton-primo.hosted.exlibrisgroup.com/primo-explore/search?tab=default_tab&amp;search_scope=EVERYTHING&amp;vid=01CRU&amp;lang=en_US&amp;offset=0&amp;query=any,contains,991001292719702656","Catalog Record")</f>
        <v/>
      </c>
      <c r="AV273">
        <f>HYPERLINK("http://www.worldcat.org/oclc/18014496","WorldCat Record")</f>
        <v/>
      </c>
      <c r="AW273" t="inlineStr">
        <is>
          <t>836701095:eng</t>
        </is>
      </c>
      <c r="AX273" t="inlineStr">
        <is>
          <t>18014496</t>
        </is>
      </c>
      <c r="AY273" t="inlineStr">
        <is>
          <t>991001292719702656</t>
        </is>
      </c>
      <c r="AZ273" t="inlineStr">
        <is>
          <t>991001292719702656</t>
        </is>
      </c>
      <c r="BA273" t="inlineStr">
        <is>
          <t>2271435210002656</t>
        </is>
      </c>
      <c r="BB273" t="inlineStr">
        <is>
          <t>BOOK</t>
        </is>
      </c>
      <c r="BD273" t="inlineStr">
        <is>
          <t>9780824063887</t>
        </is>
      </c>
      <c r="BE273" t="inlineStr">
        <is>
          <t>32285000181940</t>
        </is>
      </c>
      <c r="BF273" t="inlineStr">
        <is>
          <t>893334231</t>
        </is>
      </c>
    </row>
    <row r="274">
      <c r="A274" t="inlineStr">
        <is>
          <t>No</t>
        </is>
      </c>
      <c r="B274" t="inlineStr">
        <is>
          <t>CURAL</t>
        </is>
      </c>
      <c r="C274" t="inlineStr">
        <is>
          <t>SHELVES</t>
        </is>
      </c>
      <c r="D274" t="inlineStr">
        <is>
          <t>PR1882 .K57 1983</t>
        </is>
      </c>
      <c r="E274" t="inlineStr">
        <is>
          <t>0                      PR 1882000K  57          1983</t>
        </is>
      </c>
      <c r="F274" t="inlineStr">
        <is>
          <t>Telling classical tales : Chaucer and the Legend of good women / Lisa J. Kiser.</t>
        </is>
      </c>
      <c r="H274" t="inlineStr">
        <is>
          <t>No</t>
        </is>
      </c>
      <c r="I274" t="inlineStr">
        <is>
          <t>1</t>
        </is>
      </c>
      <c r="J274" t="inlineStr">
        <is>
          <t>No</t>
        </is>
      </c>
      <c r="K274" t="inlineStr">
        <is>
          <t>No</t>
        </is>
      </c>
      <c r="L274" t="inlineStr">
        <is>
          <t>0</t>
        </is>
      </c>
      <c r="M274" t="inlineStr">
        <is>
          <t>Kiser, Lisa J., 1949-</t>
        </is>
      </c>
      <c r="N274" t="inlineStr">
        <is>
          <t>Ithaca : Cornell University Press, 1983.</t>
        </is>
      </c>
      <c r="O274" t="inlineStr">
        <is>
          <t>1983</t>
        </is>
      </c>
      <c r="Q274" t="inlineStr">
        <is>
          <t>eng</t>
        </is>
      </c>
      <c r="R274" t="inlineStr">
        <is>
          <t>nyu</t>
        </is>
      </c>
      <c r="T274" t="inlineStr">
        <is>
          <t xml:space="preserve">PR </t>
        </is>
      </c>
      <c r="U274" t="n">
        <v>1</v>
      </c>
      <c r="V274" t="n">
        <v>1</v>
      </c>
      <c r="W274" t="inlineStr">
        <is>
          <t>1997-11-18</t>
        </is>
      </c>
      <c r="X274" t="inlineStr">
        <is>
          <t>1997-11-18</t>
        </is>
      </c>
      <c r="Y274" t="inlineStr">
        <is>
          <t>1991-09-26</t>
        </is>
      </c>
      <c r="Z274" t="inlineStr">
        <is>
          <t>1991-09-26</t>
        </is>
      </c>
      <c r="AA274" t="n">
        <v>515</v>
      </c>
      <c r="AB274" t="n">
        <v>426</v>
      </c>
      <c r="AC274" t="n">
        <v>590</v>
      </c>
      <c r="AD274" t="n">
        <v>3</v>
      </c>
      <c r="AE274" t="n">
        <v>3</v>
      </c>
      <c r="AF274" t="n">
        <v>26</v>
      </c>
      <c r="AG274" t="n">
        <v>32</v>
      </c>
      <c r="AH274" t="n">
        <v>12</v>
      </c>
      <c r="AI274" t="n">
        <v>15</v>
      </c>
      <c r="AJ274" t="n">
        <v>6</v>
      </c>
      <c r="AK274" t="n">
        <v>8</v>
      </c>
      <c r="AL274" t="n">
        <v>14</v>
      </c>
      <c r="AM274" t="n">
        <v>16</v>
      </c>
      <c r="AN274" t="n">
        <v>2</v>
      </c>
      <c r="AO274" t="n">
        <v>2</v>
      </c>
      <c r="AP274" t="n">
        <v>0</v>
      </c>
      <c r="AQ274" t="n">
        <v>0</v>
      </c>
      <c r="AR274" t="inlineStr">
        <is>
          <t>No</t>
        </is>
      </c>
      <c r="AS274" t="inlineStr">
        <is>
          <t>Yes</t>
        </is>
      </c>
      <c r="AT274">
        <f>HYPERLINK("http://catalog.hathitrust.org/Record/000116830","HathiTrust Record")</f>
        <v/>
      </c>
      <c r="AU274">
        <f>HYPERLINK("https://creighton-primo.hosted.exlibrisgroup.com/primo-explore/search?tab=default_tab&amp;search_scope=EVERYTHING&amp;vid=01CRU&amp;lang=en_US&amp;offset=0&amp;query=any,contains,991000241339702656","Catalog Record")</f>
        <v/>
      </c>
      <c r="AV274">
        <f>HYPERLINK("http://www.worldcat.org/oclc/9684505","WorldCat Record")</f>
        <v/>
      </c>
      <c r="AW274" t="inlineStr">
        <is>
          <t>292022116:eng</t>
        </is>
      </c>
      <c r="AX274" t="inlineStr">
        <is>
          <t>9684505</t>
        </is>
      </c>
      <c r="AY274" t="inlineStr">
        <is>
          <t>991000241339702656</t>
        </is>
      </c>
      <c r="AZ274" t="inlineStr">
        <is>
          <t>991000241339702656</t>
        </is>
      </c>
      <c r="BA274" t="inlineStr">
        <is>
          <t>2260833420002656</t>
        </is>
      </c>
      <c r="BB274" t="inlineStr">
        <is>
          <t>BOOK</t>
        </is>
      </c>
      <c r="BD274" t="inlineStr">
        <is>
          <t>9780801416019</t>
        </is>
      </c>
      <c r="BE274" t="inlineStr">
        <is>
          <t>32285000762988</t>
        </is>
      </c>
      <c r="BF274" t="inlineStr">
        <is>
          <t>893607765</t>
        </is>
      </c>
    </row>
    <row r="275">
      <c r="A275" t="inlineStr">
        <is>
          <t>No</t>
        </is>
      </c>
      <c r="B275" t="inlineStr">
        <is>
          <t>CURAL</t>
        </is>
      </c>
      <c r="C275" t="inlineStr">
        <is>
          <t>SHELVES</t>
        </is>
      </c>
      <c r="D275" t="inlineStr">
        <is>
          <t>PR1896 .E8</t>
        </is>
      </c>
      <c r="E275" t="inlineStr">
        <is>
          <t>0                      PR 1896000E  8</t>
        </is>
      </c>
      <c r="F275" t="inlineStr">
        <is>
          <t>Essays on Troilus and Criseyde / edited by Mary Salu.</t>
        </is>
      </c>
      <c r="H275" t="inlineStr">
        <is>
          <t>No</t>
        </is>
      </c>
      <c r="I275" t="inlineStr">
        <is>
          <t>1</t>
        </is>
      </c>
      <c r="J275" t="inlineStr">
        <is>
          <t>No</t>
        </is>
      </c>
      <c r="K275" t="inlineStr">
        <is>
          <t>No</t>
        </is>
      </c>
      <c r="L275" t="inlineStr">
        <is>
          <t>0</t>
        </is>
      </c>
      <c r="N275" t="inlineStr">
        <is>
          <t>Cambridge [Eng.] : D. S. Brewer ; Totowa, N.J. : Rowman and Littlefield, c1979.</t>
        </is>
      </c>
      <c r="O275" t="inlineStr">
        <is>
          <t>1979</t>
        </is>
      </c>
      <c r="Q275" t="inlineStr">
        <is>
          <t>eng</t>
        </is>
      </c>
      <c r="R275" t="inlineStr">
        <is>
          <t>enk</t>
        </is>
      </c>
      <c r="S275" t="inlineStr">
        <is>
          <t>Chaucer studies ; 3</t>
        </is>
      </c>
      <c r="T275" t="inlineStr">
        <is>
          <t xml:space="preserve">PR </t>
        </is>
      </c>
      <c r="U275" t="n">
        <v>3</v>
      </c>
      <c r="V275" t="n">
        <v>3</v>
      </c>
      <c r="W275" t="inlineStr">
        <is>
          <t>1993-01-22</t>
        </is>
      </c>
      <c r="X275" t="inlineStr">
        <is>
          <t>1993-01-22</t>
        </is>
      </c>
      <c r="Y275" t="inlineStr">
        <is>
          <t>1991-09-26</t>
        </is>
      </c>
      <c r="Z275" t="inlineStr">
        <is>
          <t>1991-09-26</t>
        </is>
      </c>
      <c r="AA275" t="n">
        <v>715</v>
      </c>
      <c r="AB275" t="n">
        <v>552</v>
      </c>
      <c r="AC275" t="n">
        <v>571</v>
      </c>
      <c r="AD275" t="n">
        <v>4</v>
      </c>
      <c r="AE275" t="n">
        <v>4</v>
      </c>
      <c r="AF275" t="n">
        <v>33</v>
      </c>
      <c r="AG275" t="n">
        <v>33</v>
      </c>
      <c r="AH275" t="n">
        <v>16</v>
      </c>
      <c r="AI275" t="n">
        <v>16</v>
      </c>
      <c r="AJ275" t="n">
        <v>6</v>
      </c>
      <c r="AK275" t="n">
        <v>6</v>
      </c>
      <c r="AL275" t="n">
        <v>17</v>
      </c>
      <c r="AM275" t="n">
        <v>17</v>
      </c>
      <c r="AN275" t="n">
        <v>3</v>
      </c>
      <c r="AO275" t="n">
        <v>3</v>
      </c>
      <c r="AP275" t="n">
        <v>0</v>
      </c>
      <c r="AQ275" t="n">
        <v>0</v>
      </c>
      <c r="AR275" t="inlineStr">
        <is>
          <t>No</t>
        </is>
      </c>
      <c r="AS275" t="inlineStr">
        <is>
          <t>No</t>
        </is>
      </c>
      <c r="AU275">
        <f>HYPERLINK("https://creighton-primo.hosted.exlibrisgroup.com/primo-explore/search?tab=default_tab&amp;search_scope=EVERYTHING&amp;vid=01CRU&amp;lang=en_US&amp;offset=0&amp;query=any,contains,991004946479702656","Catalog Record")</f>
        <v/>
      </c>
      <c r="AV275">
        <f>HYPERLINK("http://www.worldcat.org/oclc/6217505","WorldCat Record")</f>
        <v/>
      </c>
      <c r="AW275" t="inlineStr">
        <is>
          <t>54372009:eng</t>
        </is>
      </c>
      <c r="AX275" t="inlineStr">
        <is>
          <t>6217505</t>
        </is>
      </c>
      <c r="AY275" t="inlineStr">
        <is>
          <t>991004946479702656</t>
        </is>
      </c>
      <c r="AZ275" t="inlineStr">
        <is>
          <t>991004946479702656</t>
        </is>
      </c>
      <c r="BA275" t="inlineStr">
        <is>
          <t>2262270560002656</t>
        </is>
      </c>
      <c r="BB275" t="inlineStr">
        <is>
          <t>BOOK</t>
        </is>
      </c>
      <c r="BD275" t="inlineStr">
        <is>
          <t>9780847662364</t>
        </is>
      </c>
      <c r="BE275" t="inlineStr">
        <is>
          <t>32285000763028</t>
        </is>
      </c>
      <c r="BF275" t="inlineStr">
        <is>
          <t>893254254</t>
        </is>
      </c>
    </row>
    <row r="276">
      <c r="A276" t="inlineStr">
        <is>
          <t>No</t>
        </is>
      </c>
      <c r="B276" t="inlineStr">
        <is>
          <t>CURAL</t>
        </is>
      </c>
      <c r="C276" t="inlineStr">
        <is>
          <t>SHELVES</t>
        </is>
      </c>
      <c r="D276" t="inlineStr">
        <is>
          <t>PR1896 .K45 1995</t>
        </is>
      </c>
      <c r="E276" t="inlineStr">
        <is>
          <t>0                      PR 1896000K  45          1995</t>
        </is>
      </c>
      <c r="F276" t="inlineStr">
        <is>
          <t>Boccaccio's and Chaucer's Cressida / Laura D. Kellogg.</t>
        </is>
      </c>
      <c r="H276" t="inlineStr">
        <is>
          <t>No</t>
        </is>
      </c>
      <c r="I276" t="inlineStr">
        <is>
          <t>1</t>
        </is>
      </c>
      <c r="J276" t="inlineStr">
        <is>
          <t>No</t>
        </is>
      </c>
      <c r="K276" t="inlineStr">
        <is>
          <t>No</t>
        </is>
      </c>
      <c r="L276" t="inlineStr">
        <is>
          <t>0</t>
        </is>
      </c>
      <c r="M276" t="inlineStr">
        <is>
          <t>Kellogg, Laura Dowell.</t>
        </is>
      </c>
      <c r="N276" t="inlineStr">
        <is>
          <t>New York : P. Lang, c1995.</t>
        </is>
      </c>
      <c r="O276" t="inlineStr">
        <is>
          <t>1995</t>
        </is>
      </c>
      <c r="Q276" t="inlineStr">
        <is>
          <t>eng</t>
        </is>
      </c>
      <c r="R276" t="inlineStr">
        <is>
          <t>nyu</t>
        </is>
      </c>
      <c r="S276" t="inlineStr">
        <is>
          <t>Studies in the humanities, 0742-6712 ; vol. 16</t>
        </is>
      </c>
      <c r="T276" t="inlineStr">
        <is>
          <t xml:space="preserve">PR </t>
        </is>
      </c>
      <c r="U276" t="n">
        <v>2</v>
      </c>
      <c r="V276" t="n">
        <v>2</v>
      </c>
      <c r="W276" t="inlineStr">
        <is>
          <t>1997-12-01</t>
        </is>
      </c>
      <c r="X276" t="inlineStr">
        <is>
          <t>1997-12-01</t>
        </is>
      </c>
      <c r="Y276" t="inlineStr">
        <is>
          <t>1995-11-16</t>
        </is>
      </c>
      <c r="Z276" t="inlineStr">
        <is>
          <t>1995-11-16</t>
        </is>
      </c>
      <c r="AA276" t="n">
        <v>146</v>
      </c>
      <c r="AB276" t="n">
        <v>96</v>
      </c>
      <c r="AC276" t="n">
        <v>103</v>
      </c>
      <c r="AD276" t="n">
        <v>1</v>
      </c>
      <c r="AE276" t="n">
        <v>1</v>
      </c>
      <c r="AF276" t="n">
        <v>5</v>
      </c>
      <c r="AG276" t="n">
        <v>5</v>
      </c>
      <c r="AH276" t="n">
        <v>1</v>
      </c>
      <c r="AI276" t="n">
        <v>1</v>
      </c>
      <c r="AJ276" t="n">
        <v>3</v>
      </c>
      <c r="AK276" t="n">
        <v>3</v>
      </c>
      <c r="AL276" t="n">
        <v>4</v>
      </c>
      <c r="AM276" t="n">
        <v>4</v>
      </c>
      <c r="AN276" t="n">
        <v>0</v>
      </c>
      <c r="AO276" t="n">
        <v>0</v>
      </c>
      <c r="AP276" t="n">
        <v>0</v>
      </c>
      <c r="AQ276" t="n">
        <v>0</v>
      </c>
      <c r="AR276" t="inlineStr">
        <is>
          <t>No</t>
        </is>
      </c>
      <c r="AS276" t="inlineStr">
        <is>
          <t>Yes</t>
        </is>
      </c>
      <c r="AT276">
        <f>HYPERLINK("http://catalog.hathitrust.org/Record/002993885","HathiTrust Record")</f>
        <v/>
      </c>
      <c r="AU276">
        <f>HYPERLINK("https://creighton-primo.hosted.exlibrisgroup.com/primo-explore/search?tab=default_tab&amp;search_scope=EVERYTHING&amp;vid=01CRU&amp;lang=en_US&amp;offset=0&amp;query=any,contains,991002335789702656","Catalog Record")</f>
        <v/>
      </c>
      <c r="AV276">
        <f>HYPERLINK("http://www.worldcat.org/oclc/30399273","WorldCat Record")</f>
        <v/>
      </c>
      <c r="AW276" t="inlineStr">
        <is>
          <t>9415121866:eng</t>
        </is>
      </c>
      <c r="AX276" t="inlineStr">
        <is>
          <t>30399273</t>
        </is>
      </c>
      <c r="AY276" t="inlineStr">
        <is>
          <t>991002335789702656</t>
        </is>
      </c>
      <c r="AZ276" t="inlineStr">
        <is>
          <t>991002335789702656</t>
        </is>
      </c>
      <c r="BA276" t="inlineStr">
        <is>
          <t>2256304950002656</t>
        </is>
      </c>
      <c r="BB276" t="inlineStr">
        <is>
          <t>BOOK</t>
        </is>
      </c>
      <c r="BD276" t="inlineStr">
        <is>
          <t>9780820425597</t>
        </is>
      </c>
      <c r="BE276" t="inlineStr">
        <is>
          <t>32285002103629</t>
        </is>
      </c>
      <c r="BF276" t="inlineStr">
        <is>
          <t>893347389</t>
        </is>
      </c>
    </row>
    <row r="277">
      <c r="A277" t="inlineStr">
        <is>
          <t>No</t>
        </is>
      </c>
      <c r="B277" t="inlineStr">
        <is>
          <t>CURAL</t>
        </is>
      </c>
      <c r="C277" t="inlineStr">
        <is>
          <t>SHELVES</t>
        </is>
      </c>
      <c r="D277" t="inlineStr">
        <is>
          <t>PR1896 .T39 1989</t>
        </is>
      </c>
      <c r="E277" t="inlineStr">
        <is>
          <t>0                      PR 1896000T  39          1989</t>
        </is>
      </c>
      <c r="F277" t="inlineStr">
        <is>
          <t>Chaucer reads "The divine comedy" / Karla Taylor.</t>
        </is>
      </c>
      <c r="H277" t="inlineStr">
        <is>
          <t>No</t>
        </is>
      </c>
      <c r="I277" t="inlineStr">
        <is>
          <t>1</t>
        </is>
      </c>
      <c r="J277" t="inlineStr">
        <is>
          <t>No</t>
        </is>
      </c>
      <c r="K277" t="inlineStr">
        <is>
          <t>No</t>
        </is>
      </c>
      <c r="L277" t="inlineStr">
        <is>
          <t>0</t>
        </is>
      </c>
      <c r="M277" t="inlineStr">
        <is>
          <t>Taylor, Karla, 1952-</t>
        </is>
      </c>
      <c r="N277" t="inlineStr">
        <is>
          <t>Stanford, Calif. : Stanford University Press, c1989.</t>
        </is>
      </c>
      <c r="O277" t="inlineStr">
        <is>
          <t>1989</t>
        </is>
      </c>
      <c r="Q277" t="inlineStr">
        <is>
          <t>eng</t>
        </is>
      </c>
      <c r="R277" t="inlineStr">
        <is>
          <t>cau</t>
        </is>
      </c>
      <c r="T277" t="inlineStr">
        <is>
          <t xml:space="preserve">PR </t>
        </is>
      </c>
      <c r="U277" t="n">
        <v>8</v>
      </c>
      <c r="V277" t="n">
        <v>8</v>
      </c>
      <c r="W277" t="inlineStr">
        <is>
          <t>2002-02-22</t>
        </is>
      </c>
      <c r="X277" t="inlineStr">
        <is>
          <t>2002-02-22</t>
        </is>
      </c>
      <c r="Y277" t="inlineStr">
        <is>
          <t>1989-10-19</t>
        </is>
      </c>
      <c r="Z277" t="inlineStr">
        <is>
          <t>1989-10-19</t>
        </is>
      </c>
      <c r="AA277" t="n">
        <v>413</v>
      </c>
      <c r="AB277" t="n">
        <v>340</v>
      </c>
      <c r="AC277" t="n">
        <v>342</v>
      </c>
      <c r="AD277" t="n">
        <v>3</v>
      </c>
      <c r="AE277" t="n">
        <v>3</v>
      </c>
      <c r="AF277" t="n">
        <v>22</v>
      </c>
      <c r="AG277" t="n">
        <v>22</v>
      </c>
      <c r="AH277" t="n">
        <v>8</v>
      </c>
      <c r="AI277" t="n">
        <v>8</v>
      </c>
      <c r="AJ277" t="n">
        <v>5</v>
      </c>
      <c r="AK277" t="n">
        <v>5</v>
      </c>
      <c r="AL277" t="n">
        <v>15</v>
      </c>
      <c r="AM277" t="n">
        <v>15</v>
      </c>
      <c r="AN277" t="n">
        <v>2</v>
      </c>
      <c r="AO277" t="n">
        <v>2</v>
      </c>
      <c r="AP277" t="n">
        <v>0</v>
      </c>
      <c r="AQ277" t="n">
        <v>0</v>
      </c>
      <c r="AR277" t="inlineStr">
        <is>
          <t>No</t>
        </is>
      </c>
      <c r="AS277" t="inlineStr">
        <is>
          <t>No</t>
        </is>
      </c>
      <c r="AU277">
        <f>HYPERLINK("https://creighton-primo.hosted.exlibrisgroup.com/primo-explore/search?tab=default_tab&amp;search_scope=EVERYTHING&amp;vid=01CRU&amp;lang=en_US&amp;offset=0&amp;query=any,contains,991001461589702656","Catalog Record")</f>
        <v/>
      </c>
      <c r="AV277">
        <f>HYPERLINK("http://www.worldcat.org/oclc/19455538","WorldCat Record")</f>
        <v/>
      </c>
      <c r="AW277" t="inlineStr">
        <is>
          <t>7444825:eng</t>
        </is>
      </c>
      <c r="AX277" t="inlineStr">
        <is>
          <t>19455538</t>
        </is>
      </c>
      <c r="AY277" t="inlineStr">
        <is>
          <t>991001461589702656</t>
        </is>
      </c>
      <c r="AZ277" t="inlineStr">
        <is>
          <t>991001461589702656</t>
        </is>
      </c>
      <c r="BA277" t="inlineStr">
        <is>
          <t>2270689250002656</t>
        </is>
      </c>
      <c r="BB277" t="inlineStr">
        <is>
          <t>BOOK</t>
        </is>
      </c>
      <c r="BD277" t="inlineStr">
        <is>
          <t>9780804715447</t>
        </is>
      </c>
      <c r="BE277" t="inlineStr">
        <is>
          <t>32285000000777</t>
        </is>
      </c>
      <c r="BF277" t="inlineStr">
        <is>
          <t>893238135</t>
        </is>
      </c>
    </row>
    <row r="278">
      <c r="A278" t="inlineStr">
        <is>
          <t>No</t>
        </is>
      </c>
      <c r="B278" t="inlineStr">
        <is>
          <t>CURAL</t>
        </is>
      </c>
      <c r="C278" t="inlineStr">
        <is>
          <t>SHELVES</t>
        </is>
      </c>
      <c r="D278" t="inlineStr">
        <is>
          <t>PR1896 .W66 1984</t>
        </is>
      </c>
      <c r="E278" t="inlineStr">
        <is>
          <t>0                      PR 1896000W  66          1984</t>
        </is>
      </c>
      <c r="F278" t="inlineStr">
        <is>
          <t>The elements of Chaucer's Troilus / Chauncey Wood.</t>
        </is>
      </c>
      <c r="H278" t="inlineStr">
        <is>
          <t>No</t>
        </is>
      </c>
      <c r="I278" t="inlineStr">
        <is>
          <t>1</t>
        </is>
      </c>
      <c r="J278" t="inlineStr">
        <is>
          <t>No</t>
        </is>
      </c>
      <c r="K278" t="inlineStr">
        <is>
          <t>No</t>
        </is>
      </c>
      <c r="L278" t="inlineStr">
        <is>
          <t>0</t>
        </is>
      </c>
      <c r="M278" t="inlineStr">
        <is>
          <t>Wood, Chauncey.</t>
        </is>
      </c>
      <c r="N278" t="inlineStr">
        <is>
          <t>Durham, N.C. : Duke University Press, 1984.</t>
        </is>
      </c>
      <c r="O278" t="inlineStr">
        <is>
          <t>1984</t>
        </is>
      </c>
      <c r="Q278" t="inlineStr">
        <is>
          <t>eng</t>
        </is>
      </c>
      <c r="R278" t="inlineStr">
        <is>
          <t>ncu</t>
        </is>
      </c>
      <c r="T278" t="inlineStr">
        <is>
          <t xml:space="preserve">PR </t>
        </is>
      </c>
      <c r="U278" t="n">
        <v>1</v>
      </c>
      <c r="V278" t="n">
        <v>1</v>
      </c>
      <c r="W278" t="inlineStr">
        <is>
          <t>1994-03-13</t>
        </is>
      </c>
      <c r="X278" t="inlineStr">
        <is>
          <t>1994-03-13</t>
        </is>
      </c>
      <c r="Y278" t="inlineStr">
        <is>
          <t>1991-09-27</t>
        </is>
      </c>
      <c r="Z278" t="inlineStr">
        <is>
          <t>1991-09-27</t>
        </is>
      </c>
      <c r="AA278" t="n">
        <v>443</v>
      </c>
      <c r="AB278" t="n">
        <v>346</v>
      </c>
      <c r="AC278" t="n">
        <v>358</v>
      </c>
      <c r="AD278" t="n">
        <v>3</v>
      </c>
      <c r="AE278" t="n">
        <v>3</v>
      </c>
      <c r="AF278" t="n">
        <v>20</v>
      </c>
      <c r="AG278" t="n">
        <v>20</v>
      </c>
      <c r="AH278" t="n">
        <v>7</v>
      </c>
      <c r="AI278" t="n">
        <v>7</v>
      </c>
      <c r="AJ278" t="n">
        <v>3</v>
      </c>
      <c r="AK278" t="n">
        <v>3</v>
      </c>
      <c r="AL278" t="n">
        <v>14</v>
      </c>
      <c r="AM278" t="n">
        <v>14</v>
      </c>
      <c r="AN278" t="n">
        <v>2</v>
      </c>
      <c r="AO278" t="n">
        <v>2</v>
      </c>
      <c r="AP278" t="n">
        <v>0</v>
      </c>
      <c r="AQ278" t="n">
        <v>0</v>
      </c>
      <c r="AR278" t="inlineStr">
        <is>
          <t>No</t>
        </is>
      </c>
      <c r="AS278" t="inlineStr">
        <is>
          <t>Yes</t>
        </is>
      </c>
      <c r="AT278">
        <f>HYPERLINK("http://catalog.hathitrust.org/Record/000780412","HathiTrust Record")</f>
        <v/>
      </c>
      <c r="AU278">
        <f>HYPERLINK("https://creighton-primo.hosted.exlibrisgroup.com/primo-explore/search?tab=default_tab&amp;search_scope=EVERYTHING&amp;vid=01CRU&amp;lang=en_US&amp;offset=0&amp;query=any,contains,991000269689702656","Catalog Record")</f>
        <v/>
      </c>
      <c r="AV278">
        <f>HYPERLINK("http://www.worldcat.org/oclc/9853472","WorldCat Record")</f>
        <v/>
      </c>
      <c r="AW278" t="inlineStr">
        <is>
          <t>20767486:eng</t>
        </is>
      </c>
      <c r="AX278" t="inlineStr">
        <is>
          <t>9853472</t>
        </is>
      </c>
      <c r="AY278" t="inlineStr">
        <is>
          <t>991000269689702656</t>
        </is>
      </c>
      <c r="AZ278" t="inlineStr">
        <is>
          <t>991000269689702656</t>
        </is>
      </c>
      <c r="BA278" t="inlineStr">
        <is>
          <t>2264211180002656</t>
        </is>
      </c>
      <c r="BB278" t="inlineStr">
        <is>
          <t>BOOK</t>
        </is>
      </c>
      <c r="BD278" t="inlineStr">
        <is>
          <t>9780822304982</t>
        </is>
      </c>
      <c r="BE278" t="inlineStr">
        <is>
          <t>32285000763069</t>
        </is>
      </c>
      <c r="BF278" t="inlineStr">
        <is>
          <t>893431835</t>
        </is>
      </c>
    </row>
    <row r="279">
      <c r="A279" t="inlineStr">
        <is>
          <t>No</t>
        </is>
      </c>
      <c r="B279" t="inlineStr">
        <is>
          <t>CURAL</t>
        </is>
      </c>
      <c r="C279" t="inlineStr">
        <is>
          <t>SHELVES</t>
        </is>
      </c>
      <c r="D279" t="inlineStr">
        <is>
          <t>PR1903 .D4 1988</t>
        </is>
      </c>
      <c r="E279" t="inlineStr">
        <is>
          <t>0                      PR 1903000D  4           1988</t>
        </is>
      </c>
      <c r="F279" t="inlineStr">
        <is>
          <t>Chaucer name dictionary : a guide to astrological, biblical, historical, literary, and mythological names in the works of Geoffrey Chaucer / Jacqueline de Weever.</t>
        </is>
      </c>
      <c r="H279" t="inlineStr">
        <is>
          <t>No</t>
        </is>
      </c>
      <c r="I279" t="inlineStr">
        <is>
          <t>1</t>
        </is>
      </c>
      <c r="J279" t="inlineStr">
        <is>
          <t>No</t>
        </is>
      </c>
      <c r="K279" t="inlineStr">
        <is>
          <t>No</t>
        </is>
      </c>
      <c r="L279" t="inlineStr">
        <is>
          <t>0</t>
        </is>
      </c>
      <c r="M279" t="inlineStr">
        <is>
          <t>De Weever, Jacqueline, 1932-</t>
        </is>
      </c>
      <c r="N279" t="inlineStr">
        <is>
          <t>New York : Garland Pub., 1988.</t>
        </is>
      </c>
      <c r="O279" t="inlineStr">
        <is>
          <t>1988</t>
        </is>
      </c>
      <c r="Q279" t="inlineStr">
        <is>
          <t>eng</t>
        </is>
      </c>
      <c r="R279" t="inlineStr">
        <is>
          <t>nyu</t>
        </is>
      </c>
      <c r="S279" t="inlineStr">
        <is>
          <t>Garland reference library of the humanities ; vol. 709</t>
        </is>
      </c>
      <c r="T279" t="inlineStr">
        <is>
          <t xml:space="preserve">PR </t>
        </is>
      </c>
      <c r="U279" t="n">
        <v>2</v>
      </c>
      <c r="V279" t="n">
        <v>2</v>
      </c>
      <c r="W279" t="inlineStr">
        <is>
          <t>1995-11-05</t>
        </is>
      </c>
      <c r="X279" t="inlineStr">
        <is>
          <t>1995-11-05</t>
        </is>
      </c>
      <c r="Y279" t="inlineStr">
        <is>
          <t>1991-12-12</t>
        </is>
      </c>
      <c r="Z279" t="inlineStr">
        <is>
          <t>1991-12-12</t>
        </is>
      </c>
      <c r="AA279" t="n">
        <v>351</v>
      </c>
      <c r="AB279" t="n">
        <v>297</v>
      </c>
      <c r="AC279" t="n">
        <v>735</v>
      </c>
      <c r="AD279" t="n">
        <v>2</v>
      </c>
      <c r="AE279" t="n">
        <v>5</v>
      </c>
      <c r="AF279" t="n">
        <v>15</v>
      </c>
      <c r="AG279" t="n">
        <v>37</v>
      </c>
      <c r="AH279" t="n">
        <v>6</v>
      </c>
      <c r="AI279" t="n">
        <v>15</v>
      </c>
      <c r="AJ279" t="n">
        <v>3</v>
      </c>
      <c r="AK279" t="n">
        <v>7</v>
      </c>
      <c r="AL279" t="n">
        <v>11</v>
      </c>
      <c r="AM279" t="n">
        <v>21</v>
      </c>
      <c r="AN279" t="n">
        <v>1</v>
      </c>
      <c r="AO279" t="n">
        <v>4</v>
      </c>
      <c r="AP279" t="n">
        <v>0</v>
      </c>
      <c r="AQ279" t="n">
        <v>0</v>
      </c>
      <c r="AR279" t="inlineStr">
        <is>
          <t>No</t>
        </is>
      </c>
      <c r="AS279" t="inlineStr">
        <is>
          <t>No</t>
        </is>
      </c>
      <c r="AU279">
        <f>HYPERLINK("https://creighton-primo.hosted.exlibrisgroup.com/primo-explore/search?tab=default_tab&amp;search_scope=EVERYTHING&amp;vid=01CRU&amp;lang=en_US&amp;offset=0&amp;query=any,contains,991001111199702656","Catalog Record")</f>
        <v/>
      </c>
      <c r="AV279">
        <f>HYPERLINK("http://www.worldcat.org/oclc/16468909","WorldCat Record")</f>
        <v/>
      </c>
      <c r="AW279" t="inlineStr">
        <is>
          <t>806491144:eng</t>
        </is>
      </c>
      <c r="AX279" t="inlineStr">
        <is>
          <t>16468909</t>
        </is>
      </c>
      <c r="AY279" t="inlineStr">
        <is>
          <t>991001111199702656</t>
        </is>
      </c>
      <c r="AZ279" t="inlineStr">
        <is>
          <t>991001111199702656</t>
        </is>
      </c>
      <c r="BA279" t="inlineStr">
        <is>
          <t>2270330200002656</t>
        </is>
      </c>
      <c r="BB279" t="inlineStr">
        <is>
          <t>BOOK</t>
        </is>
      </c>
      <c r="BD279" t="inlineStr">
        <is>
          <t>9780824083069</t>
        </is>
      </c>
      <c r="BE279" t="inlineStr">
        <is>
          <t>32285000887389</t>
        </is>
      </c>
      <c r="BF279" t="inlineStr">
        <is>
          <t>893702742</t>
        </is>
      </c>
    </row>
    <row r="280">
      <c r="A280" t="inlineStr">
        <is>
          <t>No</t>
        </is>
      </c>
      <c r="B280" t="inlineStr">
        <is>
          <t>CURAL</t>
        </is>
      </c>
      <c r="C280" t="inlineStr">
        <is>
          <t>SHELVES</t>
        </is>
      </c>
      <c r="D280" t="inlineStr">
        <is>
          <t>PR1905 .B72 1998</t>
        </is>
      </c>
      <c r="E280" t="inlineStr">
        <is>
          <t>0                      PR 1905000B  72          1998</t>
        </is>
      </c>
      <c r="F280" t="inlineStr">
        <is>
          <t>A new introduction to Chaucer / Derek Brewer.</t>
        </is>
      </c>
      <c r="H280" t="inlineStr">
        <is>
          <t>No</t>
        </is>
      </c>
      <c r="I280" t="inlineStr">
        <is>
          <t>1</t>
        </is>
      </c>
      <c r="J280" t="inlineStr">
        <is>
          <t>No</t>
        </is>
      </c>
      <c r="K280" t="inlineStr">
        <is>
          <t>No</t>
        </is>
      </c>
      <c r="L280" t="inlineStr">
        <is>
          <t>0</t>
        </is>
      </c>
      <c r="M280" t="inlineStr">
        <is>
          <t>Brewer, Derek, 1923-2008.</t>
        </is>
      </c>
      <c r="N280" t="inlineStr">
        <is>
          <t>London ; New York : Longman, 1998.</t>
        </is>
      </c>
      <c r="O280" t="inlineStr">
        <is>
          <t>1998</t>
        </is>
      </c>
      <c r="P280" t="inlineStr">
        <is>
          <t>2nd ed.</t>
        </is>
      </c>
      <c r="Q280" t="inlineStr">
        <is>
          <t>eng</t>
        </is>
      </c>
      <c r="R280" t="inlineStr">
        <is>
          <t>enk</t>
        </is>
      </c>
      <c r="S280" t="inlineStr">
        <is>
          <t>Longman medieval and Renaissance library</t>
        </is>
      </c>
      <c r="T280" t="inlineStr">
        <is>
          <t xml:space="preserve">PR </t>
        </is>
      </c>
      <c r="U280" t="n">
        <v>3</v>
      </c>
      <c r="V280" t="n">
        <v>3</v>
      </c>
      <c r="W280" t="inlineStr">
        <is>
          <t>2006-10-24</t>
        </is>
      </c>
      <c r="X280" t="inlineStr">
        <is>
          <t>2006-10-24</t>
        </is>
      </c>
      <c r="Y280" t="inlineStr">
        <is>
          <t>1998-08-24</t>
        </is>
      </c>
      <c r="Z280" t="inlineStr">
        <is>
          <t>1998-08-24</t>
        </is>
      </c>
      <c r="AA280" t="n">
        <v>353</v>
      </c>
      <c r="AB280" t="n">
        <v>234</v>
      </c>
      <c r="AC280" t="n">
        <v>257</v>
      </c>
      <c r="AD280" t="n">
        <v>2</v>
      </c>
      <c r="AE280" t="n">
        <v>2</v>
      </c>
      <c r="AF280" t="n">
        <v>10</v>
      </c>
      <c r="AG280" t="n">
        <v>10</v>
      </c>
      <c r="AH280" t="n">
        <v>4</v>
      </c>
      <c r="AI280" t="n">
        <v>4</v>
      </c>
      <c r="AJ280" t="n">
        <v>3</v>
      </c>
      <c r="AK280" t="n">
        <v>3</v>
      </c>
      <c r="AL280" t="n">
        <v>7</v>
      </c>
      <c r="AM280" t="n">
        <v>7</v>
      </c>
      <c r="AN280" t="n">
        <v>1</v>
      </c>
      <c r="AO280" t="n">
        <v>1</v>
      </c>
      <c r="AP280" t="n">
        <v>0</v>
      </c>
      <c r="AQ280" t="n">
        <v>0</v>
      </c>
      <c r="AR280" t="inlineStr">
        <is>
          <t>No</t>
        </is>
      </c>
      <c r="AS280" t="inlineStr">
        <is>
          <t>Yes</t>
        </is>
      </c>
      <c r="AT280">
        <f>HYPERLINK("http://catalog.hathitrust.org/Record/004024992","HathiTrust Record")</f>
        <v/>
      </c>
      <c r="AU280">
        <f>HYPERLINK("https://creighton-primo.hosted.exlibrisgroup.com/primo-explore/search?tab=default_tab&amp;search_scope=EVERYTHING&amp;vid=01CRU&amp;lang=en_US&amp;offset=0&amp;query=any,contains,991002867979702656","Catalog Record")</f>
        <v/>
      </c>
      <c r="AV280">
        <f>HYPERLINK("http://www.worldcat.org/oclc/37806207","WorldCat Record")</f>
        <v/>
      </c>
      <c r="AW280" t="inlineStr">
        <is>
          <t>156266222:eng</t>
        </is>
      </c>
      <c r="AX280" t="inlineStr">
        <is>
          <t>37806207</t>
        </is>
      </c>
      <c r="AY280" t="inlineStr">
        <is>
          <t>991002867979702656</t>
        </is>
      </c>
      <c r="AZ280" t="inlineStr">
        <is>
          <t>991002867979702656</t>
        </is>
      </c>
      <c r="BA280" t="inlineStr">
        <is>
          <t>2259313190002656</t>
        </is>
      </c>
      <c r="BB280" t="inlineStr">
        <is>
          <t>BOOK</t>
        </is>
      </c>
      <c r="BD280" t="inlineStr">
        <is>
          <t>9780582093485</t>
        </is>
      </c>
      <c r="BE280" t="inlineStr">
        <is>
          <t>32285003461273</t>
        </is>
      </c>
      <c r="BF280" t="inlineStr">
        <is>
          <t>893440621</t>
        </is>
      </c>
    </row>
    <row r="281">
      <c r="A281" t="inlineStr">
        <is>
          <t>No</t>
        </is>
      </c>
      <c r="B281" t="inlineStr">
        <is>
          <t>CURAL</t>
        </is>
      </c>
      <c r="C281" t="inlineStr">
        <is>
          <t>SHELVES</t>
        </is>
      </c>
      <c r="D281" t="inlineStr">
        <is>
          <t>PR1905 .C55</t>
        </is>
      </c>
      <c r="E281" t="inlineStr">
        <is>
          <t>0                      PR 1905000C  55</t>
        </is>
      </c>
      <c r="F281" t="inlineStr">
        <is>
          <t>The poet Chaucer.</t>
        </is>
      </c>
      <c r="H281" t="inlineStr">
        <is>
          <t>No</t>
        </is>
      </c>
      <c r="I281" t="inlineStr">
        <is>
          <t>1</t>
        </is>
      </c>
      <c r="J281" t="inlineStr">
        <is>
          <t>No</t>
        </is>
      </c>
      <c r="K281" t="inlineStr">
        <is>
          <t>No</t>
        </is>
      </c>
      <c r="L281" t="inlineStr">
        <is>
          <t>0</t>
        </is>
      </c>
      <c r="M281" t="inlineStr">
        <is>
          <t>Coghill, Nevill, 1899-1980.</t>
        </is>
      </c>
      <c r="N281" t="inlineStr">
        <is>
          <t>London, New York, Oxford University Press, 1949.</t>
        </is>
      </c>
      <c r="O281" t="inlineStr">
        <is>
          <t>1949</t>
        </is>
      </c>
      <c r="Q281" t="inlineStr">
        <is>
          <t>eng</t>
        </is>
      </c>
      <c r="R281" t="inlineStr">
        <is>
          <t>enk</t>
        </is>
      </c>
      <c r="S281" t="inlineStr">
        <is>
          <t>The Home university library of modern knowledge, 185</t>
        </is>
      </c>
      <c r="T281" t="inlineStr">
        <is>
          <t xml:space="preserve">PR </t>
        </is>
      </c>
      <c r="U281" t="n">
        <v>4</v>
      </c>
      <c r="V281" t="n">
        <v>4</v>
      </c>
      <c r="W281" t="inlineStr">
        <is>
          <t>1999-03-21</t>
        </is>
      </c>
      <c r="X281" t="inlineStr">
        <is>
          <t>1999-03-21</t>
        </is>
      </c>
      <c r="Y281" t="inlineStr">
        <is>
          <t>1997-07-29</t>
        </is>
      </c>
      <c r="Z281" t="inlineStr">
        <is>
          <t>1997-07-29</t>
        </is>
      </c>
      <c r="AA281" t="n">
        <v>471</v>
      </c>
      <c r="AB281" t="n">
        <v>393</v>
      </c>
      <c r="AC281" t="n">
        <v>606</v>
      </c>
      <c r="AD281" t="n">
        <v>6</v>
      </c>
      <c r="AE281" t="n">
        <v>8</v>
      </c>
      <c r="AF281" t="n">
        <v>24</v>
      </c>
      <c r="AG281" t="n">
        <v>34</v>
      </c>
      <c r="AH281" t="n">
        <v>6</v>
      </c>
      <c r="AI281" t="n">
        <v>10</v>
      </c>
      <c r="AJ281" t="n">
        <v>5</v>
      </c>
      <c r="AK281" t="n">
        <v>7</v>
      </c>
      <c r="AL281" t="n">
        <v>13</v>
      </c>
      <c r="AM281" t="n">
        <v>17</v>
      </c>
      <c r="AN281" t="n">
        <v>4</v>
      </c>
      <c r="AO281" t="n">
        <v>6</v>
      </c>
      <c r="AP281" t="n">
        <v>0</v>
      </c>
      <c r="AQ281" t="n">
        <v>0</v>
      </c>
      <c r="AR281" t="inlineStr">
        <is>
          <t>No</t>
        </is>
      </c>
      <c r="AS281" t="inlineStr">
        <is>
          <t>Yes</t>
        </is>
      </c>
      <c r="AT281">
        <f>HYPERLINK("http://catalog.hathitrust.org/Record/000627883","HathiTrust Record")</f>
        <v/>
      </c>
      <c r="AU281">
        <f>HYPERLINK("https://creighton-primo.hosted.exlibrisgroup.com/primo-explore/search?tab=default_tab&amp;search_scope=EVERYTHING&amp;vid=01CRU&amp;lang=en_US&amp;offset=0&amp;query=any,contains,991002447139702656","Catalog Record")</f>
        <v/>
      </c>
      <c r="AV281">
        <f>HYPERLINK("http://www.worldcat.org/oclc/351861","WorldCat Record")</f>
        <v/>
      </c>
      <c r="AW281" t="inlineStr">
        <is>
          <t>5090782193:eng</t>
        </is>
      </c>
      <c r="AX281" t="inlineStr">
        <is>
          <t>351861</t>
        </is>
      </c>
      <c r="AY281" t="inlineStr">
        <is>
          <t>991002447139702656</t>
        </is>
      </c>
      <c r="AZ281" t="inlineStr">
        <is>
          <t>991002447139702656</t>
        </is>
      </c>
      <c r="BA281" t="inlineStr">
        <is>
          <t>2266907120002656</t>
        </is>
      </c>
      <c r="BB281" t="inlineStr">
        <is>
          <t>BOOK</t>
        </is>
      </c>
      <c r="BE281" t="inlineStr">
        <is>
          <t>32285002987708</t>
        </is>
      </c>
      <c r="BF281" t="inlineStr">
        <is>
          <t>893433901</t>
        </is>
      </c>
    </row>
    <row r="282">
      <c r="A282" t="inlineStr">
        <is>
          <t>No</t>
        </is>
      </c>
      <c r="B282" t="inlineStr">
        <is>
          <t>CURAL</t>
        </is>
      </c>
      <c r="C282" t="inlineStr">
        <is>
          <t>SHELVES</t>
        </is>
      </c>
      <c r="D282" t="inlineStr">
        <is>
          <t>PR1905 .E6 1970</t>
        </is>
      </c>
      <c r="E282" t="inlineStr">
        <is>
          <t>0                      PR 1905000E  6           1970</t>
        </is>
      </c>
      <c r="F282" t="inlineStr">
        <is>
          <t>Chaucer, essays and studies : a selection from the writings of Oliver Farrar Emerson, 1860-1927.</t>
        </is>
      </c>
      <c r="H282" t="inlineStr">
        <is>
          <t>No</t>
        </is>
      </c>
      <c r="I282" t="inlineStr">
        <is>
          <t>1</t>
        </is>
      </c>
      <c r="J282" t="inlineStr">
        <is>
          <t>No</t>
        </is>
      </c>
      <c r="K282" t="inlineStr">
        <is>
          <t>No</t>
        </is>
      </c>
      <c r="L282" t="inlineStr">
        <is>
          <t>0</t>
        </is>
      </c>
      <c r="M282" t="inlineStr">
        <is>
          <t>Emerson, Oliver Farrar, 1860-1927.</t>
        </is>
      </c>
      <c r="N282" t="inlineStr">
        <is>
          <t>Freeport, N.Y. : Books for Libraries Press, [1970]</t>
        </is>
      </c>
      <c r="O282" t="inlineStr">
        <is>
          <t>1970</t>
        </is>
      </c>
      <c r="Q282" t="inlineStr">
        <is>
          <t>eng</t>
        </is>
      </c>
      <c r="R282" t="inlineStr">
        <is>
          <t>nyu</t>
        </is>
      </c>
      <c r="S282" t="inlineStr">
        <is>
          <t>Library of old English and medieval literature</t>
        </is>
      </c>
      <c r="T282" t="inlineStr">
        <is>
          <t xml:space="preserve">PR </t>
        </is>
      </c>
      <c r="U282" t="n">
        <v>3</v>
      </c>
      <c r="V282" t="n">
        <v>3</v>
      </c>
      <c r="W282" t="inlineStr">
        <is>
          <t>1997-11-18</t>
        </is>
      </c>
      <c r="X282" t="inlineStr">
        <is>
          <t>1997-11-18</t>
        </is>
      </c>
      <c r="Y282" t="inlineStr">
        <is>
          <t>1992-11-02</t>
        </is>
      </c>
      <c r="Z282" t="inlineStr">
        <is>
          <t>1992-11-02</t>
        </is>
      </c>
      <c r="AA282" t="n">
        <v>162</v>
      </c>
      <c r="AB282" t="n">
        <v>151</v>
      </c>
      <c r="AC282" t="n">
        <v>158</v>
      </c>
      <c r="AD282" t="n">
        <v>2</v>
      </c>
      <c r="AE282" t="n">
        <v>2</v>
      </c>
      <c r="AF282" t="n">
        <v>6</v>
      </c>
      <c r="AG282" t="n">
        <v>6</v>
      </c>
      <c r="AH282" t="n">
        <v>3</v>
      </c>
      <c r="AI282" t="n">
        <v>3</v>
      </c>
      <c r="AJ282" t="n">
        <v>1</v>
      </c>
      <c r="AK282" t="n">
        <v>1</v>
      </c>
      <c r="AL282" t="n">
        <v>1</v>
      </c>
      <c r="AM282" t="n">
        <v>1</v>
      </c>
      <c r="AN282" t="n">
        <v>1</v>
      </c>
      <c r="AO282" t="n">
        <v>1</v>
      </c>
      <c r="AP282" t="n">
        <v>0</v>
      </c>
      <c r="AQ282" t="n">
        <v>0</v>
      </c>
      <c r="AR282" t="inlineStr">
        <is>
          <t>No</t>
        </is>
      </c>
      <c r="AS282" t="inlineStr">
        <is>
          <t>Yes</t>
        </is>
      </c>
      <c r="AT282">
        <f>HYPERLINK("http://catalog.hathitrust.org/Record/008567204","HathiTrust Record")</f>
        <v/>
      </c>
      <c r="AU282">
        <f>HYPERLINK("https://creighton-primo.hosted.exlibrisgroup.com/primo-explore/search?tab=default_tab&amp;search_scope=EVERYTHING&amp;vid=01CRU&amp;lang=en_US&amp;offset=0&amp;query=any,contains,991000428509702656","Catalog Record")</f>
        <v/>
      </c>
      <c r="AV282">
        <f>HYPERLINK("http://www.worldcat.org/oclc/75660","WorldCat Record")</f>
        <v/>
      </c>
      <c r="AW282" t="inlineStr">
        <is>
          <t>1385587:eng</t>
        </is>
      </c>
      <c r="AX282" t="inlineStr">
        <is>
          <t>75660</t>
        </is>
      </c>
      <c r="AY282" t="inlineStr">
        <is>
          <t>991000428509702656</t>
        </is>
      </c>
      <c r="AZ282" t="inlineStr">
        <is>
          <t>991000428509702656</t>
        </is>
      </c>
      <c r="BA282" t="inlineStr">
        <is>
          <t>2255941190002656</t>
        </is>
      </c>
      <c r="BB282" t="inlineStr">
        <is>
          <t>BOOK</t>
        </is>
      </c>
      <c r="BD282" t="inlineStr">
        <is>
          <t>9780836953114</t>
        </is>
      </c>
      <c r="BE282" t="inlineStr">
        <is>
          <t>32285001379527</t>
        </is>
      </c>
      <c r="BF282" t="inlineStr">
        <is>
          <t>893528040</t>
        </is>
      </c>
    </row>
    <row r="283">
      <c r="A283" t="inlineStr">
        <is>
          <t>No</t>
        </is>
      </c>
      <c r="B283" t="inlineStr">
        <is>
          <t>CURAL</t>
        </is>
      </c>
      <c r="C283" t="inlineStr">
        <is>
          <t>SHELVES</t>
        </is>
      </c>
      <c r="D283" t="inlineStr">
        <is>
          <t>PR1905 .G3</t>
        </is>
      </c>
      <c r="E283" t="inlineStr">
        <is>
          <t>0                      PR 1905000G  3</t>
        </is>
      </c>
      <c r="F283" t="inlineStr">
        <is>
          <t>The life &amp; times of Chaucer / by John Gardner ; ornaments by J. Wolf.</t>
        </is>
      </c>
      <c r="H283" t="inlineStr">
        <is>
          <t>No</t>
        </is>
      </c>
      <c r="I283" t="inlineStr">
        <is>
          <t>1</t>
        </is>
      </c>
      <c r="J283" t="inlineStr">
        <is>
          <t>No</t>
        </is>
      </c>
      <c r="K283" t="inlineStr">
        <is>
          <t>No</t>
        </is>
      </c>
      <c r="L283" t="inlineStr">
        <is>
          <t>0</t>
        </is>
      </c>
      <c r="M283" t="inlineStr">
        <is>
          <t>Gardner, John, 1933-1982.</t>
        </is>
      </c>
      <c r="N283" t="inlineStr">
        <is>
          <t>New York : Knopf : distributed by Random House, 1977.</t>
        </is>
      </c>
      <c r="O283" t="inlineStr">
        <is>
          <t>1977</t>
        </is>
      </c>
      <c r="P283" t="inlineStr">
        <is>
          <t>1st ed.</t>
        </is>
      </c>
      <c r="Q283" t="inlineStr">
        <is>
          <t>eng</t>
        </is>
      </c>
      <c r="R283" t="inlineStr">
        <is>
          <t>nyu</t>
        </is>
      </c>
      <c r="T283" t="inlineStr">
        <is>
          <t xml:space="preserve">PR </t>
        </is>
      </c>
      <c r="U283" t="n">
        <v>2</v>
      </c>
      <c r="V283" t="n">
        <v>2</v>
      </c>
      <c r="W283" t="inlineStr">
        <is>
          <t>1997-12-06</t>
        </is>
      </c>
      <c r="X283" t="inlineStr">
        <is>
          <t>1997-12-06</t>
        </is>
      </c>
      <c r="Y283" t="inlineStr">
        <is>
          <t>1991-09-30</t>
        </is>
      </c>
      <c r="Z283" t="inlineStr">
        <is>
          <t>1991-09-30</t>
        </is>
      </c>
      <c r="AA283" t="n">
        <v>2089</v>
      </c>
      <c r="AB283" t="n">
        <v>1951</v>
      </c>
      <c r="AC283" t="n">
        <v>2228</v>
      </c>
      <c r="AD283" t="n">
        <v>15</v>
      </c>
      <c r="AE283" t="n">
        <v>16</v>
      </c>
      <c r="AF283" t="n">
        <v>55</v>
      </c>
      <c r="AG283" t="n">
        <v>58</v>
      </c>
      <c r="AH283" t="n">
        <v>22</v>
      </c>
      <c r="AI283" t="n">
        <v>23</v>
      </c>
      <c r="AJ283" t="n">
        <v>10</v>
      </c>
      <c r="AK283" t="n">
        <v>11</v>
      </c>
      <c r="AL283" t="n">
        <v>25</v>
      </c>
      <c r="AM283" t="n">
        <v>27</v>
      </c>
      <c r="AN283" t="n">
        <v>10</v>
      </c>
      <c r="AO283" t="n">
        <v>10</v>
      </c>
      <c r="AP283" t="n">
        <v>0</v>
      </c>
      <c r="AQ283" t="n">
        <v>0</v>
      </c>
      <c r="AR283" t="inlineStr">
        <is>
          <t>No</t>
        </is>
      </c>
      <c r="AS283" t="inlineStr">
        <is>
          <t>Yes</t>
        </is>
      </c>
      <c r="AT283">
        <f>HYPERLINK("http://catalog.hathitrust.org/Record/000710471","HathiTrust Record")</f>
        <v/>
      </c>
      <c r="AU283">
        <f>HYPERLINK("https://creighton-primo.hosted.exlibrisgroup.com/primo-explore/search?tab=default_tab&amp;search_scope=EVERYTHING&amp;vid=01CRU&amp;lang=en_US&amp;offset=0&amp;query=any,contains,991003981829702656","Catalog Record")</f>
        <v/>
      </c>
      <c r="AV283">
        <f>HYPERLINK("http://www.worldcat.org/oclc/2020539","WorldCat Record")</f>
        <v/>
      </c>
      <c r="AW283" t="inlineStr">
        <is>
          <t>57574769:eng</t>
        </is>
      </c>
      <c r="AX283" t="inlineStr">
        <is>
          <t>2020539</t>
        </is>
      </c>
      <c r="AY283" t="inlineStr">
        <is>
          <t>991003981829702656</t>
        </is>
      </c>
      <c r="AZ283" t="inlineStr">
        <is>
          <t>991003981829702656</t>
        </is>
      </c>
      <c r="BA283" t="inlineStr">
        <is>
          <t>2271395050002656</t>
        </is>
      </c>
      <c r="BB283" t="inlineStr">
        <is>
          <t>BOOK</t>
        </is>
      </c>
      <c r="BD283" t="inlineStr">
        <is>
          <t>9780394493176</t>
        </is>
      </c>
      <c r="BE283" t="inlineStr">
        <is>
          <t>32285000763176</t>
        </is>
      </c>
      <c r="BF283" t="inlineStr">
        <is>
          <t>893881906</t>
        </is>
      </c>
    </row>
    <row r="284">
      <c r="A284" t="inlineStr">
        <is>
          <t>No</t>
        </is>
      </c>
      <c r="B284" t="inlineStr">
        <is>
          <t>CURAL</t>
        </is>
      </c>
      <c r="C284" t="inlineStr">
        <is>
          <t>SHELVES</t>
        </is>
      </c>
      <c r="D284" t="inlineStr">
        <is>
          <t>PR1905 .H58 1987</t>
        </is>
      </c>
      <c r="E284" t="inlineStr">
        <is>
          <t>0                      PR 1905000H  58          1987</t>
        </is>
      </c>
      <c r="F284" t="inlineStr">
        <is>
          <t>Chaucer : his life, his works, his world / Donald R. Howard.</t>
        </is>
      </c>
      <c r="H284" t="inlineStr">
        <is>
          <t>No</t>
        </is>
      </c>
      <c r="I284" t="inlineStr">
        <is>
          <t>1</t>
        </is>
      </c>
      <c r="J284" t="inlineStr">
        <is>
          <t>No</t>
        </is>
      </c>
      <c r="K284" t="inlineStr">
        <is>
          <t>No</t>
        </is>
      </c>
      <c r="L284" t="inlineStr">
        <is>
          <t>0</t>
        </is>
      </c>
      <c r="M284" t="inlineStr">
        <is>
          <t>Howard, Donald Roy, 1927-1987.</t>
        </is>
      </c>
      <c r="N284" t="inlineStr">
        <is>
          <t>New York : Dutton, c1987.</t>
        </is>
      </c>
      <c r="O284" t="inlineStr">
        <is>
          <t>1987</t>
        </is>
      </c>
      <c r="P284" t="inlineStr">
        <is>
          <t>1st ed.</t>
        </is>
      </c>
      <c r="Q284" t="inlineStr">
        <is>
          <t>eng</t>
        </is>
      </c>
      <c r="R284" t="inlineStr">
        <is>
          <t>nyu</t>
        </is>
      </c>
      <c r="T284" t="inlineStr">
        <is>
          <t xml:space="preserve">PR </t>
        </is>
      </c>
      <c r="U284" t="n">
        <v>3</v>
      </c>
      <c r="V284" t="n">
        <v>3</v>
      </c>
      <c r="W284" t="inlineStr">
        <is>
          <t>1992-09-17</t>
        </is>
      </c>
      <c r="X284" t="inlineStr">
        <is>
          <t>1992-09-17</t>
        </is>
      </c>
      <c r="Y284" t="inlineStr">
        <is>
          <t>1990-06-12</t>
        </is>
      </c>
      <c r="Z284" t="inlineStr">
        <is>
          <t>1990-06-12</t>
        </is>
      </c>
      <c r="AA284" t="n">
        <v>1989</v>
      </c>
      <c r="AB284" t="n">
        <v>1847</v>
      </c>
      <c r="AC284" t="n">
        <v>1974</v>
      </c>
      <c r="AD284" t="n">
        <v>10</v>
      </c>
      <c r="AE284" t="n">
        <v>10</v>
      </c>
      <c r="AF284" t="n">
        <v>49</v>
      </c>
      <c r="AG284" t="n">
        <v>52</v>
      </c>
      <c r="AH284" t="n">
        <v>20</v>
      </c>
      <c r="AI284" t="n">
        <v>23</v>
      </c>
      <c r="AJ284" t="n">
        <v>9</v>
      </c>
      <c r="AK284" t="n">
        <v>9</v>
      </c>
      <c r="AL284" t="n">
        <v>24</v>
      </c>
      <c r="AM284" t="n">
        <v>24</v>
      </c>
      <c r="AN284" t="n">
        <v>8</v>
      </c>
      <c r="AO284" t="n">
        <v>8</v>
      </c>
      <c r="AP284" t="n">
        <v>0</v>
      </c>
      <c r="AQ284" t="n">
        <v>0</v>
      </c>
      <c r="AR284" t="inlineStr">
        <is>
          <t>No</t>
        </is>
      </c>
      <c r="AS284" t="inlineStr">
        <is>
          <t>Yes</t>
        </is>
      </c>
      <c r="AT284">
        <f>HYPERLINK("http://catalog.hathitrust.org/Record/000879329","HathiTrust Record")</f>
        <v/>
      </c>
      <c r="AU284">
        <f>HYPERLINK("https://creighton-primo.hosted.exlibrisgroup.com/primo-explore/search?tab=default_tab&amp;search_scope=EVERYTHING&amp;vid=01CRU&amp;lang=en_US&amp;offset=0&amp;query=any,contains,991000983939702656","Catalog Record")</f>
        <v/>
      </c>
      <c r="AV284">
        <f>HYPERLINK("http://www.worldcat.org/oclc/15054929","WorldCat Record")</f>
        <v/>
      </c>
      <c r="AW284" t="inlineStr">
        <is>
          <t>8230616:eng</t>
        </is>
      </c>
      <c r="AX284" t="inlineStr">
        <is>
          <t>15054929</t>
        </is>
      </c>
      <c r="AY284" t="inlineStr">
        <is>
          <t>991000983939702656</t>
        </is>
      </c>
      <c r="AZ284" t="inlineStr">
        <is>
          <t>991000983939702656</t>
        </is>
      </c>
      <c r="BA284" t="inlineStr">
        <is>
          <t>2255813900002656</t>
        </is>
      </c>
      <c r="BB284" t="inlineStr">
        <is>
          <t>BOOK</t>
        </is>
      </c>
      <c r="BD284" t="inlineStr">
        <is>
          <t>9780525244004</t>
        </is>
      </c>
      <c r="BE284" t="inlineStr">
        <is>
          <t>32285000191006</t>
        </is>
      </c>
      <c r="BF284" t="inlineStr">
        <is>
          <t>893784707</t>
        </is>
      </c>
    </row>
    <row r="285">
      <c r="A285" t="inlineStr">
        <is>
          <t>No</t>
        </is>
      </c>
      <c r="B285" t="inlineStr">
        <is>
          <t>CURAL</t>
        </is>
      </c>
      <c r="C285" t="inlineStr">
        <is>
          <t>SHELVES</t>
        </is>
      </c>
      <c r="D285" t="inlineStr">
        <is>
          <t>PR1905 .P43 1983</t>
        </is>
      </c>
      <c r="E285" t="inlineStr">
        <is>
          <t>0                      PR 1905000P  43          1983</t>
        </is>
      </c>
      <c r="F285" t="inlineStr">
        <is>
          <t>Chaucer's lyrics and Anelida and Arcite : an annotated bibliography 1900 to 1980 / Russell A. Peck.</t>
        </is>
      </c>
      <c r="H285" t="inlineStr">
        <is>
          <t>No</t>
        </is>
      </c>
      <c r="I285" t="inlineStr">
        <is>
          <t>1</t>
        </is>
      </c>
      <c r="J285" t="inlineStr">
        <is>
          <t>No</t>
        </is>
      </c>
      <c r="K285" t="inlineStr">
        <is>
          <t>No</t>
        </is>
      </c>
      <c r="L285" t="inlineStr">
        <is>
          <t>0</t>
        </is>
      </c>
      <c r="M285" t="inlineStr">
        <is>
          <t>Peck, Russell A.</t>
        </is>
      </c>
      <c r="N285" t="inlineStr">
        <is>
          <t>Toronto ; Buffalo : University of Toronto Press, 1983.</t>
        </is>
      </c>
      <c r="O285" t="inlineStr">
        <is>
          <t>1983</t>
        </is>
      </c>
      <c r="Q285" t="inlineStr">
        <is>
          <t>eng</t>
        </is>
      </c>
      <c r="R285" t="inlineStr">
        <is>
          <t>onc</t>
        </is>
      </c>
      <c r="S285" t="inlineStr">
        <is>
          <t>The Chaucer bibliographies ; 1</t>
        </is>
      </c>
      <c r="T285" t="inlineStr">
        <is>
          <t xml:space="preserve">PR </t>
        </is>
      </c>
      <c r="U285" t="n">
        <v>1</v>
      </c>
      <c r="V285" t="n">
        <v>1</v>
      </c>
      <c r="W285" t="inlineStr">
        <is>
          <t>2002-11-17</t>
        </is>
      </c>
      <c r="X285" t="inlineStr">
        <is>
          <t>2002-11-17</t>
        </is>
      </c>
      <c r="Y285" t="inlineStr">
        <is>
          <t>1991-09-27</t>
        </is>
      </c>
      <c r="Z285" t="inlineStr">
        <is>
          <t>1991-09-27</t>
        </is>
      </c>
      <c r="AA285" t="n">
        <v>374</v>
      </c>
      <c r="AB285" t="n">
        <v>269</v>
      </c>
      <c r="AC285" t="n">
        <v>271</v>
      </c>
      <c r="AD285" t="n">
        <v>4</v>
      </c>
      <c r="AE285" t="n">
        <v>4</v>
      </c>
      <c r="AF285" t="n">
        <v>15</v>
      </c>
      <c r="AG285" t="n">
        <v>15</v>
      </c>
      <c r="AH285" t="n">
        <v>3</v>
      </c>
      <c r="AI285" t="n">
        <v>3</v>
      </c>
      <c r="AJ285" t="n">
        <v>4</v>
      </c>
      <c r="AK285" t="n">
        <v>4</v>
      </c>
      <c r="AL285" t="n">
        <v>9</v>
      </c>
      <c r="AM285" t="n">
        <v>9</v>
      </c>
      <c r="AN285" t="n">
        <v>3</v>
      </c>
      <c r="AO285" t="n">
        <v>3</v>
      </c>
      <c r="AP285" t="n">
        <v>0</v>
      </c>
      <c r="AQ285" t="n">
        <v>0</v>
      </c>
      <c r="AR285" t="inlineStr">
        <is>
          <t>No</t>
        </is>
      </c>
      <c r="AS285" t="inlineStr">
        <is>
          <t>Yes</t>
        </is>
      </c>
      <c r="AT285">
        <f>HYPERLINK("http://catalog.hathitrust.org/Record/000111478","HathiTrust Record")</f>
        <v/>
      </c>
      <c r="AU285">
        <f>HYPERLINK("https://creighton-primo.hosted.exlibrisgroup.com/primo-explore/search?tab=default_tab&amp;search_scope=EVERYTHING&amp;vid=01CRU&amp;lang=en_US&amp;offset=0&amp;query=any,contains,991000217249702656","Catalog Record")</f>
        <v/>
      </c>
      <c r="AV285">
        <f>HYPERLINK("http://www.worldcat.org/oclc/9569517","WorldCat Record")</f>
        <v/>
      </c>
      <c r="AW285" t="inlineStr">
        <is>
          <t>889477697:eng</t>
        </is>
      </c>
      <c r="AX285" t="inlineStr">
        <is>
          <t>9569517</t>
        </is>
      </c>
      <c r="AY285" t="inlineStr">
        <is>
          <t>991000217249702656</t>
        </is>
      </c>
      <c r="AZ285" t="inlineStr">
        <is>
          <t>991000217249702656</t>
        </is>
      </c>
      <c r="BA285" t="inlineStr">
        <is>
          <t>2264766760002656</t>
        </is>
      </c>
      <c r="BB285" t="inlineStr">
        <is>
          <t>BOOK</t>
        </is>
      </c>
      <c r="BD285" t="inlineStr">
        <is>
          <t>9780802024817</t>
        </is>
      </c>
      <c r="BE285" t="inlineStr">
        <is>
          <t>32285000763192</t>
        </is>
      </c>
      <c r="BF285" t="inlineStr">
        <is>
          <t>893327134</t>
        </is>
      </c>
    </row>
    <row r="286">
      <c r="A286" t="inlineStr">
        <is>
          <t>No</t>
        </is>
      </c>
      <c r="B286" t="inlineStr">
        <is>
          <t>CURAL</t>
        </is>
      </c>
      <c r="C286" t="inlineStr">
        <is>
          <t>SHELVES</t>
        </is>
      </c>
      <c r="D286" t="inlineStr">
        <is>
          <t>PR1905 .P433 1992</t>
        </is>
      </c>
      <c r="E286" t="inlineStr">
        <is>
          <t>0                      PR 1905000P  433         1992</t>
        </is>
      </c>
      <c r="F286" t="inlineStr">
        <is>
          <t>The life of Geoffrey Chaucer : a critical biography / Derek Pearsall.</t>
        </is>
      </c>
      <c r="H286" t="inlineStr">
        <is>
          <t>No</t>
        </is>
      </c>
      <c r="I286" t="inlineStr">
        <is>
          <t>1</t>
        </is>
      </c>
      <c r="J286" t="inlineStr">
        <is>
          <t>No</t>
        </is>
      </c>
      <c r="K286" t="inlineStr">
        <is>
          <t>No</t>
        </is>
      </c>
      <c r="L286" t="inlineStr">
        <is>
          <t>0</t>
        </is>
      </c>
      <c r="M286" t="inlineStr">
        <is>
          <t>Pearsall, Derek.</t>
        </is>
      </c>
      <c r="N286" t="inlineStr">
        <is>
          <t>Oxford, UK ; Cambridge, Mass. : Blackwell, 1992.</t>
        </is>
      </c>
      <c r="O286" t="inlineStr">
        <is>
          <t>1992</t>
        </is>
      </c>
      <c r="Q286" t="inlineStr">
        <is>
          <t>eng</t>
        </is>
      </c>
      <c r="R286" t="inlineStr">
        <is>
          <t>enk</t>
        </is>
      </c>
      <c r="S286" t="inlineStr">
        <is>
          <t>Blackwell critical biographies ; 1</t>
        </is>
      </c>
      <c r="T286" t="inlineStr">
        <is>
          <t xml:space="preserve">PR </t>
        </is>
      </c>
      <c r="U286" t="n">
        <v>5</v>
      </c>
      <c r="V286" t="n">
        <v>5</v>
      </c>
      <c r="W286" t="inlineStr">
        <is>
          <t>2005-02-17</t>
        </is>
      </c>
      <c r="X286" t="inlineStr">
        <is>
          <t>2005-02-17</t>
        </is>
      </c>
      <c r="Y286" t="inlineStr">
        <is>
          <t>1992-11-20</t>
        </is>
      </c>
      <c r="Z286" t="inlineStr">
        <is>
          <t>1992-11-20</t>
        </is>
      </c>
      <c r="AA286" t="n">
        <v>1039</v>
      </c>
      <c r="AB286" t="n">
        <v>843</v>
      </c>
      <c r="AC286" t="n">
        <v>926</v>
      </c>
      <c r="AD286" t="n">
        <v>10</v>
      </c>
      <c r="AE286" t="n">
        <v>11</v>
      </c>
      <c r="AF286" t="n">
        <v>44</v>
      </c>
      <c r="AG286" t="n">
        <v>46</v>
      </c>
      <c r="AH286" t="n">
        <v>17</v>
      </c>
      <c r="AI286" t="n">
        <v>18</v>
      </c>
      <c r="AJ286" t="n">
        <v>9</v>
      </c>
      <c r="AK286" t="n">
        <v>9</v>
      </c>
      <c r="AL286" t="n">
        <v>22</v>
      </c>
      <c r="AM286" t="n">
        <v>22</v>
      </c>
      <c r="AN286" t="n">
        <v>9</v>
      </c>
      <c r="AO286" t="n">
        <v>10</v>
      </c>
      <c r="AP286" t="n">
        <v>0</v>
      </c>
      <c r="AQ286" t="n">
        <v>0</v>
      </c>
      <c r="AR286" t="inlineStr">
        <is>
          <t>No</t>
        </is>
      </c>
      <c r="AS286" t="inlineStr">
        <is>
          <t>No</t>
        </is>
      </c>
      <c r="AU286">
        <f>HYPERLINK("https://creighton-primo.hosted.exlibrisgroup.com/primo-explore/search?tab=default_tab&amp;search_scope=EVERYTHING&amp;vid=01CRU&amp;lang=en_US&amp;offset=0&amp;query=any,contains,991001980329702656","Catalog Record")</f>
        <v/>
      </c>
      <c r="AV286">
        <f>HYPERLINK("http://www.worldcat.org/oclc/25130993","WorldCat Record")</f>
        <v/>
      </c>
      <c r="AW286" t="inlineStr">
        <is>
          <t>43744167:eng</t>
        </is>
      </c>
      <c r="AX286" t="inlineStr">
        <is>
          <t>25130993</t>
        </is>
      </c>
      <c r="AY286" t="inlineStr">
        <is>
          <t>991001980329702656</t>
        </is>
      </c>
      <c r="AZ286" t="inlineStr">
        <is>
          <t>991001980329702656</t>
        </is>
      </c>
      <c r="BA286" t="inlineStr">
        <is>
          <t>2263061040002656</t>
        </is>
      </c>
      <c r="BB286" t="inlineStr">
        <is>
          <t>BOOK</t>
        </is>
      </c>
      <c r="BD286" t="inlineStr">
        <is>
          <t>9781557862051</t>
        </is>
      </c>
      <c r="BE286" t="inlineStr">
        <is>
          <t>32285001363950</t>
        </is>
      </c>
      <c r="BF286" t="inlineStr">
        <is>
          <t>893691083</t>
        </is>
      </c>
    </row>
    <row r="287">
      <c r="A287" t="inlineStr">
        <is>
          <t>No</t>
        </is>
      </c>
      <c r="B287" t="inlineStr">
        <is>
          <t>CURAL</t>
        </is>
      </c>
      <c r="C287" t="inlineStr">
        <is>
          <t>SHELVES</t>
        </is>
      </c>
      <c r="D287" t="inlineStr">
        <is>
          <t>PR1905 .W27</t>
        </is>
      </c>
      <c r="E287" t="inlineStr">
        <is>
          <t>0                      PR 1905000W  27</t>
        </is>
      </c>
      <c r="F287" t="inlineStr">
        <is>
          <t>The personality of Chaucer [by] Edward Wagenknecht.</t>
        </is>
      </c>
      <c r="H287" t="inlineStr">
        <is>
          <t>No</t>
        </is>
      </c>
      <c r="I287" t="inlineStr">
        <is>
          <t>1</t>
        </is>
      </c>
      <c r="J287" t="inlineStr">
        <is>
          <t>No</t>
        </is>
      </c>
      <c r="K287" t="inlineStr">
        <is>
          <t>No</t>
        </is>
      </c>
      <c r="L287" t="inlineStr">
        <is>
          <t>0</t>
        </is>
      </c>
      <c r="M287" t="inlineStr">
        <is>
          <t>Wagenknecht, Edward, 1900-2004.</t>
        </is>
      </c>
      <c r="N287" t="inlineStr">
        <is>
          <t>Norman, University of Oklahoma Press [1968]</t>
        </is>
      </c>
      <c r="O287" t="inlineStr">
        <is>
          <t>1968</t>
        </is>
      </c>
      <c r="P287" t="inlineStr">
        <is>
          <t>[1st ed.]</t>
        </is>
      </c>
      <c r="Q287" t="inlineStr">
        <is>
          <t>eng</t>
        </is>
      </c>
      <c r="R287" t="inlineStr">
        <is>
          <t>oku</t>
        </is>
      </c>
      <c r="T287" t="inlineStr">
        <is>
          <t xml:space="preserve">PR </t>
        </is>
      </c>
      <c r="U287" t="n">
        <v>2</v>
      </c>
      <c r="V287" t="n">
        <v>2</v>
      </c>
      <c r="W287" t="inlineStr">
        <is>
          <t>2000-11-02</t>
        </is>
      </c>
      <c r="X287" t="inlineStr">
        <is>
          <t>2000-11-02</t>
        </is>
      </c>
      <c r="Y287" t="inlineStr">
        <is>
          <t>1997-07-29</t>
        </is>
      </c>
      <c r="Z287" t="inlineStr">
        <is>
          <t>1997-07-29</t>
        </is>
      </c>
      <c r="AA287" t="n">
        <v>1207</v>
      </c>
      <c r="AB287" t="n">
        <v>1093</v>
      </c>
      <c r="AC287" t="n">
        <v>1103</v>
      </c>
      <c r="AD287" t="n">
        <v>6</v>
      </c>
      <c r="AE287" t="n">
        <v>6</v>
      </c>
      <c r="AF287" t="n">
        <v>37</v>
      </c>
      <c r="AG287" t="n">
        <v>37</v>
      </c>
      <c r="AH287" t="n">
        <v>18</v>
      </c>
      <c r="AI287" t="n">
        <v>18</v>
      </c>
      <c r="AJ287" t="n">
        <v>6</v>
      </c>
      <c r="AK287" t="n">
        <v>6</v>
      </c>
      <c r="AL287" t="n">
        <v>22</v>
      </c>
      <c r="AM287" t="n">
        <v>22</v>
      </c>
      <c r="AN287" t="n">
        <v>3</v>
      </c>
      <c r="AO287" t="n">
        <v>3</v>
      </c>
      <c r="AP287" t="n">
        <v>0</v>
      </c>
      <c r="AQ287" t="n">
        <v>0</v>
      </c>
      <c r="AR287" t="inlineStr">
        <is>
          <t>No</t>
        </is>
      </c>
      <c r="AS287" t="inlineStr">
        <is>
          <t>No</t>
        </is>
      </c>
      <c r="AU287">
        <f>HYPERLINK("https://creighton-primo.hosted.exlibrisgroup.com/primo-explore/search?tab=default_tab&amp;search_scope=EVERYTHING&amp;vid=01CRU&amp;lang=en_US&amp;offset=0&amp;query=any,contains,991002197629702656","Catalog Record")</f>
        <v/>
      </c>
      <c r="AV287">
        <f>HYPERLINK("http://www.worldcat.org/oclc/283609","WorldCat Record")</f>
        <v/>
      </c>
      <c r="AW287" t="inlineStr">
        <is>
          <t>149380125:eng</t>
        </is>
      </c>
      <c r="AX287" t="inlineStr">
        <is>
          <t>283609</t>
        </is>
      </c>
      <c r="AY287" t="inlineStr">
        <is>
          <t>991002197629702656</t>
        </is>
      </c>
      <c r="AZ287" t="inlineStr">
        <is>
          <t>991002197629702656</t>
        </is>
      </c>
      <c r="BA287" t="inlineStr">
        <is>
          <t>2265632560002656</t>
        </is>
      </c>
      <c r="BB287" t="inlineStr">
        <is>
          <t>BOOK</t>
        </is>
      </c>
      <c r="BE287" t="inlineStr">
        <is>
          <t>32285002987849</t>
        </is>
      </c>
      <c r="BF287" t="inlineStr">
        <is>
          <t>893879604</t>
        </is>
      </c>
    </row>
    <row r="288">
      <c r="A288" t="inlineStr">
        <is>
          <t>No</t>
        </is>
      </c>
      <c r="B288" t="inlineStr">
        <is>
          <t>CURAL</t>
        </is>
      </c>
      <c r="C288" t="inlineStr">
        <is>
          <t>SHELVES</t>
        </is>
      </c>
      <c r="D288" t="inlineStr">
        <is>
          <t>PR1905 .W3 1895</t>
        </is>
      </c>
      <c r="E288" t="inlineStr">
        <is>
          <t>0                      PR 1905000W  3           1895</t>
        </is>
      </c>
      <c r="F288" t="inlineStr">
        <is>
          <t>Chaucer / by Adolphus William Ward. Spenser / by R.W. Church. Dryden / by George Saintsbury.</t>
        </is>
      </c>
      <c r="H288" t="inlineStr">
        <is>
          <t>No</t>
        </is>
      </c>
      <c r="I288" t="inlineStr">
        <is>
          <t>1</t>
        </is>
      </c>
      <c r="J288" t="inlineStr">
        <is>
          <t>No</t>
        </is>
      </c>
      <c r="K288" t="inlineStr">
        <is>
          <t>Yes</t>
        </is>
      </c>
      <c r="L288" t="inlineStr">
        <is>
          <t>0</t>
        </is>
      </c>
      <c r="M288" t="inlineStr">
        <is>
          <t>Ward, Adolphus William, Sir, 1837-1924.</t>
        </is>
      </c>
      <c r="N288" t="inlineStr">
        <is>
          <t>London : Macmillan, [1895]</t>
        </is>
      </c>
      <c r="O288" t="inlineStr">
        <is>
          <t>1895</t>
        </is>
      </c>
      <c r="S288" t="inlineStr">
        <is>
          <t>English men of letters</t>
        </is>
      </c>
      <c r="T288" t="inlineStr">
        <is>
          <t xml:space="preserve">PR </t>
        </is>
      </c>
      <c r="U288" t="n">
        <v>1</v>
      </c>
      <c r="V288" t="n">
        <v>1</v>
      </c>
      <c r="W288" t="inlineStr">
        <is>
          <t>2002-04-22</t>
        </is>
      </c>
      <c r="X288" t="inlineStr">
        <is>
          <t>2002-04-22</t>
        </is>
      </c>
      <c r="Y288" t="inlineStr">
        <is>
          <t>2002-04-10</t>
        </is>
      </c>
      <c r="Z288" t="inlineStr">
        <is>
          <t>2002-04-10</t>
        </is>
      </c>
      <c r="AA288" t="n">
        <v>11</v>
      </c>
      <c r="AB288" t="n">
        <v>8</v>
      </c>
      <c r="AC288" t="n">
        <v>1017</v>
      </c>
      <c r="AD288" t="n">
        <v>1</v>
      </c>
      <c r="AE288" t="n">
        <v>10</v>
      </c>
      <c r="AF288" t="n">
        <v>1</v>
      </c>
      <c r="AG288" t="n">
        <v>55</v>
      </c>
      <c r="AH288" t="n">
        <v>0</v>
      </c>
      <c r="AI288" t="n">
        <v>22</v>
      </c>
      <c r="AJ288" t="n">
        <v>1</v>
      </c>
      <c r="AK288" t="n">
        <v>11</v>
      </c>
      <c r="AL288" t="n">
        <v>1</v>
      </c>
      <c r="AM288" t="n">
        <v>26</v>
      </c>
      <c r="AN288" t="n">
        <v>0</v>
      </c>
      <c r="AO288" t="n">
        <v>9</v>
      </c>
      <c r="AP288" t="n">
        <v>0</v>
      </c>
      <c r="AQ288" t="n">
        <v>0</v>
      </c>
      <c r="AR288" t="inlineStr">
        <is>
          <t>No</t>
        </is>
      </c>
      <c r="AS288" t="inlineStr">
        <is>
          <t>No</t>
        </is>
      </c>
      <c r="AU288">
        <f>HYPERLINK("https://creighton-primo.hosted.exlibrisgroup.com/primo-explore/search?tab=default_tab&amp;search_scope=EVERYTHING&amp;vid=01CRU&amp;lang=en_US&amp;offset=0&amp;query=any,contains,991003792459702656","Catalog Record")</f>
        <v/>
      </c>
      <c r="AV288">
        <f>HYPERLINK("http://www.worldcat.org/oclc/9552206","WorldCat Record")</f>
        <v/>
      </c>
      <c r="AW288" t="inlineStr">
        <is>
          <t>1134224:eng</t>
        </is>
      </c>
      <c r="AX288" t="inlineStr">
        <is>
          <t>9552206</t>
        </is>
      </c>
      <c r="AY288" t="inlineStr">
        <is>
          <t>991003792459702656</t>
        </is>
      </c>
      <c r="AZ288" t="inlineStr">
        <is>
          <t>991003792459702656</t>
        </is>
      </c>
      <c r="BA288" t="inlineStr">
        <is>
          <t>2267016910002656</t>
        </is>
      </c>
      <c r="BB288" t="inlineStr">
        <is>
          <t>BOOK</t>
        </is>
      </c>
      <c r="BE288" t="inlineStr">
        <is>
          <t>32285004478110</t>
        </is>
      </c>
      <c r="BF288" t="inlineStr">
        <is>
          <t>893416805</t>
        </is>
      </c>
    </row>
    <row r="289">
      <c r="A289" t="inlineStr">
        <is>
          <t>No</t>
        </is>
      </c>
      <c r="B289" t="inlineStr">
        <is>
          <t>CURAL</t>
        </is>
      </c>
      <c r="C289" t="inlineStr">
        <is>
          <t>SHELVES</t>
        </is>
      </c>
      <c r="D289" t="inlineStr">
        <is>
          <t>PR1906.5 .B68</t>
        </is>
      </c>
      <c r="E289" t="inlineStr">
        <is>
          <t>0                      PR 1906500B  68</t>
        </is>
      </c>
      <c r="F289" t="inlineStr">
        <is>
          <t>Chaucer and his world / Derek Brewer.</t>
        </is>
      </c>
      <c r="H289" t="inlineStr">
        <is>
          <t>No</t>
        </is>
      </c>
      <c r="I289" t="inlineStr">
        <is>
          <t>1</t>
        </is>
      </c>
      <c r="J289" t="inlineStr">
        <is>
          <t>No</t>
        </is>
      </c>
      <c r="K289" t="inlineStr">
        <is>
          <t>No</t>
        </is>
      </c>
      <c r="L289" t="inlineStr">
        <is>
          <t>0</t>
        </is>
      </c>
      <c r="M289" t="inlineStr">
        <is>
          <t>Brewer, Derek, 1923-2008.</t>
        </is>
      </c>
      <c r="N289" t="inlineStr">
        <is>
          <t>New York : Dodd, Mead, 1978.</t>
        </is>
      </c>
      <c r="O289" t="inlineStr">
        <is>
          <t>1978</t>
        </is>
      </c>
      <c r="Q289" t="inlineStr">
        <is>
          <t>eng</t>
        </is>
      </c>
      <c r="R289" t="inlineStr">
        <is>
          <t>nyu</t>
        </is>
      </c>
      <c r="T289" t="inlineStr">
        <is>
          <t xml:space="preserve">PR </t>
        </is>
      </c>
      <c r="U289" t="n">
        <v>5</v>
      </c>
      <c r="V289" t="n">
        <v>5</v>
      </c>
      <c r="W289" t="inlineStr">
        <is>
          <t>2004-10-31</t>
        </is>
      </c>
      <c r="X289" t="inlineStr">
        <is>
          <t>2004-10-31</t>
        </is>
      </c>
      <c r="Y289" t="inlineStr">
        <is>
          <t>1990-06-12</t>
        </is>
      </c>
      <c r="Z289" t="inlineStr">
        <is>
          <t>1990-06-12</t>
        </is>
      </c>
      <c r="AA289" t="n">
        <v>791</v>
      </c>
      <c r="AB289" t="n">
        <v>762</v>
      </c>
      <c r="AC289" t="n">
        <v>954</v>
      </c>
      <c r="AD289" t="n">
        <v>5</v>
      </c>
      <c r="AE289" t="n">
        <v>8</v>
      </c>
      <c r="AF289" t="n">
        <v>20</v>
      </c>
      <c r="AG289" t="n">
        <v>33</v>
      </c>
      <c r="AH289" t="n">
        <v>8</v>
      </c>
      <c r="AI289" t="n">
        <v>13</v>
      </c>
      <c r="AJ289" t="n">
        <v>7</v>
      </c>
      <c r="AK289" t="n">
        <v>8</v>
      </c>
      <c r="AL289" t="n">
        <v>8</v>
      </c>
      <c r="AM289" t="n">
        <v>16</v>
      </c>
      <c r="AN289" t="n">
        <v>3</v>
      </c>
      <c r="AO289" t="n">
        <v>6</v>
      </c>
      <c r="AP289" t="n">
        <v>0</v>
      </c>
      <c r="AQ289" t="n">
        <v>0</v>
      </c>
      <c r="AR289" t="inlineStr">
        <is>
          <t>No</t>
        </is>
      </c>
      <c r="AS289" t="inlineStr">
        <is>
          <t>No</t>
        </is>
      </c>
      <c r="AU289">
        <f>HYPERLINK("https://creighton-primo.hosted.exlibrisgroup.com/primo-explore/search?tab=default_tab&amp;search_scope=EVERYTHING&amp;vid=01CRU&amp;lang=en_US&amp;offset=0&amp;query=any,contains,991004374709702656","Catalog Record")</f>
        <v/>
      </c>
      <c r="AV289">
        <f>HYPERLINK("http://www.worldcat.org/oclc/3203906","WorldCat Record")</f>
        <v/>
      </c>
      <c r="AW289" t="inlineStr">
        <is>
          <t>156265792:eng</t>
        </is>
      </c>
      <c r="AX289" t="inlineStr">
        <is>
          <t>3203906</t>
        </is>
      </c>
      <c r="AY289" t="inlineStr">
        <is>
          <t>991004374709702656</t>
        </is>
      </c>
      <c r="AZ289" t="inlineStr">
        <is>
          <t>991004374709702656</t>
        </is>
      </c>
      <c r="BA289" t="inlineStr">
        <is>
          <t>2268866250002656</t>
        </is>
      </c>
      <c r="BB289" t="inlineStr">
        <is>
          <t>BOOK</t>
        </is>
      </c>
      <c r="BD289" t="inlineStr">
        <is>
          <t>9780396075196</t>
        </is>
      </c>
      <c r="BE289" t="inlineStr">
        <is>
          <t>32285000191014</t>
        </is>
      </c>
      <c r="BF289" t="inlineStr">
        <is>
          <t>893519573</t>
        </is>
      </c>
    </row>
    <row r="290">
      <c r="A290" t="inlineStr">
        <is>
          <t>No</t>
        </is>
      </c>
      <c r="B290" t="inlineStr">
        <is>
          <t>CURAL</t>
        </is>
      </c>
      <c r="C290" t="inlineStr">
        <is>
          <t>SHELVES</t>
        </is>
      </c>
      <c r="D290" t="inlineStr">
        <is>
          <t>PR1906.5 .R6</t>
        </is>
      </c>
      <c r="E290" t="inlineStr">
        <is>
          <t>0                      PR 1906500R  6</t>
        </is>
      </c>
      <c r="F290" t="inlineStr">
        <is>
          <t>Chaucer and the English tradition.</t>
        </is>
      </c>
      <c r="H290" t="inlineStr">
        <is>
          <t>No</t>
        </is>
      </c>
      <c r="I290" t="inlineStr">
        <is>
          <t>1</t>
        </is>
      </c>
      <c r="J290" t="inlineStr">
        <is>
          <t>No</t>
        </is>
      </c>
      <c r="K290" t="inlineStr">
        <is>
          <t>No</t>
        </is>
      </c>
      <c r="L290" t="inlineStr">
        <is>
          <t>0</t>
        </is>
      </c>
      <c r="M290" t="inlineStr">
        <is>
          <t>Robinson, Ian, 1944-</t>
        </is>
      </c>
      <c r="N290" t="inlineStr">
        <is>
          <t>Cambridge [Eng.] University Press, 1972.</t>
        </is>
      </c>
      <c r="O290" t="inlineStr">
        <is>
          <t>1972</t>
        </is>
      </c>
      <c r="Q290" t="inlineStr">
        <is>
          <t>eng</t>
        </is>
      </c>
      <c r="R290" t="inlineStr">
        <is>
          <t>enk</t>
        </is>
      </c>
      <c r="T290" t="inlineStr">
        <is>
          <t xml:space="preserve">PR </t>
        </is>
      </c>
      <c r="U290" t="n">
        <v>2</v>
      </c>
      <c r="V290" t="n">
        <v>2</v>
      </c>
      <c r="W290" t="inlineStr">
        <is>
          <t>2004-11-09</t>
        </is>
      </c>
      <c r="X290" t="inlineStr">
        <is>
          <t>2004-11-09</t>
        </is>
      </c>
      <c r="Y290" t="inlineStr">
        <is>
          <t>1997-07-29</t>
        </is>
      </c>
      <c r="Z290" t="inlineStr">
        <is>
          <t>1997-07-29</t>
        </is>
      </c>
      <c r="AA290" t="n">
        <v>921</v>
      </c>
      <c r="AB290" t="n">
        <v>712</v>
      </c>
      <c r="AC290" t="n">
        <v>731</v>
      </c>
      <c r="AD290" t="n">
        <v>8</v>
      </c>
      <c r="AE290" t="n">
        <v>8</v>
      </c>
      <c r="AF290" t="n">
        <v>44</v>
      </c>
      <c r="AG290" t="n">
        <v>45</v>
      </c>
      <c r="AH290" t="n">
        <v>18</v>
      </c>
      <c r="AI290" t="n">
        <v>18</v>
      </c>
      <c r="AJ290" t="n">
        <v>9</v>
      </c>
      <c r="AK290" t="n">
        <v>9</v>
      </c>
      <c r="AL290" t="n">
        <v>20</v>
      </c>
      <c r="AM290" t="n">
        <v>21</v>
      </c>
      <c r="AN290" t="n">
        <v>7</v>
      </c>
      <c r="AO290" t="n">
        <v>7</v>
      </c>
      <c r="AP290" t="n">
        <v>0</v>
      </c>
      <c r="AQ290" t="n">
        <v>0</v>
      </c>
      <c r="AR290" t="inlineStr">
        <is>
          <t>No</t>
        </is>
      </c>
      <c r="AS290" t="inlineStr">
        <is>
          <t>No</t>
        </is>
      </c>
      <c r="AU290">
        <f>HYPERLINK("https://creighton-primo.hosted.exlibrisgroup.com/primo-explore/search?tab=default_tab&amp;search_scope=EVERYTHING&amp;vid=01CRU&amp;lang=en_US&amp;offset=0&amp;query=any,contains,991001387279702656","Catalog Record")</f>
        <v/>
      </c>
      <c r="AV290">
        <f>HYPERLINK("http://www.worldcat.org/oclc/227513","WorldCat Record")</f>
        <v/>
      </c>
      <c r="AW290" t="inlineStr">
        <is>
          <t>2268776:eng</t>
        </is>
      </c>
      <c r="AX290" t="inlineStr">
        <is>
          <t>227513</t>
        </is>
      </c>
      <c r="AY290" t="inlineStr">
        <is>
          <t>991001387279702656</t>
        </is>
      </c>
      <c r="AZ290" t="inlineStr">
        <is>
          <t>991001387279702656</t>
        </is>
      </c>
      <c r="BA290" t="inlineStr">
        <is>
          <t>2255695370002656</t>
        </is>
      </c>
      <c r="BB290" t="inlineStr">
        <is>
          <t>BOOK</t>
        </is>
      </c>
      <c r="BD290" t="inlineStr">
        <is>
          <t>9780521082310</t>
        </is>
      </c>
      <c r="BE290" t="inlineStr">
        <is>
          <t>32285002987807</t>
        </is>
      </c>
      <c r="BF290" t="inlineStr">
        <is>
          <t>893328107</t>
        </is>
      </c>
    </row>
    <row r="291">
      <c r="A291" t="inlineStr">
        <is>
          <t>No</t>
        </is>
      </c>
      <c r="B291" t="inlineStr">
        <is>
          <t>CURAL</t>
        </is>
      </c>
      <c r="C291" t="inlineStr">
        <is>
          <t>SHELVES</t>
        </is>
      </c>
      <c r="D291" t="inlineStr">
        <is>
          <t>PR1912.A2 B7</t>
        </is>
      </c>
      <c r="E291" t="inlineStr">
        <is>
          <t>0                      PR 1912000A  2                  B  7</t>
        </is>
      </c>
      <c r="F291" t="inlineStr">
        <is>
          <t>Sources and analogues of Chaucer's Canterbury tales / [by] Carleton Brown, Germaine Dempster, G.H.Gerould [and others] ; edited by W.F.Bryan and Germaine Dempster.</t>
        </is>
      </c>
      <c r="H291" t="inlineStr">
        <is>
          <t>No</t>
        </is>
      </c>
      <c r="I291" t="inlineStr">
        <is>
          <t>1</t>
        </is>
      </c>
      <c r="J291" t="inlineStr">
        <is>
          <t>No</t>
        </is>
      </c>
      <c r="K291" t="inlineStr">
        <is>
          <t>No</t>
        </is>
      </c>
      <c r="L291" t="inlineStr">
        <is>
          <t>0</t>
        </is>
      </c>
      <c r="M291" t="inlineStr">
        <is>
          <t>Bryan, William Frank, 1879-, compiler.</t>
        </is>
      </c>
      <c r="N291" t="inlineStr">
        <is>
          <t>Chicago, Ill. : The University press, [1941]</t>
        </is>
      </c>
      <c r="O291" t="inlineStr">
        <is>
          <t>1941</t>
        </is>
      </c>
      <c r="Q291" t="inlineStr">
        <is>
          <t>eng</t>
        </is>
      </c>
      <c r="R291" t="inlineStr">
        <is>
          <t xml:space="preserve">xx </t>
        </is>
      </c>
      <c r="T291" t="inlineStr">
        <is>
          <t xml:space="preserve">PR </t>
        </is>
      </c>
      <c r="U291" t="n">
        <v>6</v>
      </c>
      <c r="V291" t="n">
        <v>6</v>
      </c>
      <c r="W291" t="inlineStr">
        <is>
          <t>2000-11-08</t>
        </is>
      </c>
      <c r="X291" t="inlineStr">
        <is>
          <t>2000-11-08</t>
        </is>
      </c>
      <c r="Y291" t="inlineStr">
        <is>
          <t>1990-05-09</t>
        </is>
      </c>
      <c r="Z291" t="inlineStr">
        <is>
          <t>1990-05-09</t>
        </is>
      </c>
      <c r="AA291" t="n">
        <v>332</v>
      </c>
      <c r="AB291" t="n">
        <v>283</v>
      </c>
      <c r="AC291" t="n">
        <v>1084</v>
      </c>
      <c r="AD291" t="n">
        <v>3</v>
      </c>
      <c r="AE291" t="n">
        <v>7</v>
      </c>
      <c r="AF291" t="n">
        <v>18</v>
      </c>
      <c r="AG291" t="n">
        <v>49</v>
      </c>
      <c r="AH291" t="n">
        <v>8</v>
      </c>
      <c r="AI291" t="n">
        <v>22</v>
      </c>
      <c r="AJ291" t="n">
        <v>3</v>
      </c>
      <c r="AK291" t="n">
        <v>9</v>
      </c>
      <c r="AL291" t="n">
        <v>11</v>
      </c>
      <c r="AM291" t="n">
        <v>25</v>
      </c>
      <c r="AN291" t="n">
        <v>2</v>
      </c>
      <c r="AO291" t="n">
        <v>6</v>
      </c>
      <c r="AP291" t="n">
        <v>0</v>
      </c>
      <c r="AQ291" t="n">
        <v>0</v>
      </c>
      <c r="AR291" t="inlineStr">
        <is>
          <t>No</t>
        </is>
      </c>
      <c r="AS291" t="inlineStr">
        <is>
          <t>No</t>
        </is>
      </c>
      <c r="AT291">
        <f>HYPERLINK("http://catalog.hathitrust.org/Record/000624812","HathiTrust Record")</f>
        <v/>
      </c>
      <c r="AU291">
        <f>HYPERLINK("https://creighton-primo.hosted.exlibrisgroup.com/primo-explore/search?tab=default_tab&amp;search_scope=EVERYTHING&amp;vid=01CRU&amp;lang=en_US&amp;offset=0&amp;query=any,contains,991001963269702656","Catalog Record")</f>
        <v/>
      </c>
      <c r="AV291">
        <f>HYPERLINK("http://www.worldcat.org/oclc/253672","WorldCat Record")</f>
        <v/>
      </c>
      <c r="AW291" t="inlineStr">
        <is>
          <t>505386704:eng</t>
        </is>
      </c>
      <c r="AX291" t="inlineStr">
        <is>
          <t>253672</t>
        </is>
      </c>
      <c r="AY291" t="inlineStr">
        <is>
          <t>991001963269702656</t>
        </is>
      </c>
      <c r="AZ291" t="inlineStr">
        <is>
          <t>991001963269702656</t>
        </is>
      </c>
      <c r="BA291" t="inlineStr">
        <is>
          <t>2267092090002656</t>
        </is>
      </c>
      <c r="BB291" t="inlineStr">
        <is>
          <t>BOOK</t>
        </is>
      </c>
      <c r="BE291" t="inlineStr">
        <is>
          <t>32285000138775</t>
        </is>
      </c>
      <c r="BF291" t="inlineStr">
        <is>
          <t>893798003</t>
        </is>
      </c>
    </row>
    <row r="292">
      <c r="A292" t="inlineStr">
        <is>
          <t>No</t>
        </is>
      </c>
      <c r="B292" t="inlineStr">
        <is>
          <t>CURAL</t>
        </is>
      </c>
      <c r="C292" t="inlineStr">
        <is>
          <t>SHELVES</t>
        </is>
      </c>
      <c r="D292" t="inlineStr">
        <is>
          <t>PR1912.A2 C48</t>
        </is>
      </c>
      <c r="E292" t="inlineStr">
        <is>
          <t>0                      PR 1912000A  2                  C  48</t>
        </is>
      </c>
      <c r="F292" t="inlineStr">
        <is>
          <t>Chaucer : sources and backgrounds / edited by Robert P. Miller.</t>
        </is>
      </c>
      <c r="H292" t="inlineStr">
        <is>
          <t>No</t>
        </is>
      </c>
      <c r="I292" t="inlineStr">
        <is>
          <t>1</t>
        </is>
      </c>
      <c r="J292" t="inlineStr">
        <is>
          <t>No</t>
        </is>
      </c>
      <c r="K292" t="inlineStr">
        <is>
          <t>No</t>
        </is>
      </c>
      <c r="L292" t="inlineStr">
        <is>
          <t>0</t>
        </is>
      </c>
      <c r="N292" t="inlineStr">
        <is>
          <t>New York : Oxford University Press, 1977.</t>
        </is>
      </c>
      <c r="O292" t="inlineStr">
        <is>
          <t>1977</t>
        </is>
      </c>
      <c r="Q292" t="inlineStr">
        <is>
          <t>eng</t>
        </is>
      </c>
      <c r="R292" t="inlineStr">
        <is>
          <t>nyu</t>
        </is>
      </c>
      <c r="T292" t="inlineStr">
        <is>
          <t xml:space="preserve">PR </t>
        </is>
      </c>
      <c r="U292" t="n">
        <v>6</v>
      </c>
      <c r="V292" t="n">
        <v>6</v>
      </c>
      <c r="W292" t="inlineStr">
        <is>
          <t>1997-03-25</t>
        </is>
      </c>
      <c r="X292" t="inlineStr">
        <is>
          <t>1997-03-25</t>
        </is>
      </c>
      <c r="Y292" t="inlineStr">
        <is>
          <t>1991-08-09</t>
        </is>
      </c>
      <c r="Z292" t="inlineStr">
        <is>
          <t>1991-08-09</t>
        </is>
      </c>
      <c r="AA292" t="n">
        <v>1116</v>
      </c>
      <c r="AB292" t="n">
        <v>909</v>
      </c>
      <c r="AC292" t="n">
        <v>916</v>
      </c>
      <c r="AD292" t="n">
        <v>8</v>
      </c>
      <c r="AE292" t="n">
        <v>8</v>
      </c>
      <c r="AF292" t="n">
        <v>46</v>
      </c>
      <c r="AG292" t="n">
        <v>46</v>
      </c>
      <c r="AH292" t="n">
        <v>18</v>
      </c>
      <c r="AI292" t="n">
        <v>18</v>
      </c>
      <c r="AJ292" t="n">
        <v>9</v>
      </c>
      <c r="AK292" t="n">
        <v>9</v>
      </c>
      <c r="AL292" t="n">
        <v>23</v>
      </c>
      <c r="AM292" t="n">
        <v>23</v>
      </c>
      <c r="AN292" t="n">
        <v>7</v>
      </c>
      <c r="AO292" t="n">
        <v>7</v>
      </c>
      <c r="AP292" t="n">
        <v>0</v>
      </c>
      <c r="AQ292" t="n">
        <v>0</v>
      </c>
      <c r="AR292" t="inlineStr">
        <is>
          <t>No</t>
        </is>
      </c>
      <c r="AS292" t="inlineStr">
        <is>
          <t>Yes</t>
        </is>
      </c>
      <c r="AT292">
        <f>HYPERLINK("http://catalog.hathitrust.org/Record/000252743","HathiTrust Record")</f>
        <v/>
      </c>
      <c r="AU292">
        <f>HYPERLINK("https://creighton-primo.hosted.exlibrisgroup.com/primo-explore/search?tab=default_tab&amp;search_scope=EVERYTHING&amp;vid=01CRU&amp;lang=en_US&amp;offset=0&amp;query=any,contains,991004327319702656","Catalog Record")</f>
        <v/>
      </c>
      <c r="AV292">
        <f>HYPERLINK("http://www.worldcat.org/oclc/3045657","WorldCat Record")</f>
        <v/>
      </c>
      <c r="AW292" t="inlineStr">
        <is>
          <t>471469046:eng</t>
        </is>
      </c>
      <c r="AX292" t="inlineStr">
        <is>
          <t>3045657</t>
        </is>
      </c>
      <c r="AY292" t="inlineStr">
        <is>
          <t>991004327319702656</t>
        </is>
      </c>
      <c r="AZ292" t="inlineStr">
        <is>
          <t>991004327319702656</t>
        </is>
      </c>
      <c r="BA292" t="inlineStr">
        <is>
          <t>2260168530002656</t>
        </is>
      </c>
      <c r="BB292" t="inlineStr">
        <is>
          <t>BOOK</t>
        </is>
      </c>
      <c r="BD292" t="inlineStr">
        <is>
          <t>9780195021660</t>
        </is>
      </c>
      <c r="BE292" t="inlineStr">
        <is>
          <t>32285000681063</t>
        </is>
      </c>
      <c r="BF292" t="inlineStr">
        <is>
          <t>893788564</t>
        </is>
      </c>
    </row>
    <row r="293">
      <c r="A293" t="inlineStr">
        <is>
          <t>No</t>
        </is>
      </c>
      <c r="B293" t="inlineStr">
        <is>
          <t>CURAL</t>
        </is>
      </c>
      <c r="C293" t="inlineStr">
        <is>
          <t>SHELVES</t>
        </is>
      </c>
      <c r="D293" t="inlineStr">
        <is>
          <t>PR1912.A2 C5 1982</t>
        </is>
      </c>
      <c r="E293" t="inlineStr">
        <is>
          <t>0                      PR 1912000A  2                  C  5           1982</t>
        </is>
      </c>
      <c r="F293" t="inlineStr">
        <is>
          <t>Chaucer's dream poetry : sources and analogues / edited and translated by B.A. Windeatt.</t>
        </is>
      </c>
      <c r="H293" t="inlineStr">
        <is>
          <t>No</t>
        </is>
      </c>
      <c r="I293" t="inlineStr">
        <is>
          <t>1</t>
        </is>
      </c>
      <c r="J293" t="inlineStr">
        <is>
          <t>No</t>
        </is>
      </c>
      <c r="K293" t="inlineStr">
        <is>
          <t>No</t>
        </is>
      </c>
      <c r="L293" t="inlineStr">
        <is>
          <t>0</t>
        </is>
      </c>
      <c r="N293" t="inlineStr">
        <is>
          <t>Woodbridge, Suffolk : D.S. Brewer ; Totowa, N.J. : Rowman &amp; Littlefield, 1982.</t>
        </is>
      </c>
      <c r="O293" t="inlineStr">
        <is>
          <t>1982</t>
        </is>
      </c>
      <c r="Q293" t="inlineStr">
        <is>
          <t>eng</t>
        </is>
      </c>
      <c r="R293" t="inlineStr">
        <is>
          <t>enk</t>
        </is>
      </c>
      <c r="S293" t="inlineStr">
        <is>
          <t>Chaucer studies ; 7</t>
        </is>
      </c>
      <c r="T293" t="inlineStr">
        <is>
          <t xml:space="preserve">PR </t>
        </is>
      </c>
      <c r="U293" t="n">
        <v>2</v>
      </c>
      <c r="V293" t="n">
        <v>2</v>
      </c>
      <c r="W293" t="inlineStr">
        <is>
          <t>1996-09-16</t>
        </is>
      </c>
      <c r="X293" t="inlineStr">
        <is>
          <t>1996-09-16</t>
        </is>
      </c>
      <c r="Y293" t="inlineStr">
        <is>
          <t>1991-09-27</t>
        </is>
      </c>
      <c r="Z293" t="inlineStr">
        <is>
          <t>1991-09-27</t>
        </is>
      </c>
      <c r="AA293" t="n">
        <v>397</v>
      </c>
      <c r="AB293" t="n">
        <v>270</v>
      </c>
      <c r="AC293" t="n">
        <v>270</v>
      </c>
      <c r="AD293" t="n">
        <v>3</v>
      </c>
      <c r="AE293" t="n">
        <v>3</v>
      </c>
      <c r="AF293" t="n">
        <v>15</v>
      </c>
      <c r="AG293" t="n">
        <v>15</v>
      </c>
      <c r="AH293" t="n">
        <v>4</v>
      </c>
      <c r="AI293" t="n">
        <v>4</v>
      </c>
      <c r="AJ293" t="n">
        <v>4</v>
      </c>
      <c r="AK293" t="n">
        <v>4</v>
      </c>
      <c r="AL293" t="n">
        <v>10</v>
      </c>
      <c r="AM293" t="n">
        <v>10</v>
      </c>
      <c r="AN293" t="n">
        <v>2</v>
      </c>
      <c r="AO293" t="n">
        <v>2</v>
      </c>
      <c r="AP293" t="n">
        <v>0</v>
      </c>
      <c r="AQ293" t="n">
        <v>0</v>
      </c>
      <c r="AR293" t="inlineStr">
        <is>
          <t>No</t>
        </is>
      </c>
      <c r="AS293" t="inlineStr">
        <is>
          <t>No</t>
        </is>
      </c>
      <c r="AU293">
        <f>HYPERLINK("https://creighton-primo.hosted.exlibrisgroup.com/primo-explore/search?tab=default_tab&amp;search_scope=EVERYTHING&amp;vid=01CRU&amp;lang=en_US&amp;offset=0&amp;query=any,contains,991000165839702656","Catalog Record")</f>
        <v/>
      </c>
      <c r="AV293">
        <f>HYPERLINK("http://www.worldcat.org/oclc/9283253","WorldCat Record")</f>
        <v/>
      </c>
      <c r="AW293" t="inlineStr">
        <is>
          <t>836716260:eng</t>
        </is>
      </c>
      <c r="AX293" t="inlineStr">
        <is>
          <t>9283253</t>
        </is>
      </c>
      <c r="AY293" t="inlineStr">
        <is>
          <t>991000165839702656</t>
        </is>
      </c>
      <c r="AZ293" t="inlineStr">
        <is>
          <t>991000165839702656</t>
        </is>
      </c>
      <c r="BA293" t="inlineStr">
        <is>
          <t>2261616500002656</t>
        </is>
      </c>
      <c r="BB293" t="inlineStr">
        <is>
          <t>BOOK</t>
        </is>
      </c>
      <c r="BD293" t="inlineStr">
        <is>
          <t>9780859910729</t>
        </is>
      </c>
      <c r="BE293" t="inlineStr">
        <is>
          <t>32285000763218</t>
        </is>
      </c>
      <c r="BF293" t="inlineStr">
        <is>
          <t>893708180</t>
        </is>
      </c>
    </row>
    <row r="294">
      <c r="A294" t="inlineStr">
        <is>
          <t>No</t>
        </is>
      </c>
      <c r="B294" t="inlineStr">
        <is>
          <t>CURAL</t>
        </is>
      </c>
      <c r="C294" t="inlineStr">
        <is>
          <t>SHELVES</t>
        </is>
      </c>
      <c r="D294" t="inlineStr">
        <is>
          <t>PR1912.A3 C4 1983</t>
        </is>
      </c>
      <c r="E294" t="inlineStr">
        <is>
          <t>0                      PR 1912000A  3                  C  4           1983</t>
        </is>
      </c>
      <c r="F294" t="inlineStr">
        <is>
          <t>Chaucer and the Italian trecento / edited by Piero Boitani.</t>
        </is>
      </c>
      <c r="H294" t="inlineStr">
        <is>
          <t>No</t>
        </is>
      </c>
      <c r="I294" t="inlineStr">
        <is>
          <t>1</t>
        </is>
      </c>
      <c r="J294" t="inlineStr">
        <is>
          <t>No</t>
        </is>
      </c>
      <c r="K294" t="inlineStr">
        <is>
          <t>No</t>
        </is>
      </c>
      <c r="L294" t="inlineStr">
        <is>
          <t>0</t>
        </is>
      </c>
      <c r="N294" t="inlineStr">
        <is>
          <t>Cambridge [Cambridgeshire] ; New York : Cambridge University Press, 1983.</t>
        </is>
      </c>
      <c r="O294" t="inlineStr">
        <is>
          <t>1983</t>
        </is>
      </c>
      <c r="Q294" t="inlineStr">
        <is>
          <t>eng</t>
        </is>
      </c>
      <c r="R294" t="inlineStr">
        <is>
          <t>enk</t>
        </is>
      </c>
      <c r="T294" t="inlineStr">
        <is>
          <t xml:space="preserve">PR </t>
        </is>
      </c>
      <c r="U294" t="n">
        <v>2</v>
      </c>
      <c r="V294" t="n">
        <v>2</v>
      </c>
      <c r="W294" t="inlineStr">
        <is>
          <t>1992-03-24</t>
        </is>
      </c>
      <c r="X294" t="inlineStr">
        <is>
          <t>1992-03-24</t>
        </is>
      </c>
      <c r="Y294" t="inlineStr">
        <is>
          <t>1991-09-27</t>
        </is>
      </c>
      <c r="Z294" t="inlineStr">
        <is>
          <t>1991-09-27</t>
        </is>
      </c>
      <c r="AA294" t="n">
        <v>664</v>
      </c>
      <c r="AB294" t="n">
        <v>511</v>
      </c>
      <c r="AC294" t="n">
        <v>555</v>
      </c>
      <c r="AD294" t="n">
        <v>3</v>
      </c>
      <c r="AE294" t="n">
        <v>3</v>
      </c>
      <c r="AF294" t="n">
        <v>29</v>
      </c>
      <c r="AG294" t="n">
        <v>32</v>
      </c>
      <c r="AH294" t="n">
        <v>12</v>
      </c>
      <c r="AI294" t="n">
        <v>14</v>
      </c>
      <c r="AJ294" t="n">
        <v>8</v>
      </c>
      <c r="AK294" t="n">
        <v>8</v>
      </c>
      <c r="AL294" t="n">
        <v>18</v>
      </c>
      <c r="AM294" t="n">
        <v>20</v>
      </c>
      <c r="AN294" t="n">
        <v>2</v>
      </c>
      <c r="AO294" t="n">
        <v>2</v>
      </c>
      <c r="AP294" t="n">
        <v>0</v>
      </c>
      <c r="AQ294" t="n">
        <v>0</v>
      </c>
      <c r="AR294" t="inlineStr">
        <is>
          <t>No</t>
        </is>
      </c>
      <c r="AS294" t="inlineStr">
        <is>
          <t>No</t>
        </is>
      </c>
      <c r="AU294">
        <f>HYPERLINK("https://creighton-primo.hosted.exlibrisgroup.com/primo-explore/search?tab=default_tab&amp;search_scope=EVERYTHING&amp;vid=01CRU&amp;lang=en_US&amp;offset=0&amp;query=any,contains,991000076349702656","Catalog Record")</f>
        <v/>
      </c>
      <c r="AV294">
        <f>HYPERLINK("http://www.worldcat.org/oclc/8806266","WorldCat Record")</f>
        <v/>
      </c>
      <c r="AW294" t="inlineStr">
        <is>
          <t>54521274:eng</t>
        </is>
      </c>
      <c r="AX294" t="inlineStr">
        <is>
          <t>8806266</t>
        </is>
      </c>
      <c r="AY294" t="inlineStr">
        <is>
          <t>991000076349702656</t>
        </is>
      </c>
      <c r="AZ294" t="inlineStr">
        <is>
          <t>991000076349702656</t>
        </is>
      </c>
      <c r="BA294" t="inlineStr">
        <is>
          <t>2267169920002656</t>
        </is>
      </c>
      <c r="BB294" t="inlineStr">
        <is>
          <t>BOOK</t>
        </is>
      </c>
      <c r="BD294" t="inlineStr">
        <is>
          <t>9780521239981</t>
        </is>
      </c>
      <c r="BE294" t="inlineStr">
        <is>
          <t>32285000763226</t>
        </is>
      </c>
      <c r="BF294" t="inlineStr">
        <is>
          <t>893237049</t>
        </is>
      </c>
    </row>
    <row r="295">
      <c r="A295" t="inlineStr">
        <is>
          <t>No</t>
        </is>
      </c>
      <c r="B295" t="inlineStr">
        <is>
          <t>CURAL</t>
        </is>
      </c>
      <c r="C295" t="inlineStr">
        <is>
          <t>SHELVES</t>
        </is>
      </c>
      <c r="D295" t="inlineStr">
        <is>
          <t>PR1912.A3 M67 1985</t>
        </is>
      </c>
      <c r="E295" t="inlineStr">
        <is>
          <t>0                      PR 1912000A  3                  M  67          1985</t>
        </is>
      </c>
      <c r="F295" t="inlineStr">
        <is>
          <t>Chaucer source and analogue criticism : a cross-referenced guide / Lynn King Morris.</t>
        </is>
      </c>
      <c r="H295" t="inlineStr">
        <is>
          <t>No</t>
        </is>
      </c>
      <c r="I295" t="inlineStr">
        <is>
          <t>1</t>
        </is>
      </c>
      <c r="J295" t="inlineStr">
        <is>
          <t>No</t>
        </is>
      </c>
      <c r="K295" t="inlineStr">
        <is>
          <t>No</t>
        </is>
      </c>
      <c r="L295" t="inlineStr">
        <is>
          <t>0</t>
        </is>
      </c>
      <c r="M295" t="inlineStr">
        <is>
          <t>Morris, Lynn King, 1933-</t>
        </is>
      </c>
      <c r="N295" t="inlineStr">
        <is>
          <t>New York : Garland Pub., 1985.</t>
        </is>
      </c>
      <c r="O295" t="inlineStr">
        <is>
          <t>1984</t>
        </is>
      </c>
      <c r="Q295" t="inlineStr">
        <is>
          <t>eng</t>
        </is>
      </c>
      <c r="R295" t="inlineStr">
        <is>
          <t>nyu</t>
        </is>
      </c>
      <c r="S295" t="inlineStr">
        <is>
          <t>Garland reference library of the humanities ; v. 454</t>
        </is>
      </c>
      <c r="T295" t="inlineStr">
        <is>
          <t xml:space="preserve">PR </t>
        </is>
      </c>
      <c r="U295" t="n">
        <v>3</v>
      </c>
      <c r="V295" t="n">
        <v>3</v>
      </c>
      <c r="W295" t="inlineStr">
        <is>
          <t>1997-11-18</t>
        </is>
      </c>
      <c r="X295" t="inlineStr">
        <is>
          <t>1997-11-18</t>
        </is>
      </c>
      <c r="Y295" t="inlineStr">
        <is>
          <t>1991-09-27</t>
        </is>
      </c>
      <c r="Z295" t="inlineStr">
        <is>
          <t>1991-09-27</t>
        </is>
      </c>
      <c r="AA295" t="n">
        <v>332</v>
      </c>
      <c r="AB295" t="n">
        <v>253</v>
      </c>
      <c r="AC295" t="n">
        <v>277</v>
      </c>
      <c r="AD295" t="n">
        <v>3</v>
      </c>
      <c r="AE295" t="n">
        <v>3</v>
      </c>
      <c r="AF295" t="n">
        <v>15</v>
      </c>
      <c r="AG295" t="n">
        <v>15</v>
      </c>
      <c r="AH295" t="n">
        <v>3</v>
      </c>
      <c r="AI295" t="n">
        <v>3</v>
      </c>
      <c r="AJ295" t="n">
        <v>3</v>
      </c>
      <c r="AK295" t="n">
        <v>3</v>
      </c>
      <c r="AL295" t="n">
        <v>10</v>
      </c>
      <c r="AM295" t="n">
        <v>10</v>
      </c>
      <c r="AN295" t="n">
        <v>2</v>
      </c>
      <c r="AO295" t="n">
        <v>2</v>
      </c>
      <c r="AP295" t="n">
        <v>0</v>
      </c>
      <c r="AQ295" t="n">
        <v>0</v>
      </c>
      <c r="AR295" t="inlineStr">
        <is>
          <t>No</t>
        </is>
      </c>
      <c r="AS295" t="inlineStr">
        <is>
          <t>Yes</t>
        </is>
      </c>
      <c r="AT295">
        <f>HYPERLINK("http://catalog.hathitrust.org/Record/000458259","HathiTrust Record")</f>
        <v/>
      </c>
      <c r="AU295">
        <f>HYPERLINK("https://creighton-primo.hosted.exlibrisgroup.com/primo-explore/search?tab=default_tab&amp;search_scope=EVERYTHING&amp;vid=01CRU&amp;lang=en_US&amp;offset=0&amp;query=any,contains,991000406449702656","Catalog Record")</f>
        <v/>
      </c>
      <c r="AV295">
        <f>HYPERLINK("http://www.worldcat.org/oclc/10690693","WorldCat Record")</f>
        <v/>
      </c>
      <c r="AW295" t="inlineStr">
        <is>
          <t>3330729:eng</t>
        </is>
      </c>
      <c r="AX295" t="inlineStr">
        <is>
          <t>10690693</t>
        </is>
      </c>
      <c r="AY295" t="inlineStr">
        <is>
          <t>991000406449702656</t>
        </is>
      </c>
      <c r="AZ295" t="inlineStr">
        <is>
          <t>991000406449702656</t>
        </is>
      </c>
      <c r="BA295" t="inlineStr">
        <is>
          <t>2272194880002656</t>
        </is>
      </c>
      <c r="BB295" t="inlineStr">
        <is>
          <t>BOOK</t>
        </is>
      </c>
      <c r="BD295" t="inlineStr">
        <is>
          <t>9780824090319</t>
        </is>
      </c>
      <c r="BE295" t="inlineStr">
        <is>
          <t>32285000763234</t>
        </is>
      </c>
      <c r="BF295" t="inlineStr">
        <is>
          <t>893878004</t>
        </is>
      </c>
    </row>
    <row r="296">
      <c r="A296" t="inlineStr">
        <is>
          <t>No</t>
        </is>
      </c>
      <c r="B296" t="inlineStr">
        <is>
          <t>CURAL</t>
        </is>
      </c>
      <c r="C296" t="inlineStr">
        <is>
          <t>SHELVES</t>
        </is>
      </c>
      <c r="D296" t="inlineStr">
        <is>
          <t>PR1912.A3 S4</t>
        </is>
      </c>
      <c r="E296" t="inlineStr">
        <is>
          <t>0                      PR 1912000A  3                  S  4</t>
        </is>
      </c>
      <c r="F296" t="inlineStr">
        <is>
          <t>The literary relationships of Chaucer's Clerkes tale / by J. Burke Severs.</t>
        </is>
      </c>
      <c r="H296" t="inlineStr">
        <is>
          <t>No</t>
        </is>
      </c>
      <c r="I296" t="inlineStr">
        <is>
          <t>1</t>
        </is>
      </c>
      <c r="J296" t="inlineStr">
        <is>
          <t>No</t>
        </is>
      </c>
      <c r="K296" t="inlineStr">
        <is>
          <t>No</t>
        </is>
      </c>
      <c r="L296" t="inlineStr">
        <is>
          <t>0</t>
        </is>
      </c>
      <c r="M296" t="inlineStr">
        <is>
          <t>Severs, Jonathan Burke.</t>
        </is>
      </c>
      <c r="N296" t="inlineStr">
        <is>
          <t>New Haven : Yale University Press ; New York : Modern Language Association of America, 1942.</t>
        </is>
      </c>
      <c r="O296" t="inlineStr">
        <is>
          <t>1942</t>
        </is>
      </c>
      <c r="Q296" t="inlineStr">
        <is>
          <t>eng</t>
        </is>
      </c>
      <c r="R296" t="inlineStr">
        <is>
          <t>ctu</t>
        </is>
      </c>
      <c r="S296" t="inlineStr">
        <is>
          <t>Yale studies in English, v. 96</t>
        </is>
      </c>
      <c r="T296" t="inlineStr">
        <is>
          <t xml:space="preserve">PR </t>
        </is>
      </c>
      <c r="U296" t="n">
        <v>5</v>
      </c>
      <c r="V296" t="n">
        <v>5</v>
      </c>
      <c r="W296" t="inlineStr">
        <is>
          <t>2004-12-14</t>
        </is>
      </c>
      <c r="X296" t="inlineStr">
        <is>
          <t>2004-12-14</t>
        </is>
      </c>
      <c r="Y296" t="inlineStr">
        <is>
          <t>1992-02-17</t>
        </is>
      </c>
      <c r="Z296" t="inlineStr">
        <is>
          <t>1992-02-17</t>
        </is>
      </c>
      <c r="AA296" t="n">
        <v>305</v>
      </c>
      <c r="AB296" t="n">
        <v>259</v>
      </c>
      <c r="AC296" t="n">
        <v>468</v>
      </c>
      <c r="AD296" t="n">
        <v>2</v>
      </c>
      <c r="AE296" t="n">
        <v>5</v>
      </c>
      <c r="AF296" t="n">
        <v>17</v>
      </c>
      <c r="AG296" t="n">
        <v>31</v>
      </c>
      <c r="AH296" t="n">
        <v>7</v>
      </c>
      <c r="AI296" t="n">
        <v>14</v>
      </c>
      <c r="AJ296" t="n">
        <v>3</v>
      </c>
      <c r="AK296" t="n">
        <v>5</v>
      </c>
      <c r="AL296" t="n">
        <v>9</v>
      </c>
      <c r="AM296" t="n">
        <v>16</v>
      </c>
      <c r="AN296" t="n">
        <v>1</v>
      </c>
      <c r="AO296" t="n">
        <v>4</v>
      </c>
      <c r="AP296" t="n">
        <v>0</v>
      </c>
      <c r="AQ296" t="n">
        <v>0</v>
      </c>
      <c r="AR296" t="inlineStr">
        <is>
          <t>No</t>
        </is>
      </c>
      <c r="AS296" t="inlineStr">
        <is>
          <t>Yes</t>
        </is>
      </c>
      <c r="AT296">
        <f>HYPERLINK("http://catalog.hathitrust.org/Record/000625026","HathiTrust Record")</f>
        <v/>
      </c>
      <c r="AU296">
        <f>HYPERLINK("https://creighton-primo.hosted.exlibrisgroup.com/primo-explore/search?tab=default_tab&amp;search_scope=EVERYTHING&amp;vid=01CRU&amp;lang=en_US&amp;offset=0&amp;query=any,contains,991005369419702656","Catalog Record")</f>
        <v/>
      </c>
      <c r="AV296">
        <f>HYPERLINK("http://www.worldcat.org/oclc/2161367","WorldCat Record")</f>
        <v/>
      </c>
      <c r="AW296" t="inlineStr">
        <is>
          <t>1326364:eng</t>
        </is>
      </c>
      <c r="AX296" t="inlineStr">
        <is>
          <t>2161367</t>
        </is>
      </c>
      <c r="AY296" t="inlineStr">
        <is>
          <t>991005369419702656</t>
        </is>
      </c>
      <c r="AZ296" t="inlineStr">
        <is>
          <t>991005369419702656</t>
        </is>
      </c>
      <c r="BA296" t="inlineStr">
        <is>
          <t>2265690580002656</t>
        </is>
      </c>
      <c r="BB296" t="inlineStr">
        <is>
          <t>BOOK</t>
        </is>
      </c>
      <c r="BE296" t="inlineStr">
        <is>
          <t>32285000959758</t>
        </is>
      </c>
      <c r="BF296" t="inlineStr">
        <is>
          <t>893242642</t>
        </is>
      </c>
    </row>
    <row r="297">
      <c r="A297" t="inlineStr">
        <is>
          <t>No</t>
        </is>
      </c>
      <c r="B297" t="inlineStr">
        <is>
          <t>CURAL</t>
        </is>
      </c>
      <c r="C297" t="inlineStr">
        <is>
          <t>SHELVES</t>
        </is>
      </c>
      <c r="D297" t="inlineStr">
        <is>
          <t>PR1912.A3 S5</t>
        </is>
      </c>
      <c r="E297" t="inlineStr">
        <is>
          <t>0                      PR 1912000A  3                  S  5</t>
        </is>
      </c>
      <c r="F297" t="inlineStr">
        <is>
          <t>Chaucer and the Roman poets / by Edgar Finley Shannon.</t>
        </is>
      </c>
      <c r="H297" t="inlineStr">
        <is>
          <t>No</t>
        </is>
      </c>
      <c r="I297" t="inlineStr">
        <is>
          <t>1</t>
        </is>
      </c>
      <c r="J297" t="inlineStr">
        <is>
          <t>No</t>
        </is>
      </c>
      <c r="K297" t="inlineStr">
        <is>
          <t>No</t>
        </is>
      </c>
      <c r="L297" t="inlineStr">
        <is>
          <t>0</t>
        </is>
      </c>
      <c r="M297" t="inlineStr">
        <is>
          <t>Shannon, Edgar Finley, 1874-1938.</t>
        </is>
      </c>
      <c r="N297" t="inlineStr">
        <is>
          <t>Cambridge : Harvard university press, 1929.</t>
        </is>
      </c>
      <c r="O297" t="inlineStr">
        <is>
          <t>1929</t>
        </is>
      </c>
      <c r="Q297" t="inlineStr">
        <is>
          <t>eng</t>
        </is>
      </c>
      <c r="R297" t="inlineStr">
        <is>
          <t>mau</t>
        </is>
      </c>
      <c r="S297" t="inlineStr">
        <is>
          <t>Harvard studies in comparative literature, vol. VII</t>
        </is>
      </c>
      <c r="T297" t="inlineStr">
        <is>
          <t xml:space="preserve">PR </t>
        </is>
      </c>
      <c r="U297" t="n">
        <v>3</v>
      </c>
      <c r="V297" t="n">
        <v>3</v>
      </c>
      <c r="W297" t="inlineStr">
        <is>
          <t>1994-11-21</t>
        </is>
      </c>
      <c r="X297" t="inlineStr">
        <is>
          <t>1994-11-21</t>
        </is>
      </c>
      <c r="Y297" t="inlineStr">
        <is>
          <t>1992-03-26</t>
        </is>
      </c>
      <c r="Z297" t="inlineStr">
        <is>
          <t>1992-03-26</t>
        </is>
      </c>
      <c r="AA297" t="n">
        <v>418</v>
      </c>
      <c r="AB297" t="n">
        <v>354</v>
      </c>
      <c r="AC297" t="n">
        <v>668</v>
      </c>
      <c r="AD297" t="n">
        <v>5</v>
      </c>
      <c r="AE297" t="n">
        <v>7</v>
      </c>
      <c r="AF297" t="n">
        <v>35</v>
      </c>
      <c r="AG297" t="n">
        <v>43</v>
      </c>
      <c r="AH297" t="n">
        <v>12</v>
      </c>
      <c r="AI297" t="n">
        <v>15</v>
      </c>
      <c r="AJ297" t="n">
        <v>8</v>
      </c>
      <c r="AK297" t="n">
        <v>9</v>
      </c>
      <c r="AL297" t="n">
        <v>20</v>
      </c>
      <c r="AM297" t="n">
        <v>23</v>
      </c>
      <c r="AN297" t="n">
        <v>4</v>
      </c>
      <c r="AO297" t="n">
        <v>6</v>
      </c>
      <c r="AP297" t="n">
        <v>0</v>
      </c>
      <c r="AQ297" t="n">
        <v>0</v>
      </c>
      <c r="AR297" t="inlineStr">
        <is>
          <t>No</t>
        </is>
      </c>
      <c r="AS297" t="inlineStr">
        <is>
          <t>No</t>
        </is>
      </c>
      <c r="AU297">
        <f>HYPERLINK("https://creighton-primo.hosted.exlibrisgroup.com/primo-explore/search?tab=default_tab&amp;search_scope=EVERYTHING&amp;vid=01CRU&amp;lang=en_US&amp;offset=0&amp;query=any,contains,991003990919702656","Catalog Record")</f>
        <v/>
      </c>
      <c r="AV297">
        <f>HYPERLINK("http://www.worldcat.org/oclc/2046060","WorldCat Record")</f>
        <v/>
      </c>
      <c r="AW297" t="inlineStr">
        <is>
          <t>1385478:eng</t>
        </is>
      </c>
      <c r="AX297" t="inlineStr">
        <is>
          <t>2046060</t>
        </is>
      </c>
      <c r="AY297" t="inlineStr">
        <is>
          <t>991003990919702656</t>
        </is>
      </c>
      <c r="AZ297" t="inlineStr">
        <is>
          <t>991003990919702656</t>
        </is>
      </c>
      <c r="BA297" t="inlineStr">
        <is>
          <t>2270158690002656</t>
        </is>
      </c>
      <c r="BB297" t="inlineStr">
        <is>
          <t>BOOK</t>
        </is>
      </c>
      <c r="BE297" t="inlineStr">
        <is>
          <t>32285001029015</t>
        </is>
      </c>
      <c r="BF297" t="inlineStr">
        <is>
          <t>893788154</t>
        </is>
      </c>
    </row>
    <row r="298">
      <c r="A298" t="inlineStr">
        <is>
          <t>No</t>
        </is>
      </c>
      <c r="B298" t="inlineStr">
        <is>
          <t>CURAL</t>
        </is>
      </c>
      <c r="C298" t="inlineStr">
        <is>
          <t>SHELVES</t>
        </is>
      </c>
      <c r="D298" t="inlineStr">
        <is>
          <t>PR1912.B6 E39 2002</t>
        </is>
      </c>
      <c r="E298" t="inlineStr">
        <is>
          <t>0                      PR 1912000B  6                  E  39          2002</t>
        </is>
      </c>
      <c r="F298" t="inlineStr">
        <is>
          <t>Chaucer and Boccaccio : antiquity and modernity / Robert R. Edwards.</t>
        </is>
      </c>
      <c r="H298" t="inlineStr">
        <is>
          <t>No</t>
        </is>
      </c>
      <c r="I298" t="inlineStr">
        <is>
          <t>1</t>
        </is>
      </c>
      <c r="J298" t="inlineStr">
        <is>
          <t>No</t>
        </is>
      </c>
      <c r="K298" t="inlineStr">
        <is>
          <t>No</t>
        </is>
      </c>
      <c r="L298" t="inlineStr">
        <is>
          <t>0</t>
        </is>
      </c>
      <c r="M298" t="inlineStr">
        <is>
          <t>Edwards, Robert, 1947-</t>
        </is>
      </c>
      <c r="N298" t="inlineStr">
        <is>
          <t>Houndmills, Basingstoke, Hampshire ; New York : Palgrave, 2002.</t>
        </is>
      </c>
      <c r="O298" t="inlineStr">
        <is>
          <t>2002</t>
        </is>
      </c>
      <c r="Q298" t="inlineStr">
        <is>
          <t>eng</t>
        </is>
      </c>
      <c r="R298" t="inlineStr">
        <is>
          <t>enk</t>
        </is>
      </c>
      <c r="T298" t="inlineStr">
        <is>
          <t xml:space="preserve">PR </t>
        </is>
      </c>
      <c r="U298" t="n">
        <v>2</v>
      </c>
      <c r="V298" t="n">
        <v>2</v>
      </c>
      <c r="W298" t="inlineStr">
        <is>
          <t>2004-12-14</t>
        </is>
      </c>
      <c r="X298" t="inlineStr">
        <is>
          <t>2004-12-14</t>
        </is>
      </c>
      <c r="Y298" t="inlineStr">
        <is>
          <t>2003-11-08</t>
        </is>
      </c>
      <c r="Z298" t="inlineStr">
        <is>
          <t>2003-11-08</t>
        </is>
      </c>
      <c r="AA298" t="n">
        <v>471</v>
      </c>
      <c r="AB298" t="n">
        <v>388</v>
      </c>
      <c r="AC298" t="n">
        <v>471</v>
      </c>
      <c r="AD298" t="n">
        <v>2</v>
      </c>
      <c r="AE298" t="n">
        <v>2</v>
      </c>
      <c r="AF298" t="n">
        <v>25</v>
      </c>
      <c r="AG298" t="n">
        <v>27</v>
      </c>
      <c r="AH298" t="n">
        <v>12</v>
      </c>
      <c r="AI298" t="n">
        <v>13</v>
      </c>
      <c r="AJ298" t="n">
        <v>7</v>
      </c>
      <c r="AK298" t="n">
        <v>8</v>
      </c>
      <c r="AL298" t="n">
        <v>13</v>
      </c>
      <c r="AM298" t="n">
        <v>15</v>
      </c>
      <c r="AN298" t="n">
        <v>1</v>
      </c>
      <c r="AO298" t="n">
        <v>1</v>
      </c>
      <c r="AP298" t="n">
        <v>0</v>
      </c>
      <c r="AQ298" t="n">
        <v>0</v>
      </c>
      <c r="AR298" t="inlineStr">
        <is>
          <t>No</t>
        </is>
      </c>
      <c r="AS298" t="inlineStr">
        <is>
          <t>No</t>
        </is>
      </c>
      <c r="AU298">
        <f>HYPERLINK("https://creighton-primo.hosted.exlibrisgroup.com/primo-explore/search?tab=default_tab&amp;search_scope=EVERYTHING&amp;vid=01CRU&amp;lang=en_US&amp;offset=0&amp;query=any,contains,991004152139702656","Catalog Record")</f>
        <v/>
      </c>
      <c r="AV298">
        <f>HYPERLINK("http://www.worldcat.org/oclc/47989981","WorldCat Record")</f>
        <v/>
      </c>
      <c r="AW298" t="inlineStr">
        <is>
          <t>9670193:eng</t>
        </is>
      </c>
      <c r="AX298" t="inlineStr">
        <is>
          <t>47989981</t>
        </is>
      </c>
      <c r="AY298" t="inlineStr">
        <is>
          <t>991004152139702656</t>
        </is>
      </c>
      <c r="AZ298" t="inlineStr">
        <is>
          <t>991004152139702656</t>
        </is>
      </c>
      <c r="BA298" t="inlineStr">
        <is>
          <t>2264502140002656</t>
        </is>
      </c>
      <c r="BB298" t="inlineStr">
        <is>
          <t>BOOK</t>
        </is>
      </c>
      <c r="BD298" t="inlineStr">
        <is>
          <t>9780333970089</t>
        </is>
      </c>
      <c r="BE298" t="inlineStr">
        <is>
          <t>32285004795869</t>
        </is>
      </c>
      <c r="BF298" t="inlineStr">
        <is>
          <t>893324991</t>
        </is>
      </c>
    </row>
    <row r="299">
      <c r="A299" t="inlineStr">
        <is>
          <t>No</t>
        </is>
      </c>
      <c r="B299" t="inlineStr">
        <is>
          <t>CURAL</t>
        </is>
      </c>
      <c r="C299" t="inlineStr">
        <is>
          <t>SHELVES</t>
        </is>
      </c>
      <c r="D299" t="inlineStr">
        <is>
          <t>PR1912.B6 W3 1985</t>
        </is>
      </c>
      <c r="E299" t="inlineStr">
        <is>
          <t>0                      PR 1912000B  6                  W  3           1985</t>
        </is>
      </c>
      <c r="F299" t="inlineStr">
        <is>
          <t>Chaucer and the early writings of Boccaccio / David Wallace.</t>
        </is>
      </c>
      <c r="H299" t="inlineStr">
        <is>
          <t>No</t>
        </is>
      </c>
      <c r="I299" t="inlineStr">
        <is>
          <t>1</t>
        </is>
      </c>
      <c r="J299" t="inlineStr">
        <is>
          <t>No</t>
        </is>
      </c>
      <c r="K299" t="inlineStr">
        <is>
          <t>No</t>
        </is>
      </c>
      <c r="L299" t="inlineStr">
        <is>
          <t>0</t>
        </is>
      </c>
      <c r="M299" t="inlineStr">
        <is>
          <t>Wallace, David.</t>
        </is>
      </c>
      <c r="N299" t="inlineStr">
        <is>
          <t>Woodbridge, Suffolk ; Dover, N.H. : D.S. Brewer, c1985.</t>
        </is>
      </c>
      <c r="O299" t="inlineStr">
        <is>
          <t>1985</t>
        </is>
      </c>
      <c r="Q299" t="inlineStr">
        <is>
          <t>eng</t>
        </is>
      </c>
      <c r="R299" t="inlineStr">
        <is>
          <t>enk</t>
        </is>
      </c>
      <c r="S299" t="inlineStr">
        <is>
          <t>Chaucer studies ; 12</t>
        </is>
      </c>
      <c r="T299" t="inlineStr">
        <is>
          <t xml:space="preserve">PR </t>
        </is>
      </c>
      <c r="U299" t="n">
        <v>5</v>
      </c>
      <c r="V299" t="n">
        <v>5</v>
      </c>
      <c r="W299" t="inlineStr">
        <is>
          <t>1998-11-09</t>
        </is>
      </c>
      <c r="X299" t="inlineStr">
        <is>
          <t>1998-11-09</t>
        </is>
      </c>
      <c r="Y299" t="inlineStr">
        <is>
          <t>1991-09-27</t>
        </is>
      </c>
      <c r="Z299" t="inlineStr">
        <is>
          <t>1991-09-27</t>
        </is>
      </c>
      <c r="AA299" t="n">
        <v>480</v>
      </c>
      <c r="AB299" t="n">
        <v>366</v>
      </c>
      <c r="AC299" t="n">
        <v>371</v>
      </c>
      <c r="AD299" t="n">
        <v>3</v>
      </c>
      <c r="AE299" t="n">
        <v>3</v>
      </c>
      <c r="AF299" t="n">
        <v>25</v>
      </c>
      <c r="AG299" t="n">
        <v>25</v>
      </c>
      <c r="AH299" t="n">
        <v>12</v>
      </c>
      <c r="AI299" t="n">
        <v>12</v>
      </c>
      <c r="AJ299" t="n">
        <v>6</v>
      </c>
      <c r="AK299" t="n">
        <v>6</v>
      </c>
      <c r="AL299" t="n">
        <v>13</v>
      </c>
      <c r="AM299" t="n">
        <v>13</v>
      </c>
      <c r="AN299" t="n">
        <v>2</v>
      </c>
      <c r="AO299" t="n">
        <v>2</v>
      </c>
      <c r="AP299" t="n">
        <v>0</v>
      </c>
      <c r="AQ299" t="n">
        <v>0</v>
      </c>
      <c r="AR299" t="inlineStr">
        <is>
          <t>No</t>
        </is>
      </c>
      <c r="AS299" t="inlineStr">
        <is>
          <t>No</t>
        </is>
      </c>
      <c r="AU299">
        <f>HYPERLINK("https://creighton-primo.hosted.exlibrisgroup.com/primo-explore/search?tab=default_tab&amp;search_scope=EVERYTHING&amp;vid=01CRU&amp;lang=en_US&amp;offset=0&amp;query=any,contains,991000537929702656","Catalog Record")</f>
        <v/>
      </c>
      <c r="AV299">
        <f>HYPERLINK("http://www.worldcat.org/oclc/11468291","WorldCat Record")</f>
        <v/>
      </c>
      <c r="AW299" t="inlineStr">
        <is>
          <t>118027236:eng</t>
        </is>
      </c>
      <c r="AX299" t="inlineStr">
        <is>
          <t>11468291</t>
        </is>
      </c>
      <c r="AY299" t="inlineStr">
        <is>
          <t>991000537929702656</t>
        </is>
      </c>
      <c r="AZ299" t="inlineStr">
        <is>
          <t>991000537929702656</t>
        </is>
      </c>
      <c r="BA299" t="inlineStr">
        <is>
          <t>2264940570002656</t>
        </is>
      </c>
      <c r="BB299" t="inlineStr">
        <is>
          <t>BOOK</t>
        </is>
      </c>
      <c r="BD299" t="inlineStr">
        <is>
          <t>9780859911863</t>
        </is>
      </c>
      <c r="BE299" t="inlineStr">
        <is>
          <t>32285000763267</t>
        </is>
      </c>
      <c r="BF299" t="inlineStr">
        <is>
          <t>893601833</t>
        </is>
      </c>
    </row>
    <row r="300">
      <c r="A300" t="inlineStr">
        <is>
          <t>No</t>
        </is>
      </c>
      <c r="B300" t="inlineStr">
        <is>
          <t>CURAL</t>
        </is>
      </c>
      <c r="C300" t="inlineStr">
        <is>
          <t>SHELVES</t>
        </is>
      </c>
      <c r="D300" t="inlineStr">
        <is>
          <t>PR1912.O93 F9</t>
        </is>
      </c>
      <c r="E300" t="inlineStr">
        <is>
          <t>0                      PR 1912000O  93                 F  9</t>
        </is>
      </c>
      <c r="F300" t="inlineStr">
        <is>
          <t>Chaucer and Ovid / John M. Fyler.</t>
        </is>
      </c>
      <c r="H300" t="inlineStr">
        <is>
          <t>No</t>
        </is>
      </c>
      <c r="I300" t="inlineStr">
        <is>
          <t>1</t>
        </is>
      </c>
      <c r="J300" t="inlineStr">
        <is>
          <t>No</t>
        </is>
      </c>
      <c r="K300" t="inlineStr">
        <is>
          <t>No</t>
        </is>
      </c>
      <c r="L300" t="inlineStr">
        <is>
          <t>0</t>
        </is>
      </c>
      <c r="M300" t="inlineStr">
        <is>
          <t>Fyler, John M.</t>
        </is>
      </c>
      <c r="N300" t="inlineStr">
        <is>
          <t>New Haven : Yale University Press, 1979.</t>
        </is>
      </c>
      <c r="O300" t="inlineStr">
        <is>
          <t>1979</t>
        </is>
      </c>
      <c r="Q300" t="inlineStr">
        <is>
          <t>eng</t>
        </is>
      </c>
      <c r="R300" t="inlineStr">
        <is>
          <t>ctu</t>
        </is>
      </c>
      <c r="T300" t="inlineStr">
        <is>
          <t xml:space="preserve">PR </t>
        </is>
      </c>
      <c r="U300" t="n">
        <v>2</v>
      </c>
      <c r="V300" t="n">
        <v>2</v>
      </c>
      <c r="W300" t="inlineStr">
        <is>
          <t>2000-11-21</t>
        </is>
      </c>
      <c r="X300" t="inlineStr">
        <is>
          <t>2000-11-21</t>
        </is>
      </c>
      <c r="Y300" t="inlineStr">
        <is>
          <t>1991-09-27</t>
        </is>
      </c>
      <c r="Z300" t="inlineStr">
        <is>
          <t>1991-09-27</t>
        </is>
      </c>
      <c r="AA300" t="n">
        <v>664</v>
      </c>
      <c r="AB300" t="n">
        <v>528</v>
      </c>
      <c r="AC300" t="n">
        <v>529</v>
      </c>
      <c r="AD300" t="n">
        <v>3</v>
      </c>
      <c r="AE300" t="n">
        <v>3</v>
      </c>
      <c r="AF300" t="n">
        <v>29</v>
      </c>
      <c r="AG300" t="n">
        <v>29</v>
      </c>
      <c r="AH300" t="n">
        <v>13</v>
      </c>
      <c r="AI300" t="n">
        <v>13</v>
      </c>
      <c r="AJ300" t="n">
        <v>7</v>
      </c>
      <c r="AK300" t="n">
        <v>7</v>
      </c>
      <c r="AL300" t="n">
        <v>17</v>
      </c>
      <c r="AM300" t="n">
        <v>17</v>
      </c>
      <c r="AN300" t="n">
        <v>2</v>
      </c>
      <c r="AO300" t="n">
        <v>2</v>
      </c>
      <c r="AP300" t="n">
        <v>0</v>
      </c>
      <c r="AQ300" t="n">
        <v>0</v>
      </c>
      <c r="AR300" t="inlineStr">
        <is>
          <t>No</t>
        </is>
      </c>
      <c r="AS300" t="inlineStr">
        <is>
          <t>No</t>
        </is>
      </c>
      <c r="AU300">
        <f>HYPERLINK("https://creighton-primo.hosted.exlibrisgroup.com/primo-explore/search?tab=default_tab&amp;search_scope=EVERYTHING&amp;vid=01CRU&amp;lang=en_US&amp;offset=0&amp;query=any,contains,991004659579702656","Catalog Record")</f>
        <v/>
      </c>
      <c r="AV300">
        <f>HYPERLINK("http://www.worldcat.org/oclc/4496403","WorldCat Record")</f>
        <v/>
      </c>
      <c r="AW300" t="inlineStr">
        <is>
          <t>435323:eng</t>
        </is>
      </c>
      <c r="AX300" t="inlineStr">
        <is>
          <t>4496403</t>
        </is>
      </c>
      <c r="AY300" t="inlineStr">
        <is>
          <t>991004659579702656</t>
        </is>
      </c>
      <c r="AZ300" t="inlineStr">
        <is>
          <t>991004659579702656</t>
        </is>
      </c>
      <c r="BA300" t="inlineStr">
        <is>
          <t>2268665870002656</t>
        </is>
      </c>
      <c r="BB300" t="inlineStr">
        <is>
          <t>BOOK</t>
        </is>
      </c>
      <c r="BD300" t="inlineStr">
        <is>
          <t>9780300022803</t>
        </is>
      </c>
      <c r="BE300" t="inlineStr">
        <is>
          <t>32285000763283</t>
        </is>
      </c>
      <c r="BF300" t="inlineStr">
        <is>
          <t>893807332</t>
        </is>
      </c>
    </row>
    <row r="301">
      <c r="A301" t="inlineStr">
        <is>
          <t>No</t>
        </is>
      </c>
      <c r="B301" t="inlineStr">
        <is>
          <t>CURAL</t>
        </is>
      </c>
      <c r="C301" t="inlineStr">
        <is>
          <t>SHELVES</t>
        </is>
      </c>
      <c r="D301" t="inlineStr">
        <is>
          <t>PR1924 .B3</t>
        </is>
      </c>
      <c r="E301" t="inlineStr">
        <is>
          <t>0                      PR 1924000B  3</t>
        </is>
      </c>
      <c r="F301" t="inlineStr">
        <is>
          <t>Chaucer, a critical appreciation.</t>
        </is>
      </c>
      <c r="H301" t="inlineStr">
        <is>
          <t>No</t>
        </is>
      </c>
      <c r="I301" t="inlineStr">
        <is>
          <t>1</t>
        </is>
      </c>
      <c r="J301" t="inlineStr">
        <is>
          <t>No</t>
        </is>
      </c>
      <c r="K301" t="inlineStr">
        <is>
          <t>No</t>
        </is>
      </c>
      <c r="L301" t="inlineStr">
        <is>
          <t>0</t>
        </is>
      </c>
      <c r="M301" t="inlineStr">
        <is>
          <t>Baum, Paull F. (Paull Franklin), 1886-1964.</t>
        </is>
      </c>
      <c r="N301" t="inlineStr">
        <is>
          <t>Durham, N.C., Duke University Press, 1958.</t>
        </is>
      </c>
      <c r="O301" t="inlineStr">
        <is>
          <t>1958</t>
        </is>
      </c>
      <c r="Q301" t="inlineStr">
        <is>
          <t>eng</t>
        </is>
      </c>
      <c r="R301" t="inlineStr">
        <is>
          <t>ncu</t>
        </is>
      </c>
      <c r="T301" t="inlineStr">
        <is>
          <t xml:space="preserve">PR </t>
        </is>
      </c>
      <c r="U301" t="n">
        <v>8</v>
      </c>
      <c r="V301" t="n">
        <v>8</v>
      </c>
      <c r="W301" t="inlineStr">
        <is>
          <t>2000-11-28</t>
        </is>
      </c>
      <c r="X301" t="inlineStr">
        <is>
          <t>2000-11-28</t>
        </is>
      </c>
      <c r="Y301" t="inlineStr">
        <is>
          <t>1992-02-18</t>
        </is>
      </c>
      <c r="Z301" t="inlineStr">
        <is>
          <t>1992-02-18</t>
        </is>
      </c>
      <c r="AA301" t="n">
        <v>1019</v>
      </c>
      <c r="AB301" t="n">
        <v>899</v>
      </c>
      <c r="AC301" t="n">
        <v>1014</v>
      </c>
      <c r="AD301" t="n">
        <v>11</v>
      </c>
      <c r="AE301" t="n">
        <v>11</v>
      </c>
      <c r="AF301" t="n">
        <v>52</v>
      </c>
      <c r="AG301" t="n">
        <v>54</v>
      </c>
      <c r="AH301" t="n">
        <v>20</v>
      </c>
      <c r="AI301" t="n">
        <v>22</v>
      </c>
      <c r="AJ301" t="n">
        <v>10</v>
      </c>
      <c r="AK301" t="n">
        <v>10</v>
      </c>
      <c r="AL301" t="n">
        <v>27</v>
      </c>
      <c r="AM301" t="n">
        <v>27</v>
      </c>
      <c r="AN301" t="n">
        <v>9</v>
      </c>
      <c r="AO301" t="n">
        <v>9</v>
      </c>
      <c r="AP301" t="n">
        <v>0</v>
      </c>
      <c r="AQ301" t="n">
        <v>0</v>
      </c>
      <c r="AR301" t="inlineStr">
        <is>
          <t>Yes</t>
        </is>
      </c>
      <c r="AS301" t="inlineStr">
        <is>
          <t>No</t>
        </is>
      </c>
      <c r="AT301">
        <f>HYPERLINK("http://catalog.hathitrust.org/Record/000625888","HathiTrust Record")</f>
        <v/>
      </c>
      <c r="AU301">
        <f>HYPERLINK("https://creighton-primo.hosted.exlibrisgroup.com/primo-explore/search?tab=default_tab&amp;search_scope=EVERYTHING&amp;vid=01CRU&amp;lang=en_US&amp;offset=0&amp;query=any,contains,991001139579702656","Catalog Record")</f>
        <v/>
      </c>
      <c r="AV301">
        <f>HYPERLINK("http://www.worldcat.org/oclc/1065545429","WorldCat Record")</f>
        <v/>
      </c>
      <c r="AW301" t="inlineStr">
        <is>
          <t>194495274:eng</t>
        </is>
      </c>
      <c r="AX301" t="inlineStr">
        <is>
          <t>1065545429</t>
        </is>
      </c>
      <c r="AY301" t="inlineStr">
        <is>
          <t>991001139579702656</t>
        </is>
      </c>
      <c r="AZ301" t="inlineStr">
        <is>
          <t>991001139579702656</t>
        </is>
      </c>
      <c r="BA301" t="inlineStr">
        <is>
          <t>2263626490002656</t>
        </is>
      </c>
      <c r="BB301" t="inlineStr">
        <is>
          <t>BOOK</t>
        </is>
      </c>
      <c r="BE301" t="inlineStr">
        <is>
          <t>32285000947571</t>
        </is>
      </c>
      <c r="BF301" t="inlineStr">
        <is>
          <t>893903308</t>
        </is>
      </c>
    </row>
    <row r="302">
      <c r="A302" t="inlineStr">
        <is>
          <t>No</t>
        </is>
      </c>
      <c r="B302" t="inlineStr">
        <is>
          <t>CURAL</t>
        </is>
      </c>
      <c r="C302" t="inlineStr">
        <is>
          <t>SHELVES</t>
        </is>
      </c>
      <c r="D302" t="inlineStr">
        <is>
          <t>PR1924 .B74 1982</t>
        </is>
      </c>
      <c r="E302" t="inlineStr">
        <is>
          <t>0                      PR 1924000B  74          1982</t>
        </is>
      </c>
      <c r="F302" t="inlineStr">
        <is>
          <t>Tradition and innovation in Chaucer / Derek Brewer.</t>
        </is>
      </c>
      <c r="H302" t="inlineStr">
        <is>
          <t>No</t>
        </is>
      </c>
      <c r="I302" t="inlineStr">
        <is>
          <t>1</t>
        </is>
      </c>
      <c r="J302" t="inlineStr">
        <is>
          <t>No</t>
        </is>
      </c>
      <c r="K302" t="inlineStr">
        <is>
          <t>No</t>
        </is>
      </c>
      <c r="L302" t="inlineStr">
        <is>
          <t>0</t>
        </is>
      </c>
      <c r="M302" t="inlineStr">
        <is>
          <t>Brewer, Derek, 1923-2008.</t>
        </is>
      </c>
      <c r="N302" t="inlineStr">
        <is>
          <t>London : Macmillan, c1982, 1983 printing.</t>
        </is>
      </c>
      <c r="O302" t="inlineStr">
        <is>
          <t>1982</t>
        </is>
      </c>
      <c r="Q302" t="inlineStr">
        <is>
          <t>eng</t>
        </is>
      </c>
      <c r="R302" t="inlineStr">
        <is>
          <t>enk</t>
        </is>
      </c>
      <c r="T302" t="inlineStr">
        <is>
          <t xml:space="preserve">PR </t>
        </is>
      </c>
      <c r="U302" t="n">
        <v>2</v>
      </c>
      <c r="V302" t="n">
        <v>2</v>
      </c>
      <c r="W302" t="inlineStr">
        <is>
          <t>2004-10-31</t>
        </is>
      </c>
      <c r="X302" t="inlineStr">
        <is>
          <t>2004-10-31</t>
        </is>
      </c>
      <c r="Y302" t="inlineStr">
        <is>
          <t>1990-06-01</t>
        </is>
      </c>
      <c r="Z302" t="inlineStr">
        <is>
          <t>1990-06-01</t>
        </is>
      </c>
      <c r="AA302" t="n">
        <v>521</v>
      </c>
      <c r="AB302" t="n">
        <v>378</v>
      </c>
      <c r="AC302" t="n">
        <v>383</v>
      </c>
      <c r="AD302" t="n">
        <v>5</v>
      </c>
      <c r="AE302" t="n">
        <v>5</v>
      </c>
      <c r="AF302" t="n">
        <v>26</v>
      </c>
      <c r="AG302" t="n">
        <v>27</v>
      </c>
      <c r="AH302" t="n">
        <v>9</v>
      </c>
      <c r="AI302" t="n">
        <v>10</v>
      </c>
      <c r="AJ302" t="n">
        <v>8</v>
      </c>
      <c r="AK302" t="n">
        <v>8</v>
      </c>
      <c r="AL302" t="n">
        <v>10</v>
      </c>
      <c r="AM302" t="n">
        <v>11</v>
      </c>
      <c r="AN302" t="n">
        <v>4</v>
      </c>
      <c r="AO302" t="n">
        <v>4</v>
      </c>
      <c r="AP302" t="n">
        <v>0</v>
      </c>
      <c r="AQ302" t="n">
        <v>0</v>
      </c>
      <c r="AR302" t="inlineStr">
        <is>
          <t>No</t>
        </is>
      </c>
      <c r="AS302" t="inlineStr">
        <is>
          <t>Yes</t>
        </is>
      </c>
      <c r="AT302">
        <f>HYPERLINK("http://catalog.hathitrust.org/Record/000188546","HathiTrust Record")</f>
        <v/>
      </c>
      <c r="AU302">
        <f>HYPERLINK("https://creighton-primo.hosted.exlibrisgroup.com/primo-explore/search?tab=default_tab&amp;search_scope=EVERYTHING&amp;vid=01CRU&amp;lang=en_US&amp;offset=0&amp;query=any,contains,991000088619702656","Catalog Record")</f>
        <v/>
      </c>
      <c r="AV302">
        <f>HYPERLINK("http://www.worldcat.org/oclc/8876176","WorldCat Record")</f>
        <v/>
      </c>
      <c r="AW302" t="inlineStr">
        <is>
          <t>156266217:eng</t>
        </is>
      </c>
      <c r="AX302" t="inlineStr">
        <is>
          <t>8876176</t>
        </is>
      </c>
      <c r="AY302" t="inlineStr">
        <is>
          <t>991000088619702656</t>
        </is>
      </c>
      <c r="AZ302" t="inlineStr">
        <is>
          <t>991000088619702656</t>
        </is>
      </c>
      <c r="BA302" t="inlineStr">
        <is>
          <t>2261635700002656</t>
        </is>
      </c>
      <c r="BB302" t="inlineStr">
        <is>
          <t>BOOK</t>
        </is>
      </c>
      <c r="BD302" t="inlineStr">
        <is>
          <t>9780333284278</t>
        </is>
      </c>
      <c r="BE302" t="inlineStr">
        <is>
          <t>32285000180017</t>
        </is>
      </c>
      <c r="BF302" t="inlineStr">
        <is>
          <t>893589108</t>
        </is>
      </c>
    </row>
    <row r="303">
      <c r="A303" t="inlineStr">
        <is>
          <t>No</t>
        </is>
      </c>
      <c r="B303" t="inlineStr">
        <is>
          <t>CURAL</t>
        </is>
      </c>
      <c r="C303" t="inlineStr">
        <is>
          <t>SHELVES</t>
        </is>
      </c>
      <c r="D303" t="inlineStr">
        <is>
          <t>PR1924 .B74 1990</t>
        </is>
      </c>
      <c r="E303" t="inlineStr">
        <is>
          <t>0                      PR 1924000B  74          1990</t>
        </is>
      </c>
      <c r="F303" t="inlineStr">
        <is>
          <t>Geoffrey Chaucer : the writer and his background / edited by Derek Brewer.</t>
        </is>
      </c>
      <c r="H303" t="inlineStr">
        <is>
          <t>No</t>
        </is>
      </c>
      <c r="I303" t="inlineStr">
        <is>
          <t>1</t>
        </is>
      </c>
      <c r="J303" t="inlineStr">
        <is>
          <t>No</t>
        </is>
      </c>
      <c r="K303" t="inlineStr">
        <is>
          <t>No</t>
        </is>
      </c>
      <c r="L303" t="inlineStr">
        <is>
          <t>0</t>
        </is>
      </c>
      <c r="N303" t="inlineStr">
        <is>
          <t>Woodbridge, Suffolk ; Wolfeboro, N.H. : D.S. Brewer, 1990.</t>
        </is>
      </c>
      <c r="O303" t="inlineStr">
        <is>
          <t>1990</t>
        </is>
      </c>
      <c r="P303" t="inlineStr">
        <is>
          <t>2nd ed.</t>
        </is>
      </c>
      <c r="Q303" t="inlineStr">
        <is>
          <t>eng</t>
        </is>
      </c>
      <c r="R303" t="inlineStr">
        <is>
          <t>enk</t>
        </is>
      </c>
      <c r="T303" t="inlineStr">
        <is>
          <t xml:space="preserve">PR </t>
        </is>
      </c>
      <c r="U303" t="n">
        <v>6</v>
      </c>
      <c r="V303" t="n">
        <v>6</v>
      </c>
      <c r="W303" t="inlineStr">
        <is>
          <t>1998-04-02</t>
        </is>
      </c>
      <c r="X303" t="inlineStr">
        <is>
          <t>1998-04-02</t>
        </is>
      </c>
      <c r="Y303" t="inlineStr">
        <is>
          <t>1990-12-17</t>
        </is>
      </c>
      <c r="Z303" t="inlineStr">
        <is>
          <t>1990-12-17</t>
        </is>
      </c>
      <c r="AA303" t="n">
        <v>181</v>
      </c>
      <c r="AB303" t="n">
        <v>121</v>
      </c>
      <c r="AC303" t="n">
        <v>123</v>
      </c>
      <c r="AD303" t="n">
        <v>1</v>
      </c>
      <c r="AE303" t="n">
        <v>1</v>
      </c>
      <c r="AF303" t="n">
        <v>7</v>
      </c>
      <c r="AG303" t="n">
        <v>7</v>
      </c>
      <c r="AH303" t="n">
        <v>3</v>
      </c>
      <c r="AI303" t="n">
        <v>3</v>
      </c>
      <c r="AJ303" t="n">
        <v>2</v>
      </c>
      <c r="AK303" t="n">
        <v>2</v>
      </c>
      <c r="AL303" t="n">
        <v>5</v>
      </c>
      <c r="AM303" t="n">
        <v>5</v>
      </c>
      <c r="AN303" t="n">
        <v>0</v>
      </c>
      <c r="AO303" t="n">
        <v>0</v>
      </c>
      <c r="AP303" t="n">
        <v>0</v>
      </c>
      <c r="AQ303" t="n">
        <v>0</v>
      </c>
      <c r="AR303" t="inlineStr">
        <is>
          <t>No</t>
        </is>
      </c>
      <c r="AS303" t="inlineStr">
        <is>
          <t>No</t>
        </is>
      </c>
      <c r="AU303">
        <f>HYPERLINK("https://creighton-primo.hosted.exlibrisgroup.com/primo-explore/search?tab=default_tab&amp;search_scope=EVERYTHING&amp;vid=01CRU&amp;lang=en_US&amp;offset=0&amp;query=any,contains,991001641639702656","Catalog Record")</f>
        <v/>
      </c>
      <c r="AV303">
        <f>HYPERLINK("http://www.worldcat.org/oclc/21035103","WorldCat Record")</f>
        <v/>
      </c>
      <c r="AW303" t="inlineStr">
        <is>
          <t>3943490399:eng</t>
        </is>
      </c>
      <c r="AX303" t="inlineStr">
        <is>
          <t>21035103</t>
        </is>
      </c>
      <c r="AY303" t="inlineStr">
        <is>
          <t>991001641639702656</t>
        </is>
      </c>
      <c r="AZ303" t="inlineStr">
        <is>
          <t>991001641639702656</t>
        </is>
      </c>
      <c r="BA303" t="inlineStr">
        <is>
          <t>2257154700002656</t>
        </is>
      </c>
      <c r="BB303" t="inlineStr">
        <is>
          <t>BOOK</t>
        </is>
      </c>
      <c r="BD303" t="inlineStr">
        <is>
          <t>9780859912952</t>
        </is>
      </c>
      <c r="BE303" t="inlineStr">
        <is>
          <t>32285000359850</t>
        </is>
      </c>
      <c r="BF303" t="inlineStr">
        <is>
          <t>893503552</t>
        </is>
      </c>
    </row>
    <row r="304">
      <c r="A304" t="inlineStr">
        <is>
          <t>No</t>
        </is>
      </c>
      <c r="B304" t="inlineStr">
        <is>
          <t>CURAL</t>
        </is>
      </c>
      <c r="C304" t="inlineStr">
        <is>
          <t>SHELVES</t>
        </is>
      </c>
      <c r="D304" t="inlineStr">
        <is>
          <t>PR1924 .C43 1973</t>
        </is>
      </c>
      <c r="E304" t="inlineStr">
        <is>
          <t>0                      PR 1924000C  43          1973</t>
        </is>
      </c>
      <c r="F304" t="inlineStr">
        <is>
          <t>Chaucer at Albany : [essays] / edited by Rossell Hope Robbins.</t>
        </is>
      </c>
      <c r="H304" t="inlineStr">
        <is>
          <t>No</t>
        </is>
      </c>
      <c r="I304" t="inlineStr">
        <is>
          <t>1</t>
        </is>
      </c>
      <c r="J304" t="inlineStr">
        <is>
          <t>No</t>
        </is>
      </c>
      <c r="K304" t="inlineStr">
        <is>
          <t>No</t>
        </is>
      </c>
      <c r="L304" t="inlineStr">
        <is>
          <t>0</t>
        </is>
      </c>
      <c r="M304" t="inlineStr">
        <is>
          <t>Chaucer Conference (1973 : State University of New York at Albany)</t>
        </is>
      </c>
      <c r="N304" t="inlineStr">
        <is>
          <t>New York : Burt Franklin, c1975.</t>
        </is>
      </c>
      <c r="O304" t="inlineStr">
        <is>
          <t>1975</t>
        </is>
      </c>
      <c r="Q304" t="inlineStr">
        <is>
          <t>eng</t>
        </is>
      </c>
      <c r="R304" t="inlineStr">
        <is>
          <t>nyu</t>
        </is>
      </c>
      <c r="S304" t="inlineStr">
        <is>
          <t>Middle English texts &amp; contexts ; 2</t>
        </is>
      </c>
      <c r="T304" t="inlineStr">
        <is>
          <t xml:space="preserve">PR </t>
        </is>
      </c>
      <c r="U304" t="n">
        <v>2</v>
      </c>
      <c r="V304" t="n">
        <v>2</v>
      </c>
      <c r="W304" t="inlineStr">
        <is>
          <t>2000-11-11</t>
        </is>
      </c>
      <c r="X304" t="inlineStr">
        <is>
          <t>2000-11-11</t>
        </is>
      </c>
      <c r="Y304" t="inlineStr">
        <is>
          <t>1991-09-27</t>
        </is>
      </c>
      <c r="Z304" t="inlineStr">
        <is>
          <t>1991-09-27</t>
        </is>
      </c>
      <c r="AA304" t="n">
        <v>470</v>
      </c>
      <c r="AB304" t="n">
        <v>396</v>
      </c>
      <c r="AC304" t="n">
        <v>408</v>
      </c>
      <c r="AD304" t="n">
        <v>7</v>
      </c>
      <c r="AE304" t="n">
        <v>7</v>
      </c>
      <c r="AF304" t="n">
        <v>31</v>
      </c>
      <c r="AG304" t="n">
        <v>31</v>
      </c>
      <c r="AH304" t="n">
        <v>13</v>
      </c>
      <c r="AI304" t="n">
        <v>13</v>
      </c>
      <c r="AJ304" t="n">
        <v>7</v>
      </c>
      <c r="AK304" t="n">
        <v>7</v>
      </c>
      <c r="AL304" t="n">
        <v>14</v>
      </c>
      <c r="AM304" t="n">
        <v>14</v>
      </c>
      <c r="AN304" t="n">
        <v>6</v>
      </c>
      <c r="AO304" t="n">
        <v>6</v>
      </c>
      <c r="AP304" t="n">
        <v>0</v>
      </c>
      <c r="AQ304" t="n">
        <v>0</v>
      </c>
      <c r="AR304" t="inlineStr">
        <is>
          <t>No</t>
        </is>
      </c>
      <c r="AS304" t="inlineStr">
        <is>
          <t>Yes</t>
        </is>
      </c>
      <c r="AT304">
        <f>HYPERLINK("http://catalog.hathitrust.org/Record/000710082","HathiTrust Record")</f>
        <v/>
      </c>
      <c r="AU304">
        <f>HYPERLINK("https://creighton-primo.hosted.exlibrisgroup.com/primo-explore/search?tab=default_tab&amp;search_scope=EVERYTHING&amp;vid=01CRU&amp;lang=en_US&amp;offset=0&amp;query=any,contains,991003952679702656","Catalog Record")</f>
        <v/>
      </c>
      <c r="AV304">
        <f>HYPERLINK("http://www.worldcat.org/oclc/1959409","WorldCat Record")</f>
        <v/>
      </c>
      <c r="AW304" t="inlineStr">
        <is>
          <t>547659:eng</t>
        </is>
      </c>
      <c r="AX304" t="inlineStr">
        <is>
          <t>1959409</t>
        </is>
      </c>
      <c r="AY304" t="inlineStr">
        <is>
          <t>991003952679702656</t>
        </is>
      </c>
      <c r="AZ304" t="inlineStr">
        <is>
          <t>991003952679702656</t>
        </is>
      </c>
      <c r="BA304" t="inlineStr">
        <is>
          <t>2266122340002656</t>
        </is>
      </c>
      <c r="BB304" t="inlineStr">
        <is>
          <t>BOOK</t>
        </is>
      </c>
      <c r="BD304" t="inlineStr">
        <is>
          <t>9780891020653</t>
        </is>
      </c>
      <c r="BE304" t="inlineStr">
        <is>
          <t>32285000763358</t>
        </is>
      </c>
      <c r="BF304" t="inlineStr">
        <is>
          <t>893331029</t>
        </is>
      </c>
    </row>
    <row r="305">
      <c r="A305" t="inlineStr">
        <is>
          <t>No</t>
        </is>
      </c>
      <c r="B305" t="inlineStr">
        <is>
          <t>CURAL</t>
        </is>
      </c>
      <c r="C305" t="inlineStr">
        <is>
          <t>SHELVES</t>
        </is>
      </c>
      <c r="D305" t="inlineStr">
        <is>
          <t>PR1924 .C436 1986</t>
        </is>
      </c>
      <c r="E305" t="inlineStr">
        <is>
          <t>0                      PR 1924000C  436         1986</t>
        </is>
      </c>
      <c r="F305" t="inlineStr">
        <is>
          <t>Chaucer in the eighties / edited by Julian N. Wasserman and Robert J. Blanch.</t>
        </is>
      </c>
      <c r="H305" t="inlineStr">
        <is>
          <t>No</t>
        </is>
      </c>
      <c r="I305" t="inlineStr">
        <is>
          <t>1</t>
        </is>
      </c>
      <c r="J305" t="inlineStr">
        <is>
          <t>No</t>
        </is>
      </c>
      <c r="K305" t="inlineStr">
        <is>
          <t>No</t>
        </is>
      </c>
      <c r="L305" t="inlineStr">
        <is>
          <t>0</t>
        </is>
      </c>
      <c r="N305" t="inlineStr">
        <is>
          <t>Syracuse, N.Y. : Syracuse University Press, 1986.</t>
        </is>
      </c>
      <c r="O305" t="inlineStr">
        <is>
          <t>1986</t>
        </is>
      </c>
      <c r="P305" t="inlineStr">
        <is>
          <t>1st ed.</t>
        </is>
      </c>
      <c r="Q305" t="inlineStr">
        <is>
          <t>eng</t>
        </is>
      </c>
      <c r="R305" t="inlineStr">
        <is>
          <t>nyu</t>
        </is>
      </c>
      <c r="T305" t="inlineStr">
        <is>
          <t xml:space="preserve">PR </t>
        </is>
      </c>
      <c r="U305" t="n">
        <v>3</v>
      </c>
      <c r="V305" t="n">
        <v>3</v>
      </c>
      <c r="W305" t="inlineStr">
        <is>
          <t>1996-02-13</t>
        </is>
      </c>
      <c r="X305" t="inlineStr">
        <is>
          <t>1996-02-13</t>
        </is>
      </c>
      <c r="Y305" t="inlineStr">
        <is>
          <t>1990-06-05</t>
        </is>
      </c>
      <c r="Z305" t="inlineStr">
        <is>
          <t>1990-06-05</t>
        </is>
      </c>
      <c r="AA305" t="n">
        <v>649</v>
      </c>
      <c r="AB305" t="n">
        <v>560</v>
      </c>
      <c r="AC305" t="n">
        <v>567</v>
      </c>
      <c r="AD305" t="n">
        <v>7</v>
      </c>
      <c r="AE305" t="n">
        <v>7</v>
      </c>
      <c r="AF305" t="n">
        <v>34</v>
      </c>
      <c r="AG305" t="n">
        <v>34</v>
      </c>
      <c r="AH305" t="n">
        <v>14</v>
      </c>
      <c r="AI305" t="n">
        <v>14</v>
      </c>
      <c r="AJ305" t="n">
        <v>5</v>
      </c>
      <c r="AK305" t="n">
        <v>5</v>
      </c>
      <c r="AL305" t="n">
        <v>18</v>
      </c>
      <c r="AM305" t="n">
        <v>18</v>
      </c>
      <c r="AN305" t="n">
        <v>6</v>
      </c>
      <c r="AO305" t="n">
        <v>6</v>
      </c>
      <c r="AP305" t="n">
        <v>0</v>
      </c>
      <c r="AQ305" t="n">
        <v>0</v>
      </c>
      <c r="AR305" t="inlineStr">
        <is>
          <t>No</t>
        </is>
      </c>
      <c r="AS305" t="inlineStr">
        <is>
          <t>Yes</t>
        </is>
      </c>
      <c r="AT305">
        <f>HYPERLINK("http://catalog.hathitrust.org/Record/000389787","HathiTrust Record")</f>
        <v/>
      </c>
      <c r="AU305">
        <f>HYPERLINK("https://creighton-primo.hosted.exlibrisgroup.com/primo-explore/search?tab=default_tab&amp;search_scope=EVERYTHING&amp;vid=01CRU&amp;lang=en_US&amp;offset=0&amp;query=any,contains,991000784309702656","Catalog Record")</f>
        <v/>
      </c>
      <c r="AV305">
        <f>HYPERLINK("http://www.worldcat.org/oclc/13122622","WorldCat Record")</f>
        <v/>
      </c>
      <c r="AW305" t="inlineStr">
        <is>
          <t>354805056:eng</t>
        </is>
      </c>
      <c r="AX305" t="inlineStr">
        <is>
          <t>13122622</t>
        </is>
      </c>
      <c r="AY305" t="inlineStr">
        <is>
          <t>991000784309702656</t>
        </is>
      </c>
      <c r="AZ305" t="inlineStr">
        <is>
          <t>991000784309702656</t>
        </is>
      </c>
      <c r="BA305" t="inlineStr">
        <is>
          <t>2254753340002656</t>
        </is>
      </c>
      <c r="BB305" t="inlineStr">
        <is>
          <t>BOOK</t>
        </is>
      </c>
      <c r="BD305" t="inlineStr">
        <is>
          <t>9780815623649</t>
        </is>
      </c>
      <c r="BE305" t="inlineStr">
        <is>
          <t>32285000181965</t>
        </is>
      </c>
      <c r="BF305" t="inlineStr">
        <is>
          <t>893225304</t>
        </is>
      </c>
    </row>
    <row r="306">
      <c r="A306" t="inlineStr">
        <is>
          <t>No</t>
        </is>
      </c>
      <c r="B306" t="inlineStr">
        <is>
          <t>CURAL</t>
        </is>
      </c>
      <c r="C306" t="inlineStr">
        <is>
          <t>SHELVES</t>
        </is>
      </c>
      <c r="D306" t="inlineStr">
        <is>
          <t>PR1924 .C47</t>
        </is>
      </c>
      <c r="E306" t="inlineStr">
        <is>
          <t>0                      PR 1924000C  47</t>
        </is>
      </c>
      <c r="F306" t="inlineStr">
        <is>
          <t>Chaucerian problems and perspectives : essays presented to Paul E. Beichner, C. S. C. / edited by Edward Vasta and Zacharias P. Thundy.</t>
        </is>
      </c>
      <c r="H306" t="inlineStr">
        <is>
          <t>No</t>
        </is>
      </c>
      <c r="I306" t="inlineStr">
        <is>
          <t>1</t>
        </is>
      </c>
      <c r="J306" t="inlineStr">
        <is>
          <t>No</t>
        </is>
      </c>
      <c r="K306" t="inlineStr">
        <is>
          <t>No</t>
        </is>
      </c>
      <c r="L306" t="inlineStr">
        <is>
          <t>0</t>
        </is>
      </c>
      <c r="N306" t="inlineStr">
        <is>
          <t>Notre Dame, Ind. : University of Notre Dame Press, c1979.</t>
        </is>
      </c>
      <c r="O306" t="inlineStr">
        <is>
          <t>1979</t>
        </is>
      </c>
      <c r="Q306" t="inlineStr">
        <is>
          <t>eng</t>
        </is>
      </c>
      <c r="R306" t="inlineStr">
        <is>
          <t>inu</t>
        </is>
      </c>
      <c r="T306" t="inlineStr">
        <is>
          <t xml:space="preserve">PR </t>
        </is>
      </c>
      <c r="U306" t="n">
        <v>3</v>
      </c>
      <c r="V306" t="n">
        <v>3</v>
      </c>
      <c r="W306" t="inlineStr">
        <is>
          <t>1996-02-13</t>
        </is>
      </c>
      <c r="X306" t="inlineStr">
        <is>
          <t>1996-02-13</t>
        </is>
      </c>
      <c r="Y306" t="inlineStr">
        <is>
          <t>1991-09-27</t>
        </is>
      </c>
      <c r="Z306" t="inlineStr">
        <is>
          <t>1991-09-27</t>
        </is>
      </c>
      <c r="AA306" t="n">
        <v>637</v>
      </c>
      <c r="AB306" t="n">
        <v>556</v>
      </c>
      <c r="AC306" t="n">
        <v>559</v>
      </c>
      <c r="AD306" t="n">
        <v>5</v>
      </c>
      <c r="AE306" t="n">
        <v>5</v>
      </c>
      <c r="AF306" t="n">
        <v>32</v>
      </c>
      <c r="AG306" t="n">
        <v>32</v>
      </c>
      <c r="AH306" t="n">
        <v>14</v>
      </c>
      <c r="AI306" t="n">
        <v>14</v>
      </c>
      <c r="AJ306" t="n">
        <v>8</v>
      </c>
      <c r="AK306" t="n">
        <v>8</v>
      </c>
      <c r="AL306" t="n">
        <v>15</v>
      </c>
      <c r="AM306" t="n">
        <v>15</v>
      </c>
      <c r="AN306" t="n">
        <v>4</v>
      </c>
      <c r="AO306" t="n">
        <v>4</v>
      </c>
      <c r="AP306" t="n">
        <v>0</v>
      </c>
      <c r="AQ306" t="n">
        <v>0</v>
      </c>
      <c r="AR306" t="inlineStr">
        <is>
          <t>No</t>
        </is>
      </c>
      <c r="AS306" t="inlineStr">
        <is>
          <t>Yes</t>
        </is>
      </c>
      <c r="AT306">
        <f>HYPERLINK("http://catalog.hathitrust.org/Record/000299064","HathiTrust Record")</f>
        <v/>
      </c>
      <c r="AU306">
        <f>HYPERLINK("https://creighton-primo.hosted.exlibrisgroup.com/primo-explore/search?tab=default_tab&amp;search_scope=EVERYTHING&amp;vid=01CRU&amp;lang=en_US&amp;offset=0&amp;query=any,contains,991004730959702656","Catalog Record")</f>
        <v/>
      </c>
      <c r="AV306">
        <f>HYPERLINK("http://www.worldcat.org/oclc/4834658","WorldCat Record")</f>
        <v/>
      </c>
      <c r="AW306" t="inlineStr">
        <is>
          <t>836623209:eng</t>
        </is>
      </c>
      <c r="AX306" t="inlineStr">
        <is>
          <t>4834658</t>
        </is>
      </c>
      <c r="AY306" t="inlineStr">
        <is>
          <t>991004730959702656</t>
        </is>
      </c>
      <c r="AZ306" t="inlineStr">
        <is>
          <t>991004730959702656</t>
        </is>
      </c>
      <c r="BA306" t="inlineStr">
        <is>
          <t>2267763790002656</t>
        </is>
      </c>
      <c r="BB306" t="inlineStr">
        <is>
          <t>BOOK</t>
        </is>
      </c>
      <c r="BD306" t="inlineStr">
        <is>
          <t>9780268007287</t>
        </is>
      </c>
      <c r="BE306" t="inlineStr">
        <is>
          <t>32285000763366</t>
        </is>
      </c>
      <c r="BF306" t="inlineStr">
        <is>
          <t>893411884</t>
        </is>
      </c>
    </row>
    <row r="307">
      <c r="A307" t="inlineStr">
        <is>
          <t>No</t>
        </is>
      </c>
      <c r="B307" t="inlineStr">
        <is>
          <t>CURAL</t>
        </is>
      </c>
      <c r="C307" t="inlineStr">
        <is>
          <t>SHELVES</t>
        </is>
      </c>
      <c r="D307" t="inlineStr">
        <is>
          <t>PR1924 .D3 1976</t>
        </is>
      </c>
      <c r="E307" t="inlineStr">
        <is>
          <t>0                      PR 1924000D  3           1976</t>
        </is>
      </c>
      <c r="F307" t="inlineStr">
        <is>
          <t>The strumpet muse : art and morals in Chaucer's poetry / Alfred David.</t>
        </is>
      </c>
      <c r="H307" t="inlineStr">
        <is>
          <t>No</t>
        </is>
      </c>
      <c r="I307" t="inlineStr">
        <is>
          <t>1</t>
        </is>
      </c>
      <c r="J307" t="inlineStr">
        <is>
          <t>No</t>
        </is>
      </c>
      <c r="K307" t="inlineStr">
        <is>
          <t>No</t>
        </is>
      </c>
      <c r="L307" t="inlineStr">
        <is>
          <t>0</t>
        </is>
      </c>
      <c r="M307" t="inlineStr">
        <is>
          <t>David, Alfred, 1929-</t>
        </is>
      </c>
      <c r="N307" t="inlineStr">
        <is>
          <t>Bloomington : Indiana University Press, c1976.</t>
        </is>
      </c>
      <c r="O307" t="inlineStr">
        <is>
          <t>1976</t>
        </is>
      </c>
      <c r="Q307" t="inlineStr">
        <is>
          <t>eng</t>
        </is>
      </c>
      <c r="R307" t="inlineStr">
        <is>
          <t>inu</t>
        </is>
      </c>
      <c r="T307" t="inlineStr">
        <is>
          <t xml:space="preserve">PR </t>
        </is>
      </c>
      <c r="U307" t="n">
        <v>2</v>
      </c>
      <c r="V307" t="n">
        <v>2</v>
      </c>
      <c r="W307" t="inlineStr">
        <is>
          <t>1992-03-23</t>
        </is>
      </c>
      <c r="X307" t="inlineStr">
        <is>
          <t>1992-03-23</t>
        </is>
      </c>
      <c r="Y307" t="inlineStr">
        <is>
          <t>1991-09-30</t>
        </is>
      </c>
      <c r="Z307" t="inlineStr">
        <is>
          <t>1991-09-30</t>
        </is>
      </c>
      <c r="AA307" t="n">
        <v>858</v>
      </c>
      <c r="AB307" t="n">
        <v>699</v>
      </c>
      <c r="AC307" t="n">
        <v>707</v>
      </c>
      <c r="AD307" t="n">
        <v>4</v>
      </c>
      <c r="AE307" t="n">
        <v>4</v>
      </c>
      <c r="AF307" t="n">
        <v>39</v>
      </c>
      <c r="AG307" t="n">
        <v>39</v>
      </c>
      <c r="AH307" t="n">
        <v>16</v>
      </c>
      <c r="AI307" t="n">
        <v>16</v>
      </c>
      <c r="AJ307" t="n">
        <v>9</v>
      </c>
      <c r="AK307" t="n">
        <v>9</v>
      </c>
      <c r="AL307" t="n">
        <v>22</v>
      </c>
      <c r="AM307" t="n">
        <v>22</v>
      </c>
      <c r="AN307" t="n">
        <v>3</v>
      </c>
      <c r="AO307" t="n">
        <v>3</v>
      </c>
      <c r="AP307" t="n">
        <v>0</v>
      </c>
      <c r="AQ307" t="n">
        <v>0</v>
      </c>
      <c r="AR307" t="inlineStr">
        <is>
          <t>No</t>
        </is>
      </c>
      <c r="AS307" t="inlineStr">
        <is>
          <t>Yes</t>
        </is>
      </c>
      <c r="AT307">
        <f>HYPERLINK("http://catalog.hathitrust.org/Record/000705711","HathiTrust Record")</f>
        <v/>
      </c>
      <c r="AU307">
        <f>HYPERLINK("https://creighton-primo.hosted.exlibrisgroup.com/primo-explore/search?tab=default_tab&amp;search_scope=EVERYTHING&amp;vid=01CRU&amp;lang=en_US&amp;offset=0&amp;query=any,contains,991004065269702656","Catalog Record")</f>
        <v/>
      </c>
      <c r="AV307">
        <f>HYPERLINK("http://www.worldcat.org/oclc/2283813","WorldCat Record")</f>
        <v/>
      </c>
      <c r="AW307" t="inlineStr">
        <is>
          <t>836657881:eng</t>
        </is>
      </c>
      <c r="AX307" t="inlineStr">
        <is>
          <t>2283813</t>
        </is>
      </c>
      <c r="AY307" t="inlineStr">
        <is>
          <t>991004065269702656</t>
        </is>
      </c>
      <c r="AZ307" t="inlineStr">
        <is>
          <t>991004065269702656</t>
        </is>
      </c>
      <c r="BA307" t="inlineStr">
        <is>
          <t>2266930960002656</t>
        </is>
      </c>
      <c r="BB307" t="inlineStr">
        <is>
          <t>BOOK</t>
        </is>
      </c>
      <c r="BD307" t="inlineStr">
        <is>
          <t>9780253355171</t>
        </is>
      </c>
      <c r="BE307" t="inlineStr">
        <is>
          <t>32285000763382</t>
        </is>
      </c>
      <c r="BF307" t="inlineStr">
        <is>
          <t>893343421</t>
        </is>
      </c>
    </row>
    <row r="308">
      <c r="A308" t="inlineStr">
        <is>
          <t>No</t>
        </is>
      </c>
      <c r="B308" t="inlineStr">
        <is>
          <t>CURAL</t>
        </is>
      </c>
      <c r="C308" t="inlineStr">
        <is>
          <t>SHELVES</t>
        </is>
      </c>
      <c r="D308" t="inlineStr">
        <is>
          <t>PR1924 .D53 1988</t>
        </is>
      </c>
      <c r="E308" t="inlineStr">
        <is>
          <t>0                      PR 1924000D  53          1988</t>
        </is>
      </c>
      <c r="F308" t="inlineStr">
        <is>
          <t>Chaucer and the text : two views of the author / Carolyn Dinshaw.</t>
        </is>
      </c>
      <c r="H308" t="inlineStr">
        <is>
          <t>No</t>
        </is>
      </c>
      <c r="I308" t="inlineStr">
        <is>
          <t>1</t>
        </is>
      </c>
      <c r="J308" t="inlineStr">
        <is>
          <t>No</t>
        </is>
      </c>
      <c r="K308" t="inlineStr">
        <is>
          <t>No</t>
        </is>
      </c>
      <c r="L308" t="inlineStr">
        <is>
          <t>0</t>
        </is>
      </c>
      <c r="M308" t="inlineStr">
        <is>
          <t>Dinshaw, Carolyn.</t>
        </is>
      </c>
      <c r="N308" t="inlineStr">
        <is>
          <t>New York : Garland Pub., 1988.</t>
        </is>
      </c>
      <c r="O308" t="inlineStr">
        <is>
          <t>1988</t>
        </is>
      </c>
      <c r="Q308" t="inlineStr">
        <is>
          <t>eng</t>
        </is>
      </c>
      <c r="R308" t="inlineStr">
        <is>
          <t>nyu</t>
        </is>
      </c>
      <c r="S308" t="inlineStr">
        <is>
          <t>Garland publications in American and English literature</t>
        </is>
      </c>
      <c r="T308" t="inlineStr">
        <is>
          <t xml:space="preserve">PR </t>
        </is>
      </c>
      <c r="U308" t="n">
        <v>2</v>
      </c>
      <c r="V308" t="n">
        <v>2</v>
      </c>
      <c r="W308" t="inlineStr">
        <is>
          <t>1997-04-05</t>
        </is>
      </c>
      <c r="X308" t="inlineStr">
        <is>
          <t>1997-04-05</t>
        </is>
      </c>
      <c r="Y308" t="inlineStr">
        <is>
          <t>1991-09-27</t>
        </is>
      </c>
      <c r="Z308" t="inlineStr">
        <is>
          <t>1991-09-27</t>
        </is>
      </c>
      <c r="AA308" t="n">
        <v>122</v>
      </c>
      <c r="AB308" t="n">
        <v>94</v>
      </c>
      <c r="AC308" t="n">
        <v>96</v>
      </c>
      <c r="AD308" t="n">
        <v>2</v>
      </c>
      <c r="AE308" t="n">
        <v>2</v>
      </c>
      <c r="AF308" t="n">
        <v>3</v>
      </c>
      <c r="AG308" t="n">
        <v>3</v>
      </c>
      <c r="AH308" t="n">
        <v>0</v>
      </c>
      <c r="AI308" t="n">
        <v>0</v>
      </c>
      <c r="AJ308" t="n">
        <v>0</v>
      </c>
      <c r="AK308" t="n">
        <v>0</v>
      </c>
      <c r="AL308" t="n">
        <v>2</v>
      </c>
      <c r="AM308" t="n">
        <v>2</v>
      </c>
      <c r="AN308" t="n">
        <v>1</v>
      </c>
      <c r="AO308" t="n">
        <v>1</v>
      </c>
      <c r="AP308" t="n">
        <v>0</v>
      </c>
      <c r="AQ308" t="n">
        <v>0</v>
      </c>
      <c r="AR308" t="inlineStr">
        <is>
          <t>No</t>
        </is>
      </c>
      <c r="AS308" t="inlineStr">
        <is>
          <t>No</t>
        </is>
      </c>
      <c r="AU308">
        <f>HYPERLINK("https://creighton-primo.hosted.exlibrisgroup.com/primo-explore/search?tab=default_tab&amp;search_scope=EVERYTHING&amp;vid=01CRU&amp;lang=en_US&amp;offset=0&amp;query=any,contains,991001288949702656","Catalog Record")</f>
        <v/>
      </c>
      <c r="AV308">
        <f>HYPERLINK("http://www.worldcat.org/oclc/17981816","WorldCat Record")</f>
        <v/>
      </c>
      <c r="AW308" t="inlineStr">
        <is>
          <t>4724166:eng</t>
        </is>
      </c>
      <c r="AX308" t="inlineStr">
        <is>
          <t>17981816</t>
        </is>
      </c>
      <c r="AY308" t="inlineStr">
        <is>
          <t>991001288949702656</t>
        </is>
      </c>
      <c r="AZ308" t="inlineStr">
        <is>
          <t>991001288949702656</t>
        </is>
      </c>
      <c r="BA308" t="inlineStr">
        <is>
          <t>2257309490002656</t>
        </is>
      </c>
      <c r="BB308" t="inlineStr">
        <is>
          <t>BOOK</t>
        </is>
      </c>
      <c r="BD308" t="inlineStr">
        <is>
          <t>9780824064600</t>
        </is>
      </c>
      <c r="BE308" t="inlineStr">
        <is>
          <t>32285000763390</t>
        </is>
      </c>
      <c r="BF308" t="inlineStr">
        <is>
          <t>893791360</t>
        </is>
      </c>
    </row>
    <row r="309">
      <c r="A309" t="inlineStr">
        <is>
          <t>No</t>
        </is>
      </c>
      <c r="B309" t="inlineStr">
        <is>
          <t>CURAL</t>
        </is>
      </c>
      <c r="C309" t="inlineStr">
        <is>
          <t>SHELVES</t>
        </is>
      </c>
      <c r="D309" t="inlineStr">
        <is>
          <t>PR1924 .G3</t>
        </is>
      </c>
      <c r="E309" t="inlineStr">
        <is>
          <t>0                      PR 1924000G  3</t>
        </is>
      </c>
      <c r="F309" t="inlineStr">
        <is>
          <t>The poetry of Chaucer / John Gardner.</t>
        </is>
      </c>
      <c r="H309" t="inlineStr">
        <is>
          <t>No</t>
        </is>
      </c>
      <c r="I309" t="inlineStr">
        <is>
          <t>1</t>
        </is>
      </c>
      <c r="J309" t="inlineStr">
        <is>
          <t>No</t>
        </is>
      </c>
      <c r="K309" t="inlineStr">
        <is>
          <t>No</t>
        </is>
      </c>
      <c r="L309" t="inlineStr">
        <is>
          <t>0</t>
        </is>
      </c>
      <c r="M309" t="inlineStr">
        <is>
          <t>Gardner, John, 1933-1982.</t>
        </is>
      </c>
      <c r="N309" t="inlineStr">
        <is>
          <t>Carbondale, Ill. : Southern Illinois University Press, c1977.</t>
        </is>
      </c>
      <c r="O309" t="inlineStr">
        <is>
          <t>1977</t>
        </is>
      </c>
      <c r="Q309" t="inlineStr">
        <is>
          <t>eng</t>
        </is>
      </c>
      <c r="R309" t="inlineStr">
        <is>
          <t>ilu</t>
        </is>
      </c>
      <c r="T309" t="inlineStr">
        <is>
          <t xml:space="preserve">PR </t>
        </is>
      </c>
      <c r="U309" t="n">
        <v>3</v>
      </c>
      <c r="V309" t="n">
        <v>3</v>
      </c>
      <c r="W309" t="inlineStr">
        <is>
          <t>1993-11-14</t>
        </is>
      </c>
      <c r="X309" t="inlineStr">
        <is>
          <t>1993-11-14</t>
        </is>
      </c>
      <c r="Y309" t="inlineStr">
        <is>
          <t>1991-09-30</t>
        </is>
      </c>
      <c r="Z309" t="inlineStr">
        <is>
          <t>1991-09-30</t>
        </is>
      </c>
      <c r="AA309" t="n">
        <v>1168</v>
      </c>
      <c r="AB309" t="n">
        <v>1038</v>
      </c>
      <c r="AC309" t="n">
        <v>1077</v>
      </c>
      <c r="AD309" t="n">
        <v>8</v>
      </c>
      <c r="AE309" t="n">
        <v>8</v>
      </c>
      <c r="AF309" t="n">
        <v>45</v>
      </c>
      <c r="AG309" t="n">
        <v>45</v>
      </c>
      <c r="AH309" t="n">
        <v>16</v>
      </c>
      <c r="AI309" t="n">
        <v>16</v>
      </c>
      <c r="AJ309" t="n">
        <v>8</v>
      </c>
      <c r="AK309" t="n">
        <v>8</v>
      </c>
      <c r="AL309" t="n">
        <v>26</v>
      </c>
      <c r="AM309" t="n">
        <v>26</v>
      </c>
      <c r="AN309" t="n">
        <v>7</v>
      </c>
      <c r="AO309" t="n">
        <v>7</v>
      </c>
      <c r="AP309" t="n">
        <v>0</v>
      </c>
      <c r="AQ309" t="n">
        <v>0</v>
      </c>
      <c r="AR309" t="inlineStr">
        <is>
          <t>No</t>
        </is>
      </c>
      <c r="AS309" t="inlineStr">
        <is>
          <t>Yes</t>
        </is>
      </c>
      <c r="AT309">
        <f>HYPERLINK("http://catalog.hathitrust.org/Record/000171175","HathiTrust Record")</f>
        <v/>
      </c>
      <c r="AU309">
        <f>HYPERLINK("https://creighton-primo.hosted.exlibrisgroup.com/primo-explore/search?tab=default_tab&amp;search_scope=EVERYTHING&amp;vid=01CRU&amp;lang=en_US&amp;offset=0&amp;query=any,contains,991004219389702656","Catalog Record")</f>
        <v/>
      </c>
      <c r="AV309">
        <f>HYPERLINK("http://www.worldcat.org/oclc/2707020","WorldCat Record")</f>
        <v/>
      </c>
      <c r="AW309" t="inlineStr">
        <is>
          <t>57574782:eng</t>
        </is>
      </c>
      <c r="AX309" t="inlineStr">
        <is>
          <t>2707020</t>
        </is>
      </c>
      <c r="AY309" t="inlineStr">
        <is>
          <t>991004219389702656</t>
        </is>
      </c>
      <c r="AZ309" t="inlineStr">
        <is>
          <t>991004219389702656</t>
        </is>
      </c>
      <c r="BA309" t="inlineStr">
        <is>
          <t>2263364060002656</t>
        </is>
      </c>
      <c r="BB309" t="inlineStr">
        <is>
          <t>BOOK</t>
        </is>
      </c>
      <c r="BD309" t="inlineStr">
        <is>
          <t>9780809307722</t>
        </is>
      </c>
      <c r="BE309" t="inlineStr">
        <is>
          <t>32285000763424</t>
        </is>
      </c>
      <c r="BF309" t="inlineStr">
        <is>
          <t>893618402</t>
        </is>
      </c>
    </row>
    <row r="310">
      <c r="A310" t="inlineStr">
        <is>
          <t>No</t>
        </is>
      </c>
      <c r="B310" t="inlineStr">
        <is>
          <t>CURAL</t>
        </is>
      </c>
      <c r="C310" t="inlineStr">
        <is>
          <t>SHELVES</t>
        </is>
      </c>
      <c r="D310" t="inlineStr">
        <is>
          <t>PR1924 .K57 1986</t>
        </is>
      </c>
      <c r="E310" t="inlineStr">
        <is>
          <t>0                      PR 1924000K  57          1986</t>
        </is>
      </c>
      <c r="F310" t="inlineStr">
        <is>
          <t>Geoffrey Chaucer / Stephen Knight.</t>
        </is>
      </c>
      <c r="H310" t="inlineStr">
        <is>
          <t>No</t>
        </is>
      </c>
      <c r="I310" t="inlineStr">
        <is>
          <t>1</t>
        </is>
      </c>
      <c r="J310" t="inlineStr">
        <is>
          <t>No</t>
        </is>
      </c>
      <c r="K310" t="inlineStr">
        <is>
          <t>No</t>
        </is>
      </c>
      <c r="L310" t="inlineStr">
        <is>
          <t>0</t>
        </is>
      </c>
      <c r="M310" t="inlineStr">
        <is>
          <t>Knight, Stephen, 1940-</t>
        </is>
      </c>
      <c r="N310" t="inlineStr">
        <is>
          <t>Oxford [Oxfordshire] ; New York, NY, USA : B. Blackwell, 1986.</t>
        </is>
      </c>
      <c r="O310" t="inlineStr">
        <is>
          <t>1986</t>
        </is>
      </c>
      <c r="Q310" t="inlineStr">
        <is>
          <t>eng</t>
        </is>
      </c>
      <c r="R310" t="inlineStr">
        <is>
          <t>enk</t>
        </is>
      </c>
      <c r="S310" t="inlineStr">
        <is>
          <t>Rereading literature</t>
        </is>
      </c>
      <c r="T310" t="inlineStr">
        <is>
          <t xml:space="preserve">PR </t>
        </is>
      </c>
      <c r="U310" t="n">
        <v>1</v>
      </c>
      <c r="V310" t="n">
        <v>1</v>
      </c>
      <c r="W310" t="inlineStr">
        <is>
          <t>1997-03-12</t>
        </is>
      </c>
      <c r="X310" t="inlineStr">
        <is>
          <t>1997-03-12</t>
        </is>
      </c>
      <c r="Y310" t="inlineStr">
        <is>
          <t>1991-09-30</t>
        </is>
      </c>
      <c r="Z310" t="inlineStr">
        <is>
          <t>1991-09-30</t>
        </is>
      </c>
      <c r="AA310" t="n">
        <v>566</v>
      </c>
      <c r="AB310" t="n">
        <v>420</v>
      </c>
      <c r="AC310" t="n">
        <v>425</v>
      </c>
      <c r="AD310" t="n">
        <v>3</v>
      </c>
      <c r="AE310" t="n">
        <v>3</v>
      </c>
      <c r="AF310" t="n">
        <v>20</v>
      </c>
      <c r="AG310" t="n">
        <v>20</v>
      </c>
      <c r="AH310" t="n">
        <v>8</v>
      </c>
      <c r="AI310" t="n">
        <v>8</v>
      </c>
      <c r="AJ310" t="n">
        <v>7</v>
      </c>
      <c r="AK310" t="n">
        <v>7</v>
      </c>
      <c r="AL310" t="n">
        <v>11</v>
      </c>
      <c r="AM310" t="n">
        <v>11</v>
      </c>
      <c r="AN310" t="n">
        <v>2</v>
      </c>
      <c r="AO310" t="n">
        <v>2</v>
      </c>
      <c r="AP310" t="n">
        <v>0</v>
      </c>
      <c r="AQ310" t="n">
        <v>0</v>
      </c>
      <c r="AR310" t="inlineStr">
        <is>
          <t>No</t>
        </is>
      </c>
      <c r="AS310" t="inlineStr">
        <is>
          <t>No</t>
        </is>
      </c>
      <c r="AU310">
        <f>HYPERLINK("https://creighton-primo.hosted.exlibrisgroup.com/primo-explore/search?tab=default_tab&amp;search_scope=EVERYTHING&amp;vid=01CRU&amp;lang=en_US&amp;offset=0&amp;query=any,contains,991000755219702656","Catalog Record")</f>
        <v/>
      </c>
      <c r="AV310">
        <f>HYPERLINK("http://www.worldcat.org/oclc/12946702","WorldCat Record")</f>
        <v/>
      </c>
      <c r="AW310" t="inlineStr">
        <is>
          <t>5572631:eng</t>
        </is>
      </c>
      <c r="AX310" t="inlineStr">
        <is>
          <t>12946702</t>
        </is>
      </c>
      <c r="AY310" t="inlineStr">
        <is>
          <t>991000755219702656</t>
        </is>
      </c>
      <c r="AZ310" t="inlineStr">
        <is>
          <t>991000755219702656</t>
        </is>
      </c>
      <c r="BA310" t="inlineStr">
        <is>
          <t>2271063570002656</t>
        </is>
      </c>
      <c r="BB310" t="inlineStr">
        <is>
          <t>BOOK</t>
        </is>
      </c>
      <c r="BD310" t="inlineStr">
        <is>
          <t>9780631138822</t>
        </is>
      </c>
      <c r="BE310" t="inlineStr">
        <is>
          <t>32285000764620</t>
        </is>
      </c>
      <c r="BF310" t="inlineStr">
        <is>
          <t>893413654</t>
        </is>
      </c>
    </row>
    <row r="311">
      <c r="A311" t="inlineStr">
        <is>
          <t>No</t>
        </is>
      </c>
      <c r="B311" t="inlineStr">
        <is>
          <t>CURAL</t>
        </is>
      </c>
      <c r="C311" t="inlineStr">
        <is>
          <t>SHELVES</t>
        </is>
      </c>
      <c r="D311" t="inlineStr">
        <is>
          <t>PR1924 .L35</t>
        </is>
      </c>
      <c r="E311" t="inlineStr">
        <is>
          <t>0                      PR 1924000L  35</t>
        </is>
      </c>
      <c r="F311" t="inlineStr">
        <is>
          <t>The Learned and the lewed : studies in Chaucer and medieval literature / edited by Larry D. Benson.</t>
        </is>
      </c>
      <c r="H311" t="inlineStr">
        <is>
          <t>No</t>
        </is>
      </c>
      <c r="I311" t="inlineStr">
        <is>
          <t>1</t>
        </is>
      </c>
      <c r="J311" t="inlineStr">
        <is>
          <t>No</t>
        </is>
      </c>
      <c r="K311" t="inlineStr">
        <is>
          <t>No</t>
        </is>
      </c>
      <c r="L311" t="inlineStr">
        <is>
          <t>0</t>
        </is>
      </c>
      <c r="N311" t="inlineStr">
        <is>
          <t>Cambridge : Harvard University Press, 1974.</t>
        </is>
      </c>
      <c r="O311" t="inlineStr">
        <is>
          <t>1974</t>
        </is>
      </c>
      <c r="Q311" t="inlineStr">
        <is>
          <t>eng</t>
        </is>
      </c>
      <c r="R311" t="inlineStr">
        <is>
          <t>mau</t>
        </is>
      </c>
      <c r="S311" t="inlineStr">
        <is>
          <t>Harvard English studies ; 5</t>
        </is>
      </c>
      <c r="T311" t="inlineStr">
        <is>
          <t xml:space="preserve">PR </t>
        </is>
      </c>
      <c r="U311" t="n">
        <v>4</v>
      </c>
      <c r="V311" t="n">
        <v>4</v>
      </c>
      <c r="W311" t="inlineStr">
        <is>
          <t>2000-11-02</t>
        </is>
      </c>
      <c r="X311" t="inlineStr">
        <is>
          <t>2000-11-02</t>
        </is>
      </c>
      <c r="Y311" t="inlineStr">
        <is>
          <t>1991-09-30</t>
        </is>
      </c>
      <c r="Z311" t="inlineStr">
        <is>
          <t>1991-09-30</t>
        </is>
      </c>
      <c r="AA311" t="n">
        <v>798</v>
      </c>
      <c r="AB311" t="n">
        <v>651</v>
      </c>
      <c r="AC311" t="n">
        <v>659</v>
      </c>
      <c r="AD311" t="n">
        <v>8</v>
      </c>
      <c r="AE311" t="n">
        <v>8</v>
      </c>
      <c r="AF311" t="n">
        <v>40</v>
      </c>
      <c r="AG311" t="n">
        <v>40</v>
      </c>
      <c r="AH311" t="n">
        <v>14</v>
      </c>
      <c r="AI311" t="n">
        <v>14</v>
      </c>
      <c r="AJ311" t="n">
        <v>8</v>
      </c>
      <c r="AK311" t="n">
        <v>8</v>
      </c>
      <c r="AL311" t="n">
        <v>18</v>
      </c>
      <c r="AM311" t="n">
        <v>18</v>
      </c>
      <c r="AN311" t="n">
        <v>7</v>
      </c>
      <c r="AO311" t="n">
        <v>7</v>
      </c>
      <c r="AP311" t="n">
        <v>0</v>
      </c>
      <c r="AQ311" t="n">
        <v>0</v>
      </c>
      <c r="AR311" t="inlineStr">
        <is>
          <t>No</t>
        </is>
      </c>
      <c r="AS311" t="inlineStr">
        <is>
          <t>Yes</t>
        </is>
      </c>
      <c r="AT311">
        <f>HYPERLINK("http://catalog.hathitrust.org/Record/001652880","HathiTrust Record")</f>
        <v/>
      </c>
      <c r="AU311">
        <f>HYPERLINK("https://creighton-primo.hosted.exlibrisgroup.com/primo-explore/search?tab=default_tab&amp;search_scope=EVERYTHING&amp;vid=01CRU&amp;lang=en_US&amp;offset=0&amp;query=any,contains,991003548169702656","Catalog Record")</f>
        <v/>
      </c>
      <c r="AV311">
        <f>HYPERLINK("http://www.worldcat.org/oclc/1115540","WorldCat Record")</f>
        <v/>
      </c>
      <c r="AW311" t="inlineStr">
        <is>
          <t>795044392:eng</t>
        </is>
      </c>
      <c r="AX311" t="inlineStr">
        <is>
          <t>1115540</t>
        </is>
      </c>
      <c r="AY311" t="inlineStr">
        <is>
          <t>991003548169702656</t>
        </is>
      </c>
      <c r="AZ311" t="inlineStr">
        <is>
          <t>991003548169702656</t>
        </is>
      </c>
      <c r="BA311" t="inlineStr">
        <is>
          <t>2267530700002656</t>
        </is>
      </c>
      <c r="BB311" t="inlineStr">
        <is>
          <t>BOOK</t>
        </is>
      </c>
      <c r="BD311" t="inlineStr">
        <is>
          <t>9780674518858</t>
        </is>
      </c>
      <c r="BE311" t="inlineStr">
        <is>
          <t>32285000764638</t>
        </is>
      </c>
      <c r="BF311" t="inlineStr">
        <is>
          <t>893881291</t>
        </is>
      </c>
    </row>
    <row r="312">
      <c r="A312" t="inlineStr">
        <is>
          <t>No</t>
        </is>
      </c>
      <c r="B312" t="inlineStr">
        <is>
          <t>CURAL</t>
        </is>
      </c>
      <c r="C312" t="inlineStr">
        <is>
          <t>SHELVES</t>
        </is>
      </c>
      <c r="D312" t="inlineStr">
        <is>
          <t>PR1924 .P347 1986</t>
        </is>
      </c>
      <c r="E312" t="inlineStr">
        <is>
          <t>0                      PR 1924000P  347         1986</t>
        </is>
      </c>
      <c r="F312" t="inlineStr">
        <is>
          <t>Geoffrey Chaucer / by Robert O. Payne.</t>
        </is>
      </c>
      <c r="H312" t="inlineStr">
        <is>
          <t>No</t>
        </is>
      </c>
      <c r="I312" t="inlineStr">
        <is>
          <t>1</t>
        </is>
      </c>
      <c r="J312" t="inlineStr">
        <is>
          <t>No</t>
        </is>
      </c>
      <c r="K312" t="inlineStr">
        <is>
          <t>No</t>
        </is>
      </c>
      <c r="L312" t="inlineStr">
        <is>
          <t>0</t>
        </is>
      </c>
      <c r="M312" t="inlineStr">
        <is>
          <t>Payne, Robert O.</t>
        </is>
      </c>
      <c r="N312" t="inlineStr">
        <is>
          <t>Boston : Twayne Publishers, c1986.</t>
        </is>
      </c>
      <c r="O312" t="inlineStr">
        <is>
          <t>1986</t>
        </is>
      </c>
      <c r="P312" t="inlineStr">
        <is>
          <t>2nd ed.</t>
        </is>
      </c>
      <c r="Q312" t="inlineStr">
        <is>
          <t>eng</t>
        </is>
      </c>
      <c r="R312" t="inlineStr">
        <is>
          <t>mau</t>
        </is>
      </c>
      <c r="S312" t="inlineStr">
        <is>
          <t>Twayne's English authors series ; TEAS 1</t>
        </is>
      </c>
      <c r="T312" t="inlineStr">
        <is>
          <t xml:space="preserve">PR </t>
        </is>
      </c>
      <c r="U312" t="n">
        <v>2</v>
      </c>
      <c r="V312" t="n">
        <v>2</v>
      </c>
      <c r="W312" t="inlineStr">
        <is>
          <t>1996-11-11</t>
        </is>
      </c>
      <c r="X312" t="inlineStr">
        <is>
          <t>1996-11-11</t>
        </is>
      </c>
      <c r="Y312" t="inlineStr">
        <is>
          <t>1991-09-30</t>
        </is>
      </c>
      <c r="Z312" t="inlineStr">
        <is>
          <t>1991-09-30</t>
        </is>
      </c>
      <c r="AA312" t="n">
        <v>1129</v>
      </c>
      <c r="AB312" t="n">
        <v>1014</v>
      </c>
      <c r="AC312" t="n">
        <v>1113</v>
      </c>
      <c r="AD312" t="n">
        <v>7</v>
      </c>
      <c r="AE312" t="n">
        <v>7</v>
      </c>
      <c r="AF312" t="n">
        <v>32</v>
      </c>
      <c r="AG312" t="n">
        <v>34</v>
      </c>
      <c r="AH312" t="n">
        <v>12</v>
      </c>
      <c r="AI312" t="n">
        <v>13</v>
      </c>
      <c r="AJ312" t="n">
        <v>5</v>
      </c>
      <c r="AK312" t="n">
        <v>5</v>
      </c>
      <c r="AL312" t="n">
        <v>18</v>
      </c>
      <c r="AM312" t="n">
        <v>19</v>
      </c>
      <c r="AN312" t="n">
        <v>5</v>
      </c>
      <c r="AO312" t="n">
        <v>5</v>
      </c>
      <c r="AP312" t="n">
        <v>0</v>
      </c>
      <c r="AQ312" t="n">
        <v>0</v>
      </c>
      <c r="AR312" t="inlineStr">
        <is>
          <t>No</t>
        </is>
      </c>
      <c r="AS312" t="inlineStr">
        <is>
          <t>Yes</t>
        </is>
      </c>
      <c r="AT312">
        <f>HYPERLINK("http://catalog.hathitrust.org/Record/000659323","HathiTrust Record")</f>
        <v/>
      </c>
      <c r="AU312">
        <f>HYPERLINK("https://creighton-primo.hosted.exlibrisgroup.com/primo-explore/search?tab=default_tab&amp;search_scope=EVERYTHING&amp;vid=01CRU&amp;lang=en_US&amp;offset=0&amp;query=any,contains,991000662309702656","Catalog Record")</f>
        <v/>
      </c>
      <c r="AV312">
        <f>HYPERLINK("http://www.worldcat.org/oclc/12262083","WorldCat Record")</f>
        <v/>
      </c>
      <c r="AW312" t="inlineStr">
        <is>
          <t>2286650896:eng</t>
        </is>
      </c>
      <c r="AX312" t="inlineStr">
        <is>
          <t>12262083</t>
        </is>
      </c>
      <c r="AY312" t="inlineStr">
        <is>
          <t>991000662309702656</t>
        </is>
      </c>
      <c r="AZ312" t="inlineStr">
        <is>
          <t>991000662309702656</t>
        </is>
      </c>
      <c r="BA312" t="inlineStr">
        <is>
          <t>2270703500002656</t>
        </is>
      </c>
      <c r="BB312" t="inlineStr">
        <is>
          <t>BOOK</t>
        </is>
      </c>
      <c r="BD312" t="inlineStr">
        <is>
          <t>9780805769081</t>
        </is>
      </c>
      <c r="BE312" t="inlineStr">
        <is>
          <t>32285000764687</t>
        </is>
      </c>
      <c r="BF312" t="inlineStr">
        <is>
          <t>893502682</t>
        </is>
      </c>
    </row>
    <row r="313">
      <c r="A313" t="inlineStr">
        <is>
          <t>No</t>
        </is>
      </c>
      <c r="B313" t="inlineStr">
        <is>
          <t>CURAL</t>
        </is>
      </c>
      <c r="C313" t="inlineStr">
        <is>
          <t>SHELVES</t>
        </is>
      </c>
      <c r="D313" t="inlineStr">
        <is>
          <t>PR1933.A7 N67 1988</t>
        </is>
      </c>
      <c r="E313" t="inlineStr">
        <is>
          <t>0                      PR 1933000A  7                  N  67          1988</t>
        </is>
      </c>
      <c r="F313" t="inlineStr">
        <is>
          <t>Chaucer's universe / J.D. North.</t>
        </is>
      </c>
      <c r="H313" t="inlineStr">
        <is>
          <t>No</t>
        </is>
      </c>
      <c r="I313" t="inlineStr">
        <is>
          <t>1</t>
        </is>
      </c>
      <c r="J313" t="inlineStr">
        <is>
          <t>No</t>
        </is>
      </c>
      <c r="K313" t="inlineStr">
        <is>
          <t>No</t>
        </is>
      </c>
      <c r="L313" t="inlineStr">
        <is>
          <t>0</t>
        </is>
      </c>
      <c r="M313" t="inlineStr">
        <is>
          <t>North, John David.</t>
        </is>
      </c>
      <c r="N313" t="inlineStr">
        <is>
          <t>Oxford [Oxfordshire] : Clarendon Press ; New York : Oxford University Press, c1988.</t>
        </is>
      </c>
      <c r="O313" t="inlineStr">
        <is>
          <t>1988</t>
        </is>
      </c>
      <c r="Q313" t="inlineStr">
        <is>
          <t>eng</t>
        </is>
      </c>
      <c r="R313" t="inlineStr">
        <is>
          <t>enk</t>
        </is>
      </c>
      <c r="T313" t="inlineStr">
        <is>
          <t xml:space="preserve">PR </t>
        </is>
      </c>
      <c r="U313" t="n">
        <v>5</v>
      </c>
      <c r="V313" t="n">
        <v>5</v>
      </c>
      <c r="W313" t="inlineStr">
        <is>
          <t>1994-02-10</t>
        </is>
      </c>
      <c r="X313" t="inlineStr">
        <is>
          <t>1994-02-10</t>
        </is>
      </c>
      <c r="Y313" t="inlineStr">
        <is>
          <t>1991-09-30</t>
        </is>
      </c>
      <c r="Z313" t="inlineStr">
        <is>
          <t>1991-09-30</t>
        </is>
      </c>
      <c r="AA313" t="n">
        <v>416</v>
      </c>
      <c r="AB313" t="n">
        <v>301</v>
      </c>
      <c r="AC313" t="n">
        <v>322</v>
      </c>
      <c r="AD313" t="n">
        <v>3</v>
      </c>
      <c r="AE313" t="n">
        <v>3</v>
      </c>
      <c r="AF313" t="n">
        <v>17</v>
      </c>
      <c r="AG313" t="n">
        <v>17</v>
      </c>
      <c r="AH313" t="n">
        <v>4</v>
      </c>
      <c r="AI313" t="n">
        <v>4</v>
      </c>
      <c r="AJ313" t="n">
        <v>6</v>
      </c>
      <c r="AK313" t="n">
        <v>6</v>
      </c>
      <c r="AL313" t="n">
        <v>10</v>
      </c>
      <c r="AM313" t="n">
        <v>10</v>
      </c>
      <c r="AN313" t="n">
        <v>2</v>
      </c>
      <c r="AO313" t="n">
        <v>2</v>
      </c>
      <c r="AP313" t="n">
        <v>0</v>
      </c>
      <c r="AQ313" t="n">
        <v>0</v>
      </c>
      <c r="AR313" t="inlineStr">
        <is>
          <t>No</t>
        </is>
      </c>
      <c r="AS313" t="inlineStr">
        <is>
          <t>Yes</t>
        </is>
      </c>
      <c r="AT313">
        <f>HYPERLINK("http://catalog.hathitrust.org/Record/000949468","HathiTrust Record")</f>
        <v/>
      </c>
      <c r="AU313">
        <f>HYPERLINK("https://creighton-primo.hosted.exlibrisgroup.com/primo-explore/search?tab=default_tab&amp;search_scope=EVERYTHING&amp;vid=01CRU&amp;lang=en_US&amp;offset=0&amp;query=any,contains,991001126729702656","Catalog Record")</f>
        <v/>
      </c>
      <c r="AV313">
        <f>HYPERLINK("http://www.worldcat.org/oclc/16649395","WorldCat Record")</f>
        <v/>
      </c>
      <c r="AW313" t="inlineStr">
        <is>
          <t>12869453:eng</t>
        </is>
      </c>
      <c r="AX313" t="inlineStr">
        <is>
          <t>16649395</t>
        </is>
      </c>
      <c r="AY313" t="inlineStr">
        <is>
          <t>991001126729702656</t>
        </is>
      </c>
      <c r="AZ313" t="inlineStr">
        <is>
          <t>991001126729702656</t>
        </is>
      </c>
      <c r="BA313" t="inlineStr">
        <is>
          <t>2266241180002656</t>
        </is>
      </c>
      <c r="BB313" t="inlineStr">
        <is>
          <t>BOOK</t>
        </is>
      </c>
      <c r="BD313" t="inlineStr">
        <is>
          <t>9780198126683</t>
        </is>
      </c>
      <c r="BE313" t="inlineStr">
        <is>
          <t>32285000764752</t>
        </is>
      </c>
      <c r="BF313" t="inlineStr">
        <is>
          <t>893315539</t>
        </is>
      </c>
    </row>
    <row r="314">
      <c r="A314" t="inlineStr">
        <is>
          <t>No</t>
        </is>
      </c>
      <c r="B314" t="inlineStr">
        <is>
          <t>CURAL</t>
        </is>
      </c>
      <c r="C314" t="inlineStr">
        <is>
          <t>SHELVES</t>
        </is>
      </c>
      <c r="D314" t="inlineStr">
        <is>
          <t>PR1933.D74 E39 1989</t>
        </is>
      </c>
      <c r="E314" t="inlineStr">
        <is>
          <t>0                      PR 1933000D  74                 E  39          1989</t>
        </is>
      </c>
      <c r="F314" t="inlineStr">
        <is>
          <t>The dream of Chaucer : representation and reflection in the early narratives / by Robert R. Edwards.</t>
        </is>
      </c>
      <c r="H314" t="inlineStr">
        <is>
          <t>No</t>
        </is>
      </c>
      <c r="I314" t="inlineStr">
        <is>
          <t>1</t>
        </is>
      </c>
      <c r="J314" t="inlineStr">
        <is>
          <t>No</t>
        </is>
      </c>
      <c r="K314" t="inlineStr">
        <is>
          <t>No</t>
        </is>
      </c>
      <c r="L314" t="inlineStr">
        <is>
          <t>0</t>
        </is>
      </c>
      <c r="M314" t="inlineStr">
        <is>
          <t>Edwards, Robert R., 1942-</t>
        </is>
      </c>
      <c r="N314" t="inlineStr">
        <is>
          <t>Durham : Duke University Press, 1989.</t>
        </is>
      </c>
      <c r="O314" t="inlineStr">
        <is>
          <t>1989</t>
        </is>
      </c>
      <c r="Q314" t="inlineStr">
        <is>
          <t>eng</t>
        </is>
      </c>
      <c r="R314" t="inlineStr">
        <is>
          <t>ncu</t>
        </is>
      </c>
      <c r="T314" t="inlineStr">
        <is>
          <t xml:space="preserve">PR </t>
        </is>
      </c>
      <c r="U314" t="n">
        <v>4</v>
      </c>
      <c r="V314" t="n">
        <v>4</v>
      </c>
      <c r="W314" t="inlineStr">
        <is>
          <t>1992-10-26</t>
        </is>
      </c>
      <c r="X314" t="inlineStr">
        <is>
          <t>1992-10-26</t>
        </is>
      </c>
      <c r="Y314" t="inlineStr">
        <is>
          <t>1991-09-30</t>
        </is>
      </c>
      <c r="Z314" t="inlineStr">
        <is>
          <t>1991-09-30</t>
        </is>
      </c>
      <c r="AA314" t="n">
        <v>375</v>
      </c>
      <c r="AB314" t="n">
        <v>278</v>
      </c>
      <c r="AC314" t="n">
        <v>285</v>
      </c>
      <c r="AD314" t="n">
        <v>3</v>
      </c>
      <c r="AE314" t="n">
        <v>3</v>
      </c>
      <c r="AF314" t="n">
        <v>16</v>
      </c>
      <c r="AG314" t="n">
        <v>16</v>
      </c>
      <c r="AH314" t="n">
        <v>4</v>
      </c>
      <c r="AI314" t="n">
        <v>4</v>
      </c>
      <c r="AJ314" t="n">
        <v>5</v>
      </c>
      <c r="AK314" t="n">
        <v>5</v>
      </c>
      <c r="AL314" t="n">
        <v>12</v>
      </c>
      <c r="AM314" t="n">
        <v>12</v>
      </c>
      <c r="AN314" t="n">
        <v>2</v>
      </c>
      <c r="AO314" t="n">
        <v>2</v>
      </c>
      <c r="AP314" t="n">
        <v>0</v>
      </c>
      <c r="AQ314" t="n">
        <v>0</v>
      </c>
      <c r="AR314" t="inlineStr">
        <is>
          <t>No</t>
        </is>
      </c>
      <c r="AS314" t="inlineStr">
        <is>
          <t>Yes</t>
        </is>
      </c>
      <c r="AT314">
        <f>HYPERLINK("http://catalog.hathitrust.org/Record/001302318","HathiTrust Record")</f>
        <v/>
      </c>
      <c r="AU314">
        <f>HYPERLINK("https://creighton-primo.hosted.exlibrisgroup.com/primo-explore/search?tab=default_tab&amp;search_scope=EVERYTHING&amp;vid=01CRU&amp;lang=en_US&amp;offset=0&amp;query=any,contains,991001395469702656","Catalog Record")</f>
        <v/>
      </c>
      <c r="AV314">
        <f>HYPERLINK("http://www.worldcat.org/oclc/18781202","WorldCat Record")</f>
        <v/>
      </c>
      <c r="AW314" t="inlineStr">
        <is>
          <t>196454013:eng</t>
        </is>
      </c>
      <c r="AX314" t="inlineStr">
        <is>
          <t>18781202</t>
        </is>
      </c>
      <c r="AY314" t="inlineStr">
        <is>
          <t>991001395469702656</t>
        </is>
      </c>
      <c r="AZ314" t="inlineStr">
        <is>
          <t>991001395469702656</t>
        </is>
      </c>
      <c r="BA314" t="inlineStr">
        <is>
          <t>2260931890002656</t>
        </is>
      </c>
      <c r="BB314" t="inlineStr">
        <is>
          <t>BOOK</t>
        </is>
      </c>
      <c r="BE314" t="inlineStr">
        <is>
          <t>32285000764760</t>
        </is>
      </c>
      <c r="BF314" t="inlineStr">
        <is>
          <t>893497058</t>
        </is>
      </c>
    </row>
    <row r="315">
      <c r="A315" t="inlineStr">
        <is>
          <t>No</t>
        </is>
      </c>
      <c r="B315" t="inlineStr">
        <is>
          <t>CURAL</t>
        </is>
      </c>
      <c r="C315" t="inlineStr">
        <is>
          <t>SHELVES</t>
        </is>
      </c>
      <c r="D315" t="inlineStr">
        <is>
          <t>PR1933.D74 S85 2000</t>
        </is>
      </c>
      <c r="E315" t="inlineStr">
        <is>
          <t>0                      PR 1933000D  74                 S  85          2000</t>
        </is>
      </c>
      <c r="F315" t="inlineStr">
        <is>
          <t>Chaucer's dream visions : courtliness and individual identity / Michael St. John.</t>
        </is>
      </c>
      <c r="H315" t="inlineStr">
        <is>
          <t>No</t>
        </is>
      </c>
      <c r="I315" t="inlineStr">
        <is>
          <t>1</t>
        </is>
      </c>
      <c r="J315" t="inlineStr">
        <is>
          <t>No</t>
        </is>
      </c>
      <c r="K315" t="inlineStr">
        <is>
          <t>No</t>
        </is>
      </c>
      <c r="L315" t="inlineStr">
        <is>
          <t>0</t>
        </is>
      </c>
      <c r="M315" t="inlineStr">
        <is>
          <t>St. John, Michael.</t>
        </is>
      </c>
      <c r="N315" t="inlineStr">
        <is>
          <t>Burlington, Vt. : Ashgate, 2000.</t>
        </is>
      </c>
      <c r="O315" t="inlineStr">
        <is>
          <t>2000</t>
        </is>
      </c>
      <c r="Q315" t="inlineStr">
        <is>
          <t>eng</t>
        </is>
      </c>
      <c r="R315" t="inlineStr">
        <is>
          <t>vtu</t>
        </is>
      </c>
      <c r="S315" t="inlineStr">
        <is>
          <t>Studies in European cultural transition ; v. 7</t>
        </is>
      </c>
      <c r="T315" t="inlineStr">
        <is>
          <t xml:space="preserve">PR </t>
        </is>
      </c>
      <c r="U315" t="n">
        <v>2</v>
      </c>
      <c r="V315" t="n">
        <v>2</v>
      </c>
      <c r="W315" t="inlineStr">
        <is>
          <t>2005-04-06</t>
        </is>
      </c>
      <c r="X315" t="inlineStr">
        <is>
          <t>2005-04-06</t>
        </is>
      </c>
      <c r="Y315" t="inlineStr">
        <is>
          <t>2002-06-04</t>
        </is>
      </c>
      <c r="Z315" t="inlineStr">
        <is>
          <t>2002-06-04</t>
        </is>
      </c>
      <c r="AA315" t="n">
        <v>199</v>
      </c>
      <c r="AB315" t="n">
        <v>143</v>
      </c>
      <c r="AC315" t="n">
        <v>166</v>
      </c>
      <c r="AD315" t="n">
        <v>3</v>
      </c>
      <c r="AE315" t="n">
        <v>3</v>
      </c>
      <c r="AF315" t="n">
        <v>11</v>
      </c>
      <c r="AG315" t="n">
        <v>11</v>
      </c>
      <c r="AH315" t="n">
        <v>3</v>
      </c>
      <c r="AI315" t="n">
        <v>3</v>
      </c>
      <c r="AJ315" t="n">
        <v>1</v>
      </c>
      <c r="AK315" t="n">
        <v>1</v>
      </c>
      <c r="AL315" t="n">
        <v>7</v>
      </c>
      <c r="AM315" t="n">
        <v>7</v>
      </c>
      <c r="AN315" t="n">
        <v>2</v>
      </c>
      <c r="AO315" t="n">
        <v>2</v>
      </c>
      <c r="AP315" t="n">
        <v>0</v>
      </c>
      <c r="AQ315" t="n">
        <v>0</v>
      </c>
      <c r="AR315" t="inlineStr">
        <is>
          <t>No</t>
        </is>
      </c>
      <c r="AS315" t="inlineStr">
        <is>
          <t>No</t>
        </is>
      </c>
      <c r="AU315">
        <f>HYPERLINK("https://creighton-primo.hosted.exlibrisgroup.com/primo-explore/search?tab=default_tab&amp;search_scope=EVERYTHING&amp;vid=01CRU&amp;lang=en_US&amp;offset=0&amp;query=any,contains,991003789959702656","Catalog Record")</f>
        <v/>
      </c>
      <c r="AV315">
        <f>HYPERLINK("http://www.worldcat.org/oclc/43810756","WorldCat Record")</f>
        <v/>
      </c>
      <c r="AW315" t="inlineStr">
        <is>
          <t>37005397:eng</t>
        </is>
      </c>
      <c r="AX315" t="inlineStr">
        <is>
          <t>43810756</t>
        </is>
      </c>
      <c r="AY315" t="inlineStr">
        <is>
          <t>991003789959702656</t>
        </is>
      </c>
      <c r="AZ315" t="inlineStr">
        <is>
          <t>991003789959702656</t>
        </is>
      </c>
      <c r="BA315" t="inlineStr">
        <is>
          <t>2269500130002656</t>
        </is>
      </c>
      <c r="BB315" t="inlineStr">
        <is>
          <t>BOOK</t>
        </is>
      </c>
      <c r="BD315" t="inlineStr">
        <is>
          <t>9780754601227</t>
        </is>
      </c>
      <c r="BE315" t="inlineStr">
        <is>
          <t>32285004490545</t>
        </is>
      </c>
      <c r="BF315" t="inlineStr">
        <is>
          <t>893336953</t>
        </is>
      </c>
    </row>
    <row r="316">
      <c r="A316" t="inlineStr">
        <is>
          <t>No</t>
        </is>
      </c>
      <c r="B316" t="inlineStr">
        <is>
          <t>CURAL</t>
        </is>
      </c>
      <c r="C316" t="inlineStr">
        <is>
          <t>SHELVES</t>
        </is>
      </c>
      <c r="D316" t="inlineStr">
        <is>
          <t>PR1933.F7 C43 1987</t>
        </is>
      </c>
      <c r="E316" t="inlineStr">
        <is>
          <t>0                      PR 1933000F  7                  C  43          1987</t>
        </is>
      </c>
      <c r="F316" t="inlineStr">
        <is>
          <t>Chaucer's frame tales : the physical and the metaphysical / Joerg O. Fichte, editor.</t>
        </is>
      </c>
      <c r="H316" t="inlineStr">
        <is>
          <t>No</t>
        </is>
      </c>
      <c r="I316" t="inlineStr">
        <is>
          <t>1</t>
        </is>
      </c>
      <c r="J316" t="inlineStr">
        <is>
          <t>No</t>
        </is>
      </c>
      <c r="K316" t="inlineStr">
        <is>
          <t>No</t>
        </is>
      </c>
      <c r="L316" t="inlineStr">
        <is>
          <t>0</t>
        </is>
      </c>
      <c r="N316" t="inlineStr">
        <is>
          <t>Cambridge : Brewer ; Tubingen : Gunter Narr Verlag, c1987.</t>
        </is>
      </c>
      <c r="O316" t="inlineStr">
        <is>
          <t>1987</t>
        </is>
      </c>
      <c r="Q316" t="inlineStr">
        <is>
          <t>eng</t>
        </is>
      </c>
      <c r="R316" t="inlineStr">
        <is>
          <t>nhu</t>
        </is>
      </c>
      <c r="T316" t="inlineStr">
        <is>
          <t xml:space="preserve">PR </t>
        </is>
      </c>
      <c r="U316" t="n">
        <v>5</v>
      </c>
      <c r="V316" t="n">
        <v>5</v>
      </c>
      <c r="W316" t="inlineStr">
        <is>
          <t>1997-11-17</t>
        </is>
      </c>
      <c r="X316" t="inlineStr">
        <is>
          <t>1997-11-17</t>
        </is>
      </c>
      <c r="Y316" t="inlineStr">
        <is>
          <t>1990-06-12</t>
        </is>
      </c>
      <c r="Z316" t="inlineStr">
        <is>
          <t>1990-06-12</t>
        </is>
      </c>
      <c r="AA316" t="n">
        <v>255</v>
      </c>
      <c r="AB316" t="n">
        <v>187</v>
      </c>
      <c r="AC316" t="n">
        <v>205</v>
      </c>
      <c r="AD316" t="n">
        <v>3</v>
      </c>
      <c r="AE316" t="n">
        <v>3</v>
      </c>
      <c r="AF316" t="n">
        <v>10</v>
      </c>
      <c r="AG316" t="n">
        <v>11</v>
      </c>
      <c r="AH316" t="n">
        <v>2</v>
      </c>
      <c r="AI316" t="n">
        <v>2</v>
      </c>
      <c r="AJ316" t="n">
        <v>1</v>
      </c>
      <c r="AK316" t="n">
        <v>2</v>
      </c>
      <c r="AL316" t="n">
        <v>8</v>
      </c>
      <c r="AM316" t="n">
        <v>9</v>
      </c>
      <c r="AN316" t="n">
        <v>2</v>
      </c>
      <c r="AO316" t="n">
        <v>2</v>
      </c>
      <c r="AP316" t="n">
        <v>0</v>
      </c>
      <c r="AQ316" t="n">
        <v>0</v>
      </c>
      <c r="AR316" t="inlineStr">
        <is>
          <t>No</t>
        </is>
      </c>
      <c r="AS316" t="inlineStr">
        <is>
          <t>No</t>
        </is>
      </c>
      <c r="AU316">
        <f>HYPERLINK("https://creighton-primo.hosted.exlibrisgroup.com/primo-explore/search?tab=default_tab&amp;search_scope=EVERYTHING&amp;vid=01CRU&amp;lang=en_US&amp;offset=0&amp;query=any,contains,991000965379702656","Catalog Record")</f>
        <v/>
      </c>
      <c r="AV316">
        <f>HYPERLINK("http://www.worldcat.org/oclc/14905841","WorldCat Record")</f>
        <v/>
      </c>
      <c r="AW316" t="inlineStr">
        <is>
          <t>905848694:eng</t>
        </is>
      </c>
      <c r="AX316" t="inlineStr">
        <is>
          <t>14905841</t>
        </is>
      </c>
      <c r="AY316" t="inlineStr">
        <is>
          <t>991000965379702656</t>
        </is>
      </c>
      <c r="AZ316" t="inlineStr">
        <is>
          <t>991000965379702656</t>
        </is>
      </c>
      <c r="BA316" t="inlineStr">
        <is>
          <t>2267664510002656</t>
        </is>
      </c>
      <c r="BB316" t="inlineStr">
        <is>
          <t>BOOK</t>
        </is>
      </c>
      <c r="BD316" t="inlineStr">
        <is>
          <t>9780859912358</t>
        </is>
      </c>
      <c r="BE316" t="inlineStr">
        <is>
          <t>32285000190255</t>
        </is>
      </c>
      <c r="BF316" t="inlineStr">
        <is>
          <t>893528537</t>
        </is>
      </c>
    </row>
    <row r="317">
      <c r="A317" t="inlineStr">
        <is>
          <t>No</t>
        </is>
      </c>
      <c r="B317" t="inlineStr">
        <is>
          <t>CURAL</t>
        </is>
      </c>
      <c r="C317" t="inlineStr">
        <is>
          <t>SHELVES</t>
        </is>
      </c>
      <c r="D317" t="inlineStr">
        <is>
          <t>PR1933.F7 H65 1990</t>
        </is>
      </c>
      <c r="E317" t="inlineStr">
        <is>
          <t>0                      PR 1933000F  7                  H  65          1990</t>
        </is>
      </c>
      <c r="F317" t="inlineStr">
        <is>
          <t>Chaucer's measuring eye / Linda Tarte Holley.</t>
        </is>
      </c>
      <c r="H317" t="inlineStr">
        <is>
          <t>No</t>
        </is>
      </c>
      <c r="I317" t="inlineStr">
        <is>
          <t>1</t>
        </is>
      </c>
      <c r="J317" t="inlineStr">
        <is>
          <t>No</t>
        </is>
      </c>
      <c r="K317" t="inlineStr">
        <is>
          <t>No</t>
        </is>
      </c>
      <c r="L317" t="inlineStr">
        <is>
          <t>0</t>
        </is>
      </c>
      <c r="M317" t="inlineStr">
        <is>
          <t>Holley, Linda Tarte, 1940-</t>
        </is>
      </c>
      <c r="N317" t="inlineStr">
        <is>
          <t>Houston, Tex. : Rice University Press, c1990.</t>
        </is>
      </c>
      <c r="O317" t="inlineStr">
        <is>
          <t>1990</t>
        </is>
      </c>
      <c r="P317" t="inlineStr">
        <is>
          <t>1st ed.</t>
        </is>
      </c>
      <c r="Q317" t="inlineStr">
        <is>
          <t>eng</t>
        </is>
      </c>
      <c r="R317" t="inlineStr">
        <is>
          <t>txu</t>
        </is>
      </c>
      <c r="T317" t="inlineStr">
        <is>
          <t xml:space="preserve">PR </t>
        </is>
      </c>
      <c r="U317" t="n">
        <v>4</v>
      </c>
      <c r="V317" t="n">
        <v>4</v>
      </c>
      <c r="W317" t="inlineStr">
        <is>
          <t>2000-11-28</t>
        </is>
      </c>
      <c r="X317" t="inlineStr">
        <is>
          <t>2000-11-28</t>
        </is>
      </c>
      <c r="Y317" t="inlineStr">
        <is>
          <t>1991-02-08</t>
        </is>
      </c>
      <c r="Z317" t="inlineStr">
        <is>
          <t>1991-02-08</t>
        </is>
      </c>
      <c r="AA317" t="n">
        <v>304</v>
      </c>
      <c r="AB317" t="n">
        <v>249</v>
      </c>
      <c r="AC317" t="n">
        <v>251</v>
      </c>
      <c r="AD317" t="n">
        <v>3</v>
      </c>
      <c r="AE317" t="n">
        <v>3</v>
      </c>
      <c r="AF317" t="n">
        <v>12</v>
      </c>
      <c r="AG317" t="n">
        <v>12</v>
      </c>
      <c r="AH317" t="n">
        <v>4</v>
      </c>
      <c r="AI317" t="n">
        <v>4</v>
      </c>
      <c r="AJ317" t="n">
        <v>3</v>
      </c>
      <c r="AK317" t="n">
        <v>3</v>
      </c>
      <c r="AL317" t="n">
        <v>7</v>
      </c>
      <c r="AM317" t="n">
        <v>7</v>
      </c>
      <c r="AN317" t="n">
        <v>2</v>
      </c>
      <c r="AO317" t="n">
        <v>2</v>
      </c>
      <c r="AP317" t="n">
        <v>0</v>
      </c>
      <c r="AQ317" t="n">
        <v>0</v>
      </c>
      <c r="AR317" t="inlineStr">
        <is>
          <t>No</t>
        </is>
      </c>
      <c r="AS317" t="inlineStr">
        <is>
          <t>Yes</t>
        </is>
      </c>
      <c r="AT317">
        <f>HYPERLINK("http://catalog.hathitrust.org/Record/002435377","HathiTrust Record")</f>
        <v/>
      </c>
      <c r="AU317">
        <f>HYPERLINK("https://creighton-primo.hosted.exlibrisgroup.com/primo-explore/search?tab=default_tab&amp;search_scope=EVERYTHING&amp;vid=01CRU&amp;lang=en_US&amp;offset=0&amp;query=any,contains,991001689849702656","Catalog Record")</f>
        <v/>
      </c>
      <c r="AV317">
        <f>HYPERLINK("http://www.worldcat.org/oclc/21440906","WorldCat Record")</f>
        <v/>
      </c>
      <c r="AW317" t="inlineStr">
        <is>
          <t>23634860:eng</t>
        </is>
      </c>
      <c r="AX317" t="inlineStr">
        <is>
          <t>21440906</t>
        </is>
      </c>
      <c r="AY317" t="inlineStr">
        <is>
          <t>991001689849702656</t>
        </is>
      </c>
      <c r="AZ317" t="inlineStr">
        <is>
          <t>991001689849702656</t>
        </is>
      </c>
      <c r="BA317" t="inlineStr">
        <is>
          <t>2271606390002656</t>
        </is>
      </c>
      <c r="BB317" t="inlineStr">
        <is>
          <t>BOOK</t>
        </is>
      </c>
      <c r="BD317" t="inlineStr">
        <is>
          <t>9780892632749</t>
        </is>
      </c>
      <c r="BE317" t="inlineStr">
        <is>
          <t>32285000463405</t>
        </is>
      </c>
      <c r="BF317" t="inlineStr">
        <is>
          <t>893803807</t>
        </is>
      </c>
    </row>
    <row r="318">
      <c r="A318" t="inlineStr">
        <is>
          <t>No</t>
        </is>
      </c>
      <c r="B318" t="inlineStr">
        <is>
          <t>CURAL</t>
        </is>
      </c>
      <c r="C318" t="inlineStr">
        <is>
          <t>SHELVES</t>
        </is>
      </c>
      <c r="D318" t="inlineStr">
        <is>
          <t>PR1933.K6 A88 1996</t>
        </is>
      </c>
      <c r="E318" t="inlineStr">
        <is>
          <t>0                      PR 1933000K  6                  A  88          1996</t>
        </is>
      </c>
      <c r="F318" t="inlineStr">
        <is>
          <t>Chaucer and the universe of learning / Ann W. Astell.</t>
        </is>
      </c>
      <c r="H318" t="inlineStr">
        <is>
          <t>No</t>
        </is>
      </c>
      <c r="I318" t="inlineStr">
        <is>
          <t>1</t>
        </is>
      </c>
      <c r="J318" t="inlineStr">
        <is>
          <t>No</t>
        </is>
      </c>
      <c r="K318" t="inlineStr">
        <is>
          <t>No</t>
        </is>
      </c>
      <c r="L318" t="inlineStr">
        <is>
          <t>0</t>
        </is>
      </c>
      <c r="M318" t="inlineStr">
        <is>
          <t>Astell, Ann W.</t>
        </is>
      </c>
      <c r="N318" t="inlineStr">
        <is>
          <t>Ithaca, N.Y. : Cornell University Press, 1996.</t>
        </is>
      </c>
      <c r="O318" t="inlineStr">
        <is>
          <t>1996</t>
        </is>
      </c>
      <c r="Q318" t="inlineStr">
        <is>
          <t>eng</t>
        </is>
      </c>
      <c r="R318" t="inlineStr">
        <is>
          <t>nyu</t>
        </is>
      </c>
      <c r="T318" t="inlineStr">
        <is>
          <t xml:space="preserve">PR </t>
        </is>
      </c>
      <c r="U318" t="n">
        <v>1</v>
      </c>
      <c r="V318" t="n">
        <v>1</v>
      </c>
      <c r="W318" t="inlineStr">
        <is>
          <t>2001-04-21</t>
        </is>
      </c>
      <c r="X318" t="inlineStr">
        <is>
          <t>2001-04-21</t>
        </is>
      </c>
      <c r="Y318" t="inlineStr">
        <is>
          <t>1996-10-23</t>
        </is>
      </c>
      <c r="Z318" t="inlineStr">
        <is>
          <t>1996-10-23</t>
        </is>
      </c>
      <c r="AA318" t="n">
        <v>566</v>
      </c>
      <c r="AB318" t="n">
        <v>480</v>
      </c>
      <c r="AC318" t="n">
        <v>486</v>
      </c>
      <c r="AD318" t="n">
        <v>4</v>
      </c>
      <c r="AE318" t="n">
        <v>4</v>
      </c>
      <c r="AF318" t="n">
        <v>33</v>
      </c>
      <c r="AG318" t="n">
        <v>33</v>
      </c>
      <c r="AH318" t="n">
        <v>13</v>
      </c>
      <c r="AI318" t="n">
        <v>13</v>
      </c>
      <c r="AJ318" t="n">
        <v>10</v>
      </c>
      <c r="AK318" t="n">
        <v>10</v>
      </c>
      <c r="AL318" t="n">
        <v>18</v>
      </c>
      <c r="AM318" t="n">
        <v>18</v>
      </c>
      <c r="AN318" t="n">
        <v>3</v>
      </c>
      <c r="AO318" t="n">
        <v>3</v>
      </c>
      <c r="AP318" t="n">
        <v>0</v>
      </c>
      <c r="AQ318" t="n">
        <v>0</v>
      </c>
      <c r="AR318" t="inlineStr">
        <is>
          <t>No</t>
        </is>
      </c>
      <c r="AS318" t="inlineStr">
        <is>
          <t>No</t>
        </is>
      </c>
      <c r="AU318">
        <f>HYPERLINK("https://creighton-primo.hosted.exlibrisgroup.com/primo-explore/search?tab=default_tab&amp;search_scope=EVERYTHING&amp;vid=01CRU&amp;lang=en_US&amp;offset=0&amp;query=any,contains,991002624469702656","Catalog Record")</f>
        <v/>
      </c>
      <c r="AV318">
        <f>HYPERLINK("http://www.worldcat.org/oclc/34410358","WorldCat Record")</f>
        <v/>
      </c>
      <c r="AW318" t="inlineStr">
        <is>
          <t>39354501:eng</t>
        </is>
      </c>
      <c r="AX318" t="inlineStr">
        <is>
          <t>34410358</t>
        </is>
      </c>
      <c r="AY318" t="inlineStr">
        <is>
          <t>991002624469702656</t>
        </is>
      </c>
      <c r="AZ318" t="inlineStr">
        <is>
          <t>991002624469702656</t>
        </is>
      </c>
      <c r="BA318" t="inlineStr">
        <is>
          <t>2263690140002656</t>
        </is>
      </c>
      <c r="BB318" t="inlineStr">
        <is>
          <t>BOOK</t>
        </is>
      </c>
      <c r="BD318" t="inlineStr">
        <is>
          <t>9780801432699</t>
        </is>
      </c>
      <c r="BE318" t="inlineStr">
        <is>
          <t>32285002368008</t>
        </is>
      </c>
      <c r="BF318" t="inlineStr">
        <is>
          <t>893523843</t>
        </is>
      </c>
    </row>
    <row r="319">
      <c r="A319" t="inlineStr">
        <is>
          <t>No</t>
        </is>
      </c>
      <c r="B319" t="inlineStr">
        <is>
          <t>CURAL</t>
        </is>
      </c>
      <c r="C319" t="inlineStr">
        <is>
          <t>SHELVES</t>
        </is>
      </c>
      <c r="D319" t="inlineStr">
        <is>
          <t>PR1933.K6 K57 1991</t>
        </is>
      </c>
      <c r="E319" t="inlineStr">
        <is>
          <t>0                      PR 1933000K  6                  K  57          1991</t>
        </is>
      </c>
      <c r="F319" t="inlineStr">
        <is>
          <t>Truth and textuality in Chaucer's poetry / Lisa J. Kiser.</t>
        </is>
      </c>
      <c r="H319" t="inlineStr">
        <is>
          <t>No</t>
        </is>
      </c>
      <c r="I319" t="inlineStr">
        <is>
          <t>1</t>
        </is>
      </c>
      <c r="J319" t="inlineStr">
        <is>
          <t>No</t>
        </is>
      </c>
      <c r="K319" t="inlineStr">
        <is>
          <t>No</t>
        </is>
      </c>
      <c r="L319" t="inlineStr">
        <is>
          <t>0</t>
        </is>
      </c>
      <c r="M319" t="inlineStr">
        <is>
          <t>Kiser, Lisa J., 1949-</t>
        </is>
      </c>
      <c r="N319" t="inlineStr">
        <is>
          <t>Hanover, N.H. : University Press of New England, c1991.</t>
        </is>
      </c>
      <c r="O319" t="inlineStr">
        <is>
          <t>1991</t>
        </is>
      </c>
      <c r="Q319" t="inlineStr">
        <is>
          <t>eng</t>
        </is>
      </c>
      <c r="R319" t="inlineStr">
        <is>
          <t>nhu</t>
        </is>
      </c>
      <c r="T319" t="inlineStr">
        <is>
          <t xml:space="preserve">PR </t>
        </is>
      </c>
      <c r="U319" t="n">
        <v>2</v>
      </c>
      <c r="V319" t="n">
        <v>2</v>
      </c>
      <c r="W319" t="inlineStr">
        <is>
          <t>1997-04-05</t>
        </is>
      </c>
      <c r="X319" t="inlineStr">
        <is>
          <t>1997-04-05</t>
        </is>
      </c>
      <c r="Y319" t="inlineStr">
        <is>
          <t>1994-03-11</t>
        </is>
      </c>
      <c r="Z319" t="inlineStr">
        <is>
          <t>1994-03-11</t>
        </is>
      </c>
      <c r="AA319" t="n">
        <v>540</v>
      </c>
      <c r="AB319" t="n">
        <v>461</v>
      </c>
      <c r="AC319" t="n">
        <v>463</v>
      </c>
      <c r="AD319" t="n">
        <v>4</v>
      </c>
      <c r="AE319" t="n">
        <v>4</v>
      </c>
      <c r="AF319" t="n">
        <v>31</v>
      </c>
      <c r="AG319" t="n">
        <v>31</v>
      </c>
      <c r="AH319" t="n">
        <v>14</v>
      </c>
      <c r="AI319" t="n">
        <v>14</v>
      </c>
      <c r="AJ319" t="n">
        <v>6</v>
      </c>
      <c r="AK319" t="n">
        <v>6</v>
      </c>
      <c r="AL319" t="n">
        <v>15</v>
      </c>
      <c r="AM319" t="n">
        <v>15</v>
      </c>
      <c r="AN319" t="n">
        <v>3</v>
      </c>
      <c r="AO319" t="n">
        <v>3</v>
      </c>
      <c r="AP319" t="n">
        <v>0</v>
      </c>
      <c r="AQ319" t="n">
        <v>0</v>
      </c>
      <c r="AR319" t="inlineStr">
        <is>
          <t>No</t>
        </is>
      </c>
      <c r="AS319" t="inlineStr">
        <is>
          <t>Yes</t>
        </is>
      </c>
      <c r="AT319">
        <f>HYPERLINK("http://catalog.hathitrust.org/Record/002471519","HathiTrust Record")</f>
        <v/>
      </c>
      <c r="AU319">
        <f>HYPERLINK("https://creighton-primo.hosted.exlibrisgroup.com/primo-explore/search?tab=default_tab&amp;search_scope=EVERYTHING&amp;vid=01CRU&amp;lang=en_US&amp;offset=0&amp;query=any,contains,991001827859702656","Catalog Record")</f>
        <v/>
      </c>
      <c r="AV319">
        <f>HYPERLINK("http://www.worldcat.org/oclc/22956811","WorldCat Record")</f>
        <v/>
      </c>
      <c r="AW319" t="inlineStr">
        <is>
          <t>24052221:eng</t>
        </is>
      </c>
      <c r="AX319" t="inlineStr">
        <is>
          <t>22956811</t>
        </is>
      </c>
      <c r="AY319" t="inlineStr">
        <is>
          <t>991001827859702656</t>
        </is>
      </c>
      <c r="AZ319" t="inlineStr">
        <is>
          <t>991001827859702656</t>
        </is>
      </c>
      <c r="BA319" t="inlineStr">
        <is>
          <t>2260659910002656</t>
        </is>
      </c>
      <c r="BB319" t="inlineStr">
        <is>
          <t>BOOK</t>
        </is>
      </c>
      <c r="BD319" t="inlineStr">
        <is>
          <t>9780874515503</t>
        </is>
      </c>
      <c r="BE319" t="inlineStr">
        <is>
          <t>32285001855781</t>
        </is>
      </c>
      <c r="BF319" t="inlineStr">
        <is>
          <t>893414535</t>
        </is>
      </c>
    </row>
    <row r="320">
      <c r="A320" t="inlineStr">
        <is>
          <t>No</t>
        </is>
      </c>
      <c r="B320" t="inlineStr">
        <is>
          <t>CURAL</t>
        </is>
      </c>
      <c r="C320" t="inlineStr">
        <is>
          <t>SHELVES</t>
        </is>
      </c>
      <c r="D320" t="inlineStr">
        <is>
          <t>PR1933.L38 H67 1988</t>
        </is>
      </c>
      <c r="E320" t="inlineStr">
        <is>
          <t>0                      PR 1933000L  38                 H  67          1988</t>
        </is>
      </c>
      <c r="F320" t="inlineStr">
        <is>
          <t>Chaucer and the law / by Joseph Allen Hornsby.</t>
        </is>
      </c>
      <c r="H320" t="inlineStr">
        <is>
          <t>No</t>
        </is>
      </c>
      <c r="I320" t="inlineStr">
        <is>
          <t>1</t>
        </is>
      </c>
      <c r="J320" t="inlineStr">
        <is>
          <t>No</t>
        </is>
      </c>
      <c r="K320" t="inlineStr">
        <is>
          <t>No</t>
        </is>
      </c>
      <c r="L320" t="inlineStr">
        <is>
          <t>0</t>
        </is>
      </c>
      <c r="M320" t="inlineStr">
        <is>
          <t>Hornsby, Joseph Allen.</t>
        </is>
      </c>
      <c r="N320" t="inlineStr">
        <is>
          <t>Norman, Okla. : Pilgrim Books, 1988.</t>
        </is>
      </c>
      <c r="O320" t="inlineStr">
        <is>
          <t>1988</t>
        </is>
      </c>
      <c r="Q320" t="inlineStr">
        <is>
          <t>eng</t>
        </is>
      </c>
      <c r="R320" t="inlineStr">
        <is>
          <t>oku</t>
        </is>
      </c>
      <c r="T320" t="inlineStr">
        <is>
          <t xml:space="preserve">PR </t>
        </is>
      </c>
      <c r="U320" t="n">
        <v>1</v>
      </c>
      <c r="V320" t="n">
        <v>1</v>
      </c>
      <c r="W320" t="inlineStr">
        <is>
          <t>2005-04-25</t>
        </is>
      </c>
      <c r="X320" t="inlineStr">
        <is>
          <t>2005-04-25</t>
        </is>
      </c>
      <c r="Y320" t="inlineStr">
        <is>
          <t>1990-06-12</t>
        </is>
      </c>
      <c r="Z320" t="inlineStr">
        <is>
          <t>1990-06-12</t>
        </is>
      </c>
      <c r="AA320" t="n">
        <v>419</v>
      </c>
      <c r="AB320" t="n">
        <v>347</v>
      </c>
      <c r="AC320" t="n">
        <v>354</v>
      </c>
      <c r="AD320" t="n">
        <v>2</v>
      </c>
      <c r="AE320" t="n">
        <v>2</v>
      </c>
      <c r="AF320" t="n">
        <v>21</v>
      </c>
      <c r="AG320" t="n">
        <v>21</v>
      </c>
      <c r="AH320" t="n">
        <v>4</v>
      </c>
      <c r="AI320" t="n">
        <v>4</v>
      </c>
      <c r="AJ320" t="n">
        <v>5</v>
      </c>
      <c r="AK320" t="n">
        <v>5</v>
      </c>
      <c r="AL320" t="n">
        <v>11</v>
      </c>
      <c r="AM320" t="n">
        <v>11</v>
      </c>
      <c r="AN320" t="n">
        <v>1</v>
      </c>
      <c r="AO320" t="n">
        <v>1</v>
      </c>
      <c r="AP320" t="n">
        <v>5</v>
      </c>
      <c r="AQ320" t="n">
        <v>5</v>
      </c>
      <c r="AR320" t="inlineStr">
        <is>
          <t>No</t>
        </is>
      </c>
      <c r="AS320" t="inlineStr">
        <is>
          <t>Yes</t>
        </is>
      </c>
      <c r="AT320">
        <f>HYPERLINK("http://catalog.hathitrust.org/Record/000947963","HathiTrust Record")</f>
        <v/>
      </c>
      <c r="AU320">
        <f>HYPERLINK("https://creighton-primo.hosted.exlibrisgroup.com/primo-explore/search?tab=default_tab&amp;search_scope=EVERYTHING&amp;vid=01CRU&amp;lang=en_US&amp;offset=0&amp;query=any,contains,991001214069702656","Catalog Record")</f>
        <v/>
      </c>
      <c r="AV320">
        <f>HYPERLINK("http://www.worldcat.org/oclc/17412997","WorldCat Record")</f>
        <v/>
      </c>
      <c r="AW320" t="inlineStr">
        <is>
          <t>15603492:eng</t>
        </is>
      </c>
      <c r="AX320" t="inlineStr">
        <is>
          <t>17412997</t>
        </is>
      </c>
      <c r="AY320" t="inlineStr">
        <is>
          <t>991001214069702656</t>
        </is>
      </c>
      <c r="AZ320" t="inlineStr">
        <is>
          <t>991001214069702656</t>
        </is>
      </c>
      <c r="BA320" t="inlineStr">
        <is>
          <t>2264715960002656</t>
        </is>
      </c>
      <c r="BB320" t="inlineStr">
        <is>
          <t>BOOK</t>
        </is>
      </c>
      <c r="BD320" t="inlineStr">
        <is>
          <t>9780937664797</t>
        </is>
      </c>
      <c r="BE320" t="inlineStr">
        <is>
          <t>32285000191048</t>
        </is>
      </c>
      <c r="BF320" t="inlineStr">
        <is>
          <t>893891408</t>
        </is>
      </c>
    </row>
    <row r="321">
      <c r="A321" t="inlineStr">
        <is>
          <t>No</t>
        </is>
      </c>
      <c r="B321" t="inlineStr">
        <is>
          <t>CURAL</t>
        </is>
      </c>
      <c r="C321" t="inlineStr">
        <is>
          <t>SHELVES</t>
        </is>
      </c>
      <c r="D321" t="inlineStr">
        <is>
          <t>PR1933.N27 M43 1986</t>
        </is>
      </c>
      <c r="E321" t="inlineStr">
        <is>
          <t>0                      PR 1933000N  27                 M  43          1986</t>
        </is>
      </c>
      <c r="F321" t="inlineStr">
        <is>
          <t>Geoffrey Chaucer, an introduction to his narrative poetry / Dieter Mehl.</t>
        </is>
      </c>
      <c r="H321" t="inlineStr">
        <is>
          <t>No</t>
        </is>
      </c>
      <c r="I321" t="inlineStr">
        <is>
          <t>1</t>
        </is>
      </c>
      <c r="J321" t="inlineStr">
        <is>
          <t>No</t>
        </is>
      </c>
      <c r="K321" t="inlineStr">
        <is>
          <t>No</t>
        </is>
      </c>
      <c r="L321" t="inlineStr">
        <is>
          <t>0</t>
        </is>
      </c>
      <c r="M321" t="inlineStr">
        <is>
          <t>Mehl, Dieter.</t>
        </is>
      </c>
      <c r="N321" t="inlineStr">
        <is>
          <t>Cambridge [Cambridgeshire] ; New York : Cambridge University Press, 1986.</t>
        </is>
      </c>
      <c r="O321" t="inlineStr">
        <is>
          <t>1986</t>
        </is>
      </c>
      <c r="Q321" t="inlineStr">
        <is>
          <t>eng</t>
        </is>
      </c>
      <c r="R321" t="inlineStr">
        <is>
          <t>enk</t>
        </is>
      </c>
      <c r="T321" t="inlineStr">
        <is>
          <t xml:space="preserve">PR </t>
        </is>
      </c>
      <c r="U321" t="n">
        <v>3</v>
      </c>
      <c r="V321" t="n">
        <v>3</v>
      </c>
      <c r="W321" t="inlineStr">
        <is>
          <t>1997-03-31</t>
        </is>
      </c>
      <c r="X321" t="inlineStr">
        <is>
          <t>1997-03-31</t>
        </is>
      </c>
      <c r="Y321" t="inlineStr">
        <is>
          <t>1991-09-30</t>
        </is>
      </c>
      <c r="Z321" t="inlineStr">
        <is>
          <t>1991-09-30</t>
        </is>
      </c>
      <c r="AA321" t="n">
        <v>537</v>
      </c>
      <c r="AB321" t="n">
        <v>371</v>
      </c>
      <c r="AC321" t="n">
        <v>376</v>
      </c>
      <c r="AD321" t="n">
        <v>3</v>
      </c>
      <c r="AE321" t="n">
        <v>3</v>
      </c>
      <c r="AF321" t="n">
        <v>17</v>
      </c>
      <c r="AG321" t="n">
        <v>17</v>
      </c>
      <c r="AH321" t="n">
        <v>6</v>
      </c>
      <c r="AI321" t="n">
        <v>6</v>
      </c>
      <c r="AJ321" t="n">
        <v>4</v>
      </c>
      <c r="AK321" t="n">
        <v>4</v>
      </c>
      <c r="AL321" t="n">
        <v>11</v>
      </c>
      <c r="AM321" t="n">
        <v>11</v>
      </c>
      <c r="AN321" t="n">
        <v>2</v>
      </c>
      <c r="AO321" t="n">
        <v>2</v>
      </c>
      <c r="AP321" t="n">
        <v>0</v>
      </c>
      <c r="AQ321" t="n">
        <v>0</v>
      </c>
      <c r="AR321" t="inlineStr">
        <is>
          <t>No</t>
        </is>
      </c>
      <c r="AS321" t="inlineStr">
        <is>
          <t>No</t>
        </is>
      </c>
      <c r="AU321">
        <f>HYPERLINK("https://creighton-primo.hosted.exlibrisgroup.com/primo-explore/search?tab=default_tab&amp;search_scope=EVERYTHING&amp;vid=01CRU&amp;lang=en_US&amp;offset=0&amp;query=any,contains,991000814029702656","Catalog Record")</f>
        <v/>
      </c>
      <c r="AV321">
        <f>HYPERLINK("http://www.worldcat.org/oclc/13334270","WorldCat Record")</f>
        <v/>
      </c>
      <c r="AW321" t="inlineStr">
        <is>
          <t>7573586:eng</t>
        </is>
      </c>
      <c r="AX321" t="inlineStr">
        <is>
          <t>13334270</t>
        </is>
      </c>
      <c r="AY321" t="inlineStr">
        <is>
          <t>991000814029702656</t>
        </is>
      </c>
      <c r="AZ321" t="inlineStr">
        <is>
          <t>991000814029702656</t>
        </is>
      </c>
      <c r="BA321" t="inlineStr">
        <is>
          <t>2263958050002656</t>
        </is>
      </c>
      <c r="BB321" t="inlineStr">
        <is>
          <t>BOOK</t>
        </is>
      </c>
      <c r="BD321" t="inlineStr">
        <is>
          <t>9780521318884</t>
        </is>
      </c>
      <c r="BE321" t="inlineStr">
        <is>
          <t>32285000764794</t>
        </is>
      </c>
      <c r="BF321" t="inlineStr">
        <is>
          <t>893865712</t>
        </is>
      </c>
    </row>
    <row r="322">
      <c r="A322" t="inlineStr">
        <is>
          <t>No</t>
        </is>
      </c>
      <c r="B322" t="inlineStr">
        <is>
          <t>CURAL</t>
        </is>
      </c>
      <c r="C322" t="inlineStr">
        <is>
          <t>SHELVES</t>
        </is>
      </c>
      <c r="D322" t="inlineStr">
        <is>
          <t>PR1933.R4 B6</t>
        </is>
      </c>
      <c r="E322" t="inlineStr">
        <is>
          <t>0                      PR 1933000R  4                  B  6</t>
        </is>
      </c>
      <c r="F322" t="inlineStr">
        <is>
          <t>Chaucer and the liturgy, by Beverly Boyd.</t>
        </is>
      </c>
      <c r="H322" t="inlineStr">
        <is>
          <t>No</t>
        </is>
      </c>
      <c r="I322" t="inlineStr">
        <is>
          <t>1</t>
        </is>
      </c>
      <c r="J322" t="inlineStr">
        <is>
          <t>No</t>
        </is>
      </c>
      <c r="K322" t="inlineStr">
        <is>
          <t>No</t>
        </is>
      </c>
      <c r="L322" t="inlineStr">
        <is>
          <t>0</t>
        </is>
      </c>
      <c r="M322" t="inlineStr">
        <is>
          <t>Boyd, Beverly, 1925-</t>
        </is>
      </c>
      <c r="N322" t="inlineStr">
        <is>
          <t>Philadelphia, Dorrance [1967]</t>
        </is>
      </c>
      <c r="O322" t="inlineStr">
        <is>
          <t>1967</t>
        </is>
      </c>
      <c r="Q322" t="inlineStr">
        <is>
          <t>eng</t>
        </is>
      </c>
      <c r="R322" t="inlineStr">
        <is>
          <t>___</t>
        </is>
      </c>
      <c r="T322" t="inlineStr">
        <is>
          <t xml:space="preserve">PR </t>
        </is>
      </c>
      <c r="U322" t="n">
        <v>7</v>
      </c>
      <c r="V322" t="n">
        <v>7</v>
      </c>
      <c r="W322" t="inlineStr">
        <is>
          <t>2003-11-20</t>
        </is>
      </c>
      <c r="X322" t="inlineStr">
        <is>
          <t>2003-11-20</t>
        </is>
      </c>
      <c r="Y322" t="inlineStr">
        <is>
          <t>1990-06-12</t>
        </is>
      </c>
      <c r="Z322" t="inlineStr">
        <is>
          <t>1990-06-12</t>
        </is>
      </c>
      <c r="AA322" t="n">
        <v>333</v>
      </c>
      <c r="AB322" t="n">
        <v>281</v>
      </c>
      <c r="AC322" t="n">
        <v>283</v>
      </c>
      <c r="AD322" t="n">
        <v>3</v>
      </c>
      <c r="AE322" t="n">
        <v>3</v>
      </c>
      <c r="AF322" t="n">
        <v>24</v>
      </c>
      <c r="AG322" t="n">
        <v>24</v>
      </c>
      <c r="AH322" t="n">
        <v>8</v>
      </c>
      <c r="AI322" t="n">
        <v>8</v>
      </c>
      <c r="AJ322" t="n">
        <v>6</v>
      </c>
      <c r="AK322" t="n">
        <v>6</v>
      </c>
      <c r="AL322" t="n">
        <v>15</v>
      </c>
      <c r="AM322" t="n">
        <v>15</v>
      </c>
      <c r="AN322" t="n">
        <v>2</v>
      </c>
      <c r="AO322" t="n">
        <v>2</v>
      </c>
      <c r="AP322" t="n">
        <v>0</v>
      </c>
      <c r="AQ322" t="n">
        <v>0</v>
      </c>
      <c r="AR322" t="inlineStr">
        <is>
          <t>No</t>
        </is>
      </c>
      <c r="AS322" t="inlineStr">
        <is>
          <t>Yes</t>
        </is>
      </c>
      <c r="AT322">
        <f>HYPERLINK("http://catalog.hathitrust.org/Record/000626261","HathiTrust Record")</f>
        <v/>
      </c>
      <c r="AU322">
        <f>HYPERLINK("https://creighton-primo.hosted.exlibrisgroup.com/primo-explore/search?tab=default_tab&amp;search_scope=EVERYTHING&amp;vid=01CRU&amp;lang=en_US&amp;offset=0&amp;query=any,contains,991003451039702656","Catalog Record")</f>
        <v/>
      </c>
      <c r="AV322">
        <f>HYPERLINK("http://www.worldcat.org/oclc/988940","WorldCat Record")</f>
        <v/>
      </c>
      <c r="AW322" t="inlineStr">
        <is>
          <t>1966936:eng</t>
        </is>
      </c>
      <c r="AX322" t="inlineStr">
        <is>
          <t>988940</t>
        </is>
      </c>
      <c r="AY322" t="inlineStr">
        <is>
          <t>991003451039702656</t>
        </is>
      </c>
      <c r="AZ322" t="inlineStr">
        <is>
          <t>991003451039702656</t>
        </is>
      </c>
      <c r="BA322" t="inlineStr">
        <is>
          <t>2270862710002656</t>
        </is>
      </c>
      <c r="BB322" t="inlineStr">
        <is>
          <t>BOOK</t>
        </is>
      </c>
      <c r="BE322" t="inlineStr">
        <is>
          <t>32285000190263</t>
        </is>
      </c>
      <c r="BF322" t="inlineStr">
        <is>
          <t>893352829</t>
        </is>
      </c>
    </row>
    <row r="323">
      <c r="A323" t="inlineStr">
        <is>
          <t>No</t>
        </is>
      </c>
      <c r="B323" t="inlineStr">
        <is>
          <t>CURAL</t>
        </is>
      </c>
      <c r="C323" t="inlineStr">
        <is>
          <t>SHELVES</t>
        </is>
      </c>
      <c r="D323" t="inlineStr">
        <is>
          <t>PR1933.R4 M56 1982</t>
        </is>
      </c>
      <c r="E323" t="inlineStr">
        <is>
          <t>0                      PR 1933000R  4                  M  56          1982</t>
        </is>
      </c>
      <c r="F323" t="inlineStr">
        <is>
          <t>Chaucer and pagan antiquity / A.J. Minnis.</t>
        </is>
      </c>
      <c r="H323" t="inlineStr">
        <is>
          <t>No</t>
        </is>
      </c>
      <c r="I323" t="inlineStr">
        <is>
          <t>1</t>
        </is>
      </c>
      <c r="J323" t="inlineStr">
        <is>
          <t>No</t>
        </is>
      </c>
      <c r="K323" t="inlineStr">
        <is>
          <t>No</t>
        </is>
      </c>
      <c r="L323" t="inlineStr">
        <is>
          <t>0</t>
        </is>
      </c>
      <c r="M323" t="inlineStr">
        <is>
          <t>Minnis, A. J. (Alastair J.)</t>
        </is>
      </c>
      <c r="N323" t="inlineStr">
        <is>
          <t>Cambridge : D.S. Brewer ; Totowa, N.J., USA : Rowman &amp; Littlefield, 1982.</t>
        </is>
      </c>
      <c r="O323" t="inlineStr">
        <is>
          <t>1982</t>
        </is>
      </c>
      <c r="Q323" t="inlineStr">
        <is>
          <t>eng</t>
        </is>
      </c>
      <c r="R323" t="inlineStr">
        <is>
          <t>enk</t>
        </is>
      </c>
      <c r="S323" t="inlineStr">
        <is>
          <t>Chaucer studies, 0261-9822 ; 8</t>
        </is>
      </c>
      <c r="T323" t="inlineStr">
        <is>
          <t xml:space="preserve">PR </t>
        </is>
      </c>
      <c r="U323" t="n">
        <v>2</v>
      </c>
      <c r="V323" t="n">
        <v>2</v>
      </c>
      <c r="W323" t="inlineStr">
        <is>
          <t>1995-11-07</t>
        </is>
      </c>
      <c r="X323" t="inlineStr">
        <is>
          <t>1995-11-07</t>
        </is>
      </c>
      <c r="Y323" t="inlineStr">
        <is>
          <t>1990-06-12</t>
        </is>
      </c>
      <c r="Z323" t="inlineStr">
        <is>
          <t>1990-06-12</t>
        </is>
      </c>
      <c r="AA323" t="n">
        <v>465</v>
      </c>
      <c r="AB323" t="n">
        <v>307</v>
      </c>
      <c r="AC323" t="n">
        <v>307</v>
      </c>
      <c r="AD323" t="n">
        <v>3</v>
      </c>
      <c r="AE323" t="n">
        <v>3</v>
      </c>
      <c r="AF323" t="n">
        <v>14</v>
      </c>
      <c r="AG323" t="n">
        <v>14</v>
      </c>
      <c r="AH323" t="n">
        <v>3</v>
      </c>
      <c r="AI323" t="n">
        <v>3</v>
      </c>
      <c r="AJ323" t="n">
        <v>4</v>
      </c>
      <c r="AK323" t="n">
        <v>4</v>
      </c>
      <c r="AL323" t="n">
        <v>8</v>
      </c>
      <c r="AM323" t="n">
        <v>8</v>
      </c>
      <c r="AN323" t="n">
        <v>2</v>
      </c>
      <c r="AO323" t="n">
        <v>2</v>
      </c>
      <c r="AP323" t="n">
        <v>0</v>
      </c>
      <c r="AQ323" t="n">
        <v>0</v>
      </c>
      <c r="AR323" t="inlineStr">
        <is>
          <t>No</t>
        </is>
      </c>
      <c r="AS323" t="inlineStr">
        <is>
          <t>No</t>
        </is>
      </c>
      <c r="AU323">
        <f>HYPERLINK("https://creighton-primo.hosted.exlibrisgroup.com/primo-explore/search?tab=default_tab&amp;search_scope=EVERYTHING&amp;vid=01CRU&amp;lang=en_US&amp;offset=0&amp;query=any,contains,991000346429702656","Catalog Record")</f>
        <v/>
      </c>
      <c r="AV323">
        <f>HYPERLINK("http://www.worldcat.org/oclc/9202166","WorldCat Record")</f>
        <v/>
      </c>
      <c r="AW323" t="inlineStr">
        <is>
          <t>1055:eng</t>
        </is>
      </c>
      <c r="AX323" t="inlineStr">
        <is>
          <t>9202166</t>
        </is>
      </c>
      <c r="AY323" t="inlineStr">
        <is>
          <t>991000346429702656</t>
        </is>
      </c>
      <c r="AZ323" t="inlineStr">
        <is>
          <t>991000346429702656</t>
        </is>
      </c>
      <c r="BA323" t="inlineStr">
        <is>
          <t>2265298050002656</t>
        </is>
      </c>
      <c r="BB323" t="inlineStr">
        <is>
          <t>BOOK</t>
        </is>
      </c>
      <c r="BD323" t="inlineStr">
        <is>
          <t>9780859910989</t>
        </is>
      </c>
      <c r="BE323" t="inlineStr">
        <is>
          <t>32285000191063</t>
        </is>
      </c>
      <c r="BF323" t="inlineStr">
        <is>
          <t>893243162</t>
        </is>
      </c>
    </row>
    <row r="324">
      <c r="A324" t="inlineStr">
        <is>
          <t>No</t>
        </is>
      </c>
      <c r="B324" t="inlineStr">
        <is>
          <t>CURAL</t>
        </is>
      </c>
      <c r="C324" t="inlineStr">
        <is>
          <t>SHELVES</t>
        </is>
      </c>
      <c r="D324" t="inlineStr">
        <is>
          <t>PR1933.S4 T5 1971</t>
        </is>
      </c>
      <c r="E324" t="inlineStr">
        <is>
          <t>0                      PR 1933000S  4                  T  5           1971</t>
        </is>
      </c>
      <c r="F324" t="inlineStr">
        <is>
          <t>Medieval skepticism and Chaucer : an evaluation of the skepticism of the 13th and 14th centuries of Geoffrey Chaucer and his immediate predecessors--an era that looked back on an age of faith and forward to an age of reason.</t>
        </is>
      </c>
      <c r="H324" t="inlineStr">
        <is>
          <t>No</t>
        </is>
      </c>
      <c r="I324" t="inlineStr">
        <is>
          <t>1</t>
        </is>
      </c>
      <c r="J324" t="inlineStr">
        <is>
          <t>No</t>
        </is>
      </c>
      <c r="K324" t="inlineStr">
        <is>
          <t>No</t>
        </is>
      </c>
      <c r="L324" t="inlineStr">
        <is>
          <t>0</t>
        </is>
      </c>
      <c r="M324" t="inlineStr">
        <is>
          <t>Thomas, Mary Edith.</t>
        </is>
      </c>
      <c r="N324" t="inlineStr">
        <is>
          <t>New York : Cooper Square Publishers, 1971.</t>
        </is>
      </c>
      <c r="O324" t="inlineStr">
        <is>
          <t>1971</t>
        </is>
      </c>
      <c r="Q324" t="inlineStr">
        <is>
          <t>eng</t>
        </is>
      </c>
      <c r="R324" t="inlineStr">
        <is>
          <t>nyu</t>
        </is>
      </c>
      <c r="T324" t="inlineStr">
        <is>
          <t xml:space="preserve">PR </t>
        </is>
      </c>
      <c r="U324" t="n">
        <v>6</v>
      </c>
      <c r="V324" t="n">
        <v>6</v>
      </c>
      <c r="W324" t="inlineStr">
        <is>
          <t>2004-12-01</t>
        </is>
      </c>
      <c r="X324" t="inlineStr">
        <is>
          <t>2004-12-01</t>
        </is>
      </c>
      <c r="Y324" t="inlineStr">
        <is>
          <t>1992-05-15</t>
        </is>
      </c>
      <c r="Z324" t="inlineStr">
        <is>
          <t>1992-05-15</t>
        </is>
      </c>
      <c r="AA324" t="n">
        <v>309</v>
      </c>
      <c r="AB324" t="n">
        <v>277</v>
      </c>
      <c r="AC324" t="n">
        <v>284</v>
      </c>
      <c r="AD324" t="n">
        <v>3</v>
      </c>
      <c r="AE324" t="n">
        <v>3</v>
      </c>
      <c r="AF324" t="n">
        <v>16</v>
      </c>
      <c r="AG324" t="n">
        <v>16</v>
      </c>
      <c r="AH324" t="n">
        <v>7</v>
      </c>
      <c r="AI324" t="n">
        <v>7</v>
      </c>
      <c r="AJ324" t="n">
        <v>6</v>
      </c>
      <c r="AK324" t="n">
        <v>6</v>
      </c>
      <c r="AL324" t="n">
        <v>6</v>
      </c>
      <c r="AM324" t="n">
        <v>6</v>
      </c>
      <c r="AN324" t="n">
        <v>2</v>
      </c>
      <c r="AO324" t="n">
        <v>2</v>
      </c>
      <c r="AP324" t="n">
        <v>0</v>
      </c>
      <c r="AQ324" t="n">
        <v>0</v>
      </c>
      <c r="AR324" t="inlineStr">
        <is>
          <t>No</t>
        </is>
      </c>
      <c r="AS324" t="inlineStr">
        <is>
          <t>No</t>
        </is>
      </c>
      <c r="AU324">
        <f>HYPERLINK("https://creighton-primo.hosted.exlibrisgroup.com/primo-explore/search?tab=default_tab&amp;search_scope=EVERYTHING&amp;vid=01CRU&amp;lang=en_US&amp;offset=0&amp;query=any,contains,991000829659702656","Catalog Record")</f>
        <v/>
      </c>
      <c r="AV324">
        <f>HYPERLINK("http://www.worldcat.org/oclc/147261","WorldCat Record")</f>
        <v/>
      </c>
      <c r="AW324" t="inlineStr">
        <is>
          <t>287660768:eng</t>
        </is>
      </c>
      <c r="AX324" t="inlineStr">
        <is>
          <t>147261</t>
        </is>
      </c>
      <c r="AY324" t="inlineStr">
        <is>
          <t>991000829659702656</t>
        </is>
      </c>
      <c r="AZ324" t="inlineStr">
        <is>
          <t>991000829659702656</t>
        </is>
      </c>
      <c r="BA324" t="inlineStr">
        <is>
          <t>2258796240002656</t>
        </is>
      </c>
      <c r="BB324" t="inlineStr">
        <is>
          <t>BOOK</t>
        </is>
      </c>
      <c r="BD324" t="inlineStr">
        <is>
          <t>9780815403791</t>
        </is>
      </c>
      <c r="BE324" t="inlineStr">
        <is>
          <t>32285001110658</t>
        </is>
      </c>
      <c r="BF324" t="inlineStr">
        <is>
          <t>893778278</t>
        </is>
      </c>
    </row>
    <row r="325">
      <c r="A325" t="inlineStr">
        <is>
          <t>No</t>
        </is>
      </c>
      <c r="B325" t="inlineStr">
        <is>
          <t>CURAL</t>
        </is>
      </c>
      <c r="C325" t="inlineStr">
        <is>
          <t>SHELVES</t>
        </is>
      </c>
      <c r="D325" t="inlineStr">
        <is>
          <t>PR1933.S59 S77 1989</t>
        </is>
      </c>
      <c r="E325" t="inlineStr">
        <is>
          <t>0                      PR 1933000S  59                 S  77          1989</t>
        </is>
      </c>
      <c r="F325" t="inlineStr">
        <is>
          <t>Social Chaucer / Paul Strohm.</t>
        </is>
      </c>
      <c r="H325" t="inlineStr">
        <is>
          <t>No</t>
        </is>
      </c>
      <c r="I325" t="inlineStr">
        <is>
          <t>1</t>
        </is>
      </c>
      <c r="J325" t="inlineStr">
        <is>
          <t>No</t>
        </is>
      </c>
      <c r="K325" t="inlineStr">
        <is>
          <t>No</t>
        </is>
      </c>
      <c r="L325" t="inlineStr">
        <is>
          <t>0</t>
        </is>
      </c>
      <c r="M325" t="inlineStr">
        <is>
          <t>Strohm, Paul, 1938-</t>
        </is>
      </c>
      <c r="N325" t="inlineStr">
        <is>
          <t>Cambridge, Mass. : Harvard University Press, 1989.</t>
        </is>
      </c>
      <c r="O325" t="inlineStr">
        <is>
          <t>1989</t>
        </is>
      </c>
      <c r="Q325" t="inlineStr">
        <is>
          <t>eng</t>
        </is>
      </c>
      <c r="R325" t="inlineStr">
        <is>
          <t>mau</t>
        </is>
      </c>
      <c r="T325" t="inlineStr">
        <is>
          <t xml:space="preserve">PR </t>
        </is>
      </c>
      <c r="U325" t="n">
        <v>4</v>
      </c>
      <c r="V325" t="n">
        <v>4</v>
      </c>
      <c r="W325" t="inlineStr">
        <is>
          <t>2005-04-25</t>
        </is>
      </c>
      <c r="X325" t="inlineStr">
        <is>
          <t>2005-04-25</t>
        </is>
      </c>
      <c r="Y325" t="inlineStr">
        <is>
          <t>1989-12-05</t>
        </is>
      </c>
      <c r="Z325" t="inlineStr">
        <is>
          <t>1989-12-05</t>
        </is>
      </c>
      <c r="AA325" t="n">
        <v>839</v>
      </c>
      <c r="AB325" t="n">
        <v>673</v>
      </c>
      <c r="AC325" t="n">
        <v>730</v>
      </c>
      <c r="AD325" t="n">
        <v>7</v>
      </c>
      <c r="AE325" t="n">
        <v>7</v>
      </c>
      <c r="AF325" t="n">
        <v>36</v>
      </c>
      <c r="AG325" t="n">
        <v>40</v>
      </c>
      <c r="AH325" t="n">
        <v>15</v>
      </c>
      <c r="AI325" t="n">
        <v>16</v>
      </c>
      <c r="AJ325" t="n">
        <v>8</v>
      </c>
      <c r="AK325" t="n">
        <v>10</v>
      </c>
      <c r="AL325" t="n">
        <v>18</v>
      </c>
      <c r="AM325" t="n">
        <v>20</v>
      </c>
      <c r="AN325" t="n">
        <v>6</v>
      </c>
      <c r="AO325" t="n">
        <v>6</v>
      </c>
      <c r="AP325" t="n">
        <v>0</v>
      </c>
      <c r="AQ325" t="n">
        <v>0</v>
      </c>
      <c r="AR325" t="inlineStr">
        <is>
          <t>No</t>
        </is>
      </c>
      <c r="AS325" t="inlineStr">
        <is>
          <t>Yes</t>
        </is>
      </c>
      <c r="AT325">
        <f>HYPERLINK("http://catalog.hathitrust.org/Record/001550823","HathiTrust Record")</f>
        <v/>
      </c>
      <c r="AU325">
        <f>HYPERLINK("https://creighton-primo.hosted.exlibrisgroup.com/primo-explore/search?tab=default_tab&amp;search_scope=EVERYTHING&amp;vid=01CRU&amp;lang=en_US&amp;offset=0&amp;query=any,contains,991001451799702656","Catalog Record")</f>
        <v/>
      </c>
      <c r="AV325">
        <f>HYPERLINK("http://www.worldcat.org/oclc/19325471","WorldCat Record")</f>
        <v/>
      </c>
      <c r="AW325" t="inlineStr">
        <is>
          <t>2684346:eng</t>
        </is>
      </c>
      <c r="AX325" t="inlineStr">
        <is>
          <t>19325471</t>
        </is>
      </c>
      <c r="AY325" t="inlineStr">
        <is>
          <t>991001451799702656</t>
        </is>
      </c>
      <c r="AZ325" t="inlineStr">
        <is>
          <t>991001451799702656</t>
        </is>
      </c>
      <c r="BA325" t="inlineStr">
        <is>
          <t>2267640200002656</t>
        </is>
      </c>
      <c r="BB325" t="inlineStr">
        <is>
          <t>BOOK</t>
        </is>
      </c>
      <c r="BD325" t="inlineStr">
        <is>
          <t>9780674811980</t>
        </is>
      </c>
      <c r="BE325" t="inlineStr">
        <is>
          <t>32285000016666</t>
        </is>
      </c>
      <c r="BF325" t="inlineStr">
        <is>
          <t>893432865</t>
        </is>
      </c>
    </row>
    <row r="326">
      <c r="A326" t="inlineStr">
        <is>
          <t>No</t>
        </is>
      </c>
      <c r="B326" t="inlineStr">
        <is>
          <t>CURAL</t>
        </is>
      </c>
      <c r="C326" t="inlineStr">
        <is>
          <t>SHELVES</t>
        </is>
      </c>
      <c r="D326" t="inlineStr">
        <is>
          <t>PR1933.T73 H47 2003</t>
        </is>
      </c>
      <c r="E326" t="inlineStr">
        <is>
          <t>0                      PR 1933000T  73                 H  47          2003</t>
        </is>
      </c>
      <c r="F326" t="inlineStr">
        <is>
          <t>Chaucer's tragic muse : the paganization of Christian tragedy / Christine Herold.</t>
        </is>
      </c>
      <c r="H326" t="inlineStr">
        <is>
          <t>No</t>
        </is>
      </c>
      <c r="I326" t="inlineStr">
        <is>
          <t>1</t>
        </is>
      </c>
      <c r="J326" t="inlineStr">
        <is>
          <t>No</t>
        </is>
      </c>
      <c r="K326" t="inlineStr">
        <is>
          <t>No</t>
        </is>
      </c>
      <c r="L326" t="inlineStr">
        <is>
          <t>0</t>
        </is>
      </c>
      <c r="M326" t="inlineStr">
        <is>
          <t>Herold, Christine.</t>
        </is>
      </c>
      <c r="N326" t="inlineStr">
        <is>
          <t>Lewiston, N.Y. : Edwin Mellen Press, c2003.</t>
        </is>
      </c>
      <c r="O326" t="inlineStr">
        <is>
          <t>2003</t>
        </is>
      </c>
      <c r="Q326" t="inlineStr">
        <is>
          <t>eng</t>
        </is>
      </c>
      <c r="R326" t="inlineStr">
        <is>
          <t>nyu</t>
        </is>
      </c>
      <c r="S326" t="inlineStr">
        <is>
          <t>Studies in mediaeval literature ; v. 23</t>
        </is>
      </c>
      <c r="T326" t="inlineStr">
        <is>
          <t xml:space="preserve">PR </t>
        </is>
      </c>
      <c r="U326" t="n">
        <v>2</v>
      </c>
      <c r="V326" t="n">
        <v>2</v>
      </c>
      <c r="W326" t="inlineStr">
        <is>
          <t>2003-12-02</t>
        </is>
      </c>
      <c r="X326" t="inlineStr">
        <is>
          <t>2003-12-02</t>
        </is>
      </c>
      <c r="Y326" t="inlineStr">
        <is>
          <t>2003-12-02</t>
        </is>
      </c>
      <c r="Z326" t="inlineStr">
        <is>
          <t>2003-12-02</t>
        </is>
      </c>
      <c r="AA326" t="n">
        <v>157</v>
      </c>
      <c r="AB326" t="n">
        <v>128</v>
      </c>
      <c r="AC326" t="n">
        <v>130</v>
      </c>
      <c r="AD326" t="n">
        <v>2</v>
      </c>
      <c r="AE326" t="n">
        <v>2</v>
      </c>
      <c r="AF326" t="n">
        <v>9</v>
      </c>
      <c r="AG326" t="n">
        <v>9</v>
      </c>
      <c r="AH326" t="n">
        <v>5</v>
      </c>
      <c r="AI326" t="n">
        <v>5</v>
      </c>
      <c r="AJ326" t="n">
        <v>1</v>
      </c>
      <c r="AK326" t="n">
        <v>1</v>
      </c>
      <c r="AL326" t="n">
        <v>5</v>
      </c>
      <c r="AM326" t="n">
        <v>5</v>
      </c>
      <c r="AN326" t="n">
        <v>1</v>
      </c>
      <c r="AO326" t="n">
        <v>1</v>
      </c>
      <c r="AP326" t="n">
        <v>0</v>
      </c>
      <c r="AQ326" t="n">
        <v>0</v>
      </c>
      <c r="AR326" t="inlineStr">
        <is>
          <t>No</t>
        </is>
      </c>
      <c r="AS326" t="inlineStr">
        <is>
          <t>Yes</t>
        </is>
      </c>
      <c r="AT326">
        <f>HYPERLINK("http://catalog.hathitrust.org/Record/007144184","HathiTrust Record")</f>
        <v/>
      </c>
      <c r="AU326">
        <f>HYPERLINK("https://creighton-primo.hosted.exlibrisgroup.com/primo-explore/search?tab=default_tab&amp;search_scope=EVERYTHING&amp;vid=01CRU&amp;lang=en_US&amp;offset=0&amp;query=any,contains,991004155369702656","Catalog Record")</f>
        <v/>
      </c>
      <c r="AV326">
        <f>HYPERLINK("http://www.worldcat.org/oclc/50920617","WorldCat Record")</f>
        <v/>
      </c>
      <c r="AW326" t="inlineStr">
        <is>
          <t>198114485:eng</t>
        </is>
      </c>
      <c r="AX326" t="inlineStr">
        <is>
          <t>50920617</t>
        </is>
      </c>
      <c r="AY326" t="inlineStr">
        <is>
          <t>991004155369702656</t>
        </is>
      </c>
      <c r="AZ326" t="inlineStr">
        <is>
          <t>991004155369702656</t>
        </is>
      </c>
      <c r="BA326" t="inlineStr">
        <is>
          <t>2268882150002656</t>
        </is>
      </c>
      <c r="BB326" t="inlineStr">
        <is>
          <t>BOOK</t>
        </is>
      </c>
      <c r="BD326" t="inlineStr">
        <is>
          <t>9780773468559</t>
        </is>
      </c>
      <c r="BE326" t="inlineStr">
        <is>
          <t>32285004843610</t>
        </is>
      </c>
      <c r="BF326" t="inlineStr">
        <is>
          <t>893446057</t>
        </is>
      </c>
    </row>
    <row r="327">
      <c r="A327" t="inlineStr">
        <is>
          <t>No</t>
        </is>
      </c>
      <c r="B327" t="inlineStr">
        <is>
          <t>CURAL</t>
        </is>
      </c>
      <c r="C327" t="inlineStr">
        <is>
          <t>SHELVES</t>
        </is>
      </c>
      <c r="D327" t="inlineStr">
        <is>
          <t>PR1940 .B78 1983</t>
        </is>
      </c>
      <c r="E327" t="inlineStr">
        <is>
          <t>0                      PR 1940000B  78          1983</t>
        </is>
      </c>
      <c r="F327" t="inlineStr">
        <is>
          <t>A guide to Chaucer's language / David Burnley.</t>
        </is>
      </c>
      <c r="H327" t="inlineStr">
        <is>
          <t>No</t>
        </is>
      </c>
      <c r="I327" t="inlineStr">
        <is>
          <t>1</t>
        </is>
      </c>
      <c r="J327" t="inlineStr">
        <is>
          <t>No</t>
        </is>
      </c>
      <c r="K327" t="inlineStr">
        <is>
          <t>No</t>
        </is>
      </c>
      <c r="L327" t="inlineStr">
        <is>
          <t>0</t>
        </is>
      </c>
      <c r="M327" t="inlineStr">
        <is>
          <t>Burnley, J. D.</t>
        </is>
      </c>
      <c r="N327" t="inlineStr">
        <is>
          <t>Norman, OK : University of Oklahoma Press, c1983.</t>
        </is>
      </c>
      <c r="O327" t="inlineStr">
        <is>
          <t>1983</t>
        </is>
      </c>
      <c r="P327" t="inlineStr">
        <is>
          <t>1st ed.</t>
        </is>
      </c>
      <c r="Q327" t="inlineStr">
        <is>
          <t>eng</t>
        </is>
      </c>
      <c r="R327" t="inlineStr">
        <is>
          <t>oku</t>
        </is>
      </c>
      <c r="T327" t="inlineStr">
        <is>
          <t xml:space="preserve">PR </t>
        </is>
      </c>
      <c r="U327" t="n">
        <v>5</v>
      </c>
      <c r="V327" t="n">
        <v>5</v>
      </c>
      <c r="W327" t="inlineStr">
        <is>
          <t>2005-02-15</t>
        </is>
      </c>
      <c r="X327" t="inlineStr">
        <is>
          <t>2005-02-15</t>
        </is>
      </c>
      <c r="Y327" t="inlineStr">
        <is>
          <t>1991-09-30</t>
        </is>
      </c>
      <c r="Z327" t="inlineStr">
        <is>
          <t>1991-09-30</t>
        </is>
      </c>
      <c r="AA327" t="n">
        <v>542</v>
      </c>
      <c r="AB327" t="n">
        <v>493</v>
      </c>
      <c r="AC327" t="n">
        <v>568</v>
      </c>
      <c r="AD327" t="n">
        <v>1</v>
      </c>
      <c r="AE327" t="n">
        <v>4</v>
      </c>
      <c r="AF327" t="n">
        <v>30</v>
      </c>
      <c r="AG327" t="n">
        <v>32</v>
      </c>
      <c r="AH327" t="n">
        <v>15</v>
      </c>
      <c r="AI327" t="n">
        <v>15</v>
      </c>
      <c r="AJ327" t="n">
        <v>5</v>
      </c>
      <c r="AK327" t="n">
        <v>5</v>
      </c>
      <c r="AL327" t="n">
        <v>19</v>
      </c>
      <c r="AM327" t="n">
        <v>19</v>
      </c>
      <c r="AN327" t="n">
        <v>0</v>
      </c>
      <c r="AO327" t="n">
        <v>2</v>
      </c>
      <c r="AP327" t="n">
        <v>0</v>
      </c>
      <c r="AQ327" t="n">
        <v>0</v>
      </c>
      <c r="AR327" t="inlineStr">
        <is>
          <t>No</t>
        </is>
      </c>
      <c r="AS327" t="inlineStr">
        <is>
          <t>No</t>
        </is>
      </c>
      <c r="AU327">
        <f>HYPERLINK("https://creighton-primo.hosted.exlibrisgroup.com/primo-explore/search?tab=default_tab&amp;search_scope=EVERYTHING&amp;vid=01CRU&amp;lang=en_US&amp;offset=0&amp;query=any,contains,991000233439702656","Catalog Record")</f>
        <v/>
      </c>
      <c r="AV327">
        <f>HYPERLINK("http://www.worldcat.org/oclc/9645620","WorldCat Record")</f>
        <v/>
      </c>
      <c r="AW327" t="inlineStr">
        <is>
          <t>11129:eng</t>
        </is>
      </c>
      <c r="AX327" t="inlineStr">
        <is>
          <t>9645620</t>
        </is>
      </c>
      <c r="AY327" t="inlineStr">
        <is>
          <t>991000233439702656</t>
        </is>
      </c>
      <c r="AZ327" t="inlineStr">
        <is>
          <t>991000233439702656</t>
        </is>
      </c>
      <c r="BA327" t="inlineStr">
        <is>
          <t>2269591170002656</t>
        </is>
      </c>
      <c r="BB327" t="inlineStr">
        <is>
          <t>BOOK</t>
        </is>
      </c>
      <c r="BD327" t="inlineStr">
        <is>
          <t>9780806118680</t>
        </is>
      </c>
      <c r="BE327" t="inlineStr">
        <is>
          <t>32285000764836</t>
        </is>
      </c>
      <c r="BF327" t="inlineStr">
        <is>
          <t>893595420</t>
        </is>
      </c>
    </row>
    <row r="328">
      <c r="A328" t="inlineStr">
        <is>
          <t>No</t>
        </is>
      </c>
      <c r="B328" t="inlineStr">
        <is>
          <t>CURAL</t>
        </is>
      </c>
      <c r="C328" t="inlineStr">
        <is>
          <t>SHELVES</t>
        </is>
      </c>
      <c r="D328" t="inlineStr">
        <is>
          <t>PR1940 .C36 1998</t>
        </is>
      </c>
      <c r="E328" t="inlineStr">
        <is>
          <t>0                      PR 1940000C  36          1998</t>
        </is>
      </c>
      <c r="F328" t="inlineStr">
        <is>
          <t>The making of Chaucer's English : a study of words / Christopher Cannon.</t>
        </is>
      </c>
      <c r="H328" t="inlineStr">
        <is>
          <t>No</t>
        </is>
      </c>
      <c r="I328" t="inlineStr">
        <is>
          <t>1</t>
        </is>
      </c>
      <c r="J328" t="inlineStr">
        <is>
          <t>No</t>
        </is>
      </c>
      <c r="K328" t="inlineStr">
        <is>
          <t>No</t>
        </is>
      </c>
      <c r="L328" t="inlineStr">
        <is>
          <t>0</t>
        </is>
      </c>
      <c r="M328" t="inlineStr">
        <is>
          <t>Cannon, Christopher.</t>
        </is>
      </c>
      <c r="N328" t="inlineStr">
        <is>
          <t>Cambridge [England] ; New York : Cambridge University Press, 1998.</t>
        </is>
      </c>
      <c r="O328" t="inlineStr">
        <is>
          <t>1998</t>
        </is>
      </c>
      <c r="Q328" t="inlineStr">
        <is>
          <t>eng</t>
        </is>
      </c>
      <c r="R328" t="inlineStr">
        <is>
          <t>enk</t>
        </is>
      </c>
      <c r="S328" t="inlineStr">
        <is>
          <t>Cambridge studies in medieval literature ; 39</t>
        </is>
      </c>
      <c r="T328" t="inlineStr">
        <is>
          <t xml:space="preserve">PR </t>
        </is>
      </c>
      <c r="U328" t="n">
        <v>3</v>
      </c>
      <c r="V328" t="n">
        <v>3</v>
      </c>
      <c r="W328" t="inlineStr">
        <is>
          <t>2004-10-31</t>
        </is>
      </c>
      <c r="X328" t="inlineStr">
        <is>
          <t>2004-10-31</t>
        </is>
      </c>
      <c r="Y328" t="inlineStr">
        <is>
          <t>2000-12-05</t>
        </is>
      </c>
      <c r="Z328" t="inlineStr">
        <is>
          <t>2000-12-05</t>
        </is>
      </c>
      <c r="AA328" t="n">
        <v>413</v>
      </c>
      <c r="AB328" t="n">
        <v>300</v>
      </c>
      <c r="AC328" t="n">
        <v>322</v>
      </c>
      <c r="AD328" t="n">
        <v>3</v>
      </c>
      <c r="AE328" t="n">
        <v>3</v>
      </c>
      <c r="AF328" t="n">
        <v>21</v>
      </c>
      <c r="AG328" t="n">
        <v>22</v>
      </c>
      <c r="AH328" t="n">
        <v>10</v>
      </c>
      <c r="AI328" t="n">
        <v>10</v>
      </c>
      <c r="AJ328" t="n">
        <v>5</v>
      </c>
      <c r="AK328" t="n">
        <v>6</v>
      </c>
      <c r="AL328" t="n">
        <v>12</v>
      </c>
      <c r="AM328" t="n">
        <v>13</v>
      </c>
      <c r="AN328" t="n">
        <v>2</v>
      </c>
      <c r="AO328" t="n">
        <v>2</v>
      </c>
      <c r="AP328" t="n">
        <v>0</v>
      </c>
      <c r="AQ328" t="n">
        <v>0</v>
      </c>
      <c r="AR328" t="inlineStr">
        <is>
          <t>No</t>
        </is>
      </c>
      <c r="AS328" t="inlineStr">
        <is>
          <t>No</t>
        </is>
      </c>
      <c r="AU328">
        <f>HYPERLINK("https://creighton-primo.hosted.exlibrisgroup.com/primo-explore/search?tab=default_tab&amp;search_scope=EVERYTHING&amp;vid=01CRU&amp;lang=en_US&amp;offset=0&amp;query=any,contains,991003321399702656","Catalog Record")</f>
        <v/>
      </c>
      <c r="AV328">
        <f>HYPERLINK("http://www.worldcat.org/oclc/37742249","WorldCat Record")</f>
        <v/>
      </c>
      <c r="AW328" t="inlineStr">
        <is>
          <t>639830:eng</t>
        </is>
      </c>
      <c r="AX328" t="inlineStr">
        <is>
          <t>37742249</t>
        </is>
      </c>
      <c r="AY328" t="inlineStr">
        <is>
          <t>991003321399702656</t>
        </is>
      </c>
      <c r="AZ328" t="inlineStr">
        <is>
          <t>991003321399702656</t>
        </is>
      </c>
      <c r="BA328" t="inlineStr">
        <is>
          <t>2264964320002656</t>
        </is>
      </c>
      <c r="BB328" t="inlineStr">
        <is>
          <t>BOOK</t>
        </is>
      </c>
      <c r="BD328" t="inlineStr">
        <is>
          <t>9780521592741</t>
        </is>
      </c>
      <c r="BE328" t="inlineStr">
        <is>
          <t>32285004269915</t>
        </is>
      </c>
      <c r="BF328" t="inlineStr">
        <is>
          <t>893793527</t>
        </is>
      </c>
    </row>
    <row r="329">
      <c r="A329" t="inlineStr">
        <is>
          <t>No</t>
        </is>
      </c>
      <c r="B329" t="inlineStr">
        <is>
          <t>CURAL</t>
        </is>
      </c>
      <c r="C329" t="inlineStr">
        <is>
          <t>SHELVES</t>
        </is>
      </c>
      <c r="D329" t="inlineStr">
        <is>
          <t>PR1940 .M29 1985</t>
        </is>
      </c>
      <c r="E329" t="inlineStr">
        <is>
          <t>0                      PR 1940000M  29          1985</t>
        </is>
      </c>
      <c r="F329" t="inlineStr">
        <is>
          <t>Techniques of translation : Chaucer's Boece / by Tim William Machan.</t>
        </is>
      </c>
      <c r="H329" t="inlineStr">
        <is>
          <t>No</t>
        </is>
      </c>
      <c r="I329" t="inlineStr">
        <is>
          <t>1</t>
        </is>
      </c>
      <c r="J329" t="inlineStr">
        <is>
          <t>No</t>
        </is>
      </c>
      <c r="K329" t="inlineStr">
        <is>
          <t>No</t>
        </is>
      </c>
      <c r="L329" t="inlineStr">
        <is>
          <t>0</t>
        </is>
      </c>
      <c r="M329" t="inlineStr">
        <is>
          <t>Machan, Tim William.</t>
        </is>
      </c>
      <c r="N329" t="inlineStr">
        <is>
          <t>Norman, Okla. : Pilgrim Books, c1985.</t>
        </is>
      </c>
      <c r="O329" t="inlineStr">
        <is>
          <t>1985</t>
        </is>
      </c>
      <c r="Q329" t="inlineStr">
        <is>
          <t>eng</t>
        </is>
      </c>
      <c r="R329" t="inlineStr">
        <is>
          <t>oku</t>
        </is>
      </c>
      <c r="T329" t="inlineStr">
        <is>
          <t xml:space="preserve">PR </t>
        </is>
      </c>
      <c r="U329" t="n">
        <v>2</v>
      </c>
      <c r="V329" t="n">
        <v>2</v>
      </c>
      <c r="W329" t="inlineStr">
        <is>
          <t>1996-11-03</t>
        </is>
      </c>
      <c r="X329" t="inlineStr">
        <is>
          <t>1996-11-03</t>
        </is>
      </c>
      <c r="Y329" t="inlineStr">
        <is>
          <t>1991-09-30</t>
        </is>
      </c>
      <c r="Z329" t="inlineStr">
        <is>
          <t>1991-09-30</t>
        </is>
      </c>
      <c r="AA329" t="n">
        <v>265</v>
      </c>
      <c r="AB329" t="n">
        <v>214</v>
      </c>
      <c r="AC329" t="n">
        <v>221</v>
      </c>
      <c r="AD329" t="n">
        <v>3</v>
      </c>
      <c r="AE329" t="n">
        <v>3</v>
      </c>
      <c r="AF329" t="n">
        <v>13</v>
      </c>
      <c r="AG329" t="n">
        <v>13</v>
      </c>
      <c r="AH329" t="n">
        <v>1</v>
      </c>
      <c r="AI329" t="n">
        <v>1</v>
      </c>
      <c r="AJ329" t="n">
        <v>5</v>
      </c>
      <c r="AK329" t="n">
        <v>5</v>
      </c>
      <c r="AL329" t="n">
        <v>8</v>
      </c>
      <c r="AM329" t="n">
        <v>8</v>
      </c>
      <c r="AN329" t="n">
        <v>2</v>
      </c>
      <c r="AO329" t="n">
        <v>2</v>
      </c>
      <c r="AP329" t="n">
        <v>0</v>
      </c>
      <c r="AQ329" t="n">
        <v>0</v>
      </c>
      <c r="AR329" t="inlineStr">
        <is>
          <t>No</t>
        </is>
      </c>
      <c r="AS329" t="inlineStr">
        <is>
          <t>Yes</t>
        </is>
      </c>
      <c r="AT329">
        <f>HYPERLINK("http://catalog.hathitrust.org/Record/000610573","HathiTrust Record")</f>
        <v/>
      </c>
      <c r="AU329">
        <f>HYPERLINK("https://creighton-primo.hosted.exlibrisgroup.com/primo-explore/search?tab=default_tab&amp;search_scope=EVERYTHING&amp;vid=01CRU&amp;lang=en_US&amp;offset=0&amp;query=any,contains,991000564579702656","Catalog Record")</f>
        <v/>
      </c>
      <c r="AV329">
        <f>HYPERLINK("http://www.worldcat.org/oclc/11621125","WorldCat Record")</f>
        <v/>
      </c>
      <c r="AW329" t="inlineStr">
        <is>
          <t>365469613:eng</t>
        </is>
      </c>
      <c r="AX329" t="inlineStr">
        <is>
          <t>11621125</t>
        </is>
      </c>
      <c r="AY329" t="inlineStr">
        <is>
          <t>991000564579702656</t>
        </is>
      </c>
      <c r="AZ329" t="inlineStr">
        <is>
          <t>991000564579702656</t>
        </is>
      </c>
      <c r="BA329" t="inlineStr">
        <is>
          <t>2263583450002656</t>
        </is>
      </c>
      <c r="BB329" t="inlineStr">
        <is>
          <t>BOOK</t>
        </is>
      </c>
      <c r="BD329" t="inlineStr">
        <is>
          <t>9780937664681</t>
        </is>
      </c>
      <c r="BE329" t="inlineStr">
        <is>
          <t>32285000764877</t>
        </is>
      </c>
      <c r="BF329" t="inlineStr">
        <is>
          <t>893315057</t>
        </is>
      </c>
    </row>
    <row r="330">
      <c r="A330" t="inlineStr">
        <is>
          <t>No</t>
        </is>
      </c>
      <c r="B330" t="inlineStr">
        <is>
          <t>CURAL</t>
        </is>
      </c>
      <c r="C330" t="inlineStr">
        <is>
          <t>SHELVES</t>
        </is>
      </c>
      <c r="D330" t="inlineStr">
        <is>
          <t>PR1940 .S26 1985</t>
        </is>
      </c>
      <c r="E330" t="inlineStr">
        <is>
          <t>0                      PR 1940000S  26          1985</t>
        </is>
      </c>
      <c r="F330" t="inlineStr">
        <is>
          <t>Introduction to Chaucerian English / Arthur O. Sandved.</t>
        </is>
      </c>
      <c r="H330" t="inlineStr">
        <is>
          <t>No</t>
        </is>
      </c>
      <c r="I330" t="inlineStr">
        <is>
          <t>1</t>
        </is>
      </c>
      <c r="J330" t="inlineStr">
        <is>
          <t>No</t>
        </is>
      </c>
      <c r="K330" t="inlineStr">
        <is>
          <t>No</t>
        </is>
      </c>
      <c r="L330" t="inlineStr">
        <is>
          <t>0</t>
        </is>
      </c>
      <c r="M330" t="inlineStr">
        <is>
          <t>Sandved, Arthur O.</t>
        </is>
      </c>
      <c r="N330" t="inlineStr">
        <is>
          <t>Cambridge [Cambridgeshire] : D.S. Brewer, 1985.</t>
        </is>
      </c>
      <c r="O330" t="inlineStr">
        <is>
          <t>1985</t>
        </is>
      </c>
      <c r="Q330" t="inlineStr">
        <is>
          <t>eng</t>
        </is>
      </c>
      <c r="R330" t="inlineStr">
        <is>
          <t>enk</t>
        </is>
      </c>
      <c r="S330" t="inlineStr">
        <is>
          <t>Chaucer studies ; 11</t>
        </is>
      </c>
      <c r="T330" t="inlineStr">
        <is>
          <t xml:space="preserve">PR </t>
        </is>
      </c>
      <c r="U330" t="n">
        <v>4</v>
      </c>
      <c r="V330" t="n">
        <v>4</v>
      </c>
      <c r="W330" t="inlineStr">
        <is>
          <t>2004-10-31</t>
        </is>
      </c>
      <c r="X330" t="inlineStr">
        <is>
          <t>2004-10-31</t>
        </is>
      </c>
      <c r="Y330" t="inlineStr">
        <is>
          <t>1991-09-30</t>
        </is>
      </c>
      <c r="Z330" t="inlineStr">
        <is>
          <t>1991-09-30</t>
        </is>
      </c>
      <c r="AA330" t="n">
        <v>424</v>
      </c>
      <c r="AB330" t="n">
        <v>294</v>
      </c>
      <c r="AC330" t="n">
        <v>301</v>
      </c>
      <c r="AD330" t="n">
        <v>4</v>
      </c>
      <c r="AE330" t="n">
        <v>4</v>
      </c>
      <c r="AF330" t="n">
        <v>18</v>
      </c>
      <c r="AG330" t="n">
        <v>18</v>
      </c>
      <c r="AH330" t="n">
        <v>5</v>
      </c>
      <c r="AI330" t="n">
        <v>5</v>
      </c>
      <c r="AJ330" t="n">
        <v>4</v>
      </c>
      <c r="AK330" t="n">
        <v>4</v>
      </c>
      <c r="AL330" t="n">
        <v>12</v>
      </c>
      <c r="AM330" t="n">
        <v>12</v>
      </c>
      <c r="AN330" t="n">
        <v>3</v>
      </c>
      <c r="AO330" t="n">
        <v>3</v>
      </c>
      <c r="AP330" t="n">
        <v>0</v>
      </c>
      <c r="AQ330" t="n">
        <v>0</v>
      </c>
      <c r="AR330" t="inlineStr">
        <is>
          <t>No</t>
        </is>
      </c>
      <c r="AS330" t="inlineStr">
        <is>
          <t>No</t>
        </is>
      </c>
      <c r="AU330">
        <f>HYPERLINK("https://creighton-primo.hosted.exlibrisgroup.com/primo-explore/search?tab=default_tab&amp;search_scope=EVERYTHING&amp;vid=01CRU&amp;lang=en_US&amp;offset=0&amp;query=any,contains,991000584319702656","Catalog Record")</f>
        <v/>
      </c>
      <c r="AV330">
        <f>HYPERLINK("http://www.worldcat.org/oclc/11755724","WorldCat Record")</f>
        <v/>
      </c>
      <c r="AW330" t="inlineStr">
        <is>
          <t>4306115:eng</t>
        </is>
      </c>
      <c r="AX330" t="inlineStr">
        <is>
          <t>11755724</t>
        </is>
      </c>
      <c r="AY330" t="inlineStr">
        <is>
          <t>991000584319702656</t>
        </is>
      </c>
      <c r="AZ330" t="inlineStr">
        <is>
          <t>991000584319702656</t>
        </is>
      </c>
      <c r="BA330" t="inlineStr">
        <is>
          <t>2270766430002656</t>
        </is>
      </c>
      <c r="BB330" t="inlineStr">
        <is>
          <t>BOOK</t>
        </is>
      </c>
      <c r="BD330" t="inlineStr">
        <is>
          <t>9780859911801</t>
        </is>
      </c>
      <c r="BE330" t="inlineStr">
        <is>
          <t>32285000764885</t>
        </is>
      </c>
      <c r="BF330" t="inlineStr">
        <is>
          <t>893515399</t>
        </is>
      </c>
    </row>
    <row r="331">
      <c r="A331" t="inlineStr">
        <is>
          <t>No</t>
        </is>
      </c>
      <c r="B331" t="inlineStr">
        <is>
          <t>CURAL</t>
        </is>
      </c>
      <c r="C331" t="inlineStr">
        <is>
          <t>SHELVES</t>
        </is>
      </c>
      <c r="D331" t="inlineStr">
        <is>
          <t>PR1951 .R6</t>
        </is>
      </c>
      <c r="E331" t="inlineStr">
        <is>
          <t>0                      PR 1951000R  6</t>
        </is>
      </c>
      <c r="F331" t="inlineStr">
        <is>
          <t>Chaucer's prosody; a study of the Middle English verse tradition.</t>
        </is>
      </c>
      <c r="H331" t="inlineStr">
        <is>
          <t>No</t>
        </is>
      </c>
      <c r="I331" t="inlineStr">
        <is>
          <t>1</t>
        </is>
      </c>
      <c r="J331" t="inlineStr">
        <is>
          <t>No</t>
        </is>
      </c>
      <c r="K331" t="inlineStr">
        <is>
          <t>No</t>
        </is>
      </c>
      <c r="L331" t="inlineStr">
        <is>
          <t>0</t>
        </is>
      </c>
      <c r="M331" t="inlineStr">
        <is>
          <t>Robinson, Ian, 1944-</t>
        </is>
      </c>
      <c r="N331" t="inlineStr">
        <is>
          <t>Cambridge [Eng.] University Press, 1971.</t>
        </is>
      </c>
      <c r="O331" t="inlineStr">
        <is>
          <t>1971</t>
        </is>
      </c>
      <c r="Q331" t="inlineStr">
        <is>
          <t>eng</t>
        </is>
      </c>
      <c r="R331" t="inlineStr">
        <is>
          <t>enk</t>
        </is>
      </c>
      <c r="T331" t="inlineStr">
        <is>
          <t xml:space="preserve">PR </t>
        </is>
      </c>
      <c r="U331" t="n">
        <v>1</v>
      </c>
      <c r="V331" t="n">
        <v>1</v>
      </c>
      <c r="W331" t="inlineStr">
        <is>
          <t>2004-10-31</t>
        </is>
      </c>
      <c r="X331" t="inlineStr">
        <is>
          <t>2004-10-31</t>
        </is>
      </c>
      <c r="Y331" t="inlineStr">
        <is>
          <t>1997-07-29</t>
        </is>
      </c>
      <c r="Z331" t="inlineStr">
        <is>
          <t>1997-07-29</t>
        </is>
      </c>
      <c r="AA331" t="n">
        <v>698</v>
      </c>
      <c r="AB331" t="n">
        <v>520</v>
      </c>
      <c r="AC331" t="n">
        <v>521</v>
      </c>
      <c r="AD331" t="n">
        <v>8</v>
      </c>
      <c r="AE331" t="n">
        <v>8</v>
      </c>
      <c r="AF331" t="n">
        <v>34</v>
      </c>
      <c r="AG331" t="n">
        <v>34</v>
      </c>
      <c r="AH331" t="n">
        <v>10</v>
      </c>
      <c r="AI331" t="n">
        <v>10</v>
      </c>
      <c r="AJ331" t="n">
        <v>6</v>
      </c>
      <c r="AK331" t="n">
        <v>6</v>
      </c>
      <c r="AL331" t="n">
        <v>19</v>
      </c>
      <c r="AM331" t="n">
        <v>19</v>
      </c>
      <c r="AN331" t="n">
        <v>7</v>
      </c>
      <c r="AO331" t="n">
        <v>7</v>
      </c>
      <c r="AP331" t="n">
        <v>0</v>
      </c>
      <c r="AQ331" t="n">
        <v>0</v>
      </c>
      <c r="AR331" t="inlineStr">
        <is>
          <t>No</t>
        </is>
      </c>
      <c r="AS331" t="inlineStr">
        <is>
          <t>No</t>
        </is>
      </c>
      <c r="AU331">
        <f>HYPERLINK("https://creighton-primo.hosted.exlibrisgroup.com/primo-explore/search?tab=default_tab&amp;search_scope=EVERYTHING&amp;vid=01CRU&amp;lang=en_US&amp;offset=0&amp;query=any,contains,991000777529702656","Catalog Record")</f>
        <v/>
      </c>
      <c r="AV331">
        <f>HYPERLINK("http://www.worldcat.org/oclc/133710","WorldCat Record")</f>
        <v/>
      </c>
      <c r="AW331" t="inlineStr">
        <is>
          <t>198192618:eng</t>
        </is>
      </c>
      <c r="AX331" t="inlineStr">
        <is>
          <t>133710</t>
        </is>
      </c>
      <c r="AY331" t="inlineStr">
        <is>
          <t>991000777529702656</t>
        </is>
      </c>
      <c r="AZ331" t="inlineStr">
        <is>
          <t>991000777529702656</t>
        </is>
      </c>
      <c r="BA331" t="inlineStr">
        <is>
          <t>2255801560002656</t>
        </is>
      </c>
      <c r="BB331" t="inlineStr">
        <is>
          <t>BOOK</t>
        </is>
      </c>
      <c r="BD331" t="inlineStr">
        <is>
          <t>9780521079204</t>
        </is>
      </c>
      <c r="BE331" t="inlineStr">
        <is>
          <t>32285002987989</t>
        </is>
      </c>
      <c r="BF331" t="inlineStr">
        <is>
          <t>893225298</t>
        </is>
      </c>
    </row>
    <row r="332">
      <c r="A332" t="inlineStr">
        <is>
          <t>No</t>
        </is>
      </c>
      <c r="B332" t="inlineStr">
        <is>
          <t>CURAL</t>
        </is>
      </c>
      <c r="C332" t="inlineStr">
        <is>
          <t>SHELVES</t>
        </is>
      </c>
      <c r="D332" t="inlineStr">
        <is>
          <t>PR1972 .G35 1984</t>
        </is>
      </c>
      <c r="E332" t="inlineStr">
        <is>
          <t>0                      PR 1972000G  35          1984</t>
        </is>
      </c>
      <c r="F332" t="inlineStr">
        <is>
          <t>The Pearl poems : an omnibus edition / edited by William Vantuono.</t>
        </is>
      </c>
      <c r="H332" t="inlineStr">
        <is>
          <t>Yes</t>
        </is>
      </c>
      <c r="I332" t="inlineStr">
        <is>
          <t>1</t>
        </is>
      </c>
      <c r="J332" t="inlineStr">
        <is>
          <t>No</t>
        </is>
      </c>
      <c r="K332" t="inlineStr">
        <is>
          <t>No</t>
        </is>
      </c>
      <c r="L332" t="inlineStr">
        <is>
          <t>0</t>
        </is>
      </c>
      <c r="M332" t="inlineStr">
        <is>
          <t>British Library. Manuscript. Cotton Nero A. x. English &amp; English (Middle English)</t>
        </is>
      </c>
      <c r="N332" t="inlineStr">
        <is>
          <t>New York : Garland Pub., 1984.</t>
        </is>
      </c>
      <c r="O332" t="inlineStr">
        <is>
          <t>1984</t>
        </is>
      </c>
      <c r="Q332" t="inlineStr">
        <is>
          <t>eng</t>
        </is>
      </c>
      <c r="R332" t="inlineStr">
        <is>
          <t>nyu</t>
        </is>
      </c>
      <c r="S332" t="inlineStr">
        <is>
          <t>The Renaissance imagination ; v. 5-6</t>
        </is>
      </c>
      <c r="T332" t="inlineStr">
        <is>
          <t xml:space="preserve">PR </t>
        </is>
      </c>
      <c r="U332" t="n">
        <v>5</v>
      </c>
      <c r="V332" t="n">
        <v>5</v>
      </c>
      <c r="W332" t="inlineStr">
        <is>
          <t>1998-12-18</t>
        </is>
      </c>
      <c r="X332" t="inlineStr">
        <is>
          <t>1998-12-18</t>
        </is>
      </c>
      <c r="Y332" t="inlineStr">
        <is>
          <t>1991-09-30</t>
        </is>
      </c>
      <c r="Z332" t="inlineStr">
        <is>
          <t>1991-09-30</t>
        </is>
      </c>
      <c r="AA332" t="n">
        <v>375</v>
      </c>
      <c r="AB332" t="n">
        <v>307</v>
      </c>
      <c r="AC332" t="n">
        <v>309</v>
      </c>
      <c r="AD332" t="n">
        <v>2</v>
      </c>
      <c r="AE332" t="n">
        <v>2</v>
      </c>
      <c r="AF332" t="n">
        <v>18</v>
      </c>
      <c r="AG332" t="n">
        <v>18</v>
      </c>
      <c r="AH332" t="n">
        <v>6</v>
      </c>
      <c r="AI332" t="n">
        <v>6</v>
      </c>
      <c r="AJ332" t="n">
        <v>7</v>
      </c>
      <c r="AK332" t="n">
        <v>7</v>
      </c>
      <c r="AL332" t="n">
        <v>9</v>
      </c>
      <c r="AM332" t="n">
        <v>9</v>
      </c>
      <c r="AN332" t="n">
        <v>1</v>
      </c>
      <c r="AO332" t="n">
        <v>1</v>
      </c>
      <c r="AP332" t="n">
        <v>0</v>
      </c>
      <c r="AQ332" t="n">
        <v>0</v>
      </c>
      <c r="AR332" t="inlineStr">
        <is>
          <t>No</t>
        </is>
      </c>
      <c r="AS332" t="inlineStr">
        <is>
          <t>Yes</t>
        </is>
      </c>
      <c r="AT332">
        <f>HYPERLINK("http://catalog.hathitrust.org/Record/000433136","HathiTrust Record")</f>
        <v/>
      </c>
      <c r="AU332">
        <f>HYPERLINK("https://creighton-primo.hosted.exlibrisgroup.com/primo-explore/search?tab=default_tab&amp;search_scope=EVERYTHING&amp;vid=01CRU&amp;lang=en_US&amp;offset=0&amp;query=any,contains,991000111889702656","Catalog Record")</f>
        <v/>
      </c>
      <c r="AV332">
        <f>HYPERLINK("http://www.worldcat.org/oclc/9016390","WorldCat Record")</f>
        <v/>
      </c>
      <c r="AW332" t="inlineStr">
        <is>
          <t>5091339019:eng</t>
        </is>
      </c>
      <c r="AX332" t="inlineStr">
        <is>
          <t>9016390</t>
        </is>
      </c>
      <c r="AY332" t="inlineStr">
        <is>
          <t>991000111889702656</t>
        </is>
      </c>
      <c r="AZ332" t="inlineStr">
        <is>
          <t>991000111889702656</t>
        </is>
      </c>
      <c r="BA332" t="inlineStr">
        <is>
          <t>2257458620002656</t>
        </is>
      </c>
      <c r="BB332" t="inlineStr">
        <is>
          <t>BOOK</t>
        </is>
      </c>
      <c r="BD332" t="inlineStr">
        <is>
          <t>9780824054519</t>
        </is>
      </c>
      <c r="BE332" t="inlineStr">
        <is>
          <t>32285000764943</t>
        </is>
      </c>
      <c r="BF332" t="inlineStr">
        <is>
          <t>893495924</t>
        </is>
      </c>
    </row>
    <row r="333">
      <c r="A333" t="inlineStr">
        <is>
          <t>No</t>
        </is>
      </c>
      <c r="B333" t="inlineStr">
        <is>
          <t>CURAL</t>
        </is>
      </c>
      <c r="C333" t="inlineStr">
        <is>
          <t>SHELVES</t>
        </is>
      </c>
      <c r="D333" t="inlineStr">
        <is>
          <t>PR1972.G353 P75 1994</t>
        </is>
      </c>
      <c r="E333" t="inlineStr">
        <is>
          <t>0                      PR 1972000G  353                P  75          1994</t>
        </is>
      </c>
      <c r="F333" t="inlineStr">
        <is>
          <t>The pearl poet revisited / Sandra Pierson Prior.</t>
        </is>
      </c>
      <c r="H333" t="inlineStr">
        <is>
          <t>No</t>
        </is>
      </c>
      <c r="I333" t="inlineStr">
        <is>
          <t>1</t>
        </is>
      </c>
      <c r="J333" t="inlineStr">
        <is>
          <t>No</t>
        </is>
      </c>
      <c r="K333" t="inlineStr">
        <is>
          <t>No</t>
        </is>
      </c>
      <c r="L333" t="inlineStr">
        <is>
          <t>0</t>
        </is>
      </c>
      <c r="M333" t="inlineStr">
        <is>
          <t>Prior, Sandra Pierson.</t>
        </is>
      </c>
      <c r="N333" t="inlineStr">
        <is>
          <t>New York : Twayne, 1994.</t>
        </is>
      </c>
      <c r="O333" t="inlineStr">
        <is>
          <t>1994</t>
        </is>
      </c>
      <c r="Q333" t="inlineStr">
        <is>
          <t>eng</t>
        </is>
      </c>
      <c r="R333" t="inlineStr">
        <is>
          <t>nyu</t>
        </is>
      </c>
      <c r="S333" t="inlineStr">
        <is>
          <t>Twayne's English authors series ; TEAS 512</t>
        </is>
      </c>
      <c r="T333" t="inlineStr">
        <is>
          <t xml:space="preserve">PR </t>
        </is>
      </c>
      <c r="U333" t="n">
        <v>3</v>
      </c>
      <c r="V333" t="n">
        <v>3</v>
      </c>
      <c r="W333" t="inlineStr">
        <is>
          <t>2009-04-03</t>
        </is>
      </c>
      <c r="X333" t="inlineStr">
        <is>
          <t>2009-04-03</t>
        </is>
      </c>
      <c r="Y333" t="inlineStr">
        <is>
          <t>1994-10-31</t>
        </is>
      </c>
      <c r="Z333" t="inlineStr">
        <is>
          <t>1994-10-31</t>
        </is>
      </c>
      <c r="AA333" t="n">
        <v>528</v>
      </c>
      <c r="AB333" t="n">
        <v>466</v>
      </c>
      <c r="AC333" t="n">
        <v>603</v>
      </c>
      <c r="AD333" t="n">
        <v>5</v>
      </c>
      <c r="AE333" t="n">
        <v>7</v>
      </c>
      <c r="AF333" t="n">
        <v>25</v>
      </c>
      <c r="AG333" t="n">
        <v>28</v>
      </c>
      <c r="AH333" t="n">
        <v>9</v>
      </c>
      <c r="AI333" t="n">
        <v>9</v>
      </c>
      <c r="AJ333" t="n">
        <v>4</v>
      </c>
      <c r="AK333" t="n">
        <v>4</v>
      </c>
      <c r="AL333" t="n">
        <v>14</v>
      </c>
      <c r="AM333" t="n">
        <v>15</v>
      </c>
      <c r="AN333" t="n">
        <v>4</v>
      </c>
      <c r="AO333" t="n">
        <v>6</v>
      </c>
      <c r="AP333" t="n">
        <v>0</v>
      </c>
      <c r="AQ333" t="n">
        <v>0</v>
      </c>
      <c r="AR333" t="inlineStr">
        <is>
          <t>No</t>
        </is>
      </c>
      <c r="AS333" t="inlineStr">
        <is>
          <t>Yes</t>
        </is>
      </c>
      <c r="AT333">
        <f>HYPERLINK("http://catalog.hathitrust.org/Record/002908450","HathiTrust Record")</f>
        <v/>
      </c>
      <c r="AU333">
        <f>HYPERLINK("https://creighton-primo.hosted.exlibrisgroup.com/primo-explore/search?tab=default_tab&amp;search_scope=EVERYTHING&amp;vid=01CRU&amp;lang=en_US&amp;offset=0&amp;query=any,contains,991002321669702656","Catalog Record")</f>
        <v/>
      </c>
      <c r="AV333">
        <f>HYPERLINK("http://www.worldcat.org/oclc/30110360","WorldCat Record")</f>
        <v/>
      </c>
      <c r="AW333" t="inlineStr">
        <is>
          <t>1075066:eng</t>
        </is>
      </c>
      <c r="AX333" t="inlineStr">
        <is>
          <t>30110360</t>
        </is>
      </c>
      <c r="AY333" t="inlineStr">
        <is>
          <t>991002321669702656</t>
        </is>
      </c>
      <c r="AZ333" t="inlineStr">
        <is>
          <t>991002321669702656</t>
        </is>
      </c>
      <c r="BA333" t="inlineStr">
        <is>
          <t>2256136670002656</t>
        </is>
      </c>
      <c r="BB333" t="inlineStr">
        <is>
          <t>BOOK</t>
        </is>
      </c>
      <c r="BD333" t="inlineStr">
        <is>
          <t>9780805745160</t>
        </is>
      </c>
      <c r="BE333" t="inlineStr">
        <is>
          <t>32285001970176</t>
        </is>
      </c>
      <c r="BF333" t="inlineStr">
        <is>
          <t>893773475</t>
        </is>
      </c>
    </row>
    <row r="334">
      <c r="A334" t="inlineStr">
        <is>
          <t>No</t>
        </is>
      </c>
      <c r="B334" t="inlineStr">
        <is>
          <t>CURAL</t>
        </is>
      </c>
      <c r="C334" t="inlineStr">
        <is>
          <t>SHELVES</t>
        </is>
      </c>
      <c r="D334" t="inlineStr">
        <is>
          <t>PR1972.G353 S7 1991</t>
        </is>
      </c>
      <c r="E334" t="inlineStr">
        <is>
          <t>0                      PR 1972000G  353                S  7           1991</t>
        </is>
      </c>
      <c r="F334" t="inlineStr">
        <is>
          <t>Seeing the Gawain-poet : description and the act of perception / Sarah Stanbury.</t>
        </is>
      </c>
      <c r="H334" t="inlineStr">
        <is>
          <t>No</t>
        </is>
      </c>
      <c r="I334" t="inlineStr">
        <is>
          <t>1</t>
        </is>
      </c>
      <c r="J334" t="inlineStr">
        <is>
          <t>No</t>
        </is>
      </c>
      <c r="K334" t="inlineStr">
        <is>
          <t>No</t>
        </is>
      </c>
      <c r="L334" t="inlineStr">
        <is>
          <t>0</t>
        </is>
      </c>
      <c r="M334" t="inlineStr">
        <is>
          <t>Stanbury, Sarah.</t>
        </is>
      </c>
      <c r="N334" t="inlineStr">
        <is>
          <t>Philadelphia : University of Pennsylvania Press, c1991.</t>
        </is>
      </c>
      <c r="O334" t="inlineStr">
        <is>
          <t>1991</t>
        </is>
      </c>
      <c r="Q334" t="inlineStr">
        <is>
          <t>eng</t>
        </is>
      </c>
      <c r="R334" t="inlineStr">
        <is>
          <t>pau</t>
        </is>
      </c>
      <c r="S334" t="inlineStr">
        <is>
          <t>Middle Ages</t>
        </is>
      </c>
      <c r="T334" t="inlineStr">
        <is>
          <t xml:space="preserve">PR </t>
        </is>
      </c>
      <c r="U334" t="n">
        <v>3</v>
      </c>
      <c r="V334" t="n">
        <v>3</v>
      </c>
      <c r="W334" t="inlineStr">
        <is>
          <t>2009-04-03</t>
        </is>
      </c>
      <c r="X334" t="inlineStr">
        <is>
          <t>2009-04-03</t>
        </is>
      </c>
      <c r="Y334" t="inlineStr">
        <is>
          <t>1992-03-25</t>
        </is>
      </c>
      <c r="Z334" t="inlineStr">
        <is>
          <t>1992-03-25</t>
        </is>
      </c>
      <c r="AA334" t="n">
        <v>480</v>
      </c>
      <c r="AB334" t="n">
        <v>389</v>
      </c>
      <c r="AC334" t="n">
        <v>927</v>
      </c>
      <c r="AD334" t="n">
        <v>4</v>
      </c>
      <c r="AE334" t="n">
        <v>5</v>
      </c>
      <c r="AF334" t="n">
        <v>26</v>
      </c>
      <c r="AG334" t="n">
        <v>38</v>
      </c>
      <c r="AH334" t="n">
        <v>7</v>
      </c>
      <c r="AI334" t="n">
        <v>16</v>
      </c>
      <c r="AJ334" t="n">
        <v>6</v>
      </c>
      <c r="AK334" t="n">
        <v>9</v>
      </c>
      <c r="AL334" t="n">
        <v>17</v>
      </c>
      <c r="AM334" t="n">
        <v>19</v>
      </c>
      <c r="AN334" t="n">
        <v>3</v>
      </c>
      <c r="AO334" t="n">
        <v>4</v>
      </c>
      <c r="AP334" t="n">
        <v>0</v>
      </c>
      <c r="AQ334" t="n">
        <v>0</v>
      </c>
      <c r="AR334" t="inlineStr">
        <is>
          <t>No</t>
        </is>
      </c>
      <c r="AS334" t="inlineStr">
        <is>
          <t>Yes</t>
        </is>
      </c>
      <c r="AT334">
        <f>HYPERLINK("http://catalog.hathitrust.org/Record/002523889","HathiTrust Record")</f>
        <v/>
      </c>
      <c r="AU334">
        <f>HYPERLINK("https://creighton-primo.hosted.exlibrisgroup.com/primo-explore/search?tab=default_tab&amp;search_scope=EVERYTHING&amp;vid=01CRU&amp;lang=en_US&amp;offset=0&amp;query=any,contains,991001914599702656","Catalog Record")</f>
        <v/>
      </c>
      <c r="AV334">
        <f>HYPERLINK("http://www.worldcat.org/oclc/24174058","WorldCat Record")</f>
        <v/>
      </c>
      <c r="AW334" t="inlineStr">
        <is>
          <t>1010505:eng</t>
        </is>
      </c>
      <c r="AX334" t="inlineStr">
        <is>
          <t>24174058</t>
        </is>
      </c>
      <c r="AY334" t="inlineStr">
        <is>
          <t>991001914599702656</t>
        </is>
      </c>
      <c r="AZ334" t="inlineStr">
        <is>
          <t>991001914599702656</t>
        </is>
      </c>
      <c r="BA334" t="inlineStr">
        <is>
          <t>2269508380002656</t>
        </is>
      </c>
      <c r="BB334" t="inlineStr">
        <is>
          <t>BOOK</t>
        </is>
      </c>
      <c r="BD334" t="inlineStr">
        <is>
          <t>9780812231090</t>
        </is>
      </c>
      <c r="BE334" t="inlineStr">
        <is>
          <t>32285001006641</t>
        </is>
      </c>
      <c r="BF334" t="inlineStr">
        <is>
          <t>893497533</t>
        </is>
      </c>
    </row>
    <row r="335">
      <c r="A335" t="inlineStr">
        <is>
          <t>No</t>
        </is>
      </c>
      <c r="B335" t="inlineStr">
        <is>
          <t>CURAL</t>
        </is>
      </c>
      <c r="C335" t="inlineStr">
        <is>
          <t>SHELVES</t>
        </is>
      </c>
      <c r="D335" t="inlineStr">
        <is>
          <t>PR201 .A5</t>
        </is>
      </c>
      <c r="E335" t="inlineStr">
        <is>
          <t>0                      PR 0201000A  5</t>
        </is>
      </c>
      <c r="F335" t="inlineStr">
        <is>
          <t>Anglo-Saxon poetry : essays in appreciation : for John C. McGalliard / edited by Lewis E. Nicholson, Dolores Warwick Frese.</t>
        </is>
      </c>
      <c r="H335" t="inlineStr">
        <is>
          <t>No</t>
        </is>
      </c>
      <c r="I335" t="inlineStr">
        <is>
          <t>1</t>
        </is>
      </c>
      <c r="J335" t="inlineStr">
        <is>
          <t>No</t>
        </is>
      </c>
      <c r="K335" t="inlineStr">
        <is>
          <t>No</t>
        </is>
      </c>
      <c r="L335" t="inlineStr">
        <is>
          <t>0</t>
        </is>
      </c>
      <c r="N335" t="inlineStr">
        <is>
          <t>Notre Dame [Ind.] : University of Notre Dame Press, c1975.</t>
        </is>
      </c>
      <c r="O335" t="inlineStr">
        <is>
          <t>1975</t>
        </is>
      </c>
      <c r="Q335" t="inlineStr">
        <is>
          <t>eng</t>
        </is>
      </c>
      <c r="R335" t="inlineStr">
        <is>
          <t>inu</t>
        </is>
      </c>
      <c r="T335" t="inlineStr">
        <is>
          <t xml:space="preserve">PR </t>
        </is>
      </c>
      <c r="U335" t="n">
        <v>4</v>
      </c>
      <c r="V335" t="n">
        <v>4</v>
      </c>
      <c r="W335" t="inlineStr">
        <is>
          <t>2005-03-21</t>
        </is>
      </c>
      <c r="X335" t="inlineStr">
        <is>
          <t>2005-03-21</t>
        </is>
      </c>
      <c r="Y335" t="inlineStr">
        <is>
          <t>1997-08-18</t>
        </is>
      </c>
      <c r="Z335" t="inlineStr">
        <is>
          <t>1997-08-18</t>
        </is>
      </c>
      <c r="AA335" t="n">
        <v>902</v>
      </c>
      <c r="AB335" t="n">
        <v>767</v>
      </c>
      <c r="AC335" t="n">
        <v>780</v>
      </c>
      <c r="AD335" t="n">
        <v>7</v>
      </c>
      <c r="AE335" t="n">
        <v>7</v>
      </c>
      <c r="AF335" t="n">
        <v>36</v>
      </c>
      <c r="AG335" t="n">
        <v>36</v>
      </c>
      <c r="AH335" t="n">
        <v>13</v>
      </c>
      <c r="AI335" t="n">
        <v>13</v>
      </c>
      <c r="AJ335" t="n">
        <v>9</v>
      </c>
      <c r="AK335" t="n">
        <v>9</v>
      </c>
      <c r="AL335" t="n">
        <v>19</v>
      </c>
      <c r="AM335" t="n">
        <v>19</v>
      </c>
      <c r="AN335" t="n">
        <v>6</v>
      </c>
      <c r="AO335" t="n">
        <v>6</v>
      </c>
      <c r="AP335" t="n">
        <v>0</v>
      </c>
      <c r="AQ335" t="n">
        <v>0</v>
      </c>
      <c r="AR335" t="inlineStr">
        <is>
          <t>No</t>
        </is>
      </c>
      <c r="AS335" t="inlineStr">
        <is>
          <t>Yes</t>
        </is>
      </c>
      <c r="AT335">
        <f>HYPERLINK("http://catalog.hathitrust.org/Record/000689233","HathiTrust Record")</f>
        <v/>
      </c>
      <c r="AU335">
        <f>HYPERLINK("https://creighton-primo.hosted.exlibrisgroup.com/primo-explore/search?tab=default_tab&amp;search_scope=EVERYTHING&amp;vid=01CRU&amp;lang=en_US&amp;offset=0&amp;query=any,contains,991003965309702656","Catalog Record")</f>
        <v/>
      </c>
      <c r="AV335">
        <f>HYPERLINK("http://www.worldcat.org/oclc/1981886","WorldCat Record")</f>
        <v/>
      </c>
      <c r="AW335" t="inlineStr">
        <is>
          <t>836650338:eng</t>
        </is>
      </c>
      <c r="AX335" t="inlineStr">
        <is>
          <t>1981886</t>
        </is>
      </c>
      <c r="AY335" t="inlineStr">
        <is>
          <t>991003965309702656</t>
        </is>
      </c>
      <c r="AZ335" t="inlineStr">
        <is>
          <t>991003965309702656</t>
        </is>
      </c>
      <c r="BA335" t="inlineStr">
        <is>
          <t>2258203670002656</t>
        </is>
      </c>
      <c r="BB335" t="inlineStr">
        <is>
          <t>BOOK</t>
        </is>
      </c>
      <c r="BD335" t="inlineStr">
        <is>
          <t>9780268005757</t>
        </is>
      </c>
      <c r="BE335" t="inlineStr">
        <is>
          <t>32285003150645</t>
        </is>
      </c>
      <c r="BF335" t="inlineStr">
        <is>
          <t>893535742</t>
        </is>
      </c>
    </row>
    <row r="336">
      <c r="A336" t="inlineStr">
        <is>
          <t>No</t>
        </is>
      </c>
      <c r="B336" t="inlineStr">
        <is>
          <t>CURAL</t>
        </is>
      </c>
      <c r="C336" t="inlineStr">
        <is>
          <t>SHELVES</t>
        </is>
      </c>
      <c r="D336" t="inlineStr">
        <is>
          <t>PR201 .C57 1995</t>
        </is>
      </c>
      <c r="E336" t="inlineStr">
        <is>
          <t>0                      PR 0201000C  57          1995</t>
        </is>
      </c>
      <c r="F336" t="inlineStr">
        <is>
          <t>Interactions of thought and language in Old English poetry / Peter Clemoes.</t>
        </is>
      </c>
      <c r="H336" t="inlineStr">
        <is>
          <t>No</t>
        </is>
      </c>
      <c r="I336" t="inlineStr">
        <is>
          <t>1</t>
        </is>
      </c>
      <c r="J336" t="inlineStr">
        <is>
          <t>No</t>
        </is>
      </c>
      <c r="K336" t="inlineStr">
        <is>
          <t>No</t>
        </is>
      </c>
      <c r="L336" t="inlineStr">
        <is>
          <t>0</t>
        </is>
      </c>
      <c r="M336" t="inlineStr">
        <is>
          <t>Clemoes, Peter.</t>
        </is>
      </c>
      <c r="N336" t="inlineStr">
        <is>
          <t>Cambridge ; New York : Cambridge University Press, 1995.</t>
        </is>
      </c>
      <c r="O336" t="inlineStr">
        <is>
          <t>1995</t>
        </is>
      </c>
      <c r="Q336" t="inlineStr">
        <is>
          <t>eng</t>
        </is>
      </c>
      <c r="R336" t="inlineStr">
        <is>
          <t>enk</t>
        </is>
      </c>
      <c r="S336" t="inlineStr">
        <is>
          <t>Cambridge studies in Anglo-Saxon England</t>
        </is>
      </c>
      <c r="T336" t="inlineStr">
        <is>
          <t xml:space="preserve">PR </t>
        </is>
      </c>
      <c r="U336" t="n">
        <v>4</v>
      </c>
      <c r="V336" t="n">
        <v>4</v>
      </c>
      <c r="W336" t="inlineStr">
        <is>
          <t>2000-02-01</t>
        </is>
      </c>
      <c r="X336" t="inlineStr">
        <is>
          <t>2000-02-01</t>
        </is>
      </c>
      <c r="Y336" t="inlineStr">
        <is>
          <t>1995-11-09</t>
        </is>
      </c>
      <c r="Z336" t="inlineStr">
        <is>
          <t>1995-11-09</t>
        </is>
      </c>
      <c r="AA336" t="n">
        <v>384</v>
      </c>
      <c r="AB336" t="n">
        <v>269</v>
      </c>
      <c r="AC336" t="n">
        <v>279</v>
      </c>
      <c r="AD336" t="n">
        <v>3</v>
      </c>
      <c r="AE336" t="n">
        <v>3</v>
      </c>
      <c r="AF336" t="n">
        <v>15</v>
      </c>
      <c r="AG336" t="n">
        <v>15</v>
      </c>
      <c r="AH336" t="n">
        <v>3</v>
      </c>
      <c r="AI336" t="n">
        <v>3</v>
      </c>
      <c r="AJ336" t="n">
        <v>7</v>
      </c>
      <c r="AK336" t="n">
        <v>7</v>
      </c>
      <c r="AL336" t="n">
        <v>7</v>
      </c>
      <c r="AM336" t="n">
        <v>7</v>
      </c>
      <c r="AN336" t="n">
        <v>2</v>
      </c>
      <c r="AO336" t="n">
        <v>2</v>
      </c>
      <c r="AP336" t="n">
        <v>0</v>
      </c>
      <c r="AQ336" t="n">
        <v>0</v>
      </c>
      <c r="AR336" t="inlineStr">
        <is>
          <t>No</t>
        </is>
      </c>
      <c r="AS336" t="inlineStr">
        <is>
          <t>No</t>
        </is>
      </c>
      <c r="AU336">
        <f>HYPERLINK("https://creighton-primo.hosted.exlibrisgroup.com/primo-explore/search?tab=default_tab&amp;search_scope=EVERYTHING&amp;vid=01CRU&amp;lang=en_US&amp;offset=0&amp;query=any,contains,991002379659702656","Catalog Record")</f>
        <v/>
      </c>
      <c r="AV336">
        <f>HYPERLINK("http://www.worldcat.org/oclc/30915503","WorldCat Record")</f>
        <v/>
      </c>
      <c r="AW336" t="inlineStr">
        <is>
          <t>32811381:eng</t>
        </is>
      </c>
      <c r="AX336" t="inlineStr">
        <is>
          <t>30915503</t>
        </is>
      </c>
      <c r="AY336" t="inlineStr">
        <is>
          <t>991002379659702656</t>
        </is>
      </c>
      <c r="AZ336" t="inlineStr">
        <is>
          <t>991002379659702656</t>
        </is>
      </c>
      <c r="BA336" t="inlineStr">
        <is>
          <t>2271135540002656</t>
        </is>
      </c>
      <c r="BB336" t="inlineStr">
        <is>
          <t>BOOK</t>
        </is>
      </c>
      <c r="BD336" t="inlineStr">
        <is>
          <t>9780521307116</t>
        </is>
      </c>
      <c r="BE336" t="inlineStr">
        <is>
          <t>32285002102308</t>
        </is>
      </c>
      <c r="BF336" t="inlineStr">
        <is>
          <t>893257227</t>
        </is>
      </c>
    </row>
    <row r="337">
      <c r="A337" t="inlineStr">
        <is>
          <t>No</t>
        </is>
      </c>
      <c r="B337" t="inlineStr">
        <is>
          <t>CURAL</t>
        </is>
      </c>
      <c r="C337" t="inlineStr">
        <is>
          <t>SHELVES</t>
        </is>
      </c>
      <c r="D337" t="inlineStr">
        <is>
          <t>PR201 .C7</t>
        </is>
      </c>
      <c r="E337" t="inlineStr">
        <is>
          <t>0                      PR 0201000C  7</t>
        </is>
      </c>
      <c r="F337" t="inlineStr">
        <is>
          <t>Old English poetry : fifteen essays / edited by Robert P. Creed.</t>
        </is>
      </c>
      <c r="H337" t="inlineStr">
        <is>
          <t>No</t>
        </is>
      </c>
      <c r="I337" t="inlineStr">
        <is>
          <t>1</t>
        </is>
      </c>
      <c r="J337" t="inlineStr">
        <is>
          <t>No</t>
        </is>
      </c>
      <c r="K337" t="inlineStr">
        <is>
          <t>No</t>
        </is>
      </c>
      <c r="L337" t="inlineStr">
        <is>
          <t>0</t>
        </is>
      </c>
      <c r="M337" t="inlineStr">
        <is>
          <t>Creed, Robert Payson, 1925-2015, compiler.</t>
        </is>
      </c>
      <c r="N337" t="inlineStr">
        <is>
          <t>Providence, Brown University Press, 1967.</t>
        </is>
      </c>
      <c r="O337" t="inlineStr">
        <is>
          <t>1967</t>
        </is>
      </c>
      <c r="Q337" t="inlineStr">
        <is>
          <t>eng</t>
        </is>
      </c>
      <c r="R337" t="inlineStr">
        <is>
          <t>riu</t>
        </is>
      </c>
      <c r="T337" t="inlineStr">
        <is>
          <t xml:space="preserve">PR </t>
        </is>
      </c>
      <c r="U337" t="n">
        <v>3</v>
      </c>
      <c r="V337" t="n">
        <v>3</v>
      </c>
      <c r="W337" t="inlineStr">
        <is>
          <t>2009-07-26</t>
        </is>
      </c>
      <c r="X337" t="inlineStr">
        <is>
          <t>2009-07-26</t>
        </is>
      </c>
      <c r="Y337" t="inlineStr">
        <is>
          <t>1997-08-19</t>
        </is>
      </c>
      <c r="Z337" t="inlineStr">
        <is>
          <t>1997-08-19</t>
        </is>
      </c>
      <c r="AA337" t="n">
        <v>685</v>
      </c>
      <c r="AB337" t="n">
        <v>564</v>
      </c>
      <c r="AC337" t="n">
        <v>573</v>
      </c>
      <c r="AD337" t="n">
        <v>5</v>
      </c>
      <c r="AE337" t="n">
        <v>5</v>
      </c>
      <c r="AF337" t="n">
        <v>36</v>
      </c>
      <c r="AG337" t="n">
        <v>36</v>
      </c>
      <c r="AH337" t="n">
        <v>15</v>
      </c>
      <c r="AI337" t="n">
        <v>15</v>
      </c>
      <c r="AJ337" t="n">
        <v>8</v>
      </c>
      <c r="AK337" t="n">
        <v>8</v>
      </c>
      <c r="AL337" t="n">
        <v>20</v>
      </c>
      <c r="AM337" t="n">
        <v>20</v>
      </c>
      <c r="AN337" t="n">
        <v>4</v>
      </c>
      <c r="AO337" t="n">
        <v>4</v>
      </c>
      <c r="AP337" t="n">
        <v>0</v>
      </c>
      <c r="AQ337" t="n">
        <v>0</v>
      </c>
      <c r="AR337" t="inlineStr">
        <is>
          <t>No</t>
        </is>
      </c>
      <c r="AS337" t="inlineStr">
        <is>
          <t>Yes</t>
        </is>
      </c>
      <c r="AT337">
        <f>HYPERLINK("http://catalog.hathitrust.org/Record/001016291","HathiTrust Record")</f>
        <v/>
      </c>
      <c r="AU337">
        <f>HYPERLINK("https://creighton-primo.hosted.exlibrisgroup.com/primo-explore/search?tab=default_tab&amp;search_scope=EVERYTHING&amp;vid=01CRU&amp;lang=en_US&amp;offset=0&amp;query=any,contains,991002441369702656","Catalog Record")</f>
        <v/>
      </c>
      <c r="AV337">
        <f>HYPERLINK("http://www.worldcat.org/oclc/350233","WorldCat Record")</f>
        <v/>
      </c>
      <c r="AW337" t="inlineStr">
        <is>
          <t>1383060:eng</t>
        </is>
      </c>
      <c r="AX337" t="inlineStr">
        <is>
          <t>350233</t>
        </is>
      </c>
      <c r="AY337" t="inlineStr">
        <is>
          <t>991002441369702656</t>
        </is>
      </c>
      <c r="AZ337" t="inlineStr">
        <is>
          <t>991002441369702656</t>
        </is>
      </c>
      <c r="BA337" t="inlineStr">
        <is>
          <t>2268757340002656</t>
        </is>
      </c>
      <c r="BB337" t="inlineStr">
        <is>
          <t>BOOK</t>
        </is>
      </c>
      <c r="BE337" t="inlineStr">
        <is>
          <t>32285003150652</t>
        </is>
      </c>
      <c r="BF337" t="inlineStr">
        <is>
          <t>893685363</t>
        </is>
      </c>
    </row>
    <row r="338">
      <c r="A338" t="inlineStr">
        <is>
          <t>No</t>
        </is>
      </c>
      <c r="B338" t="inlineStr">
        <is>
          <t>CURAL</t>
        </is>
      </c>
      <c r="C338" t="inlineStr">
        <is>
          <t>SHELVES</t>
        </is>
      </c>
      <c r="D338" t="inlineStr">
        <is>
          <t>PR201 .I8</t>
        </is>
      </c>
      <c r="E338" t="inlineStr">
        <is>
          <t>0                      PR 0201000I  8</t>
        </is>
      </c>
      <c r="F338" t="inlineStr">
        <is>
          <t>Structural principles in Old English poetry [by] Neil D. Isaacs.</t>
        </is>
      </c>
      <c r="H338" t="inlineStr">
        <is>
          <t>No</t>
        </is>
      </c>
      <c r="I338" t="inlineStr">
        <is>
          <t>1</t>
        </is>
      </c>
      <c r="J338" t="inlineStr">
        <is>
          <t>No</t>
        </is>
      </c>
      <c r="K338" t="inlineStr">
        <is>
          <t>No</t>
        </is>
      </c>
      <c r="L338" t="inlineStr">
        <is>
          <t>0</t>
        </is>
      </c>
      <c r="M338" t="inlineStr">
        <is>
          <t>Isaacs, Neil D., 1931-</t>
        </is>
      </c>
      <c r="N338" t="inlineStr">
        <is>
          <t>Knoxville, University of Tennessee Press [1968]</t>
        </is>
      </c>
      <c r="O338" t="inlineStr">
        <is>
          <t>1968</t>
        </is>
      </c>
      <c r="Q338" t="inlineStr">
        <is>
          <t>eng</t>
        </is>
      </c>
      <c r="R338" t="inlineStr">
        <is>
          <t>tnu</t>
        </is>
      </c>
      <c r="T338" t="inlineStr">
        <is>
          <t xml:space="preserve">PR </t>
        </is>
      </c>
      <c r="U338" t="n">
        <v>1</v>
      </c>
      <c r="V338" t="n">
        <v>1</v>
      </c>
      <c r="W338" t="inlineStr">
        <is>
          <t>2002-04-20</t>
        </is>
      </c>
      <c r="X338" t="inlineStr">
        <is>
          <t>2002-04-20</t>
        </is>
      </c>
      <c r="Y338" t="inlineStr">
        <is>
          <t>1997-08-18</t>
        </is>
      </c>
      <c r="Z338" t="inlineStr">
        <is>
          <t>1997-08-18</t>
        </is>
      </c>
      <c r="AA338" t="n">
        <v>649</v>
      </c>
      <c r="AB338" t="n">
        <v>545</v>
      </c>
      <c r="AC338" t="n">
        <v>546</v>
      </c>
      <c r="AD338" t="n">
        <v>5</v>
      </c>
      <c r="AE338" t="n">
        <v>5</v>
      </c>
      <c r="AF338" t="n">
        <v>26</v>
      </c>
      <c r="AG338" t="n">
        <v>26</v>
      </c>
      <c r="AH338" t="n">
        <v>6</v>
      </c>
      <c r="AI338" t="n">
        <v>6</v>
      </c>
      <c r="AJ338" t="n">
        <v>6</v>
      </c>
      <c r="AK338" t="n">
        <v>6</v>
      </c>
      <c r="AL338" t="n">
        <v>17</v>
      </c>
      <c r="AM338" t="n">
        <v>17</v>
      </c>
      <c r="AN338" t="n">
        <v>4</v>
      </c>
      <c r="AO338" t="n">
        <v>4</v>
      </c>
      <c r="AP338" t="n">
        <v>0</v>
      </c>
      <c r="AQ338" t="n">
        <v>0</v>
      </c>
      <c r="AR338" t="inlineStr">
        <is>
          <t>No</t>
        </is>
      </c>
      <c r="AS338" t="inlineStr">
        <is>
          <t>No</t>
        </is>
      </c>
      <c r="AU338">
        <f>HYPERLINK("https://creighton-primo.hosted.exlibrisgroup.com/primo-explore/search?tab=default_tab&amp;search_scope=EVERYTHING&amp;vid=01CRU&amp;lang=en_US&amp;offset=0&amp;query=any,contains,991002779629702656","Catalog Record")</f>
        <v/>
      </c>
      <c r="AV338">
        <f>HYPERLINK("http://www.worldcat.org/oclc/439816","WorldCat Record")</f>
        <v/>
      </c>
      <c r="AW338" t="inlineStr">
        <is>
          <t>1564607:eng</t>
        </is>
      </c>
      <c r="AX338" t="inlineStr">
        <is>
          <t>439816</t>
        </is>
      </c>
      <c r="AY338" t="inlineStr">
        <is>
          <t>991002779629702656</t>
        </is>
      </c>
      <c r="AZ338" t="inlineStr">
        <is>
          <t>991002779629702656</t>
        </is>
      </c>
      <c r="BA338" t="inlineStr">
        <is>
          <t>2266614570002656</t>
        </is>
      </c>
      <c r="BB338" t="inlineStr">
        <is>
          <t>BOOK</t>
        </is>
      </c>
      <c r="BE338" t="inlineStr">
        <is>
          <t>32285003150686</t>
        </is>
      </c>
      <c r="BF338" t="inlineStr">
        <is>
          <t>893786542</t>
        </is>
      </c>
    </row>
    <row r="339">
      <c r="A339" t="inlineStr">
        <is>
          <t>No</t>
        </is>
      </c>
      <c r="B339" t="inlineStr">
        <is>
          <t>CURAL</t>
        </is>
      </c>
      <c r="C339" t="inlineStr">
        <is>
          <t>SHELVES</t>
        </is>
      </c>
      <c r="D339" t="inlineStr">
        <is>
          <t>PR2015 .B7</t>
        </is>
      </c>
      <c r="E339" t="inlineStr">
        <is>
          <t>0                      PR 2015000B  7</t>
        </is>
      </c>
      <c r="F339" t="inlineStr">
        <is>
          <t>New light on 'Piers Plowman,' by Allan H. Bright; with a preface by Professor R.W. Chambers ...</t>
        </is>
      </c>
      <c r="H339" t="inlineStr">
        <is>
          <t>No</t>
        </is>
      </c>
      <c r="I339" t="inlineStr">
        <is>
          <t>1</t>
        </is>
      </c>
      <c r="J339" t="inlineStr">
        <is>
          <t>No</t>
        </is>
      </c>
      <c r="K339" t="inlineStr">
        <is>
          <t>No</t>
        </is>
      </c>
      <c r="L339" t="inlineStr">
        <is>
          <t>0</t>
        </is>
      </c>
      <c r="M339" t="inlineStr">
        <is>
          <t>Bright, Allan H., 1862-1941.</t>
        </is>
      </c>
      <c r="N339" t="inlineStr">
        <is>
          <t>London, H. Milford, Oxford University Press, 1928.</t>
        </is>
      </c>
      <c r="O339" t="inlineStr">
        <is>
          <t>1928</t>
        </is>
      </c>
      <c r="Q339" t="inlineStr">
        <is>
          <t>eng</t>
        </is>
      </c>
      <c r="R339" t="inlineStr">
        <is>
          <t>enk</t>
        </is>
      </c>
      <c r="T339" t="inlineStr">
        <is>
          <t xml:space="preserve">PR </t>
        </is>
      </c>
      <c r="U339" t="n">
        <v>3</v>
      </c>
      <c r="V339" t="n">
        <v>3</v>
      </c>
      <c r="W339" t="inlineStr">
        <is>
          <t>2002-03-19</t>
        </is>
      </c>
      <c r="X339" t="inlineStr">
        <is>
          <t>2002-03-19</t>
        </is>
      </c>
      <c r="Y339" t="inlineStr">
        <is>
          <t>1997-07-29</t>
        </is>
      </c>
      <c r="Z339" t="inlineStr">
        <is>
          <t>1997-07-29</t>
        </is>
      </c>
      <c r="AA339" t="n">
        <v>336</v>
      </c>
      <c r="AB339" t="n">
        <v>259</v>
      </c>
      <c r="AC339" t="n">
        <v>445</v>
      </c>
      <c r="AD339" t="n">
        <v>3</v>
      </c>
      <c r="AE339" t="n">
        <v>5</v>
      </c>
      <c r="AF339" t="n">
        <v>17</v>
      </c>
      <c r="AG339" t="n">
        <v>27</v>
      </c>
      <c r="AH339" t="n">
        <v>5</v>
      </c>
      <c r="AI339" t="n">
        <v>11</v>
      </c>
      <c r="AJ339" t="n">
        <v>6</v>
      </c>
      <c r="AK339" t="n">
        <v>7</v>
      </c>
      <c r="AL339" t="n">
        <v>8</v>
      </c>
      <c r="AM339" t="n">
        <v>13</v>
      </c>
      <c r="AN339" t="n">
        <v>2</v>
      </c>
      <c r="AO339" t="n">
        <v>3</v>
      </c>
      <c r="AP339" t="n">
        <v>0</v>
      </c>
      <c r="AQ339" t="n">
        <v>0</v>
      </c>
      <c r="AR339" t="inlineStr">
        <is>
          <t>No</t>
        </is>
      </c>
      <c r="AS339" t="inlineStr">
        <is>
          <t>Yes</t>
        </is>
      </c>
      <c r="AT339">
        <f>HYPERLINK("http://catalog.hathitrust.org/Record/000536259","HathiTrust Record")</f>
        <v/>
      </c>
      <c r="AU339">
        <f>HYPERLINK("https://creighton-primo.hosted.exlibrisgroup.com/primo-explore/search?tab=default_tab&amp;search_scope=EVERYTHING&amp;vid=01CRU&amp;lang=en_US&amp;offset=0&amp;query=any,contains,991004621549702656","Catalog Record")</f>
        <v/>
      </c>
      <c r="AV339">
        <f>HYPERLINK("http://www.worldcat.org/oclc/4300525","WorldCat Record")</f>
        <v/>
      </c>
      <c r="AW339" t="inlineStr">
        <is>
          <t>1336296:eng</t>
        </is>
      </c>
      <c r="AX339" t="inlineStr">
        <is>
          <t>4300525</t>
        </is>
      </c>
      <c r="AY339" t="inlineStr">
        <is>
          <t>991004621549702656</t>
        </is>
      </c>
      <c r="AZ339" t="inlineStr">
        <is>
          <t>991004621549702656</t>
        </is>
      </c>
      <c r="BA339" t="inlineStr">
        <is>
          <t>2264879060002656</t>
        </is>
      </c>
      <c r="BB339" t="inlineStr">
        <is>
          <t>BOOK</t>
        </is>
      </c>
      <c r="BE339" t="inlineStr">
        <is>
          <t>32285002988342</t>
        </is>
      </c>
      <c r="BF339" t="inlineStr">
        <is>
          <t>893241654</t>
        </is>
      </c>
    </row>
    <row r="340">
      <c r="A340" t="inlineStr">
        <is>
          <t>No</t>
        </is>
      </c>
      <c r="B340" t="inlineStr">
        <is>
          <t>CURAL</t>
        </is>
      </c>
      <c r="C340" t="inlineStr">
        <is>
          <t>SHELVES</t>
        </is>
      </c>
      <c r="D340" t="inlineStr">
        <is>
          <t>PR2015 .C58 1969</t>
        </is>
      </c>
      <c r="E340" t="inlineStr">
        <is>
          <t>0                      PR 2015000C  58          1969</t>
        </is>
      </c>
      <c r="F340" t="inlineStr">
        <is>
          <t>Langland: Piers Plowman / by Nevill Coghill.</t>
        </is>
      </c>
      <c r="H340" t="inlineStr">
        <is>
          <t>No</t>
        </is>
      </c>
      <c r="I340" t="inlineStr">
        <is>
          <t>1</t>
        </is>
      </c>
      <c r="J340" t="inlineStr">
        <is>
          <t>No</t>
        </is>
      </c>
      <c r="K340" t="inlineStr">
        <is>
          <t>No</t>
        </is>
      </c>
      <c r="L340" t="inlineStr">
        <is>
          <t>0</t>
        </is>
      </c>
      <c r="M340" t="inlineStr">
        <is>
          <t>Coghill, Nevill, 1899-1980.</t>
        </is>
      </c>
      <c r="N340" t="inlineStr">
        <is>
          <t>Harlow, Essex : Published for the British Council and the National Book League by Longmans, Green &amp; Co., 1969, c1964.</t>
        </is>
      </c>
      <c r="O340" t="inlineStr">
        <is>
          <t>1969</t>
        </is>
      </c>
      <c r="Q340" t="inlineStr">
        <is>
          <t>eng</t>
        </is>
      </c>
      <c r="R340" t="inlineStr">
        <is>
          <t>enk</t>
        </is>
      </c>
      <c r="S340" t="inlineStr">
        <is>
          <t>Writers and their work ; no. 174</t>
        </is>
      </c>
      <c r="T340" t="inlineStr">
        <is>
          <t xml:space="preserve">PR </t>
        </is>
      </c>
      <c r="U340" t="n">
        <v>3</v>
      </c>
      <c r="V340" t="n">
        <v>3</v>
      </c>
      <c r="W340" t="inlineStr">
        <is>
          <t>1998-02-08</t>
        </is>
      </c>
      <c r="X340" t="inlineStr">
        <is>
          <t>1998-02-08</t>
        </is>
      </c>
      <c r="Y340" t="inlineStr">
        <is>
          <t>1997-07-29</t>
        </is>
      </c>
      <c r="Z340" t="inlineStr">
        <is>
          <t>1997-07-29</t>
        </is>
      </c>
      <c r="AA340" t="n">
        <v>98</v>
      </c>
      <c r="AB340" t="n">
        <v>78</v>
      </c>
      <c r="AC340" t="n">
        <v>527</v>
      </c>
      <c r="AD340" t="n">
        <v>2</v>
      </c>
      <c r="AE340" t="n">
        <v>5</v>
      </c>
      <c r="AF340" t="n">
        <v>6</v>
      </c>
      <c r="AG340" t="n">
        <v>28</v>
      </c>
      <c r="AH340" t="n">
        <v>2</v>
      </c>
      <c r="AI340" t="n">
        <v>10</v>
      </c>
      <c r="AJ340" t="n">
        <v>0</v>
      </c>
      <c r="AK340" t="n">
        <v>6</v>
      </c>
      <c r="AL340" t="n">
        <v>3</v>
      </c>
      <c r="AM340" t="n">
        <v>16</v>
      </c>
      <c r="AN340" t="n">
        <v>1</v>
      </c>
      <c r="AO340" t="n">
        <v>4</v>
      </c>
      <c r="AP340" t="n">
        <v>0</v>
      </c>
      <c r="AQ340" t="n">
        <v>0</v>
      </c>
      <c r="AR340" t="inlineStr">
        <is>
          <t>No</t>
        </is>
      </c>
      <c r="AS340" t="inlineStr">
        <is>
          <t>No</t>
        </is>
      </c>
      <c r="AU340">
        <f>HYPERLINK("https://creighton-primo.hosted.exlibrisgroup.com/primo-explore/search?tab=default_tab&amp;search_scope=EVERYTHING&amp;vid=01CRU&amp;lang=en_US&amp;offset=0&amp;query=any,contains,991004727559702656","Catalog Record")</f>
        <v/>
      </c>
      <c r="AV340">
        <f>HYPERLINK("http://www.worldcat.org/oclc/4824569","WorldCat Record")</f>
        <v/>
      </c>
      <c r="AW340" t="inlineStr">
        <is>
          <t>131901088:eng</t>
        </is>
      </c>
      <c r="AX340" t="inlineStr">
        <is>
          <t>4824569</t>
        </is>
      </c>
      <c r="AY340" t="inlineStr">
        <is>
          <t>991004727559702656</t>
        </is>
      </c>
      <c r="AZ340" t="inlineStr">
        <is>
          <t>991004727559702656</t>
        </is>
      </c>
      <c r="BA340" t="inlineStr">
        <is>
          <t>2260149720002656</t>
        </is>
      </c>
      <c r="BB340" t="inlineStr">
        <is>
          <t>BOOK</t>
        </is>
      </c>
      <c r="BE340" t="inlineStr">
        <is>
          <t>32285002988367</t>
        </is>
      </c>
      <c r="BF340" t="inlineStr">
        <is>
          <t>893424123</t>
        </is>
      </c>
    </row>
    <row r="341">
      <c r="A341" t="inlineStr">
        <is>
          <t>No</t>
        </is>
      </c>
      <c r="B341" t="inlineStr">
        <is>
          <t>CURAL</t>
        </is>
      </c>
      <c r="C341" t="inlineStr">
        <is>
          <t>SHELVES</t>
        </is>
      </c>
      <c r="D341" t="inlineStr">
        <is>
          <t>PR2015 .D6 1966</t>
        </is>
      </c>
      <c r="E341" t="inlineStr">
        <is>
          <t>0                      PR 2015000D  6           1966</t>
        </is>
      </c>
      <c r="F341" t="inlineStr">
        <is>
          <t>Piers plowman; the C-text and its poet, by E. Talbot Donaldson. With a new pref. by the author.</t>
        </is>
      </c>
      <c r="H341" t="inlineStr">
        <is>
          <t>No</t>
        </is>
      </c>
      <c r="I341" t="inlineStr">
        <is>
          <t>1</t>
        </is>
      </c>
      <c r="J341" t="inlineStr">
        <is>
          <t>No</t>
        </is>
      </c>
      <c r="K341" t="inlineStr">
        <is>
          <t>No</t>
        </is>
      </c>
      <c r="L341" t="inlineStr">
        <is>
          <t>0</t>
        </is>
      </c>
      <c r="M341" t="inlineStr">
        <is>
          <t>Donaldson, E. Talbot (Ethelbert Talbot), 1910-1987.</t>
        </is>
      </c>
      <c r="N341" t="inlineStr">
        <is>
          <t>[Hamden, Conn.] Archon Books, 1966 [c1949]</t>
        </is>
      </c>
      <c r="O341" t="inlineStr">
        <is>
          <t>1966</t>
        </is>
      </c>
      <c r="Q341" t="inlineStr">
        <is>
          <t>eng</t>
        </is>
      </c>
      <c r="R341" t="inlineStr">
        <is>
          <t>ctu</t>
        </is>
      </c>
      <c r="S341" t="inlineStr">
        <is>
          <t>Yale studies in English ; v. 113</t>
        </is>
      </c>
      <c r="T341" t="inlineStr">
        <is>
          <t xml:space="preserve">PR </t>
        </is>
      </c>
      <c r="U341" t="n">
        <v>2</v>
      </c>
      <c r="V341" t="n">
        <v>2</v>
      </c>
      <c r="W341" t="inlineStr">
        <is>
          <t>2005-10-31</t>
        </is>
      </c>
      <c r="X341" t="inlineStr">
        <is>
          <t>2005-10-31</t>
        </is>
      </c>
      <c r="Y341" t="inlineStr">
        <is>
          <t>1997-07-29</t>
        </is>
      </c>
      <c r="Z341" t="inlineStr">
        <is>
          <t>1997-07-29</t>
        </is>
      </c>
      <c r="AA341" t="n">
        <v>463</v>
      </c>
      <c r="AB341" t="n">
        <v>432</v>
      </c>
      <c r="AC341" t="n">
        <v>697</v>
      </c>
      <c r="AD341" t="n">
        <v>4</v>
      </c>
      <c r="AE341" t="n">
        <v>7</v>
      </c>
      <c r="AF341" t="n">
        <v>19</v>
      </c>
      <c r="AG341" t="n">
        <v>41</v>
      </c>
      <c r="AH341" t="n">
        <v>8</v>
      </c>
      <c r="AI341" t="n">
        <v>15</v>
      </c>
      <c r="AJ341" t="n">
        <v>3</v>
      </c>
      <c r="AK341" t="n">
        <v>7</v>
      </c>
      <c r="AL341" t="n">
        <v>8</v>
      </c>
      <c r="AM341" t="n">
        <v>21</v>
      </c>
      <c r="AN341" t="n">
        <v>3</v>
      </c>
      <c r="AO341" t="n">
        <v>6</v>
      </c>
      <c r="AP341" t="n">
        <v>0</v>
      </c>
      <c r="AQ341" t="n">
        <v>0</v>
      </c>
      <c r="AR341" t="inlineStr">
        <is>
          <t>No</t>
        </is>
      </c>
      <c r="AS341" t="inlineStr">
        <is>
          <t>Yes</t>
        </is>
      </c>
      <c r="AT341">
        <f>HYPERLINK("http://catalog.hathitrust.org/Record/001111938","HathiTrust Record")</f>
        <v/>
      </c>
      <c r="AU341">
        <f>HYPERLINK("https://creighton-primo.hosted.exlibrisgroup.com/primo-explore/search?tab=default_tab&amp;search_scope=EVERYTHING&amp;vid=01CRU&amp;lang=en_US&amp;offset=0&amp;query=any,contains,991002436009702656","Catalog Record")</f>
        <v/>
      </c>
      <c r="AV341">
        <f>HYPERLINK("http://www.worldcat.org/oclc/348900","WorldCat Record")</f>
        <v/>
      </c>
      <c r="AW341" t="inlineStr">
        <is>
          <t>1506739:eng</t>
        </is>
      </c>
      <c r="AX341" t="inlineStr">
        <is>
          <t>348900</t>
        </is>
      </c>
      <c r="AY341" t="inlineStr">
        <is>
          <t>991002436009702656</t>
        </is>
      </c>
      <c r="AZ341" t="inlineStr">
        <is>
          <t>991002436009702656</t>
        </is>
      </c>
      <c r="BA341" t="inlineStr">
        <is>
          <t>2271370130002656</t>
        </is>
      </c>
      <c r="BB341" t="inlineStr">
        <is>
          <t>BOOK</t>
        </is>
      </c>
      <c r="BE341" t="inlineStr">
        <is>
          <t>32285002988375</t>
        </is>
      </c>
      <c r="BF341" t="inlineStr">
        <is>
          <t>893433886</t>
        </is>
      </c>
    </row>
    <row r="342">
      <c r="A342" t="inlineStr">
        <is>
          <t>No</t>
        </is>
      </c>
      <c r="B342" t="inlineStr">
        <is>
          <t>CURAL</t>
        </is>
      </c>
      <c r="C342" t="inlineStr">
        <is>
          <t>SHELVES</t>
        </is>
      </c>
      <c r="D342" t="inlineStr">
        <is>
          <t>PR2015 .H84 1969b</t>
        </is>
      </c>
      <c r="E342" t="inlineStr">
        <is>
          <t>0                      PR 2015000H  84          1969b</t>
        </is>
      </c>
      <c r="F342" t="inlineStr">
        <is>
          <t>Piers Plowman: critical approaches, edited by S. S. Hussey.</t>
        </is>
      </c>
      <c r="H342" t="inlineStr">
        <is>
          <t>No</t>
        </is>
      </c>
      <c r="I342" t="inlineStr">
        <is>
          <t>1</t>
        </is>
      </c>
      <c r="J342" t="inlineStr">
        <is>
          <t>No</t>
        </is>
      </c>
      <c r="K342" t="inlineStr">
        <is>
          <t>No</t>
        </is>
      </c>
      <c r="L342" t="inlineStr">
        <is>
          <t>0</t>
        </is>
      </c>
      <c r="M342" t="inlineStr">
        <is>
          <t>Hussey, S. S., 1925-</t>
        </is>
      </c>
      <c r="N342" t="inlineStr">
        <is>
          <t>London, Methuen; New York, Barnes &amp; Noble [1969]</t>
        </is>
      </c>
      <c r="O342" t="inlineStr">
        <is>
          <t>1969</t>
        </is>
      </c>
      <c r="Q342" t="inlineStr">
        <is>
          <t>eng</t>
        </is>
      </c>
      <c r="R342" t="inlineStr">
        <is>
          <t>enk</t>
        </is>
      </c>
      <c r="T342" t="inlineStr">
        <is>
          <t xml:space="preserve">PR </t>
        </is>
      </c>
      <c r="U342" t="n">
        <v>1</v>
      </c>
      <c r="V342" t="n">
        <v>1</v>
      </c>
      <c r="W342" t="inlineStr">
        <is>
          <t>2005-10-31</t>
        </is>
      </c>
      <c r="X342" t="inlineStr">
        <is>
          <t>2005-10-31</t>
        </is>
      </c>
      <c r="Y342" t="inlineStr">
        <is>
          <t>1997-07-29</t>
        </is>
      </c>
      <c r="Z342" t="inlineStr">
        <is>
          <t>1997-07-29</t>
        </is>
      </c>
      <c r="AA342" t="n">
        <v>255</v>
      </c>
      <c r="AB342" t="n">
        <v>218</v>
      </c>
      <c r="AC342" t="n">
        <v>771</v>
      </c>
      <c r="AD342" t="n">
        <v>2</v>
      </c>
      <c r="AE342" t="n">
        <v>9</v>
      </c>
      <c r="AF342" t="n">
        <v>16</v>
      </c>
      <c r="AG342" t="n">
        <v>44</v>
      </c>
      <c r="AH342" t="n">
        <v>6</v>
      </c>
      <c r="AI342" t="n">
        <v>16</v>
      </c>
      <c r="AJ342" t="n">
        <v>6</v>
      </c>
      <c r="AK342" t="n">
        <v>9</v>
      </c>
      <c r="AL342" t="n">
        <v>6</v>
      </c>
      <c r="AM342" t="n">
        <v>22</v>
      </c>
      <c r="AN342" t="n">
        <v>1</v>
      </c>
      <c r="AO342" t="n">
        <v>7</v>
      </c>
      <c r="AP342" t="n">
        <v>0</v>
      </c>
      <c r="AQ342" t="n">
        <v>0</v>
      </c>
      <c r="AR342" t="inlineStr">
        <is>
          <t>No</t>
        </is>
      </c>
      <c r="AS342" t="inlineStr">
        <is>
          <t>Yes</t>
        </is>
      </c>
      <c r="AT342">
        <f>HYPERLINK("http://catalog.hathitrust.org/Record/006210417","HathiTrust Record")</f>
        <v/>
      </c>
      <c r="AU342">
        <f>HYPERLINK("https://creighton-primo.hosted.exlibrisgroup.com/primo-explore/search?tab=default_tab&amp;search_scope=EVERYTHING&amp;vid=01CRU&amp;lang=en_US&amp;offset=0&amp;query=any,contains,991000499759702656","Catalog Record")</f>
        <v/>
      </c>
      <c r="AV342">
        <f>HYPERLINK("http://www.worldcat.org/oclc/81195","WorldCat Record")</f>
        <v/>
      </c>
      <c r="AW342" t="inlineStr">
        <is>
          <t>352601980:eng</t>
        </is>
      </c>
      <c r="AX342" t="inlineStr">
        <is>
          <t>81195</t>
        </is>
      </c>
      <c r="AY342" t="inlineStr">
        <is>
          <t>991000499759702656</t>
        </is>
      </c>
      <c r="AZ342" t="inlineStr">
        <is>
          <t>991000499759702656</t>
        </is>
      </c>
      <c r="BA342" t="inlineStr">
        <is>
          <t>2269788590002656</t>
        </is>
      </c>
      <c r="BB342" t="inlineStr">
        <is>
          <t>BOOK</t>
        </is>
      </c>
      <c r="BD342" t="inlineStr">
        <is>
          <t>9780389012795</t>
        </is>
      </c>
      <c r="BE342" t="inlineStr">
        <is>
          <t>32285002988391</t>
        </is>
      </c>
      <c r="BF342" t="inlineStr">
        <is>
          <t>893231155</t>
        </is>
      </c>
    </row>
    <row r="343">
      <c r="A343" t="inlineStr">
        <is>
          <t>No</t>
        </is>
      </c>
      <c r="B343" t="inlineStr">
        <is>
          <t>CURAL</t>
        </is>
      </c>
      <c r="C343" t="inlineStr">
        <is>
          <t>SHELVES</t>
        </is>
      </c>
      <c r="D343" t="inlineStr">
        <is>
          <t>PR2015 .K5</t>
        </is>
      </c>
      <c r="E343" t="inlineStr">
        <is>
          <t>0                      PR 2015000K  5</t>
        </is>
      </c>
      <c r="F343" t="inlineStr">
        <is>
          <t>The dream thought of Piers Plowman, by Elizabeth D. Kirk.</t>
        </is>
      </c>
      <c r="H343" t="inlineStr">
        <is>
          <t>No</t>
        </is>
      </c>
      <c r="I343" t="inlineStr">
        <is>
          <t>1</t>
        </is>
      </c>
      <c r="J343" t="inlineStr">
        <is>
          <t>No</t>
        </is>
      </c>
      <c r="K343" t="inlineStr">
        <is>
          <t>No</t>
        </is>
      </c>
      <c r="L343" t="inlineStr">
        <is>
          <t>0</t>
        </is>
      </c>
      <c r="M343" t="inlineStr">
        <is>
          <t>Kirk, Elizabeth D.</t>
        </is>
      </c>
      <c r="N343" t="inlineStr">
        <is>
          <t>New Haven, Yale University Press, 1972.</t>
        </is>
      </c>
      <c r="O343" t="inlineStr">
        <is>
          <t>1972</t>
        </is>
      </c>
      <c r="Q343" t="inlineStr">
        <is>
          <t>eng</t>
        </is>
      </c>
      <c r="R343" t="inlineStr">
        <is>
          <t>ctu</t>
        </is>
      </c>
      <c r="S343" t="inlineStr">
        <is>
          <t>Yale studies in English ; 178</t>
        </is>
      </c>
      <c r="T343" t="inlineStr">
        <is>
          <t xml:space="preserve">PR </t>
        </is>
      </c>
      <c r="U343" t="n">
        <v>6</v>
      </c>
      <c r="V343" t="n">
        <v>6</v>
      </c>
      <c r="W343" t="inlineStr">
        <is>
          <t>1998-02-08</t>
        </is>
      </c>
      <c r="X343" t="inlineStr">
        <is>
          <t>1998-02-08</t>
        </is>
      </c>
      <c r="Y343" t="inlineStr">
        <is>
          <t>1997-07-29</t>
        </is>
      </c>
      <c r="Z343" t="inlineStr">
        <is>
          <t>1997-07-29</t>
        </is>
      </c>
      <c r="AA343" t="n">
        <v>684</v>
      </c>
      <c r="AB343" t="n">
        <v>540</v>
      </c>
      <c r="AC343" t="n">
        <v>542</v>
      </c>
      <c r="AD343" t="n">
        <v>5</v>
      </c>
      <c r="AE343" t="n">
        <v>5</v>
      </c>
      <c r="AF343" t="n">
        <v>25</v>
      </c>
      <c r="AG343" t="n">
        <v>25</v>
      </c>
      <c r="AH343" t="n">
        <v>8</v>
      </c>
      <c r="AI343" t="n">
        <v>8</v>
      </c>
      <c r="AJ343" t="n">
        <v>6</v>
      </c>
      <c r="AK343" t="n">
        <v>6</v>
      </c>
      <c r="AL343" t="n">
        <v>15</v>
      </c>
      <c r="AM343" t="n">
        <v>15</v>
      </c>
      <c r="AN343" t="n">
        <v>4</v>
      </c>
      <c r="AO343" t="n">
        <v>4</v>
      </c>
      <c r="AP343" t="n">
        <v>0</v>
      </c>
      <c r="AQ343" t="n">
        <v>0</v>
      </c>
      <c r="AR343" t="inlineStr">
        <is>
          <t>No</t>
        </is>
      </c>
      <c r="AS343" t="inlineStr">
        <is>
          <t>No</t>
        </is>
      </c>
      <c r="AU343">
        <f>HYPERLINK("https://creighton-primo.hosted.exlibrisgroup.com/primo-explore/search?tab=default_tab&amp;search_scope=EVERYTHING&amp;vid=01CRU&amp;lang=en_US&amp;offset=0&amp;query=any,contains,991002909249702656","Catalog Record")</f>
        <v/>
      </c>
      <c r="AV343">
        <f>HYPERLINK("http://www.worldcat.org/oclc/520914","WorldCat Record")</f>
        <v/>
      </c>
      <c r="AW343" t="inlineStr">
        <is>
          <t>1516430:eng</t>
        </is>
      </c>
      <c r="AX343" t="inlineStr">
        <is>
          <t>520914</t>
        </is>
      </c>
      <c r="AY343" t="inlineStr">
        <is>
          <t>991002909249702656</t>
        </is>
      </c>
      <c r="AZ343" t="inlineStr">
        <is>
          <t>991002909249702656</t>
        </is>
      </c>
      <c r="BA343" t="inlineStr">
        <is>
          <t>2268157030002656</t>
        </is>
      </c>
      <c r="BB343" t="inlineStr">
        <is>
          <t>BOOK</t>
        </is>
      </c>
      <c r="BD343" t="inlineStr">
        <is>
          <t>9780300015454</t>
        </is>
      </c>
      <c r="BE343" t="inlineStr">
        <is>
          <t>32285002988409</t>
        </is>
      </c>
      <c r="BF343" t="inlineStr">
        <is>
          <t>893323514</t>
        </is>
      </c>
    </row>
    <row r="344">
      <c r="A344" t="inlineStr">
        <is>
          <t>No</t>
        </is>
      </c>
      <c r="B344" t="inlineStr">
        <is>
          <t>CURAL</t>
        </is>
      </c>
      <c r="C344" t="inlineStr">
        <is>
          <t>SHELVES</t>
        </is>
      </c>
      <c r="D344" t="inlineStr">
        <is>
          <t>PR2015 .R6 1969</t>
        </is>
      </c>
      <c r="E344" t="inlineStr">
        <is>
          <t>0                      PR 2015000R  6           1969</t>
        </is>
      </c>
      <c r="F344" t="inlineStr">
        <is>
          <t>Piers Plowman and Scriptural tradition, by D. W. Robertson, Jr., and Bernard F. Huppe.</t>
        </is>
      </c>
      <c r="H344" t="inlineStr">
        <is>
          <t>No</t>
        </is>
      </c>
      <c r="I344" t="inlineStr">
        <is>
          <t>1</t>
        </is>
      </c>
      <c r="J344" t="inlineStr">
        <is>
          <t>No</t>
        </is>
      </c>
      <c r="K344" t="inlineStr">
        <is>
          <t>No</t>
        </is>
      </c>
      <c r="L344" t="inlineStr">
        <is>
          <t>0</t>
        </is>
      </c>
      <c r="M344" t="inlineStr">
        <is>
          <t>Robertson, D. W., Jr. (Durant Waite), 1914-1992.</t>
        </is>
      </c>
      <c r="N344" t="inlineStr">
        <is>
          <t>New York, Octagon Books, 1969 [c1951]</t>
        </is>
      </c>
      <c r="O344" t="inlineStr">
        <is>
          <t>1969</t>
        </is>
      </c>
      <c r="Q344" t="inlineStr">
        <is>
          <t>eng</t>
        </is>
      </c>
      <c r="R344" t="inlineStr">
        <is>
          <t>nyu</t>
        </is>
      </c>
      <c r="S344" t="inlineStr">
        <is>
          <t>Princeton studies in English ; no. 31</t>
        </is>
      </c>
      <c r="T344" t="inlineStr">
        <is>
          <t xml:space="preserve">PR </t>
        </is>
      </c>
      <c r="U344" t="n">
        <v>4</v>
      </c>
      <c r="V344" t="n">
        <v>4</v>
      </c>
      <c r="W344" t="inlineStr">
        <is>
          <t>2000-02-16</t>
        </is>
      </c>
      <c r="X344" t="inlineStr">
        <is>
          <t>2000-02-16</t>
        </is>
      </c>
      <c r="Y344" t="inlineStr">
        <is>
          <t>1997-07-29</t>
        </is>
      </c>
      <c r="Z344" t="inlineStr">
        <is>
          <t>1997-07-29</t>
        </is>
      </c>
      <c r="AA344" t="n">
        <v>357</v>
      </c>
      <c r="AB344" t="n">
        <v>312</v>
      </c>
      <c r="AC344" t="n">
        <v>665</v>
      </c>
      <c r="AD344" t="n">
        <v>2</v>
      </c>
      <c r="AE344" t="n">
        <v>6</v>
      </c>
      <c r="AF344" t="n">
        <v>10</v>
      </c>
      <c r="AG344" t="n">
        <v>41</v>
      </c>
      <c r="AH344" t="n">
        <v>5</v>
      </c>
      <c r="AI344" t="n">
        <v>17</v>
      </c>
      <c r="AJ344" t="n">
        <v>0</v>
      </c>
      <c r="AK344" t="n">
        <v>8</v>
      </c>
      <c r="AL344" t="n">
        <v>5</v>
      </c>
      <c r="AM344" t="n">
        <v>22</v>
      </c>
      <c r="AN344" t="n">
        <v>1</v>
      </c>
      <c r="AO344" t="n">
        <v>5</v>
      </c>
      <c r="AP344" t="n">
        <v>0</v>
      </c>
      <c r="AQ344" t="n">
        <v>0</v>
      </c>
      <c r="AR344" t="inlineStr">
        <is>
          <t>No</t>
        </is>
      </c>
      <c r="AS344" t="inlineStr">
        <is>
          <t>Yes</t>
        </is>
      </c>
      <c r="AT344">
        <f>HYPERLINK("http://catalog.hathitrust.org/Record/001017243","HathiTrust Record")</f>
        <v/>
      </c>
      <c r="AU344">
        <f>HYPERLINK("https://creighton-primo.hosted.exlibrisgroup.com/primo-explore/search?tab=default_tab&amp;search_scope=EVERYTHING&amp;vid=01CRU&amp;lang=en_US&amp;offset=0&amp;query=any,contains,991000206359702656","Catalog Record")</f>
        <v/>
      </c>
      <c r="AV344">
        <f>HYPERLINK("http://www.worldcat.org/oclc/65223","WorldCat Record")</f>
        <v/>
      </c>
      <c r="AW344" t="inlineStr">
        <is>
          <t>1229981:eng</t>
        </is>
      </c>
      <c r="AX344" t="inlineStr">
        <is>
          <t>65223</t>
        </is>
      </c>
      <c r="AY344" t="inlineStr">
        <is>
          <t>991000206359702656</t>
        </is>
      </c>
      <c r="AZ344" t="inlineStr">
        <is>
          <t>991000206359702656</t>
        </is>
      </c>
      <c r="BA344" t="inlineStr">
        <is>
          <t>2259329320002656</t>
        </is>
      </c>
      <c r="BB344" t="inlineStr">
        <is>
          <t>BOOK</t>
        </is>
      </c>
      <c r="BE344" t="inlineStr">
        <is>
          <t>32285002988417</t>
        </is>
      </c>
      <c r="BF344" t="inlineStr">
        <is>
          <t>893808640</t>
        </is>
      </c>
    </row>
    <row r="345">
      <c r="A345" t="inlineStr">
        <is>
          <t>No</t>
        </is>
      </c>
      <c r="B345" t="inlineStr">
        <is>
          <t>CURAL</t>
        </is>
      </c>
      <c r="C345" t="inlineStr">
        <is>
          <t>SHELVES</t>
        </is>
      </c>
      <c r="D345" t="inlineStr">
        <is>
          <t>PR2015 .R9</t>
        </is>
      </c>
      <c r="E345" t="inlineStr">
        <is>
          <t>0                      PR 2015000R  9</t>
        </is>
      </c>
      <c r="F345" t="inlineStr">
        <is>
          <t>William Langland, by William M. Ryan.</t>
        </is>
      </c>
      <c r="H345" t="inlineStr">
        <is>
          <t>No</t>
        </is>
      </c>
      <c r="I345" t="inlineStr">
        <is>
          <t>1</t>
        </is>
      </c>
      <c r="J345" t="inlineStr">
        <is>
          <t>No</t>
        </is>
      </c>
      <c r="K345" t="inlineStr">
        <is>
          <t>No</t>
        </is>
      </c>
      <c r="L345" t="inlineStr">
        <is>
          <t>0</t>
        </is>
      </c>
      <c r="M345" t="inlineStr">
        <is>
          <t>Ryan, William M., 1918-1995.</t>
        </is>
      </c>
      <c r="N345" t="inlineStr">
        <is>
          <t>New York, Twayne Publishers [1968]</t>
        </is>
      </c>
      <c r="O345" t="inlineStr">
        <is>
          <t>1968</t>
        </is>
      </c>
      <c r="Q345" t="inlineStr">
        <is>
          <t>eng</t>
        </is>
      </c>
      <c r="R345" t="inlineStr">
        <is>
          <t>nyu</t>
        </is>
      </c>
      <c r="S345" t="inlineStr">
        <is>
          <t>Twayne's English authors series, 66</t>
        </is>
      </c>
      <c r="T345" t="inlineStr">
        <is>
          <t xml:space="preserve">PR </t>
        </is>
      </c>
      <c r="U345" t="n">
        <v>6</v>
      </c>
      <c r="V345" t="n">
        <v>6</v>
      </c>
      <c r="W345" t="inlineStr">
        <is>
          <t>2000-02-13</t>
        </is>
      </c>
      <c r="X345" t="inlineStr">
        <is>
          <t>2000-02-13</t>
        </is>
      </c>
      <c r="Y345" t="inlineStr">
        <is>
          <t>1997-07-29</t>
        </is>
      </c>
      <c r="Z345" t="inlineStr">
        <is>
          <t>1997-07-29</t>
        </is>
      </c>
      <c r="AA345" t="n">
        <v>978</v>
      </c>
      <c r="AB345" t="n">
        <v>878</v>
      </c>
      <c r="AC345" t="n">
        <v>1006</v>
      </c>
      <c r="AD345" t="n">
        <v>8</v>
      </c>
      <c r="AE345" t="n">
        <v>10</v>
      </c>
      <c r="AF345" t="n">
        <v>44</v>
      </c>
      <c r="AG345" t="n">
        <v>51</v>
      </c>
      <c r="AH345" t="n">
        <v>16</v>
      </c>
      <c r="AI345" t="n">
        <v>20</v>
      </c>
      <c r="AJ345" t="n">
        <v>9</v>
      </c>
      <c r="AK345" t="n">
        <v>9</v>
      </c>
      <c r="AL345" t="n">
        <v>23</v>
      </c>
      <c r="AM345" t="n">
        <v>25</v>
      </c>
      <c r="AN345" t="n">
        <v>7</v>
      </c>
      <c r="AO345" t="n">
        <v>9</v>
      </c>
      <c r="AP345" t="n">
        <v>0</v>
      </c>
      <c r="AQ345" t="n">
        <v>0</v>
      </c>
      <c r="AR345" t="inlineStr">
        <is>
          <t>No</t>
        </is>
      </c>
      <c r="AS345" t="inlineStr">
        <is>
          <t>Yes</t>
        </is>
      </c>
      <c r="AT345">
        <f>HYPERLINK("http://catalog.hathitrust.org/Record/000590614","HathiTrust Record")</f>
        <v/>
      </c>
      <c r="AU345">
        <f>HYPERLINK("https://creighton-primo.hosted.exlibrisgroup.com/primo-explore/search?tab=default_tab&amp;search_scope=EVERYTHING&amp;vid=01CRU&amp;lang=en_US&amp;offset=0&amp;query=any,contains,991002447089702656","Catalog Record")</f>
        <v/>
      </c>
      <c r="AV345">
        <f>HYPERLINK("http://www.worldcat.org/oclc/351852","WorldCat Record")</f>
        <v/>
      </c>
      <c r="AW345" t="inlineStr">
        <is>
          <t>1387329:eng</t>
        </is>
      </c>
      <c r="AX345" t="inlineStr">
        <is>
          <t>351852</t>
        </is>
      </c>
      <c r="AY345" t="inlineStr">
        <is>
          <t>991002447089702656</t>
        </is>
      </c>
      <c r="AZ345" t="inlineStr">
        <is>
          <t>991002447089702656</t>
        </is>
      </c>
      <c r="BA345" t="inlineStr">
        <is>
          <t>2266894180002656</t>
        </is>
      </c>
      <c r="BB345" t="inlineStr">
        <is>
          <t>BOOK</t>
        </is>
      </c>
      <c r="BE345" t="inlineStr">
        <is>
          <t>32285002988425</t>
        </is>
      </c>
      <c r="BF345" t="inlineStr">
        <is>
          <t>893704094</t>
        </is>
      </c>
    </row>
    <row r="346">
      <c r="A346" t="inlineStr">
        <is>
          <t>No</t>
        </is>
      </c>
      <c r="B346" t="inlineStr">
        <is>
          <t>CURAL</t>
        </is>
      </c>
      <c r="C346" t="inlineStr">
        <is>
          <t>SHELVES</t>
        </is>
      </c>
      <c r="D346" t="inlineStr">
        <is>
          <t>PR2015 .S3</t>
        </is>
      </c>
      <c r="E346" t="inlineStr">
        <is>
          <t>0                      PR 2015000S  3</t>
        </is>
      </c>
      <c r="F346" t="inlineStr">
        <is>
          <t>Piers Plowman; an introduction.</t>
        </is>
      </c>
      <c r="H346" t="inlineStr">
        <is>
          <t>No</t>
        </is>
      </c>
      <c r="I346" t="inlineStr">
        <is>
          <t>1</t>
        </is>
      </c>
      <c r="J346" t="inlineStr">
        <is>
          <t>No</t>
        </is>
      </c>
      <c r="K346" t="inlineStr">
        <is>
          <t>No</t>
        </is>
      </c>
      <c r="L346" t="inlineStr">
        <is>
          <t>0</t>
        </is>
      </c>
      <c r="M346" t="inlineStr">
        <is>
          <t>Salter, Elizabeth.</t>
        </is>
      </c>
      <c r="N346" t="inlineStr">
        <is>
          <t>Cambridge, Harvard University Press, 1962.</t>
        </is>
      </c>
      <c r="O346" t="inlineStr">
        <is>
          <t>1962</t>
        </is>
      </c>
      <c r="Q346" t="inlineStr">
        <is>
          <t>eng</t>
        </is>
      </c>
      <c r="R346" t="inlineStr">
        <is>
          <t>mau</t>
        </is>
      </c>
      <c r="T346" t="inlineStr">
        <is>
          <t xml:space="preserve">PR </t>
        </is>
      </c>
      <c r="U346" t="n">
        <v>2</v>
      </c>
      <c r="V346" t="n">
        <v>2</v>
      </c>
      <c r="W346" t="inlineStr">
        <is>
          <t>1998-03-19</t>
        </is>
      </c>
      <c r="X346" t="inlineStr">
        <is>
          <t>1998-03-19</t>
        </is>
      </c>
      <c r="Y346" t="inlineStr">
        <is>
          <t>1997-07-29</t>
        </is>
      </c>
      <c r="Z346" t="inlineStr">
        <is>
          <t>1997-07-29</t>
        </is>
      </c>
      <c r="AA346" t="n">
        <v>556</v>
      </c>
      <c r="AB346" t="n">
        <v>525</v>
      </c>
      <c r="AC346" t="n">
        <v>761</v>
      </c>
      <c r="AD346" t="n">
        <v>6</v>
      </c>
      <c r="AE346" t="n">
        <v>7</v>
      </c>
      <c r="AF346" t="n">
        <v>29</v>
      </c>
      <c r="AG346" t="n">
        <v>45</v>
      </c>
      <c r="AH346" t="n">
        <v>9</v>
      </c>
      <c r="AI346" t="n">
        <v>18</v>
      </c>
      <c r="AJ346" t="n">
        <v>6</v>
      </c>
      <c r="AK346" t="n">
        <v>9</v>
      </c>
      <c r="AL346" t="n">
        <v>14</v>
      </c>
      <c r="AM346" t="n">
        <v>24</v>
      </c>
      <c r="AN346" t="n">
        <v>5</v>
      </c>
      <c r="AO346" t="n">
        <v>6</v>
      </c>
      <c r="AP346" t="n">
        <v>0</v>
      </c>
      <c r="AQ346" t="n">
        <v>0</v>
      </c>
      <c r="AR346" t="inlineStr">
        <is>
          <t>Yes</t>
        </is>
      </c>
      <c r="AS346" t="inlineStr">
        <is>
          <t>Yes</t>
        </is>
      </c>
      <c r="AT346">
        <f>HYPERLINK("http://catalog.hathitrust.org/Record/000590615","HathiTrust Record")</f>
        <v/>
      </c>
      <c r="AU346">
        <f>HYPERLINK("https://creighton-primo.hosted.exlibrisgroup.com/primo-explore/search?tab=default_tab&amp;search_scope=EVERYTHING&amp;vid=01CRU&amp;lang=en_US&amp;offset=0&amp;query=any,contains,991001909359702656","Catalog Record")</f>
        <v/>
      </c>
      <c r="AV346">
        <f>HYPERLINK("http://www.worldcat.org/oclc/241855","WorldCat Record")</f>
        <v/>
      </c>
      <c r="AW346" t="inlineStr">
        <is>
          <t>140976358:eng</t>
        </is>
      </c>
      <c r="AX346" t="inlineStr">
        <is>
          <t>241855</t>
        </is>
      </c>
      <c r="AY346" t="inlineStr">
        <is>
          <t>991001909359702656</t>
        </is>
      </c>
      <c r="AZ346" t="inlineStr">
        <is>
          <t>991001909359702656</t>
        </is>
      </c>
      <c r="BA346" t="inlineStr">
        <is>
          <t>2271705300002656</t>
        </is>
      </c>
      <c r="BB346" t="inlineStr">
        <is>
          <t>BOOK</t>
        </is>
      </c>
      <c r="BE346" t="inlineStr">
        <is>
          <t>32285002988433</t>
        </is>
      </c>
      <c r="BF346" t="inlineStr">
        <is>
          <t>893791822</t>
        </is>
      </c>
    </row>
    <row r="347">
      <c r="A347" t="inlineStr">
        <is>
          <t>No</t>
        </is>
      </c>
      <c r="B347" t="inlineStr">
        <is>
          <t>CURAL</t>
        </is>
      </c>
      <c r="C347" t="inlineStr">
        <is>
          <t>SHELVES</t>
        </is>
      </c>
      <c r="D347" t="inlineStr">
        <is>
          <t>PR2015 .W5 2001</t>
        </is>
      </c>
      <c r="E347" t="inlineStr">
        <is>
          <t>0                      PR 2015000W  5           2001</t>
        </is>
      </c>
      <c r="F347" t="inlineStr">
        <is>
          <t>William Langland's Piers Plowman : a book of essays / edited by Kathleen M. Hewett-Smith.</t>
        </is>
      </c>
      <c r="H347" t="inlineStr">
        <is>
          <t>No</t>
        </is>
      </c>
      <c r="I347" t="inlineStr">
        <is>
          <t>1</t>
        </is>
      </c>
      <c r="J347" t="inlineStr">
        <is>
          <t>No</t>
        </is>
      </c>
      <c r="K347" t="inlineStr">
        <is>
          <t>No</t>
        </is>
      </c>
      <c r="L347" t="inlineStr">
        <is>
          <t>0</t>
        </is>
      </c>
      <c r="N347" t="inlineStr">
        <is>
          <t>New York : Routledge, 2001.</t>
        </is>
      </c>
      <c r="O347" t="inlineStr">
        <is>
          <t>2001</t>
        </is>
      </c>
      <c r="Q347" t="inlineStr">
        <is>
          <t>eng</t>
        </is>
      </c>
      <c r="R347" t="inlineStr">
        <is>
          <t>nyu</t>
        </is>
      </c>
      <c r="S347" t="inlineStr">
        <is>
          <t>Medieval casebooks</t>
        </is>
      </c>
      <c r="T347" t="inlineStr">
        <is>
          <t xml:space="preserve">PR </t>
        </is>
      </c>
      <c r="U347" t="n">
        <v>3</v>
      </c>
      <c r="V347" t="n">
        <v>3</v>
      </c>
      <c r="W347" t="inlineStr">
        <is>
          <t>2002-06-19</t>
        </is>
      </c>
      <c r="X347" t="inlineStr">
        <is>
          <t>2002-06-19</t>
        </is>
      </c>
      <c r="Y347" t="inlineStr">
        <is>
          <t>2002-06-05</t>
        </is>
      </c>
      <c r="Z347" t="inlineStr">
        <is>
          <t>2002-06-05</t>
        </is>
      </c>
      <c r="AA347" t="n">
        <v>254</v>
      </c>
      <c r="AB347" t="n">
        <v>191</v>
      </c>
      <c r="AC347" t="n">
        <v>213</v>
      </c>
      <c r="AD347" t="n">
        <v>3</v>
      </c>
      <c r="AE347" t="n">
        <v>3</v>
      </c>
      <c r="AF347" t="n">
        <v>13</v>
      </c>
      <c r="AG347" t="n">
        <v>13</v>
      </c>
      <c r="AH347" t="n">
        <v>3</v>
      </c>
      <c r="AI347" t="n">
        <v>3</v>
      </c>
      <c r="AJ347" t="n">
        <v>5</v>
      </c>
      <c r="AK347" t="n">
        <v>5</v>
      </c>
      <c r="AL347" t="n">
        <v>6</v>
      </c>
      <c r="AM347" t="n">
        <v>6</v>
      </c>
      <c r="AN347" t="n">
        <v>2</v>
      </c>
      <c r="AO347" t="n">
        <v>2</v>
      </c>
      <c r="AP347" t="n">
        <v>0</v>
      </c>
      <c r="AQ347" t="n">
        <v>0</v>
      </c>
      <c r="AR347" t="inlineStr">
        <is>
          <t>No</t>
        </is>
      </c>
      <c r="AS347" t="inlineStr">
        <is>
          <t>No</t>
        </is>
      </c>
      <c r="AU347">
        <f>HYPERLINK("https://creighton-primo.hosted.exlibrisgroup.com/primo-explore/search?tab=default_tab&amp;search_scope=EVERYTHING&amp;vid=01CRU&amp;lang=en_US&amp;offset=0&amp;query=any,contains,991003791809702656","Catalog Record")</f>
        <v/>
      </c>
      <c r="AV347">
        <f>HYPERLINK("http://www.worldcat.org/oclc/45784367","WorldCat Record")</f>
        <v/>
      </c>
      <c r="AW347" t="inlineStr">
        <is>
          <t>837018848:eng</t>
        </is>
      </c>
      <c r="AX347" t="inlineStr">
        <is>
          <t>45784367</t>
        </is>
      </c>
      <c r="AY347" t="inlineStr">
        <is>
          <t>991003791809702656</t>
        </is>
      </c>
      <c r="AZ347" t="inlineStr">
        <is>
          <t>991003791809702656</t>
        </is>
      </c>
      <c r="BA347" t="inlineStr">
        <is>
          <t>2257047100002656</t>
        </is>
      </c>
      <c r="BB347" t="inlineStr">
        <is>
          <t>BOOK</t>
        </is>
      </c>
      <c r="BE347" t="inlineStr">
        <is>
          <t>32285004491139</t>
        </is>
      </c>
      <c r="BF347" t="inlineStr">
        <is>
          <t>893894133</t>
        </is>
      </c>
    </row>
    <row r="348">
      <c r="A348" t="inlineStr">
        <is>
          <t>No</t>
        </is>
      </c>
      <c r="B348" t="inlineStr">
        <is>
          <t>CURAL</t>
        </is>
      </c>
      <c r="C348" t="inlineStr">
        <is>
          <t>SHELVES</t>
        </is>
      </c>
      <c r="D348" t="inlineStr">
        <is>
          <t>PR2015 .W6</t>
        </is>
      </c>
      <c r="E348" t="inlineStr">
        <is>
          <t>0                      PR 2015000W  6</t>
        </is>
      </c>
      <c r="F348" t="inlineStr">
        <is>
          <t>The world of Piers Plowman / edited and translated by Jeanne Krochalis &amp; Edward Peters.</t>
        </is>
      </c>
      <c r="H348" t="inlineStr">
        <is>
          <t>No</t>
        </is>
      </c>
      <c r="I348" t="inlineStr">
        <is>
          <t>1</t>
        </is>
      </c>
      <c r="J348" t="inlineStr">
        <is>
          <t>No</t>
        </is>
      </c>
      <c r="K348" t="inlineStr">
        <is>
          <t>No</t>
        </is>
      </c>
      <c r="L348" t="inlineStr">
        <is>
          <t>0</t>
        </is>
      </c>
      <c r="N348" t="inlineStr">
        <is>
          <t>[Philadelphia] : University of Pennsylvania Press, 1975.</t>
        </is>
      </c>
      <c r="O348" t="inlineStr">
        <is>
          <t>1975</t>
        </is>
      </c>
      <c r="Q348" t="inlineStr">
        <is>
          <t>eng</t>
        </is>
      </c>
      <c r="R348" t="inlineStr">
        <is>
          <t>pau</t>
        </is>
      </c>
      <c r="S348" t="inlineStr">
        <is>
          <t>The Middle Ages</t>
        </is>
      </c>
      <c r="T348" t="inlineStr">
        <is>
          <t xml:space="preserve">PR </t>
        </is>
      </c>
      <c r="U348" t="n">
        <v>4</v>
      </c>
      <c r="V348" t="n">
        <v>4</v>
      </c>
      <c r="W348" t="inlineStr">
        <is>
          <t>2000-02-16</t>
        </is>
      </c>
      <c r="X348" t="inlineStr">
        <is>
          <t>2000-02-16</t>
        </is>
      </c>
      <c r="Y348" t="inlineStr">
        <is>
          <t>1997-07-29</t>
        </is>
      </c>
      <c r="Z348" t="inlineStr">
        <is>
          <t>1997-07-29</t>
        </is>
      </c>
      <c r="AA348" t="n">
        <v>626</v>
      </c>
      <c r="AB348" t="n">
        <v>539</v>
      </c>
      <c r="AC348" t="n">
        <v>931</v>
      </c>
      <c r="AD348" t="n">
        <v>3</v>
      </c>
      <c r="AE348" t="n">
        <v>6</v>
      </c>
      <c r="AF348" t="n">
        <v>29</v>
      </c>
      <c r="AG348" t="n">
        <v>44</v>
      </c>
      <c r="AH348" t="n">
        <v>11</v>
      </c>
      <c r="AI348" t="n">
        <v>18</v>
      </c>
      <c r="AJ348" t="n">
        <v>8</v>
      </c>
      <c r="AK348" t="n">
        <v>10</v>
      </c>
      <c r="AL348" t="n">
        <v>17</v>
      </c>
      <c r="AM348" t="n">
        <v>21</v>
      </c>
      <c r="AN348" t="n">
        <v>2</v>
      </c>
      <c r="AO348" t="n">
        <v>5</v>
      </c>
      <c r="AP348" t="n">
        <v>0</v>
      </c>
      <c r="AQ348" t="n">
        <v>1</v>
      </c>
      <c r="AR348" t="inlineStr">
        <is>
          <t>No</t>
        </is>
      </c>
      <c r="AS348" t="inlineStr">
        <is>
          <t>Yes</t>
        </is>
      </c>
      <c r="AT348">
        <f>HYPERLINK("http://catalog.hathitrust.org/Record/009493131","HathiTrust Record")</f>
        <v/>
      </c>
      <c r="AU348">
        <f>HYPERLINK("https://creighton-primo.hosted.exlibrisgroup.com/primo-explore/search?tab=default_tab&amp;search_scope=EVERYTHING&amp;vid=01CRU&amp;lang=en_US&amp;offset=0&amp;query=any,contains,991004013689702656","Catalog Record")</f>
        <v/>
      </c>
      <c r="AV348">
        <f>HYPERLINK("http://www.worldcat.org/oclc/2099200","WorldCat Record")</f>
        <v/>
      </c>
      <c r="AW348" t="inlineStr">
        <is>
          <t>346137680:eng</t>
        </is>
      </c>
      <c r="AX348" t="inlineStr">
        <is>
          <t>2099200</t>
        </is>
      </c>
      <c r="AY348" t="inlineStr">
        <is>
          <t>991004013689702656</t>
        </is>
      </c>
      <c r="AZ348" t="inlineStr">
        <is>
          <t>991004013689702656</t>
        </is>
      </c>
      <c r="BA348" t="inlineStr">
        <is>
          <t>2262553320002656</t>
        </is>
      </c>
      <c r="BB348" t="inlineStr">
        <is>
          <t>BOOK</t>
        </is>
      </c>
      <c r="BD348" t="inlineStr">
        <is>
          <t>9780812276992</t>
        </is>
      </c>
      <c r="BE348" t="inlineStr">
        <is>
          <t>32285002988441</t>
        </is>
      </c>
      <c r="BF348" t="inlineStr">
        <is>
          <t>893605532</t>
        </is>
      </c>
    </row>
    <row r="349">
      <c r="A349" t="inlineStr">
        <is>
          <t>No</t>
        </is>
      </c>
      <c r="B349" t="inlineStr">
        <is>
          <t>CURAL</t>
        </is>
      </c>
      <c r="C349" t="inlineStr">
        <is>
          <t>SHELVES</t>
        </is>
      </c>
      <c r="D349" t="inlineStr">
        <is>
          <t>PR2017.L38 S56 1990</t>
        </is>
      </c>
      <c r="E349" t="inlineStr">
        <is>
          <t>0                      PR 2017000L  38                 S  56          1990</t>
        </is>
      </c>
      <c r="F349" t="inlineStr">
        <is>
          <t>Piers Plowman : an introduction to the B-text / James Simpson.</t>
        </is>
      </c>
      <c r="H349" t="inlineStr">
        <is>
          <t>No</t>
        </is>
      </c>
      <c r="I349" t="inlineStr">
        <is>
          <t>1</t>
        </is>
      </c>
      <c r="J349" t="inlineStr">
        <is>
          <t>No</t>
        </is>
      </c>
      <c r="K349" t="inlineStr">
        <is>
          <t>No</t>
        </is>
      </c>
      <c r="L349" t="inlineStr">
        <is>
          <t>0</t>
        </is>
      </c>
      <c r="M349" t="inlineStr">
        <is>
          <t>Simpson, James, 1954-</t>
        </is>
      </c>
      <c r="N349" t="inlineStr">
        <is>
          <t>London ; New York : Longman, 1990.</t>
        </is>
      </c>
      <c r="O349" t="inlineStr">
        <is>
          <t>1990</t>
        </is>
      </c>
      <c r="Q349" t="inlineStr">
        <is>
          <t>eng</t>
        </is>
      </c>
      <c r="R349" t="inlineStr">
        <is>
          <t>enk</t>
        </is>
      </c>
      <c r="S349" t="inlineStr">
        <is>
          <t>Longman medieval and Renaissance library</t>
        </is>
      </c>
      <c r="T349" t="inlineStr">
        <is>
          <t xml:space="preserve">PR </t>
        </is>
      </c>
      <c r="U349" t="n">
        <v>2</v>
      </c>
      <c r="V349" t="n">
        <v>2</v>
      </c>
      <c r="W349" t="inlineStr">
        <is>
          <t>1995-10-31</t>
        </is>
      </c>
      <c r="X349" t="inlineStr">
        <is>
          <t>1995-10-31</t>
        </is>
      </c>
      <c r="Y349" t="inlineStr">
        <is>
          <t>1991-01-17</t>
        </is>
      </c>
      <c r="Z349" t="inlineStr">
        <is>
          <t>1991-01-17</t>
        </is>
      </c>
      <c r="AA349" t="n">
        <v>404</v>
      </c>
      <c r="AB349" t="n">
        <v>284</v>
      </c>
      <c r="AC349" t="n">
        <v>291</v>
      </c>
      <c r="AD349" t="n">
        <v>2</v>
      </c>
      <c r="AE349" t="n">
        <v>2</v>
      </c>
      <c r="AF349" t="n">
        <v>17</v>
      </c>
      <c r="AG349" t="n">
        <v>17</v>
      </c>
      <c r="AH349" t="n">
        <v>6</v>
      </c>
      <c r="AI349" t="n">
        <v>6</v>
      </c>
      <c r="AJ349" t="n">
        <v>5</v>
      </c>
      <c r="AK349" t="n">
        <v>5</v>
      </c>
      <c r="AL349" t="n">
        <v>9</v>
      </c>
      <c r="AM349" t="n">
        <v>9</v>
      </c>
      <c r="AN349" t="n">
        <v>1</v>
      </c>
      <c r="AO349" t="n">
        <v>1</v>
      </c>
      <c r="AP349" t="n">
        <v>0</v>
      </c>
      <c r="AQ349" t="n">
        <v>0</v>
      </c>
      <c r="AR349" t="inlineStr">
        <is>
          <t>No</t>
        </is>
      </c>
      <c r="AS349" t="inlineStr">
        <is>
          <t>Yes</t>
        </is>
      </c>
      <c r="AT349">
        <f>HYPERLINK("http://catalog.hathitrust.org/Record/002059183","HathiTrust Record")</f>
        <v/>
      </c>
      <c r="AU349">
        <f>HYPERLINK("https://creighton-primo.hosted.exlibrisgroup.com/primo-explore/search?tab=default_tab&amp;search_scope=EVERYTHING&amp;vid=01CRU&amp;lang=en_US&amp;offset=0&amp;query=any,contains,991001499029702656","Catalog Record")</f>
        <v/>
      </c>
      <c r="AV349">
        <f>HYPERLINK("http://www.worldcat.org/oclc/19778490","WorldCat Record")</f>
        <v/>
      </c>
      <c r="AW349" t="inlineStr">
        <is>
          <t>284692304:eng</t>
        </is>
      </c>
      <c r="AX349" t="inlineStr">
        <is>
          <t>19778490</t>
        </is>
      </c>
      <c r="AY349" t="inlineStr">
        <is>
          <t>991001499029702656</t>
        </is>
      </c>
      <c r="AZ349" t="inlineStr">
        <is>
          <t>991001499029702656</t>
        </is>
      </c>
      <c r="BA349" t="inlineStr">
        <is>
          <t>2265026320002656</t>
        </is>
      </c>
      <c r="BB349" t="inlineStr">
        <is>
          <t>BOOK</t>
        </is>
      </c>
      <c r="BD349" t="inlineStr">
        <is>
          <t>9780582013919</t>
        </is>
      </c>
      <c r="BE349" t="inlineStr">
        <is>
          <t>32285000409291</t>
        </is>
      </c>
      <c r="BF349" t="inlineStr">
        <is>
          <t>893626713</t>
        </is>
      </c>
    </row>
    <row r="350">
      <c r="A350" t="inlineStr">
        <is>
          <t>No</t>
        </is>
      </c>
      <c r="B350" t="inlineStr">
        <is>
          <t>CURAL</t>
        </is>
      </c>
      <c r="C350" t="inlineStr">
        <is>
          <t>SHELVES</t>
        </is>
      </c>
      <c r="D350" t="inlineStr">
        <is>
          <t>PR2017.P47 G74 1985</t>
        </is>
      </c>
      <c r="E350" t="inlineStr">
        <is>
          <t>0                      PR 2017000P  47                 G  74          1985</t>
        </is>
      </c>
      <c r="F350" t="inlineStr">
        <is>
          <t>Personification in Piers Plowman / Lavinia Griffiths.</t>
        </is>
      </c>
      <c r="H350" t="inlineStr">
        <is>
          <t>No</t>
        </is>
      </c>
      <c r="I350" t="inlineStr">
        <is>
          <t>1</t>
        </is>
      </c>
      <c r="J350" t="inlineStr">
        <is>
          <t>No</t>
        </is>
      </c>
      <c r="K350" t="inlineStr">
        <is>
          <t>No</t>
        </is>
      </c>
      <c r="L350" t="inlineStr">
        <is>
          <t>0</t>
        </is>
      </c>
      <c r="M350" t="inlineStr">
        <is>
          <t>Griffiths, Lavinia.</t>
        </is>
      </c>
      <c r="N350" t="inlineStr">
        <is>
          <t>Cambridge [Cambridgeshire] ; Dover, N.H. : D.S. Brewer, 1985.</t>
        </is>
      </c>
      <c r="O350" t="inlineStr">
        <is>
          <t>1985</t>
        </is>
      </c>
      <c r="Q350" t="inlineStr">
        <is>
          <t>eng</t>
        </is>
      </c>
      <c r="R350" t="inlineStr">
        <is>
          <t>enk</t>
        </is>
      </c>
      <c r="S350" t="inlineStr">
        <is>
          <t>Piers Plowman studies, 0261-9849 ; 3</t>
        </is>
      </c>
      <c r="T350" t="inlineStr">
        <is>
          <t xml:space="preserve">PR </t>
        </is>
      </c>
      <c r="U350" t="n">
        <v>3</v>
      </c>
      <c r="V350" t="n">
        <v>3</v>
      </c>
      <c r="W350" t="inlineStr">
        <is>
          <t>1998-02-08</t>
        </is>
      </c>
      <c r="X350" t="inlineStr">
        <is>
          <t>1998-02-08</t>
        </is>
      </c>
      <c r="Y350" t="inlineStr">
        <is>
          <t>1991-09-30</t>
        </is>
      </c>
      <c r="Z350" t="inlineStr">
        <is>
          <t>1991-09-30</t>
        </is>
      </c>
      <c r="AA350" t="n">
        <v>303</v>
      </c>
      <c r="AB350" t="n">
        <v>202</v>
      </c>
      <c r="AC350" t="n">
        <v>207</v>
      </c>
      <c r="AD350" t="n">
        <v>3</v>
      </c>
      <c r="AE350" t="n">
        <v>3</v>
      </c>
      <c r="AF350" t="n">
        <v>12</v>
      </c>
      <c r="AG350" t="n">
        <v>12</v>
      </c>
      <c r="AH350" t="n">
        <v>2</v>
      </c>
      <c r="AI350" t="n">
        <v>2</v>
      </c>
      <c r="AJ350" t="n">
        <v>3</v>
      </c>
      <c r="AK350" t="n">
        <v>3</v>
      </c>
      <c r="AL350" t="n">
        <v>9</v>
      </c>
      <c r="AM350" t="n">
        <v>9</v>
      </c>
      <c r="AN350" t="n">
        <v>2</v>
      </c>
      <c r="AO350" t="n">
        <v>2</v>
      </c>
      <c r="AP350" t="n">
        <v>0</v>
      </c>
      <c r="AQ350" t="n">
        <v>0</v>
      </c>
      <c r="AR350" t="inlineStr">
        <is>
          <t>No</t>
        </is>
      </c>
      <c r="AS350" t="inlineStr">
        <is>
          <t>No</t>
        </is>
      </c>
      <c r="AU350">
        <f>HYPERLINK("https://creighton-primo.hosted.exlibrisgroup.com/primo-explore/search?tab=default_tab&amp;search_scope=EVERYTHING&amp;vid=01CRU&amp;lang=en_US&amp;offset=0&amp;query=any,contains,991000552449702656","Catalog Record")</f>
        <v/>
      </c>
      <c r="AV350">
        <f>HYPERLINK("http://www.worldcat.org/oclc/11547989","WorldCat Record")</f>
        <v/>
      </c>
      <c r="AW350" t="inlineStr">
        <is>
          <t>4311188:eng</t>
        </is>
      </c>
      <c r="AX350" t="inlineStr">
        <is>
          <t>11547989</t>
        </is>
      </c>
      <c r="AY350" t="inlineStr">
        <is>
          <t>991000552449702656</t>
        </is>
      </c>
      <c r="AZ350" t="inlineStr">
        <is>
          <t>991000552449702656</t>
        </is>
      </c>
      <c r="BA350" t="inlineStr">
        <is>
          <t>2259854710002656</t>
        </is>
      </c>
      <c r="BB350" t="inlineStr">
        <is>
          <t>BOOK</t>
        </is>
      </c>
      <c r="BD350" t="inlineStr">
        <is>
          <t>9780859911849</t>
        </is>
      </c>
      <c r="BE350" t="inlineStr">
        <is>
          <t>32285000770130</t>
        </is>
      </c>
      <c r="BF350" t="inlineStr">
        <is>
          <t>893255526</t>
        </is>
      </c>
    </row>
    <row r="351">
      <c r="A351" t="inlineStr">
        <is>
          <t>No</t>
        </is>
      </c>
      <c r="B351" t="inlineStr">
        <is>
          <t>CURAL</t>
        </is>
      </c>
      <c r="C351" t="inlineStr">
        <is>
          <t>SHELVES</t>
        </is>
      </c>
      <c r="D351" t="inlineStr">
        <is>
          <t>PR2017.R4 A4</t>
        </is>
      </c>
      <c r="E351" t="inlineStr">
        <is>
          <t>0                      PR 2017000R  4                  A  4</t>
        </is>
      </c>
      <c r="F351" t="inlineStr">
        <is>
          <t>The fulfillment of the Scriptures: Abraham, Moses, and Piers, by Ruth M. Ames.</t>
        </is>
      </c>
      <c r="H351" t="inlineStr">
        <is>
          <t>No</t>
        </is>
      </c>
      <c r="I351" t="inlineStr">
        <is>
          <t>1</t>
        </is>
      </c>
      <c r="J351" t="inlineStr">
        <is>
          <t>No</t>
        </is>
      </c>
      <c r="K351" t="inlineStr">
        <is>
          <t>No</t>
        </is>
      </c>
      <c r="L351" t="inlineStr">
        <is>
          <t>0</t>
        </is>
      </c>
      <c r="M351" t="inlineStr">
        <is>
          <t>Ames, Ruth M. (Ruth Margaret), 1918-</t>
        </is>
      </c>
      <c r="N351" t="inlineStr">
        <is>
          <t>Evanston, Ill., Northwestern University Press, 1970.</t>
        </is>
      </c>
      <c r="O351" t="inlineStr">
        <is>
          <t>1970</t>
        </is>
      </c>
      <c r="Q351" t="inlineStr">
        <is>
          <t>eng</t>
        </is>
      </c>
      <c r="R351" t="inlineStr">
        <is>
          <t>ilu</t>
        </is>
      </c>
      <c r="T351" t="inlineStr">
        <is>
          <t xml:space="preserve">PR </t>
        </is>
      </c>
      <c r="U351" t="n">
        <v>9</v>
      </c>
      <c r="V351" t="n">
        <v>9</v>
      </c>
      <c r="W351" t="inlineStr">
        <is>
          <t>2003-10-10</t>
        </is>
      </c>
      <c r="X351" t="inlineStr">
        <is>
          <t>2003-10-10</t>
        </is>
      </c>
      <c r="Y351" t="inlineStr">
        <is>
          <t>1997-07-29</t>
        </is>
      </c>
      <c r="Z351" t="inlineStr">
        <is>
          <t>1997-07-29</t>
        </is>
      </c>
      <c r="AA351" t="n">
        <v>502</v>
      </c>
      <c r="AB351" t="n">
        <v>448</v>
      </c>
      <c r="AC351" t="n">
        <v>451</v>
      </c>
      <c r="AD351" t="n">
        <v>4</v>
      </c>
      <c r="AE351" t="n">
        <v>4</v>
      </c>
      <c r="AF351" t="n">
        <v>23</v>
      </c>
      <c r="AG351" t="n">
        <v>23</v>
      </c>
      <c r="AH351" t="n">
        <v>10</v>
      </c>
      <c r="AI351" t="n">
        <v>10</v>
      </c>
      <c r="AJ351" t="n">
        <v>3</v>
      </c>
      <c r="AK351" t="n">
        <v>3</v>
      </c>
      <c r="AL351" t="n">
        <v>10</v>
      </c>
      <c r="AM351" t="n">
        <v>10</v>
      </c>
      <c r="AN351" t="n">
        <v>3</v>
      </c>
      <c r="AO351" t="n">
        <v>3</v>
      </c>
      <c r="AP351" t="n">
        <v>0</v>
      </c>
      <c r="AQ351" t="n">
        <v>0</v>
      </c>
      <c r="AR351" t="inlineStr">
        <is>
          <t>No</t>
        </is>
      </c>
      <c r="AS351" t="inlineStr">
        <is>
          <t>Yes</t>
        </is>
      </c>
      <c r="AT351">
        <f>HYPERLINK("http://catalog.hathitrust.org/Record/000590528","HathiTrust Record")</f>
        <v/>
      </c>
      <c r="AU351">
        <f>HYPERLINK("https://creighton-primo.hosted.exlibrisgroup.com/primo-explore/search?tab=default_tab&amp;search_scope=EVERYTHING&amp;vid=01CRU&amp;lang=en_US&amp;offset=0&amp;query=any,contains,991000565379702656","Catalog Record")</f>
        <v/>
      </c>
      <c r="AV351">
        <f>HYPERLINK("http://www.worldcat.org/oclc/94039","WorldCat Record")</f>
        <v/>
      </c>
      <c r="AW351" t="inlineStr">
        <is>
          <t>1312343:eng</t>
        </is>
      </c>
      <c r="AX351" t="inlineStr">
        <is>
          <t>94039</t>
        </is>
      </c>
      <c r="AY351" t="inlineStr">
        <is>
          <t>991000565379702656</t>
        </is>
      </c>
      <c r="AZ351" t="inlineStr">
        <is>
          <t>991000565379702656</t>
        </is>
      </c>
      <c r="BA351" t="inlineStr">
        <is>
          <t>2265906390002656</t>
        </is>
      </c>
      <c r="BB351" t="inlineStr">
        <is>
          <t>BOOK</t>
        </is>
      </c>
      <c r="BD351" t="inlineStr">
        <is>
          <t>9780810103016</t>
        </is>
      </c>
      <c r="BE351" t="inlineStr">
        <is>
          <t>32285002988466</t>
        </is>
      </c>
      <c r="BF351" t="inlineStr">
        <is>
          <t>893249471</t>
        </is>
      </c>
    </row>
    <row r="352">
      <c r="A352" t="inlineStr">
        <is>
          <t>No</t>
        </is>
      </c>
      <c r="B352" t="inlineStr">
        <is>
          <t>CURAL</t>
        </is>
      </c>
      <c r="C352" t="inlineStr">
        <is>
          <t>SHELVES</t>
        </is>
      </c>
      <c r="D352" t="inlineStr">
        <is>
          <t>PR2017.W54 B6 1986</t>
        </is>
      </c>
      <c r="E352" t="inlineStr">
        <is>
          <t>0                      PR 2017000W  54                 B  6           1986</t>
        </is>
      </c>
      <c r="F352" t="inlineStr">
        <is>
          <t>The crisis of will in Piers Plowman / John M. Bowers.</t>
        </is>
      </c>
      <c r="H352" t="inlineStr">
        <is>
          <t>No</t>
        </is>
      </c>
      <c r="I352" t="inlineStr">
        <is>
          <t>1</t>
        </is>
      </c>
      <c r="J352" t="inlineStr">
        <is>
          <t>No</t>
        </is>
      </c>
      <c r="K352" t="inlineStr">
        <is>
          <t>No</t>
        </is>
      </c>
      <c r="L352" t="inlineStr">
        <is>
          <t>0</t>
        </is>
      </c>
      <c r="M352" t="inlineStr">
        <is>
          <t>Bowers, John M., 1949-</t>
        </is>
      </c>
      <c r="N352" t="inlineStr">
        <is>
          <t>Washington, D.C. : Catholic University of America Press, c1986.</t>
        </is>
      </c>
      <c r="O352" t="inlineStr">
        <is>
          <t>1986</t>
        </is>
      </c>
      <c r="Q352" t="inlineStr">
        <is>
          <t>eng</t>
        </is>
      </c>
      <c r="R352" t="inlineStr">
        <is>
          <t>dcu</t>
        </is>
      </c>
      <c r="T352" t="inlineStr">
        <is>
          <t xml:space="preserve">PR </t>
        </is>
      </c>
      <c r="U352" t="n">
        <v>3</v>
      </c>
      <c r="V352" t="n">
        <v>3</v>
      </c>
      <c r="W352" t="inlineStr">
        <is>
          <t>1998-02-08</t>
        </is>
      </c>
      <c r="X352" t="inlineStr">
        <is>
          <t>1998-02-08</t>
        </is>
      </c>
      <c r="Y352" t="inlineStr">
        <is>
          <t>1991-09-30</t>
        </is>
      </c>
      <c r="Z352" t="inlineStr">
        <is>
          <t>1991-09-30</t>
        </is>
      </c>
      <c r="AA352" t="n">
        <v>432</v>
      </c>
      <c r="AB352" t="n">
        <v>356</v>
      </c>
      <c r="AC352" t="n">
        <v>363</v>
      </c>
      <c r="AD352" t="n">
        <v>4</v>
      </c>
      <c r="AE352" t="n">
        <v>4</v>
      </c>
      <c r="AF352" t="n">
        <v>21</v>
      </c>
      <c r="AG352" t="n">
        <v>21</v>
      </c>
      <c r="AH352" t="n">
        <v>5</v>
      </c>
      <c r="AI352" t="n">
        <v>5</v>
      </c>
      <c r="AJ352" t="n">
        <v>6</v>
      </c>
      <c r="AK352" t="n">
        <v>6</v>
      </c>
      <c r="AL352" t="n">
        <v>13</v>
      </c>
      <c r="AM352" t="n">
        <v>13</v>
      </c>
      <c r="AN352" t="n">
        <v>3</v>
      </c>
      <c r="AO352" t="n">
        <v>3</v>
      </c>
      <c r="AP352" t="n">
        <v>0</v>
      </c>
      <c r="AQ352" t="n">
        <v>0</v>
      </c>
      <c r="AR352" t="inlineStr">
        <is>
          <t>No</t>
        </is>
      </c>
      <c r="AS352" t="inlineStr">
        <is>
          <t>Yes</t>
        </is>
      </c>
      <c r="AT352">
        <f>HYPERLINK("http://catalog.hathitrust.org/Record/000490529","HathiTrust Record")</f>
        <v/>
      </c>
      <c r="AU352">
        <f>HYPERLINK("https://creighton-primo.hosted.exlibrisgroup.com/primo-explore/search?tab=default_tab&amp;search_scope=EVERYTHING&amp;vid=01CRU&amp;lang=en_US&amp;offset=0&amp;query=any,contains,991000730909702656","Catalog Record")</f>
        <v/>
      </c>
      <c r="AV352">
        <f>HYPERLINK("http://www.worldcat.org/oclc/12724250","WorldCat Record")</f>
        <v/>
      </c>
      <c r="AW352" t="inlineStr">
        <is>
          <t>5546610:eng</t>
        </is>
      </c>
      <c r="AX352" t="inlineStr">
        <is>
          <t>12724250</t>
        </is>
      </c>
      <c r="AY352" t="inlineStr">
        <is>
          <t>991000730909702656</t>
        </is>
      </c>
      <c r="AZ352" t="inlineStr">
        <is>
          <t>991000730909702656</t>
        </is>
      </c>
      <c r="BA352" t="inlineStr">
        <is>
          <t>2266772400002656</t>
        </is>
      </c>
      <c r="BB352" t="inlineStr">
        <is>
          <t>BOOK</t>
        </is>
      </c>
      <c r="BD352" t="inlineStr">
        <is>
          <t>9780813206141</t>
        </is>
      </c>
      <c r="BE352" t="inlineStr">
        <is>
          <t>32285000770148</t>
        </is>
      </c>
      <c r="BF352" t="inlineStr">
        <is>
          <t>893589693</t>
        </is>
      </c>
    </row>
    <row r="353">
      <c r="A353" t="inlineStr">
        <is>
          <t>No</t>
        </is>
      </c>
      <c r="B353" t="inlineStr">
        <is>
          <t>CURAL</t>
        </is>
      </c>
      <c r="C353" t="inlineStr">
        <is>
          <t>SHELVES</t>
        </is>
      </c>
      <c r="D353" t="inlineStr">
        <is>
          <t>PR203 .B3</t>
        </is>
      </c>
      <c r="E353" t="inlineStr">
        <is>
          <t>0                      PR 0203000B  3</t>
        </is>
      </c>
      <c r="F353" t="inlineStr">
        <is>
          <t>The larger rhetorical patterns in Anglo-Saxon poetry, by Adeline Courtney Bartlett.</t>
        </is>
      </c>
      <c r="H353" t="inlineStr">
        <is>
          <t>No</t>
        </is>
      </c>
      <c r="I353" t="inlineStr">
        <is>
          <t>1</t>
        </is>
      </c>
      <c r="J353" t="inlineStr">
        <is>
          <t>No</t>
        </is>
      </c>
      <c r="K353" t="inlineStr">
        <is>
          <t>No</t>
        </is>
      </c>
      <c r="L353" t="inlineStr">
        <is>
          <t>0</t>
        </is>
      </c>
      <c r="M353" t="inlineStr">
        <is>
          <t>Bartlett, Adeline Courtney, 1888-1955.</t>
        </is>
      </c>
      <c r="N353" t="inlineStr">
        <is>
          <t>New York, Columbia University Press, 1935.</t>
        </is>
      </c>
      <c r="O353" t="inlineStr">
        <is>
          <t>1935</t>
        </is>
      </c>
      <c r="Q353" t="inlineStr">
        <is>
          <t>eng</t>
        </is>
      </c>
      <c r="R353" t="inlineStr">
        <is>
          <t>nyu</t>
        </is>
      </c>
      <c r="S353" t="inlineStr">
        <is>
          <t>Columbia University studies in English and comparative literature ; no. 122</t>
        </is>
      </c>
      <c r="T353" t="inlineStr">
        <is>
          <t xml:space="preserve">PR </t>
        </is>
      </c>
      <c r="U353" t="n">
        <v>1</v>
      </c>
      <c r="V353" t="n">
        <v>1</v>
      </c>
      <c r="W353" t="inlineStr">
        <is>
          <t>2000-09-04</t>
        </is>
      </c>
      <c r="X353" t="inlineStr">
        <is>
          <t>2000-09-04</t>
        </is>
      </c>
      <c r="Y353" t="inlineStr">
        <is>
          <t>1997-08-18</t>
        </is>
      </c>
      <c r="Z353" t="inlineStr">
        <is>
          <t>1997-08-18</t>
        </is>
      </c>
      <c r="AA353" t="n">
        <v>230</v>
      </c>
      <c r="AB353" t="n">
        <v>197</v>
      </c>
      <c r="AC353" t="n">
        <v>385</v>
      </c>
      <c r="AD353" t="n">
        <v>2</v>
      </c>
      <c r="AE353" t="n">
        <v>2</v>
      </c>
      <c r="AF353" t="n">
        <v>19</v>
      </c>
      <c r="AG353" t="n">
        <v>24</v>
      </c>
      <c r="AH353" t="n">
        <v>7</v>
      </c>
      <c r="AI353" t="n">
        <v>7</v>
      </c>
      <c r="AJ353" t="n">
        <v>4</v>
      </c>
      <c r="AK353" t="n">
        <v>6</v>
      </c>
      <c r="AL353" t="n">
        <v>14</v>
      </c>
      <c r="AM353" t="n">
        <v>19</v>
      </c>
      <c r="AN353" t="n">
        <v>1</v>
      </c>
      <c r="AO353" t="n">
        <v>1</v>
      </c>
      <c r="AP353" t="n">
        <v>0</v>
      </c>
      <c r="AQ353" t="n">
        <v>0</v>
      </c>
      <c r="AR353" t="inlineStr">
        <is>
          <t>No</t>
        </is>
      </c>
      <c r="AS353" t="inlineStr">
        <is>
          <t>Yes</t>
        </is>
      </c>
      <c r="AT353">
        <f>HYPERLINK("http://catalog.hathitrust.org/Record/001371358","HathiTrust Record")</f>
        <v/>
      </c>
      <c r="AU353">
        <f>HYPERLINK("https://creighton-primo.hosted.exlibrisgroup.com/primo-explore/search?tab=default_tab&amp;search_scope=EVERYTHING&amp;vid=01CRU&amp;lang=en_US&amp;offset=0&amp;query=any,contains,991004044869702656","Catalog Record")</f>
        <v/>
      </c>
      <c r="AV353">
        <f>HYPERLINK("http://www.worldcat.org/oclc/2198258","WorldCat Record")</f>
        <v/>
      </c>
      <c r="AW353" t="inlineStr">
        <is>
          <t>1508251:eng</t>
        </is>
      </c>
      <c r="AX353" t="inlineStr">
        <is>
          <t>2198258</t>
        </is>
      </c>
      <c r="AY353" t="inlineStr">
        <is>
          <t>991004044869702656</t>
        </is>
      </c>
      <c r="AZ353" t="inlineStr">
        <is>
          <t>991004044869702656</t>
        </is>
      </c>
      <c r="BA353" t="inlineStr">
        <is>
          <t>2260241660002656</t>
        </is>
      </c>
      <c r="BB353" t="inlineStr">
        <is>
          <t>BOOK</t>
        </is>
      </c>
      <c r="BE353" t="inlineStr">
        <is>
          <t>32285003150694</t>
        </is>
      </c>
      <c r="BF353" t="inlineStr">
        <is>
          <t>893875613</t>
        </is>
      </c>
    </row>
    <row r="354">
      <c r="A354" t="inlineStr">
        <is>
          <t>No</t>
        </is>
      </c>
      <c r="B354" t="inlineStr">
        <is>
          <t>CURAL</t>
        </is>
      </c>
      <c r="C354" t="inlineStr">
        <is>
          <t>SHELVES</t>
        </is>
      </c>
      <c r="D354" t="inlineStr">
        <is>
          <t>PR203 .H34</t>
        </is>
      </c>
      <c r="E354" t="inlineStr">
        <is>
          <t>0                      PR 0203000H  34</t>
        </is>
      </c>
      <c r="F354" t="inlineStr">
        <is>
          <t>The Old English rune poem : a critical edition / Maureen Halsall.</t>
        </is>
      </c>
      <c r="H354" t="inlineStr">
        <is>
          <t>No</t>
        </is>
      </c>
      <c r="I354" t="inlineStr">
        <is>
          <t>1</t>
        </is>
      </c>
      <c r="J354" t="inlineStr">
        <is>
          <t>No</t>
        </is>
      </c>
      <c r="K354" t="inlineStr">
        <is>
          <t>No</t>
        </is>
      </c>
      <c r="L354" t="inlineStr">
        <is>
          <t>0</t>
        </is>
      </c>
      <c r="M354" t="inlineStr">
        <is>
          <t>Halsall, Maureen, 1934-</t>
        </is>
      </c>
      <c r="N354" t="inlineStr">
        <is>
          <t>Toronto ; New York : University of Toronto, c1981.</t>
        </is>
      </c>
      <c r="O354" t="inlineStr">
        <is>
          <t>1981</t>
        </is>
      </c>
      <c r="Q354" t="inlineStr">
        <is>
          <t>eng</t>
        </is>
      </c>
      <c r="R354" t="inlineStr">
        <is>
          <t>onc</t>
        </is>
      </c>
      <c r="S354" t="inlineStr">
        <is>
          <t>McMaster Old English studies and texts ; 2</t>
        </is>
      </c>
      <c r="T354" t="inlineStr">
        <is>
          <t xml:space="preserve">PR </t>
        </is>
      </c>
      <c r="U354" t="n">
        <v>2</v>
      </c>
      <c r="V354" t="n">
        <v>2</v>
      </c>
      <c r="W354" t="inlineStr">
        <is>
          <t>2001-09-14</t>
        </is>
      </c>
      <c r="X354" t="inlineStr">
        <is>
          <t>2001-09-14</t>
        </is>
      </c>
      <c r="Y354" t="inlineStr">
        <is>
          <t>1991-08-28</t>
        </is>
      </c>
      <c r="Z354" t="inlineStr">
        <is>
          <t>1991-08-28</t>
        </is>
      </c>
      <c r="AA354" t="n">
        <v>337</v>
      </c>
      <c r="AB354" t="n">
        <v>235</v>
      </c>
      <c r="AC354" t="n">
        <v>288</v>
      </c>
      <c r="AD354" t="n">
        <v>2</v>
      </c>
      <c r="AE354" t="n">
        <v>3</v>
      </c>
      <c r="AF354" t="n">
        <v>10</v>
      </c>
      <c r="AG354" t="n">
        <v>15</v>
      </c>
      <c r="AH354" t="n">
        <v>2</v>
      </c>
      <c r="AI354" t="n">
        <v>6</v>
      </c>
      <c r="AJ354" t="n">
        <v>3</v>
      </c>
      <c r="AK354" t="n">
        <v>4</v>
      </c>
      <c r="AL354" t="n">
        <v>9</v>
      </c>
      <c r="AM354" t="n">
        <v>9</v>
      </c>
      <c r="AN354" t="n">
        <v>1</v>
      </c>
      <c r="AO354" t="n">
        <v>2</v>
      </c>
      <c r="AP354" t="n">
        <v>0</v>
      </c>
      <c r="AQ354" t="n">
        <v>0</v>
      </c>
      <c r="AR354" t="inlineStr">
        <is>
          <t>No</t>
        </is>
      </c>
      <c r="AS354" t="inlineStr">
        <is>
          <t>Yes</t>
        </is>
      </c>
      <c r="AT354">
        <f>HYPERLINK("http://catalog.hathitrust.org/Record/000163404","HathiTrust Record")</f>
        <v/>
      </c>
      <c r="AU354">
        <f>HYPERLINK("https://creighton-primo.hosted.exlibrisgroup.com/primo-explore/search?tab=default_tab&amp;search_scope=EVERYTHING&amp;vid=01CRU&amp;lang=en_US&amp;offset=0&amp;query=any,contains,991005394289702656","Catalog Record")</f>
        <v/>
      </c>
      <c r="AV354">
        <f>HYPERLINK("http://www.worldcat.org/oclc/9016738","WorldCat Record")</f>
        <v/>
      </c>
      <c r="AW354" t="inlineStr">
        <is>
          <t>54536787:eng</t>
        </is>
      </c>
      <c r="AX354" t="inlineStr">
        <is>
          <t>9016738</t>
        </is>
      </c>
      <c r="AY354" t="inlineStr">
        <is>
          <t>991005394289702656</t>
        </is>
      </c>
      <c r="AZ354" t="inlineStr">
        <is>
          <t>991005394289702656</t>
        </is>
      </c>
      <c r="BA354" t="inlineStr">
        <is>
          <t>2270046240002656</t>
        </is>
      </c>
      <c r="BB354" t="inlineStr">
        <is>
          <t>BOOK</t>
        </is>
      </c>
      <c r="BD354" t="inlineStr">
        <is>
          <t>9780802054777</t>
        </is>
      </c>
      <c r="BE354" t="inlineStr">
        <is>
          <t>32285000730068</t>
        </is>
      </c>
      <c r="BF354" t="inlineStr">
        <is>
          <t>893789958</t>
        </is>
      </c>
    </row>
    <row r="355">
      <c r="A355" t="inlineStr">
        <is>
          <t>No</t>
        </is>
      </c>
      <c r="B355" t="inlineStr">
        <is>
          <t>CURAL</t>
        </is>
      </c>
      <c r="C355" t="inlineStr">
        <is>
          <t>SHELVES</t>
        </is>
      </c>
      <c r="D355" t="inlineStr">
        <is>
          <t>PR203 .M24 1996</t>
        </is>
      </c>
      <c r="E355" t="inlineStr">
        <is>
          <t>0                      PR 0203000M  24          1996</t>
        </is>
      </c>
      <c r="F355" t="inlineStr">
        <is>
          <t>Images of community in old English poetry / Hugh Magennis.</t>
        </is>
      </c>
      <c r="H355" t="inlineStr">
        <is>
          <t>No</t>
        </is>
      </c>
      <c r="I355" t="inlineStr">
        <is>
          <t>1</t>
        </is>
      </c>
      <c r="J355" t="inlineStr">
        <is>
          <t>No</t>
        </is>
      </c>
      <c r="K355" t="inlineStr">
        <is>
          <t>No</t>
        </is>
      </c>
      <c r="L355" t="inlineStr">
        <is>
          <t>0</t>
        </is>
      </c>
      <c r="M355" t="inlineStr">
        <is>
          <t>Magennis, Hugh.</t>
        </is>
      </c>
      <c r="N355" t="inlineStr">
        <is>
          <t>Cambridge ; New York : Cambridge University Press, 1996.</t>
        </is>
      </c>
      <c r="O355" t="inlineStr">
        <is>
          <t>1996</t>
        </is>
      </c>
      <c r="Q355" t="inlineStr">
        <is>
          <t>eng</t>
        </is>
      </c>
      <c r="R355" t="inlineStr">
        <is>
          <t>enk</t>
        </is>
      </c>
      <c r="S355" t="inlineStr">
        <is>
          <t>Cambridge studies in Anglo-Saxon England ; 18</t>
        </is>
      </c>
      <c r="T355" t="inlineStr">
        <is>
          <t xml:space="preserve">PR </t>
        </is>
      </c>
      <c r="U355" t="n">
        <v>3</v>
      </c>
      <c r="V355" t="n">
        <v>3</v>
      </c>
      <c r="W355" t="inlineStr">
        <is>
          <t>2005-04-05</t>
        </is>
      </c>
      <c r="X355" t="inlineStr">
        <is>
          <t>2005-04-05</t>
        </is>
      </c>
      <c r="Y355" t="inlineStr">
        <is>
          <t>2001-04-03</t>
        </is>
      </c>
      <c r="Z355" t="inlineStr">
        <is>
          <t>2001-04-03</t>
        </is>
      </c>
      <c r="AA355" t="n">
        <v>421</v>
      </c>
      <c r="AB355" t="n">
        <v>327</v>
      </c>
      <c r="AC355" t="n">
        <v>339</v>
      </c>
      <c r="AD355" t="n">
        <v>4</v>
      </c>
      <c r="AE355" t="n">
        <v>4</v>
      </c>
      <c r="AF355" t="n">
        <v>18</v>
      </c>
      <c r="AG355" t="n">
        <v>18</v>
      </c>
      <c r="AH355" t="n">
        <v>5</v>
      </c>
      <c r="AI355" t="n">
        <v>5</v>
      </c>
      <c r="AJ355" t="n">
        <v>6</v>
      </c>
      <c r="AK355" t="n">
        <v>6</v>
      </c>
      <c r="AL355" t="n">
        <v>10</v>
      </c>
      <c r="AM355" t="n">
        <v>10</v>
      </c>
      <c r="AN355" t="n">
        <v>3</v>
      </c>
      <c r="AO355" t="n">
        <v>3</v>
      </c>
      <c r="AP355" t="n">
        <v>0</v>
      </c>
      <c r="AQ355" t="n">
        <v>0</v>
      </c>
      <c r="AR355" t="inlineStr">
        <is>
          <t>No</t>
        </is>
      </c>
      <c r="AS355" t="inlineStr">
        <is>
          <t>No</t>
        </is>
      </c>
      <c r="AU355">
        <f>HYPERLINK("https://creighton-primo.hosted.exlibrisgroup.com/primo-explore/search?tab=default_tab&amp;search_scope=EVERYTHING&amp;vid=01CRU&amp;lang=en_US&amp;offset=0&amp;query=any,contains,991003524039702656","Catalog Record")</f>
        <v/>
      </c>
      <c r="AV355">
        <f>HYPERLINK("http://www.worldcat.org/oclc/33820313","WorldCat Record")</f>
        <v/>
      </c>
      <c r="AW355" t="inlineStr">
        <is>
          <t>38985586:eng</t>
        </is>
      </c>
      <c r="AX355" t="inlineStr">
        <is>
          <t>33820313</t>
        </is>
      </c>
      <c r="AY355" t="inlineStr">
        <is>
          <t>991003524039702656</t>
        </is>
      </c>
      <c r="AZ355" t="inlineStr">
        <is>
          <t>991003524039702656</t>
        </is>
      </c>
      <c r="BA355" t="inlineStr">
        <is>
          <t>2255819800002656</t>
        </is>
      </c>
      <c r="BB355" t="inlineStr">
        <is>
          <t>BOOK</t>
        </is>
      </c>
      <c r="BD355" t="inlineStr">
        <is>
          <t>9780521495660</t>
        </is>
      </c>
      <c r="BE355" t="inlineStr">
        <is>
          <t>32285004309729</t>
        </is>
      </c>
      <c r="BF355" t="inlineStr">
        <is>
          <t>893252459</t>
        </is>
      </c>
    </row>
    <row r="356">
      <c r="A356" t="inlineStr">
        <is>
          <t>No</t>
        </is>
      </c>
      <c r="B356" t="inlineStr">
        <is>
          <t>CURAL</t>
        </is>
      </c>
      <c r="C356" t="inlineStr">
        <is>
          <t>SHELVES</t>
        </is>
      </c>
      <c r="D356" t="inlineStr">
        <is>
          <t>PR2045 .A8</t>
        </is>
      </c>
      <c r="E356" t="inlineStr">
        <is>
          <t>0                      PR 2045000A  8</t>
        </is>
      </c>
      <c r="F356" t="inlineStr">
        <is>
          <t>Aspects of Malory / edited by Toshiyuki Takamiya and Derek Brewer.</t>
        </is>
      </c>
      <c r="H356" t="inlineStr">
        <is>
          <t>No</t>
        </is>
      </c>
      <c r="I356" t="inlineStr">
        <is>
          <t>1</t>
        </is>
      </c>
      <c r="J356" t="inlineStr">
        <is>
          <t>No</t>
        </is>
      </c>
      <c r="K356" t="inlineStr">
        <is>
          <t>No</t>
        </is>
      </c>
      <c r="L356" t="inlineStr">
        <is>
          <t>0</t>
        </is>
      </c>
      <c r="N356" t="inlineStr">
        <is>
          <t>Woodbridge : Brewer ; Totowa, N.J. : Rowman &amp; Littlefield, c1981.</t>
        </is>
      </c>
      <c r="O356" t="inlineStr">
        <is>
          <t>1981</t>
        </is>
      </c>
      <c r="Q356" t="inlineStr">
        <is>
          <t>eng</t>
        </is>
      </c>
      <c r="R356" t="inlineStr">
        <is>
          <t>enk</t>
        </is>
      </c>
      <c r="S356" t="inlineStr">
        <is>
          <t>Arthurian studies ; 1</t>
        </is>
      </c>
      <c r="T356" t="inlineStr">
        <is>
          <t xml:space="preserve">PR </t>
        </is>
      </c>
      <c r="U356" t="n">
        <v>4</v>
      </c>
      <c r="V356" t="n">
        <v>4</v>
      </c>
      <c r="W356" t="inlineStr">
        <is>
          <t>2001-02-20</t>
        </is>
      </c>
      <c r="X356" t="inlineStr">
        <is>
          <t>2001-02-20</t>
        </is>
      </c>
      <c r="Y356" t="inlineStr">
        <is>
          <t>1991-09-30</t>
        </is>
      </c>
      <c r="Z356" t="inlineStr">
        <is>
          <t>1991-09-30</t>
        </is>
      </c>
      <c r="AA356" t="n">
        <v>407</v>
      </c>
      <c r="AB356" t="n">
        <v>290</v>
      </c>
      <c r="AC356" t="n">
        <v>327</v>
      </c>
      <c r="AD356" t="n">
        <v>5</v>
      </c>
      <c r="AE356" t="n">
        <v>5</v>
      </c>
      <c r="AF356" t="n">
        <v>18</v>
      </c>
      <c r="AG356" t="n">
        <v>20</v>
      </c>
      <c r="AH356" t="n">
        <v>5</v>
      </c>
      <c r="AI356" t="n">
        <v>5</v>
      </c>
      <c r="AJ356" t="n">
        <v>3</v>
      </c>
      <c r="AK356" t="n">
        <v>3</v>
      </c>
      <c r="AL356" t="n">
        <v>11</v>
      </c>
      <c r="AM356" t="n">
        <v>13</v>
      </c>
      <c r="AN356" t="n">
        <v>4</v>
      </c>
      <c r="AO356" t="n">
        <v>4</v>
      </c>
      <c r="AP356" t="n">
        <v>0</v>
      </c>
      <c r="AQ356" t="n">
        <v>0</v>
      </c>
      <c r="AR356" t="inlineStr">
        <is>
          <t>No</t>
        </is>
      </c>
      <c r="AS356" t="inlineStr">
        <is>
          <t>No</t>
        </is>
      </c>
      <c r="AU356">
        <f>HYPERLINK("https://creighton-primo.hosted.exlibrisgroup.com/primo-explore/search?tab=default_tab&amp;search_scope=EVERYTHING&amp;vid=01CRU&amp;lang=en_US&amp;offset=0&amp;query=any,contains,991005178449702656","Catalog Record")</f>
        <v/>
      </c>
      <c r="AV356">
        <f>HYPERLINK("http://www.worldcat.org/oclc/7625274","WorldCat Record")</f>
        <v/>
      </c>
      <c r="AW356" t="inlineStr">
        <is>
          <t>349974886:eng</t>
        </is>
      </c>
      <c r="AX356" t="inlineStr">
        <is>
          <t>7625274</t>
        </is>
      </c>
      <c r="AY356" t="inlineStr">
        <is>
          <t>991005178449702656</t>
        </is>
      </c>
      <c r="AZ356" t="inlineStr">
        <is>
          <t>991005178449702656</t>
        </is>
      </c>
      <c r="BA356" t="inlineStr">
        <is>
          <t>2270284790002656</t>
        </is>
      </c>
      <c r="BB356" t="inlineStr">
        <is>
          <t>BOOK</t>
        </is>
      </c>
      <c r="BD356" t="inlineStr">
        <is>
          <t>9780847670130</t>
        </is>
      </c>
      <c r="BE356" t="inlineStr">
        <is>
          <t>32285000770197</t>
        </is>
      </c>
      <c r="BF356" t="inlineStr">
        <is>
          <t>893877071</t>
        </is>
      </c>
    </row>
    <row r="357">
      <c r="A357" t="inlineStr">
        <is>
          <t>No</t>
        </is>
      </c>
      <c r="B357" t="inlineStr">
        <is>
          <t>CURAL</t>
        </is>
      </c>
      <c r="C357" t="inlineStr">
        <is>
          <t>SHELVES</t>
        </is>
      </c>
      <c r="D357" t="inlineStr">
        <is>
          <t>PR2045 .B4</t>
        </is>
      </c>
      <c r="E357" t="inlineStr">
        <is>
          <t>0                      PR 2045000B  4</t>
        </is>
      </c>
      <c r="F357" t="inlineStr">
        <is>
          <t>Essays on Malory / by Walter Oakeshott [and others]</t>
        </is>
      </c>
      <c r="H357" t="inlineStr">
        <is>
          <t>No</t>
        </is>
      </c>
      <c r="I357" t="inlineStr">
        <is>
          <t>1</t>
        </is>
      </c>
      <c r="J357" t="inlineStr">
        <is>
          <t>No</t>
        </is>
      </c>
      <c r="K357" t="inlineStr">
        <is>
          <t>No</t>
        </is>
      </c>
      <c r="L357" t="inlineStr">
        <is>
          <t>0</t>
        </is>
      </c>
      <c r="M357" t="inlineStr">
        <is>
          <t>Bennett, J. A. W. (Jack Arthur Walter) editor.</t>
        </is>
      </c>
      <c r="N357" t="inlineStr">
        <is>
          <t>Oxford : Clarendon Press, 1963.</t>
        </is>
      </c>
      <c r="O357" t="inlineStr">
        <is>
          <t>1963</t>
        </is>
      </c>
      <c r="Q357" t="inlineStr">
        <is>
          <t>eng</t>
        </is>
      </c>
      <c r="R357" t="inlineStr">
        <is>
          <t>enk</t>
        </is>
      </c>
      <c r="T357" t="inlineStr">
        <is>
          <t xml:space="preserve">PR </t>
        </is>
      </c>
      <c r="U357" t="n">
        <v>5</v>
      </c>
      <c r="V357" t="n">
        <v>5</v>
      </c>
      <c r="W357" t="inlineStr">
        <is>
          <t>2001-02-20</t>
        </is>
      </c>
      <c r="X357" t="inlineStr">
        <is>
          <t>2001-02-20</t>
        </is>
      </c>
      <c r="Y357" t="inlineStr">
        <is>
          <t>1992-05-15</t>
        </is>
      </c>
      <c r="Z357" t="inlineStr">
        <is>
          <t>1992-05-15</t>
        </is>
      </c>
      <c r="AA357" t="n">
        <v>819</v>
      </c>
      <c r="AB357" t="n">
        <v>649</v>
      </c>
      <c r="AC357" t="n">
        <v>657</v>
      </c>
      <c r="AD357" t="n">
        <v>3</v>
      </c>
      <c r="AE357" t="n">
        <v>3</v>
      </c>
      <c r="AF357" t="n">
        <v>37</v>
      </c>
      <c r="AG357" t="n">
        <v>37</v>
      </c>
      <c r="AH357" t="n">
        <v>19</v>
      </c>
      <c r="AI357" t="n">
        <v>19</v>
      </c>
      <c r="AJ357" t="n">
        <v>5</v>
      </c>
      <c r="AK357" t="n">
        <v>5</v>
      </c>
      <c r="AL357" t="n">
        <v>20</v>
      </c>
      <c r="AM357" t="n">
        <v>20</v>
      </c>
      <c r="AN357" t="n">
        <v>2</v>
      </c>
      <c r="AO357" t="n">
        <v>2</v>
      </c>
      <c r="AP357" t="n">
        <v>0</v>
      </c>
      <c r="AQ357" t="n">
        <v>0</v>
      </c>
      <c r="AR357" t="inlineStr">
        <is>
          <t>No</t>
        </is>
      </c>
      <c r="AS357" t="inlineStr">
        <is>
          <t>Yes</t>
        </is>
      </c>
      <c r="AT357">
        <f>HYPERLINK("http://catalog.hathitrust.org/Record/000630440","HathiTrust Record")</f>
        <v/>
      </c>
      <c r="AU357">
        <f>HYPERLINK("https://creighton-primo.hosted.exlibrisgroup.com/primo-explore/search?tab=default_tab&amp;search_scope=EVERYTHING&amp;vid=01CRU&amp;lang=en_US&amp;offset=0&amp;query=any,contains,991002445739702656","Catalog Record")</f>
        <v/>
      </c>
      <c r="AV357">
        <f>HYPERLINK("http://www.worldcat.org/oclc/351504","WorldCat Record")</f>
        <v/>
      </c>
      <c r="AW357" t="inlineStr">
        <is>
          <t>598595448:eng</t>
        </is>
      </c>
      <c r="AX357" t="inlineStr">
        <is>
          <t>351504</t>
        </is>
      </c>
      <c r="AY357" t="inlineStr">
        <is>
          <t>991002445739702656</t>
        </is>
      </c>
      <c r="AZ357" t="inlineStr">
        <is>
          <t>991002445739702656</t>
        </is>
      </c>
      <c r="BA357" t="inlineStr">
        <is>
          <t>2266634570002656</t>
        </is>
      </c>
      <c r="BB357" t="inlineStr">
        <is>
          <t>BOOK</t>
        </is>
      </c>
      <c r="BE357" t="inlineStr">
        <is>
          <t>32285001110641</t>
        </is>
      </c>
      <c r="BF357" t="inlineStr">
        <is>
          <t>893257300</t>
        </is>
      </c>
    </row>
    <row r="358">
      <c r="A358" t="inlineStr">
        <is>
          <t>No</t>
        </is>
      </c>
      <c r="B358" t="inlineStr">
        <is>
          <t>CURAL</t>
        </is>
      </c>
      <c r="C358" t="inlineStr">
        <is>
          <t>SHELVES</t>
        </is>
      </c>
      <c r="D358" t="inlineStr">
        <is>
          <t>PR2045 .B45</t>
        </is>
      </c>
      <c r="E358" t="inlineStr">
        <is>
          <t>0                      PR 2045000B  45</t>
        </is>
      </c>
      <c r="F358" t="inlineStr">
        <is>
          <t>Malory's Morte Darthur / Larry D. Benson.</t>
        </is>
      </c>
      <c r="H358" t="inlineStr">
        <is>
          <t>No</t>
        </is>
      </c>
      <c r="I358" t="inlineStr">
        <is>
          <t>1</t>
        </is>
      </c>
      <c r="J358" t="inlineStr">
        <is>
          <t>No</t>
        </is>
      </c>
      <c r="K358" t="inlineStr">
        <is>
          <t>No</t>
        </is>
      </c>
      <c r="L358" t="inlineStr">
        <is>
          <t>0</t>
        </is>
      </c>
      <c r="M358" t="inlineStr">
        <is>
          <t>Benson, Larry Dean, 1929-</t>
        </is>
      </c>
      <c r="N358" t="inlineStr">
        <is>
          <t>Cambridge : Harvard University Press, 1976.</t>
        </is>
      </c>
      <c r="O358" t="inlineStr">
        <is>
          <t>1976</t>
        </is>
      </c>
      <c r="Q358" t="inlineStr">
        <is>
          <t>eng</t>
        </is>
      </c>
      <c r="R358" t="inlineStr">
        <is>
          <t>mau</t>
        </is>
      </c>
      <c r="T358" t="inlineStr">
        <is>
          <t xml:space="preserve">PR </t>
        </is>
      </c>
      <c r="U358" t="n">
        <v>3</v>
      </c>
      <c r="V358" t="n">
        <v>3</v>
      </c>
      <c r="W358" t="inlineStr">
        <is>
          <t>2000-02-09</t>
        </is>
      </c>
      <c r="X358" t="inlineStr">
        <is>
          <t>2000-02-09</t>
        </is>
      </c>
      <c r="Y358" t="inlineStr">
        <is>
          <t>1991-10-01</t>
        </is>
      </c>
      <c r="Z358" t="inlineStr">
        <is>
          <t>1991-10-01</t>
        </is>
      </c>
      <c r="AA358" t="n">
        <v>917</v>
      </c>
      <c r="AB358" t="n">
        <v>770</v>
      </c>
      <c r="AC358" t="n">
        <v>782</v>
      </c>
      <c r="AD358" t="n">
        <v>6</v>
      </c>
      <c r="AE358" t="n">
        <v>6</v>
      </c>
      <c r="AF358" t="n">
        <v>38</v>
      </c>
      <c r="AG358" t="n">
        <v>38</v>
      </c>
      <c r="AH358" t="n">
        <v>15</v>
      </c>
      <c r="AI358" t="n">
        <v>15</v>
      </c>
      <c r="AJ358" t="n">
        <v>8</v>
      </c>
      <c r="AK358" t="n">
        <v>8</v>
      </c>
      <c r="AL358" t="n">
        <v>20</v>
      </c>
      <c r="AM358" t="n">
        <v>20</v>
      </c>
      <c r="AN358" t="n">
        <v>5</v>
      </c>
      <c r="AO358" t="n">
        <v>5</v>
      </c>
      <c r="AP358" t="n">
        <v>0</v>
      </c>
      <c r="AQ358" t="n">
        <v>0</v>
      </c>
      <c r="AR358" t="inlineStr">
        <is>
          <t>No</t>
        </is>
      </c>
      <c r="AS358" t="inlineStr">
        <is>
          <t>Yes</t>
        </is>
      </c>
      <c r="AT358">
        <f>HYPERLINK("http://catalog.hathitrust.org/Record/000045190","HathiTrust Record")</f>
        <v/>
      </c>
      <c r="AU358">
        <f>HYPERLINK("https://creighton-primo.hosted.exlibrisgroup.com/primo-explore/search?tab=default_tab&amp;search_scope=EVERYTHING&amp;vid=01CRU&amp;lang=en_US&amp;offset=0&amp;query=any,contains,991003803469702656","Catalog Record")</f>
        <v/>
      </c>
      <c r="AV358">
        <f>HYPERLINK("http://www.worldcat.org/oclc/1529285","WorldCat Record")</f>
        <v/>
      </c>
      <c r="AW358" t="inlineStr">
        <is>
          <t>521661:eng</t>
        </is>
      </c>
      <c r="AX358" t="inlineStr">
        <is>
          <t>1529285</t>
        </is>
      </c>
      <c r="AY358" t="inlineStr">
        <is>
          <t>991003803469702656</t>
        </is>
      </c>
      <c r="AZ358" t="inlineStr">
        <is>
          <t>991003803469702656</t>
        </is>
      </c>
      <c r="BA358" t="inlineStr">
        <is>
          <t>2257260850002656</t>
        </is>
      </c>
      <c r="BB358" t="inlineStr">
        <is>
          <t>BOOK</t>
        </is>
      </c>
      <c r="BD358" t="inlineStr">
        <is>
          <t>9780674543935</t>
        </is>
      </c>
      <c r="BE358" t="inlineStr">
        <is>
          <t>32285000770205</t>
        </is>
      </c>
      <c r="BF358" t="inlineStr">
        <is>
          <t>893343039</t>
        </is>
      </c>
    </row>
    <row r="359">
      <c r="A359" t="inlineStr">
        <is>
          <t>No</t>
        </is>
      </c>
      <c r="B359" t="inlineStr">
        <is>
          <t>CURAL</t>
        </is>
      </c>
      <c r="C359" t="inlineStr">
        <is>
          <t>SHELVES</t>
        </is>
      </c>
      <c r="D359" t="inlineStr">
        <is>
          <t>PR2045 .F54 1993</t>
        </is>
      </c>
      <c r="E359" t="inlineStr">
        <is>
          <t>0                      PR 2045000F  54          1993</t>
        </is>
      </c>
      <c r="F359" t="inlineStr">
        <is>
          <t>The life and times of Sir Thomas Malory / P.J.C. Field.</t>
        </is>
      </c>
      <c r="H359" t="inlineStr">
        <is>
          <t>No</t>
        </is>
      </c>
      <c r="I359" t="inlineStr">
        <is>
          <t>1</t>
        </is>
      </c>
      <c r="J359" t="inlineStr">
        <is>
          <t>No</t>
        </is>
      </c>
      <c r="K359" t="inlineStr">
        <is>
          <t>No</t>
        </is>
      </c>
      <c r="L359" t="inlineStr">
        <is>
          <t>0</t>
        </is>
      </c>
      <c r="M359" t="inlineStr">
        <is>
          <t>Field, P. J. C.</t>
        </is>
      </c>
      <c r="N359" t="inlineStr">
        <is>
          <t>Cambridge ; Rochester, NY : D.S. Brewer, 1993.</t>
        </is>
      </c>
      <c r="O359" t="inlineStr">
        <is>
          <t>1993</t>
        </is>
      </c>
      <c r="Q359" t="inlineStr">
        <is>
          <t>eng</t>
        </is>
      </c>
      <c r="R359" t="inlineStr">
        <is>
          <t>enk</t>
        </is>
      </c>
      <c r="S359" t="inlineStr">
        <is>
          <t>Arthurian studies, 0261-9814 ; 29</t>
        </is>
      </c>
      <c r="T359" t="inlineStr">
        <is>
          <t xml:space="preserve">PR </t>
        </is>
      </c>
      <c r="U359" t="n">
        <v>8</v>
      </c>
      <c r="V359" t="n">
        <v>8</v>
      </c>
      <c r="W359" t="inlineStr">
        <is>
          <t>2010-02-16</t>
        </is>
      </c>
      <c r="X359" t="inlineStr">
        <is>
          <t>2010-02-16</t>
        </is>
      </c>
      <c r="Y359" t="inlineStr">
        <is>
          <t>1994-02-07</t>
        </is>
      </c>
      <c r="Z359" t="inlineStr">
        <is>
          <t>1994-02-07</t>
        </is>
      </c>
      <c r="AA359" t="n">
        <v>380</v>
      </c>
      <c r="AB359" t="n">
        <v>265</v>
      </c>
      <c r="AC359" t="n">
        <v>740</v>
      </c>
      <c r="AD359" t="n">
        <v>3</v>
      </c>
      <c r="AE359" t="n">
        <v>5</v>
      </c>
      <c r="AF359" t="n">
        <v>18</v>
      </c>
      <c r="AG359" t="n">
        <v>26</v>
      </c>
      <c r="AH359" t="n">
        <v>8</v>
      </c>
      <c r="AI359" t="n">
        <v>13</v>
      </c>
      <c r="AJ359" t="n">
        <v>5</v>
      </c>
      <c r="AK359" t="n">
        <v>6</v>
      </c>
      <c r="AL359" t="n">
        <v>10</v>
      </c>
      <c r="AM359" t="n">
        <v>13</v>
      </c>
      <c r="AN359" t="n">
        <v>2</v>
      </c>
      <c r="AO359" t="n">
        <v>4</v>
      </c>
      <c r="AP359" t="n">
        <v>0</v>
      </c>
      <c r="AQ359" t="n">
        <v>0</v>
      </c>
      <c r="AR359" t="inlineStr">
        <is>
          <t>No</t>
        </is>
      </c>
      <c r="AS359" t="inlineStr">
        <is>
          <t>No</t>
        </is>
      </c>
      <c r="AU359">
        <f>HYPERLINK("https://creighton-primo.hosted.exlibrisgroup.com/primo-explore/search?tab=default_tab&amp;search_scope=EVERYTHING&amp;vid=01CRU&amp;lang=en_US&amp;offset=0&amp;query=any,contains,991002141489702656","Catalog Record")</f>
        <v/>
      </c>
      <c r="AV359">
        <f>HYPERLINK("http://www.worldcat.org/oclc/27432328","WorldCat Record")</f>
        <v/>
      </c>
      <c r="AW359" t="inlineStr">
        <is>
          <t>359729:eng</t>
        </is>
      </c>
      <c r="AX359" t="inlineStr">
        <is>
          <t>27432328</t>
        </is>
      </c>
      <c r="AY359" t="inlineStr">
        <is>
          <t>991002141489702656</t>
        </is>
      </c>
      <c r="AZ359" t="inlineStr">
        <is>
          <t>991002141489702656</t>
        </is>
      </c>
      <c r="BA359" t="inlineStr">
        <is>
          <t>2264942010002656</t>
        </is>
      </c>
      <c r="BB359" t="inlineStr">
        <is>
          <t>BOOK</t>
        </is>
      </c>
      <c r="BD359" t="inlineStr">
        <is>
          <t>9780859913850</t>
        </is>
      </c>
      <c r="BE359" t="inlineStr">
        <is>
          <t>32285001840585</t>
        </is>
      </c>
      <c r="BF359" t="inlineStr">
        <is>
          <t>893322607</t>
        </is>
      </c>
    </row>
    <row r="360">
      <c r="A360" t="inlineStr">
        <is>
          <t>No</t>
        </is>
      </c>
      <c r="B360" t="inlineStr">
        <is>
          <t>CURAL</t>
        </is>
      </c>
      <c r="C360" t="inlineStr">
        <is>
          <t>SHELVES</t>
        </is>
      </c>
      <c r="D360" t="inlineStr">
        <is>
          <t>PR2045 .H5 1970</t>
        </is>
      </c>
      <c r="E360" t="inlineStr">
        <is>
          <t>0                      PR 2045000H  5           1970</t>
        </is>
      </c>
      <c r="F360" t="inlineStr">
        <is>
          <t>Sir Thomas Malory, his turbulent career : a biography.</t>
        </is>
      </c>
      <c r="H360" t="inlineStr">
        <is>
          <t>No</t>
        </is>
      </c>
      <c r="I360" t="inlineStr">
        <is>
          <t>1</t>
        </is>
      </c>
      <c r="J360" t="inlineStr">
        <is>
          <t>No</t>
        </is>
      </c>
      <c r="K360" t="inlineStr">
        <is>
          <t>No</t>
        </is>
      </c>
      <c r="L360" t="inlineStr">
        <is>
          <t>0</t>
        </is>
      </c>
      <c r="M360" t="inlineStr">
        <is>
          <t>Hicks, Edward, 1878-</t>
        </is>
      </c>
      <c r="N360" t="inlineStr">
        <is>
          <t>New York : Octagon Books, 1970 [c1928]</t>
        </is>
      </c>
      <c r="O360" t="inlineStr">
        <is>
          <t>1970</t>
        </is>
      </c>
      <c r="Q360" t="inlineStr">
        <is>
          <t>eng</t>
        </is>
      </c>
      <c r="R360" t="inlineStr">
        <is>
          <t>nyu</t>
        </is>
      </c>
      <c r="T360" t="inlineStr">
        <is>
          <t xml:space="preserve">PR </t>
        </is>
      </c>
      <c r="U360" t="n">
        <v>3</v>
      </c>
      <c r="V360" t="n">
        <v>3</v>
      </c>
      <c r="W360" t="inlineStr">
        <is>
          <t>2000-02-09</t>
        </is>
      </c>
      <c r="X360" t="inlineStr">
        <is>
          <t>2000-02-09</t>
        </is>
      </c>
      <c r="Y360" t="inlineStr">
        <is>
          <t>1992-05-15</t>
        </is>
      </c>
      <c r="Z360" t="inlineStr">
        <is>
          <t>1992-05-15</t>
        </is>
      </c>
      <c r="AA360" t="n">
        <v>415</v>
      </c>
      <c r="AB360" t="n">
        <v>388</v>
      </c>
      <c r="AC360" t="n">
        <v>665</v>
      </c>
      <c r="AD360" t="n">
        <v>1</v>
      </c>
      <c r="AE360" t="n">
        <v>6</v>
      </c>
      <c r="AF360" t="n">
        <v>18</v>
      </c>
      <c r="AG360" t="n">
        <v>34</v>
      </c>
      <c r="AH360" t="n">
        <v>11</v>
      </c>
      <c r="AI360" t="n">
        <v>15</v>
      </c>
      <c r="AJ360" t="n">
        <v>4</v>
      </c>
      <c r="AK360" t="n">
        <v>6</v>
      </c>
      <c r="AL360" t="n">
        <v>7</v>
      </c>
      <c r="AM360" t="n">
        <v>16</v>
      </c>
      <c r="AN360" t="n">
        <v>0</v>
      </c>
      <c r="AO360" t="n">
        <v>5</v>
      </c>
      <c r="AP360" t="n">
        <v>0</v>
      </c>
      <c r="AQ360" t="n">
        <v>0</v>
      </c>
      <c r="AR360" t="inlineStr">
        <is>
          <t>Yes</t>
        </is>
      </c>
      <c r="AS360" t="inlineStr">
        <is>
          <t>No</t>
        </is>
      </c>
      <c r="AT360">
        <f>HYPERLINK("http://catalog.hathitrust.org/Record/004438362","HathiTrust Record")</f>
        <v/>
      </c>
      <c r="AU360">
        <f>HYPERLINK("https://creighton-primo.hosted.exlibrisgroup.com/primo-explore/search?tab=default_tab&amp;search_scope=EVERYTHING&amp;vid=01CRU&amp;lang=en_US&amp;offset=0&amp;query=any,contains,991000575999702656","Catalog Record")</f>
        <v/>
      </c>
      <c r="AV360">
        <f>HYPERLINK("http://www.worldcat.org/oclc/94925","WorldCat Record")</f>
        <v/>
      </c>
      <c r="AW360" t="inlineStr">
        <is>
          <t>309068813:eng</t>
        </is>
      </c>
      <c r="AX360" t="inlineStr">
        <is>
          <t>94925</t>
        </is>
      </c>
      <c r="AY360" t="inlineStr">
        <is>
          <t>991000575999702656</t>
        </is>
      </c>
      <c r="AZ360" t="inlineStr">
        <is>
          <t>991000575999702656</t>
        </is>
      </c>
      <c r="BA360" t="inlineStr">
        <is>
          <t>2270873870002656</t>
        </is>
      </c>
      <c r="BB360" t="inlineStr">
        <is>
          <t>BOOK</t>
        </is>
      </c>
      <c r="BE360" t="inlineStr">
        <is>
          <t>32285001110633</t>
        </is>
      </c>
      <c r="BF360" t="inlineStr">
        <is>
          <t>893608055</t>
        </is>
      </c>
    </row>
    <row r="361">
      <c r="A361" t="inlineStr">
        <is>
          <t>No</t>
        </is>
      </c>
      <c r="B361" t="inlineStr">
        <is>
          <t>CURAL</t>
        </is>
      </c>
      <c r="C361" t="inlineStr">
        <is>
          <t>SHELVES</t>
        </is>
      </c>
      <c r="D361" t="inlineStr">
        <is>
          <t>PR2045 .L53</t>
        </is>
      </c>
      <c r="E361" t="inlineStr">
        <is>
          <t>0                      PR 2045000L  53</t>
        </is>
      </c>
      <c r="F361" t="inlineStr">
        <is>
          <t>Sir Thomas Malory and the Morte Darthur : a survey of scholarship and annotated bibliography / Page West Life.</t>
        </is>
      </c>
      <c r="H361" t="inlineStr">
        <is>
          <t>No</t>
        </is>
      </c>
      <c r="I361" t="inlineStr">
        <is>
          <t>1</t>
        </is>
      </c>
      <c r="J361" t="inlineStr">
        <is>
          <t>No</t>
        </is>
      </c>
      <c r="K361" t="inlineStr">
        <is>
          <t>No</t>
        </is>
      </c>
      <c r="L361" t="inlineStr">
        <is>
          <t>0</t>
        </is>
      </c>
      <c r="M361" t="inlineStr">
        <is>
          <t>Life, Page West.</t>
        </is>
      </c>
      <c r="N361" t="inlineStr">
        <is>
          <t>Charlottesville : Published for the Bibliographical Society of the University of Virginia by the University Press of Virginia, 1980.</t>
        </is>
      </c>
      <c r="O361" t="inlineStr">
        <is>
          <t>1980</t>
        </is>
      </c>
      <c r="Q361" t="inlineStr">
        <is>
          <t>eng</t>
        </is>
      </c>
      <c r="R361" t="inlineStr">
        <is>
          <t>vau</t>
        </is>
      </c>
      <c r="T361" t="inlineStr">
        <is>
          <t xml:space="preserve">PR </t>
        </is>
      </c>
      <c r="U361" t="n">
        <v>5</v>
      </c>
      <c r="V361" t="n">
        <v>5</v>
      </c>
      <c r="W361" t="inlineStr">
        <is>
          <t>2010-02-16</t>
        </is>
      </c>
      <c r="X361" t="inlineStr">
        <is>
          <t>2010-02-16</t>
        </is>
      </c>
      <c r="Y361" t="inlineStr">
        <is>
          <t>1991-09-30</t>
        </is>
      </c>
      <c r="Z361" t="inlineStr">
        <is>
          <t>1991-09-30</t>
        </is>
      </c>
      <c r="AA361" t="n">
        <v>436</v>
      </c>
      <c r="AB361" t="n">
        <v>369</v>
      </c>
      <c r="AC361" t="n">
        <v>375</v>
      </c>
      <c r="AD361" t="n">
        <v>4</v>
      </c>
      <c r="AE361" t="n">
        <v>4</v>
      </c>
      <c r="AF361" t="n">
        <v>25</v>
      </c>
      <c r="AG361" t="n">
        <v>25</v>
      </c>
      <c r="AH361" t="n">
        <v>9</v>
      </c>
      <c r="AI361" t="n">
        <v>9</v>
      </c>
      <c r="AJ361" t="n">
        <v>6</v>
      </c>
      <c r="AK361" t="n">
        <v>6</v>
      </c>
      <c r="AL361" t="n">
        <v>14</v>
      </c>
      <c r="AM361" t="n">
        <v>14</v>
      </c>
      <c r="AN361" t="n">
        <v>3</v>
      </c>
      <c r="AO361" t="n">
        <v>3</v>
      </c>
      <c r="AP361" t="n">
        <v>0</v>
      </c>
      <c r="AQ361" t="n">
        <v>0</v>
      </c>
      <c r="AR361" t="inlineStr">
        <is>
          <t>No</t>
        </is>
      </c>
      <c r="AS361" t="inlineStr">
        <is>
          <t>Yes</t>
        </is>
      </c>
      <c r="AT361">
        <f>HYPERLINK("http://catalog.hathitrust.org/Record/000719250","HathiTrust Record")</f>
        <v/>
      </c>
      <c r="AU361">
        <f>HYPERLINK("https://creighton-primo.hosted.exlibrisgroup.com/primo-explore/search?tab=default_tab&amp;search_scope=EVERYTHING&amp;vid=01CRU&amp;lang=en_US&amp;offset=0&amp;query=any,contains,991004960519702656","Catalog Record")</f>
        <v/>
      </c>
      <c r="AV361">
        <f>HYPERLINK("http://www.worldcat.org/oclc/6304710","WorldCat Record")</f>
        <v/>
      </c>
      <c r="AW361" t="inlineStr">
        <is>
          <t>475526:eng</t>
        </is>
      </c>
      <c r="AX361" t="inlineStr">
        <is>
          <t>6304710</t>
        </is>
      </c>
      <c r="AY361" t="inlineStr">
        <is>
          <t>991004960519702656</t>
        </is>
      </c>
      <c r="AZ361" t="inlineStr">
        <is>
          <t>991004960519702656</t>
        </is>
      </c>
      <c r="BA361" t="inlineStr">
        <is>
          <t>2259219450002656</t>
        </is>
      </c>
      <c r="BB361" t="inlineStr">
        <is>
          <t>BOOK</t>
        </is>
      </c>
      <c r="BD361" t="inlineStr">
        <is>
          <t>9780813908687</t>
        </is>
      </c>
      <c r="BE361" t="inlineStr">
        <is>
          <t>32285000770213</t>
        </is>
      </c>
      <c r="BF361" t="inlineStr">
        <is>
          <t>893513849</t>
        </is>
      </c>
    </row>
    <row r="362">
      <c r="A362" t="inlineStr">
        <is>
          <t>No</t>
        </is>
      </c>
      <c r="B362" t="inlineStr">
        <is>
          <t>CURAL</t>
        </is>
      </c>
      <c r="C362" t="inlineStr">
        <is>
          <t>SHELVES</t>
        </is>
      </c>
      <c r="D362" t="inlineStr">
        <is>
          <t>PR2045 .L8</t>
        </is>
      </c>
      <c r="E362" t="inlineStr">
        <is>
          <t>0                      PR 2045000L  8</t>
        </is>
      </c>
      <c r="F362" t="inlineStr">
        <is>
          <t>Malory's originality : a critical study of Le morte Darthur / edited by R.M. Lumiansky.</t>
        </is>
      </c>
      <c r="H362" t="inlineStr">
        <is>
          <t>No</t>
        </is>
      </c>
      <c r="I362" t="inlineStr">
        <is>
          <t>1</t>
        </is>
      </c>
      <c r="J362" t="inlineStr">
        <is>
          <t>No</t>
        </is>
      </c>
      <c r="K362" t="inlineStr">
        <is>
          <t>No</t>
        </is>
      </c>
      <c r="L362" t="inlineStr">
        <is>
          <t>0</t>
        </is>
      </c>
      <c r="M362" t="inlineStr">
        <is>
          <t>Lumiansky, R. M. (Robert Mayer), 1913-1987, editor.</t>
        </is>
      </c>
      <c r="N362" t="inlineStr">
        <is>
          <t>Baltimore : Johns Hopkins Press, [1964]</t>
        </is>
      </c>
      <c r="O362" t="inlineStr">
        <is>
          <t>1964</t>
        </is>
      </c>
      <c r="Q362" t="inlineStr">
        <is>
          <t>eng</t>
        </is>
      </c>
      <c r="R362" t="inlineStr">
        <is>
          <t>mdu</t>
        </is>
      </c>
      <c r="T362" t="inlineStr">
        <is>
          <t xml:space="preserve">PR </t>
        </is>
      </c>
      <c r="U362" t="n">
        <v>3</v>
      </c>
      <c r="V362" t="n">
        <v>3</v>
      </c>
      <c r="W362" t="inlineStr">
        <is>
          <t>2000-02-09</t>
        </is>
      </c>
      <c r="X362" t="inlineStr">
        <is>
          <t>2000-02-09</t>
        </is>
      </c>
      <c r="Y362" t="inlineStr">
        <is>
          <t>1992-04-22</t>
        </is>
      </c>
      <c r="Z362" t="inlineStr">
        <is>
          <t>1992-04-22</t>
        </is>
      </c>
      <c r="AA362" t="n">
        <v>971</v>
      </c>
      <c r="AB362" t="n">
        <v>835</v>
      </c>
      <c r="AC362" t="n">
        <v>991</v>
      </c>
      <c r="AD362" t="n">
        <v>7</v>
      </c>
      <c r="AE362" t="n">
        <v>10</v>
      </c>
      <c r="AF362" t="n">
        <v>47</v>
      </c>
      <c r="AG362" t="n">
        <v>52</v>
      </c>
      <c r="AH362" t="n">
        <v>22</v>
      </c>
      <c r="AI362" t="n">
        <v>23</v>
      </c>
      <c r="AJ362" t="n">
        <v>7</v>
      </c>
      <c r="AK362" t="n">
        <v>8</v>
      </c>
      <c r="AL362" t="n">
        <v>23</v>
      </c>
      <c r="AM362" t="n">
        <v>24</v>
      </c>
      <c r="AN362" t="n">
        <v>6</v>
      </c>
      <c r="AO362" t="n">
        <v>9</v>
      </c>
      <c r="AP362" t="n">
        <v>0</v>
      </c>
      <c r="AQ362" t="n">
        <v>0</v>
      </c>
      <c r="AR362" t="inlineStr">
        <is>
          <t>No</t>
        </is>
      </c>
      <c r="AS362" t="inlineStr">
        <is>
          <t>Yes</t>
        </is>
      </c>
      <c r="AT362">
        <f>HYPERLINK("http://catalog.hathitrust.org/Record/000631992","HathiTrust Record")</f>
        <v/>
      </c>
      <c r="AU362">
        <f>HYPERLINK("https://creighton-primo.hosted.exlibrisgroup.com/primo-explore/search?tab=default_tab&amp;search_scope=EVERYTHING&amp;vid=01CRU&amp;lang=en_US&amp;offset=0&amp;query=any,contains,991002446869702656","Catalog Record")</f>
        <v/>
      </c>
      <c r="AV362">
        <f>HYPERLINK("http://www.worldcat.org/oclc/351804","WorldCat Record")</f>
        <v/>
      </c>
      <c r="AW362" t="inlineStr">
        <is>
          <t>196682015:eng</t>
        </is>
      </c>
      <c r="AX362" t="inlineStr">
        <is>
          <t>351804</t>
        </is>
      </c>
      <c r="AY362" t="inlineStr">
        <is>
          <t>991002446869702656</t>
        </is>
      </c>
      <c r="AZ362" t="inlineStr">
        <is>
          <t>991002446869702656</t>
        </is>
      </c>
      <c r="BA362" t="inlineStr">
        <is>
          <t>2266886780002656</t>
        </is>
      </c>
      <c r="BB362" t="inlineStr">
        <is>
          <t>BOOK</t>
        </is>
      </c>
      <c r="BE362" t="inlineStr">
        <is>
          <t>32285001064202</t>
        </is>
      </c>
      <c r="BF362" t="inlineStr">
        <is>
          <t>893239053</t>
        </is>
      </c>
    </row>
    <row r="363">
      <c r="A363" t="inlineStr">
        <is>
          <t>No</t>
        </is>
      </c>
      <c r="B363" t="inlineStr">
        <is>
          <t>CURAL</t>
        </is>
      </c>
      <c r="C363" t="inlineStr">
        <is>
          <t>SHELVES</t>
        </is>
      </c>
      <c r="D363" t="inlineStr">
        <is>
          <t>PR2045 .M35 1988</t>
        </is>
      </c>
      <c r="E363" t="inlineStr">
        <is>
          <t>0                      PR 2045000M  35          1988</t>
        </is>
      </c>
      <c r="F363" t="inlineStr">
        <is>
          <t>Malory, the critical heritage / edited by Marylyn Jackson Parins.</t>
        </is>
      </c>
      <c r="H363" t="inlineStr">
        <is>
          <t>No</t>
        </is>
      </c>
      <c r="I363" t="inlineStr">
        <is>
          <t>1</t>
        </is>
      </c>
      <c r="J363" t="inlineStr">
        <is>
          <t>No</t>
        </is>
      </c>
      <c r="K363" t="inlineStr">
        <is>
          <t>No</t>
        </is>
      </c>
      <c r="L363" t="inlineStr">
        <is>
          <t>0</t>
        </is>
      </c>
      <c r="N363" t="inlineStr">
        <is>
          <t>London ; New York : Routledge, 1988.</t>
        </is>
      </c>
      <c r="O363" t="inlineStr">
        <is>
          <t>1988</t>
        </is>
      </c>
      <c r="Q363" t="inlineStr">
        <is>
          <t>eng</t>
        </is>
      </c>
      <c r="R363" t="inlineStr">
        <is>
          <t>enk</t>
        </is>
      </c>
      <c r="S363" t="inlineStr">
        <is>
          <t>The Critical heritage series</t>
        </is>
      </c>
      <c r="T363" t="inlineStr">
        <is>
          <t xml:space="preserve">PR </t>
        </is>
      </c>
      <c r="U363" t="n">
        <v>5</v>
      </c>
      <c r="V363" t="n">
        <v>5</v>
      </c>
      <c r="W363" t="inlineStr">
        <is>
          <t>2000-02-09</t>
        </is>
      </c>
      <c r="X363" t="inlineStr">
        <is>
          <t>2000-02-09</t>
        </is>
      </c>
      <c r="Y363" t="inlineStr">
        <is>
          <t>1990-08-10</t>
        </is>
      </c>
      <c r="Z363" t="inlineStr">
        <is>
          <t>1990-08-10</t>
        </is>
      </c>
      <c r="AA363" t="n">
        <v>444</v>
      </c>
      <c r="AB363" t="n">
        <v>302</v>
      </c>
      <c r="AC363" t="n">
        <v>304</v>
      </c>
      <c r="AD363" t="n">
        <v>2</v>
      </c>
      <c r="AE363" t="n">
        <v>2</v>
      </c>
      <c r="AF363" t="n">
        <v>16</v>
      </c>
      <c r="AG363" t="n">
        <v>16</v>
      </c>
      <c r="AH363" t="n">
        <v>6</v>
      </c>
      <c r="AI363" t="n">
        <v>6</v>
      </c>
      <c r="AJ363" t="n">
        <v>5</v>
      </c>
      <c r="AK363" t="n">
        <v>5</v>
      </c>
      <c r="AL363" t="n">
        <v>9</v>
      </c>
      <c r="AM363" t="n">
        <v>9</v>
      </c>
      <c r="AN363" t="n">
        <v>1</v>
      </c>
      <c r="AO363" t="n">
        <v>1</v>
      </c>
      <c r="AP363" t="n">
        <v>0</v>
      </c>
      <c r="AQ363" t="n">
        <v>0</v>
      </c>
      <c r="AR363" t="inlineStr">
        <is>
          <t>No</t>
        </is>
      </c>
      <c r="AS363" t="inlineStr">
        <is>
          <t>Yes</t>
        </is>
      </c>
      <c r="AT363">
        <f>HYPERLINK("http://catalog.hathitrust.org/Record/000942465","HathiTrust Record")</f>
        <v/>
      </c>
      <c r="AU363">
        <f>HYPERLINK("https://creighton-primo.hosted.exlibrisgroup.com/primo-explore/search?tab=default_tab&amp;search_scope=EVERYTHING&amp;vid=01CRU&amp;lang=en_US&amp;offset=0&amp;query=any,contains,991001597299702656","Catalog Record")</f>
        <v/>
      </c>
      <c r="AV363">
        <f>HYPERLINK("http://www.worldcat.org/oclc/20629764","WorldCat Record")</f>
        <v/>
      </c>
      <c r="AW363" t="inlineStr">
        <is>
          <t>22474635:eng</t>
        </is>
      </c>
      <c r="AX363" t="inlineStr">
        <is>
          <t>20629764</t>
        </is>
      </c>
      <c r="AY363" t="inlineStr">
        <is>
          <t>991001597299702656</t>
        </is>
      </c>
      <c r="AZ363" t="inlineStr">
        <is>
          <t>991001597299702656</t>
        </is>
      </c>
      <c r="BA363" t="inlineStr">
        <is>
          <t>2265612540002656</t>
        </is>
      </c>
      <c r="BB363" t="inlineStr">
        <is>
          <t>BOOK</t>
        </is>
      </c>
      <c r="BD363" t="inlineStr">
        <is>
          <t>9780415002233</t>
        </is>
      </c>
      <c r="BE363" t="inlineStr">
        <is>
          <t>32285000243096</t>
        </is>
      </c>
      <c r="BF363" t="inlineStr">
        <is>
          <t>893420421</t>
        </is>
      </c>
    </row>
    <row r="364">
      <c r="A364" t="inlineStr">
        <is>
          <t>No</t>
        </is>
      </c>
      <c r="B364" t="inlineStr">
        <is>
          <t>CURAL</t>
        </is>
      </c>
      <c r="C364" t="inlineStr">
        <is>
          <t>SHELVES</t>
        </is>
      </c>
      <c r="D364" t="inlineStr">
        <is>
          <t>PR2047 .K46 1985</t>
        </is>
      </c>
      <c r="E364" t="inlineStr">
        <is>
          <t>0                      PR 2047000K  46          1985</t>
        </is>
      </c>
      <c r="F364" t="inlineStr">
        <is>
          <t>Knighthood in the Morte dArthur / Beverly Kennedy.</t>
        </is>
      </c>
      <c r="H364" t="inlineStr">
        <is>
          <t>No</t>
        </is>
      </c>
      <c r="I364" t="inlineStr">
        <is>
          <t>1</t>
        </is>
      </c>
      <c r="J364" t="inlineStr">
        <is>
          <t>No</t>
        </is>
      </c>
      <c r="K364" t="inlineStr">
        <is>
          <t>No</t>
        </is>
      </c>
      <c r="L364" t="inlineStr">
        <is>
          <t>0</t>
        </is>
      </c>
      <c r="M364" t="inlineStr">
        <is>
          <t>Kennedy, Beverly, 1934-</t>
        </is>
      </c>
      <c r="N364" t="inlineStr">
        <is>
          <t>Woodbridge, Suffolk ; Dover, N.H., USA : D.S. Brewer, 1985.</t>
        </is>
      </c>
      <c r="O364" t="inlineStr">
        <is>
          <t>1985</t>
        </is>
      </c>
      <c r="Q364" t="inlineStr">
        <is>
          <t>eng</t>
        </is>
      </c>
      <c r="R364" t="inlineStr">
        <is>
          <t>enk</t>
        </is>
      </c>
      <c r="S364" t="inlineStr">
        <is>
          <t>Arthurian studies ; 11</t>
        </is>
      </c>
      <c r="T364" t="inlineStr">
        <is>
          <t xml:space="preserve">PR </t>
        </is>
      </c>
      <c r="U364" t="n">
        <v>7</v>
      </c>
      <c r="V364" t="n">
        <v>7</v>
      </c>
      <c r="W364" t="inlineStr">
        <is>
          <t>2006-04-10</t>
        </is>
      </c>
      <c r="X364" t="inlineStr">
        <is>
          <t>2006-04-10</t>
        </is>
      </c>
      <c r="Y364" t="inlineStr">
        <is>
          <t>1991-09-30</t>
        </is>
      </c>
      <c r="Z364" t="inlineStr">
        <is>
          <t>1991-09-30</t>
        </is>
      </c>
      <c r="AA364" t="n">
        <v>465</v>
      </c>
      <c r="AB364" t="n">
        <v>371</v>
      </c>
      <c r="AC364" t="n">
        <v>439</v>
      </c>
      <c r="AD364" t="n">
        <v>4</v>
      </c>
      <c r="AE364" t="n">
        <v>5</v>
      </c>
      <c r="AF364" t="n">
        <v>26</v>
      </c>
      <c r="AG364" t="n">
        <v>30</v>
      </c>
      <c r="AH364" t="n">
        <v>11</v>
      </c>
      <c r="AI364" t="n">
        <v>13</v>
      </c>
      <c r="AJ364" t="n">
        <v>6</v>
      </c>
      <c r="AK364" t="n">
        <v>6</v>
      </c>
      <c r="AL364" t="n">
        <v>11</v>
      </c>
      <c r="AM364" t="n">
        <v>14</v>
      </c>
      <c r="AN364" t="n">
        <v>3</v>
      </c>
      <c r="AO364" t="n">
        <v>4</v>
      </c>
      <c r="AP364" t="n">
        <v>0</v>
      </c>
      <c r="AQ364" t="n">
        <v>0</v>
      </c>
      <c r="AR364" t="inlineStr">
        <is>
          <t>No</t>
        </is>
      </c>
      <c r="AS364" t="inlineStr">
        <is>
          <t>Yes</t>
        </is>
      </c>
      <c r="AT364">
        <f>HYPERLINK("http://catalog.hathitrust.org/Record/004438369","HathiTrust Record")</f>
        <v/>
      </c>
      <c r="AU364">
        <f>HYPERLINK("https://creighton-primo.hosted.exlibrisgroup.com/primo-explore/search?tab=default_tab&amp;search_scope=EVERYTHING&amp;vid=01CRU&amp;lang=en_US&amp;offset=0&amp;query=any,contains,991000600489702656","Catalog Record")</f>
        <v/>
      </c>
      <c r="AV364">
        <f>HYPERLINK("http://www.worldcat.org/oclc/11840581","WorldCat Record")</f>
        <v/>
      </c>
      <c r="AW364" t="inlineStr">
        <is>
          <t>4695851:eng</t>
        </is>
      </c>
      <c r="AX364" t="inlineStr">
        <is>
          <t>11840581</t>
        </is>
      </c>
      <c r="AY364" t="inlineStr">
        <is>
          <t>991000600489702656</t>
        </is>
      </c>
      <c r="AZ364" t="inlineStr">
        <is>
          <t>991000600489702656</t>
        </is>
      </c>
      <c r="BA364" t="inlineStr">
        <is>
          <t>2267939150002656</t>
        </is>
      </c>
      <c r="BB364" t="inlineStr">
        <is>
          <t>BOOK</t>
        </is>
      </c>
      <c r="BD364" t="inlineStr">
        <is>
          <t>9780859911788</t>
        </is>
      </c>
      <c r="BE364" t="inlineStr">
        <is>
          <t>32285000770221</t>
        </is>
      </c>
      <c r="BF364" t="inlineStr">
        <is>
          <t>893508924</t>
        </is>
      </c>
    </row>
    <row r="365">
      <c r="A365" t="inlineStr">
        <is>
          <t>No</t>
        </is>
      </c>
      <c r="B365" t="inlineStr">
        <is>
          <t>CURAL</t>
        </is>
      </c>
      <c r="C365" t="inlineStr">
        <is>
          <t>SHELVES</t>
        </is>
      </c>
      <c r="D365" t="inlineStr">
        <is>
          <t>PR2047 .M47 1987</t>
        </is>
      </c>
      <c r="E365" t="inlineStr">
        <is>
          <t>0                      PR 2047000M  47          1987</t>
        </is>
      </c>
      <c r="F365" t="inlineStr">
        <is>
          <t>Sir Thomas Malory and the cultural crisis of the late Middle Ages / Robert Merrill.</t>
        </is>
      </c>
      <c r="H365" t="inlineStr">
        <is>
          <t>No</t>
        </is>
      </c>
      <c r="I365" t="inlineStr">
        <is>
          <t>1</t>
        </is>
      </c>
      <c r="J365" t="inlineStr">
        <is>
          <t>No</t>
        </is>
      </c>
      <c r="K365" t="inlineStr">
        <is>
          <t>No</t>
        </is>
      </c>
      <c r="L365" t="inlineStr">
        <is>
          <t>0</t>
        </is>
      </c>
      <c r="M365" t="inlineStr">
        <is>
          <t>Merrill, Robert, 1950-</t>
        </is>
      </c>
      <c r="N365" t="inlineStr">
        <is>
          <t>New York : P. Lang, c1987.</t>
        </is>
      </c>
      <c r="O365" t="inlineStr">
        <is>
          <t>1987</t>
        </is>
      </c>
      <c r="Q365" t="inlineStr">
        <is>
          <t>eng</t>
        </is>
      </c>
      <c r="R365" t="inlineStr">
        <is>
          <t>nyu</t>
        </is>
      </c>
      <c r="S365" t="inlineStr">
        <is>
          <t>American university studies. Series IV, English language and literature ; v. 39</t>
        </is>
      </c>
      <c r="T365" t="inlineStr">
        <is>
          <t xml:space="preserve">PR </t>
        </is>
      </c>
      <c r="U365" t="n">
        <v>5</v>
      </c>
      <c r="V365" t="n">
        <v>5</v>
      </c>
      <c r="W365" t="inlineStr">
        <is>
          <t>2001-02-04</t>
        </is>
      </c>
      <c r="X365" t="inlineStr">
        <is>
          <t>2001-02-04</t>
        </is>
      </c>
      <c r="Y365" t="inlineStr">
        <is>
          <t>1991-09-30</t>
        </is>
      </c>
      <c r="Z365" t="inlineStr">
        <is>
          <t>1991-09-30</t>
        </is>
      </c>
      <c r="AA365" t="n">
        <v>243</v>
      </c>
      <c r="AB365" t="n">
        <v>184</v>
      </c>
      <c r="AC365" t="n">
        <v>186</v>
      </c>
      <c r="AD365" t="n">
        <v>2</v>
      </c>
      <c r="AE365" t="n">
        <v>2</v>
      </c>
      <c r="AF365" t="n">
        <v>11</v>
      </c>
      <c r="AG365" t="n">
        <v>11</v>
      </c>
      <c r="AH365" t="n">
        <v>4</v>
      </c>
      <c r="AI365" t="n">
        <v>4</v>
      </c>
      <c r="AJ365" t="n">
        <v>3</v>
      </c>
      <c r="AK365" t="n">
        <v>3</v>
      </c>
      <c r="AL365" t="n">
        <v>6</v>
      </c>
      <c r="AM365" t="n">
        <v>6</v>
      </c>
      <c r="AN365" t="n">
        <v>1</v>
      </c>
      <c r="AO365" t="n">
        <v>1</v>
      </c>
      <c r="AP365" t="n">
        <v>0</v>
      </c>
      <c r="AQ365" t="n">
        <v>0</v>
      </c>
      <c r="AR365" t="inlineStr">
        <is>
          <t>No</t>
        </is>
      </c>
      <c r="AS365" t="inlineStr">
        <is>
          <t>Yes</t>
        </is>
      </c>
      <c r="AT365">
        <f>HYPERLINK("http://catalog.hathitrust.org/Record/002184032","HathiTrust Record")</f>
        <v/>
      </c>
      <c r="AU365">
        <f>HYPERLINK("https://creighton-primo.hosted.exlibrisgroup.com/primo-explore/search?tab=default_tab&amp;search_scope=EVERYTHING&amp;vid=01CRU&amp;lang=en_US&amp;offset=0&amp;query=any,contains,991000978209702656","Catalog Record")</f>
        <v/>
      </c>
      <c r="AV365">
        <f>HYPERLINK("http://www.worldcat.org/oclc/15017338","WorldCat Record")</f>
        <v/>
      </c>
      <c r="AW365" t="inlineStr">
        <is>
          <t>8569209:eng</t>
        </is>
      </c>
      <c r="AX365" t="inlineStr">
        <is>
          <t>15017338</t>
        </is>
      </c>
      <c r="AY365" t="inlineStr">
        <is>
          <t>991000978209702656</t>
        </is>
      </c>
      <c r="AZ365" t="inlineStr">
        <is>
          <t>991000978209702656</t>
        </is>
      </c>
      <c r="BA365" t="inlineStr">
        <is>
          <t>2265058150002656</t>
        </is>
      </c>
      <c r="BB365" t="inlineStr">
        <is>
          <t>BOOK</t>
        </is>
      </c>
      <c r="BD365" t="inlineStr">
        <is>
          <t>9780820403038</t>
        </is>
      </c>
      <c r="BE365" t="inlineStr">
        <is>
          <t>32285000770239</t>
        </is>
      </c>
      <c r="BF365" t="inlineStr">
        <is>
          <t>893608436</t>
        </is>
      </c>
    </row>
    <row r="366">
      <c r="A366" t="inlineStr">
        <is>
          <t>No</t>
        </is>
      </c>
      <c r="B366" t="inlineStr">
        <is>
          <t>CURAL</t>
        </is>
      </c>
      <c r="C366" t="inlineStr">
        <is>
          <t>SHELVES</t>
        </is>
      </c>
      <c r="D366" t="inlineStr">
        <is>
          <t>PR2048 .F5 1971</t>
        </is>
      </c>
      <c r="E366" t="inlineStr">
        <is>
          <t>0                      PR 2048000F  5           1971</t>
        </is>
      </c>
      <c r="F366" t="inlineStr">
        <is>
          <t>Romance and chronicle; a study of Malory's prose style [by] P. J. C. Field.</t>
        </is>
      </c>
      <c r="H366" t="inlineStr">
        <is>
          <t>No</t>
        </is>
      </c>
      <c r="I366" t="inlineStr">
        <is>
          <t>1</t>
        </is>
      </c>
      <c r="J366" t="inlineStr">
        <is>
          <t>No</t>
        </is>
      </c>
      <c r="K366" t="inlineStr">
        <is>
          <t>No</t>
        </is>
      </c>
      <c r="L366" t="inlineStr">
        <is>
          <t>0</t>
        </is>
      </c>
      <c r="M366" t="inlineStr">
        <is>
          <t>Field, P. J. C.</t>
        </is>
      </c>
      <c r="N366" t="inlineStr">
        <is>
          <t>Bloomington, Indiana University Press [1971]</t>
        </is>
      </c>
      <c r="O366" t="inlineStr">
        <is>
          <t>1971</t>
        </is>
      </c>
      <c r="Q366" t="inlineStr">
        <is>
          <t>eng</t>
        </is>
      </c>
      <c r="R366" t="inlineStr">
        <is>
          <t>inu</t>
        </is>
      </c>
      <c r="T366" t="inlineStr">
        <is>
          <t xml:space="preserve">PR </t>
        </is>
      </c>
      <c r="U366" t="n">
        <v>4</v>
      </c>
      <c r="V366" t="n">
        <v>4</v>
      </c>
      <c r="W366" t="inlineStr">
        <is>
          <t>2000-02-09</t>
        </is>
      </c>
      <c r="X366" t="inlineStr">
        <is>
          <t>2000-02-09</t>
        </is>
      </c>
      <c r="Y366" t="inlineStr">
        <is>
          <t>1997-07-29</t>
        </is>
      </c>
      <c r="Z366" t="inlineStr">
        <is>
          <t>1997-07-29</t>
        </is>
      </c>
      <c r="AA366" t="n">
        <v>531</v>
      </c>
      <c r="AB366" t="n">
        <v>488</v>
      </c>
      <c r="AC366" t="n">
        <v>586</v>
      </c>
      <c r="AD366" t="n">
        <v>6</v>
      </c>
      <c r="AE366" t="n">
        <v>7</v>
      </c>
      <c r="AF366" t="n">
        <v>28</v>
      </c>
      <c r="AG366" t="n">
        <v>34</v>
      </c>
      <c r="AH366" t="n">
        <v>10</v>
      </c>
      <c r="AI366" t="n">
        <v>12</v>
      </c>
      <c r="AJ366" t="n">
        <v>7</v>
      </c>
      <c r="AK366" t="n">
        <v>7</v>
      </c>
      <c r="AL366" t="n">
        <v>12</v>
      </c>
      <c r="AM366" t="n">
        <v>17</v>
      </c>
      <c r="AN366" t="n">
        <v>5</v>
      </c>
      <c r="AO366" t="n">
        <v>6</v>
      </c>
      <c r="AP366" t="n">
        <v>0</v>
      </c>
      <c r="AQ366" t="n">
        <v>0</v>
      </c>
      <c r="AR366" t="inlineStr">
        <is>
          <t>No</t>
        </is>
      </c>
      <c r="AS366" t="inlineStr">
        <is>
          <t>Yes</t>
        </is>
      </c>
      <c r="AT366">
        <f>HYPERLINK("http://catalog.hathitrust.org/Record/000539305","HathiTrust Record")</f>
        <v/>
      </c>
      <c r="AU366">
        <f>HYPERLINK("https://creighton-primo.hosted.exlibrisgroup.com/primo-explore/search?tab=default_tab&amp;search_scope=EVERYTHING&amp;vid=01CRU&amp;lang=en_US&amp;offset=0&amp;query=any,contains,991000740669702656","Catalog Record")</f>
        <v/>
      </c>
      <c r="AV366">
        <f>HYPERLINK("http://www.worldcat.org/oclc/129299","WorldCat Record")</f>
        <v/>
      </c>
      <c r="AW366" t="inlineStr">
        <is>
          <t>1260739:eng</t>
        </is>
      </c>
      <c r="AX366" t="inlineStr">
        <is>
          <t>129299</t>
        </is>
      </c>
      <c r="AY366" t="inlineStr">
        <is>
          <t>991000740669702656</t>
        </is>
      </c>
      <c r="AZ366" t="inlineStr">
        <is>
          <t>991000740669702656</t>
        </is>
      </c>
      <c r="BA366" t="inlineStr">
        <is>
          <t>2266599900002656</t>
        </is>
      </c>
      <c r="BB366" t="inlineStr">
        <is>
          <t>BOOK</t>
        </is>
      </c>
      <c r="BD366" t="inlineStr">
        <is>
          <t>9780253350237</t>
        </is>
      </c>
      <c r="BE366" t="inlineStr">
        <is>
          <t>32285002988680</t>
        </is>
      </c>
      <c r="BF366" t="inlineStr">
        <is>
          <t>893803036</t>
        </is>
      </c>
    </row>
    <row r="367">
      <c r="A367" t="inlineStr">
        <is>
          <t>No</t>
        </is>
      </c>
      <c r="B367" t="inlineStr">
        <is>
          <t>CURAL</t>
        </is>
      </c>
      <c r="C367" t="inlineStr">
        <is>
          <t>SHELVES</t>
        </is>
      </c>
      <c r="D367" t="inlineStr">
        <is>
          <t>PR205 .C5 1973</t>
        </is>
      </c>
      <c r="E367" t="inlineStr">
        <is>
          <t>0                      PR 0205000C  5           1973</t>
        </is>
      </c>
      <c r="F367" t="inlineStr">
        <is>
          <t>Ingeld and Christ. Heroic concepts and values in Old English Christian poetry. [By] Michael D. Cherniss.</t>
        </is>
      </c>
      <c r="H367" t="inlineStr">
        <is>
          <t>No</t>
        </is>
      </c>
      <c r="I367" t="inlineStr">
        <is>
          <t>1</t>
        </is>
      </c>
      <c r="J367" t="inlineStr">
        <is>
          <t>No</t>
        </is>
      </c>
      <c r="K367" t="inlineStr">
        <is>
          <t>No</t>
        </is>
      </c>
      <c r="L367" t="inlineStr">
        <is>
          <t>0</t>
        </is>
      </c>
      <c r="M367" t="inlineStr">
        <is>
          <t>Cherniss, Michael D.</t>
        </is>
      </c>
      <c r="N367" t="inlineStr">
        <is>
          <t>The Hague, Mouton, 1972 [1973].</t>
        </is>
      </c>
      <c r="O367" t="inlineStr">
        <is>
          <t>1973</t>
        </is>
      </c>
      <c r="Q367" t="inlineStr">
        <is>
          <t>eng</t>
        </is>
      </c>
      <c r="R367" t="inlineStr">
        <is>
          <t xml:space="preserve">ne </t>
        </is>
      </c>
      <c r="S367" t="inlineStr">
        <is>
          <t>Studies in English literature ; v. 74</t>
        </is>
      </c>
      <c r="T367" t="inlineStr">
        <is>
          <t xml:space="preserve">PR </t>
        </is>
      </c>
      <c r="U367" t="n">
        <v>1</v>
      </c>
      <c r="V367" t="n">
        <v>1</v>
      </c>
      <c r="W367" t="inlineStr">
        <is>
          <t>1997-11-16</t>
        </is>
      </c>
      <c r="X367" t="inlineStr">
        <is>
          <t>1997-11-16</t>
        </is>
      </c>
      <c r="Y367" t="inlineStr">
        <is>
          <t>1997-08-18</t>
        </is>
      </c>
      <c r="Z367" t="inlineStr">
        <is>
          <t>1997-08-18</t>
        </is>
      </c>
      <c r="AA367" t="n">
        <v>349</v>
      </c>
      <c r="AB367" t="n">
        <v>294</v>
      </c>
      <c r="AC367" t="n">
        <v>343</v>
      </c>
      <c r="AD367" t="n">
        <v>2</v>
      </c>
      <c r="AE367" t="n">
        <v>2</v>
      </c>
      <c r="AF367" t="n">
        <v>20</v>
      </c>
      <c r="AG367" t="n">
        <v>22</v>
      </c>
      <c r="AH367" t="n">
        <v>7</v>
      </c>
      <c r="AI367" t="n">
        <v>9</v>
      </c>
      <c r="AJ367" t="n">
        <v>5</v>
      </c>
      <c r="AK367" t="n">
        <v>5</v>
      </c>
      <c r="AL367" t="n">
        <v>14</v>
      </c>
      <c r="AM367" t="n">
        <v>16</v>
      </c>
      <c r="AN367" t="n">
        <v>1</v>
      </c>
      <c r="AO367" t="n">
        <v>1</v>
      </c>
      <c r="AP367" t="n">
        <v>0</v>
      </c>
      <c r="AQ367" t="n">
        <v>0</v>
      </c>
      <c r="AR367" t="inlineStr">
        <is>
          <t>No</t>
        </is>
      </c>
      <c r="AS367" t="inlineStr">
        <is>
          <t>Yes</t>
        </is>
      </c>
      <c r="AT367">
        <f>HYPERLINK("http://catalog.hathitrust.org/Record/001371410","HathiTrust Record")</f>
        <v/>
      </c>
      <c r="AU367">
        <f>HYPERLINK("https://creighton-primo.hosted.exlibrisgroup.com/primo-explore/search?tab=default_tab&amp;search_scope=EVERYTHING&amp;vid=01CRU&amp;lang=en_US&amp;offset=0&amp;query=any,contains,991003044209702656","Catalog Record")</f>
        <v/>
      </c>
      <c r="AV367">
        <f>HYPERLINK("http://www.worldcat.org/oclc/605095","WorldCat Record")</f>
        <v/>
      </c>
      <c r="AW367" t="inlineStr">
        <is>
          <t>502933580:eng</t>
        </is>
      </c>
      <c r="AX367" t="inlineStr">
        <is>
          <t>605095</t>
        </is>
      </c>
      <c r="AY367" t="inlineStr">
        <is>
          <t>991003044209702656</t>
        </is>
      </c>
      <c r="AZ367" t="inlineStr">
        <is>
          <t>991003044209702656</t>
        </is>
      </c>
      <c r="BA367" t="inlineStr">
        <is>
          <t>2263340910002656</t>
        </is>
      </c>
      <c r="BB367" t="inlineStr">
        <is>
          <t>BOOK</t>
        </is>
      </c>
      <c r="BE367" t="inlineStr">
        <is>
          <t>32285003150702</t>
        </is>
      </c>
      <c r="BF367" t="inlineStr">
        <is>
          <t>893530796</t>
        </is>
      </c>
    </row>
    <row r="368">
      <c r="A368" t="inlineStr">
        <is>
          <t>No</t>
        </is>
      </c>
      <c r="B368" t="inlineStr">
        <is>
          <t>CURAL</t>
        </is>
      </c>
      <c r="C368" t="inlineStr">
        <is>
          <t>SHELVES</t>
        </is>
      </c>
      <c r="D368" t="inlineStr">
        <is>
          <t>PR205 .E93 1997</t>
        </is>
      </c>
      <c r="E368" t="inlineStr">
        <is>
          <t>0                      PR 0205000E  93          1997</t>
        </is>
      </c>
      <c r="F368" t="inlineStr">
        <is>
          <t>The heroic poetry of Dark-Age Britain : an introduction to its dating, composition, and use as a historical source / Stephen S. Evans.</t>
        </is>
      </c>
      <c r="H368" t="inlineStr">
        <is>
          <t>No</t>
        </is>
      </c>
      <c r="I368" t="inlineStr">
        <is>
          <t>1</t>
        </is>
      </c>
      <c r="J368" t="inlineStr">
        <is>
          <t>No</t>
        </is>
      </c>
      <c r="K368" t="inlineStr">
        <is>
          <t>No</t>
        </is>
      </c>
      <c r="L368" t="inlineStr">
        <is>
          <t>0</t>
        </is>
      </c>
      <c r="M368" t="inlineStr">
        <is>
          <t>Evans, Stephen S. (Stephen Stewart), 1954-</t>
        </is>
      </c>
      <c r="N368" t="inlineStr">
        <is>
          <t>Lanham, Md. : University Press of America, c1997.</t>
        </is>
      </c>
      <c r="O368" t="inlineStr">
        <is>
          <t>1997</t>
        </is>
      </c>
      <c r="Q368" t="inlineStr">
        <is>
          <t>eng</t>
        </is>
      </c>
      <c r="R368" t="inlineStr">
        <is>
          <t>mdu</t>
        </is>
      </c>
      <c r="T368" t="inlineStr">
        <is>
          <t xml:space="preserve">PR </t>
        </is>
      </c>
      <c r="U368" t="n">
        <v>4</v>
      </c>
      <c r="V368" t="n">
        <v>4</v>
      </c>
      <c r="W368" t="inlineStr">
        <is>
          <t>2006-03-29</t>
        </is>
      </c>
      <c r="X368" t="inlineStr">
        <is>
          <t>2006-03-29</t>
        </is>
      </c>
      <c r="Y368" t="inlineStr">
        <is>
          <t>2004-03-17</t>
        </is>
      </c>
      <c r="Z368" t="inlineStr">
        <is>
          <t>2004-03-17</t>
        </is>
      </c>
      <c r="AA368" t="n">
        <v>133</v>
      </c>
      <c r="AB368" t="n">
        <v>112</v>
      </c>
      <c r="AC368" t="n">
        <v>116</v>
      </c>
      <c r="AD368" t="n">
        <v>3</v>
      </c>
      <c r="AE368" t="n">
        <v>3</v>
      </c>
      <c r="AF368" t="n">
        <v>6</v>
      </c>
      <c r="AG368" t="n">
        <v>6</v>
      </c>
      <c r="AH368" t="n">
        <v>1</v>
      </c>
      <c r="AI368" t="n">
        <v>1</v>
      </c>
      <c r="AJ368" t="n">
        <v>2</v>
      </c>
      <c r="AK368" t="n">
        <v>2</v>
      </c>
      <c r="AL368" t="n">
        <v>3</v>
      </c>
      <c r="AM368" t="n">
        <v>3</v>
      </c>
      <c r="AN368" t="n">
        <v>2</v>
      </c>
      <c r="AO368" t="n">
        <v>2</v>
      </c>
      <c r="AP368" t="n">
        <v>0</v>
      </c>
      <c r="AQ368" t="n">
        <v>0</v>
      </c>
      <c r="AR368" t="inlineStr">
        <is>
          <t>No</t>
        </is>
      </c>
      <c r="AS368" t="inlineStr">
        <is>
          <t>Yes</t>
        </is>
      </c>
      <c r="AT368">
        <f>HYPERLINK("http://catalog.hathitrust.org/Record/003170495","HathiTrust Record")</f>
        <v/>
      </c>
      <c r="AU368">
        <f>HYPERLINK("https://creighton-primo.hosted.exlibrisgroup.com/primo-explore/search?tab=default_tab&amp;search_scope=EVERYTHING&amp;vid=01CRU&amp;lang=en_US&amp;offset=0&amp;query=any,contains,991004252289702656","Catalog Record")</f>
        <v/>
      </c>
      <c r="AV368">
        <f>HYPERLINK("http://www.worldcat.org/oclc/35758093","WorldCat Record")</f>
        <v/>
      </c>
      <c r="AW368" t="inlineStr">
        <is>
          <t>1947673:eng</t>
        </is>
      </c>
      <c r="AX368" t="inlineStr">
        <is>
          <t>35758093</t>
        </is>
      </c>
      <c r="AY368" t="inlineStr">
        <is>
          <t>991004252289702656</t>
        </is>
      </c>
      <c r="AZ368" t="inlineStr">
        <is>
          <t>991004252289702656</t>
        </is>
      </c>
      <c r="BA368" t="inlineStr">
        <is>
          <t>2260196990002656</t>
        </is>
      </c>
      <c r="BB368" t="inlineStr">
        <is>
          <t>BOOK</t>
        </is>
      </c>
      <c r="BD368" t="inlineStr">
        <is>
          <t>9780761806066</t>
        </is>
      </c>
      <c r="BE368" t="inlineStr">
        <is>
          <t>32285004894373</t>
        </is>
      </c>
      <c r="BF368" t="inlineStr">
        <is>
          <t>893500331</t>
        </is>
      </c>
    </row>
    <row r="369">
      <c r="A369" t="inlineStr">
        <is>
          <t>No</t>
        </is>
      </c>
      <c r="B369" t="inlineStr">
        <is>
          <t>CURAL</t>
        </is>
      </c>
      <c r="C369" t="inlineStr">
        <is>
          <t>SHELVES</t>
        </is>
      </c>
      <c r="D369" t="inlineStr">
        <is>
          <t>PR205 .G37 1988</t>
        </is>
      </c>
      <c r="E369" t="inlineStr">
        <is>
          <t>0                      PR 0205000G  37          1988</t>
        </is>
      </c>
      <c r="F369" t="inlineStr">
        <is>
          <t>From the sword to the pen : an analysis of the concept of loyalty in Old English secular heroic poetry / Nicole Gardiner-Stallaert.</t>
        </is>
      </c>
      <c r="H369" t="inlineStr">
        <is>
          <t>No</t>
        </is>
      </c>
      <c r="I369" t="inlineStr">
        <is>
          <t>1</t>
        </is>
      </c>
      <c r="J369" t="inlineStr">
        <is>
          <t>No</t>
        </is>
      </c>
      <c r="K369" t="inlineStr">
        <is>
          <t>No</t>
        </is>
      </c>
      <c r="L369" t="inlineStr">
        <is>
          <t>0</t>
        </is>
      </c>
      <c r="M369" t="inlineStr">
        <is>
          <t>Gardiner-Stallaert, Nicole, 1952-</t>
        </is>
      </c>
      <c r="N369" t="inlineStr">
        <is>
          <t>New York : P. Lang, 1988.</t>
        </is>
      </c>
      <c r="O369" t="inlineStr">
        <is>
          <t>1988</t>
        </is>
      </c>
      <c r="Q369" t="inlineStr">
        <is>
          <t>eng</t>
        </is>
      </c>
      <c r="R369" t="inlineStr">
        <is>
          <t>nyu</t>
        </is>
      </c>
      <c r="S369" t="inlineStr">
        <is>
          <t>American university studies. Series IV, English language and literature ; v. 65</t>
        </is>
      </c>
      <c r="T369" t="inlineStr">
        <is>
          <t xml:space="preserve">PR </t>
        </is>
      </c>
      <c r="U369" t="n">
        <v>9</v>
      </c>
      <c r="V369" t="n">
        <v>9</v>
      </c>
      <c r="W369" t="inlineStr">
        <is>
          <t>2004-10-09</t>
        </is>
      </c>
      <c r="X369" t="inlineStr">
        <is>
          <t>2004-10-09</t>
        </is>
      </c>
      <c r="Y369" t="inlineStr">
        <is>
          <t>1991-08-28</t>
        </is>
      </c>
      <c r="Z369" t="inlineStr">
        <is>
          <t>1991-08-28</t>
        </is>
      </c>
      <c r="AA369" t="n">
        <v>99</v>
      </c>
      <c r="AB369" t="n">
        <v>55</v>
      </c>
      <c r="AC369" t="n">
        <v>55</v>
      </c>
      <c r="AD369" t="n">
        <v>2</v>
      </c>
      <c r="AE369" t="n">
        <v>2</v>
      </c>
      <c r="AF369" t="n">
        <v>6</v>
      </c>
      <c r="AG369" t="n">
        <v>6</v>
      </c>
      <c r="AH369" t="n">
        <v>1</v>
      </c>
      <c r="AI369" t="n">
        <v>1</v>
      </c>
      <c r="AJ369" t="n">
        <v>1</v>
      </c>
      <c r="AK369" t="n">
        <v>1</v>
      </c>
      <c r="AL369" t="n">
        <v>4</v>
      </c>
      <c r="AM369" t="n">
        <v>4</v>
      </c>
      <c r="AN369" t="n">
        <v>1</v>
      </c>
      <c r="AO369" t="n">
        <v>1</v>
      </c>
      <c r="AP369" t="n">
        <v>0</v>
      </c>
      <c r="AQ369" t="n">
        <v>0</v>
      </c>
      <c r="AR369" t="inlineStr">
        <is>
          <t>No</t>
        </is>
      </c>
      <c r="AS369" t="inlineStr">
        <is>
          <t>No</t>
        </is>
      </c>
      <c r="AU369">
        <f>HYPERLINK("https://creighton-primo.hosted.exlibrisgroup.com/primo-explore/search?tab=default_tab&amp;search_scope=EVERYTHING&amp;vid=01CRU&amp;lang=en_US&amp;offset=0&amp;query=any,contains,991001113949702656","Catalog Record")</f>
        <v/>
      </c>
      <c r="AV369">
        <f>HYPERLINK("http://www.worldcat.org/oclc/16523400","WorldCat Record")</f>
        <v/>
      </c>
      <c r="AW369" t="inlineStr">
        <is>
          <t>143702470:eng</t>
        </is>
      </c>
      <c r="AX369" t="inlineStr">
        <is>
          <t>16523400</t>
        </is>
      </c>
      <c r="AY369" t="inlineStr">
        <is>
          <t>991001113949702656</t>
        </is>
      </c>
      <c r="AZ369" t="inlineStr">
        <is>
          <t>991001113949702656</t>
        </is>
      </c>
      <c r="BA369" t="inlineStr">
        <is>
          <t>2272131600002656</t>
        </is>
      </c>
      <c r="BB369" t="inlineStr">
        <is>
          <t>BOOK</t>
        </is>
      </c>
      <c r="BD369" t="inlineStr">
        <is>
          <t>9780820405650</t>
        </is>
      </c>
      <c r="BE369" t="inlineStr">
        <is>
          <t>32285000730084</t>
        </is>
      </c>
      <c r="BF369" t="inlineStr">
        <is>
          <t>893690352</t>
        </is>
      </c>
    </row>
    <row r="370">
      <c r="A370" t="inlineStr">
        <is>
          <t>No</t>
        </is>
      </c>
      <c r="B370" t="inlineStr">
        <is>
          <t>CURAL</t>
        </is>
      </c>
      <c r="C370" t="inlineStr">
        <is>
          <t>SHELVES</t>
        </is>
      </c>
      <c r="D370" t="inlineStr">
        <is>
          <t>PR2053 .M55 2001</t>
        </is>
      </c>
      <c r="E370" t="inlineStr">
        <is>
          <t>0                      PR 2053000M  55          2001</t>
        </is>
      </c>
      <c r="F370" t="inlineStr">
        <is>
          <t>The riddle and the knight : in search of Sir John Mandeville, the world's greatest traveller / Giles Milton.</t>
        </is>
      </c>
      <c r="H370" t="inlineStr">
        <is>
          <t>No</t>
        </is>
      </c>
      <c r="I370" t="inlineStr">
        <is>
          <t>1</t>
        </is>
      </c>
      <c r="J370" t="inlineStr">
        <is>
          <t>No</t>
        </is>
      </c>
      <c r="K370" t="inlineStr">
        <is>
          <t>No</t>
        </is>
      </c>
      <c r="L370" t="inlineStr">
        <is>
          <t>0</t>
        </is>
      </c>
      <c r="M370" t="inlineStr">
        <is>
          <t>Milton, Giles.</t>
        </is>
      </c>
      <c r="N370" t="inlineStr">
        <is>
          <t>New York : Farrar, Straus, and Giroux, 2001.</t>
        </is>
      </c>
      <c r="O370" t="inlineStr">
        <is>
          <t>2001</t>
        </is>
      </c>
      <c r="P370" t="inlineStr">
        <is>
          <t>1st American ed.</t>
        </is>
      </c>
      <c r="Q370" t="inlineStr">
        <is>
          <t>eng</t>
        </is>
      </c>
      <c r="R370" t="inlineStr">
        <is>
          <t>nyu</t>
        </is>
      </c>
      <c r="T370" t="inlineStr">
        <is>
          <t xml:space="preserve">PR </t>
        </is>
      </c>
      <c r="U370" t="n">
        <v>1</v>
      </c>
      <c r="V370" t="n">
        <v>1</v>
      </c>
      <c r="W370" t="inlineStr">
        <is>
          <t>2008-02-12</t>
        </is>
      </c>
      <c r="X370" t="inlineStr">
        <is>
          <t>2008-02-12</t>
        </is>
      </c>
      <c r="Y370" t="inlineStr">
        <is>
          <t>2001-11-08</t>
        </is>
      </c>
      <c r="Z370" t="inlineStr">
        <is>
          <t>2001-11-08</t>
        </is>
      </c>
      <c r="AA370" t="n">
        <v>434</v>
      </c>
      <c r="AB370" t="n">
        <v>405</v>
      </c>
      <c r="AC370" t="n">
        <v>495</v>
      </c>
      <c r="AD370" t="n">
        <v>3</v>
      </c>
      <c r="AE370" t="n">
        <v>3</v>
      </c>
      <c r="AF370" t="n">
        <v>6</v>
      </c>
      <c r="AG370" t="n">
        <v>13</v>
      </c>
      <c r="AH370" t="n">
        <v>1</v>
      </c>
      <c r="AI370" t="n">
        <v>2</v>
      </c>
      <c r="AJ370" t="n">
        <v>3</v>
      </c>
      <c r="AK370" t="n">
        <v>5</v>
      </c>
      <c r="AL370" t="n">
        <v>1</v>
      </c>
      <c r="AM370" t="n">
        <v>7</v>
      </c>
      <c r="AN370" t="n">
        <v>2</v>
      </c>
      <c r="AO370" t="n">
        <v>2</v>
      </c>
      <c r="AP370" t="n">
        <v>0</v>
      </c>
      <c r="AQ370" t="n">
        <v>0</v>
      </c>
      <c r="AR370" t="inlineStr">
        <is>
          <t>No</t>
        </is>
      </c>
      <c r="AS370" t="inlineStr">
        <is>
          <t>No</t>
        </is>
      </c>
      <c r="AU370">
        <f>HYPERLINK("https://creighton-primo.hosted.exlibrisgroup.com/primo-explore/search?tab=default_tab&amp;search_scope=EVERYTHING&amp;vid=01CRU&amp;lang=en_US&amp;offset=0&amp;query=any,contains,991003657179702656","Catalog Record")</f>
        <v/>
      </c>
      <c r="AV370">
        <f>HYPERLINK("http://www.worldcat.org/oclc/47018458","WorldCat Record")</f>
        <v/>
      </c>
      <c r="AW370" t="inlineStr">
        <is>
          <t>20648601:eng</t>
        </is>
      </c>
      <c r="AX370" t="inlineStr">
        <is>
          <t>47018458</t>
        </is>
      </c>
      <c r="AY370" t="inlineStr">
        <is>
          <t>991003657179702656</t>
        </is>
      </c>
      <c r="AZ370" t="inlineStr">
        <is>
          <t>991003657179702656</t>
        </is>
      </c>
      <c r="BA370" t="inlineStr">
        <is>
          <t>2263231060002656</t>
        </is>
      </c>
      <c r="BB370" t="inlineStr">
        <is>
          <t>BOOK</t>
        </is>
      </c>
      <c r="BD370" t="inlineStr">
        <is>
          <t>9780374249977</t>
        </is>
      </c>
      <c r="BE370" t="inlineStr">
        <is>
          <t>32285004419759</t>
        </is>
      </c>
      <c r="BF370" t="inlineStr">
        <is>
          <t>893441543</t>
        </is>
      </c>
    </row>
    <row r="371">
      <c r="A371" t="inlineStr">
        <is>
          <t>No</t>
        </is>
      </c>
      <c r="B371" t="inlineStr">
        <is>
          <t>CURAL</t>
        </is>
      </c>
      <c r="C371" t="inlineStr">
        <is>
          <t>SHELVES</t>
        </is>
      </c>
      <c r="D371" t="inlineStr">
        <is>
          <t>PR2064 .B4 1986</t>
        </is>
      </c>
      <c r="E371" t="inlineStr">
        <is>
          <t>0                      PR 2064000B  4           1986</t>
        </is>
      </c>
      <c r="F371" t="inlineStr">
        <is>
          <t>King Arthur's death : the Middle English stanzaic Morte Arthur and alliterative Morte Arthure / edited by Larry D. Benson.</t>
        </is>
      </c>
      <c r="H371" t="inlineStr">
        <is>
          <t>No</t>
        </is>
      </c>
      <c r="I371" t="inlineStr">
        <is>
          <t>1</t>
        </is>
      </c>
      <c r="J371" t="inlineStr">
        <is>
          <t>No</t>
        </is>
      </c>
      <c r="K371" t="inlineStr">
        <is>
          <t>No</t>
        </is>
      </c>
      <c r="L371" t="inlineStr">
        <is>
          <t>0</t>
        </is>
      </c>
      <c r="M371" t="inlineStr">
        <is>
          <t>Benson, Larry Dean, 1929-</t>
        </is>
      </c>
      <c r="N371" t="inlineStr">
        <is>
          <t>Exeter : University of Exeter, 1986.</t>
        </is>
      </c>
      <c r="O371" t="inlineStr">
        <is>
          <t>1986</t>
        </is>
      </c>
      <c r="Q371" t="inlineStr">
        <is>
          <t>eng</t>
        </is>
      </c>
      <c r="R371" t="inlineStr">
        <is>
          <t>inu</t>
        </is>
      </c>
      <c r="S371" t="inlineStr">
        <is>
          <t>Exeter medieval English texts and studies</t>
        </is>
      </c>
      <c r="T371" t="inlineStr">
        <is>
          <t xml:space="preserve">PR </t>
        </is>
      </c>
      <c r="U371" t="n">
        <v>1</v>
      </c>
      <c r="V371" t="n">
        <v>1</v>
      </c>
      <c r="W371" t="inlineStr">
        <is>
          <t>1992-03-27</t>
        </is>
      </c>
      <c r="X371" t="inlineStr">
        <is>
          <t>1992-03-27</t>
        </is>
      </c>
      <c r="Y371" t="inlineStr">
        <is>
          <t>1991-09-30</t>
        </is>
      </c>
      <c r="Z371" t="inlineStr">
        <is>
          <t>1991-09-30</t>
        </is>
      </c>
      <c r="AA371" t="n">
        <v>149</v>
      </c>
      <c r="AB371" t="n">
        <v>95</v>
      </c>
      <c r="AC371" t="n">
        <v>503</v>
      </c>
      <c r="AD371" t="n">
        <v>1</v>
      </c>
      <c r="AE371" t="n">
        <v>4</v>
      </c>
      <c r="AF371" t="n">
        <v>5</v>
      </c>
      <c r="AG371" t="n">
        <v>24</v>
      </c>
      <c r="AH371" t="n">
        <v>1</v>
      </c>
      <c r="AI371" t="n">
        <v>10</v>
      </c>
      <c r="AJ371" t="n">
        <v>1</v>
      </c>
      <c r="AK371" t="n">
        <v>3</v>
      </c>
      <c r="AL371" t="n">
        <v>5</v>
      </c>
      <c r="AM371" t="n">
        <v>17</v>
      </c>
      <c r="AN371" t="n">
        <v>0</v>
      </c>
      <c r="AO371" t="n">
        <v>3</v>
      </c>
      <c r="AP371" t="n">
        <v>0</v>
      </c>
      <c r="AQ371" t="n">
        <v>0</v>
      </c>
      <c r="AR371" t="inlineStr">
        <is>
          <t>No</t>
        </is>
      </c>
      <c r="AS371" t="inlineStr">
        <is>
          <t>Yes</t>
        </is>
      </c>
      <c r="AT371">
        <f>HYPERLINK("http://catalog.hathitrust.org/Record/001098682","HathiTrust Record")</f>
        <v/>
      </c>
      <c r="AU371">
        <f>HYPERLINK("https://creighton-primo.hosted.exlibrisgroup.com/primo-explore/search?tab=default_tab&amp;search_scope=EVERYTHING&amp;vid=01CRU&amp;lang=en_US&amp;offset=0&amp;query=any,contains,991000939489702656","Catalog Record")</f>
        <v/>
      </c>
      <c r="AV371">
        <f>HYPERLINK("http://www.worldcat.org/oclc/14391251","WorldCat Record")</f>
        <v/>
      </c>
      <c r="AW371" t="inlineStr">
        <is>
          <t>792262577:eng</t>
        </is>
      </c>
      <c r="AX371" t="inlineStr">
        <is>
          <t>14391251</t>
        </is>
      </c>
      <c r="AY371" t="inlineStr">
        <is>
          <t>991000939489702656</t>
        </is>
      </c>
      <c r="AZ371" t="inlineStr">
        <is>
          <t>991000939489702656</t>
        </is>
      </c>
      <c r="BA371" t="inlineStr">
        <is>
          <t>2265239180002656</t>
        </is>
      </c>
      <c r="BB371" t="inlineStr">
        <is>
          <t>BOOK</t>
        </is>
      </c>
      <c r="BD371" t="inlineStr">
        <is>
          <t>9780859892674</t>
        </is>
      </c>
      <c r="BE371" t="inlineStr">
        <is>
          <t>32285000770247</t>
        </is>
      </c>
      <c r="BF371" t="inlineStr">
        <is>
          <t>893327734</t>
        </is>
      </c>
    </row>
    <row r="372">
      <c r="A372" t="inlineStr">
        <is>
          <t>No</t>
        </is>
      </c>
      <c r="B372" t="inlineStr">
        <is>
          <t>CURAL</t>
        </is>
      </c>
      <c r="C372" t="inlineStr">
        <is>
          <t>SHELVES</t>
        </is>
      </c>
      <c r="D372" t="inlineStr">
        <is>
          <t>PR2064 .G5 1966</t>
        </is>
      </c>
      <c r="E372" t="inlineStr">
        <is>
          <t>0                      PR 2064000G  5           1966</t>
        </is>
      </c>
      <c r="F372" t="inlineStr">
        <is>
          <t>Middle English romances / edited by A.C. Gibbs.</t>
        </is>
      </c>
      <c r="H372" t="inlineStr">
        <is>
          <t>No</t>
        </is>
      </c>
      <c r="I372" t="inlineStr">
        <is>
          <t>1</t>
        </is>
      </c>
      <c r="J372" t="inlineStr">
        <is>
          <t>No</t>
        </is>
      </c>
      <c r="K372" t="inlineStr">
        <is>
          <t>No</t>
        </is>
      </c>
      <c r="L372" t="inlineStr">
        <is>
          <t>0</t>
        </is>
      </c>
      <c r="M372" t="inlineStr">
        <is>
          <t>Gibbs, A. C.</t>
        </is>
      </c>
      <c r="N372" t="inlineStr">
        <is>
          <t>Evanston [Ill.] : Northwestern University Press, 1966.</t>
        </is>
      </c>
      <c r="O372" t="inlineStr">
        <is>
          <t>1966</t>
        </is>
      </c>
      <c r="Q372" t="inlineStr">
        <is>
          <t>eng</t>
        </is>
      </c>
      <c r="R372" t="inlineStr">
        <is>
          <t>ilu</t>
        </is>
      </c>
      <c r="S372" t="inlineStr">
        <is>
          <t>York medieval texts</t>
        </is>
      </c>
      <c r="T372" t="inlineStr">
        <is>
          <t xml:space="preserve">PR </t>
        </is>
      </c>
      <c r="U372" t="n">
        <v>2</v>
      </c>
      <c r="V372" t="n">
        <v>2</v>
      </c>
      <c r="W372" t="inlineStr">
        <is>
          <t>2002-05-22</t>
        </is>
      </c>
      <c r="X372" t="inlineStr">
        <is>
          <t>2002-05-22</t>
        </is>
      </c>
      <c r="Y372" t="inlineStr">
        <is>
          <t>2002-04-08</t>
        </is>
      </c>
      <c r="Z372" t="inlineStr">
        <is>
          <t>2002-04-08</t>
        </is>
      </c>
      <c r="AA372" t="n">
        <v>672</v>
      </c>
      <c r="AB372" t="n">
        <v>629</v>
      </c>
      <c r="AC372" t="n">
        <v>727</v>
      </c>
      <c r="AD372" t="n">
        <v>5</v>
      </c>
      <c r="AE372" t="n">
        <v>6</v>
      </c>
      <c r="AF372" t="n">
        <v>35</v>
      </c>
      <c r="AG372" t="n">
        <v>42</v>
      </c>
      <c r="AH372" t="n">
        <v>13</v>
      </c>
      <c r="AI372" t="n">
        <v>15</v>
      </c>
      <c r="AJ372" t="n">
        <v>8</v>
      </c>
      <c r="AK372" t="n">
        <v>9</v>
      </c>
      <c r="AL372" t="n">
        <v>16</v>
      </c>
      <c r="AM372" t="n">
        <v>22</v>
      </c>
      <c r="AN372" t="n">
        <v>4</v>
      </c>
      <c r="AO372" t="n">
        <v>5</v>
      </c>
      <c r="AP372" t="n">
        <v>0</v>
      </c>
      <c r="AQ372" t="n">
        <v>0</v>
      </c>
      <c r="AR372" t="inlineStr">
        <is>
          <t>No</t>
        </is>
      </c>
      <c r="AS372" t="inlineStr">
        <is>
          <t>Yes</t>
        </is>
      </c>
      <c r="AT372">
        <f>HYPERLINK("http://catalog.hathitrust.org/Record/001371958","HathiTrust Record")</f>
        <v/>
      </c>
      <c r="AU372">
        <f>HYPERLINK("https://creighton-primo.hosted.exlibrisgroup.com/primo-explore/search?tab=default_tab&amp;search_scope=EVERYTHING&amp;vid=01CRU&amp;lang=en_US&amp;offset=0&amp;query=any,contains,991003789559702656","Catalog Record")</f>
        <v/>
      </c>
      <c r="AV372">
        <f>HYPERLINK("http://www.worldcat.org/oclc/353015","WorldCat Record")</f>
        <v/>
      </c>
      <c r="AW372" t="inlineStr">
        <is>
          <t>309068773:eng</t>
        </is>
      </c>
      <c r="AX372" t="inlineStr">
        <is>
          <t>353015</t>
        </is>
      </c>
      <c r="AY372" t="inlineStr">
        <is>
          <t>991003789559702656</t>
        </is>
      </c>
      <c r="AZ372" t="inlineStr">
        <is>
          <t>991003789559702656</t>
        </is>
      </c>
      <c r="BA372" t="inlineStr">
        <is>
          <t>2267962210002656</t>
        </is>
      </c>
      <c r="BB372" t="inlineStr">
        <is>
          <t>BOOK</t>
        </is>
      </c>
      <c r="BE372" t="inlineStr">
        <is>
          <t>32285004478094</t>
        </is>
      </c>
      <c r="BF372" t="inlineStr">
        <is>
          <t>893512363</t>
        </is>
      </c>
    </row>
    <row r="373">
      <c r="A373" t="inlineStr">
        <is>
          <t>No</t>
        </is>
      </c>
      <c r="B373" t="inlineStr">
        <is>
          <t>CURAL</t>
        </is>
      </c>
      <c r="C373" t="inlineStr">
        <is>
          <t>SHELVES</t>
        </is>
      </c>
      <c r="D373" t="inlineStr">
        <is>
          <t>PR2064 .M4 1980</t>
        </is>
      </c>
      <c r="E373" t="inlineStr">
        <is>
          <t>0                      PR 2064000M  4           1980</t>
        </is>
      </c>
      <c r="F373" t="inlineStr">
        <is>
          <t>Medieval English romances / edited by A. V. C. Schmidt and Nicolas Jacobs.</t>
        </is>
      </c>
      <c r="G373" t="inlineStr">
        <is>
          <t>V.2</t>
        </is>
      </c>
      <c r="H373" t="inlineStr">
        <is>
          <t>Yes</t>
        </is>
      </c>
      <c r="I373" t="inlineStr">
        <is>
          <t>1</t>
        </is>
      </c>
      <c r="J373" t="inlineStr">
        <is>
          <t>No</t>
        </is>
      </c>
      <c r="K373" t="inlineStr">
        <is>
          <t>No</t>
        </is>
      </c>
      <c r="L373" t="inlineStr">
        <is>
          <t>0</t>
        </is>
      </c>
      <c r="N373" t="inlineStr">
        <is>
          <t>New York : Holmes &amp; Meier Publishers, c1980.</t>
        </is>
      </c>
      <c r="O373" t="inlineStr">
        <is>
          <t>1980</t>
        </is>
      </c>
      <c r="Q373" t="inlineStr">
        <is>
          <t>eng</t>
        </is>
      </c>
      <c r="R373" t="inlineStr">
        <is>
          <t>nyu</t>
        </is>
      </c>
      <c r="T373" t="inlineStr">
        <is>
          <t xml:space="preserve">PR </t>
        </is>
      </c>
      <c r="U373" t="n">
        <v>0</v>
      </c>
      <c r="V373" t="n">
        <v>2</v>
      </c>
      <c r="X373" t="inlineStr">
        <is>
          <t>1998-02-15</t>
        </is>
      </c>
      <c r="Y373" t="inlineStr">
        <is>
          <t>1991-09-30</t>
        </is>
      </c>
      <c r="Z373" t="inlineStr">
        <is>
          <t>1991-09-30</t>
        </is>
      </c>
      <c r="AA373" t="n">
        <v>139</v>
      </c>
      <c r="AB373" t="n">
        <v>122</v>
      </c>
      <c r="AC373" t="n">
        <v>124</v>
      </c>
      <c r="AD373" t="n">
        <v>1</v>
      </c>
      <c r="AE373" t="n">
        <v>1</v>
      </c>
      <c r="AF373" t="n">
        <v>5</v>
      </c>
      <c r="AG373" t="n">
        <v>5</v>
      </c>
      <c r="AH373" t="n">
        <v>3</v>
      </c>
      <c r="AI373" t="n">
        <v>3</v>
      </c>
      <c r="AJ373" t="n">
        <v>0</v>
      </c>
      <c r="AK373" t="n">
        <v>0</v>
      </c>
      <c r="AL373" t="n">
        <v>4</v>
      </c>
      <c r="AM373" t="n">
        <v>4</v>
      </c>
      <c r="AN373" t="n">
        <v>0</v>
      </c>
      <c r="AO373" t="n">
        <v>0</v>
      </c>
      <c r="AP373" t="n">
        <v>0</v>
      </c>
      <c r="AQ373" t="n">
        <v>0</v>
      </c>
      <c r="AR373" t="inlineStr">
        <is>
          <t>No</t>
        </is>
      </c>
      <c r="AS373" t="inlineStr">
        <is>
          <t>No</t>
        </is>
      </c>
      <c r="AU373">
        <f>HYPERLINK("https://creighton-primo.hosted.exlibrisgroup.com/primo-explore/search?tab=default_tab&amp;search_scope=EVERYTHING&amp;vid=01CRU&amp;lang=en_US&amp;offset=0&amp;query=any,contains,991004948869702656","Catalog Record")</f>
        <v/>
      </c>
      <c r="AV373">
        <f>HYPERLINK("http://www.worldcat.org/oclc/6223537","WorldCat Record")</f>
        <v/>
      </c>
      <c r="AW373" t="inlineStr">
        <is>
          <t>9565793262:eng</t>
        </is>
      </c>
      <c r="AX373" t="inlineStr">
        <is>
          <t>6223537</t>
        </is>
      </c>
      <c r="AY373" t="inlineStr">
        <is>
          <t>991004948869702656</t>
        </is>
      </c>
      <c r="AZ373" t="inlineStr">
        <is>
          <t>991004948869702656</t>
        </is>
      </c>
      <c r="BA373" t="inlineStr">
        <is>
          <t>2268413710002656</t>
        </is>
      </c>
      <c r="BB373" t="inlineStr">
        <is>
          <t>BOOK</t>
        </is>
      </c>
      <c r="BD373" t="inlineStr">
        <is>
          <t>9780841906044</t>
        </is>
      </c>
      <c r="BE373" t="inlineStr">
        <is>
          <t>32285000770262</t>
        </is>
      </c>
      <c r="BF373" t="inlineStr">
        <is>
          <t>893810763</t>
        </is>
      </c>
    </row>
    <row r="374">
      <c r="A374" t="inlineStr">
        <is>
          <t>No</t>
        </is>
      </c>
      <c r="B374" t="inlineStr">
        <is>
          <t>CURAL</t>
        </is>
      </c>
      <c r="C374" t="inlineStr">
        <is>
          <t>SHELVES</t>
        </is>
      </c>
      <c r="D374" t="inlineStr">
        <is>
          <t>PR2064 .M4 1980</t>
        </is>
      </c>
      <c r="E374" t="inlineStr">
        <is>
          <t>0                      PR 2064000M  4           1980</t>
        </is>
      </c>
      <c r="F374" t="inlineStr">
        <is>
          <t>Medieval English romances / edited by A. V. C. Schmidt and Nicolas Jacobs.</t>
        </is>
      </c>
      <c r="G374" t="inlineStr">
        <is>
          <t>V.1</t>
        </is>
      </c>
      <c r="H374" t="inlineStr">
        <is>
          <t>Yes</t>
        </is>
      </c>
      <c r="I374" t="inlineStr">
        <is>
          <t>1</t>
        </is>
      </c>
      <c r="J374" t="inlineStr">
        <is>
          <t>No</t>
        </is>
      </c>
      <c r="K374" t="inlineStr">
        <is>
          <t>No</t>
        </is>
      </c>
      <c r="L374" t="inlineStr">
        <is>
          <t>0</t>
        </is>
      </c>
      <c r="N374" t="inlineStr">
        <is>
          <t>New York : Holmes &amp; Meier Publishers, c1980.</t>
        </is>
      </c>
      <c r="O374" t="inlineStr">
        <is>
          <t>1980</t>
        </is>
      </c>
      <c r="Q374" t="inlineStr">
        <is>
          <t>eng</t>
        </is>
      </c>
      <c r="R374" t="inlineStr">
        <is>
          <t>nyu</t>
        </is>
      </c>
      <c r="T374" t="inlineStr">
        <is>
          <t xml:space="preserve">PR </t>
        </is>
      </c>
      <c r="U374" t="n">
        <v>2</v>
      </c>
      <c r="V374" t="n">
        <v>2</v>
      </c>
      <c r="W374" t="inlineStr">
        <is>
          <t>1998-02-15</t>
        </is>
      </c>
      <c r="X374" t="inlineStr">
        <is>
          <t>1998-02-15</t>
        </is>
      </c>
      <c r="Y374" t="inlineStr">
        <is>
          <t>1991-09-30</t>
        </is>
      </c>
      <c r="Z374" t="inlineStr">
        <is>
          <t>1991-09-30</t>
        </is>
      </c>
      <c r="AA374" t="n">
        <v>139</v>
      </c>
      <c r="AB374" t="n">
        <v>122</v>
      </c>
      <c r="AC374" t="n">
        <v>124</v>
      </c>
      <c r="AD374" t="n">
        <v>1</v>
      </c>
      <c r="AE374" t="n">
        <v>1</v>
      </c>
      <c r="AF374" t="n">
        <v>5</v>
      </c>
      <c r="AG374" t="n">
        <v>5</v>
      </c>
      <c r="AH374" t="n">
        <v>3</v>
      </c>
      <c r="AI374" t="n">
        <v>3</v>
      </c>
      <c r="AJ374" t="n">
        <v>0</v>
      </c>
      <c r="AK374" t="n">
        <v>0</v>
      </c>
      <c r="AL374" t="n">
        <v>4</v>
      </c>
      <c r="AM374" t="n">
        <v>4</v>
      </c>
      <c r="AN374" t="n">
        <v>0</v>
      </c>
      <c r="AO374" t="n">
        <v>0</v>
      </c>
      <c r="AP374" t="n">
        <v>0</v>
      </c>
      <c r="AQ374" t="n">
        <v>0</v>
      </c>
      <c r="AR374" t="inlineStr">
        <is>
          <t>No</t>
        </is>
      </c>
      <c r="AS374" t="inlineStr">
        <is>
          <t>No</t>
        </is>
      </c>
      <c r="AU374">
        <f>HYPERLINK("https://creighton-primo.hosted.exlibrisgroup.com/primo-explore/search?tab=default_tab&amp;search_scope=EVERYTHING&amp;vid=01CRU&amp;lang=en_US&amp;offset=0&amp;query=any,contains,991004948869702656","Catalog Record")</f>
        <v/>
      </c>
      <c r="AV374">
        <f>HYPERLINK("http://www.worldcat.org/oclc/6223537","WorldCat Record")</f>
        <v/>
      </c>
      <c r="AW374" t="inlineStr">
        <is>
          <t>9565793262:eng</t>
        </is>
      </c>
      <c r="AX374" t="inlineStr">
        <is>
          <t>6223537</t>
        </is>
      </c>
      <c r="AY374" t="inlineStr">
        <is>
          <t>991004948869702656</t>
        </is>
      </c>
      <c r="AZ374" t="inlineStr">
        <is>
          <t>991004948869702656</t>
        </is>
      </c>
      <c r="BA374" t="inlineStr">
        <is>
          <t>2268413710002656</t>
        </is>
      </c>
      <c r="BB374" t="inlineStr">
        <is>
          <t>BOOK</t>
        </is>
      </c>
      <c r="BD374" t="inlineStr">
        <is>
          <t>9780841906044</t>
        </is>
      </c>
      <c r="BE374" t="inlineStr">
        <is>
          <t>32285000770254</t>
        </is>
      </c>
      <c r="BF374" t="inlineStr">
        <is>
          <t>893776615</t>
        </is>
      </c>
    </row>
    <row r="375">
      <c r="A375" t="inlineStr">
        <is>
          <t>No</t>
        </is>
      </c>
      <c r="B375" t="inlineStr">
        <is>
          <t>CURAL</t>
        </is>
      </c>
      <c r="C375" t="inlineStr">
        <is>
          <t>SHELVES</t>
        </is>
      </c>
      <c r="D375" t="inlineStr">
        <is>
          <t>PR2065.G3 B8</t>
        </is>
      </c>
      <c r="E375" t="inlineStr">
        <is>
          <t>0                      PR 2065000G  3                  B  8</t>
        </is>
      </c>
      <c r="F375" t="inlineStr">
        <is>
          <t>A reading of Sir Gawain and the Green Knight [by] J. A. Burrow.</t>
        </is>
      </c>
      <c r="H375" t="inlineStr">
        <is>
          <t>No</t>
        </is>
      </c>
      <c r="I375" t="inlineStr">
        <is>
          <t>1</t>
        </is>
      </c>
      <c r="J375" t="inlineStr">
        <is>
          <t>No</t>
        </is>
      </c>
      <c r="K375" t="inlineStr">
        <is>
          <t>No</t>
        </is>
      </c>
      <c r="L375" t="inlineStr">
        <is>
          <t>0</t>
        </is>
      </c>
      <c r="M375" t="inlineStr">
        <is>
          <t>Burrow, J. A. (John Anthony)</t>
        </is>
      </c>
      <c r="N375" t="inlineStr">
        <is>
          <t>New York, Barnes &amp; Noble [1966]</t>
        </is>
      </c>
      <c r="O375" t="inlineStr">
        <is>
          <t>1966</t>
        </is>
      </c>
      <c r="Q375" t="inlineStr">
        <is>
          <t>eng</t>
        </is>
      </c>
      <c r="R375" t="inlineStr">
        <is>
          <t>nyu</t>
        </is>
      </c>
      <c r="T375" t="inlineStr">
        <is>
          <t xml:space="preserve">PR </t>
        </is>
      </c>
      <c r="U375" t="n">
        <v>5</v>
      </c>
      <c r="V375" t="n">
        <v>5</v>
      </c>
      <c r="W375" t="inlineStr">
        <is>
          <t>2008-04-06</t>
        </is>
      </c>
      <c r="X375" t="inlineStr">
        <is>
          <t>2008-04-06</t>
        </is>
      </c>
      <c r="Y375" t="inlineStr">
        <is>
          <t>1997-09-04</t>
        </is>
      </c>
      <c r="Z375" t="inlineStr">
        <is>
          <t>1997-09-04</t>
        </is>
      </c>
      <c r="AA375" t="n">
        <v>436</v>
      </c>
      <c r="AB375" t="n">
        <v>409</v>
      </c>
      <c r="AC375" t="n">
        <v>734</v>
      </c>
      <c r="AD375" t="n">
        <v>3</v>
      </c>
      <c r="AE375" t="n">
        <v>5</v>
      </c>
      <c r="AF375" t="n">
        <v>20</v>
      </c>
      <c r="AG375" t="n">
        <v>37</v>
      </c>
      <c r="AH375" t="n">
        <v>5</v>
      </c>
      <c r="AI375" t="n">
        <v>12</v>
      </c>
      <c r="AJ375" t="n">
        <v>6</v>
      </c>
      <c r="AK375" t="n">
        <v>9</v>
      </c>
      <c r="AL375" t="n">
        <v>11</v>
      </c>
      <c r="AM375" t="n">
        <v>20</v>
      </c>
      <c r="AN375" t="n">
        <v>2</v>
      </c>
      <c r="AO375" t="n">
        <v>4</v>
      </c>
      <c r="AP375" t="n">
        <v>0</v>
      </c>
      <c r="AQ375" t="n">
        <v>0</v>
      </c>
      <c r="AR375" t="inlineStr">
        <is>
          <t>No</t>
        </is>
      </c>
      <c r="AS375" t="inlineStr">
        <is>
          <t>Yes</t>
        </is>
      </c>
      <c r="AT375">
        <f>HYPERLINK("http://catalog.hathitrust.org/Record/007120503","HathiTrust Record")</f>
        <v/>
      </c>
      <c r="AU375">
        <f>HYPERLINK("https://creighton-primo.hosted.exlibrisgroup.com/primo-explore/search?tab=default_tab&amp;search_scope=EVERYTHING&amp;vid=01CRU&amp;lang=en_US&amp;offset=0&amp;query=any,contains,991002448629702656","Catalog Record")</f>
        <v/>
      </c>
      <c r="AV375">
        <f>HYPERLINK("http://www.worldcat.org/oclc/352314","WorldCat Record")</f>
        <v/>
      </c>
      <c r="AW375" t="inlineStr">
        <is>
          <t>1388494:eng</t>
        </is>
      </c>
      <c r="AX375" t="inlineStr">
        <is>
          <t>352314</t>
        </is>
      </c>
      <c r="AY375" t="inlineStr">
        <is>
          <t>991002448629702656</t>
        </is>
      </c>
      <c r="AZ375" t="inlineStr">
        <is>
          <t>991002448629702656</t>
        </is>
      </c>
      <c r="BA375" t="inlineStr">
        <is>
          <t>2265266810002656</t>
        </is>
      </c>
      <c r="BB375" t="inlineStr">
        <is>
          <t>BOOK</t>
        </is>
      </c>
      <c r="BE375" t="inlineStr">
        <is>
          <t>32285003162475</t>
        </is>
      </c>
      <c r="BF375" t="inlineStr">
        <is>
          <t>893691626</t>
        </is>
      </c>
    </row>
    <row r="376">
      <c r="A376" t="inlineStr">
        <is>
          <t>No</t>
        </is>
      </c>
      <c r="B376" t="inlineStr">
        <is>
          <t>CURAL</t>
        </is>
      </c>
      <c r="C376" t="inlineStr">
        <is>
          <t>SHELVES</t>
        </is>
      </c>
      <c r="D376" t="inlineStr">
        <is>
          <t>PR2065.G3 S35</t>
        </is>
      </c>
      <c r="E376" t="inlineStr">
        <is>
          <t>0                      PR 2065000G  3                  S  35</t>
        </is>
      </c>
      <c r="F376" t="inlineStr">
        <is>
          <t>Sir Gawain and the Green Knight; an essay in interpretation.</t>
        </is>
      </c>
      <c r="H376" t="inlineStr">
        <is>
          <t>No</t>
        </is>
      </c>
      <c r="I376" t="inlineStr">
        <is>
          <t>1</t>
        </is>
      </c>
      <c r="J376" t="inlineStr">
        <is>
          <t>No</t>
        </is>
      </c>
      <c r="K376" t="inlineStr">
        <is>
          <t>No</t>
        </is>
      </c>
      <c r="L376" t="inlineStr">
        <is>
          <t>0</t>
        </is>
      </c>
      <c r="M376" t="inlineStr">
        <is>
          <t>Schnyder, Hans.</t>
        </is>
      </c>
      <c r="N376" t="inlineStr">
        <is>
          <t>Bern, Francke Verlag [c1961]</t>
        </is>
      </c>
      <c r="O376" t="inlineStr">
        <is>
          <t>1961</t>
        </is>
      </c>
      <c r="Q376" t="inlineStr">
        <is>
          <t>eng</t>
        </is>
      </c>
      <c r="R376" t="inlineStr">
        <is>
          <t xml:space="preserve">gw </t>
        </is>
      </c>
      <c r="S376" t="inlineStr">
        <is>
          <t>The Cooper monographs on English and American language and literature, 6</t>
        </is>
      </c>
      <c r="T376" t="inlineStr">
        <is>
          <t xml:space="preserve">PR </t>
        </is>
      </c>
      <c r="U376" t="n">
        <v>5</v>
      </c>
      <c r="V376" t="n">
        <v>5</v>
      </c>
      <c r="W376" t="inlineStr">
        <is>
          <t>2008-04-06</t>
        </is>
      </c>
      <c r="X376" t="inlineStr">
        <is>
          <t>2008-04-06</t>
        </is>
      </c>
      <c r="Y376" t="inlineStr">
        <is>
          <t>1997-07-29</t>
        </is>
      </c>
      <c r="Z376" t="inlineStr">
        <is>
          <t>1997-07-29</t>
        </is>
      </c>
      <c r="AA376" t="n">
        <v>241</v>
      </c>
      <c r="AB376" t="n">
        <v>169</v>
      </c>
      <c r="AC376" t="n">
        <v>172</v>
      </c>
      <c r="AD376" t="n">
        <v>2</v>
      </c>
      <c r="AE376" t="n">
        <v>2</v>
      </c>
      <c r="AF376" t="n">
        <v>10</v>
      </c>
      <c r="AG376" t="n">
        <v>10</v>
      </c>
      <c r="AH376" t="n">
        <v>4</v>
      </c>
      <c r="AI376" t="n">
        <v>4</v>
      </c>
      <c r="AJ376" t="n">
        <v>2</v>
      </c>
      <c r="AK376" t="n">
        <v>2</v>
      </c>
      <c r="AL376" t="n">
        <v>4</v>
      </c>
      <c r="AM376" t="n">
        <v>4</v>
      </c>
      <c r="AN376" t="n">
        <v>1</v>
      </c>
      <c r="AO376" t="n">
        <v>1</v>
      </c>
      <c r="AP376" t="n">
        <v>0</v>
      </c>
      <c r="AQ376" t="n">
        <v>0</v>
      </c>
      <c r="AR376" t="inlineStr">
        <is>
          <t>No</t>
        </is>
      </c>
      <c r="AS376" t="inlineStr">
        <is>
          <t>Yes</t>
        </is>
      </c>
      <c r="AT376">
        <f>HYPERLINK("http://catalog.hathitrust.org/Record/000432238","HathiTrust Record")</f>
        <v/>
      </c>
      <c r="AU376">
        <f>HYPERLINK("https://creighton-primo.hosted.exlibrisgroup.com/primo-explore/search?tab=default_tab&amp;search_scope=EVERYTHING&amp;vid=01CRU&amp;lang=en_US&amp;offset=0&amp;query=any,contains,991003941719702656","Catalog Record")</f>
        <v/>
      </c>
      <c r="AV376">
        <f>HYPERLINK("http://www.worldcat.org/oclc/1933794","WorldCat Record")</f>
        <v/>
      </c>
      <c r="AW376" t="inlineStr">
        <is>
          <t>1811392807:eng</t>
        </is>
      </c>
      <c r="AX376" t="inlineStr">
        <is>
          <t>1933794</t>
        </is>
      </c>
      <c r="AY376" t="inlineStr">
        <is>
          <t>991003941719702656</t>
        </is>
      </c>
      <c r="AZ376" t="inlineStr">
        <is>
          <t>991003941719702656</t>
        </is>
      </c>
      <c r="BA376" t="inlineStr">
        <is>
          <t>2263238400002656</t>
        </is>
      </c>
      <c r="BB376" t="inlineStr">
        <is>
          <t>BOOK</t>
        </is>
      </c>
      <c r="BE376" t="inlineStr">
        <is>
          <t>32285002988821</t>
        </is>
      </c>
      <c r="BF376" t="inlineStr">
        <is>
          <t>893800393</t>
        </is>
      </c>
    </row>
    <row r="377">
      <c r="A377" t="inlineStr">
        <is>
          <t>No</t>
        </is>
      </c>
      <c r="B377" t="inlineStr">
        <is>
          <t>CURAL</t>
        </is>
      </c>
      <c r="C377" t="inlineStr">
        <is>
          <t>SHELVES</t>
        </is>
      </c>
      <c r="D377" t="inlineStr">
        <is>
          <t>PR2065.G31 B54 1983</t>
        </is>
      </c>
      <c r="E377" t="inlineStr">
        <is>
          <t>0                      PR 2065000G  31                 B  54          1983</t>
        </is>
      </c>
      <c r="F377" t="inlineStr">
        <is>
          <t>Sir Gawain and the Green Knight : a reference guide / by Robert J. Blanch.</t>
        </is>
      </c>
      <c r="H377" t="inlineStr">
        <is>
          <t>No</t>
        </is>
      </c>
      <c r="I377" t="inlineStr">
        <is>
          <t>1</t>
        </is>
      </c>
      <c r="J377" t="inlineStr">
        <is>
          <t>No</t>
        </is>
      </c>
      <c r="K377" t="inlineStr">
        <is>
          <t>No</t>
        </is>
      </c>
      <c r="L377" t="inlineStr">
        <is>
          <t>0</t>
        </is>
      </c>
      <c r="M377" t="inlineStr">
        <is>
          <t>Blanch, Robert J.</t>
        </is>
      </c>
      <c r="N377" t="inlineStr">
        <is>
          <t>Troy, N.Y. : Whitston, 1983.</t>
        </is>
      </c>
      <c r="O377" t="inlineStr">
        <is>
          <t>1983</t>
        </is>
      </c>
      <c r="Q377" t="inlineStr">
        <is>
          <t>eng</t>
        </is>
      </c>
      <c r="R377" t="inlineStr">
        <is>
          <t>nyu</t>
        </is>
      </c>
      <c r="T377" t="inlineStr">
        <is>
          <t xml:space="preserve">PR </t>
        </is>
      </c>
      <c r="U377" t="n">
        <v>5</v>
      </c>
      <c r="V377" t="n">
        <v>5</v>
      </c>
      <c r="W377" t="inlineStr">
        <is>
          <t>2006-03-26</t>
        </is>
      </c>
      <c r="X377" t="inlineStr">
        <is>
          <t>2006-03-26</t>
        </is>
      </c>
      <c r="Y377" t="inlineStr">
        <is>
          <t>1991-09-30</t>
        </is>
      </c>
      <c r="Z377" t="inlineStr">
        <is>
          <t>1991-09-30</t>
        </is>
      </c>
      <c r="AA377" t="n">
        <v>469</v>
      </c>
      <c r="AB377" t="n">
        <v>382</v>
      </c>
      <c r="AC377" t="n">
        <v>466</v>
      </c>
      <c r="AD377" t="n">
        <v>4</v>
      </c>
      <c r="AE377" t="n">
        <v>4</v>
      </c>
      <c r="AF377" t="n">
        <v>19</v>
      </c>
      <c r="AG377" t="n">
        <v>26</v>
      </c>
      <c r="AH377" t="n">
        <v>6</v>
      </c>
      <c r="AI377" t="n">
        <v>12</v>
      </c>
      <c r="AJ377" t="n">
        <v>4</v>
      </c>
      <c r="AK377" t="n">
        <v>6</v>
      </c>
      <c r="AL377" t="n">
        <v>12</v>
      </c>
      <c r="AM377" t="n">
        <v>13</v>
      </c>
      <c r="AN377" t="n">
        <v>3</v>
      </c>
      <c r="AO377" t="n">
        <v>3</v>
      </c>
      <c r="AP377" t="n">
        <v>0</v>
      </c>
      <c r="AQ377" t="n">
        <v>0</v>
      </c>
      <c r="AR377" t="inlineStr">
        <is>
          <t>No</t>
        </is>
      </c>
      <c r="AS377" t="inlineStr">
        <is>
          <t>Yes</t>
        </is>
      </c>
      <c r="AT377">
        <f>HYPERLINK("http://catalog.hathitrust.org/Record/008311117","HathiTrust Record")</f>
        <v/>
      </c>
      <c r="AU377">
        <f>HYPERLINK("https://creighton-primo.hosted.exlibrisgroup.com/primo-explore/search?tab=default_tab&amp;search_scope=EVERYTHING&amp;vid=01CRU&amp;lang=en_US&amp;offset=0&amp;query=any,contains,991000394879702656","Catalog Record")</f>
        <v/>
      </c>
      <c r="AV377">
        <f>HYPERLINK("http://www.worldcat.org/oclc/10565116","WorldCat Record")</f>
        <v/>
      </c>
      <c r="AW377" t="inlineStr">
        <is>
          <t>4061409702:eng</t>
        </is>
      </c>
      <c r="AX377" t="inlineStr">
        <is>
          <t>10565116</t>
        </is>
      </c>
      <c r="AY377" t="inlineStr">
        <is>
          <t>991000394879702656</t>
        </is>
      </c>
      <c r="AZ377" t="inlineStr">
        <is>
          <t>991000394879702656</t>
        </is>
      </c>
      <c r="BA377" t="inlineStr">
        <is>
          <t>2266624410002656</t>
        </is>
      </c>
      <c r="BB377" t="inlineStr">
        <is>
          <t>BOOK</t>
        </is>
      </c>
      <c r="BD377" t="inlineStr">
        <is>
          <t>9780878752447</t>
        </is>
      </c>
      <c r="BE377" t="inlineStr">
        <is>
          <t>32285000770304</t>
        </is>
      </c>
      <c r="BF377" t="inlineStr">
        <is>
          <t>893314876</t>
        </is>
      </c>
    </row>
    <row r="378">
      <c r="A378" t="inlineStr">
        <is>
          <t>No</t>
        </is>
      </c>
      <c r="B378" t="inlineStr">
        <is>
          <t>CURAL</t>
        </is>
      </c>
      <c r="C378" t="inlineStr">
        <is>
          <t>SHELVES</t>
        </is>
      </c>
      <c r="D378" t="inlineStr">
        <is>
          <t>PR2065.G31 H3 1982</t>
        </is>
      </c>
      <c r="E378" t="inlineStr">
        <is>
          <t>0                      PR 2065000G  31                 H  3           1982</t>
        </is>
      </c>
      <c r="F378" t="inlineStr">
        <is>
          <t>The fortunate fall of Sir Gawain : the typology of Sir Gawain and the Green Knight / Victor Yelverton Haines.</t>
        </is>
      </c>
      <c r="H378" t="inlineStr">
        <is>
          <t>No</t>
        </is>
      </c>
      <c r="I378" t="inlineStr">
        <is>
          <t>1</t>
        </is>
      </c>
      <c r="J378" t="inlineStr">
        <is>
          <t>No</t>
        </is>
      </c>
      <c r="K378" t="inlineStr">
        <is>
          <t>No</t>
        </is>
      </c>
      <c r="L378" t="inlineStr">
        <is>
          <t>0</t>
        </is>
      </c>
      <c r="M378" t="inlineStr">
        <is>
          <t>Haines, Victor Yelverton.</t>
        </is>
      </c>
      <c r="N378" t="inlineStr">
        <is>
          <t>Washington, D.C. : University Press of America, c1982.</t>
        </is>
      </c>
      <c r="O378" t="inlineStr">
        <is>
          <t>1982</t>
        </is>
      </c>
      <c r="Q378" t="inlineStr">
        <is>
          <t>eng</t>
        </is>
      </c>
      <c r="R378" t="inlineStr">
        <is>
          <t>dcu</t>
        </is>
      </c>
      <c r="T378" t="inlineStr">
        <is>
          <t xml:space="preserve">PR </t>
        </is>
      </c>
      <c r="U378" t="n">
        <v>2</v>
      </c>
      <c r="V378" t="n">
        <v>2</v>
      </c>
      <c r="W378" t="inlineStr">
        <is>
          <t>2000-04-02</t>
        </is>
      </c>
      <c r="X378" t="inlineStr">
        <is>
          <t>2000-04-02</t>
        </is>
      </c>
      <c r="Y378" t="inlineStr">
        <is>
          <t>1991-09-30</t>
        </is>
      </c>
      <c r="Z378" t="inlineStr">
        <is>
          <t>1991-09-30</t>
        </is>
      </c>
      <c r="AA378" t="n">
        <v>477</v>
      </c>
      <c r="AB378" t="n">
        <v>394</v>
      </c>
      <c r="AC378" t="n">
        <v>399</v>
      </c>
      <c r="AD378" t="n">
        <v>3</v>
      </c>
      <c r="AE378" t="n">
        <v>3</v>
      </c>
      <c r="AF378" t="n">
        <v>24</v>
      </c>
      <c r="AG378" t="n">
        <v>24</v>
      </c>
      <c r="AH378" t="n">
        <v>8</v>
      </c>
      <c r="AI378" t="n">
        <v>8</v>
      </c>
      <c r="AJ378" t="n">
        <v>6</v>
      </c>
      <c r="AK378" t="n">
        <v>6</v>
      </c>
      <c r="AL378" t="n">
        <v>15</v>
      </c>
      <c r="AM378" t="n">
        <v>15</v>
      </c>
      <c r="AN378" t="n">
        <v>2</v>
      </c>
      <c r="AO378" t="n">
        <v>2</v>
      </c>
      <c r="AP378" t="n">
        <v>0</v>
      </c>
      <c r="AQ378" t="n">
        <v>0</v>
      </c>
      <c r="AR378" t="inlineStr">
        <is>
          <t>No</t>
        </is>
      </c>
      <c r="AS378" t="inlineStr">
        <is>
          <t>No</t>
        </is>
      </c>
      <c r="AU378">
        <f>HYPERLINK("https://creighton-primo.hosted.exlibrisgroup.com/primo-explore/search?tab=default_tab&amp;search_scope=EVERYTHING&amp;vid=01CRU&amp;lang=en_US&amp;offset=0&amp;query=any,contains,991005242079702656","Catalog Record")</f>
        <v/>
      </c>
      <c r="AV378">
        <f>HYPERLINK("http://www.worldcat.org/oclc/8430390","WorldCat Record")</f>
        <v/>
      </c>
      <c r="AW378" t="inlineStr">
        <is>
          <t>483581:eng</t>
        </is>
      </c>
      <c r="AX378" t="inlineStr">
        <is>
          <t>8430390</t>
        </is>
      </c>
      <c r="AY378" t="inlineStr">
        <is>
          <t>991005242079702656</t>
        </is>
      </c>
      <c r="AZ378" t="inlineStr">
        <is>
          <t>991005242079702656</t>
        </is>
      </c>
      <c r="BA378" t="inlineStr">
        <is>
          <t>2261329420002656</t>
        </is>
      </c>
      <c r="BB378" t="inlineStr">
        <is>
          <t>BOOK</t>
        </is>
      </c>
      <c r="BD378" t="inlineStr">
        <is>
          <t>9780819124371</t>
        </is>
      </c>
      <c r="BE378" t="inlineStr">
        <is>
          <t>32285000770320</t>
        </is>
      </c>
      <c r="BF378" t="inlineStr">
        <is>
          <t>893533430</t>
        </is>
      </c>
    </row>
    <row r="379">
      <c r="A379" t="inlineStr">
        <is>
          <t>No</t>
        </is>
      </c>
      <c r="B379" t="inlineStr">
        <is>
          <t>CURAL</t>
        </is>
      </c>
      <c r="C379" t="inlineStr">
        <is>
          <t>SHELVES</t>
        </is>
      </c>
      <c r="D379" t="inlineStr">
        <is>
          <t>PR2065.M3 A34 1983</t>
        </is>
      </c>
      <c r="E379" t="inlineStr">
        <is>
          <t>0                      PR 2065000M  3                  A  34          1983</t>
        </is>
      </c>
      <c r="F379" t="inlineStr">
        <is>
          <t>The alliterative Morte Arthure : a new verse translation / Valerie Krishna.</t>
        </is>
      </c>
      <c r="H379" t="inlineStr">
        <is>
          <t>No</t>
        </is>
      </c>
      <c r="I379" t="inlineStr">
        <is>
          <t>1</t>
        </is>
      </c>
      <c r="J379" t="inlineStr">
        <is>
          <t>No</t>
        </is>
      </c>
      <c r="K379" t="inlineStr">
        <is>
          <t>No</t>
        </is>
      </c>
      <c r="L379" t="inlineStr">
        <is>
          <t>0</t>
        </is>
      </c>
      <c r="M379" t="inlineStr">
        <is>
          <t>Morte Arthure.</t>
        </is>
      </c>
      <c r="N379" t="inlineStr">
        <is>
          <t>Washington, D.C. : University Press of America, c1983.</t>
        </is>
      </c>
      <c r="O379" t="inlineStr">
        <is>
          <t>1983</t>
        </is>
      </c>
      <c r="Q379" t="inlineStr">
        <is>
          <t>eng</t>
        </is>
      </c>
      <c r="R379" t="inlineStr">
        <is>
          <t>dcu</t>
        </is>
      </c>
      <c r="T379" t="inlineStr">
        <is>
          <t xml:space="preserve">PR </t>
        </is>
      </c>
      <c r="U379" t="n">
        <v>2</v>
      </c>
      <c r="V379" t="n">
        <v>2</v>
      </c>
      <c r="W379" t="inlineStr">
        <is>
          <t>1998-01-31</t>
        </is>
      </c>
      <c r="X379" t="inlineStr">
        <is>
          <t>1998-01-31</t>
        </is>
      </c>
      <c r="Y379" t="inlineStr">
        <is>
          <t>1991-09-30</t>
        </is>
      </c>
      <c r="Z379" t="inlineStr">
        <is>
          <t>1991-09-30</t>
        </is>
      </c>
      <c r="AA379" t="n">
        <v>382</v>
      </c>
      <c r="AB379" t="n">
        <v>330</v>
      </c>
      <c r="AC379" t="n">
        <v>347</v>
      </c>
      <c r="AD379" t="n">
        <v>2</v>
      </c>
      <c r="AE379" t="n">
        <v>2</v>
      </c>
      <c r="AF379" t="n">
        <v>18</v>
      </c>
      <c r="AG379" t="n">
        <v>20</v>
      </c>
      <c r="AH379" t="n">
        <v>9</v>
      </c>
      <c r="AI379" t="n">
        <v>10</v>
      </c>
      <c r="AJ379" t="n">
        <v>4</v>
      </c>
      <c r="AK379" t="n">
        <v>5</v>
      </c>
      <c r="AL379" t="n">
        <v>12</v>
      </c>
      <c r="AM379" t="n">
        <v>12</v>
      </c>
      <c r="AN379" t="n">
        <v>1</v>
      </c>
      <c r="AO379" t="n">
        <v>1</v>
      </c>
      <c r="AP379" t="n">
        <v>0</v>
      </c>
      <c r="AQ379" t="n">
        <v>0</v>
      </c>
      <c r="AR379" t="inlineStr">
        <is>
          <t>No</t>
        </is>
      </c>
      <c r="AS379" t="inlineStr">
        <is>
          <t>Yes</t>
        </is>
      </c>
      <c r="AT379">
        <f>HYPERLINK("http://catalog.hathitrust.org/Record/006210379","HathiTrust Record")</f>
        <v/>
      </c>
      <c r="AU379">
        <f>HYPERLINK("https://creighton-primo.hosted.exlibrisgroup.com/primo-explore/search?tab=default_tab&amp;search_scope=EVERYTHING&amp;vid=01CRU&amp;lang=en_US&amp;offset=0&amp;query=any,contains,991000140169702656","Catalog Record")</f>
        <v/>
      </c>
      <c r="AV379">
        <f>HYPERLINK("http://www.worldcat.org/oclc/9154377","WorldCat Record")</f>
        <v/>
      </c>
      <c r="AW379" t="inlineStr">
        <is>
          <t>3859891869:eng</t>
        </is>
      </c>
      <c r="AX379" t="inlineStr">
        <is>
          <t>9154377</t>
        </is>
      </c>
      <c r="AY379" t="inlineStr">
        <is>
          <t>991000140169702656</t>
        </is>
      </c>
      <c r="AZ379" t="inlineStr">
        <is>
          <t>991000140169702656</t>
        </is>
      </c>
      <c r="BA379" t="inlineStr">
        <is>
          <t>2264556230002656</t>
        </is>
      </c>
      <c r="BB379" t="inlineStr">
        <is>
          <t>BOOK</t>
        </is>
      </c>
      <c r="BD379" t="inlineStr">
        <is>
          <t>9780819130365</t>
        </is>
      </c>
      <c r="BE379" t="inlineStr">
        <is>
          <t>32285000770346</t>
        </is>
      </c>
      <c r="BF379" t="inlineStr">
        <is>
          <t>893607689</t>
        </is>
      </c>
    </row>
    <row r="380">
      <c r="A380" t="inlineStr">
        <is>
          <t>No</t>
        </is>
      </c>
      <c r="B380" t="inlineStr">
        <is>
          <t>CURAL</t>
        </is>
      </c>
      <c r="C380" t="inlineStr">
        <is>
          <t>SHELVES</t>
        </is>
      </c>
      <c r="D380" t="inlineStr">
        <is>
          <t>PR2065.M3 A37 1988</t>
        </is>
      </c>
      <c r="E380" t="inlineStr">
        <is>
          <t>0                      PR 2065000M  3                  A  37          1988</t>
        </is>
      </c>
      <c r="F380" t="inlineStr">
        <is>
          <t>King Arthur's death : alliterative Morte Arthure and stanzaic Le Morte Arthur / translated and with introductions by Brian Stone.</t>
        </is>
      </c>
      <c r="H380" t="inlineStr">
        <is>
          <t>No</t>
        </is>
      </c>
      <c r="I380" t="inlineStr">
        <is>
          <t>1</t>
        </is>
      </c>
      <c r="J380" t="inlineStr">
        <is>
          <t>No</t>
        </is>
      </c>
      <c r="K380" t="inlineStr">
        <is>
          <t>No</t>
        </is>
      </c>
      <c r="L380" t="inlineStr">
        <is>
          <t>0</t>
        </is>
      </c>
      <c r="N380" t="inlineStr">
        <is>
          <t>London, England ; New York, N.Y., USA : Penguin Books, 1988.</t>
        </is>
      </c>
      <c r="O380" t="inlineStr">
        <is>
          <t>1988</t>
        </is>
      </c>
      <c r="Q380" t="inlineStr">
        <is>
          <t>eng</t>
        </is>
      </c>
      <c r="R380" t="inlineStr">
        <is>
          <t>enk</t>
        </is>
      </c>
      <c r="S380" t="inlineStr">
        <is>
          <t>Penguin classics</t>
        </is>
      </c>
      <c r="T380" t="inlineStr">
        <is>
          <t xml:space="preserve">PR </t>
        </is>
      </c>
      <c r="U380" t="n">
        <v>1</v>
      </c>
      <c r="V380" t="n">
        <v>1</v>
      </c>
      <c r="W380" t="inlineStr">
        <is>
          <t>2008-03-31</t>
        </is>
      </c>
      <c r="X380" t="inlineStr">
        <is>
          <t>2008-03-31</t>
        </is>
      </c>
      <c r="Y380" t="inlineStr">
        <is>
          <t>2008-03-27</t>
        </is>
      </c>
      <c r="Z380" t="inlineStr">
        <is>
          <t>2008-03-27</t>
        </is>
      </c>
      <c r="AA380" t="n">
        <v>269</v>
      </c>
      <c r="AB380" t="n">
        <v>177</v>
      </c>
      <c r="AC380" t="n">
        <v>179</v>
      </c>
      <c r="AD380" t="n">
        <v>1</v>
      </c>
      <c r="AE380" t="n">
        <v>1</v>
      </c>
      <c r="AF380" t="n">
        <v>7</v>
      </c>
      <c r="AG380" t="n">
        <v>7</v>
      </c>
      <c r="AH380" t="n">
        <v>1</v>
      </c>
      <c r="AI380" t="n">
        <v>1</v>
      </c>
      <c r="AJ380" t="n">
        <v>2</v>
      </c>
      <c r="AK380" t="n">
        <v>2</v>
      </c>
      <c r="AL380" t="n">
        <v>7</v>
      </c>
      <c r="AM380" t="n">
        <v>7</v>
      </c>
      <c r="AN380" t="n">
        <v>0</v>
      </c>
      <c r="AO380" t="n">
        <v>0</v>
      </c>
      <c r="AP380" t="n">
        <v>0</v>
      </c>
      <c r="AQ380" t="n">
        <v>0</v>
      </c>
      <c r="AR380" t="inlineStr">
        <is>
          <t>No</t>
        </is>
      </c>
      <c r="AS380" t="inlineStr">
        <is>
          <t>Yes</t>
        </is>
      </c>
      <c r="AT380">
        <f>HYPERLINK("http://catalog.hathitrust.org/Record/001100148","HathiTrust Record")</f>
        <v/>
      </c>
      <c r="AU380">
        <f>HYPERLINK("https://creighton-primo.hosted.exlibrisgroup.com/primo-explore/search?tab=default_tab&amp;search_scope=EVERYTHING&amp;vid=01CRU&amp;lang=en_US&amp;offset=0&amp;query=any,contains,991005198769702656","Catalog Record")</f>
        <v/>
      </c>
      <c r="AV380">
        <f>HYPERLINK("http://www.worldcat.org/oclc/18774145","WorldCat Record")</f>
        <v/>
      </c>
      <c r="AW380" t="inlineStr">
        <is>
          <t>836743266:eng</t>
        </is>
      </c>
      <c r="AX380" t="inlineStr">
        <is>
          <t>18774145</t>
        </is>
      </c>
      <c r="AY380" t="inlineStr">
        <is>
          <t>991005198769702656</t>
        </is>
      </c>
      <c r="AZ380" t="inlineStr">
        <is>
          <t>991005198769702656</t>
        </is>
      </c>
      <c r="BA380" t="inlineStr">
        <is>
          <t>2259131840002656</t>
        </is>
      </c>
      <c r="BB380" t="inlineStr">
        <is>
          <t>BOOK</t>
        </is>
      </c>
      <c r="BD380" t="inlineStr">
        <is>
          <t>9780140444452</t>
        </is>
      </c>
      <c r="BE380" t="inlineStr">
        <is>
          <t>32285005399273</t>
        </is>
      </c>
      <c r="BF380" t="inlineStr">
        <is>
          <t>893230355</t>
        </is>
      </c>
    </row>
    <row r="381">
      <c r="A381" t="inlineStr">
        <is>
          <t>No</t>
        </is>
      </c>
      <c r="B381" t="inlineStr">
        <is>
          <t>CURAL</t>
        </is>
      </c>
      <c r="C381" t="inlineStr">
        <is>
          <t>SHELVES</t>
        </is>
      </c>
      <c r="D381" t="inlineStr">
        <is>
          <t>PR21 .B55 1991</t>
        </is>
      </c>
      <c r="E381" t="inlineStr">
        <is>
          <t>0                      PR 0021000B  55          1991</t>
        </is>
      </c>
      <c r="F381" t="inlineStr">
        <is>
          <t>A history of literary criticism / Harry Blamires.</t>
        </is>
      </c>
      <c r="H381" t="inlineStr">
        <is>
          <t>No</t>
        </is>
      </c>
      <c r="I381" t="inlineStr">
        <is>
          <t>1</t>
        </is>
      </c>
      <c r="J381" t="inlineStr">
        <is>
          <t>No</t>
        </is>
      </c>
      <c r="K381" t="inlineStr">
        <is>
          <t>No</t>
        </is>
      </c>
      <c r="L381" t="inlineStr">
        <is>
          <t>0</t>
        </is>
      </c>
      <c r="M381" t="inlineStr">
        <is>
          <t>Blamires, Harry.</t>
        </is>
      </c>
      <c r="N381" t="inlineStr">
        <is>
          <t>New York : St. Martin's Press, 1991.</t>
        </is>
      </c>
      <c r="O381" t="inlineStr">
        <is>
          <t>1991</t>
        </is>
      </c>
      <c r="Q381" t="inlineStr">
        <is>
          <t>eng</t>
        </is>
      </c>
      <c r="R381" t="inlineStr">
        <is>
          <t>nyu</t>
        </is>
      </c>
      <c r="T381" t="inlineStr">
        <is>
          <t xml:space="preserve">PR </t>
        </is>
      </c>
      <c r="U381" t="n">
        <v>3</v>
      </c>
      <c r="V381" t="n">
        <v>3</v>
      </c>
      <c r="W381" t="inlineStr">
        <is>
          <t>1995-04-18</t>
        </is>
      </c>
      <c r="X381" t="inlineStr">
        <is>
          <t>1995-04-18</t>
        </is>
      </c>
      <c r="Y381" t="inlineStr">
        <is>
          <t>1994-04-05</t>
        </is>
      </c>
      <c r="Z381" t="inlineStr">
        <is>
          <t>1994-04-05</t>
        </is>
      </c>
      <c r="AA381" t="n">
        <v>262</v>
      </c>
      <c r="AB381" t="n">
        <v>225</v>
      </c>
      <c r="AC381" t="n">
        <v>258</v>
      </c>
      <c r="AD381" t="n">
        <v>2</v>
      </c>
      <c r="AE381" t="n">
        <v>2</v>
      </c>
      <c r="AF381" t="n">
        <v>15</v>
      </c>
      <c r="AG381" t="n">
        <v>15</v>
      </c>
      <c r="AH381" t="n">
        <v>6</v>
      </c>
      <c r="AI381" t="n">
        <v>6</v>
      </c>
      <c r="AJ381" t="n">
        <v>3</v>
      </c>
      <c r="AK381" t="n">
        <v>3</v>
      </c>
      <c r="AL381" t="n">
        <v>11</v>
      </c>
      <c r="AM381" t="n">
        <v>11</v>
      </c>
      <c r="AN381" t="n">
        <v>1</v>
      </c>
      <c r="AO381" t="n">
        <v>1</v>
      </c>
      <c r="AP381" t="n">
        <v>0</v>
      </c>
      <c r="AQ381" t="n">
        <v>0</v>
      </c>
      <c r="AR381" t="inlineStr">
        <is>
          <t>No</t>
        </is>
      </c>
      <c r="AS381" t="inlineStr">
        <is>
          <t>No</t>
        </is>
      </c>
      <c r="AU381">
        <f>HYPERLINK("https://creighton-primo.hosted.exlibrisgroup.com/primo-explore/search?tab=default_tab&amp;search_scope=EVERYTHING&amp;vid=01CRU&amp;lang=en_US&amp;offset=0&amp;query=any,contains,991001821039702656","Catalog Record")</f>
        <v/>
      </c>
      <c r="AV381">
        <f>HYPERLINK("http://www.worldcat.org/oclc/22890687","WorldCat Record")</f>
        <v/>
      </c>
      <c r="AW381" t="inlineStr">
        <is>
          <t>19769743:eng</t>
        </is>
      </c>
      <c r="AX381" t="inlineStr">
        <is>
          <t>22890687</t>
        </is>
      </c>
      <c r="AY381" t="inlineStr">
        <is>
          <t>991001821039702656</t>
        </is>
      </c>
      <c r="AZ381" t="inlineStr">
        <is>
          <t>991001821039702656</t>
        </is>
      </c>
      <c r="BA381" t="inlineStr">
        <is>
          <t>2258319390002656</t>
        </is>
      </c>
      <c r="BB381" t="inlineStr">
        <is>
          <t>BOOK</t>
        </is>
      </c>
      <c r="BD381" t="inlineStr">
        <is>
          <t>9780312060398</t>
        </is>
      </c>
      <c r="BE381" t="inlineStr">
        <is>
          <t>32285001859239</t>
        </is>
      </c>
      <c r="BF381" t="inlineStr">
        <is>
          <t>893328401</t>
        </is>
      </c>
    </row>
    <row r="382">
      <c r="A382" t="inlineStr">
        <is>
          <t>No</t>
        </is>
      </c>
      <c r="B382" t="inlineStr">
        <is>
          <t>CURAL</t>
        </is>
      </c>
      <c r="C382" t="inlineStr">
        <is>
          <t>SHELVES</t>
        </is>
      </c>
      <c r="D382" t="inlineStr">
        <is>
          <t>PR21 .G37 2003</t>
        </is>
      </c>
      <c r="E382" t="inlineStr">
        <is>
          <t>0                      PR 0021000G  37          2003</t>
        </is>
      </c>
      <c r="F382" t="inlineStr">
        <is>
          <t>Quotation marks / Marjorie Garber.</t>
        </is>
      </c>
      <c r="H382" t="inlineStr">
        <is>
          <t>No</t>
        </is>
      </c>
      <c r="I382" t="inlineStr">
        <is>
          <t>1</t>
        </is>
      </c>
      <c r="J382" t="inlineStr">
        <is>
          <t>No</t>
        </is>
      </c>
      <c r="K382" t="inlineStr">
        <is>
          <t>No</t>
        </is>
      </c>
      <c r="L382" t="inlineStr">
        <is>
          <t>0</t>
        </is>
      </c>
      <c r="M382" t="inlineStr">
        <is>
          <t>Garber, Marjorie B.</t>
        </is>
      </c>
      <c r="N382" t="inlineStr">
        <is>
          <t>New York : Routledge, 2003.</t>
        </is>
      </c>
      <c r="O382" t="inlineStr">
        <is>
          <t>2003</t>
        </is>
      </c>
      <c r="Q382" t="inlineStr">
        <is>
          <t>eng</t>
        </is>
      </c>
      <c r="R382" t="inlineStr">
        <is>
          <t>nyu</t>
        </is>
      </c>
      <c r="T382" t="inlineStr">
        <is>
          <t xml:space="preserve">PR </t>
        </is>
      </c>
      <c r="U382" t="n">
        <v>1</v>
      </c>
      <c r="V382" t="n">
        <v>1</v>
      </c>
      <c r="W382" t="inlineStr">
        <is>
          <t>2005-02-28</t>
        </is>
      </c>
      <c r="X382" t="inlineStr">
        <is>
          <t>2005-02-28</t>
        </is>
      </c>
      <c r="Y382" t="inlineStr">
        <is>
          <t>2005-02-28</t>
        </is>
      </c>
      <c r="Z382" t="inlineStr">
        <is>
          <t>2005-02-28</t>
        </is>
      </c>
      <c r="AA382" t="n">
        <v>392</v>
      </c>
      <c r="AB382" t="n">
        <v>302</v>
      </c>
      <c r="AC382" t="n">
        <v>324</v>
      </c>
      <c r="AD382" t="n">
        <v>1</v>
      </c>
      <c r="AE382" t="n">
        <v>1</v>
      </c>
      <c r="AF382" t="n">
        <v>13</v>
      </c>
      <c r="AG382" t="n">
        <v>13</v>
      </c>
      <c r="AH382" t="n">
        <v>5</v>
      </c>
      <c r="AI382" t="n">
        <v>5</v>
      </c>
      <c r="AJ382" t="n">
        <v>6</v>
      </c>
      <c r="AK382" t="n">
        <v>6</v>
      </c>
      <c r="AL382" t="n">
        <v>7</v>
      </c>
      <c r="AM382" t="n">
        <v>7</v>
      </c>
      <c r="AN382" t="n">
        <v>0</v>
      </c>
      <c r="AO382" t="n">
        <v>0</v>
      </c>
      <c r="AP382" t="n">
        <v>0</v>
      </c>
      <c r="AQ382" t="n">
        <v>0</v>
      </c>
      <c r="AR382" t="inlineStr">
        <is>
          <t>No</t>
        </is>
      </c>
      <c r="AS382" t="inlineStr">
        <is>
          <t>No</t>
        </is>
      </c>
      <c r="AU382">
        <f>HYPERLINK("https://creighton-primo.hosted.exlibrisgroup.com/primo-explore/search?tab=default_tab&amp;search_scope=EVERYTHING&amp;vid=01CRU&amp;lang=en_US&amp;offset=0&amp;query=any,contains,991004473009702656","Catalog Record")</f>
        <v/>
      </c>
      <c r="AV382">
        <f>HYPERLINK("http://www.worldcat.org/oclc/49285360","WorldCat Record")</f>
        <v/>
      </c>
      <c r="AW382" t="inlineStr">
        <is>
          <t>903908:eng</t>
        </is>
      </c>
      <c r="AX382" t="inlineStr">
        <is>
          <t>49285360</t>
        </is>
      </c>
      <c r="AY382" t="inlineStr">
        <is>
          <t>991004473009702656</t>
        </is>
      </c>
      <c r="AZ382" t="inlineStr">
        <is>
          <t>991004473009702656</t>
        </is>
      </c>
      <c r="BA382" t="inlineStr">
        <is>
          <t>2256900260002656</t>
        </is>
      </c>
      <c r="BB382" t="inlineStr">
        <is>
          <t>BOOK</t>
        </is>
      </c>
      <c r="BD382" t="inlineStr">
        <is>
          <t>9780415937450</t>
        </is>
      </c>
      <c r="BE382" t="inlineStr">
        <is>
          <t>32285005027882</t>
        </is>
      </c>
      <c r="BF382" t="inlineStr">
        <is>
          <t>893693988</t>
        </is>
      </c>
    </row>
    <row r="383">
      <c r="A383" t="inlineStr">
        <is>
          <t>No</t>
        </is>
      </c>
      <c r="B383" t="inlineStr">
        <is>
          <t>CURAL</t>
        </is>
      </c>
      <c r="C383" t="inlineStr">
        <is>
          <t>SHELVES</t>
        </is>
      </c>
      <c r="D383" t="inlineStr">
        <is>
          <t>PR21 .G67 2001</t>
        </is>
      </c>
      <c r="E383" t="inlineStr">
        <is>
          <t>0                      PR 0021000G  67          2001</t>
        </is>
      </c>
      <c r="F383" t="inlineStr">
        <is>
          <t>Communities of cultural value : reception study, political differences, and literary history / Philip Goldstein.</t>
        </is>
      </c>
      <c r="H383" t="inlineStr">
        <is>
          <t>No</t>
        </is>
      </c>
      <c r="I383" t="inlineStr">
        <is>
          <t>1</t>
        </is>
      </c>
      <c r="J383" t="inlineStr">
        <is>
          <t>No</t>
        </is>
      </c>
      <c r="K383" t="inlineStr">
        <is>
          <t>No</t>
        </is>
      </c>
      <c r="L383" t="inlineStr">
        <is>
          <t>0</t>
        </is>
      </c>
      <c r="M383" t="inlineStr">
        <is>
          <t>Goldstein, Philip.</t>
        </is>
      </c>
      <c r="N383" t="inlineStr">
        <is>
          <t>Lanham, Md. : Lexington Books, c2001.</t>
        </is>
      </c>
      <c r="O383" t="inlineStr">
        <is>
          <t>2001</t>
        </is>
      </c>
      <c r="Q383" t="inlineStr">
        <is>
          <t>eng</t>
        </is>
      </c>
      <c r="R383" t="inlineStr">
        <is>
          <t>mdu</t>
        </is>
      </c>
      <c r="T383" t="inlineStr">
        <is>
          <t xml:space="preserve">PR </t>
        </is>
      </c>
      <c r="U383" t="n">
        <v>4</v>
      </c>
      <c r="V383" t="n">
        <v>4</v>
      </c>
      <c r="W383" t="inlineStr">
        <is>
          <t>2008-04-22</t>
        </is>
      </c>
      <c r="X383" t="inlineStr">
        <is>
          <t>2008-04-22</t>
        </is>
      </c>
      <c r="Y383" t="inlineStr">
        <is>
          <t>2003-01-22</t>
        </is>
      </c>
      <c r="Z383" t="inlineStr">
        <is>
          <t>2003-01-22</t>
        </is>
      </c>
      <c r="AA383" t="n">
        <v>256</v>
      </c>
      <c r="AB383" t="n">
        <v>215</v>
      </c>
      <c r="AC383" t="n">
        <v>217</v>
      </c>
      <c r="AD383" t="n">
        <v>4</v>
      </c>
      <c r="AE383" t="n">
        <v>4</v>
      </c>
      <c r="AF383" t="n">
        <v>13</v>
      </c>
      <c r="AG383" t="n">
        <v>13</v>
      </c>
      <c r="AH383" t="n">
        <v>5</v>
      </c>
      <c r="AI383" t="n">
        <v>5</v>
      </c>
      <c r="AJ383" t="n">
        <v>4</v>
      </c>
      <c r="AK383" t="n">
        <v>4</v>
      </c>
      <c r="AL383" t="n">
        <v>5</v>
      </c>
      <c r="AM383" t="n">
        <v>5</v>
      </c>
      <c r="AN383" t="n">
        <v>3</v>
      </c>
      <c r="AO383" t="n">
        <v>3</v>
      </c>
      <c r="AP383" t="n">
        <v>0</v>
      </c>
      <c r="AQ383" t="n">
        <v>0</v>
      </c>
      <c r="AR383" t="inlineStr">
        <is>
          <t>No</t>
        </is>
      </c>
      <c r="AS383" t="inlineStr">
        <is>
          <t>Yes</t>
        </is>
      </c>
      <c r="AT383">
        <f>HYPERLINK("http://catalog.hathitrust.org/Record/004219236","HathiTrust Record")</f>
        <v/>
      </c>
      <c r="AU383">
        <f>HYPERLINK("https://creighton-primo.hosted.exlibrisgroup.com/primo-explore/search?tab=default_tab&amp;search_scope=EVERYTHING&amp;vid=01CRU&amp;lang=en_US&amp;offset=0&amp;query=any,contains,991003955519702656","Catalog Record")</f>
        <v/>
      </c>
      <c r="AV383">
        <f>HYPERLINK("http://www.worldcat.org/oclc/48777975","WorldCat Record")</f>
        <v/>
      </c>
      <c r="AW383" t="inlineStr">
        <is>
          <t>375702711:eng</t>
        </is>
      </c>
      <c r="AX383" t="inlineStr">
        <is>
          <t>48777975</t>
        </is>
      </c>
      <c r="AY383" t="inlineStr">
        <is>
          <t>991003955519702656</t>
        </is>
      </c>
      <c r="AZ383" t="inlineStr">
        <is>
          <t>991003955519702656</t>
        </is>
      </c>
      <c r="BA383" t="inlineStr">
        <is>
          <t>2259610710002656</t>
        </is>
      </c>
      <c r="BB383" t="inlineStr">
        <is>
          <t>BOOK</t>
        </is>
      </c>
      <c r="BD383" t="inlineStr">
        <is>
          <t>9780739102619</t>
        </is>
      </c>
      <c r="BE383" t="inlineStr">
        <is>
          <t>32285004695374</t>
        </is>
      </c>
      <c r="BF383" t="inlineStr">
        <is>
          <t>893423205</t>
        </is>
      </c>
    </row>
    <row r="384">
      <c r="A384" t="inlineStr">
        <is>
          <t>No</t>
        </is>
      </c>
      <c r="B384" t="inlineStr">
        <is>
          <t>CURAL</t>
        </is>
      </c>
      <c r="C384" t="inlineStr">
        <is>
          <t>SHELVES</t>
        </is>
      </c>
      <c r="D384" t="inlineStr">
        <is>
          <t>PR21 .K5213 1999</t>
        </is>
      </c>
      <c r="E384" t="inlineStr">
        <is>
          <t>0                      PR 0021000K  5213        1999</t>
        </is>
      </c>
      <c r="F384" t="inlineStr">
        <is>
          <t>An introduction to literary studies / Mario Klarer.</t>
        </is>
      </c>
      <c r="H384" t="inlineStr">
        <is>
          <t>No</t>
        </is>
      </c>
      <c r="I384" t="inlineStr">
        <is>
          <t>1</t>
        </is>
      </c>
      <c r="J384" t="inlineStr">
        <is>
          <t>No</t>
        </is>
      </c>
      <c r="K384" t="inlineStr">
        <is>
          <t>No</t>
        </is>
      </c>
      <c r="L384" t="inlineStr">
        <is>
          <t>0</t>
        </is>
      </c>
      <c r="M384" t="inlineStr">
        <is>
          <t>Klarer, Mario, 1962-</t>
        </is>
      </c>
      <c r="N384" t="inlineStr">
        <is>
          <t>London ; New York : Routledge, 1999.</t>
        </is>
      </c>
      <c r="O384" t="inlineStr">
        <is>
          <t>1999</t>
        </is>
      </c>
      <c r="Q384" t="inlineStr">
        <is>
          <t>eng</t>
        </is>
      </c>
      <c r="R384" t="inlineStr">
        <is>
          <t>enk</t>
        </is>
      </c>
      <c r="T384" t="inlineStr">
        <is>
          <t xml:space="preserve">PR </t>
        </is>
      </c>
      <c r="U384" t="n">
        <v>6</v>
      </c>
      <c r="V384" t="n">
        <v>6</v>
      </c>
      <c r="W384" t="inlineStr">
        <is>
          <t>2004-09-23</t>
        </is>
      </c>
      <c r="X384" t="inlineStr">
        <is>
          <t>2004-09-23</t>
        </is>
      </c>
      <c r="Y384" t="inlineStr">
        <is>
          <t>2000-01-31</t>
        </is>
      </c>
      <c r="Z384" t="inlineStr">
        <is>
          <t>2000-01-31</t>
        </is>
      </c>
      <c r="AA384" t="n">
        <v>204</v>
      </c>
      <c r="AB384" t="n">
        <v>101</v>
      </c>
      <c r="AC384" t="n">
        <v>705</v>
      </c>
      <c r="AD384" t="n">
        <v>2</v>
      </c>
      <c r="AE384" t="n">
        <v>7</v>
      </c>
      <c r="AF384" t="n">
        <v>6</v>
      </c>
      <c r="AG384" t="n">
        <v>39</v>
      </c>
      <c r="AH384" t="n">
        <v>2</v>
      </c>
      <c r="AI384" t="n">
        <v>15</v>
      </c>
      <c r="AJ384" t="n">
        <v>2</v>
      </c>
      <c r="AK384" t="n">
        <v>9</v>
      </c>
      <c r="AL384" t="n">
        <v>2</v>
      </c>
      <c r="AM384" t="n">
        <v>15</v>
      </c>
      <c r="AN384" t="n">
        <v>1</v>
      </c>
      <c r="AO384" t="n">
        <v>6</v>
      </c>
      <c r="AP384" t="n">
        <v>0</v>
      </c>
      <c r="AQ384" t="n">
        <v>1</v>
      </c>
      <c r="AR384" t="inlineStr">
        <is>
          <t>No</t>
        </is>
      </c>
      <c r="AS384" t="inlineStr">
        <is>
          <t>No</t>
        </is>
      </c>
      <c r="AU384">
        <f>HYPERLINK("https://creighton-primo.hosted.exlibrisgroup.com/primo-explore/search?tab=default_tab&amp;search_scope=EVERYTHING&amp;vid=01CRU&amp;lang=en_US&amp;offset=0&amp;query=any,contains,991003018909702656","Catalog Record")</f>
        <v/>
      </c>
      <c r="AV384">
        <f>HYPERLINK("http://www.worldcat.org/oclc/41096191","WorldCat Record")</f>
        <v/>
      </c>
      <c r="AW384" t="inlineStr">
        <is>
          <t>4927351519:eng</t>
        </is>
      </c>
      <c r="AX384" t="inlineStr">
        <is>
          <t>41096191</t>
        </is>
      </c>
      <c r="AY384" t="inlineStr">
        <is>
          <t>991003018909702656</t>
        </is>
      </c>
      <c r="AZ384" t="inlineStr">
        <is>
          <t>991003018909702656</t>
        </is>
      </c>
      <c r="BA384" t="inlineStr">
        <is>
          <t>2265396010002656</t>
        </is>
      </c>
      <c r="BB384" t="inlineStr">
        <is>
          <t>BOOK</t>
        </is>
      </c>
      <c r="BD384" t="inlineStr">
        <is>
          <t>9780415211697</t>
        </is>
      </c>
      <c r="BE384" t="inlineStr">
        <is>
          <t>32285003656898</t>
        </is>
      </c>
      <c r="BF384" t="inlineStr">
        <is>
          <t>893610619</t>
        </is>
      </c>
    </row>
    <row r="385">
      <c r="A385" t="inlineStr">
        <is>
          <t>No</t>
        </is>
      </c>
      <c r="B385" t="inlineStr">
        <is>
          <t>CURAL</t>
        </is>
      </c>
      <c r="C385" t="inlineStr">
        <is>
          <t>SHELVES</t>
        </is>
      </c>
      <c r="D385" t="inlineStr">
        <is>
          <t>PR21 .L58 1989</t>
        </is>
      </c>
      <c r="E385" t="inlineStr">
        <is>
          <t>0                      PR 0021000L  58          1989</t>
        </is>
      </c>
      <c r="F385" t="inlineStr">
        <is>
          <t>Literary computing and literary criticism : theoretical and practical essays on theme and rhetoric / edited by Rosanne G. Potter.</t>
        </is>
      </c>
      <c r="H385" t="inlineStr">
        <is>
          <t>No</t>
        </is>
      </c>
      <c r="I385" t="inlineStr">
        <is>
          <t>1</t>
        </is>
      </c>
      <c r="J385" t="inlineStr">
        <is>
          <t>No</t>
        </is>
      </c>
      <c r="K385" t="inlineStr">
        <is>
          <t>No</t>
        </is>
      </c>
      <c r="L385" t="inlineStr">
        <is>
          <t>0</t>
        </is>
      </c>
      <c r="N385" t="inlineStr">
        <is>
          <t>Philadelphia : University of Pennsylvania Press, 1989.</t>
        </is>
      </c>
      <c r="O385" t="inlineStr">
        <is>
          <t>1989</t>
        </is>
      </c>
      <c r="Q385" t="inlineStr">
        <is>
          <t>eng</t>
        </is>
      </c>
      <c r="R385" t="inlineStr">
        <is>
          <t>pau</t>
        </is>
      </c>
      <c r="T385" t="inlineStr">
        <is>
          <t xml:space="preserve">PR </t>
        </is>
      </c>
      <c r="U385" t="n">
        <v>1</v>
      </c>
      <c r="V385" t="n">
        <v>1</v>
      </c>
      <c r="W385" t="inlineStr">
        <is>
          <t>1997-04-29</t>
        </is>
      </c>
      <c r="X385" t="inlineStr">
        <is>
          <t>1997-04-29</t>
        </is>
      </c>
      <c r="Y385" t="inlineStr">
        <is>
          <t>1990-12-06</t>
        </is>
      </c>
      <c r="Z385" t="inlineStr">
        <is>
          <t>1990-12-06</t>
        </is>
      </c>
      <c r="AA385" t="n">
        <v>313</v>
      </c>
      <c r="AB385" t="n">
        <v>258</v>
      </c>
      <c r="AC385" t="n">
        <v>347</v>
      </c>
      <c r="AD385" t="n">
        <v>3</v>
      </c>
      <c r="AE385" t="n">
        <v>3</v>
      </c>
      <c r="AF385" t="n">
        <v>13</v>
      </c>
      <c r="AG385" t="n">
        <v>15</v>
      </c>
      <c r="AH385" t="n">
        <v>3</v>
      </c>
      <c r="AI385" t="n">
        <v>4</v>
      </c>
      <c r="AJ385" t="n">
        <v>3</v>
      </c>
      <c r="AK385" t="n">
        <v>3</v>
      </c>
      <c r="AL385" t="n">
        <v>9</v>
      </c>
      <c r="AM385" t="n">
        <v>10</v>
      </c>
      <c r="AN385" t="n">
        <v>2</v>
      </c>
      <c r="AO385" t="n">
        <v>2</v>
      </c>
      <c r="AP385" t="n">
        <v>1</v>
      </c>
      <c r="AQ385" t="n">
        <v>1</v>
      </c>
      <c r="AR385" t="inlineStr">
        <is>
          <t>No</t>
        </is>
      </c>
      <c r="AS385" t="inlineStr">
        <is>
          <t>No</t>
        </is>
      </c>
      <c r="AU385">
        <f>HYPERLINK("https://creighton-primo.hosted.exlibrisgroup.com/primo-explore/search?tab=default_tab&amp;search_scope=EVERYTHING&amp;vid=01CRU&amp;lang=en_US&amp;offset=0&amp;query=any,contains,991001394619702656","Catalog Record")</f>
        <v/>
      </c>
      <c r="AV385">
        <f>HYPERLINK("http://www.worldcat.org/oclc/18780579","WorldCat Record")</f>
        <v/>
      </c>
      <c r="AW385" t="inlineStr">
        <is>
          <t>866296451:eng</t>
        </is>
      </c>
      <c r="AX385" t="inlineStr">
        <is>
          <t>18780579</t>
        </is>
      </c>
      <c r="AY385" t="inlineStr">
        <is>
          <t>991001394619702656</t>
        </is>
      </c>
      <c r="AZ385" t="inlineStr">
        <is>
          <t>991001394619702656</t>
        </is>
      </c>
      <c r="BA385" t="inlineStr">
        <is>
          <t>2260505680002656</t>
        </is>
      </c>
      <c r="BB385" t="inlineStr">
        <is>
          <t>BOOK</t>
        </is>
      </c>
      <c r="BD385" t="inlineStr">
        <is>
          <t>9780812281569</t>
        </is>
      </c>
      <c r="BE385" t="inlineStr">
        <is>
          <t>32285000358860</t>
        </is>
      </c>
      <c r="BF385" t="inlineStr">
        <is>
          <t>893621309</t>
        </is>
      </c>
    </row>
    <row r="386">
      <c r="A386" t="inlineStr">
        <is>
          <t>No</t>
        </is>
      </c>
      <c r="B386" t="inlineStr">
        <is>
          <t>CURAL</t>
        </is>
      </c>
      <c r="C386" t="inlineStr">
        <is>
          <t>SHELVES</t>
        </is>
      </c>
      <c r="D386" t="inlineStr">
        <is>
          <t>PR21 .M28 1989</t>
        </is>
      </c>
      <c r="E386" t="inlineStr">
        <is>
          <t>0                      PR 0021000M  28          1989</t>
        </is>
      </c>
      <c r="F386" t="inlineStr">
        <is>
          <t>Critical thinking : a guide to interpreting literary texts / Colin Manlove.</t>
        </is>
      </c>
      <c r="H386" t="inlineStr">
        <is>
          <t>No</t>
        </is>
      </c>
      <c r="I386" t="inlineStr">
        <is>
          <t>1</t>
        </is>
      </c>
      <c r="J386" t="inlineStr">
        <is>
          <t>No</t>
        </is>
      </c>
      <c r="K386" t="inlineStr">
        <is>
          <t>No</t>
        </is>
      </c>
      <c r="L386" t="inlineStr">
        <is>
          <t>0</t>
        </is>
      </c>
      <c r="M386" t="inlineStr">
        <is>
          <t>Manlove, C. N. (Colin Nicholas), 1942-</t>
        </is>
      </c>
      <c r="N386" t="inlineStr">
        <is>
          <t>New York : St. Martin's Press, 1989.</t>
        </is>
      </c>
      <c r="O386" t="inlineStr">
        <is>
          <t>1989</t>
        </is>
      </c>
      <c r="Q386" t="inlineStr">
        <is>
          <t>eng</t>
        </is>
      </c>
      <c r="R386" t="inlineStr">
        <is>
          <t>nyu</t>
        </is>
      </c>
      <c r="T386" t="inlineStr">
        <is>
          <t xml:space="preserve">PR </t>
        </is>
      </c>
      <c r="U386" t="n">
        <v>3</v>
      </c>
      <c r="V386" t="n">
        <v>3</v>
      </c>
      <c r="W386" t="inlineStr">
        <is>
          <t>1999-03-25</t>
        </is>
      </c>
      <c r="X386" t="inlineStr">
        <is>
          <t>1999-03-25</t>
        </is>
      </c>
      <c r="Y386" t="inlineStr">
        <is>
          <t>1990-05-03</t>
        </is>
      </c>
      <c r="Z386" t="inlineStr">
        <is>
          <t>1990-05-03</t>
        </is>
      </c>
      <c r="AA386" t="n">
        <v>607</v>
      </c>
      <c r="AB386" t="n">
        <v>543</v>
      </c>
      <c r="AC386" t="n">
        <v>601</v>
      </c>
      <c r="AD386" t="n">
        <v>4</v>
      </c>
      <c r="AE386" t="n">
        <v>5</v>
      </c>
      <c r="AF386" t="n">
        <v>23</v>
      </c>
      <c r="AG386" t="n">
        <v>27</v>
      </c>
      <c r="AH386" t="n">
        <v>7</v>
      </c>
      <c r="AI386" t="n">
        <v>8</v>
      </c>
      <c r="AJ386" t="n">
        <v>5</v>
      </c>
      <c r="AK386" t="n">
        <v>6</v>
      </c>
      <c r="AL386" t="n">
        <v>14</v>
      </c>
      <c r="AM386" t="n">
        <v>16</v>
      </c>
      <c r="AN386" t="n">
        <v>3</v>
      </c>
      <c r="AO386" t="n">
        <v>4</v>
      </c>
      <c r="AP386" t="n">
        <v>0</v>
      </c>
      <c r="AQ386" t="n">
        <v>0</v>
      </c>
      <c r="AR386" t="inlineStr">
        <is>
          <t>No</t>
        </is>
      </c>
      <c r="AS386" t="inlineStr">
        <is>
          <t>No</t>
        </is>
      </c>
      <c r="AU386">
        <f>HYPERLINK("https://creighton-primo.hosted.exlibrisgroup.com/primo-explore/search?tab=default_tab&amp;search_scope=EVERYTHING&amp;vid=01CRU&amp;lang=en_US&amp;offset=0&amp;query=any,contains,991001447709702656","Catalog Record")</f>
        <v/>
      </c>
      <c r="AV386">
        <f>HYPERLINK("http://www.worldcat.org/oclc/19321725","WorldCat Record")</f>
        <v/>
      </c>
      <c r="AW386" t="inlineStr">
        <is>
          <t>17711446:eng</t>
        </is>
      </c>
      <c r="AX386" t="inlineStr">
        <is>
          <t>19321725</t>
        </is>
      </c>
      <c r="AY386" t="inlineStr">
        <is>
          <t>991001447709702656</t>
        </is>
      </c>
      <c r="AZ386" t="inlineStr">
        <is>
          <t>991001447709702656</t>
        </is>
      </c>
      <c r="BA386" t="inlineStr">
        <is>
          <t>2261731600002656</t>
        </is>
      </c>
      <c r="BB386" t="inlineStr">
        <is>
          <t>BOOK</t>
        </is>
      </c>
      <c r="BD386" t="inlineStr">
        <is>
          <t>9780312031664</t>
        </is>
      </c>
      <c r="BE386" t="inlineStr">
        <is>
          <t>32285000118132</t>
        </is>
      </c>
      <c r="BF386" t="inlineStr">
        <is>
          <t>893516201</t>
        </is>
      </c>
    </row>
    <row r="387">
      <c r="A387" t="inlineStr">
        <is>
          <t>No</t>
        </is>
      </c>
      <c r="B387" t="inlineStr">
        <is>
          <t>CURAL</t>
        </is>
      </c>
      <c r="C387" t="inlineStr">
        <is>
          <t>SHELVES</t>
        </is>
      </c>
      <c r="D387" t="inlineStr">
        <is>
          <t>PR21 .R43 1992</t>
        </is>
      </c>
      <c r="E387" t="inlineStr">
        <is>
          <t>0                      PR 0021000R  43          1992</t>
        </is>
      </c>
      <c r="F387" t="inlineStr">
        <is>
          <t>Redrawing the boundaries : the transformation of English and American literary studies / edited by Stephen Greenblatt and Giles Gunn.</t>
        </is>
      </c>
      <c r="H387" t="inlineStr">
        <is>
          <t>No</t>
        </is>
      </c>
      <c r="I387" t="inlineStr">
        <is>
          <t>1</t>
        </is>
      </c>
      <c r="J387" t="inlineStr">
        <is>
          <t>No</t>
        </is>
      </c>
      <c r="K387" t="inlineStr">
        <is>
          <t>No</t>
        </is>
      </c>
      <c r="L387" t="inlineStr">
        <is>
          <t>0</t>
        </is>
      </c>
      <c r="N387" t="inlineStr">
        <is>
          <t>New York : Modern Language Association of America, 1992.</t>
        </is>
      </c>
      <c r="O387" t="inlineStr">
        <is>
          <t>1992</t>
        </is>
      </c>
      <c r="Q387" t="inlineStr">
        <is>
          <t>eng</t>
        </is>
      </c>
      <c r="R387" t="inlineStr">
        <is>
          <t>nyu</t>
        </is>
      </c>
      <c r="T387" t="inlineStr">
        <is>
          <t xml:space="preserve">PR </t>
        </is>
      </c>
      <c r="U387" t="n">
        <v>11</v>
      </c>
      <c r="V387" t="n">
        <v>11</v>
      </c>
      <c r="W387" t="inlineStr">
        <is>
          <t>2002-01-02</t>
        </is>
      </c>
      <c r="X387" t="inlineStr">
        <is>
          <t>2002-01-02</t>
        </is>
      </c>
      <c r="Y387" t="inlineStr">
        <is>
          <t>1993-01-23</t>
        </is>
      </c>
      <c r="Z387" t="inlineStr">
        <is>
          <t>1993-01-23</t>
        </is>
      </c>
      <c r="AA387" t="n">
        <v>940</v>
      </c>
      <c r="AB387" t="n">
        <v>801</v>
      </c>
      <c r="AC387" t="n">
        <v>827</v>
      </c>
      <c r="AD387" t="n">
        <v>5</v>
      </c>
      <c r="AE387" t="n">
        <v>6</v>
      </c>
      <c r="AF387" t="n">
        <v>42</v>
      </c>
      <c r="AG387" t="n">
        <v>44</v>
      </c>
      <c r="AH387" t="n">
        <v>19</v>
      </c>
      <c r="AI387" t="n">
        <v>20</v>
      </c>
      <c r="AJ387" t="n">
        <v>7</v>
      </c>
      <c r="AK387" t="n">
        <v>7</v>
      </c>
      <c r="AL387" t="n">
        <v>20</v>
      </c>
      <c r="AM387" t="n">
        <v>21</v>
      </c>
      <c r="AN387" t="n">
        <v>4</v>
      </c>
      <c r="AO387" t="n">
        <v>5</v>
      </c>
      <c r="AP387" t="n">
        <v>0</v>
      </c>
      <c r="AQ387" t="n">
        <v>0</v>
      </c>
      <c r="AR387" t="inlineStr">
        <is>
          <t>No</t>
        </is>
      </c>
      <c r="AS387" t="inlineStr">
        <is>
          <t>Yes</t>
        </is>
      </c>
      <c r="AT387">
        <f>HYPERLINK("http://catalog.hathitrust.org/Record/002726047","HathiTrust Record")</f>
        <v/>
      </c>
      <c r="AU387">
        <f>HYPERLINK("https://creighton-primo.hosted.exlibrisgroup.com/primo-explore/search?tab=default_tab&amp;search_scope=EVERYTHING&amp;vid=01CRU&amp;lang=en_US&amp;offset=0&amp;query=any,contains,991002053109702656","Catalog Record")</f>
        <v/>
      </c>
      <c r="AV387">
        <f>HYPERLINK("http://www.worldcat.org/oclc/26218167","WorldCat Record")</f>
        <v/>
      </c>
      <c r="AW387" t="inlineStr">
        <is>
          <t>889468288:eng</t>
        </is>
      </c>
      <c r="AX387" t="inlineStr">
        <is>
          <t>26218167</t>
        </is>
      </c>
      <c r="AY387" t="inlineStr">
        <is>
          <t>991002053109702656</t>
        </is>
      </c>
      <c r="AZ387" t="inlineStr">
        <is>
          <t>991002053109702656</t>
        </is>
      </c>
      <c r="BA387" t="inlineStr">
        <is>
          <t>2268194810002656</t>
        </is>
      </c>
      <c r="BB387" t="inlineStr">
        <is>
          <t>BOOK</t>
        </is>
      </c>
      <c r="BD387" t="inlineStr">
        <is>
          <t>9780873523950</t>
        </is>
      </c>
      <c r="BE387" t="inlineStr">
        <is>
          <t>32285001447910</t>
        </is>
      </c>
      <c r="BF387" t="inlineStr">
        <is>
          <t>893590860</t>
        </is>
      </c>
    </row>
    <row r="388">
      <c r="A388" t="inlineStr">
        <is>
          <t>No</t>
        </is>
      </c>
      <c r="B388" t="inlineStr">
        <is>
          <t>CURAL</t>
        </is>
      </c>
      <c r="C388" t="inlineStr">
        <is>
          <t>SHELVES</t>
        </is>
      </c>
      <c r="D388" t="inlineStr">
        <is>
          <t>PR2111 .K4</t>
        </is>
      </c>
      <c r="E388" t="inlineStr">
        <is>
          <t>0                      PR 2111000K  4</t>
        </is>
      </c>
      <c r="F388" t="inlineStr">
        <is>
          <t>The Pearl; an interpretation [by] P. M. Kean.</t>
        </is>
      </c>
      <c r="H388" t="inlineStr">
        <is>
          <t>No</t>
        </is>
      </c>
      <c r="I388" t="inlineStr">
        <is>
          <t>1</t>
        </is>
      </c>
      <c r="J388" t="inlineStr">
        <is>
          <t>No</t>
        </is>
      </c>
      <c r="K388" t="inlineStr">
        <is>
          <t>No</t>
        </is>
      </c>
      <c r="L388" t="inlineStr">
        <is>
          <t>0</t>
        </is>
      </c>
      <c r="M388" t="inlineStr">
        <is>
          <t>Kean, P. M. (Patricia Margaret)</t>
        </is>
      </c>
      <c r="N388" t="inlineStr">
        <is>
          <t>London, Routledge &amp; K. Paul, 1967.</t>
        </is>
      </c>
      <c r="O388" t="inlineStr">
        <is>
          <t>1967</t>
        </is>
      </c>
      <c r="Q388" t="inlineStr">
        <is>
          <t>eng</t>
        </is>
      </c>
      <c r="R388" t="inlineStr">
        <is>
          <t>enk</t>
        </is>
      </c>
      <c r="T388" t="inlineStr">
        <is>
          <t xml:space="preserve">PR </t>
        </is>
      </c>
      <c r="U388" t="n">
        <v>1</v>
      </c>
      <c r="V388" t="n">
        <v>1</v>
      </c>
      <c r="W388" t="inlineStr">
        <is>
          <t>2009-04-03</t>
        </is>
      </c>
      <c r="X388" t="inlineStr">
        <is>
          <t>2009-04-03</t>
        </is>
      </c>
      <c r="Y388" t="inlineStr">
        <is>
          <t>1997-07-29</t>
        </is>
      </c>
      <c r="Z388" t="inlineStr">
        <is>
          <t>1997-07-29</t>
        </is>
      </c>
      <c r="AA388" t="n">
        <v>356</v>
      </c>
      <c r="AB388" t="n">
        <v>199</v>
      </c>
      <c r="AC388" t="n">
        <v>608</v>
      </c>
      <c r="AD388" t="n">
        <v>2</v>
      </c>
      <c r="AE388" t="n">
        <v>5</v>
      </c>
      <c r="AF388" t="n">
        <v>10</v>
      </c>
      <c r="AG388" t="n">
        <v>33</v>
      </c>
      <c r="AH388" t="n">
        <v>3</v>
      </c>
      <c r="AI388" t="n">
        <v>13</v>
      </c>
      <c r="AJ388" t="n">
        <v>2</v>
      </c>
      <c r="AK388" t="n">
        <v>8</v>
      </c>
      <c r="AL388" t="n">
        <v>6</v>
      </c>
      <c r="AM388" t="n">
        <v>18</v>
      </c>
      <c r="AN388" t="n">
        <v>1</v>
      </c>
      <c r="AO388" t="n">
        <v>4</v>
      </c>
      <c r="AP388" t="n">
        <v>0</v>
      </c>
      <c r="AQ388" t="n">
        <v>0</v>
      </c>
      <c r="AR388" t="inlineStr">
        <is>
          <t>No</t>
        </is>
      </c>
      <c r="AS388" t="inlineStr">
        <is>
          <t>Yes</t>
        </is>
      </c>
      <c r="AT388">
        <f>HYPERLINK("http://catalog.hathitrust.org/Record/001376435","HathiTrust Record")</f>
        <v/>
      </c>
      <c r="AU388">
        <f>HYPERLINK("https://creighton-primo.hosted.exlibrisgroup.com/primo-explore/search?tab=default_tab&amp;search_scope=EVERYTHING&amp;vid=01CRU&amp;lang=en_US&amp;offset=0&amp;query=any,contains,991003415719702656","Catalog Record")</f>
        <v/>
      </c>
      <c r="AV388">
        <f>HYPERLINK("http://www.worldcat.org/oclc/955187","WorldCat Record")</f>
        <v/>
      </c>
      <c r="AW388" t="inlineStr">
        <is>
          <t>4820978:eng</t>
        </is>
      </c>
      <c r="AX388" t="inlineStr">
        <is>
          <t>955187</t>
        </is>
      </c>
      <c r="AY388" t="inlineStr">
        <is>
          <t>991003415719702656</t>
        </is>
      </c>
      <c r="AZ388" t="inlineStr">
        <is>
          <t>991003415719702656</t>
        </is>
      </c>
      <c r="BA388" t="inlineStr">
        <is>
          <t>2260125360002656</t>
        </is>
      </c>
      <c r="BB388" t="inlineStr">
        <is>
          <t>BOOK</t>
        </is>
      </c>
      <c r="BE388" t="inlineStr">
        <is>
          <t>32285002988979</t>
        </is>
      </c>
      <c r="BF388" t="inlineStr">
        <is>
          <t>893809976</t>
        </is>
      </c>
    </row>
    <row r="389">
      <c r="A389" t="inlineStr">
        <is>
          <t>No</t>
        </is>
      </c>
      <c r="B389" t="inlineStr">
        <is>
          <t>CURAL</t>
        </is>
      </c>
      <c r="C389" t="inlineStr">
        <is>
          <t>SHELVES</t>
        </is>
      </c>
      <c r="D389" t="inlineStr">
        <is>
          <t>PR2111 .M6</t>
        </is>
      </c>
      <c r="E389" t="inlineStr">
        <is>
          <t>0                      PR 2111000M  6</t>
        </is>
      </c>
      <c r="F389" t="inlineStr">
        <is>
          <t>The Pearl-poet.</t>
        </is>
      </c>
      <c r="H389" t="inlineStr">
        <is>
          <t>No</t>
        </is>
      </c>
      <c r="I389" t="inlineStr">
        <is>
          <t>1</t>
        </is>
      </c>
      <c r="J389" t="inlineStr">
        <is>
          <t>No</t>
        </is>
      </c>
      <c r="K389" t="inlineStr">
        <is>
          <t>No</t>
        </is>
      </c>
      <c r="L389" t="inlineStr">
        <is>
          <t>0</t>
        </is>
      </c>
      <c r="M389" t="inlineStr">
        <is>
          <t>Moorman, Charles.</t>
        </is>
      </c>
      <c r="N389" t="inlineStr">
        <is>
          <t>New York : Twayne Publishers, [1968]</t>
        </is>
      </c>
      <c r="O389" t="inlineStr">
        <is>
          <t>1968</t>
        </is>
      </c>
      <c r="Q389" t="inlineStr">
        <is>
          <t>eng</t>
        </is>
      </c>
      <c r="R389" t="inlineStr">
        <is>
          <t>nyu</t>
        </is>
      </c>
      <c r="S389" t="inlineStr">
        <is>
          <t>Twayne's English authors series ; TEAS 64</t>
        </is>
      </c>
      <c r="T389" t="inlineStr">
        <is>
          <t xml:space="preserve">PR </t>
        </is>
      </c>
      <c r="U389" t="n">
        <v>1</v>
      </c>
      <c r="V389" t="n">
        <v>1</v>
      </c>
      <c r="W389" t="inlineStr">
        <is>
          <t>1995-11-12</t>
        </is>
      </c>
      <c r="X389" t="inlineStr">
        <is>
          <t>1995-11-12</t>
        </is>
      </c>
      <c r="Y389" t="inlineStr">
        <is>
          <t>1992-04-07</t>
        </is>
      </c>
      <c r="Z389" t="inlineStr">
        <is>
          <t>1992-04-07</t>
        </is>
      </c>
      <c r="AA389" t="n">
        <v>1017</v>
      </c>
      <c r="AB389" t="n">
        <v>911</v>
      </c>
      <c r="AC389" t="n">
        <v>919</v>
      </c>
      <c r="AD389" t="n">
        <v>7</v>
      </c>
      <c r="AE389" t="n">
        <v>7</v>
      </c>
      <c r="AF389" t="n">
        <v>38</v>
      </c>
      <c r="AG389" t="n">
        <v>38</v>
      </c>
      <c r="AH389" t="n">
        <v>16</v>
      </c>
      <c r="AI389" t="n">
        <v>16</v>
      </c>
      <c r="AJ389" t="n">
        <v>8</v>
      </c>
      <c r="AK389" t="n">
        <v>8</v>
      </c>
      <c r="AL389" t="n">
        <v>20</v>
      </c>
      <c r="AM389" t="n">
        <v>20</v>
      </c>
      <c r="AN389" t="n">
        <v>6</v>
      </c>
      <c r="AO389" t="n">
        <v>6</v>
      </c>
      <c r="AP389" t="n">
        <v>0</v>
      </c>
      <c r="AQ389" t="n">
        <v>0</v>
      </c>
      <c r="AR389" t="inlineStr">
        <is>
          <t>No</t>
        </is>
      </c>
      <c r="AS389" t="inlineStr">
        <is>
          <t>Yes</t>
        </is>
      </c>
      <c r="AT389">
        <f>HYPERLINK("http://catalog.hathitrust.org/Record/001376437","HathiTrust Record")</f>
        <v/>
      </c>
      <c r="AU389">
        <f>HYPERLINK("https://creighton-primo.hosted.exlibrisgroup.com/primo-explore/search?tab=default_tab&amp;search_scope=EVERYTHING&amp;vid=01CRU&amp;lang=en_US&amp;offset=0&amp;query=any,contains,991002445879702656","Catalog Record")</f>
        <v/>
      </c>
      <c r="AV389">
        <f>HYPERLINK("http://www.worldcat.org/oclc/351533","WorldCat Record")</f>
        <v/>
      </c>
      <c r="AW389" t="inlineStr">
        <is>
          <t>1386544:eng</t>
        </is>
      </c>
      <c r="AX389" t="inlineStr">
        <is>
          <t>351533</t>
        </is>
      </c>
      <c r="AY389" t="inlineStr">
        <is>
          <t>991002445879702656</t>
        </is>
      </c>
      <c r="AZ389" t="inlineStr">
        <is>
          <t>991002445879702656</t>
        </is>
      </c>
      <c r="BA389" t="inlineStr">
        <is>
          <t>2266922050002656</t>
        </is>
      </c>
      <c r="BB389" t="inlineStr">
        <is>
          <t>BOOK</t>
        </is>
      </c>
      <c r="BE389" t="inlineStr">
        <is>
          <t>32285001055770</t>
        </is>
      </c>
      <c r="BF389" t="inlineStr">
        <is>
          <t>893257301</t>
        </is>
      </c>
    </row>
    <row r="390">
      <c r="A390" t="inlineStr">
        <is>
          <t>No</t>
        </is>
      </c>
      <c r="B390" t="inlineStr">
        <is>
          <t>CURAL</t>
        </is>
      </c>
      <c r="C390" t="inlineStr">
        <is>
          <t>SHELVES</t>
        </is>
      </c>
      <c r="D390" t="inlineStr">
        <is>
          <t>PR2129 .B4 1985</t>
        </is>
      </c>
      <c r="E390" t="inlineStr">
        <is>
          <t>0                      PR 2129000B  4           1985</t>
        </is>
      </c>
      <c r="F390" t="inlineStr">
        <is>
          <t>Robin Hood : an historical enquiry / John Bellamy.</t>
        </is>
      </c>
      <c r="H390" t="inlineStr">
        <is>
          <t>No</t>
        </is>
      </c>
      <c r="I390" t="inlineStr">
        <is>
          <t>1</t>
        </is>
      </c>
      <c r="J390" t="inlineStr">
        <is>
          <t>No</t>
        </is>
      </c>
      <c r="K390" t="inlineStr">
        <is>
          <t>No</t>
        </is>
      </c>
      <c r="L390" t="inlineStr">
        <is>
          <t>0</t>
        </is>
      </c>
      <c r="M390" t="inlineStr">
        <is>
          <t>Bellamy, John G., 1930-</t>
        </is>
      </c>
      <c r="N390" t="inlineStr">
        <is>
          <t>Beckenham, Kent : Croom Helm, c1985.</t>
        </is>
      </c>
      <c r="O390" t="inlineStr">
        <is>
          <t>1985</t>
        </is>
      </c>
      <c r="Q390" t="inlineStr">
        <is>
          <t>eng</t>
        </is>
      </c>
      <c r="R390" t="inlineStr">
        <is>
          <t>enk</t>
        </is>
      </c>
      <c r="T390" t="inlineStr">
        <is>
          <t xml:space="preserve">PR </t>
        </is>
      </c>
      <c r="U390" t="n">
        <v>6</v>
      </c>
      <c r="V390" t="n">
        <v>6</v>
      </c>
      <c r="W390" t="inlineStr">
        <is>
          <t>2010-11-28</t>
        </is>
      </c>
      <c r="X390" t="inlineStr">
        <is>
          <t>2010-11-28</t>
        </is>
      </c>
      <c r="Y390" t="inlineStr">
        <is>
          <t>1991-09-30</t>
        </is>
      </c>
      <c r="Z390" t="inlineStr">
        <is>
          <t>1991-09-30</t>
        </is>
      </c>
      <c r="AA390" t="n">
        <v>179</v>
      </c>
      <c r="AB390" t="n">
        <v>64</v>
      </c>
      <c r="AC390" t="n">
        <v>443</v>
      </c>
      <c r="AD390" t="n">
        <v>2</v>
      </c>
      <c r="AE390" t="n">
        <v>3</v>
      </c>
      <c r="AF390" t="n">
        <v>2</v>
      </c>
      <c r="AG390" t="n">
        <v>24</v>
      </c>
      <c r="AH390" t="n">
        <v>1</v>
      </c>
      <c r="AI390" t="n">
        <v>10</v>
      </c>
      <c r="AJ390" t="n">
        <v>0</v>
      </c>
      <c r="AK390" t="n">
        <v>6</v>
      </c>
      <c r="AL390" t="n">
        <v>1</v>
      </c>
      <c r="AM390" t="n">
        <v>17</v>
      </c>
      <c r="AN390" t="n">
        <v>1</v>
      </c>
      <c r="AO390" t="n">
        <v>2</v>
      </c>
      <c r="AP390" t="n">
        <v>0</v>
      </c>
      <c r="AQ390" t="n">
        <v>0</v>
      </c>
      <c r="AR390" t="inlineStr">
        <is>
          <t>No</t>
        </is>
      </c>
      <c r="AS390" t="inlineStr">
        <is>
          <t>Yes</t>
        </is>
      </c>
      <c r="AT390">
        <f>HYPERLINK("http://catalog.hathitrust.org/Record/000605298","HathiTrust Record")</f>
        <v/>
      </c>
      <c r="AU390">
        <f>HYPERLINK("https://creighton-primo.hosted.exlibrisgroup.com/primo-explore/search?tab=default_tab&amp;search_scope=EVERYTHING&amp;vid=01CRU&amp;lang=en_US&amp;offset=0&amp;query=any,contains,991000504879702656","Catalog Record")</f>
        <v/>
      </c>
      <c r="AV390">
        <f>HYPERLINK("http://www.worldcat.org/oclc/11206047","WorldCat Record")</f>
        <v/>
      </c>
      <c r="AW390" t="inlineStr">
        <is>
          <t>3768410210:eng</t>
        </is>
      </c>
      <c r="AX390" t="inlineStr">
        <is>
          <t>11206047</t>
        </is>
      </c>
      <c r="AY390" t="inlineStr">
        <is>
          <t>991000504879702656</t>
        </is>
      </c>
      <c r="AZ390" t="inlineStr">
        <is>
          <t>991000504879702656</t>
        </is>
      </c>
      <c r="BA390" t="inlineStr">
        <is>
          <t>2258390600002656</t>
        </is>
      </c>
      <c r="BB390" t="inlineStr">
        <is>
          <t>BOOK</t>
        </is>
      </c>
      <c r="BD390" t="inlineStr">
        <is>
          <t>9780709932789</t>
        </is>
      </c>
      <c r="BE390" t="inlineStr">
        <is>
          <t>32285000770387</t>
        </is>
      </c>
      <c r="BF390" t="inlineStr">
        <is>
          <t>893425782</t>
        </is>
      </c>
    </row>
    <row r="391">
      <c r="A391" t="inlineStr">
        <is>
          <t>No</t>
        </is>
      </c>
      <c r="B391" t="inlineStr">
        <is>
          <t>CURAL</t>
        </is>
      </c>
      <c r="C391" t="inlineStr">
        <is>
          <t>SHELVES</t>
        </is>
      </c>
      <c r="D391" t="inlineStr">
        <is>
          <t>PR2129 .K4 1987</t>
        </is>
      </c>
      <c r="E391" t="inlineStr">
        <is>
          <t>0                      PR 2129000K  4           1987</t>
        </is>
      </c>
      <c r="F391" t="inlineStr">
        <is>
          <t>The outlaws of medieval legend / by Maurice Keen.</t>
        </is>
      </c>
      <c r="H391" t="inlineStr">
        <is>
          <t>No</t>
        </is>
      </c>
      <c r="I391" t="inlineStr">
        <is>
          <t>1</t>
        </is>
      </c>
      <c r="J391" t="inlineStr">
        <is>
          <t>No</t>
        </is>
      </c>
      <c r="K391" t="inlineStr">
        <is>
          <t>No</t>
        </is>
      </c>
      <c r="L391" t="inlineStr">
        <is>
          <t>0</t>
        </is>
      </c>
      <c r="M391" t="inlineStr">
        <is>
          <t>Keen, Maurice, 1933-2012.</t>
        </is>
      </c>
      <c r="N391" t="inlineStr">
        <is>
          <t>London : Routledge and Kegan Paul, 1987.</t>
        </is>
      </c>
      <c r="O391" t="inlineStr">
        <is>
          <t>1987</t>
        </is>
      </c>
      <c r="P391" t="inlineStr">
        <is>
          <t>Revised paperback ed.</t>
        </is>
      </c>
      <c r="Q391" t="inlineStr">
        <is>
          <t>eng</t>
        </is>
      </c>
      <c r="R391" t="inlineStr">
        <is>
          <t>enk</t>
        </is>
      </c>
      <c r="T391" t="inlineStr">
        <is>
          <t xml:space="preserve">PR </t>
        </is>
      </c>
      <c r="U391" t="n">
        <v>6</v>
      </c>
      <c r="V391" t="n">
        <v>6</v>
      </c>
      <c r="W391" t="inlineStr">
        <is>
          <t>2010-11-28</t>
        </is>
      </c>
      <c r="X391" t="inlineStr">
        <is>
          <t>2010-11-28</t>
        </is>
      </c>
      <c r="Y391" t="inlineStr">
        <is>
          <t>1991-06-14</t>
        </is>
      </c>
      <c r="Z391" t="inlineStr">
        <is>
          <t>1991-06-14</t>
        </is>
      </c>
      <c r="AA391" t="n">
        <v>101</v>
      </c>
      <c r="AB391" t="n">
        <v>76</v>
      </c>
      <c r="AC391" t="n">
        <v>958</v>
      </c>
      <c r="AD391" t="n">
        <v>1</v>
      </c>
      <c r="AE391" t="n">
        <v>8</v>
      </c>
      <c r="AF391" t="n">
        <v>2</v>
      </c>
      <c r="AG391" t="n">
        <v>43</v>
      </c>
      <c r="AH391" t="n">
        <v>1</v>
      </c>
      <c r="AI391" t="n">
        <v>16</v>
      </c>
      <c r="AJ391" t="n">
        <v>1</v>
      </c>
      <c r="AK391" t="n">
        <v>9</v>
      </c>
      <c r="AL391" t="n">
        <v>1</v>
      </c>
      <c r="AM391" t="n">
        <v>19</v>
      </c>
      <c r="AN391" t="n">
        <v>0</v>
      </c>
      <c r="AO391" t="n">
        <v>7</v>
      </c>
      <c r="AP391" t="n">
        <v>0</v>
      </c>
      <c r="AQ391" t="n">
        <v>1</v>
      </c>
      <c r="AR391" t="inlineStr">
        <is>
          <t>No</t>
        </is>
      </c>
      <c r="AS391" t="inlineStr">
        <is>
          <t>No</t>
        </is>
      </c>
      <c r="AU391">
        <f>HYPERLINK("https://creighton-primo.hosted.exlibrisgroup.com/primo-explore/search?tab=default_tab&amp;search_scope=EVERYTHING&amp;vid=01CRU&amp;lang=en_US&amp;offset=0&amp;query=any,contains,991001203939702656","Catalog Record")</f>
        <v/>
      </c>
      <c r="AV391">
        <f>HYPERLINK("http://www.worldcat.org/oclc/17328907","WorldCat Record")</f>
        <v/>
      </c>
      <c r="AW391" t="inlineStr">
        <is>
          <t>4923238:eng</t>
        </is>
      </c>
      <c r="AX391" t="inlineStr">
        <is>
          <t>17328907</t>
        </is>
      </c>
      <c r="AY391" t="inlineStr">
        <is>
          <t>991001203939702656</t>
        </is>
      </c>
      <c r="AZ391" t="inlineStr">
        <is>
          <t>991001203939702656</t>
        </is>
      </c>
      <c r="BA391" t="inlineStr">
        <is>
          <t>2262109460002656</t>
        </is>
      </c>
      <c r="BB391" t="inlineStr">
        <is>
          <t>BOOK</t>
        </is>
      </c>
      <c r="BD391" t="inlineStr">
        <is>
          <t>9780710212030</t>
        </is>
      </c>
      <c r="BE391" t="inlineStr">
        <is>
          <t>32285000656826</t>
        </is>
      </c>
      <c r="BF391" t="inlineStr">
        <is>
          <t>893438970</t>
        </is>
      </c>
    </row>
    <row r="392">
      <c r="A392" t="inlineStr">
        <is>
          <t>No</t>
        </is>
      </c>
      <c r="B392" t="inlineStr">
        <is>
          <t>CURAL</t>
        </is>
      </c>
      <c r="C392" t="inlineStr">
        <is>
          <t>SHELVES</t>
        </is>
      </c>
      <c r="D392" t="inlineStr">
        <is>
          <t>PR2129 .K58 1994</t>
        </is>
      </c>
      <c r="E392" t="inlineStr">
        <is>
          <t>0                      PR 2129000K  58          1994</t>
        </is>
      </c>
      <c r="F392" t="inlineStr">
        <is>
          <t>Robin Hood : a complete study of the English outlaw / Stephen Knight.</t>
        </is>
      </c>
      <c r="H392" t="inlineStr">
        <is>
          <t>No</t>
        </is>
      </c>
      <c r="I392" t="inlineStr">
        <is>
          <t>1</t>
        </is>
      </c>
      <c r="J392" t="inlineStr">
        <is>
          <t>No</t>
        </is>
      </c>
      <c r="K392" t="inlineStr">
        <is>
          <t>No</t>
        </is>
      </c>
      <c r="L392" t="inlineStr">
        <is>
          <t>0</t>
        </is>
      </c>
      <c r="M392" t="inlineStr">
        <is>
          <t>Knight, Stephen.</t>
        </is>
      </c>
      <c r="N392" t="inlineStr">
        <is>
          <t>Oxford [England]; Cambridge, MA : Blackwell Publishers, 1994.</t>
        </is>
      </c>
      <c r="O392" t="inlineStr">
        <is>
          <t>1994</t>
        </is>
      </c>
      <c r="Q392" t="inlineStr">
        <is>
          <t>eng</t>
        </is>
      </c>
      <c r="R392" t="inlineStr">
        <is>
          <t>enk</t>
        </is>
      </c>
      <c r="T392" t="inlineStr">
        <is>
          <t xml:space="preserve">PR </t>
        </is>
      </c>
      <c r="U392" t="n">
        <v>5</v>
      </c>
      <c r="V392" t="n">
        <v>5</v>
      </c>
      <c r="W392" t="inlineStr">
        <is>
          <t>2010-11-23</t>
        </is>
      </c>
      <c r="X392" t="inlineStr">
        <is>
          <t>2010-11-23</t>
        </is>
      </c>
      <c r="Y392" t="inlineStr">
        <is>
          <t>1995-11-09</t>
        </is>
      </c>
      <c r="Z392" t="inlineStr">
        <is>
          <t>1995-11-09</t>
        </is>
      </c>
      <c r="AA392" t="n">
        <v>689</v>
      </c>
      <c r="AB392" t="n">
        <v>513</v>
      </c>
      <c r="AC392" t="n">
        <v>515</v>
      </c>
      <c r="AD392" t="n">
        <v>6</v>
      </c>
      <c r="AE392" t="n">
        <v>6</v>
      </c>
      <c r="AF392" t="n">
        <v>24</v>
      </c>
      <c r="AG392" t="n">
        <v>25</v>
      </c>
      <c r="AH392" t="n">
        <v>8</v>
      </c>
      <c r="AI392" t="n">
        <v>8</v>
      </c>
      <c r="AJ392" t="n">
        <v>4</v>
      </c>
      <c r="AK392" t="n">
        <v>4</v>
      </c>
      <c r="AL392" t="n">
        <v>11</v>
      </c>
      <c r="AM392" t="n">
        <v>12</v>
      </c>
      <c r="AN392" t="n">
        <v>5</v>
      </c>
      <c r="AO392" t="n">
        <v>5</v>
      </c>
      <c r="AP392" t="n">
        <v>0</v>
      </c>
      <c r="AQ392" t="n">
        <v>0</v>
      </c>
      <c r="AR392" t="inlineStr">
        <is>
          <t>No</t>
        </is>
      </c>
      <c r="AS392" t="inlineStr">
        <is>
          <t>No</t>
        </is>
      </c>
      <c r="AU392">
        <f>HYPERLINK("https://creighton-primo.hosted.exlibrisgroup.com/primo-explore/search?tab=default_tab&amp;search_scope=EVERYTHING&amp;vid=01CRU&amp;lang=en_US&amp;offset=0&amp;query=any,contains,991002299079702656","Catalog Record")</f>
        <v/>
      </c>
      <c r="AV392">
        <f>HYPERLINK("http://www.worldcat.org/oclc/29844170","WorldCat Record")</f>
        <v/>
      </c>
      <c r="AW392" t="inlineStr">
        <is>
          <t>203279902:eng</t>
        </is>
      </c>
      <c r="AX392" t="inlineStr">
        <is>
          <t>29844170</t>
        </is>
      </c>
      <c r="AY392" t="inlineStr">
        <is>
          <t>991002299079702656</t>
        </is>
      </c>
      <c r="AZ392" t="inlineStr">
        <is>
          <t>991002299079702656</t>
        </is>
      </c>
      <c r="BA392" t="inlineStr">
        <is>
          <t>2264953850002656</t>
        </is>
      </c>
      <c r="BB392" t="inlineStr">
        <is>
          <t>BOOK</t>
        </is>
      </c>
      <c r="BD392" t="inlineStr">
        <is>
          <t>9780631194866</t>
        </is>
      </c>
      <c r="BE392" t="inlineStr">
        <is>
          <t>32285002102282</t>
        </is>
      </c>
      <c r="BF392" t="inlineStr">
        <is>
          <t>893504252</t>
        </is>
      </c>
    </row>
    <row r="393">
      <c r="A393" t="inlineStr">
        <is>
          <t>No</t>
        </is>
      </c>
      <c r="B393" t="inlineStr">
        <is>
          <t>CURAL</t>
        </is>
      </c>
      <c r="C393" t="inlineStr">
        <is>
          <t>SHELVES</t>
        </is>
      </c>
      <c r="D393" t="inlineStr">
        <is>
          <t>PR2129 .R62 2005</t>
        </is>
      </c>
      <c r="E393" t="inlineStr">
        <is>
          <t>0                      PR 2129000R  62          2005</t>
        </is>
      </c>
      <c r="F393" t="inlineStr">
        <is>
          <t>Robin Hood : medieval and post-medieval / Helen Phillips, editor.</t>
        </is>
      </c>
      <c r="H393" t="inlineStr">
        <is>
          <t>No</t>
        </is>
      </c>
      <c r="I393" t="inlineStr">
        <is>
          <t>1</t>
        </is>
      </c>
      <c r="J393" t="inlineStr">
        <is>
          <t>No</t>
        </is>
      </c>
      <c r="K393" t="inlineStr">
        <is>
          <t>No</t>
        </is>
      </c>
      <c r="L393" t="inlineStr">
        <is>
          <t>0</t>
        </is>
      </c>
      <c r="N393" t="inlineStr">
        <is>
          <t>Dublin : Four Courts Press, 2005.</t>
        </is>
      </c>
      <c r="O393" t="inlineStr">
        <is>
          <t>2005</t>
        </is>
      </c>
      <c r="Q393" t="inlineStr">
        <is>
          <t>eng</t>
        </is>
      </c>
      <c r="R393" t="inlineStr">
        <is>
          <t xml:space="preserve">ie </t>
        </is>
      </c>
      <c r="T393" t="inlineStr">
        <is>
          <t xml:space="preserve">PR </t>
        </is>
      </c>
      <c r="U393" t="n">
        <v>2</v>
      </c>
      <c r="V393" t="n">
        <v>2</v>
      </c>
      <c r="W393" t="inlineStr">
        <is>
          <t>2010-11-23</t>
        </is>
      </c>
      <c r="X393" t="inlineStr">
        <is>
          <t>2010-11-23</t>
        </is>
      </c>
      <c r="Y393" t="inlineStr">
        <is>
          <t>2006-02-06</t>
        </is>
      </c>
      <c r="Z393" t="inlineStr">
        <is>
          <t>2006-02-06</t>
        </is>
      </c>
      <c r="AA393" t="n">
        <v>310</v>
      </c>
      <c r="AB393" t="n">
        <v>246</v>
      </c>
      <c r="AC393" t="n">
        <v>248</v>
      </c>
      <c r="AD393" t="n">
        <v>3</v>
      </c>
      <c r="AE393" t="n">
        <v>3</v>
      </c>
      <c r="AF393" t="n">
        <v>18</v>
      </c>
      <c r="AG393" t="n">
        <v>18</v>
      </c>
      <c r="AH393" t="n">
        <v>9</v>
      </c>
      <c r="AI393" t="n">
        <v>9</v>
      </c>
      <c r="AJ393" t="n">
        <v>5</v>
      </c>
      <c r="AK393" t="n">
        <v>5</v>
      </c>
      <c r="AL393" t="n">
        <v>8</v>
      </c>
      <c r="AM393" t="n">
        <v>8</v>
      </c>
      <c r="AN393" t="n">
        <v>2</v>
      </c>
      <c r="AO393" t="n">
        <v>2</v>
      </c>
      <c r="AP393" t="n">
        <v>0</v>
      </c>
      <c r="AQ393" t="n">
        <v>0</v>
      </c>
      <c r="AR393" t="inlineStr">
        <is>
          <t>No</t>
        </is>
      </c>
      <c r="AS393" t="inlineStr">
        <is>
          <t>Yes</t>
        </is>
      </c>
      <c r="AT393">
        <f>HYPERLINK("http://catalog.hathitrust.org/Record/004991514","HathiTrust Record")</f>
        <v/>
      </c>
      <c r="AU393">
        <f>HYPERLINK("https://creighton-primo.hosted.exlibrisgroup.com/primo-explore/search?tab=default_tab&amp;search_scope=EVERYTHING&amp;vid=01CRU&amp;lang=en_US&amp;offset=0&amp;query=any,contains,991004733429702656","Catalog Record")</f>
        <v/>
      </c>
      <c r="AV393">
        <f>HYPERLINK("http://www.worldcat.org/oclc/58902638","WorldCat Record")</f>
        <v/>
      </c>
      <c r="AW393" t="inlineStr">
        <is>
          <t>792405654:eng</t>
        </is>
      </c>
      <c r="AX393" t="inlineStr">
        <is>
          <t>58902638</t>
        </is>
      </c>
      <c r="AY393" t="inlineStr">
        <is>
          <t>991004733429702656</t>
        </is>
      </c>
      <c r="AZ393" t="inlineStr">
        <is>
          <t>991004733429702656</t>
        </is>
      </c>
      <c r="BA393" t="inlineStr">
        <is>
          <t>2258718660002656</t>
        </is>
      </c>
      <c r="BB393" t="inlineStr">
        <is>
          <t>BOOK</t>
        </is>
      </c>
      <c r="BD393" t="inlineStr">
        <is>
          <t>9781851829316</t>
        </is>
      </c>
      <c r="BE393" t="inlineStr">
        <is>
          <t>32285005168157</t>
        </is>
      </c>
      <c r="BF393" t="inlineStr">
        <is>
          <t>893810668</t>
        </is>
      </c>
    </row>
    <row r="394">
      <c r="A394" t="inlineStr">
        <is>
          <t>No</t>
        </is>
      </c>
      <c r="B394" t="inlineStr">
        <is>
          <t>CURAL</t>
        </is>
      </c>
      <c r="C394" t="inlineStr">
        <is>
          <t>SHELVES</t>
        </is>
      </c>
      <c r="D394" t="inlineStr">
        <is>
          <t>PR2135.A2 A65 1988</t>
        </is>
      </c>
      <c r="E394" t="inlineStr">
        <is>
          <t>0                      PR 2135000A  2                  A  65          1988</t>
        </is>
      </c>
      <c r="F394" t="inlineStr">
        <is>
          <t>Richard Rolle, the English writings / translated, edited, and introduced by Rosamund S. Allen ; preface by Valerie M. Lagorio.</t>
        </is>
      </c>
      <c r="H394" t="inlineStr">
        <is>
          <t>No</t>
        </is>
      </c>
      <c r="I394" t="inlineStr">
        <is>
          <t>1</t>
        </is>
      </c>
      <c r="J394" t="inlineStr">
        <is>
          <t>No</t>
        </is>
      </c>
      <c r="K394" t="inlineStr">
        <is>
          <t>No</t>
        </is>
      </c>
      <c r="L394" t="inlineStr">
        <is>
          <t>0</t>
        </is>
      </c>
      <c r="M394" t="inlineStr">
        <is>
          <t>Rolle, Richard, 1290?-1349.</t>
        </is>
      </c>
      <c r="N394" t="inlineStr">
        <is>
          <t>New York : Paulist Press, c1988.</t>
        </is>
      </c>
      <c r="O394" t="inlineStr">
        <is>
          <t>1988</t>
        </is>
      </c>
      <c r="Q394" t="inlineStr">
        <is>
          <t>eng</t>
        </is>
      </c>
      <c r="R394" t="inlineStr">
        <is>
          <t>nyu</t>
        </is>
      </c>
      <c r="S394" t="inlineStr">
        <is>
          <t>The Classics of Western spirituality</t>
        </is>
      </c>
      <c r="T394" t="inlineStr">
        <is>
          <t xml:space="preserve">PR </t>
        </is>
      </c>
      <c r="U394" t="n">
        <v>3</v>
      </c>
      <c r="V394" t="n">
        <v>3</v>
      </c>
      <c r="W394" t="inlineStr">
        <is>
          <t>2010-07-02</t>
        </is>
      </c>
      <c r="X394" t="inlineStr">
        <is>
          <t>2010-07-02</t>
        </is>
      </c>
      <c r="Y394" t="inlineStr">
        <is>
          <t>1999-08-18</t>
        </is>
      </c>
      <c r="Z394" t="inlineStr">
        <is>
          <t>1999-08-18</t>
        </is>
      </c>
      <c r="AA394" t="n">
        <v>582</v>
      </c>
      <c r="AB394" t="n">
        <v>503</v>
      </c>
      <c r="AC394" t="n">
        <v>506</v>
      </c>
      <c r="AD394" t="n">
        <v>7</v>
      </c>
      <c r="AE394" t="n">
        <v>7</v>
      </c>
      <c r="AF394" t="n">
        <v>33</v>
      </c>
      <c r="AG394" t="n">
        <v>33</v>
      </c>
      <c r="AH394" t="n">
        <v>11</v>
      </c>
      <c r="AI394" t="n">
        <v>11</v>
      </c>
      <c r="AJ394" t="n">
        <v>6</v>
      </c>
      <c r="AK394" t="n">
        <v>6</v>
      </c>
      <c r="AL394" t="n">
        <v>18</v>
      </c>
      <c r="AM394" t="n">
        <v>18</v>
      </c>
      <c r="AN394" t="n">
        <v>4</v>
      </c>
      <c r="AO394" t="n">
        <v>4</v>
      </c>
      <c r="AP394" t="n">
        <v>0</v>
      </c>
      <c r="AQ394" t="n">
        <v>0</v>
      </c>
      <c r="AR394" t="inlineStr">
        <is>
          <t>No</t>
        </is>
      </c>
      <c r="AS394" t="inlineStr">
        <is>
          <t>Yes</t>
        </is>
      </c>
      <c r="AT394">
        <f>HYPERLINK("http://catalog.hathitrust.org/Record/002868470","HathiTrust Record")</f>
        <v/>
      </c>
      <c r="AU394">
        <f>HYPERLINK("https://creighton-primo.hosted.exlibrisgroup.com/primo-explore/search?tab=default_tab&amp;search_scope=EVERYTHING&amp;vid=01CRU&amp;lang=en_US&amp;offset=0&amp;query=any,contains,991001309379702656","Catalog Record")</f>
        <v/>
      </c>
      <c r="AV394">
        <f>HYPERLINK("http://www.worldcat.org/oclc/18135576","WorldCat Record")</f>
        <v/>
      </c>
      <c r="AW394" t="inlineStr">
        <is>
          <t>2591034122:eng</t>
        </is>
      </c>
      <c r="AX394" t="inlineStr">
        <is>
          <t>18135576</t>
        </is>
      </c>
      <c r="AY394" t="inlineStr">
        <is>
          <t>991001309379702656</t>
        </is>
      </c>
      <c r="AZ394" t="inlineStr">
        <is>
          <t>991001309379702656</t>
        </is>
      </c>
      <c r="BA394" t="inlineStr">
        <is>
          <t>2260552440002656</t>
        </is>
      </c>
      <c r="BB394" t="inlineStr">
        <is>
          <t>BOOK</t>
        </is>
      </c>
      <c r="BD394" t="inlineStr">
        <is>
          <t>9780809130085</t>
        </is>
      </c>
      <c r="BE394" t="inlineStr">
        <is>
          <t>32285003582730</t>
        </is>
      </c>
      <c r="BF394" t="inlineStr">
        <is>
          <t>893608762</t>
        </is>
      </c>
    </row>
    <row r="395">
      <c r="A395" t="inlineStr">
        <is>
          <t>No</t>
        </is>
      </c>
      <c r="B395" t="inlineStr">
        <is>
          <t>CURAL</t>
        </is>
      </c>
      <c r="C395" t="inlineStr">
        <is>
          <t>SHELVES</t>
        </is>
      </c>
      <c r="D395" t="inlineStr">
        <is>
          <t>PR2208 .S8</t>
        </is>
      </c>
      <c r="E395" t="inlineStr">
        <is>
          <t>0                      PR 2208000S  8</t>
        </is>
      </c>
      <c r="F395" t="inlineStr">
        <is>
          <t>Francis Bacon and the style of science / James Stephens.</t>
        </is>
      </c>
      <c r="H395" t="inlineStr">
        <is>
          <t>No</t>
        </is>
      </c>
      <c r="I395" t="inlineStr">
        <is>
          <t>1</t>
        </is>
      </c>
      <c r="J395" t="inlineStr">
        <is>
          <t>No</t>
        </is>
      </c>
      <c r="K395" t="inlineStr">
        <is>
          <t>No</t>
        </is>
      </c>
      <c r="L395" t="inlineStr">
        <is>
          <t>0</t>
        </is>
      </c>
      <c r="M395" t="inlineStr">
        <is>
          <t>Stephens, James.</t>
        </is>
      </c>
      <c r="N395" t="inlineStr">
        <is>
          <t>Chicago : University of Chicago Press, [1975]</t>
        </is>
      </c>
      <c r="O395" t="inlineStr">
        <is>
          <t>1975</t>
        </is>
      </c>
      <c r="Q395" t="inlineStr">
        <is>
          <t>eng</t>
        </is>
      </c>
      <c r="R395" t="inlineStr">
        <is>
          <t>ilu</t>
        </is>
      </c>
      <c r="T395" t="inlineStr">
        <is>
          <t xml:space="preserve">PR </t>
        </is>
      </c>
      <c r="U395" t="n">
        <v>2</v>
      </c>
      <c r="V395" t="n">
        <v>2</v>
      </c>
      <c r="W395" t="inlineStr">
        <is>
          <t>1995-04-04</t>
        </is>
      </c>
      <c r="X395" t="inlineStr">
        <is>
          <t>1995-04-04</t>
        </is>
      </c>
      <c r="Y395" t="inlineStr">
        <is>
          <t>1991-10-03</t>
        </is>
      </c>
      <c r="Z395" t="inlineStr">
        <is>
          <t>1991-10-03</t>
        </is>
      </c>
      <c r="AA395" t="n">
        <v>558</v>
      </c>
      <c r="AB395" t="n">
        <v>452</v>
      </c>
      <c r="AC395" t="n">
        <v>457</v>
      </c>
      <c r="AD395" t="n">
        <v>3</v>
      </c>
      <c r="AE395" t="n">
        <v>3</v>
      </c>
      <c r="AF395" t="n">
        <v>26</v>
      </c>
      <c r="AG395" t="n">
        <v>26</v>
      </c>
      <c r="AH395" t="n">
        <v>7</v>
      </c>
      <c r="AI395" t="n">
        <v>7</v>
      </c>
      <c r="AJ395" t="n">
        <v>8</v>
      </c>
      <c r="AK395" t="n">
        <v>8</v>
      </c>
      <c r="AL395" t="n">
        <v>17</v>
      </c>
      <c r="AM395" t="n">
        <v>17</v>
      </c>
      <c r="AN395" t="n">
        <v>2</v>
      </c>
      <c r="AO395" t="n">
        <v>2</v>
      </c>
      <c r="AP395" t="n">
        <v>0</v>
      </c>
      <c r="AQ395" t="n">
        <v>0</v>
      </c>
      <c r="AR395" t="inlineStr">
        <is>
          <t>No</t>
        </is>
      </c>
      <c r="AS395" t="inlineStr">
        <is>
          <t>No</t>
        </is>
      </c>
      <c r="AU395">
        <f>HYPERLINK("https://creighton-primo.hosted.exlibrisgroup.com/primo-explore/search?tab=default_tab&amp;search_scope=EVERYTHING&amp;vid=01CRU&amp;lang=en_US&amp;offset=0&amp;query=any,contains,991003612549702656","Catalog Record")</f>
        <v/>
      </c>
      <c r="AV395">
        <f>HYPERLINK("http://www.worldcat.org/oclc/1195133","WorldCat Record")</f>
        <v/>
      </c>
      <c r="AW395" t="inlineStr">
        <is>
          <t>2154574:eng</t>
        </is>
      </c>
      <c r="AX395" t="inlineStr">
        <is>
          <t>1195133</t>
        </is>
      </c>
      <c r="AY395" t="inlineStr">
        <is>
          <t>991003612549702656</t>
        </is>
      </c>
      <c r="AZ395" t="inlineStr">
        <is>
          <t>991003612549702656</t>
        </is>
      </c>
      <c r="BA395" t="inlineStr">
        <is>
          <t>2260234860002656</t>
        </is>
      </c>
      <c r="BB395" t="inlineStr">
        <is>
          <t>BOOK</t>
        </is>
      </c>
      <c r="BD395" t="inlineStr">
        <is>
          <t>9780226772608</t>
        </is>
      </c>
      <c r="BE395" t="inlineStr">
        <is>
          <t>32285000770577</t>
        </is>
      </c>
      <c r="BF395" t="inlineStr">
        <is>
          <t>893692923</t>
        </is>
      </c>
    </row>
    <row r="396">
      <c r="A396" t="inlineStr">
        <is>
          <t>No</t>
        </is>
      </c>
      <c r="B396" t="inlineStr">
        <is>
          <t>CURAL</t>
        </is>
      </c>
      <c r="C396" t="inlineStr">
        <is>
          <t>SHELVES</t>
        </is>
      </c>
      <c r="D396" t="inlineStr">
        <is>
          <t>PR2208 .W3</t>
        </is>
      </c>
      <c r="E396" t="inlineStr">
        <is>
          <t>0                      PR 2208000W  3</t>
        </is>
      </c>
      <c r="F396" t="inlineStr">
        <is>
          <t>Francis Bacon on communication &amp; rhetoric; or: The art of applying reason to imagination for the better moving of the will, by Karl R. Wallace.</t>
        </is>
      </c>
      <c r="H396" t="inlineStr">
        <is>
          <t>No</t>
        </is>
      </c>
      <c r="I396" t="inlineStr">
        <is>
          <t>1</t>
        </is>
      </c>
      <c r="J396" t="inlineStr">
        <is>
          <t>No</t>
        </is>
      </c>
      <c r="K396" t="inlineStr">
        <is>
          <t>No</t>
        </is>
      </c>
      <c r="L396" t="inlineStr">
        <is>
          <t>0</t>
        </is>
      </c>
      <c r="M396" t="inlineStr">
        <is>
          <t>Wallace, Karl Richards, 1905-1973.</t>
        </is>
      </c>
      <c r="N396" t="inlineStr">
        <is>
          <t>Chapel Hill, The University of North Carolina Press, 1943.</t>
        </is>
      </c>
      <c r="O396" t="inlineStr">
        <is>
          <t>1943</t>
        </is>
      </c>
      <c r="Q396" t="inlineStr">
        <is>
          <t>eng</t>
        </is>
      </c>
      <c r="R396" t="inlineStr">
        <is>
          <t>ncu</t>
        </is>
      </c>
      <c r="T396" t="inlineStr">
        <is>
          <t xml:space="preserve">PR </t>
        </is>
      </c>
      <c r="U396" t="n">
        <v>6</v>
      </c>
      <c r="V396" t="n">
        <v>6</v>
      </c>
      <c r="W396" t="inlineStr">
        <is>
          <t>2004-08-10</t>
        </is>
      </c>
      <c r="X396" t="inlineStr">
        <is>
          <t>2004-08-10</t>
        </is>
      </c>
      <c r="Y396" t="inlineStr">
        <is>
          <t>1997-07-29</t>
        </is>
      </c>
      <c r="Z396" t="inlineStr">
        <is>
          <t>1997-07-29</t>
        </is>
      </c>
      <c r="AA396" t="n">
        <v>627</v>
      </c>
      <c r="AB396" t="n">
        <v>551</v>
      </c>
      <c r="AC396" t="n">
        <v>562</v>
      </c>
      <c r="AD396" t="n">
        <v>8</v>
      </c>
      <c r="AE396" t="n">
        <v>8</v>
      </c>
      <c r="AF396" t="n">
        <v>34</v>
      </c>
      <c r="AG396" t="n">
        <v>34</v>
      </c>
      <c r="AH396" t="n">
        <v>13</v>
      </c>
      <c r="AI396" t="n">
        <v>13</v>
      </c>
      <c r="AJ396" t="n">
        <v>7</v>
      </c>
      <c r="AK396" t="n">
        <v>7</v>
      </c>
      <c r="AL396" t="n">
        <v>14</v>
      </c>
      <c r="AM396" t="n">
        <v>14</v>
      </c>
      <c r="AN396" t="n">
        <v>7</v>
      </c>
      <c r="AO396" t="n">
        <v>7</v>
      </c>
      <c r="AP396" t="n">
        <v>0</v>
      </c>
      <c r="AQ396" t="n">
        <v>0</v>
      </c>
      <c r="AR396" t="inlineStr">
        <is>
          <t>No</t>
        </is>
      </c>
      <c r="AS396" t="inlineStr">
        <is>
          <t>Yes</t>
        </is>
      </c>
      <c r="AT396">
        <f>HYPERLINK("http://catalog.hathitrust.org/Record/000426096","HathiTrust Record")</f>
        <v/>
      </c>
      <c r="AU396">
        <f>HYPERLINK("https://creighton-primo.hosted.exlibrisgroup.com/primo-explore/search?tab=default_tab&amp;search_scope=EVERYTHING&amp;vid=01CRU&amp;lang=en_US&amp;offset=0&amp;query=any,contains,991002446239702656","Catalog Record")</f>
        <v/>
      </c>
      <c r="AV396">
        <f>HYPERLINK("http://www.worldcat.org/oclc/351613","WorldCat Record")</f>
        <v/>
      </c>
      <c r="AW396" t="inlineStr">
        <is>
          <t>1386730:eng</t>
        </is>
      </c>
      <c r="AX396" t="inlineStr">
        <is>
          <t>351613</t>
        </is>
      </c>
      <c r="AY396" t="inlineStr">
        <is>
          <t>991002446239702656</t>
        </is>
      </c>
      <c r="AZ396" t="inlineStr">
        <is>
          <t>991002446239702656</t>
        </is>
      </c>
      <c r="BA396" t="inlineStr">
        <is>
          <t>2266884050002656</t>
        </is>
      </c>
      <c r="BB396" t="inlineStr">
        <is>
          <t>BOOK</t>
        </is>
      </c>
      <c r="BE396" t="inlineStr">
        <is>
          <t>32285002989159</t>
        </is>
      </c>
      <c r="BF396" t="inlineStr">
        <is>
          <t>893697788</t>
        </is>
      </c>
    </row>
    <row r="397">
      <c r="A397" t="inlineStr">
        <is>
          <t>No</t>
        </is>
      </c>
      <c r="B397" t="inlineStr">
        <is>
          <t>CURAL</t>
        </is>
      </c>
      <c r="C397" t="inlineStr">
        <is>
          <t>SHELVES</t>
        </is>
      </c>
      <c r="D397" t="inlineStr">
        <is>
          <t>PR2209.B2 H27 1996</t>
        </is>
      </c>
      <c r="E397" t="inlineStr">
        <is>
          <t>0                      PR 2209000B  2                  H  27          1996</t>
        </is>
      </c>
      <c r="F397" t="inlineStr">
        <is>
          <t>John Bale / by Peter Happé.</t>
        </is>
      </c>
      <c r="H397" t="inlineStr">
        <is>
          <t>No</t>
        </is>
      </c>
      <c r="I397" t="inlineStr">
        <is>
          <t>1</t>
        </is>
      </c>
      <c r="J397" t="inlineStr">
        <is>
          <t>No</t>
        </is>
      </c>
      <c r="K397" t="inlineStr">
        <is>
          <t>No</t>
        </is>
      </c>
      <c r="L397" t="inlineStr">
        <is>
          <t>0</t>
        </is>
      </c>
      <c r="M397" t="inlineStr">
        <is>
          <t>Happé, Peter.</t>
        </is>
      </c>
      <c r="N397" t="inlineStr">
        <is>
          <t>New York : Twayne Publishers, 1996.</t>
        </is>
      </c>
      <c r="O397" t="inlineStr">
        <is>
          <t>1996</t>
        </is>
      </c>
      <c r="Q397" t="inlineStr">
        <is>
          <t>eng</t>
        </is>
      </c>
      <c r="R397" t="inlineStr">
        <is>
          <t>nyu</t>
        </is>
      </c>
      <c r="S397" t="inlineStr">
        <is>
          <t>Twayne's English authors series ; no. 520</t>
        </is>
      </c>
      <c r="T397" t="inlineStr">
        <is>
          <t xml:space="preserve">PR </t>
        </is>
      </c>
      <c r="U397" t="n">
        <v>0</v>
      </c>
      <c r="V397" t="n">
        <v>0</v>
      </c>
      <c r="W397" t="inlineStr">
        <is>
          <t>2005-04-01</t>
        </is>
      </c>
      <c r="X397" t="inlineStr">
        <is>
          <t>2005-04-01</t>
        </is>
      </c>
      <c r="Y397" t="inlineStr">
        <is>
          <t>1996-07-08</t>
        </is>
      </c>
      <c r="Z397" t="inlineStr">
        <is>
          <t>1996-07-08</t>
        </is>
      </c>
      <c r="AA397" t="n">
        <v>430</v>
      </c>
      <c r="AB397" t="n">
        <v>369</v>
      </c>
      <c r="AC397" t="n">
        <v>469</v>
      </c>
      <c r="AD397" t="n">
        <v>5</v>
      </c>
      <c r="AE397" t="n">
        <v>5</v>
      </c>
      <c r="AF397" t="n">
        <v>21</v>
      </c>
      <c r="AG397" t="n">
        <v>22</v>
      </c>
      <c r="AH397" t="n">
        <v>6</v>
      </c>
      <c r="AI397" t="n">
        <v>7</v>
      </c>
      <c r="AJ397" t="n">
        <v>3</v>
      </c>
      <c r="AK397" t="n">
        <v>3</v>
      </c>
      <c r="AL397" t="n">
        <v>13</v>
      </c>
      <c r="AM397" t="n">
        <v>13</v>
      </c>
      <c r="AN397" t="n">
        <v>4</v>
      </c>
      <c r="AO397" t="n">
        <v>4</v>
      </c>
      <c r="AP397" t="n">
        <v>0</v>
      </c>
      <c r="AQ397" t="n">
        <v>0</v>
      </c>
      <c r="AR397" t="inlineStr">
        <is>
          <t>No</t>
        </is>
      </c>
      <c r="AS397" t="inlineStr">
        <is>
          <t>Yes</t>
        </is>
      </c>
      <c r="AT397">
        <f>HYPERLINK("http://catalog.hathitrust.org/Record/003079543","HathiTrust Record")</f>
        <v/>
      </c>
      <c r="AU397">
        <f>HYPERLINK("https://creighton-primo.hosted.exlibrisgroup.com/primo-explore/search?tab=default_tab&amp;search_scope=EVERYTHING&amp;vid=01CRU&amp;lang=en_US&amp;offset=0&amp;query=any,contains,991002615999702656","Catalog Record")</f>
        <v/>
      </c>
      <c r="AV397">
        <f>HYPERLINK("http://www.worldcat.org/oclc/34284050","WorldCat Record")</f>
        <v/>
      </c>
      <c r="AW397" t="inlineStr">
        <is>
          <t>17662548:eng</t>
        </is>
      </c>
      <c r="AX397" t="inlineStr">
        <is>
          <t>34284050</t>
        </is>
      </c>
      <c r="AY397" t="inlineStr">
        <is>
          <t>991002615999702656</t>
        </is>
      </c>
      <c r="AZ397" t="inlineStr">
        <is>
          <t>991002615999702656</t>
        </is>
      </c>
      <c r="BA397" t="inlineStr">
        <is>
          <t>2258198250002656</t>
        </is>
      </c>
      <c r="BB397" t="inlineStr">
        <is>
          <t>BOOK</t>
        </is>
      </c>
      <c r="BD397" t="inlineStr">
        <is>
          <t>9780805770483</t>
        </is>
      </c>
      <c r="BE397" t="inlineStr">
        <is>
          <t>32285002206950</t>
        </is>
      </c>
      <c r="BF397" t="inlineStr">
        <is>
          <t>893898980</t>
        </is>
      </c>
    </row>
    <row r="398">
      <c r="A398" t="inlineStr">
        <is>
          <t>No</t>
        </is>
      </c>
      <c r="B398" t="inlineStr">
        <is>
          <t>CURAL</t>
        </is>
      </c>
      <c r="C398" t="inlineStr">
        <is>
          <t>SHELVES</t>
        </is>
      </c>
      <c r="D398" t="inlineStr">
        <is>
          <t>PR221 .O43 2000</t>
        </is>
      </c>
      <c r="E398" t="inlineStr">
        <is>
          <t>0                      PR 0221000O  43          2000</t>
        </is>
      </c>
      <c r="F398" t="inlineStr">
        <is>
          <t>Old English prose : basic readings / edited by Paul E. Szarmach ; with the assistance of Deborah A. Oosterhouse.</t>
        </is>
      </c>
      <c r="H398" t="inlineStr">
        <is>
          <t>No</t>
        </is>
      </c>
      <c r="I398" t="inlineStr">
        <is>
          <t>1</t>
        </is>
      </c>
      <c r="J398" t="inlineStr">
        <is>
          <t>No</t>
        </is>
      </c>
      <c r="K398" t="inlineStr">
        <is>
          <t>No</t>
        </is>
      </c>
      <c r="L398" t="inlineStr">
        <is>
          <t>0</t>
        </is>
      </c>
      <c r="N398" t="inlineStr">
        <is>
          <t>New York : Garland Pub., 2000.</t>
        </is>
      </c>
      <c r="O398" t="inlineStr">
        <is>
          <t>2000</t>
        </is>
      </c>
      <c r="Q398" t="inlineStr">
        <is>
          <t>eng</t>
        </is>
      </c>
      <c r="R398" t="inlineStr">
        <is>
          <t>nyu</t>
        </is>
      </c>
      <c r="S398" t="inlineStr">
        <is>
          <t>Garland reference library of the humanities ; vol. 1447. Basic readings in Anglo-Saxon England ; vol. 5</t>
        </is>
      </c>
      <c r="T398" t="inlineStr">
        <is>
          <t xml:space="preserve">PR </t>
        </is>
      </c>
      <c r="U398" t="n">
        <v>1</v>
      </c>
      <c r="V398" t="n">
        <v>1</v>
      </c>
      <c r="W398" t="inlineStr">
        <is>
          <t>2002-05-13</t>
        </is>
      </c>
      <c r="X398" t="inlineStr">
        <is>
          <t>2002-05-13</t>
        </is>
      </c>
      <c r="Y398" t="inlineStr">
        <is>
          <t>2002-05-06</t>
        </is>
      </c>
      <c r="Z398" t="inlineStr">
        <is>
          <t>2002-05-06</t>
        </is>
      </c>
      <c r="AA398" t="n">
        <v>218</v>
      </c>
      <c r="AB398" t="n">
        <v>143</v>
      </c>
      <c r="AC398" t="n">
        <v>164</v>
      </c>
      <c r="AD398" t="n">
        <v>3</v>
      </c>
      <c r="AE398" t="n">
        <v>3</v>
      </c>
      <c r="AF398" t="n">
        <v>8</v>
      </c>
      <c r="AG398" t="n">
        <v>8</v>
      </c>
      <c r="AH398" t="n">
        <v>1</v>
      </c>
      <c r="AI398" t="n">
        <v>1</v>
      </c>
      <c r="AJ398" t="n">
        <v>2</v>
      </c>
      <c r="AK398" t="n">
        <v>2</v>
      </c>
      <c r="AL398" t="n">
        <v>4</v>
      </c>
      <c r="AM398" t="n">
        <v>4</v>
      </c>
      <c r="AN398" t="n">
        <v>2</v>
      </c>
      <c r="AO398" t="n">
        <v>2</v>
      </c>
      <c r="AP398" t="n">
        <v>0</v>
      </c>
      <c r="AQ398" t="n">
        <v>0</v>
      </c>
      <c r="AR398" t="inlineStr">
        <is>
          <t>No</t>
        </is>
      </c>
      <c r="AS398" t="inlineStr">
        <is>
          <t>No</t>
        </is>
      </c>
      <c r="AU398">
        <f>HYPERLINK("https://creighton-primo.hosted.exlibrisgroup.com/primo-explore/search?tab=default_tab&amp;search_scope=EVERYTHING&amp;vid=01CRU&amp;lang=en_US&amp;offset=0&amp;query=any,contains,991003790499702656","Catalog Record")</f>
        <v/>
      </c>
      <c r="AV398">
        <f>HYPERLINK("http://www.worldcat.org/oclc/44841499","WorldCat Record")</f>
        <v/>
      </c>
      <c r="AW398" t="inlineStr">
        <is>
          <t>837068401:eng</t>
        </is>
      </c>
      <c r="AX398" t="inlineStr">
        <is>
          <t>44841499</t>
        </is>
      </c>
      <c r="AY398" t="inlineStr">
        <is>
          <t>991003790499702656</t>
        </is>
      </c>
      <c r="AZ398" t="inlineStr">
        <is>
          <t>991003790499702656</t>
        </is>
      </c>
      <c r="BA398" t="inlineStr">
        <is>
          <t>2265418250002656</t>
        </is>
      </c>
      <c r="BB398" t="inlineStr">
        <is>
          <t>BOOK</t>
        </is>
      </c>
      <c r="BD398" t="inlineStr">
        <is>
          <t>9780815303053</t>
        </is>
      </c>
      <c r="BE398" t="inlineStr">
        <is>
          <t>32285004485636</t>
        </is>
      </c>
      <c r="BF398" t="inlineStr">
        <is>
          <t>893875181</t>
        </is>
      </c>
    </row>
    <row r="399">
      <c r="A399" t="inlineStr">
        <is>
          <t>No</t>
        </is>
      </c>
      <c r="B399" t="inlineStr">
        <is>
          <t>CURAL</t>
        </is>
      </c>
      <c r="C399" t="inlineStr">
        <is>
          <t>SHELVES</t>
        </is>
      </c>
      <c r="D399" t="inlineStr">
        <is>
          <t>PR2241.Z5 R4</t>
        </is>
      </c>
      <c r="E399" t="inlineStr">
        <is>
          <t>0                      PR 2241000Z  5                  R  4</t>
        </is>
      </c>
      <c r="F399" t="inlineStr">
        <is>
          <t>Samuel Daniel: a critical and biographical study.</t>
        </is>
      </c>
      <c r="H399" t="inlineStr">
        <is>
          <t>No</t>
        </is>
      </c>
      <c r="I399" t="inlineStr">
        <is>
          <t>1</t>
        </is>
      </c>
      <c r="J399" t="inlineStr">
        <is>
          <t>No</t>
        </is>
      </c>
      <c r="K399" t="inlineStr">
        <is>
          <t>No</t>
        </is>
      </c>
      <c r="L399" t="inlineStr">
        <is>
          <t>0</t>
        </is>
      </c>
      <c r="M399" t="inlineStr">
        <is>
          <t>Rees, Joan, 1923-</t>
        </is>
      </c>
      <c r="N399" t="inlineStr">
        <is>
          <t>[Liverpool] Liverpool University Press, 1964.</t>
        </is>
      </c>
      <c r="O399" t="inlineStr">
        <is>
          <t>1964</t>
        </is>
      </c>
      <c r="Q399" t="inlineStr">
        <is>
          <t>eng</t>
        </is>
      </c>
      <c r="R399" t="inlineStr">
        <is>
          <t>enk</t>
        </is>
      </c>
      <c r="S399" t="inlineStr">
        <is>
          <t>Liverpool English texts and studies</t>
        </is>
      </c>
      <c r="T399" t="inlineStr">
        <is>
          <t xml:space="preserve">PR </t>
        </is>
      </c>
      <c r="U399" t="n">
        <v>1</v>
      </c>
      <c r="V399" t="n">
        <v>1</v>
      </c>
      <c r="W399" t="inlineStr">
        <is>
          <t>2002-02-09</t>
        </is>
      </c>
      <c r="X399" t="inlineStr">
        <is>
          <t>2002-02-09</t>
        </is>
      </c>
      <c r="Y399" t="inlineStr">
        <is>
          <t>1997-07-29</t>
        </is>
      </c>
      <c r="Z399" t="inlineStr">
        <is>
          <t>1997-07-29</t>
        </is>
      </c>
      <c r="AA399" t="n">
        <v>485</v>
      </c>
      <c r="AB399" t="n">
        <v>347</v>
      </c>
      <c r="AC399" t="n">
        <v>350</v>
      </c>
      <c r="AD399" t="n">
        <v>3</v>
      </c>
      <c r="AE399" t="n">
        <v>3</v>
      </c>
      <c r="AF399" t="n">
        <v>23</v>
      </c>
      <c r="AG399" t="n">
        <v>23</v>
      </c>
      <c r="AH399" t="n">
        <v>8</v>
      </c>
      <c r="AI399" t="n">
        <v>8</v>
      </c>
      <c r="AJ399" t="n">
        <v>6</v>
      </c>
      <c r="AK399" t="n">
        <v>6</v>
      </c>
      <c r="AL399" t="n">
        <v>14</v>
      </c>
      <c r="AM399" t="n">
        <v>14</v>
      </c>
      <c r="AN399" t="n">
        <v>2</v>
      </c>
      <c r="AO399" t="n">
        <v>2</v>
      </c>
      <c r="AP399" t="n">
        <v>0</v>
      </c>
      <c r="AQ399" t="n">
        <v>0</v>
      </c>
      <c r="AR399" t="inlineStr">
        <is>
          <t>No</t>
        </is>
      </c>
      <c r="AS399" t="inlineStr">
        <is>
          <t>Yes</t>
        </is>
      </c>
      <c r="AT399">
        <f>HYPERLINK("http://catalog.hathitrust.org/Record/000393214","HathiTrust Record")</f>
        <v/>
      </c>
      <c r="AU399">
        <f>HYPERLINK("https://creighton-primo.hosted.exlibrisgroup.com/primo-explore/search?tab=default_tab&amp;search_scope=EVERYTHING&amp;vid=01CRU&amp;lang=en_US&amp;offset=0&amp;query=any,contains,991001909209702656","Catalog Record")</f>
        <v/>
      </c>
      <c r="AV399">
        <f>HYPERLINK("http://www.worldcat.org/oclc/241823","WorldCat Record")</f>
        <v/>
      </c>
      <c r="AW399" t="inlineStr">
        <is>
          <t>377306900:eng</t>
        </is>
      </c>
      <c r="AX399" t="inlineStr">
        <is>
          <t>241823</t>
        </is>
      </c>
      <c r="AY399" t="inlineStr">
        <is>
          <t>991001909209702656</t>
        </is>
      </c>
      <c r="AZ399" t="inlineStr">
        <is>
          <t>991001909209702656</t>
        </is>
      </c>
      <c r="BA399" t="inlineStr">
        <is>
          <t>2271719790002656</t>
        </is>
      </c>
      <c r="BB399" t="inlineStr">
        <is>
          <t>BOOK</t>
        </is>
      </c>
      <c r="BE399" t="inlineStr">
        <is>
          <t>32285002989365</t>
        </is>
      </c>
      <c r="BF399" t="inlineStr">
        <is>
          <t>893709620</t>
        </is>
      </c>
    </row>
    <row r="400">
      <c r="A400" t="inlineStr">
        <is>
          <t>No</t>
        </is>
      </c>
      <c r="B400" t="inlineStr">
        <is>
          <t>CURAL</t>
        </is>
      </c>
      <c r="C400" t="inlineStr">
        <is>
          <t>SHELVES</t>
        </is>
      </c>
      <c r="D400" t="inlineStr">
        <is>
          <t>PR2244.D2 Z75 1960</t>
        </is>
      </c>
      <c r="E400" t="inlineStr">
        <is>
          <t>0                      PR 2244000D  2                  Z  75          1960</t>
        </is>
      </c>
      <c r="F400" t="inlineStr">
        <is>
          <t>Apology for the middle class : the dramatic novels of Thomas Deloney / Merritt E. Lawlis.</t>
        </is>
      </c>
      <c r="H400" t="inlineStr">
        <is>
          <t>No</t>
        </is>
      </c>
      <c r="I400" t="inlineStr">
        <is>
          <t>1</t>
        </is>
      </c>
      <c r="J400" t="inlineStr">
        <is>
          <t>No</t>
        </is>
      </c>
      <c r="K400" t="inlineStr">
        <is>
          <t>No</t>
        </is>
      </c>
      <c r="L400" t="inlineStr">
        <is>
          <t>0</t>
        </is>
      </c>
      <c r="M400" t="inlineStr">
        <is>
          <t>Lawlis, Merritt E. (Merritt Eugene), 1918-</t>
        </is>
      </c>
      <c r="N400" t="inlineStr">
        <is>
          <t>Bloomington : Indiana University Press, 1960.</t>
        </is>
      </c>
      <c r="O400" t="inlineStr">
        <is>
          <t>1960</t>
        </is>
      </c>
      <c r="Q400" t="inlineStr">
        <is>
          <t>eng</t>
        </is>
      </c>
      <c r="R400" t="inlineStr">
        <is>
          <t>inu</t>
        </is>
      </c>
      <c r="S400" t="inlineStr">
        <is>
          <t>Indiana University humanities series ; no. 46</t>
        </is>
      </c>
      <c r="T400" t="inlineStr">
        <is>
          <t xml:space="preserve">PR </t>
        </is>
      </c>
      <c r="U400" t="n">
        <v>1</v>
      </c>
      <c r="V400" t="n">
        <v>1</v>
      </c>
      <c r="W400" t="inlineStr">
        <is>
          <t>2002-04-22</t>
        </is>
      </c>
      <c r="X400" t="inlineStr">
        <is>
          <t>2002-04-22</t>
        </is>
      </c>
      <c r="Y400" t="inlineStr">
        <is>
          <t>2002-04-08</t>
        </is>
      </c>
      <c r="Z400" t="inlineStr">
        <is>
          <t>2002-04-08</t>
        </is>
      </c>
      <c r="AA400" t="n">
        <v>404</v>
      </c>
      <c r="AB400" t="n">
        <v>349</v>
      </c>
      <c r="AC400" t="n">
        <v>356</v>
      </c>
      <c r="AD400" t="n">
        <v>4</v>
      </c>
      <c r="AE400" t="n">
        <v>4</v>
      </c>
      <c r="AF400" t="n">
        <v>22</v>
      </c>
      <c r="AG400" t="n">
        <v>22</v>
      </c>
      <c r="AH400" t="n">
        <v>4</v>
      </c>
      <c r="AI400" t="n">
        <v>4</v>
      </c>
      <c r="AJ400" t="n">
        <v>7</v>
      </c>
      <c r="AK400" t="n">
        <v>7</v>
      </c>
      <c r="AL400" t="n">
        <v>12</v>
      </c>
      <c r="AM400" t="n">
        <v>12</v>
      </c>
      <c r="AN400" t="n">
        <v>3</v>
      </c>
      <c r="AO400" t="n">
        <v>3</v>
      </c>
      <c r="AP400" t="n">
        <v>0</v>
      </c>
      <c r="AQ400" t="n">
        <v>0</v>
      </c>
      <c r="AR400" t="inlineStr">
        <is>
          <t>Yes</t>
        </is>
      </c>
      <c r="AS400" t="inlineStr">
        <is>
          <t>No</t>
        </is>
      </c>
      <c r="AT400">
        <f>HYPERLINK("http://catalog.hathitrust.org/Record/001662952","HathiTrust Record")</f>
        <v/>
      </c>
      <c r="AU400">
        <f>HYPERLINK("https://creighton-primo.hosted.exlibrisgroup.com/primo-explore/search?tab=default_tab&amp;search_scope=EVERYTHING&amp;vid=01CRU&amp;lang=en_US&amp;offset=0&amp;query=any,contains,991003790969702656","Catalog Record")</f>
        <v/>
      </c>
      <c r="AV400">
        <f>HYPERLINK("http://www.worldcat.org/oclc/371469","WorldCat Record")</f>
        <v/>
      </c>
      <c r="AW400" t="inlineStr">
        <is>
          <t>319269516:eng</t>
        </is>
      </c>
      <c r="AX400" t="inlineStr">
        <is>
          <t>371469</t>
        </is>
      </c>
      <c r="AY400" t="inlineStr">
        <is>
          <t>991003790969702656</t>
        </is>
      </c>
      <c r="AZ400" t="inlineStr">
        <is>
          <t>991003790969702656</t>
        </is>
      </c>
      <c r="BA400" t="inlineStr">
        <is>
          <t>2260063510002656</t>
        </is>
      </c>
      <c r="BB400" t="inlineStr">
        <is>
          <t>BOOK</t>
        </is>
      </c>
      <c r="BE400" t="inlineStr">
        <is>
          <t>32285004478144</t>
        </is>
      </c>
      <c r="BF400" t="inlineStr">
        <is>
          <t>893441750</t>
        </is>
      </c>
    </row>
    <row r="401">
      <c r="A401" t="inlineStr">
        <is>
          <t>No</t>
        </is>
      </c>
      <c r="B401" t="inlineStr">
        <is>
          <t>CURAL</t>
        </is>
      </c>
      <c r="C401" t="inlineStr">
        <is>
          <t>SHELVES</t>
        </is>
      </c>
      <c r="D401" t="inlineStr">
        <is>
          <t>PR2244.D2 Z95 1981</t>
        </is>
      </c>
      <c r="E401" t="inlineStr">
        <is>
          <t>0                      PR 2244000D  2                  Z  95          1981</t>
        </is>
      </c>
      <c r="F401" t="inlineStr">
        <is>
          <t>Thomas Deloney / by Eugene P. Wright.</t>
        </is>
      </c>
      <c r="H401" t="inlineStr">
        <is>
          <t>No</t>
        </is>
      </c>
      <c r="I401" t="inlineStr">
        <is>
          <t>1</t>
        </is>
      </c>
      <c r="J401" t="inlineStr">
        <is>
          <t>No</t>
        </is>
      </c>
      <c r="K401" t="inlineStr">
        <is>
          <t>No</t>
        </is>
      </c>
      <c r="L401" t="inlineStr">
        <is>
          <t>0</t>
        </is>
      </c>
      <c r="M401" t="inlineStr">
        <is>
          <t>Wright, Eugene Patrick, 1936-</t>
        </is>
      </c>
      <c r="N401" t="inlineStr">
        <is>
          <t>Boston : Twayne Publishers, 1981.</t>
        </is>
      </c>
      <c r="O401" t="inlineStr">
        <is>
          <t>1981</t>
        </is>
      </c>
      <c r="Q401" t="inlineStr">
        <is>
          <t>eng</t>
        </is>
      </c>
      <c r="R401" t="inlineStr">
        <is>
          <t>mau</t>
        </is>
      </c>
      <c r="S401" t="inlineStr">
        <is>
          <t>Twayne's English authors series ; TEAS 323</t>
        </is>
      </c>
      <c r="T401" t="inlineStr">
        <is>
          <t xml:space="preserve">PR </t>
        </is>
      </c>
      <c r="U401" t="n">
        <v>2</v>
      </c>
      <c r="V401" t="n">
        <v>2</v>
      </c>
      <c r="W401" t="inlineStr">
        <is>
          <t>1999-09-15</t>
        </is>
      </c>
      <c r="X401" t="inlineStr">
        <is>
          <t>1999-09-15</t>
        </is>
      </c>
      <c r="Y401" t="inlineStr">
        <is>
          <t>1991-10-03</t>
        </is>
      </c>
      <c r="Z401" t="inlineStr">
        <is>
          <t>1991-10-03</t>
        </is>
      </c>
      <c r="AA401" t="n">
        <v>482</v>
      </c>
      <c r="AB401" t="n">
        <v>409</v>
      </c>
      <c r="AC401" t="n">
        <v>412</v>
      </c>
      <c r="AD401" t="n">
        <v>5</v>
      </c>
      <c r="AE401" t="n">
        <v>5</v>
      </c>
      <c r="AF401" t="n">
        <v>20</v>
      </c>
      <c r="AG401" t="n">
        <v>20</v>
      </c>
      <c r="AH401" t="n">
        <v>8</v>
      </c>
      <c r="AI401" t="n">
        <v>8</v>
      </c>
      <c r="AJ401" t="n">
        <v>3</v>
      </c>
      <c r="AK401" t="n">
        <v>3</v>
      </c>
      <c r="AL401" t="n">
        <v>12</v>
      </c>
      <c r="AM401" t="n">
        <v>12</v>
      </c>
      <c r="AN401" t="n">
        <v>4</v>
      </c>
      <c r="AO401" t="n">
        <v>4</v>
      </c>
      <c r="AP401" t="n">
        <v>0</v>
      </c>
      <c r="AQ401" t="n">
        <v>0</v>
      </c>
      <c r="AR401" t="inlineStr">
        <is>
          <t>No</t>
        </is>
      </c>
      <c r="AS401" t="inlineStr">
        <is>
          <t>Yes</t>
        </is>
      </c>
      <c r="AT401">
        <f>HYPERLINK("http://catalog.hathitrust.org/Record/000222815","HathiTrust Record")</f>
        <v/>
      </c>
      <c r="AU401">
        <f>HYPERLINK("https://creighton-primo.hosted.exlibrisgroup.com/primo-explore/search?tab=default_tab&amp;search_scope=EVERYTHING&amp;vid=01CRU&amp;lang=en_US&amp;offset=0&amp;query=any,contains,991005088729702656","Catalog Record")</f>
        <v/>
      </c>
      <c r="AV401">
        <f>HYPERLINK("http://www.worldcat.org/oclc/7204575","WorldCat Record")</f>
        <v/>
      </c>
      <c r="AW401" t="inlineStr">
        <is>
          <t>25454998:eng</t>
        </is>
      </c>
      <c r="AX401" t="inlineStr">
        <is>
          <t>7204575</t>
        </is>
      </c>
      <c r="AY401" t="inlineStr">
        <is>
          <t>991005088729702656</t>
        </is>
      </c>
      <c r="AZ401" t="inlineStr">
        <is>
          <t>991005088729702656</t>
        </is>
      </c>
      <c r="BA401" t="inlineStr">
        <is>
          <t>2265155160002656</t>
        </is>
      </c>
      <c r="BB401" t="inlineStr">
        <is>
          <t>BOOK</t>
        </is>
      </c>
      <c r="BD401" t="inlineStr">
        <is>
          <t>9780805767612</t>
        </is>
      </c>
      <c r="BE401" t="inlineStr">
        <is>
          <t>32285000770650</t>
        </is>
      </c>
      <c r="BF401" t="inlineStr">
        <is>
          <t>893613096</t>
        </is>
      </c>
    </row>
    <row r="402">
      <c r="A402" t="inlineStr">
        <is>
          <t>No</t>
        </is>
      </c>
      <c r="B402" t="inlineStr">
        <is>
          <t>CURAL</t>
        </is>
      </c>
      <c r="C402" t="inlineStr">
        <is>
          <t>SHELVES</t>
        </is>
      </c>
      <c r="D402" t="inlineStr">
        <is>
          <t>PR2247 .S633</t>
        </is>
      </c>
      <c r="E402" t="inlineStr">
        <is>
          <t>0                      PR 2247000S  633</t>
        </is>
      </c>
      <c r="F402" t="inlineStr">
        <is>
          <t>John Donne, Petrarchist : Italianate conceits and love theory in the Songs and sonets / by Donald L. Guss.</t>
        </is>
      </c>
      <c r="H402" t="inlineStr">
        <is>
          <t>No</t>
        </is>
      </c>
      <c r="I402" t="inlineStr">
        <is>
          <t>1</t>
        </is>
      </c>
      <c r="J402" t="inlineStr">
        <is>
          <t>No</t>
        </is>
      </c>
      <c r="K402" t="inlineStr">
        <is>
          <t>No</t>
        </is>
      </c>
      <c r="L402" t="inlineStr">
        <is>
          <t>0</t>
        </is>
      </c>
      <c r="M402" t="inlineStr">
        <is>
          <t>Guss, Donald L.</t>
        </is>
      </c>
      <c r="N402" t="inlineStr">
        <is>
          <t>Detroit : Wayne State University Press, 1966.</t>
        </is>
      </c>
      <c r="O402" t="inlineStr">
        <is>
          <t>1966</t>
        </is>
      </c>
      <c r="Q402" t="inlineStr">
        <is>
          <t>eng</t>
        </is>
      </c>
      <c r="R402" t="inlineStr">
        <is>
          <t>miu</t>
        </is>
      </c>
      <c r="T402" t="inlineStr">
        <is>
          <t xml:space="preserve">PR </t>
        </is>
      </c>
      <c r="U402" t="n">
        <v>6</v>
      </c>
      <c r="V402" t="n">
        <v>6</v>
      </c>
      <c r="W402" t="inlineStr">
        <is>
          <t>1996-12-01</t>
        </is>
      </c>
      <c r="X402" t="inlineStr">
        <is>
          <t>1996-12-01</t>
        </is>
      </c>
      <c r="Y402" t="inlineStr">
        <is>
          <t>1990-09-06</t>
        </is>
      </c>
      <c r="Z402" t="inlineStr">
        <is>
          <t>1990-09-06</t>
        </is>
      </c>
      <c r="AA402" t="n">
        <v>788</v>
      </c>
      <c r="AB402" t="n">
        <v>657</v>
      </c>
      <c r="AC402" t="n">
        <v>661</v>
      </c>
      <c r="AD402" t="n">
        <v>8</v>
      </c>
      <c r="AE402" t="n">
        <v>8</v>
      </c>
      <c r="AF402" t="n">
        <v>41</v>
      </c>
      <c r="AG402" t="n">
        <v>41</v>
      </c>
      <c r="AH402" t="n">
        <v>15</v>
      </c>
      <c r="AI402" t="n">
        <v>15</v>
      </c>
      <c r="AJ402" t="n">
        <v>8</v>
      </c>
      <c r="AK402" t="n">
        <v>8</v>
      </c>
      <c r="AL402" t="n">
        <v>21</v>
      </c>
      <c r="AM402" t="n">
        <v>21</v>
      </c>
      <c r="AN402" t="n">
        <v>7</v>
      </c>
      <c r="AO402" t="n">
        <v>7</v>
      </c>
      <c r="AP402" t="n">
        <v>0</v>
      </c>
      <c r="AQ402" t="n">
        <v>0</v>
      </c>
      <c r="AR402" t="inlineStr">
        <is>
          <t>No</t>
        </is>
      </c>
      <c r="AS402" t="inlineStr">
        <is>
          <t>Yes</t>
        </is>
      </c>
      <c r="AT402">
        <f>HYPERLINK("http://catalog.hathitrust.org/Record/001375359","HathiTrust Record")</f>
        <v/>
      </c>
      <c r="AU402">
        <f>HYPERLINK("https://creighton-primo.hosted.exlibrisgroup.com/primo-explore/search?tab=default_tab&amp;search_scope=EVERYTHING&amp;vid=01CRU&amp;lang=en_US&amp;offset=0&amp;query=any,contains,991001405469702656","Catalog Record")</f>
        <v/>
      </c>
      <c r="AV402">
        <f>HYPERLINK("http://www.worldcat.org/oclc/229880","WorldCat Record")</f>
        <v/>
      </c>
      <c r="AW402" t="inlineStr">
        <is>
          <t>1350976:eng</t>
        </is>
      </c>
      <c r="AX402" t="inlineStr">
        <is>
          <t>229880</t>
        </is>
      </c>
      <c r="AY402" t="inlineStr">
        <is>
          <t>991001405469702656</t>
        </is>
      </c>
      <c r="AZ402" t="inlineStr">
        <is>
          <t>991001405469702656</t>
        </is>
      </c>
      <c r="BA402" t="inlineStr">
        <is>
          <t>2255374210002656</t>
        </is>
      </c>
      <c r="BB402" t="inlineStr">
        <is>
          <t>BOOK</t>
        </is>
      </c>
      <c r="BE402" t="inlineStr">
        <is>
          <t>32285000300433</t>
        </is>
      </c>
      <c r="BF402" t="inlineStr">
        <is>
          <t>893703006</t>
        </is>
      </c>
    </row>
    <row r="403">
      <c r="A403" t="inlineStr">
        <is>
          <t>No</t>
        </is>
      </c>
      <c r="B403" t="inlineStr">
        <is>
          <t>CURAL</t>
        </is>
      </c>
      <c r="C403" t="inlineStr">
        <is>
          <t>SHELVES</t>
        </is>
      </c>
      <c r="D403" t="inlineStr">
        <is>
          <t>PR2247.S63 M34 1984</t>
        </is>
      </c>
      <c r="E403" t="inlineStr">
        <is>
          <t>0                      PR 2247000S  63                 M  34          1984</t>
        </is>
      </c>
      <c r="F403" t="inlineStr">
        <is>
          <t>A lecture in love's philosophy : Donne's vision of the world of human love in the Songs and sonets / Dennis J. McKevlin.</t>
        </is>
      </c>
      <c r="H403" t="inlineStr">
        <is>
          <t>No</t>
        </is>
      </c>
      <c r="I403" t="inlineStr">
        <is>
          <t>1</t>
        </is>
      </c>
      <c r="J403" t="inlineStr">
        <is>
          <t>No</t>
        </is>
      </c>
      <c r="K403" t="inlineStr">
        <is>
          <t>No</t>
        </is>
      </c>
      <c r="L403" t="inlineStr">
        <is>
          <t>0</t>
        </is>
      </c>
      <c r="M403" t="inlineStr">
        <is>
          <t>McKevlin, Dennis J., 1925-</t>
        </is>
      </c>
      <c r="N403" t="inlineStr">
        <is>
          <t>Lanham, MD : University Press of America, c1984.</t>
        </is>
      </c>
      <c r="O403" t="inlineStr">
        <is>
          <t>1984</t>
        </is>
      </c>
      <c r="Q403" t="inlineStr">
        <is>
          <t>eng</t>
        </is>
      </c>
      <c r="R403" t="inlineStr">
        <is>
          <t>mdu</t>
        </is>
      </c>
      <c r="T403" t="inlineStr">
        <is>
          <t xml:space="preserve">PR </t>
        </is>
      </c>
      <c r="U403" t="n">
        <v>13</v>
      </c>
      <c r="V403" t="n">
        <v>13</v>
      </c>
      <c r="W403" t="inlineStr">
        <is>
          <t>2001-12-02</t>
        </is>
      </c>
      <c r="X403" t="inlineStr">
        <is>
          <t>2001-12-02</t>
        </is>
      </c>
      <c r="Y403" t="inlineStr">
        <is>
          <t>1991-10-03</t>
        </is>
      </c>
      <c r="Z403" t="inlineStr">
        <is>
          <t>1991-10-03</t>
        </is>
      </c>
      <c r="AA403" t="n">
        <v>174</v>
      </c>
      <c r="AB403" t="n">
        <v>134</v>
      </c>
      <c r="AC403" t="n">
        <v>137</v>
      </c>
      <c r="AD403" t="n">
        <v>2</v>
      </c>
      <c r="AE403" t="n">
        <v>2</v>
      </c>
      <c r="AF403" t="n">
        <v>3</v>
      </c>
      <c r="AG403" t="n">
        <v>3</v>
      </c>
      <c r="AH403" t="n">
        <v>1</v>
      </c>
      <c r="AI403" t="n">
        <v>1</v>
      </c>
      <c r="AJ403" t="n">
        <v>0</v>
      </c>
      <c r="AK403" t="n">
        <v>0</v>
      </c>
      <c r="AL403" t="n">
        <v>2</v>
      </c>
      <c r="AM403" t="n">
        <v>2</v>
      </c>
      <c r="AN403" t="n">
        <v>1</v>
      </c>
      <c r="AO403" t="n">
        <v>1</v>
      </c>
      <c r="AP403" t="n">
        <v>0</v>
      </c>
      <c r="AQ403" t="n">
        <v>0</v>
      </c>
      <c r="AR403" t="inlineStr">
        <is>
          <t>No</t>
        </is>
      </c>
      <c r="AS403" t="inlineStr">
        <is>
          <t>Yes</t>
        </is>
      </c>
      <c r="AT403">
        <f>HYPERLINK("http://catalog.hathitrust.org/Record/000351553","HathiTrust Record")</f>
        <v/>
      </c>
      <c r="AU403">
        <f>HYPERLINK("https://creighton-primo.hosted.exlibrisgroup.com/primo-explore/search?tab=default_tab&amp;search_scope=EVERYTHING&amp;vid=01CRU&amp;lang=en_US&amp;offset=0&amp;query=any,contains,991000446939702656","Catalog Record")</f>
        <v/>
      </c>
      <c r="AV403">
        <f>HYPERLINK("http://www.worldcat.org/oclc/10851470","WorldCat Record")</f>
        <v/>
      </c>
      <c r="AW403" t="inlineStr">
        <is>
          <t>375266211:eng</t>
        </is>
      </c>
      <c r="AX403" t="inlineStr">
        <is>
          <t>10851470</t>
        </is>
      </c>
      <c r="AY403" t="inlineStr">
        <is>
          <t>991000446939702656</t>
        </is>
      </c>
      <c r="AZ403" t="inlineStr">
        <is>
          <t>991000446939702656</t>
        </is>
      </c>
      <c r="BA403" t="inlineStr">
        <is>
          <t>2272302240002656</t>
        </is>
      </c>
      <c r="BB403" t="inlineStr">
        <is>
          <t>BOOK</t>
        </is>
      </c>
      <c r="BD403" t="inlineStr">
        <is>
          <t>9780819140401</t>
        </is>
      </c>
      <c r="BE403" t="inlineStr">
        <is>
          <t>32285000770700</t>
        </is>
      </c>
      <c r="BF403" t="inlineStr">
        <is>
          <t>893413370</t>
        </is>
      </c>
    </row>
    <row r="404">
      <c r="A404" t="inlineStr">
        <is>
          <t>No</t>
        </is>
      </c>
      <c r="B404" t="inlineStr">
        <is>
          <t>CURAL</t>
        </is>
      </c>
      <c r="C404" t="inlineStr">
        <is>
          <t>SHELVES</t>
        </is>
      </c>
      <c r="D404" t="inlineStr">
        <is>
          <t>PR2248 .B3</t>
        </is>
      </c>
      <c r="E404" t="inlineStr">
        <is>
          <t>0                      PR 2248000B  3</t>
        </is>
      </c>
      <c r="F404" t="inlineStr">
        <is>
          <t>Donne's influence in English literature / by R. C. Bald.</t>
        </is>
      </c>
      <c r="H404" t="inlineStr">
        <is>
          <t>No</t>
        </is>
      </c>
      <c r="I404" t="inlineStr">
        <is>
          <t>1</t>
        </is>
      </c>
      <c r="J404" t="inlineStr">
        <is>
          <t>No</t>
        </is>
      </c>
      <c r="K404" t="inlineStr">
        <is>
          <t>No</t>
        </is>
      </c>
      <c r="L404" t="inlineStr">
        <is>
          <t>0</t>
        </is>
      </c>
      <c r="M404" t="inlineStr">
        <is>
          <t>Bald, R. C. (Robert Cecil), 1901-1965.</t>
        </is>
      </c>
      <c r="N404" t="inlineStr">
        <is>
          <t>Morphet, Eng. : St. John's College Press, 1932.</t>
        </is>
      </c>
      <c r="O404" t="inlineStr">
        <is>
          <t>1932</t>
        </is>
      </c>
      <c r="Q404" t="inlineStr">
        <is>
          <t>eng</t>
        </is>
      </c>
      <c r="R404" t="inlineStr">
        <is>
          <t>mau</t>
        </is>
      </c>
      <c r="T404" t="inlineStr">
        <is>
          <t xml:space="preserve">PR </t>
        </is>
      </c>
      <c r="U404" t="n">
        <v>3</v>
      </c>
      <c r="V404" t="n">
        <v>3</v>
      </c>
      <c r="W404" t="inlineStr">
        <is>
          <t>1993-04-29</t>
        </is>
      </c>
      <c r="X404" t="inlineStr">
        <is>
          <t>1993-04-29</t>
        </is>
      </c>
      <c r="Y404" t="inlineStr">
        <is>
          <t>1990-09-06</t>
        </is>
      </c>
      <c r="Z404" t="inlineStr">
        <is>
          <t>1990-09-06</t>
        </is>
      </c>
      <c r="AA404" t="n">
        <v>74</v>
      </c>
      <c r="AB404" t="n">
        <v>52</v>
      </c>
      <c r="AC404" t="n">
        <v>380</v>
      </c>
      <c r="AD404" t="n">
        <v>1</v>
      </c>
      <c r="AE404" t="n">
        <v>2</v>
      </c>
      <c r="AF404" t="n">
        <v>4</v>
      </c>
      <c r="AG404" t="n">
        <v>18</v>
      </c>
      <c r="AH404" t="n">
        <v>1</v>
      </c>
      <c r="AI404" t="n">
        <v>9</v>
      </c>
      <c r="AJ404" t="n">
        <v>0</v>
      </c>
      <c r="AK404" t="n">
        <v>4</v>
      </c>
      <c r="AL404" t="n">
        <v>4</v>
      </c>
      <c r="AM404" t="n">
        <v>10</v>
      </c>
      <c r="AN404" t="n">
        <v>0</v>
      </c>
      <c r="AO404" t="n">
        <v>1</v>
      </c>
      <c r="AP404" t="n">
        <v>0</v>
      </c>
      <c r="AQ404" t="n">
        <v>0</v>
      </c>
      <c r="AR404" t="inlineStr">
        <is>
          <t>No</t>
        </is>
      </c>
      <c r="AS404" t="inlineStr">
        <is>
          <t>No</t>
        </is>
      </c>
      <c r="AU404">
        <f>HYPERLINK("https://creighton-primo.hosted.exlibrisgroup.com/primo-explore/search?tab=default_tab&amp;search_scope=EVERYTHING&amp;vid=01CRU&amp;lang=en_US&amp;offset=0&amp;query=any,contains,991004982509702656","Catalog Record")</f>
        <v/>
      </c>
      <c r="AV404">
        <f>HYPERLINK("http://www.worldcat.org/oclc/6429995","WorldCat Record")</f>
        <v/>
      </c>
      <c r="AW404" t="inlineStr">
        <is>
          <t>2075571:eng</t>
        </is>
      </c>
      <c r="AX404" t="inlineStr">
        <is>
          <t>6429995</t>
        </is>
      </c>
      <c r="AY404" t="inlineStr">
        <is>
          <t>991004982509702656</t>
        </is>
      </c>
      <c r="AZ404" t="inlineStr">
        <is>
          <t>991004982509702656</t>
        </is>
      </c>
      <c r="BA404" t="inlineStr">
        <is>
          <t>2263075090002656</t>
        </is>
      </c>
      <c r="BB404" t="inlineStr">
        <is>
          <t>BOOK</t>
        </is>
      </c>
      <c r="BE404" t="inlineStr">
        <is>
          <t>32285000300425</t>
        </is>
      </c>
      <c r="BF404" t="inlineStr">
        <is>
          <t>893332239</t>
        </is>
      </c>
    </row>
    <row r="405">
      <c r="A405" t="inlineStr">
        <is>
          <t>No</t>
        </is>
      </c>
      <c r="B405" t="inlineStr">
        <is>
          <t>CURAL</t>
        </is>
      </c>
      <c r="C405" t="inlineStr">
        <is>
          <t>SHELVES</t>
        </is>
      </c>
      <c r="D405" t="inlineStr">
        <is>
          <t>PR2248 .B35 1970b</t>
        </is>
      </c>
      <c r="E405" t="inlineStr">
        <is>
          <t>0                      PR 2248000B  35          1970b</t>
        </is>
      </c>
      <c r="F405" t="inlineStr">
        <is>
          <t>John Donne, a life / [by] R. C. Bald.</t>
        </is>
      </c>
      <c r="H405" t="inlineStr">
        <is>
          <t>No</t>
        </is>
      </c>
      <c r="I405" t="inlineStr">
        <is>
          <t>1</t>
        </is>
      </c>
      <c r="J405" t="inlineStr">
        <is>
          <t>No</t>
        </is>
      </c>
      <c r="K405" t="inlineStr">
        <is>
          <t>No</t>
        </is>
      </c>
      <c r="L405" t="inlineStr">
        <is>
          <t>0</t>
        </is>
      </c>
      <c r="M405" t="inlineStr">
        <is>
          <t>Bald, R. C. (Robert Cecil), 1901-1965.</t>
        </is>
      </c>
      <c r="N405" t="inlineStr">
        <is>
          <t>New York : Oxford University Press, 1970.</t>
        </is>
      </c>
      <c r="O405" t="inlineStr">
        <is>
          <t>1970</t>
        </is>
      </c>
      <c r="Q405" t="inlineStr">
        <is>
          <t>eng</t>
        </is>
      </c>
      <c r="R405" t="inlineStr">
        <is>
          <t>nyu</t>
        </is>
      </c>
      <c r="T405" t="inlineStr">
        <is>
          <t xml:space="preserve">PR </t>
        </is>
      </c>
      <c r="U405" t="n">
        <v>1</v>
      </c>
      <c r="V405" t="n">
        <v>1</v>
      </c>
      <c r="W405" t="inlineStr">
        <is>
          <t>1995-01-30</t>
        </is>
      </c>
      <c r="X405" t="inlineStr">
        <is>
          <t>1995-01-30</t>
        </is>
      </c>
      <c r="Y405" t="inlineStr">
        <is>
          <t>1990-09-06</t>
        </is>
      </c>
      <c r="Z405" t="inlineStr">
        <is>
          <t>1990-09-06</t>
        </is>
      </c>
      <c r="AA405" t="n">
        <v>1308</v>
      </c>
      <c r="AB405" t="n">
        <v>1244</v>
      </c>
      <c r="AC405" t="n">
        <v>1372</v>
      </c>
      <c r="AD405" t="n">
        <v>8</v>
      </c>
      <c r="AE405" t="n">
        <v>9</v>
      </c>
      <c r="AF405" t="n">
        <v>48</v>
      </c>
      <c r="AG405" t="n">
        <v>54</v>
      </c>
      <c r="AH405" t="n">
        <v>21</v>
      </c>
      <c r="AI405" t="n">
        <v>24</v>
      </c>
      <c r="AJ405" t="n">
        <v>10</v>
      </c>
      <c r="AK405" t="n">
        <v>11</v>
      </c>
      <c r="AL405" t="n">
        <v>22</v>
      </c>
      <c r="AM405" t="n">
        <v>25</v>
      </c>
      <c r="AN405" t="n">
        <v>7</v>
      </c>
      <c r="AO405" t="n">
        <v>8</v>
      </c>
      <c r="AP405" t="n">
        <v>0</v>
      </c>
      <c r="AQ405" t="n">
        <v>0</v>
      </c>
      <c r="AR405" t="inlineStr">
        <is>
          <t>No</t>
        </is>
      </c>
      <c r="AS405" t="inlineStr">
        <is>
          <t>Yes</t>
        </is>
      </c>
      <c r="AT405">
        <f>HYPERLINK("http://catalog.hathitrust.org/Record/001017321","HathiTrust Record")</f>
        <v/>
      </c>
      <c r="AU405">
        <f>HYPERLINK("https://creighton-primo.hosted.exlibrisgroup.com/primo-explore/search?tab=default_tab&amp;search_scope=EVERYTHING&amp;vid=01CRU&amp;lang=en_US&amp;offset=0&amp;query=any,contains,991000209839702656","Catalog Record")</f>
        <v/>
      </c>
      <c r="AV405">
        <f>HYPERLINK("http://www.worldcat.org/oclc/66265","WorldCat Record")</f>
        <v/>
      </c>
      <c r="AW405" t="inlineStr">
        <is>
          <t>414630:eng</t>
        </is>
      </c>
      <c r="AX405" t="inlineStr">
        <is>
          <t>66265</t>
        </is>
      </c>
      <c r="AY405" t="inlineStr">
        <is>
          <t>991000209839702656</t>
        </is>
      </c>
      <c r="AZ405" t="inlineStr">
        <is>
          <t>991000209839702656</t>
        </is>
      </c>
      <c r="BA405" t="inlineStr">
        <is>
          <t>2258826840002656</t>
        </is>
      </c>
      <c r="BB405" t="inlineStr">
        <is>
          <t>BOOK</t>
        </is>
      </c>
      <c r="BE405" t="inlineStr">
        <is>
          <t>32285000300417</t>
        </is>
      </c>
      <c r="BF405" t="inlineStr">
        <is>
          <t>893413189</t>
        </is>
      </c>
    </row>
    <row r="406">
      <c r="A406" t="inlineStr">
        <is>
          <t>No</t>
        </is>
      </c>
      <c r="B406" t="inlineStr">
        <is>
          <t>CURAL</t>
        </is>
      </c>
      <c r="C406" t="inlineStr">
        <is>
          <t>SHELVES</t>
        </is>
      </c>
      <c r="D406" t="inlineStr">
        <is>
          <t>PR2248 .C37 1975</t>
        </is>
      </c>
      <c r="E406" t="inlineStr">
        <is>
          <t>0                      PR 2248000C  37          1975</t>
        </is>
      </c>
      <c r="F406" t="inlineStr">
        <is>
          <t>Doubting conscience : Donne and the poetry of moral argument / Dwight Cathcart.</t>
        </is>
      </c>
      <c r="H406" t="inlineStr">
        <is>
          <t>No</t>
        </is>
      </c>
      <c r="I406" t="inlineStr">
        <is>
          <t>1</t>
        </is>
      </c>
      <c r="J406" t="inlineStr">
        <is>
          <t>No</t>
        </is>
      </c>
      <c r="K406" t="inlineStr">
        <is>
          <t>No</t>
        </is>
      </c>
      <c r="L406" t="inlineStr">
        <is>
          <t>0</t>
        </is>
      </c>
      <c r="M406" t="inlineStr">
        <is>
          <t>Cathcart, Dwight.</t>
        </is>
      </c>
      <c r="N406" t="inlineStr">
        <is>
          <t>Ann Arbor : University of Michigan Press, c1975.</t>
        </is>
      </c>
      <c r="O406" t="inlineStr">
        <is>
          <t>1975</t>
        </is>
      </c>
      <c r="Q406" t="inlineStr">
        <is>
          <t>eng</t>
        </is>
      </c>
      <c r="R406" t="inlineStr">
        <is>
          <t>miu</t>
        </is>
      </c>
      <c r="T406" t="inlineStr">
        <is>
          <t xml:space="preserve">PR </t>
        </is>
      </c>
      <c r="U406" t="n">
        <v>2</v>
      </c>
      <c r="V406" t="n">
        <v>2</v>
      </c>
      <c r="W406" t="inlineStr">
        <is>
          <t>1994-02-06</t>
        </is>
      </c>
      <c r="X406" t="inlineStr">
        <is>
          <t>1994-02-06</t>
        </is>
      </c>
      <c r="Y406" t="inlineStr">
        <is>
          <t>1991-10-03</t>
        </is>
      </c>
      <c r="Z406" t="inlineStr">
        <is>
          <t>1991-10-03</t>
        </is>
      </c>
      <c r="AA406" t="n">
        <v>708</v>
      </c>
      <c r="AB406" t="n">
        <v>589</v>
      </c>
      <c r="AC406" t="n">
        <v>592</v>
      </c>
      <c r="AD406" t="n">
        <v>4</v>
      </c>
      <c r="AE406" t="n">
        <v>4</v>
      </c>
      <c r="AF406" t="n">
        <v>32</v>
      </c>
      <c r="AG406" t="n">
        <v>32</v>
      </c>
      <c r="AH406" t="n">
        <v>14</v>
      </c>
      <c r="AI406" t="n">
        <v>14</v>
      </c>
      <c r="AJ406" t="n">
        <v>7</v>
      </c>
      <c r="AK406" t="n">
        <v>7</v>
      </c>
      <c r="AL406" t="n">
        <v>16</v>
      </c>
      <c r="AM406" t="n">
        <v>16</v>
      </c>
      <c r="AN406" t="n">
        <v>3</v>
      </c>
      <c r="AO406" t="n">
        <v>3</v>
      </c>
      <c r="AP406" t="n">
        <v>0</v>
      </c>
      <c r="AQ406" t="n">
        <v>0</v>
      </c>
      <c r="AR406" t="inlineStr">
        <is>
          <t>No</t>
        </is>
      </c>
      <c r="AS406" t="inlineStr">
        <is>
          <t>Yes</t>
        </is>
      </c>
      <c r="AT406">
        <f>HYPERLINK("http://catalog.hathitrust.org/Record/000684739","HathiTrust Record")</f>
        <v/>
      </c>
      <c r="AU406">
        <f>HYPERLINK("https://creighton-primo.hosted.exlibrisgroup.com/primo-explore/search?tab=default_tab&amp;search_scope=EVERYTHING&amp;vid=01CRU&amp;lang=en_US&amp;offset=0&amp;query=any,contains,991003907319702656","Catalog Record")</f>
        <v/>
      </c>
      <c r="AV406">
        <f>HYPERLINK("http://www.worldcat.org/oclc/1842143","WorldCat Record")</f>
        <v/>
      </c>
      <c r="AW406" t="inlineStr">
        <is>
          <t>890036026:eng</t>
        </is>
      </c>
      <c r="AX406" t="inlineStr">
        <is>
          <t>1842143</t>
        </is>
      </c>
      <c r="AY406" t="inlineStr">
        <is>
          <t>991003907319702656</t>
        </is>
      </c>
      <c r="AZ406" t="inlineStr">
        <is>
          <t>991003907319702656</t>
        </is>
      </c>
      <c r="BA406" t="inlineStr">
        <is>
          <t>2263640320002656</t>
        </is>
      </c>
      <c r="BB406" t="inlineStr">
        <is>
          <t>BOOK</t>
        </is>
      </c>
      <c r="BD406" t="inlineStr">
        <is>
          <t>9780472081981</t>
        </is>
      </c>
      <c r="BE406" t="inlineStr">
        <is>
          <t>32285000770726</t>
        </is>
      </c>
      <c r="BF406" t="inlineStr">
        <is>
          <t>893525411</t>
        </is>
      </c>
    </row>
    <row r="407">
      <c r="A407" t="inlineStr">
        <is>
          <t>No</t>
        </is>
      </c>
      <c r="B407" t="inlineStr">
        <is>
          <t>CURAL</t>
        </is>
      </c>
      <c r="C407" t="inlineStr">
        <is>
          <t>SHELVES</t>
        </is>
      </c>
      <c r="D407" t="inlineStr">
        <is>
          <t>PR2248 .F5</t>
        </is>
      </c>
      <c r="E407" t="inlineStr">
        <is>
          <t>0                      PR 2248000F  5</t>
        </is>
      </c>
      <c r="F407" t="inlineStr">
        <is>
          <t>Just so much honor : essays commemorating the four-hundredth anniversary of the birth of John Donne / edited by Peter Amadeus Fiore.</t>
        </is>
      </c>
      <c r="H407" t="inlineStr">
        <is>
          <t>No</t>
        </is>
      </c>
      <c r="I407" t="inlineStr">
        <is>
          <t>1</t>
        </is>
      </c>
      <c r="J407" t="inlineStr">
        <is>
          <t>No</t>
        </is>
      </c>
      <c r="K407" t="inlineStr">
        <is>
          <t>No</t>
        </is>
      </c>
      <c r="L407" t="inlineStr">
        <is>
          <t>0</t>
        </is>
      </c>
      <c r="M407" t="inlineStr">
        <is>
          <t>Fiore, Peter Amadeus, 1927-</t>
        </is>
      </c>
      <c r="N407" t="inlineStr">
        <is>
          <t>University Park : Pennsylvania State University Press, [1972]</t>
        </is>
      </c>
      <c r="O407" t="inlineStr">
        <is>
          <t>1972</t>
        </is>
      </c>
      <c r="Q407" t="inlineStr">
        <is>
          <t>eng</t>
        </is>
      </c>
      <c r="R407" t="inlineStr">
        <is>
          <t>pau</t>
        </is>
      </c>
      <c r="T407" t="inlineStr">
        <is>
          <t xml:space="preserve">PR </t>
        </is>
      </c>
      <c r="U407" t="n">
        <v>2</v>
      </c>
      <c r="V407" t="n">
        <v>2</v>
      </c>
      <c r="W407" t="inlineStr">
        <is>
          <t>1995-04-11</t>
        </is>
      </c>
      <c r="X407" t="inlineStr">
        <is>
          <t>1995-04-11</t>
        </is>
      </c>
      <c r="Y407" t="inlineStr">
        <is>
          <t>1994-09-27</t>
        </is>
      </c>
      <c r="Z407" t="inlineStr">
        <is>
          <t>1994-09-27</t>
        </is>
      </c>
      <c r="AA407" t="n">
        <v>728</v>
      </c>
      <c r="AB407" t="n">
        <v>589</v>
      </c>
      <c r="AC407" t="n">
        <v>598</v>
      </c>
      <c r="AD407" t="n">
        <v>6</v>
      </c>
      <c r="AE407" t="n">
        <v>6</v>
      </c>
      <c r="AF407" t="n">
        <v>30</v>
      </c>
      <c r="AG407" t="n">
        <v>30</v>
      </c>
      <c r="AH407" t="n">
        <v>11</v>
      </c>
      <c r="AI407" t="n">
        <v>11</v>
      </c>
      <c r="AJ407" t="n">
        <v>7</v>
      </c>
      <c r="AK407" t="n">
        <v>7</v>
      </c>
      <c r="AL407" t="n">
        <v>17</v>
      </c>
      <c r="AM407" t="n">
        <v>17</v>
      </c>
      <c r="AN407" t="n">
        <v>5</v>
      </c>
      <c r="AO407" t="n">
        <v>5</v>
      </c>
      <c r="AP407" t="n">
        <v>0</v>
      </c>
      <c r="AQ407" t="n">
        <v>0</v>
      </c>
      <c r="AR407" t="inlineStr">
        <is>
          <t>No</t>
        </is>
      </c>
      <c r="AS407" t="inlineStr">
        <is>
          <t>Yes</t>
        </is>
      </c>
      <c r="AT407">
        <f>HYPERLINK("http://catalog.hathitrust.org/Record/001375356","HathiTrust Record")</f>
        <v/>
      </c>
      <c r="AU407">
        <f>HYPERLINK("https://creighton-primo.hosted.exlibrisgroup.com/primo-explore/search?tab=default_tab&amp;search_scope=EVERYTHING&amp;vid=01CRU&amp;lang=en_US&amp;offset=0&amp;query=any,contains,991001218519702656","Catalog Record")</f>
        <v/>
      </c>
      <c r="AV407">
        <f>HYPERLINK("http://www.worldcat.org/oclc/195550","WorldCat Record")</f>
        <v/>
      </c>
      <c r="AW407" t="inlineStr">
        <is>
          <t>8907639907:eng</t>
        </is>
      </c>
      <c r="AX407" t="inlineStr">
        <is>
          <t>195550</t>
        </is>
      </c>
      <c r="AY407" t="inlineStr">
        <is>
          <t>991001218519702656</t>
        </is>
      </c>
      <c r="AZ407" t="inlineStr">
        <is>
          <t>991001218519702656</t>
        </is>
      </c>
      <c r="BA407" t="inlineStr">
        <is>
          <t>2267172960002656</t>
        </is>
      </c>
      <c r="BB407" t="inlineStr">
        <is>
          <t>BOOK</t>
        </is>
      </c>
      <c r="BD407" t="inlineStr">
        <is>
          <t>9780271005546</t>
        </is>
      </c>
      <c r="BE407" t="inlineStr">
        <is>
          <t>32285001952182</t>
        </is>
      </c>
      <c r="BF407" t="inlineStr">
        <is>
          <t>893709097</t>
        </is>
      </c>
    </row>
    <row r="408">
      <c r="A408" t="inlineStr">
        <is>
          <t>No</t>
        </is>
      </c>
      <c r="B408" t="inlineStr">
        <is>
          <t>CURAL</t>
        </is>
      </c>
      <c r="C408" t="inlineStr">
        <is>
          <t>SHELVES</t>
        </is>
      </c>
      <c r="D408" t="inlineStr">
        <is>
          <t>PR2248 .G25</t>
        </is>
      </c>
      <c r="E408" t="inlineStr">
        <is>
          <t>0                      PR 2248000G  25</t>
        </is>
      </c>
      <c r="F408" t="inlineStr">
        <is>
          <t>John Donne : a collection of critical essays.</t>
        </is>
      </c>
      <c r="H408" t="inlineStr">
        <is>
          <t>No</t>
        </is>
      </c>
      <c r="I408" t="inlineStr">
        <is>
          <t>1</t>
        </is>
      </c>
      <c r="J408" t="inlineStr">
        <is>
          <t>No</t>
        </is>
      </c>
      <c r="K408" t="inlineStr">
        <is>
          <t>No</t>
        </is>
      </c>
      <c r="L408" t="inlineStr">
        <is>
          <t>0</t>
        </is>
      </c>
      <c r="M408" t="inlineStr">
        <is>
          <t>Gardner, Helen, 1908-1986 editor.</t>
        </is>
      </c>
      <c r="N408" t="inlineStr">
        <is>
          <t>Englewood Cliffs, N.J. : Prentice-Hall, [1962]</t>
        </is>
      </c>
      <c r="O408" t="inlineStr">
        <is>
          <t>1962</t>
        </is>
      </c>
      <c r="Q408" t="inlineStr">
        <is>
          <t>eng</t>
        </is>
      </c>
      <c r="R408" t="inlineStr">
        <is>
          <t>nju</t>
        </is>
      </c>
      <c r="S408" t="inlineStr">
        <is>
          <t>A Spectrum book: Twentieth century views, STC-19</t>
        </is>
      </c>
      <c r="T408" t="inlineStr">
        <is>
          <t xml:space="preserve">PR </t>
        </is>
      </c>
      <c r="U408" t="n">
        <v>4</v>
      </c>
      <c r="V408" t="n">
        <v>4</v>
      </c>
      <c r="W408" t="inlineStr">
        <is>
          <t>1994-02-06</t>
        </is>
      </c>
      <c r="X408" t="inlineStr">
        <is>
          <t>1994-02-06</t>
        </is>
      </c>
      <c r="Y408" t="inlineStr">
        <is>
          <t>1990-09-06</t>
        </is>
      </c>
      <c r="Z408" t="inlineStr">
        <is>
          <t>1990-09-06</t>
        </is>
      </c>
      <c r="AA408" t="n">
        <v>2214</v>
      </c>
      <c r="AB408" t="n">
        <v>1960</v>
      </c>
      <c r="AC408" t="n">
        <v>1969</v>
      </c>
      <c r="AD408" t="n">
        <v>15</v>
      </c>
      <c r="AE408" t="n">
        <v>15</v>
      </c>
      <c r="AF408" t="n">
        <v>58</v>
      </c>
      <c r="AG408" t="n">
        <v>58</v>
      </c>
      <c r="AH408" t="n">
        <v>25</v>
      </c>
      <c r="AI408" t="n">
        <v>25</v>
      </c>
      <c r="AJ408" t="n">
        <v>9</v>
      </c>
      <c r="AK408" t="n">
        <v>9</v>
      </c>
      <c r="AL408" t="n">
        <v>24</v>
      </c>
      <c r="AM408" t="n">
        <v>24</v>
      </c>
      <c r="AN408" t="n">
        <v>11</v>
      </c>
      <c r="AO408" t="n">
        <v>11</v>
      </c>
      <c r="AP408" t="n">
        <v>0</v>
      </c>
      <c r="AQ408" t="n">
        <v>0</v>
      </c>
      <c r="AR408" t="inlineStr">
        <is>
          <t>No</t>
        </is>
      </c>
      <c r="AS408" t="inlineStr">
        <is>
          <t>No</t>
        </is>
      </c>
      <c r="AT408">
        <f>HYPERLINK("http://catalog.hathitrust.org/Record/001004323","HathiTrust Record")</f>
        <v/>
      </c>
      <c r="AU408">
        <f>HYPERLINK("https://creighton-primo.hosted.exlibrisgroup.com/primo-explore/search?tab=default_tab&amp;search_scope=EVERYTHING&amp;vid=01CRU&amp;lang=en_US&amp;offset=0&amp;query=any,contains,991002446069702656","Catalog Record")</f>
        <v/>
      </c>
      <c r="AV408">
        <f>HYPERLINK("http://www.worldcat.org/oclc/351569","WorldCat Record")</f>
        <v/>
      </c>
      <c r="AW408" t="inlineStr">
        <is>
          <t>2287187852:eng</t>
        </is>
      </c>
      <c r="AX408" t="inlineStr">
        <is>
          <t>351569</t>
        </is>
      </c>
      <c r="AY408" t="inlineStr">
        <is>
          <t>991002446069702656</t>
        </is>
      </c>
      <c r="AZ408" t="inlineStr">
        <is>
          <t>991002446069702656</t>
        </is>
      </c>
      <c r="BA408" t="inlineStr">
        <is>
          <t>2266915160002656</t>
        </is>
      </c>
      <c r="BB408" t="inlineStr">
        <is>
          <t>BOOK</t>
        </is>
      </c>
      <c r="BE408" t="inlineStr">
        <is>
          <t>32285000300383</t>
        </is>
      </c>
      <c r="BF408" t="inlineStr">
        <is>
          <t>893697787</t>
        </is>
      </c>
    </row>
    <row r="409">
      <c r="A409" t="inlineStr">
        <is>
          <t>No</t>
        </is>
      </c>
      <c r="B409" t="inlineStr">
        <is>
          <t>CURAL</t>
        </is>
      </c>
      <c r="C409" t="inlineStr">
        <is>
          <t>SHELVES</t>
        </is>
      </c>
      <c r="D409" t="inlineStr">
        <is>
          <t>PR2248 .G7 1969</t>
        </is>
      </c>
      <c r="E409" t="inlineStr">
        <is>
          <t>0                      PR 2248000G  7           1969</t>
        </is>
      </c>
      <c r="F409" t="inlineStr">
        <is>
          <t>John Donne / by K. W. Gransden.</t>
        </is>
      </c>
      <c r="H409" t="inlineStr">
        <is>
          <t>No</t>
        </is>
      </c>
      <c r="I409" t="inlineStr">
        <is>
          <t>1</t>
        </is>
      </c>
      <c r="J409" t="inlineStr">
        <is>
          <t>No</t>
        </is>
      </c>
      <c r="K409" t="inlineStr">
        <is>
          <t>No</t>
        </is>
      </c>
      <c r="L409" t="inlineStr">
        <is>
          <t>0</t>
        </is>
      </c>
      <c r="M409" t="inlineStr">
        <is>
          <t>Gransden, K. W.</t>
        </is>
      </c>
      <c r="N409" t="inlineStr">
        <is>
          <t>Hamden, Conn. : Archon Books, 1969.</t>
        </is>
      </c>
      <c r="O409" t="inlineStr">
        <is>
          <t>1969</t>
        </is>
      </c>
      <c r="P409" t="inlineStr">
        <is>
          <t>Rev. ed.</t>
        </is>
      </c>
      <c r="Q409" t="inlineStr">
        <is>
          <t>eng</t>
        </is>
      </c>
      <c r="R409" t="inlineStr">
        <is>
          <t>ctu</t>
        </is>
      </c>
      <c r="T409" t="inlineStr">
        <is>
          <t xml:space="preserve">PR </t>
        </is>
      </c>
      <c r="U409" t="n">
        <v>6</v>
      </c>
      <c r="V409" t="n">
        <v>6</v>
      </c>
      <c r="W409" t="inlineStr">
        <is>
          <t>2006-12-13</t>
        </is>
      </c>
      <c r="X409" t="inlineStr">
        <is>
          <t>2006-12-13</t>
        </is>
      </c>
      <c r="Y409" t="inlineStr">
        <is>
          <t>1991-02-22</t>
        </is>
      </c>
      <c r="Z409" t="inlineStr">
        <is>
          <t>1991-02-22</t>
        </is>
      </c>
      <c r="AA409" t="n">
        <v>471</v>
      </c>
      <c r="AB409" t="n">
        <v>411</v>
      </c>
      <c r="AC409" t="n">
        <v>650</v>
      </c>
      <c r="AD409" t="n">
        <v>4</v>
      </c>
      <c r="AE409" t="n">
        <v>8</v>
      </c>
      <c r="AF409" t="n">
        <v>18</v>
      </c>
      <c r="AG409" t="n">
        <v>39</v>
      </c>
      <c r="AH409" t="n">
        <v>9</v>
      </c>
      <c r="AI409" t="n">
        <v>17</v>
      </c>
      <c r="AJ409" t="n">
        <v>4</v>
      </c>
      <c r="AK409" t="n">
        <v>8</v>
      </c>
      <c r="AL409" t="n">
        <v>6</v>
      </c>
      <c r="AM409" t="n">
        <v>18</v>
      </c>
      <c r="AN409" t="n">
        <v>3</v>
      </c>
      <c r="AO409" t="n">
        <v>7</v>
      </c>
      <c r="AP409" t="n">
        <v>0</v>
      </c>
      <c r="AQ409" t="n">
        <v>0</v>
      </c>
      <c r="AR409" t="inlineStr">
        <is>
          <t>No</t>
        </is>
      </c>
      <c r="AS409" t="inlineStr">
        <is>
          <t>Yes</t>
        </is>
      </c>
      <c r="AT409">
        <f>HYPERLINK("http://catalog.hathitrust.org/Record/001375358","HathiTrust Record")</f>
        <v/>
      </c>
      <c r="AU409">
        <f>HYPERLINK("https://creighton-primo.hosted.exlibrisgroup.com/primo-explore/search?tab=default_tab&amp;search_scope=EVERYTHING&amp;vid=01CRU&amp;lang=en_US&amp;offset=0&amp;query=any,contains,991000055629702656","Catalog Record")</f>
        <v/>
      </c>
      <c r="AV409">
        <f>HYPERLINK("http://www.worldcat.org/oclc/23461","WorldCat Record")</f>
        <v/>
      </c>
      <c r="AW409" t="inlineStr">
        <is>
          <t>1862774045:eng</t>
        </is>
      </c>
      <c r="AX409" t="inlineStr">
        <is>
          <t>23461</t>
        </is>
      </c>
      <c r="AY409" t="inlineStr">
        <is>
          <t>991000055629702656</t>
        </is>
      </c>
      <c r="AZ409" t="inlineStr">
        <is>
          <t>991000055629702656</t>
        </is>
      </c>
      <c r="BA409" t="inlineStr">
        <is>
          <t>2265514900002656</t>
        </is>
      </c>
      <c r="BB409" t="inlineStr">
        <is>
          <t>BOOK</t>
        </is>
      </c>
      <c r="BD409" t="inlineStr">
        <is>
          <t>9780208007285</t>
        </is>
      </c>
      <c r="BE409" t="inlineStr">
        <is>
          <t>32285000499565</t>
        </is>
      </c>
      <c r="BF409" t="inlineStr">
        <is>
          <t>893249044</t>
        </is>
      </c>
    </row>
    <row r="410">
      <c r="A410" t="inlineStr">
        <is>
          <t>No</t>
        </is>
      </c>
      <c r="B410" t="inlineStr">
        <is>
          <t>CURAL</t>
        </is>
      </c>
      <c r="C410" t="inlineStr">
        <is>
          <t>SHELVES</t>
        </is>
      </c>
      <c r="D410" t="inlineStr">
        <is>
          <t>PR2248 .H46 1982</t>
        </is>
      </c>
      <c r="E410" t="inlineStr">
        <is>
          <t>0                      PR 2248000H  46          1982</t>
        </is>
      </c>
      <c r="F410" t="inlineStr">
        <is>
          <t>Kinde pitty and brave scorn : John Donne's satyres / M. Thomas Hester.</t>
        </is>
      </c>
      <c r="H410" t="inlineStr">
        <is>
          <t>No</t>
        </is>
      </c>
      <c r="I410" t="inlineStr">
        <is>
          <t>1</t>
        </is>
      </c>
      <c r="J410" t="inlineStr">
        <is>
          <t>No</t>
        </is>
      </c>
      <c r="K410" t="inlineStr">
        <is>
          <t>No</t>
        </is>
      </c>
      <c r="L410" t="inlineStr">
        <is>
          <t>0</t>
        </is>
      </c>
      <c r="M410" t="inlineStr">
        <is>
          <t>Hester, M. Thomas.</t>
        </is>
      </c>
      <c r="N410" t="inlineStr">
        <is>
          <t>Durham, N.C. : Duke University Press, 1982.</t>
        </is>
      </c>
      <c r="O410" t="inlineStr">
        <is>
          <t>1982</t>
        </is>
      </c>
      <c r="Q410" t="inlineStr">
        <is>
          <t>eng</t>
        </is>
      </c>
      <c r="R410" t="inlineStr">
        <is>
          <t>ncu</t>
        </is>
      </c>
      <c r="T410" t="inlineStr">
        <is>
          <t xml:space="preserve">PR </t>
        </is>
      </c>
      <c r="U410" t="n">
        <v>1</v>
      </c>
      <c r="V410" t="n">
        <v>1</v>
      </c>
      <c r="W410" t="inlineStr">
        <is>
          <t>1995-01-11</t>
        </is>
      </c>
      <c r="X410" t="inlineStr">
        <is>
          <t>1995-01-11</t>
        </is>
      </c>
      <c r="Y410" t="inlineStr">
        <is>
          <t>1991-10-03</t>
        </is>
      </c>
      <c r="Z410" t="inlineStr">
        <is>
          <t>1991-10-03</t>
        </is>
      </c>
      <c r="AA410" t="n">
        <v>584</v>
      </c>
      <c r="AB410" t="n">
        <v>483</v>
      </c>
      <c r="AC410" t="n">
        <v>490</v>
      </c>
      <c r="AD410" t="n">
        <v>3</v>
      </c>
      <c r="AE410" t="n">
        <v>3</v>
      </c>
      <c r="AF410" t="n">
        <v>31</v>
      </c>
      <c r="AG410" t="n">
        <v>31</v>
      </c>
      <c r="AH410" t="n">
        <v>15</v>
      </c>
      <c r="AI410" t="n">
        <v>15</v>
      </c>
      <c r="AJ410" t="n">
        <v>7</v>
      </c>
      <c r="AK410" t="n">
        <v>7</v>
      </c>
      <c r="AL410" t="n">
        <v>15</v>
      </c>
      <c r="AM410" t="n">
        <v>15</v>
      </c>
      <c r="AN410" t="n">
        <v>2</v>
      </c>
      <c r="AO410" t="n">
        <v>2</v>
      </c>
      <c r="AP410" t="n">
        <v>0</v>
      </c>
      <c r="AQ410" t="n">
        <v>0</v>
      </c>
      <c r="AR410" t="inlineStr">
        <is>
          <t>No</t>
        </is>
      </c>
      <c r="AS410" t="inlineStr">
        <is>
          <t>Yes</t>
        </is>
      </c>
      <c r="AT410">
        <f>HYPERLINK("http://catalog.hathitrust.org/Record/000270177","HathiTrust Record")</f>
        <v/>
      </c>
      <c r="AU410">
        <f>HYPERLINK("https://creighton-primo.hosted.exlibrisgroup.com/primo-explore/search?tab=default_tab&amp;search_scope=EVERYTHING&amp;vid=01CRU&amp;lang=en_US&amp;offset=0&amp;query=any,contains,991000007059702656","Catalog Record")</f>
        <v/>
      </c>
      <c r="AV410">
        <f>HYPERLINK("http://www.worldcat.org/oclc/8532204","WorldCat Record")</f>
        <v/>
      </c>
      <c r="AW410" t="inlineStr">
        <is>
          <t>287409380:eng</t>
        </is>
      </c>
      <c r="AX410" t="inlineStr">
        <is>
          <t>8532204</t>
        </is>
      </c>
      <c r="AY410" t="inlineStr">
        <is>
          <t>991000007059702656</t>
        </is>
      </c>
      <c r="AZ410" t="inlineStr">
        <is>
          <t>991000007059702656</t>
        </is>
      </c>
      <c r="BA410" t="inlineStr">
        <is>
          <t>2269242110002656</t>
        </is>
      </c>
      <c r="BB410" t="inlineStr">
        <is>
          <t>BOOK</t>
        </is>
      </c>
      <c r="BD410" t="inlineStr">
        <is>
          <t>9780822304807</t>
        </is>
      </c>
      <c r="BE410" t="inlineStr">
        <is>
          <t>32285000770759</t>
        </is>
      </c>
      <c r="BF410" t="inlineStr">
        <is>
          <t>893419110</t>
        </is>
      </c>
    </row>
    <row r="411">
      <c r="A411" t="inlineStr">
        <is>
          <t>No</t>
        </is>
      </c>
      <c r="B411" t="inlineStr">
        <is>
          <t>CURAL</t>
        </is>
      </c>
      <c r="C411" t="inlineStr">
        <is>
          <t>SHELVES</t>
        </is>
      </c>
      <c r="D411" t="inlineStr">
        <is>
          <t>PR2248 .H77</t>
        </is>
      </c>
      <c r="E411" t="inlineStr">
        <is>
          <t>0                      PR 2248000H  77</t>
        </is>
      </c>
      <c r="F411" t="inlineStr">
        <is>
          <t>The progress of the soul : the interior career of John Donne / by Richard E. Hughes.</t>
        </is>
      </c>
      <c r="H411" t="inlineStr">
        <is>
          <t>No</t>
        </is>
      </c>
      <c r="I411" t="inlineStr">
        <is>
          <t>1</t>
        </is>
      </c>
      <c r="J411" t="inlineStr">
        <is>
          <t>No</t>
        </is>
      </c>
      <c r="K411" t="inlineStr">
        <is>
          <t>No</t>
        </is>
      </c>
      <c r="L411" t="inlineStr">
        <is>
          <t>0</t>
        </is>
      </c>
      <c r="M411" t="inlineStr">
        <is>
          <t>Hughes, Richard E.</t>
        </is>
      </c>
      <c r="N411" t="inlineStr">
        <is>
          <t>New York : W. Morrow, 1968.</t>
        </is>
      </c>
      <c r="O411" t="inlineStr">
        <is>
          <t>1968</t>
        </is>
      </c>
      <c r="Q411" t="inlineStr">
        <is>
          <t>eng</t>
        </is>
      </c>
      <c r="R411" t="inlineStr">
        <is>
          <t>nyu</t>
        </is>
      </c>
      <c r="T411" t="inlineStr">
        <is>
          <t xml:space="preserve">PR </t>
        </is>
      </c>
      <c r="U411" t="n">
        <v>3</v>
      </c>
      <c r="V411" t="n">
        <v>3</v>
      </c>
      <c r="W411" t="inlineStr">
        <is>
          <t>1992-10-07</t>
        </is>
      </c>
      <c r="X411" t="inlineStr">
        <is>
          <t>1992-10-07</t>
        </is>
      </c>
      <c r="Y411" t="inlineStr">
        <is>
          <t>1991-10-04</t>
        </is>
      </c>
      <c r="Z411" t="inlineStr">
        <is>
          <t>1991-10-04</t>
        </is>
      </c>
      <c r="AA411" t="n">
        <v>915</v>
      </c>
      <c r="AB411" t="n">
        <v>838</v>
      </c>
      <c r="AC411" t="n">
        <v>858</v>
      </c>
      <c r="AD411" t="n">
        <v>8</v>
      </c>
      <c r="AE411" t="n">
        <v>8</v>
      </c>
      <c r="AF411" t="n">
        <v>39</v>
      </c>
      <c r="AG411" t="n">
        <v>39</v>
      </c>
      <c r="AH411" t="n">
        <v>15</v>
      </c>
      <c r="AI411" t="n">
        <v>15</v>
      </c>
      <c r="AJ411" t="n">
        <v>7</v>
      </c>
      <c r="AK411" t="n">
        <v>7</v>
      </c>
      <c r="AL411" t="n">
        <v>20</v>
      </c>
      <c r="AM411" t="n">
        <v>20</v>
      </c>
      <c r="AN411" t="n">
        <v>6</v>
      </c>
      <c r="AO411" t="n">
        <v>6</v>
      </c>
      <c r="AP411" t="n">
        <v>0</v>
      </c>
      <c r="AQ411" t="n">
        <v>0</v>
      </c>
      <c r="AR411" t="inlineStr">
        <is>
          <t>No</t>
        </is>
      </c>
      <c r="AS411" t="inlineStr">
        <is>
          <t>Yes</t>
        </is>
      </c>
      <c r="AT411">
        <f>HYPERLINK("http://catalog.hathitrust.org/Record/001017326","HathiTrust Record")</f>
        <v/>
      </c>
      <c r="AU411">
        <f>HYPERLINK("https://creighton-primo.hosted.exlibrisgroup.com/primo-explore/search?tab=default_tab&amp;search_scope=EVERYTHING&amp;vid=01CRU&amp;lang=en_US&amp;offset=0&amp;query=any,contains,991002445979702656","Catalog Record")</f>
        <v/>
      </c>
      <c r="AV411">
        <f>HYPERLINK("http://www.worldcat.org/oclc/351548","WorldCat Record")</f>
        <v/>
      </c>
      <c r="AW411" t="inlineStr">
        <is>
          <t>1386574:eng</t>
        </is>
      </c>
      <c r="AX411" t="inlineStr">
        <is>
          <t>351548</t>
        </is>
      </c>
      <c r="AY411" t="inlineStr">
        <is>
          <t>991002445979702656</t>
        </is>
      </c>
      <c r="AZ411" t="inlineStr">
        <is>
          <t>991002445979702656</t>
        </is>
      </c>
      <c r="BA411" t="inlineStr">
        <is>
          <t>2266925800002656</t>
        </is>
      </c>
      <c r="BB411" t="inlineStr">
        <is>
          <t>BOOK</t>
        </is>
      </c>
      <c r="BE411" t="inlineStr">
        <is>
          <t>32285000770775</t>
        </is>
      </c>
      <c r="BF411" t="inlineStr">
        <is>
          <t>893523624</t>
        </is>
      </c>
    </row>
    <row r="412">
      <c r="A412" t="inlineStr">
        <is>
          <t>No</t>
        </is>
      </c>
      <c r="B412" t="inlineStr">
        <is>
          <t>CURAL</t>
        </is>
      </c>
      <c r="C412" t="inlineStr">
        <is>
          <t>SHELVES</t>
        </is>
      </c>
      <c r="D412" t="inlineStr">
        <is>
          <t>PR2248 .K37 1962</t>
        </is>
      </c>
      <c r="E412" t="inlineStr">
        <is>
          <t>0                      PR 2248000K  37          1962</t>
        </is>
      </c>
      <c r="F412" t="inlineStr">
        <is>
          <t>Discussions of John Donne / edited with an introduction by Frank Kermode.</t>
        </is>
      </c>
      <c r="H412" t="inlineStr">
        <is>
          <t>No</t>
        </is>
      </c>
      <c r="I412" t="inlineStr">
        <is>
          <t>1</t>
        </is>
      </c>
      <c r="J412" t="inlineStr">
        <is>
          <t>No</t>
        </is>
      </c>
      <c r="K412" t="inlineStr">
        <is>
          <t>No</t>
        </is>
      </c>
      <c r="L412" t="inlineStr">
        <is>
          <t>0</t>
        </is>
      </c>
      <c r="M412" t="inlineStr">
        <is>
          <t>Kermode, Frank, 1919-2010 editor.</t>
        </is>
      </c>
      <c r="N412" t="inlineStr">
        <is>
          <t>Boston : Heath, c1962.</t>
        </is>
      </c>
      <c r="O412" t="inlineStr">
        <is>
          <t>1962</t>
        </is>
      </c>
      <c r="Q412" t="inlineStr">
        <is>
          <t>eng</t>
        </is>
      </c>
      <c r="R412" t="inlineStr">
        <is>
          <t>mau</t>
        </is>
      </c>
      <c r="S412" t="inlineStr">
        <is>
          <t>Discussions of literature</t>
        </is>
      </c>
      <c r="T412" t="inlineStr">
        <is>
          <t xml:space="preserve">PR </t>
        </is>
      </c>
      <c r="U412" t="n">
        <v>1</v>
      </c>
      <c r="V412" t="n">
        <v>1</v>
      </c>
      <c r="W412" t="inlineStr">
        <is>
          <t>2001-07-12</t>
        </is>
      </c>
      <c r="X412" t="inlineStr">
        <is>
          <t>2001-07-12</t>
        </is>
      </c>
      <c r="Y412" t="inlineStr">
        <is>
          <t>2001-07-11</t>
        </is>
      </c>
      <c r="Z412" t="inlineStr">
        <is>
          <t>2001-07-11</t>
        </is>
      </c>
      <c r="AA412" t="n">
        <v>699</v>
      </c>
      <c r="AB412" t="n">
        <v>590</v>
      </c>
      <c r="AC412" t="n">
        <v>595</v>
      </c>
      <c r="AD412" t="n">
        <v>4</v>
      </c>
      <c r="AE412" t="n">
        <v>4</v>
      </c>
      <c r="AF412" t="n">
        <v>33</v>
      </c>
      <c r="AG412" t="n">
        <v>33</v>
      </c>
      <c r="AH412" t="n">
        <v>14</v>
      </c>
      <c r="AI412" t="n">
        <v>14</v>
      </c>
      <c r="AJ412" t="n">
        <v>8</v>
      </c>
      <c r="AK412" t="n">
        <v>8</v>
      </c>
      <c r="AL412" t="n">
        <v>18</v>
      </c>
      <c r="AM412" t="n">
        <v>18</v>
      </c>
      <c r="AN412" t="n">
        <v>3</v>
      </c>
      <c r="AO412" t="n">
        <v>3</v>
      </c>
      <c r="AP412" t="n">
        <v>0</v>
      </c>
      <c r="AQ412" t="n">
        <v>0</v>
      </c>
      <c r="AR412" t="inlineStr">
        <is>
          <t>No</t>
        </is>
      </c>
      <c r="AS412" t="inlineStr">
        <is>
          <t>No</t>
        </is>
      </c>
      <c r="AT412">
        <f>HYPERLINK("http://catalog.hathitrust.org/Record/001017329","HathiTrust Record")</f>
        <v/>
      </c>
      <c r="AU412">
        <f>HYPERLINK("https://creighton-primo.hosted.exlibrisgroup.com/primo-explore/search?tab=default_tab&amp;search_scope=EVERYTHING&amp;vid=01CRU&amp;lang=en_US&amp;offset=0&amp;query=any,contains,991003565619702656","Catalog Record")</f>
        <v/>
      </c>
      <c r="AV412">
        <f>HYPERLINK("http://www.worldcat.org/oclc/351570","WorldCat Record")</f>
        <v/>
      </c>
      <c r="AW412" t="inlineStr">
        <is>
          <t>1386626:eng</t>
        </is>
      </c>
      <c r="AX412" t="inlineStr">
        <is>
          <t>351570</t>
        </is>
      </c>
      <c r="AY412" t="inlineStr">
        <is>
          <t>991003565619702656</t>
        </is>
      </c>
      <c r="AZ412" t="inlineStr">
        <is>
          <t>991003565619702656</t>
        </is>
      </c>
      <c r="BA412" t="inlineStr">
        <is>
          <t>2266910290002656</t>
        </is>
      </c>
      <c r="BB412" t="inlineStr">
        <is>
          <t>BOOK</t>
        </is>
      </c>
      <c r="BE412" t="inlineStr">
        <is>
          <t>32285004331525</t>
        </is>
      </c>
      <c r="BF412" t="inlineStr">
        <is>
          <t>893499431</t>
        </is>
      </c>
    </row>
    <row r="413">
      <c r="A413" t="inlineStr">
        <is>
          <t>No</t>
        </is>
      </c>
      <c r="B413" t="inlineStr">
        <is>
          <t>CURAL</t>
        </is>
      </c>
      <c r="C413" t="inlineStr">
        <is>
          <t>SHELVES</t>
        </is>
      </c>
      <c r="D413" t="inlineStr">
        <is>
          <t>PR2248 .N6</t>
        </is>
      </c>
      <c r="E413" t="inlineStr">
        <is>
          <t>0                      PR 2248000N  6</t>
        </is>
      </c>
      <c r="F413" t="inlineStr">
        <is>
          <t>The disinterred muse : Donne's texts and contexts / David Novarr.</t>
        </is>
      </c>
      <c r="H413" t="inlineStr">
        <is>
          <t>No</t>
        </is>
      </c>
      <c r="I413" t="inlineStr">
        <is>
          <t>1</t>
        </is>
      </c>
      <c r="J413" t="inlineStr">
        <is>
          <t>No</t>
        </is>
      </c>
      <c r="K413" t="inlineStr">
        <is>
          <t>No</t>
        </is>
      </c>
      <c r="L413" t="inlineStr">
        <is>
          <t>0</t>
        </is>
      </c>
      <c r="M413" t="inlineStr">
        <is>
          <t>Novarr, David.</t>
        </is>
      </c>
      <c r="N413" t="inlineStr">
        <is>
          <t>Ithaca, N.Y. : Cornell University Press, 1980.</t>
        </is>
      </c>
      <c r="O413" t="inlineStr">
        <is>
          <t>1980</t>
        </is>
      </c>
      <c r="Q413" t="inlineStr">
        <is>
          <t>eng</t>
        </is>
      </c>
      <c r="R413" t="inlineStr">
        <is>
          <t>nyu</t>
        </is>
      </c>
      <c r="T413" t="inlineStr">
        <is>
          <t xml:space="preserve">PR </t>
        </is>
      </c>
      <c r="U413" t="n">
        <v>8</v>
      </c>
      <c r="V413" t="n">
        <v>8</v>
      </c>
      <c r="W413" t="inlineStr">
        <is>
          <t>1997-09-09</t>
        </is>
      </c>
      <c r="X413" t="inlineStr">
        <is>
          <t>1997-09-09</t>
        </is>
      </c>
      <c r="Y413" t="inlineStr">
        <is>
          <t>1991-10-03</t>
        </is>
      </c>
      <c r="Z413" t="inlineStr">
        <is>
          <t>1991-10-03</t>
        </is>
      </c>
      <c r="AA413" t="n">
        <v>648</v>
      </c>
      <c r="AB413" t="n">
        <v>497</v>
      </c>
      <c r="AC413" t="n">
        <v>654</v>
      </c>
      <c r="AD413" t="n">
        <v>4</v>
      </c>
      <c r="AE413" t="n">
        <v>4</v>
      </c>
      <c r="AF413" t="n">
        <v>23</v>
      </c>
      <c r="AG413" t="n">
        <v>30</v>
      </c>
      <c r="AH413" t="n">
        <v>8</v>
      </c>
      <c r="AI413" t="n">
        <v>13</v>
      </c>
      <c r="AJ413" t="n">
        <v>7</v>
      </c>
      <c r="AK413" t="n">
        <v>9</v>
      </c>
      <c r="AL413" t="n">
        <v>14</v>
      </c>
      <c r="AM413" t="n">
        <v>15</v>
      </c>
      <c r="AN413" t="n">
        <v>3</v>
      </c>
      <c r="AO413" t="n">
        <v>3</v>
      </c>
      <c r="AP413" t="n">
        <v>0</v>
      </c>
      <c r="AQ413" t="n">
        <v>0</v>
      </c>
      <c r="AR413" t="inlineStr">
        <is>
          <t>No</t>
        </is>
      </c>
      <c r="AS413" t="inlineStr">
        <is>
          <t>Yes</t>
        </is>
      </c>
      <c r="AT413">
        <f>HYPERLINK("http://catalog.hathitrust.org/Record/000745208","HathiTrust Record")</f>
        <v/>
      </c>
      <c r="AU413">
        <f>HYPERLINK("https://creighton-primo.hosted.exlibrisgroup.com/primo-explore/search?tab=default_tab&amp;search_scope=EVERYTHING&amp;vid=01CRU&amp;lang=en_US&amp;offset=0&amp;query=any,contains,991004993189702656","Catalog Record")</f>
        <v/>
      </c>
      <c r="AV413">
        <f>HYPERLINK("http://www.worldcat.org/oclc/6487904","WorldCat Record")</f>
        <v/>
      </c>
      <c r="AW413" t="inlineStr">
        <is>
          <t>450581:eng</t>
        </is>
      </c>
      <c r="AX413" t="inlineStr">
        <is>
          <t>6487904</t>
        </is>
      </c>
      <c r="AY413" t="inlineStr">
        <is>
          <t>991004993189702656</t>
        </is>
      </c>
      <c r="AZ413" t="inlineStr">
        <is>
          <t>991004993189702656</t>
        </is>
      </c>
      <c r="BA413" t="inlineStr">
        <is>
          <t>2256319600002656</t>
        </is>
      </c>
      <c r="BB413" t="inlineStr">
        <is>
          <t>BOOK</t>
        </is>
      </c>
      <c r="BD413" t="inlineStr">
        <is>
          <t>9780801413094</t>
        </is>
      </c>
      <c r="BE413" t="inlineStr">
        <is>
          <t>32285000770791</t>
        </is>
      </c>
      <c r="BF413" t="inlineStr">
        <is>
          <t>893889521</t>
        </is>
      </c>
    </row>
    <row r="414">
      <c r="A414" t="inlineStr">
        <is>
          <t>No</t>
        </is>
      </c>
      <c r="B414" t="inlineStr">
        <is>
          <t>CURAL</t>
        </is>
      </c>
      <c r="C414" t="inlineStr">
        <is>
          <t>SHELVES</t>
        </is>
      </c>
      <c r="D414" t="inlineStr">
        <is>
          <t>PR2248 .R58</t>
        </is>
      </c>
      <c r="E414" t="inlineStr">
        <is>
          <t>0                      PR 2248000R  58</t>
        </is>
      </c>
      <c r="F414" t="inlineStr">
        <is>
          <t>The soul of wit : a study of John Donne / Murray Roston.</t>
        </is>
      </c>
      <c r="H414" t="inlineStr">
        <is>
          <t>No</t>
        </is>
      </c>
      <c r="I414" t="inlineStr">
        <is>
          <t>1</t>
        </is>
      </c>
      <c r="J414" t="inlineStr">
        <is>
          <t>No</t>
        </is>
      </c>
      <c r="K414" t="inlineStr">
        <is>
          <t>No</t>
        </is>
      </c>
      <c r="L414" t="inlineStr">
        <is>
          <t>0</t>
        </is>
      </c>
      <c r="M414" t="inlineStr">
        <is>
          <t>Roston, Murray.</t>
        </is>
      </c>
      <c r="N414" t="inlineStr">
        <is>
          <t>Oxford : Clarendon Press, 1974.</t>
        </is>
      </c>
      <c r="O414" t="inlineStr">
        <is>
          <t>1974</t>
        </is>
      </c>
      <c r="Q414" t="inlineStr">
        <is>
          <t>eng</t>
        </is>
      </c>
      <c r="R414" t="inlineStr">
        <is>
          <t>enk</t>
        </is>
      </c>
      <c r="T414" t="inlineStr">
        <is>
          <t xml:space="preserve">PR </t>
        </is>
      </c>
      <c r="U414" t="n">
        <v>7</v>
      </c>
      <c r="V414" t="n">
        <v>7</v>
      </c>
      <c r="W414" t="inlineStr">
        <is>
          <t>2000-10-06</t>
        </is>
      </c>
      <c r="X414" t="inlineStr">
        <is>
          <t>2000-10-06</t>
        </is>
      </c>
      <c r="Y414" t="inlineStr">
        <is>
          <t>1991-10-03</t>
        </is>
      </c>
      <c r="Z414" t="inlineStr">
        <is>
          <t>1991-10-03</t>
        </is>
      </c>
      <c r="AA414" t="n">
        <v>840</v>
      </c>
      <c r="AB414" t="n">
        <v>641</v>
      </c>
      <c r="AC414" t="n">
        <v>645</v>
      </c>
      <c r="AD414" t="n">
        <v>4</v>
      </c>
      <c r="AE414" t="n">
        <v>4</v>
      </c>
      <c r="AF414" t="n">
        <v>36</v>
      </c>
      <c r="AG414" t="n">
        <v>36</v>
      </c>
      <c r="AH414" t="n">
        <v>16</v>
      </c>
      <c r="AI414" t="n">
        <v>16</v>
      </c>
      <c r="AJ414" t="n">
        <v>6</v>
      </c>
      <c r="AK414" t="n">
        <v>6</v>
      </c>
      <c r="AL414" t="n">
        <v>21</v>
      </c>
      <c r="AM414" t="n">
        <v>21</v>
      </c>
      <c r="AN414" t="n">
        <v>3</v>
      </c>
      <c r="AO414" t="n">
        <v>3</v>
      </c>
      <c r="AP414" t="n">
        <v>0</v>
      </c>
      <c r="AQ414" t="n">
        <v>0</v>
      </c>
      <c r="AR414" t="inlineStr">
        <is>
          <t>No</t>
        </is>
      </c>
      <c r="AS414" t="inlineStr">
        <is>
          <t>Yes</t>
        </is>
      </c>
      <c r="AT414">
        <f>HYPERLINK("http://catalog.hathitrust.org/Record/001375374","HathiTrust Record")</f>
        <v/>
      </c>
      <c r="AU414">
        <f>HYPERLINK("https://creighton-primo.hosted.exlibrisgroup.com/primo-explore/search?tab=default_tab&amp;search_scope=EVERYTHING&amp;vid=01CRU&amp;lang=en_US&amp;offset=0&amp;query=any,contains,991003493529702656","Catalog Record")</f>
        <v/>
      </c>
      <c r="AV414">
        <f>HYPERLINK("http://www.worldcat.org/oclc/1043819","WorldCat Record")</f>
        <v/>
      </c>
      <c r="AW414" t="inlineStr">
        <is>
          <t>2014672:eng</t>
        </is>
      </c>
      <c r="AX414" t="inlineStr">
        <is>
          <t>1043819</t>
        </is>
      </c>
      <c r="AY414" t="inlineStr">
        <is>
          <t>991003493529702656</t>
        </is>
      </c>
      <c r="AZ414" t="inlineStr">
        <is>
          <t>991003493529702656</t>
        </is>
      </c>
      <c r="BA414" t="inlineStr">
        <is>
          <t>2267616030002656</t>
        </is>
      </c>
      <c r="BB414" t="inlineStr">
        <is>
          <t>BOOK</t>
        </is>
      </c>
      <c r="BD414" t="inlineStr">
        <is>
          <t>9780198120537</t>
        </is>
      </c>
      <c r="BE414" t="inlineStr">
        <is>
          <t>32285000770809</t>
        </is>
      </c>
      <c r="BF414" t="inlineStr">
        <is>
          <t>893512001</t>
        </is>
      </c>
    </row>
    <row r="415">
      <c r="A415" t="inlineStr">
        <is>
          <t>No</t>
        </is>
      </c>
      <c r="B415" t="inlineStr">
        <is>
          <t>CURAL</t>
        </is>
      </c>
      <c r="C415" t="inlineStr">
        <is>
          <t>SHELVES</t>
        </is>
      </c>
      <c r="D415" t="inlineStr">
        <is>
          <t>PR2248 .R63 1982</t>
        </is>
      </c>
      <c r="E415" t="inlineStr">
        <is>
          <t>0                      PR 2248000R  63          1982</t>
        </is>
      </c>
      <c r="F415" t="inlineStr">
        <is>
          <t>John Donne, an annotated bibliography of modern criticism, 1968-1978 / John R. Roberts.</t>
        </is>
      </c>
      <c r="H415" t="inlineStr">
        <is>
          <t>No</t>
        </is>
      </c>
      <c r="I415" t="inlineStr">
        <is>
          <t>1</t>
        </is>
      </c>
      <c r="J415" t="inlineStr">
        <is>
          <t>No</t>
        </is>
      </c>
      <c r="K415" t="inlineStr">
        <is>
          <t>No</t>
        </is>
      </c>
      <c r="L415" t="inlineStr">
        <is>
          <t>0</t>
        </is>
      </c>
      <c r="M415" t="inlineStr">
        <is>
          <t>Roberts, John Richard.</t>
        </is>
      </c>
      <c r="N415" t="inlineStr">
        <is>
          <t>Columbia : University of Missouri Press, 1982.</t>
        </is>
      </c>
      <c r="O415" t="inlineStr">
        <is>
          <t>1982</t>
        </is>
      </c>
      <c r="Q415" t="inlineStr">
        <is>
          <t>eng</t>
        </is>
      </c>
      <c r="R415" t="inlineStr">
        <is>
          <t>mou</t>
        </is>
      </c>
      <c r="T415" t="inlineStr">
        <is>
          <t xml:space="preserve">PR </t>
        </is>
      </c>
      <c r="U415" t="n">
        <v>11</v>
      </c>
      <c r="V415" t="n">
        <v>11</v>
      </c>
      <c r="W415" t="inlineStr">
        <is>
          <t>2006-02-20</t>
        </is>
      </c>
      <c r="X415" t="inlineStr">
        <is>
          <t>2006-02-20</t>
        </is>
      </c>
      <c r="Y415" t="inlineStr">
        <is>
          <t>1990-06-12</t>
        </is>
      </c>
      <c r="Z415" t="inlineStr">
        <is>
          <t>1990-06-12</t>
        </is>
      </c>
      <c r="AA415" t="n">
        <v>577</v>
      </c>
      <c r="AB415" t="n">
        <v>478</v>
      </c>
      <c r="AC415" t="n">
        <v>485</v>
      </c>
      <c r="AD415" t="n">
        <v>4</v>
      </c>
      <c r="AE415" t="n">
        <v>4</v>
      </c>
      <c r="AF415" t="n">
        <v>25</v>
      </c>
      <c r="AG415" t="n">
        <v>25</v>
      </c>
      <c r="AH415" t="n">
        <v>10</v>
      </c>
      <c r="AI415" t="n">
        <v>10</v>
      </c>
      <c r="AJ415" t="n">
        <v>5</v>
      </c>
      <c r="AK415" t="n">
        <v>5</v>
      </c>
      <c r="AL415" t="n">
        <v>15</v>
      </c>
      <c r="AM415" t="n">
        <v>15</v>
      </c>
      <c r="AN415" t="n">
        <v>3</v>
      </c>
      <c r="AO415" t="n">
        <v>3</v>
      </c>
      <c r="AP415" t="n">
        <v>0</v>
      </c>
      <c r="AQ415" t="n">
        <v>0</v>
      </c>
      <c r="AR415" t="inlineStr">
        <is>
          <t>No</t>
        </is>
      </c>
      <c r="AS415" t="inlineStr">
        <is>
          <t>Yes</t>
        </is>
      </c>
      <c r="AT415">
        <f>HYPERLINK("http://catalog.hathitrust.org/Record/000272885","HathiTrust Record")</f>
        <v/>
      </c>
      <c r="AU415">
        <f>HYPERLINK("https://creighton-primo.hosted.exlibrisgroup.com/primo-explore/search?tab=default_tab&amp;search_scope=EVERYTHING&amp;vid=01CRU&amp;lang=en_US&amp;offset=0&amp;query=any,contains,991005211059702656","Catalog Record")</f>
        <v/>
      </c>
      <c r="AV415">
        <f>HYPERLINK("http://www.worldcat.org/oclc/8168995","WorldCat Record")</f>
        <v/>
      </c>
      <c r="AW415" t="inlineStr">
        <is>
          <t>3856231371:eng</t>
        </is>
      </c>
      <c r="AX415" t="inlineStr">
        <is>
          <t>8168995</t>
        </is>
      </c>
      <c r="AY415" t="inlineStr">
        <is>
          <t>991005211059702656</t>
        </is>
      </c>
      <c r="AZ415" t="inlineStr">
        <is>
          <t>991005211059702656</t>
        </is>
      </c>
      <c r="BA415" t="inlineStr">
        <is>
          <t>2271865360002656</t>
        </is>
      </c>
      <c r="BB415" t="inlineStr">
        <is>
          <t>BOOK</t>
        </is>
      </c>
      <c r="BD415" t="inlineStr">
        <is>
          <t>9780826203649</t>
        </is>
      </c>
      <c r="BE415" t="inlineStr">
        <is>
          <t>32285000191105</t>
        </is>
      </c>
      <c r="BF415" t="inlineStr">
        <is>
          <t>893501507</t>
        </is>
      </c>
    </row>
    <row r="416">
      <c r="A416" t="inlineStr">
        <is>
          <t>No</t>
        </is>
      </c>
      <c r="B416" t="inlineStr">
        <is>
          <t>CURAL</t>
        </is>
      </c>
      <c r="C416" t="inlineStr">
        <is>
          <t>SHELVES</t>
        </is>
      </c>
      <c r="D416" t="inlineStr">
        <is>
          <t>PR2248 .S3</t>
        </is>
      </c>
      <c r="E416" t="inlineStr">
        <is>
          <t>0                      PR 2248000S  3</t>
        </is>
      </c>
      <c r="F416" t="inlineStr">
        <is>
          <t>The imagery of John Donne's sermons.</t>
        </is>
      </c>
      <c r="H416" t="inlineStr">
        <is>
          <t>No</t>
        </is>
      </c>
      <c r="I416" t="inlineStr">
        <is>
          <t>1</t>
        </is>
      </c>
      <c r="J416" t="inlineStr">
        <is>
          <t>No</t>
        </is>
      </c>
      <c r="K416" t="inlineStr">
        <is>
          <t>No</t>
        </is>
      </c>
      <c r="L416" t="inlineStr">
        <is>
          <t>0</t>
        </is>
      </c>
      <c r="M416" t="inlineStr">
        <is>
          <t>Schleiner, Winfried.</t>
        </is>
      </c>
      <c r="N416" t="inlineStr">
        <is>
          <t>Providence, Brown University Press [1970]</t>
        </is>
      </c>
      <c r="O416" t="inlineStr">
        <is>
          <t>1970</t>
        </is>
      </c>
      <c r="Q416" t="inlineStr">
        <is>
          <t>eng</t>
        </is>
      </c>
      <c r="R416" t="inlineStr">
        <is>
          <t>riu</t>
        </is>
      </c>
      <c r="T416" t="inlineStr">
        <is>
          <t xml:space="preserve">PR </t>
        </is>
      </c>
      <c r="U416" t="n">
        <v>1</v>
      </c>
      <c r="V416" t="n">
        <v>1</v>
      </c>
      <c r="W416" t="inlineStr">
        <is>
          <t>2009-09-16</t>
        </is>
      </c>
      <c r="X416" t="inlineStr">
        <is>
          <t>2009-09-16</t>
        </is>
      </c>
      <c r="Y416" t="inlineStr">
        <is>
          <t>1997-07-29</t>
        </is>
      </c>
      <c r="Z416" t="inlineStr">
        <is>
          <t>1997-07-29</t>
        </is>
      </c>
      <c r="AA416" t="n">
        <v>729</v>
      </c>
      <c r="AB416" t="n">
        <v>609</v>
      </c>
      <c r="AC416" t="n">
        <v>616</v>
      </c>
      <c r="AD416" t="n">
        <v>6</v>
      </c>
      <c r="AE416" t="n">
        <v>6</v>
      </c>
      <c r="AF416" t="n">
        <v>34</v>
      </c>
      <c r="AG416" t="n">
        <v>34</v>
      </c>
      <c r="AH416" t="n">
        <v>16</v>
      </c>
      <c r="AI416" t="n">
        <v>16</v>
      </c>
      <c r="AJ416" t="n">
        <v>8</v>
      </c>
      <c r="AK416" t="n">
        <v>8</v>
      </c>
      <c r="AL416" t="n">
        <v>12</v>
      </c>
      <c r="AM416" t="n">
        <v>12</v>
      </c>
      <c r="AN416" t="n">
        <v>5</v>
      </c>
      <c r="AO416" t="n">
        <v>5</v>
      </c>
      <c r="AP416" t="n">
        <v>0</v>
      </c>
      <c r="AQ416" t="n">
        <v>0</v>
      </c>
      <c r="AR416" t="inlineStr">
        <is>
          <t>No</t>
        </is>
      </c>
      <c r="AS416" t="inlineStr">
        <is>
          <t>Yes</t>
        </is>
      </c>
      <c r="AT416">
        <f>HYPERLINK("http://catalog.hathitrust.org/Record/001375378","HathiTrust Record")</f>
        <v/>
      </c>
      <c r="AU416">
        <f>HYPERLINK("https://creighton-primo.hosted.exlibrisgroup.com/primo-explore/search?tab=default_tab&amp;search_scope=EVERYTHING&amp;vid=01CRU&amp;lang=en_US&amp;offset=0&amp;query=any,contains,991000209209702656","Catalog Record")</f>
        <v/>
      </c>
      <c r="AV416">
        <f>HYPERLINK("http://www.worldcat.org/oclc/66051","WorldCat Record")</f>
        <v/>
      </c>
      <c r="AW416" t="inlineStr">
        <is>
          <t>1231498:eng</t>
        </is>
      </c>
      <c r="AX416" t="inlineStr">
        <is>
          <t>66051</t>
        </is>
      </c>
      <c r="AY416" t="inlineStr">
        <is>
          <t>991000209209702656</t>
        </is>
      </c>
      <c r="AZ416" t="inlineStr">
        <is>
          <t>991000209209702656</t>
        </is>
      </c>
      <c r="BA416" t="inlineStr">
        <is>
          <t>2258754000002656</t>
        </is>
      </c>
      <c r="BB416" t="inlineStr">
        <is>
          <t>BOOK</t>
        </is>
      </c>
      <c r="BD416" t="inlineStr">
        <is>
          <t>9780870571169</t>
        </is>
      </c>
      <c r="BE416" t="inlineStr">
        <is>
          <t>32285002989563</t>
        </is>
      </c>
      <c r="BF416" t="inlineStr">
        <is>
          <t>893508615</t>
        </is>
      </c>
    </row>
    <row r="417">
      <c r="A417" t="inlineStr">
        <is>
          <t>No</t>
        </is>
      </c>
      <c r="B417" t="inlineStr">
        <is>
          <t>CURAL</t>
        </is>
      </c>
      <c r="C417" t="inlineStr">
        <is>
          <t>SHELVES</t>
        </is>
      </c>
      <c r="D417" t="inlineStr">
        <is>
          <t>PR2248 .W4</t>
        </is>
      </c>
      <c r="E417" t="inlineStr">
        <is>
          <t>0                      PR 2248000W  4</t>
        </is>
      </c>
      <c r="F417" t="inlineStr">
        <is>
          <t>Contrary music; the prose style of John Donne.</t>
        </is>
      </c>
      <c r="H417" t="inlineStr">
        <is>
          <t>No</t>
        </is>
      </c>
      <c r="I417" t="inlineStr">
        <is>
          <t>1</t>
        </is>
      </c>
      <c r="J417" t="inlineStr">
        <is>
          <t>No</t>
        </is>
      </c>
      <c r="K417" t="inlineStr">
        <is>
          <t>No</t>
        </is>
      </c>
      <c r="L417" t="inlineStr">
        <is>
          <t>0</t>
        </is>
      </c>
      <c r="M417" t="inlineStr">
        <is>
          <t>Webber, Joan.</t>
        </is>
      </c>
      <c r="N417" t="inlineStr">
        <is>
          <t>Madison, University of Wisconsin Press, 1963.</t>
        </is>
      </c>
      <c r="O417" t="inlineStr">
        <is>
          <t>1963</t>
        </is>
      </c>
      <c r="Q417" t="inlineStr">
        <is>
          <t>eng</t>
        </is>
      </c>
      <c r="R417" t="inlineStr">
        <is>
          <t>wiu</t>
        </is>
      </c>
      <c r="T417" t="inlineStr">
        <is>
          <t xml:space="preserve">PR </t>
        </is>
      </c>
      <c r="U417" t="n">
        <v>1</v>
      </c>
      <c r="V417" t="n">
        <v>1</v>
      </c>
      <c r="W417" t="inlineStr">
        <is>
          <t>2009-09-14</t>
        </is>
      </c>
      <c r="X417" t="inlineStr">
        <is>
          <t>2009-09-14</t>
        </is>
      </c>
      <c r="Y417" t="inlineStr">
        <is>
          <t>1997-07-29</t>
        </is>
      </c>
      <c r="Z417" t="inlineStr">
        <is>
          <t>1997-07-29</t>
        </is>
      </c>
      <c r="AA417" t="n">
        <v>838</v>
      </c>
      <c r="AB417" t="n">
        <v>718</v>
      </c>
      <c r="AC417" t="n">
        <v>757</v>
      </c>
      <c r="AD417" t="n">
        <v>7</v>
      </c>
      <c r="AE417" t="n">
        <v>7</v>
      </c>
      <c r="AF417" t="n">
        <v>40</v>
      </c>
      <c r="AG417" t="n">
        <v>40</v>
      </c>
      <c r="AH417" t="n">
        <v>16</v>
      </c>
      <c r="AI417" t="n">
        <v>16</v>
      </c>
      <c r="AJ417" t="n">
        <v>8</v>
      </c>
      <c r="AK417" t="n">
        <v>8</v>
      </c>
      <c r="AL417" t="n">
        <v>22</v>
      </c>
      <c r="AM417" t="n">
        <v>22</v>
      </c>
      <c r="AN417" t="n">
        <v>6</v>
      </c>
      <c r="AO417" t="n">
        <v>6</v>
      </c>
      <c r="AP417" t="n">
        <v>0</v>
      </c>
      <c r="AQ417" t="n">
        <v>0</v>
      </c>
      <c r="AR417" t="inlineStr">
        <is>
          <t>No</t>
        </is>
      </c>
      <c r="AS417" t="inlineStr">
        <is>
          <t>Yes</t>
        </is>
      </c>
      <c r="AT417">
        <f>HYPERLINK("http://catalog.hathitrust.org/Record/001017338","HathiTrust Record")</f>
        <v/>
      </c>
      <c r="AU417">
        <f>HYPERLINK("https://creighton-primo.hosted.exlibrisgroup.com/primo-explore/search?tab=default_tab&amp;search_scope=EVERYTHING&amp;vid=01CRU&amp;lang=en_US&amp;offset=0&amp;query=any,contains,991001058849702656","Catalog Record")</f>
        <v/>
      </c>
      <c r="AV417">
        <f>HYPERLINK("http://www.worldcat.org/oclc/177887","WorldCat Record")</f>
        <v/>
      </c>
      <c r="AW417" t="inlineStr">
        <is>
          <t>1315281:eng</t>
        </is>
      </c>
      <c r="AX417" t="inlineStr">
        <is>
          <t>177887</t>
        </is>
      </c>
      <c r="AY417" t="inlineStr">
        <is>
          <t>991001058849702656</t>
        </is>
      </c>
      <c r="AZ417" t="inlineStr">
        <is>
          <t>991001058849702656</t>
        </is>
      </c>
      <c r="BA417" t="inlineStr">
        <is>
          <t>2266332910002656</t>
        </is>
      </c>
      <c r="BB417" t="inlineStr">
        <is>
          <t>BOOK</t>
        </is>
      </c>
      <c r="BE417" t="inlineStr">
        <is>
          <t>32285002989589</t>
        </is>
      </c>
      <c r="BF417" t="inlineStr">
        <is>
          <t>893621038</t>
        </is>
      </c>
    </row>
    <row r="418">
      <c r="A418" t="inlineStr">
        <is>
          <t>No</t>
        </is>
      </c>
      <c r="B418" t="inlineStr">
        <is>
          <t>CURAL</t>
        </is>
      </c>
      <c r="C418" t="inlineStr">
        <is>
          <t>SHELVES</t>
        </is>
      </c>
      <c r="D418" t="inlineStr">
        <is>
          <t>PR2258 .B7 1990</t>
        </is>
      </c>
      <c r="E418" t="inlineStr">
        <is>
          <t>0                      PR 2258000B  7           1990</t>
        </is>
      </c>
      <c r="F418" t="inlineStr">
        <is>
          <t>Michael Drayton revisited / by Jean R. Brink.</t>
        </is>
      </c>
      <c r="H418" t="inlineStr">
        <is>
          <t>No</t>
        </is>
      </c>
      <c r="I418" t="inlineStr">
        <is>
          <t>1</t>
        </is>
      </c>
      <c r="J418" t="inlineStr">
        <is>
          <t>No</t>
        </is>
      </c>
      <c r="K418" t="inlineStr">
        <is>
          <t>No</t>
        </is>
      </c>
      <c r="L418" t="inlineStr">
        <is>
          <t>0</t>
        </is>
      </c>
      <c r="M418" t="inlineStr">
        <is>
          <t>Brink, J. R.</t>
        </is>
      </c>
      <c r="N418" t="inlineStr">
        <is>
          <t>Boston : Twayne, 1990.</t>
        </is>
      </c>
      <c r="O418" t="inlineStr">
        <is>
          <t>1990</t>
        </is>
      </c>
      <c r="Q418" t="inlineStr">
        <is>
          <t>eng</t>
        </is>
      </c>
      <c r="R418" t="inlineStr">
        <is>
          <t>mau</t>
        </is>
      </c>
      <c r="S418" t="inlineStr">
        <is>
          <t>Twayne's English authors series ; TEAS 476</t>
        </is>
      </c>
      <c r="T418" t="inlineStr">
        <is>
          <t xml:space="preserve">PR </t>
        </is>
      </c>
      <c r="U418" t="n">
        <v>1</v>
      </c>
      <c r="V418" t="n">
        <v>1</v>
      </c>
      <c r="W418" t="inlineStr">
        <is>
          <t>2002-02-09</t>
        </is>
      </c>
      <c r="X418" t="inlineStr">
        <is>
          <t>2002-02-09</t>
        </is>
      </c>
      <c r="Y418" t="inlineStr">
        <is>
          <t>1990-04-30</t>
        </is>
      </c>
      <c r="Z418" t="inlineStr">
        <is>
          <t>1990-04-30</t>
        </is>
      </c>
      <c r="AA418" t="n">
        <v>504</v>
      </c>
      <c r="AB418" t="n">
        <v>429</v>
      </c>
      <c r="AC418" t="n">
        <v>435</v>
      </c>
      <c r="AD418" t="n">
        <v>5</v>
      </c>
      <c r="AE418" t="n">
        <v>5</v>
      </c>
      <c r="AF418" t="n">
        <v>23</v>
      </c>
      <c r="AG418" t="n">
        <v>23</v>
      </c>
      <c r="AH418" t="n">
        <v>7</v>
      </c>
      <c r="AI418" t="n">
        <v>7</v>
      </c>
      <c r="AJ418" t="n">
        <v>4</v>
      </c>
      <c r="AK418" t="n">
        <v>4</v>
      </c>
      <c r="AL418" t="n">
        <v>14</v>
      </c>
      <c r="AM418" t="n">
        <v>14</v>
      </c>
      <c r="AN418" t="n">
        <v>4</v>
      </c>
      <c r="AO418" t="n">
        <v>4</v>
      </c>
      <c r="AP418" t="n">
        <v>0</v>
      </c>
      <c r="AQ418" t="n">
        <v>0</v>
      </c>
      <c r="AR418" t="inlineStr">
        <is>
          <t>No</t>
        </is>
      </c>
      <c r="AS418" t="inlineStr">
        <is>
          <t>Yes</t>
        </is>
      </c>
      <c r="AT418">
        <f>HYPERLINK("http://catalog.hathitrust.org/Record/002057111","HathiTrust Record")</f>
        <v/>
      </c>
      <c r="AU418">
        <f>HYPERLINK("https://creighton-primo.hosted.exlibrisgroup.com/primo-explore/search?tab=default_tab&amp;search_scope=EVERYTHING&amp;vid=01CRU&amp;lang=en_US&amp;offset=0&amp;query=any,contains,991001616519702656","Catalog Record")</f>
        <v/>
      </c>
      <c r="AV418">
        <f>HYPERLINK("http://www.worldcat.org/oclc/20796677","WorldCat Record")</f>
        <v/>
      </c>
      <c r="AW418" t="inlineStr">
        <is>
          <t>22782050:eng</t>
        </is>
      </c>
      <c r="AX418" t="inlineStr">
        <is>
          <t>20796677</t>
        </is>
      </c>
      <c r="AY418" t="inlineStr">
        <is>
          <t>991001616519702656</t>
        </is>
      </c>
      <c r="AZ418" t="inlineStr">
        <is>
          <t>991001616519702656</t>
        </is>
      </c>
      <c r="BA418" t="inlineStr">
        <is>
          <t>2260001260002656</t>
        </is>
      </c>
      <c r="BB418" t="inlineStr">
        <is>
          <t>BOOK</t>
        </is>
      </c>
      <c r="BD418" t="inlineStr">
        <is>
          <t>9780805769890</t>
        </is>
      </c>
      <c r="BE418" t="inlineStr">
        <is>
          <t>32285000022227</t>
        </is>
      </c>
      <c r="BF418" t="inlineStr">
        <is>
          <t>893232090</t>
        </is>
      </c>
    </row>
    <row r="419">
      <c r="A419" t="inlineStr">
        <is>
          <t>No</t>
        </is>
      </c>
      <c r="B419" t="inlineStr">
        <is>
          <t>CURAL</t>
        </is>
      </c>
      <c r="C419" t="inlineStr">
        <is>
          <t>SHELVES</t>
        </is>
      </c>
      <c r="D419" t="inlineStr">
        <is>
          <t>PR2280.G44 T544 1993</t>
        </is>
      </c>
      <c r="E419" t="inlineStr">
        <is>
          <t>0                      PR 2280000G  44                 T  544         1993</t>
        </is>
      </c>
      <c r="F419" t="inlineStr">
        <is>
          <t>Tiger's heart : what really happened in the Groat's-worth of wit controversy of 1592 / Jay Hoster.</t>
        </is>
      </c>
      <c r="H419" t="inlineStr">
        <is>
          <t>No</t>
        </is>
      </c>
      <c r="I419" t="inlineStr">
        <is>
          <t>1</t>
        </is>
      </c>
      <c r="J419" t="inlineStr">
        <is>
          <t>No</t>
        </is>
      </c>
      <c r="K419" t="inlineStr">
        <is>
          <t>No</t>
        </is>
      </c>
      <c r="L419" t="inlineStr">
        <is>
          <t>0</t>
        </is>
      </c>
      <c r="M419" t="inlineStr">
        <is>
          <t>Hoster, Jay.</t>
        </is>
      </c>
      <c r="N419" t="inlineStr">
        <is>
          <t>Columbus, Ohio : Ravine Books, c1993.</t>
        </is>
      </c>
      <c r="O419" t="inlineStr">
        <is>
          <t>1993</t>
        </is>
      </c>
      <c r="Q419" t="inlineStr">
        <is>
          <t>eng</t>
        </is>
      </c>
      <c r="R419" t="inlineStr">
        <is>
          <t>ohu</t>
        </is>
      </c>
      <c r="T419" t="inlineStr">
        <is>
          <t xml:space="preserve">PR </t>
        </is>
      </c>
      <c r="U419" t="n">
        <v>1</v>
      </c>
      <c r="V419" t="n">
        <v>1</v>
      </c>
      <c r="W419" t="inlineStr">
        <is>
          <t>2006-03-29</t>
        </is>
      </c>
      <c r="X419" t="inlineStr">
        <is>
          <t>2006-03-29</t>
        </is>
      </c>
      <c r="Y419" t="inlineStr">
        <is>
          <t>2006-03-29</t>
        </is>
      </c>
      <c r="Z419" t="inlineStr">
        <is>
          <t>2006-03-29</t>
        </is>
      </c>
      <c r="AA419" t="n">
        <v>307</v>
      </c>
      <c r="AB419" t="n">
        <v>253</v>
      </c>
      <c r="AC419" t="n">
        <v>255</v>
      </c>
      <c r="AD419" t="n">
        <v>3</v>
      </c>
      <c r="AE419" t="n">
        <v>3</v>
      </c>
      <c r="AF419" t="n">
        <v>17</v>
      </c>
      <c r="AG419" t="n">
        <v>17</v>
      </c>
      <c r="AH419" t="n">
        <v>6</v>
      </c>
      <c r="AI419" t="n">
        <v>6</v>
      </c>
      <c r="AJ419" t="n">
        <v>2</v>
      </c>
      <c r="AK419" t="n">
        <v>2</v>
      </c>
      <c r="AL419" t="n">
        <v>10</v>
      </c>
      <c r="AM419" t="n">
        <v>10</v>
      </c>
      <c r="AN419" t="n">
        <v>2</v>
      </c>
      <c r="AO419" t="n">
        <v>2</v>
      </c>
      <c r="AP419" t="n">
        <v>0</v>
      </c>
      <c r="AQ419" t="n">
        <v>0</v>
      </c>
      <c r="AR419" t="inlineStr">
        <is>
          <t>No</t>
        </is>
      </c>
      <c r="AS419" t="inlineStr">
        <is>
          <t>Yes</t>
        </is>
      </c>
      <c r="AT419">
        <f>HYPERLINK("http://catalog.hathitrust.org/Record/003902482","HathiTrust Record")</f>
        <v/>
      </c>
      <c r="AU419">
        <f>HYPERLINK("https://creighton-primo.hosted.exlibrisgroup.com/primo-explore/search?tab=default_tab&amp;search_scope=EVERYTHING&amp;vid=01CRU&amp;lang=en_US&amp;offset=0&amp;query=any,contains,991004777769702656","Catalog Record")</f>
        <v/>
      </c>
      <c r="AV419">
        <f>HYPERLINK("http://www.worldcat.org/oclc/29616990","WorldCat Record")</f>
        <v/>
      </c>
      <c r="AW419" t="inlineStr">
        <is>
          <t>340959996:eng</t>
        </is>
      </c>
      <c r="AX419" t="inlineStr">
        <is>
          <t>29616990</t>
        </is>
      </c>
      <c r="AY419" t="inlineStr">
        <is>
          <t>991004777769702656</t>
        </is>
      </c>
      <c r="AZ419" t="inlineStr">
        <is>
          <t>991004777769702656</t>
        </is>
      </c>
      <c r="BA419" t="inlineStr">
        <is>
          <t>2271850810002656</t>
        </is>
      </c>
      <c r="BB419" t="inlineStr">
        <is>
          <t>BOOK</t>
        </is>
      </c>
      <c r="BD419" t="inlineStr">
        <is>
          <t>9780963094698</t>
        </is>
      </c>
      <c r="BE419" t="inlineStr">
        <is>
          <t>32285005168330</t>
        </is>
      </c>
      <c r="BF419" t="inlineStr">
        <is>
          <t>893600222</t>
        </is>
      </c>
    </row>
    <row r="420">
      <c r="A420" t="inlineStr">
        <is>
          <t>No</t>
        </is>
      </c>
      <c r="B420" t="inlineStr">
        <is>
          <t>CURAL</t>
        </is>
      </c>
      <c r="C420" t="inlineStr">
        <is>
          <t>SHELVES</t>
        </is>
      </c>
      <c r="D420" t="inlineStr">
        <is>
          <t>PR2285 .C7 1985</t>
        </is>
      </c>
      <c r="E420" t="inlineStr">
        <is>
          <t>0                      PR 2285000C  7           1985</t>
        </is>
      </c>
      <c r="F420" t="inlineStr">
        <is>
          <t>Sir John Harington / by D.H. Craig.</t>
        </is>
      </c>
      <c r="H420" t="inlineStr">
        <is>
          <t>No</t>
        </is>
      </c>
      <c r="I420" t="inlineStr">
        <is>
          <t>1</t>
        </is>
      </c>
      <c r="J420" t="inlineStr">
        <is>
          <t>No</t>
        </is>
      </c>
      <c r="K420" t="inlineStr">
        <is>
          <t>No</t>
        </is>
      </c>
      <c r="L420" t="inlineStr">
        <is>
          <t>0</t>
        </is>
      </c>
      <c r="M420" t="inlineStr">
        <is>
          <t>Craig, D. H., 1952-</t>
        </is>
      </c>
      <c r="N420" t="inlineStr">
        <is>
          <t>Boston : Twayne, c1985.</t>
        </is>
      </c>
      <c r="O420" t="inlineStr">
        <is>
          <t>1985</t>
        </is>
      </c>
      <c r="Q420" t="inlineStr">
        <is>
          <t>eng</t>
        </is>
      </c>
      <c r="R420" t="inlineStr">
        <is>
          <t>mau</t>
        </is>
      </c>
      <c r="S420" t="inlineStr">
        <is>
          <t>Twayne's English authors series ; TEAS 386</t>
        </is>
      </c>
      <c r="T420" t="inlineStr">
        <is>
          <t xml:space="preserve">PR </t>
        </is>
      </c>
      <c r="U420" t="n">
        <v>2</v>
      </c>
      <c r="V420" t="n">
        <v>2</v>
      </c>
      <c r="W420" t="inlineStr">
        <is>
          <t>1994-11-26</t>
        </is>
      </c>
      <c r="X420" t="inlineStr">
        <is>
          <t>1994-11-26</t>
        </is>
      </c>
      <c r="Y420" t="inlineStr">
        <is>
          <t>1991-10-08</t>
        </is>
      </c>
      <c r="Z420" t="inlineStr">
        <is>
          <t>1991-10-08</t>
        </is>
      </c>
      <c r="AA420" t="n">
        <v>504</v>
      </c>
      <c r="AB420" t="n">
        <v>440</v>
      </c>
      <c r="AC420" t="n">
        <v>446</v>
      </c>
      <c r="AD420" t="n">
        <v>5</v>
      </c>
      <c r="AE420" t="n">
        <v>5</v>
      </c>
      <c r="AF420" t="n">
        <v>18</v>
      </c>
      <c r="AG420" t="n">
        <v>18</v>
      </c>
      <c r="AH420" t="n">
        <v>5</v>
      </c>
      <c r="AI420" t="n">
        <v>5</v>
      </c>
      <c r="AJ420" t="n">
        <v>3</v>
      </c>
      <c r="AK420" t="n">
        <v>3</v>
      </c>
      <c r="AL420" t="n">
        <v>12</v>
      </c>
      <c r="AM420" t="n">
        <v>12</v>
      </c>
      <c r="AN420" t="n">
        <v>4</v>
      </c>
      <c r="AO420" t="n">
        <v>4</v>
      </c>
      <c r="AP420" t="n">
        <v>0</v>
      </c>
      <c r="AQ420" t="n">
        <v>0</v>
      </c>
      <c r="AR420" t="inlineStr">
        <is>
          <t>No</t>
        </is>
      </c>
      <c r="AS420" t="inlineStr">
        <is>
          <t>Yes</t>
        </is>
      </c>
      <c r="AT420">
        <f>HYPERLINK("http://catalog.hathitrust.org/Record/000562673","HathiTrust Record")</f>
        <v/>
      </c>
      <c r="AU420">
        <f>HYPERLINK("https://creighton-primo.hosted.exlibrisgroup.com/primo-explore/search?tab=default_tab&amp;search_scope=EVERYTHING&amp;vid=01CRU&amp;lang=en_US&amp;offset=0&amp;query=any,contains,991000478679702656","Catalog Record")</f>
        <v/>
      </c>
      <c r="AV420">
        <f>HYPERLINK("http://www.worldcat.org/oclc/11044187","WorldCat Record")</f>
        <v/>
      </c>
      <c r="AW420" t="inlineStr">
        <is>
          <t>222236434:eng</t>
        </is>
      </c>
      <c r="AX420" t="inlineStr">
        <is>
          <t>11044187</t>
        </is>
      </c>
      <c r="AY420" t="inlineStr">
        <is>
          <t>991000478679702656</t>
        </is>
      </c>
      <c r="AZ420" t="inlineStr">
        <is>
          <t>991000478679702656</t>
        </is>
      </c>
      <c r="BA420" t="inlineStr">
        <is>
          <t>2261009630002656</t>
        </is>
      </c>
      <c r="BB420" t="inlineStr">
        <is>
          <t>BOOK</t>
        </is>
      </c>
      <c r="BD420" t="inlineStr">
        <is>
          <t>9780805768725</t>
        </is>
      </c>
      <c r="BE420" t="inlineStr">
        <is>
          <t>32285000772607</t>
        </is>
      </c>
      <c r="BF420" t="inlineStr">
        <is>
          <t>893508821</t>
        </is>
      </c>
    </row>
    <row r="421">
      <c r="A421" t="inlineStr">
        <is>
          <t>No</t>
        </is>
      </c>
      <c r="B421" t="inlineStr">
        <is>
          <t>CURAL</t>
        </is>
      </c>
      <c r="C421" t="inlineStr">
        <is>
          <t>SHELVES</t>
        </is>
      </c>
      <c r="D421" t="inlineStr">
        <is>
          <t>PR2303 .H83</t>
        </is>
      </c>
      <c r="E421" t="inlineStr">
        <is>
          <t>0                      PR 2303000H  83</t>
        </is>
      </c>
      <c r="F421" t="inlineStr">
        <is>
          <t>Lyly and Peele, by G. K. Hunter.</t>
        </is>
      </c>
      <c r="H421" t="inlineStr">
        <is>
          <t>No</t>
        </is>
      </c>
      <c r="I421" t="inlineStr">
        <is>
          <t>1</t>
        </is>
      </c>
      <c r="J421" t="inlineStr">
        <is>
          <t>No</t>
        </is>
      </c>
      <c r="K421" t="inlineStr">
        <is>
          <t>No</t>
        </is>
      </c>
      <c r="L421" t="inlineStr">
        <is>
          <t>0</t>
        </is>
      </c>
      <c r="M421" t="inlineStr">
        <is>
          <t>Hunter, G. K.</t>
        </is>
      </c>
      <c r="N421" t="inlineStr">
        <is>
          <t>Harlow, Published for the British Council &amp; the National Book League by Longmans, 1968.</t>
        </is>
      </c>
      <c r="O421" t="inlineStr">
        <is>
          <t>1968</t>
        </is>
      </c>
      <c r="Q421" t="inlineStr">
        <is>
          <t>eng</t>
        </is>
      </c>
      <c r="R421" t="inlineStr">
        <is>
          <t>enk</t>
        </is>
      </c>
      <c r="S421" t="inlineStr">
        <is>
          <t>Bibliographical series of supplements to British book news on writers and their work ; no. 206</t>
        </is>
      </c>
      <c r="T421" t="inlineStr">
        <is>
          <t xml:space="preserve">PR </t>
        </is>
      </c>
      <c r="U421" t="n">
        <v>1</v>
      </c>
      <c r="V421" t="n">
        <v>1</v>
      </c>
      <c r="W421" t="inlineStr">
        <is>
          <t>2010-11-28</t>
        </is>
      </c>
      <c r="X421" t="inlineStr">
        <is>
          <t>2010-11-28</t>
        </is>
      </c>
      <c r="Y421" t="inlineStr">
        <is>
          <t>1997-07-29</t>
        </is>
      </c>
      <c r="Z421" t="inlineStr">
        <is>
          <t>1997-07-29</t>
        </is>
      </c>
      <c r="AA421" t="n">
        <v>520</v>
      </c>
      <c r="AB421" t="n">
        <v>399</v>
      </c>
      <c r="AC421" t="n">
        <v>447</v>
      </c>
      <c r="AD421" t="n">
        <v>4</v>
      </c>
      <c r="AE421" t="n">
        <v>4</v>
      </c>
      <c r="AF421" t="n">
        <v>25</v>
      </c>
      <c r="AG421" t="n">
        <v>27</v>
      </c>
      <c r="AH421" t="n">
        <v>8</v>
      </c>
      <c r="AI421" t="n">
        <v>8</v>
      </c>
      <c r="AJ421" t="n">
        <v>7</v>
      </c>
      <c r="AK421" t="n">
        <v>7</v>
      </c>
      <c r="AL421" t="n">
        <v>13</v>
      </c>
      <c r="AM421" t="n">
        <v>15</v>
      </c>
      <c r="AN421" t="n">
        <v>3</v>
      </c>
      <c r="AO421" t="n">
        <v>3</v>
      </c>
      <c r="AP421" t="n">
        <v>0</v>
      </c>
      <c r="AQ421" t="n">
        <v>0</v>
      </c>
      <c r="AR421" t="inlineStr">
        <is>
          <t>No</t>
        </is>
      </c>
      <c r="AS421" t="inlineStr">
        <is>
          <t>Yes</t>
        </is>
      </c>
      <c r="AT421">
        <f>HYPERLINK("http://catalog.hathitrust.org/Record/000631579","HathiTrust Record")</f>
        <v/>
      </c>
      <c r="AU421">
        <f>HYPERLINK("https://creighton-primo.hosted.exlibrisgroup.com/primo-explore/search?tab=default_tab&amp;search_scope=EVERYTHING&amp;vid=01CRU&amp;lang=en_US&amp;offset=0&amp;query=any,contains,991000009819702656","Catalog Record")</f>
        <v/>
      </c>
      <c r="AV421">
        <f>HYPERLINK("http://www.worldcat.org/oclc/14143","WorldCat Record")</f>
        <v/>
      </c>
      <c r="AW421" t="inlineStr">
        <is>
          <t>1136870:eng</t>
        </is>
      </c>
      <c r="AX421" t="inlineStr">
        <is>
          <t>14143</t>
        </is>
      </c>
      <c r="AY421" t="inlineStr">
        <is>
          <t>991000009819702656</t>
        </is>
      </c>
      <c r="AZ421" t="inlineStr">
        <is>
          <t>991000009819702656</t>
        </is>
      </c>
      <c r="BA421" t="inlineStr">
        <is>
          <t>2265817070002656</t>
        </is>
      </c>
      <c r="BB421" t="inlineStr">
        <is>
          <t>BOOK</t>
        </is>
      </c>
      <c r="BD421" t="inlineStr">
        <is>
          <t>9780582012066</t>
        </is>
      </c>
      <c r="BE421" t="inlineStr">
        <is>
          <t>32285002990082</t>
        </is>
      </c>
      <c r="BF421" t="inlineStr">
        <is>
          <t>893224661</t>
        </is>
      </c>
    </row>
    <row r="422">
      <c r="A422" t="inlineStr">
        <is>
          <t>No</t>
        </is>
      </c>
      <c r="B422" t="inlineStr">
        <is>
          <t>CURAL</t>
        </is>
      </c>
      <c r="C422" t="inlineStr">
        <is>
          <t>SHELVES</t>
        </is>
      </c>
      <c r="D422" t="inlineStr">
        <is>
          <t>PR2322 .C65 1978</t>
        </is>
      </c>
      <c r="E422" t="inlineStr">
        <is>
          <t>0                      PR 2322000C  65          1978</t>
        </is>
      </c>
      <c r="F422" t="inlineStr">
        <is>
          <t>Quincentennial essays on St. Thomas More : selected papers from the Thomas More College Conference / edited by Michael J. Moore. --</t>
        </is>
      </c>
      <c r="H422" t="inlineStr">
        <is>
          <t>No</t>
        </is>
      </c>
      <c r="I422" t="inlineStr">
        <is>
          <t>1</t>
        </is>
      </c>
      <c r="J422" t="inlineStr">
        <is>
          <t>No</t>
        </is>
      </c>
      <c r="K422" t="inlineStr">
        <is>
          <t>No</t>
        </is>
      </c>
      <c r="L422" t="inlineStr">
        <is>
          <t>0</t>
        </is>
      </c>
      <c r="M422" t="inlineStr">
        <is>
          <t>Conference on St. Thomas More (1978 : Thomas More College)</t>
        </is>
      </c>
      <c r="N422" t="inlineStr">
        <is>
          <t>Boone, N. C. : Albion, Department of History, Appalachian State University, c1978.</t>
        </is>
      </c>
      <c r="O422" t="inlineStr">
        <is>
          <t>1978</t>
        </is>
      </c>
      <c r="Q422" t="inlineStr">
        <is>
          <t>eng</t>
        </is>
      </c>
      <c r="R422" t="inlineStr">
        <is>
          <t>ncu</t>
        </is>
      </c>
      <c r="T422" t="inlineStr">
        <is>
          <t xml:space="preserve">PR </t>
        </is>
      </c>
      <c r="U422" t="n">
        <v>3</v>
      </c>
      <c r="V422" t="n">
        <v>3</v>
      </c>
      <c r="W422" t="inlineStr">
        <is>
          <t>1998-03-16</t>
        </is>
      </c>
      <c r="X422" t="inlineStr">
        <is>
          <t>1998-03-16</t>
        </is>
      </c>
      <c r="Y422" t="inlineStr">
        <is>
          <t>1991-10-08</t>
        </is>
      </c>
      <c r="Z422" t="inlineStr">
        <is>
          <t>1991-10-08</t>
        </is>
      </c>
      <c r="AA422" t="n">
        <v>362</v>
      </c>
      <c r="AB422" t="n">
        <v>299</v>
      </c>
      <c r="AC422" t="n">
        <v>301</v>
      </c>
      <c r="AD422" t="n">
        <v>3</v>
      </c>
      <c r="AE422" t="n">
        <v>3</v>
      </c>
      <c r="AF422" t="n">
        <v>21</v>
      </c>
      <c r="AG422" t="n">
        <v>21</v>
      </c>
      <c r="AH422" t="n">
        <v>6</v>
      </c>
      <c r="AI422" t="n">
        <v>6</v>
      </c>
      <c r="AJ422" t="n">
        <v>6</v>
      </c>
      <c r="AK422" t="n">
        <v>6</v>
      </c>
      <c r="AL422" t="n">
        <v>14</v>
      </c>
      <c r="AM422" t="n">
        <v>14</v>
      </c>
      <c r="AN422" t="n">
        <v>1</v>
      </c>
      <c r="AO422" t="n">
        <v>1</v>
      </c>
      <c r="AP422" t="n">
        <v>0</v>
      </c>
      <c r="AQ422" t="n">
        <v>0</v>
      </c>
      <c r="AR422" t="inlineStr">
        <is>
          <t>No</t>
        </is>
      </c>
      <c r="AS422" t="inlineStr">
        <is>
          <t>Yes</t>
        </is>
      </c>
      <c r="AT422">
        <f>HYPERLINK("http://catalog.hathitrust.org/Record/000022251","HathiTrust Record")</f>
        <v/>
      </c>
      <c r="AU422">
        <f>HYPERLINK("https://creighton-primo.hosted.exlibrisgroup.com/primo-explore/search?tab=default_tab&amp;search_scope=EVERYTHING&amp;vid=01CRU&amp;lang=en_US&amp;offset=0&amp;query=any,contains,991004689569702656","Catalog Record")</f>
        <v/>
      </c>
      <c r="AV422">
        <f>HYPERLINK("http://www.worldcat.org/oclc/5220692","WorldCat Record")</f>
        <v/>
      </c>
      <c r="AW422" t="inlineStr">
        <is>
          <t>902184436:eng</t>
        </is>
      </c>
      <c r="AX422" t="inlineStr">
        <is>
          <t>5220692</t>
        </is>
      </c>
      <c r="AY422" t="inlineStr">
        <is>
          <t>991004689569702656</t>
        </is>
      </c>
      <c r="AZ422" t="inlineStr">
        <is>
          <t>991004689569702656</t>
        </is>
      </c>
      <c r="BA422" t="inlineStr">
        <is>
          <t>2267381150002656</t>
        </is>
      </c>
      <c r="BB422" t="inlineStr">
        <is>
          <t>BOOK</t>
        </is>
      </c>
      <c r="BD422" t="inlineStr">
        <is>
          <t>9780932530004</t>
        </is>
      </c>
      <c r="BE422" t="inlineStr">
        <is>
          <t>32285000772664</t>
        </is>
      </c>
      <c r="BF422" t="inlineStr">
        <is>
          <t>893688028</t>
        </is>
      </c>
    </row>
    <row r="423">
      <c r="A423" t="inlineStr">
        <is>
          <t>No</t>
        </is>
      </c>
      <c r="B423" t="inlineStr">
        <is>
          <t>CURAL</t>
        </is>
      </c>
      <c r="C423" t="inlineStr">
        <is>
          <t>SHELVES</t>
        </is>
      </c>
      <c r="D423" t="inlineStr">
        <is>
          <t>PR2322 .J6 1979</t>
        </is>
      </c>
      <c r="E423" t="inlineStr">
        <is>
          <t>0                      PR 2322000J  6           1979</t>
        </is>
      </c>
      <c r="F423" t="inlineStr">
        <is>
          <t>Thomas More / by Judith P. Jones ; [editor, Arthur F. Kinney].</t>
        </is>
      </c>
      <c r="H423" t="inlineStr">
        <is>
          <t>No</t>
        </is>
      </c>
      <c r="I423" t="inlineStr">
        <is>
          <t>1</t>
        </is>
      </c>
      <c r="J423" t="inlineStr">
        <is>
          <t>No</t>
        </is>
      </c>
      <c r="K423" t="inlineStr">
        <is>
          <t>No</t>
        </is>
      </c>
      <c r="L423" t="inlineStr">
        <is>
          <t>0</t>
        </is>
      </c>
      <c r="M423" t="inlineStr">
        <is>
          <t>Paterson, Judith Hillman, 1936-</t>
        </is>
      </c>
      <c r="N423" t="inlineStr">
        <is>
          <t>Boston : Twayne Publishers, 1979.</t>
        </is>
      </c>
      <c r="O423" t="inlineStr">
        <is>
          <t>1979</t>
        </is>
      </c>
      <c r="Q423" t="inlineStr">
        <is>
          <t>eng</t>
        </is>
      </c>
      <c r="R423" t="inlineStr">
        <is>
          <t>mau</t>
        </is>
      </c>
      <c r="S423" t="inlineStr">
        <is>
          <t>Twayne's English authors series ; TEAS 247</t>
        </is>
      </c>
      <c r="T423" t="inlineStr">
        <is>
          <t xml:space="preserve">PR </t>
        </is>
      </c>
      <c r="U423" t="n">
        <v>5</v>
      </c>
      <c r="V423" t="n">
        <v>5</v>
      </c>
      <c r="W423" t="inlineStr">
        <is>
          <t>1999-02-18</t>
        </is>
      </c>
      <c r="X423" t="inlineStr">
        <is>
          <t>1999-02-18</t>
        </is>
      </c>
      <c r="Y423" t="inlineStr">
        <is>
          <t>1991-10-08</t>
        </is>
      </c>
      <c r="Z423" t="inlineStr">
        <is>
          <t>1991-10-08</t>
        </is>
      </c>
      <c r="AA423" t="n">
        <v>736</v>
      </c>
      <c r="AB423" t="n">
        <v>671</v>
      </c>
      <c r="AC423" t="n">
        <v>767</v>
      </c>
      <c r="AD423" t="n">
        <v>6</v>
      </c>
      <c r="AE423" t="n">
        <v>6</v>
      </c>
      <c r="AF423" t="n">
        <v>31</v>
      </c>
      <c r="AG423" t="n">
        <v>33</v>
      </c>
      <c r="AH423" t="n">
        <v>9</v>
      </c>
      <c r="AI423" t="n">
        <v>10</v>
      </c>
      <c r="AJ423" t="n">
        <v>7</v>
      </c>
      <c r="AK423" t="n">
        <v>7</v>
      </c>
      <c r="AL423" t="n">
        <v>18</v>
      </c>
      <c r="AM423" t="n">
        <v>19</v>
      </c>
      <c r="AN423" t="n">
        <v>5</v>
      </c>
      <c r="AO423" t="n">
        <v>5</v>
      </c>
      <c r="AP423" t="n">
        <v>0</v>
      </c>
      <c r="AQ423" t="n">
        <v>0</v>
      </c>
      <c r="AR423" t="inlineStr">
        <is>
          <t>No</t>
        </is>
      </c>
      <c r="AS423" t="inlineStr">
        <is>
          <t>Yes</t>
        </is>
      </c>
      <c r="AT423">
        <f>HYPERLINK("http://catalog.hathitrust.org/Record/000216033","HathiTrust Record")</f>
        <v/>
      </c>
      <c r="AU423">
        <f>HYPERLINK("https://creighton-primo.hosted.exlibrisgroup.com/primo-explore/search?tab=default_tab&amp;search_scope=EVERYTHING&amp;vid=01CRU&amp;lang=en_US&amp;offset=0&amp;query=any,contains,991004605729702656","Catalog Record")</f>
        <v/>
      </c>
      <c r="AV423">
        <f>HYPERLINK("http://www.worldcat.org/oclc/4194410","WorldCat Record")</f>
        <v/>
      </c>
      <c r="AW423" t="inlineStr">
        <is>
          <t>461552:eng</t>
        </is>
      </c>
      <c r="AX423" t="inlineStr">
        <is>
          <t>4194410</t>
        </is>
      </c>
      <c r="AY423" t="inlineStr">
        <is>
          <t>991004605729702656</t>
        </is>
      </c>
      <c r="AZ423" t="inlineStr">
        <is>
          <t>991004605729702656</t>
        </is>
      </c>
      <c r="BA423" t="inlineStr">
        <is>
          <t>2262497740002656</t>
        </is>
      </c>
      <c r="BB423" t="inlineStr">
        <is>
          <t>BOOK</t>
        </is>
      </c>
      <c r="BD423" t="inlineStr">
        <is>
          <t>9780805767117</t>
        </is>
      </c>
      <c r="BE423" t="inlineStr">
        <is>
          <t>32285000772672</t>
        </is>
      </c>
      <c r="BF423" t="inlineStr">
        <is>
          <t>893253881</t>
        </is>
      </c>
    </row>
    <row r="424">
      <c r="A424" t="inlineStr">
        <is>
          <t>No</t>
        </is>
      </c>
      <c r="B424" t="inlineStr">
        <is>
          <t>CURAL</t>
        </is>
      </c>
      <c r="C424" t="inlineStr">
        <is>
          <t>SHELVES</t>
        </is>
      </c>
      <c r="D424" t="inlineStr">
        <is>
          <t>PR2326.N3 Z6 1982</t>
        </is>
      </c>
      <c r="E424" t="inlineStr">
        <is>
          <t>0                      PR 2326000N  3                  Z  6           1982</t>
        </is>
      </c>
      <c r="F424" t="inlineStr">
        <is>
          <t>Unredeemed rhetoric : Thomas Nashe and the scandal of authorship / Jonathan V. Crewe.</t>
        </is>
      </c>
      <c r="H424" t="inlineStr">
        <is>
          <t>No</t>
        </is>
      </c>
      <c r="I424" t="inlineStr">
        <is>
          <t>1</t>
        </is>
      </c>
      <c r="J424" t="inlineStr">
        <is>
          <t>No</t>
        </is>
      </c>
      <c r="K424" t="inlineStr">
        <is>
          <t>No</t>
        </is>
      </c>
      <c r="L424" t="inlineStr">
        <is>
          <t>0</t>
        </is>
      </c>
      <c r="M424" t="inlineStr">
        <is>
          <t>Crewe, Jonathan V.</t>
        </is>
      </c>
      <c r="N424" t="inlineStr">
        <is>
          <t>Baltimore : Johns Hopkins University Press, c1982.</t>
        </is>
      </c>
      <c r="O424" t="inlineStr">
        <is>
          <t>1982</t>
        </is>
      </c>
      <c r="Q424" t="inlineStr">
        <is>
          <t>eng</t>
        </is>
      </c>
      <c r="R424" t="inlineStr">
        <is>
          <t>mdu</t>
        </is>
      </c>
      <c r="T424" t="inlineStr">
        <is>
          <t xml:space="preserve">PR </t>
        </is>
      </c>
      <c r="U424" t="n">
        <v>1</v>
      </c>
      <c r="V424" t="n">
        <v>1</v>
      </c>
      <c r="W424" t="inlineStr">
        <is>
          <t>2002-04-22</t>
        </is>
      </c>
      <c r="X424" t="inlineStr">
        <is>
          <t>2002-04-22</t>
        </is>
      </c>
      <c r="Y424" t="inlineStr">
        <is>
          <t>2002-04-08</t>
        </is>
      </c>
      <c r="Z424" t="inlineStr">
        <is>
          <t>2002-04-08</t>
        </is>
      </c>
      <c r="AA424" t="n">
        <v>404</v>
      </c>
      <c r="AB424" t="n">
        <v>310</v>
      </c>
      <c r="AC424" t="n">
        <v>317</v>
      </c>
      <c r="AD424" t="n">
        <v>4</v>
      </c>
      <c r="AE424" t="n">
        <v>4</v>
      </c>
      <c r="AF424" t="n">
        <v>18</v>
      </c>
      <c r="AG424" t="n">
        <v>18</v>
      </c>
      <c r="AH424" t="n">
        <v>6</v>
      </c>
      <c r="AI424" t="n">
        <v>6</v>
      </c>
      <c r="AJ424" t="n">
        <v>4</v>
      </c>
      <c r="AK424" t="n">
        <v>4</v>
      </c>
      <c r="AL424" t="n">
        <v>10</v>
      </c>
      <c r="AM424" t="n">
        <v>10</v>
      </c>
      <c r="AN424" t="n">
        <v>3</v>
      </c>
      <c r="AO424" t="n">
        <v>3</v>
      </c>
      <c r="AP424" t="n">
        <v>0</v>
      </c>
      <c r="AQ424" t="n">
        <v>0</v>
      </c>
      <c r="AR424" t="inlineStr">
        <is>
          <t>No</t>
        </is>
      </c>
      <c r="AS424" t="inlineStr">
        <is>
          <t>Yes</t>
        </is>
      </c>
      <c r="AT424">
        <f>HYPERLINK("http://catalog.hathitrust.org/Record/000228824","HathiTrust Record")</f>
        <v/>
      </c>
      <c r="AU424">
        <f>HYPERLINK("https://creighton-primo.hosted.exlibrisgroup.com/primo-explore/search?tab=default_tab&amp;search_scope=EVERYTHING&amp;vid=01CRU&amp;lang=en_US&amp;offset=0&amp;query=any,contains,991003790939702656","Catalog Record")</f>
        <v/>
      </c>
      <c r="AV424">
        <f>HYPERLINK("http://www.worldcat.org/oclc/8346100","WorldCat Record")</f>
        <v/>
      </c>
      <c r="AW424" t="inlineStr">
        <is>
          <t>365370112:eng</t>
        </is>
      </c>
      <c r="AX424" t="inlineStr">
        <is>
          <t>8346100</t>
        </is>
      </c>
      <c r="AY424" t="inlineStr">
        <is>
          <t>991003790939702656</t>
        </is>
      </c>
      <c r="AZ424" t="inlineStr">
        <is>
          <t>991003790939702656</t>
        </is>
      </c>
      <c r="BA424" t="inlineStr">
        <is>
          <t>2263371010002656</t>
        </is>
      </c>
      <c r="BB424" t="inlineStr">
        <is>
          <t>BOOK</t>
        </is>
      </c>
      <c r="BD424" t="inlineStr">
        <is>
          <t>9780801828485</t>
        </is>
      </c>
      <c r="BE424" t="inlineStr">
        <is>
          <t>32285004478037</t>
        </is>
      </c>
      <c r="BF424" t="inlineStr">
        <is>
          <t>893775196</t>
        </is>
      </c>
    </row>
    <row r="425">
      <c r="A425" t="inlineStr">
        <is>
          <t>No</t>
        </is>
      </c>
      <c r="B425" t="inlineStr">
        <is>
          <t>CURAL</t>
        </is>
      </c>
      <c r="C425" t="inlineStr">
        <is>
          <t>SHELVES</t>
        </is>
      </c>
      <c r="D425" t="inlineStr">
        <is>
          <t>PR2326.N3 Z68</t>
        </is>
      </c>
      <c r="E425" t="inlineStr">
        <is>
          <t>0                      PR 2326000N  3                  Z  68</t>
        </is>
      </c>
      <c r="F425" t="inlineStr">
        <is>
          <t>Thomas Nashe; a critical introduction.</t>
        </is>
      </c>
      <c r="H425" t="inlineStr">
        <is>
          <t>No</t>
        </is>
      </c>
      <c r="I425" t="inlineStr">
        <is>
          <t>1</t>
        </is>
      </c>
      <c r="J425" t="inlineStr">
        <is>
          <t>No</t>
        </is>
      </c>
      <c r="K425" t="inlineStr">
        <is>
          <t>No</t>
        </is>
      </c>
      <c r="L425" t="inlineStr">
        <is>
          <t>0</t>
        </is>
      </c>
      <c r="M425" t="inlineStr">
        <is>
          <t>Hibbard, G. R. (George Richard), 1915-</t>
        </is>
      </c>
      <c r="N425" t="inlineStr">
        <is>
          <t>Cambridge, Harvard University Press, 1962.</t>
        </is>
      </c>
      <c r="O425" t="inlineStr">
        <is>
          <t>1962</t>
        </is>
      </c>
      <c r="Q425" t="inlineStr">
        <is>
          <t>eng</t>
        </is>
      </c>
      <c r="R425" t="inlineStr">
        <is>
          <t>enk</t>
        </is>
      </c>
      <c r="T425" t="inlineStr">
        <is>
          <t xml:space="preserve">PR </t>
        </is>
      </c>
      <c r="U425" t="n">
        <v>0</v>
      </c>
      <c r="V425" t="n">
        <v>0</v>
      </c>
      <c r="W425" t="inlineStr">
        <is>
          <t>2002-02-01</t>
        </is>
      </c>
      <c r="X425" t="inlineStr">
        <is>
          <t>2002-02-01</t>
        </is>
      </c>
      <c r="Y425" t="inlineStr">
        <is>
          <t>1997-07-29</t>
        </is>
      </c>
      <c r="Z425" t="inlineStr">
        <is>
          <t>1997-07-29</t>
        </is>
      </c>
      <c r="AA425" t="n">
        <v>567</v>
      </c>
      <c r="AB425" t="n">
        <v>530</v>
      </c>
      <c r="AC425" t="n">
        <v>658</v>
      </c>
      <c r="AD425" t="n">
        <v>3</v>
      </c>
      <c r="AE425" t="n">
        <v>3</v>
      </c>
      <c r="AF425" t="n">
        <v>25</v>
      </c>
      <c r="AG425" t="n">
        <v>34</v>
      </c>
      <c r="AH425" t="n">
        <v>9</v>
      </c>
      <c r="AI425" t="n">
        <v>15</v>
      </c>
      <c r="AJ425" t="n">
        <v>6</v>
      </c>
      <c r="AK425" t="n">
        <v>7</v>
      </c>
      <c r="AL425" t="n">
        <v>14</v>
      </c>
      <c r="AM425" t="n">
        <v>20</v>
      </c>
      <c r="AN425" t="n">
        <v>2</v>
      </c>
      <c r="AO425" t="n">
        <v>2</v>
      </c>
      <c r="AP425" t="n">
        <v>0</v>
      </c>
      <c r="AQ425" t="n">
        <v>0</v>
      </c>
      <c r="AR425" t="inlineStr">
        <is>
          <t>No</t>
        </is>
      </c>
      <c r="AS425" t="inlineStr">
        <is>
          <t>Yes</t>
        </is>
      </c>
      <c r="AT425">
        <f>HYPERLINK("http://catalog.hathitrust.org/Record/000672980","HathiTrust Record")</f>
        <v/>
      </c>
      <c r="AU425">
        <f>HYPERLINK("https://creighton-primo.hosted.exlibrisgroup.com/primo-explore/search?tab=default_tab&amp;search_scope=EVERYTHING&amp;vid=01CRU&amp;lang=en_US&amp;offset=0&amp;query=any,contains,991001180449702656","Catalog Record")</f>
        <v/>
      </c>
      <c r="AV425">
        <f>HYPERLINK("http://www.worldcat.org/oclc/190076","WorldCat Record")</f>
        <v/>
      </c>
      <c r="AW425" t="inlineStr">
        <is>
          <t>431260452:eng</t>
        </is>
      </c>
      <c r="AX425" t="inlineStr">
        <is>
          <t>190076</t>
        </is>
      </c>
      <c r="AY425" t="inlineStr">
        <is>
          <t>991001180449702656</t>
        </is>
      </c>
      <c r="AZ425" t="inlineStr">
        <is>
          <t>991001180449702656</t>
        </is>
      </c>
      <c r="BA425" t="inlineStr">
        <is>
          <t>2259734490002656</t>
        </is>
      </c>
      <c r="BB425" t="inlineStr">
        <is>
          <t>BOOK</t>
        </is>
      </c>
      <c r="BE425" t="inlineStr">
        <is>
          <t>32285002990355</t>
        </is>
      </c>
      <c r="BF425" t="inlineStr">
        <is>
          <t>893346316</t>
        </is>
      </c>
    </row>
    <row r="426">
      <c r="A426" t="inlineStr">
        <is>
          <t>No</t>
        </is>
      </c>
      <c r="B426" t="inlineStr">
        <is>
          <t>CURAL</t>
        </is>
      </c>
      <c r="C426" t="inlineStr">
        <is>
          <t>SHELVES</t>
        </is>
      </c>
      <c r="D426" t="inlineStr">
        <is>
          <t>PR2326.O5 A16 1936</t>
        </is>
      </c>
      <c r="E426" t="inlineStr">
        <is>
          <t>0                      PR 2326000O  5                  A  16          1936</t>
        </is>
      </c>
      <c r="F426" t="inlineStr">
        <is>
          <t>The Overburian characters, to which is added, A wife, by Sir Thomas Overbury; edited by W.J. Paylor ...</t>
        </is>
      </c>
      <c r="H426" t="inlineStr">
        <is>
          <t>No</t>
        </is>
      </c>
      <c r="I426" t="inlineStr">
        <is>
          <t>1</t>
        </is>
      </c>
      <c r="J426" t="inlineStr">
        <is>
          <t>No</t>
        </is>
      </c>
      <c r="K426" t="inlineStr">
        <is>
          <t>No</t>
        </is>
      </c>
      <c r="L426" t="inlineStr">
        <is>
          <t>0</t>
        </is>
      </c>
      <c r="M426" t="inlineStr">
        <is>
          <t>Overbury, Thomas, Sir, 1581-1613.</t>
        </is>
      </c>
      <c r="N426" t="inlineStr">
        <is>
          <t>Oxford, B. Blackwell, 1936.</t>
        </is>
      </c>
      <c r="O426" t="inlineStr">
        <is>
          <t>1936</t>
        </is>
      </c>
      <c r="Q426" t="inlineStr">
        <is>
          <t>eng</t>
        </is>
      </c>
      <c r="R426" t="inlineStr">
        <is>
          <t>enk</t>
        </is>
      </c>
      <c r="S426" t="inlineStr">
        <is>
          <t>The Percy reprints, XIII</t>
        </is>
      </c>
      <c r="T426" t="inlineStr">
        <is>
          <t xml:space="preserve">PR </t>
        </is>
      </c>
      <c r="U426" t="n">
        <v>0</v>
      </c>
      <c r="V426" t="n">
        <v>0</v>
      </c>
      <c r="W426" t="inlineStr">
        <is>
          <t>2001-09-04</t>
        </is>
      </c>
      <c r="X426" t="inlineStr">
        <is>
          <t>2001-09-04</t>
        </is>
      </c>
      <c r="Y426" t="inlineStr">
        <is>
          <t>1997-07-29</t>
        </is>
      </c>
      <c r="Z426" t="inlineStr">
        <is>
          <t>1997-07-29</t>
        </is>
      </c>
      <c r="AA426" t="n">
        <v>129</v>
      </c>
      <c r="AB426" t="n">
        <v>89</v>
      </c>
      <c r="AC426" t="n">
        <v>203</v>
      </c>
      <c r="AD426" t="n">
        <v>3</v>
      </c>
      <c r="AE426" t="n">
        <v>3</v>
      </c>
      <c r="AF426" t="n">
        <v>4</v>
      </c>
      <c r="AG426" t="n">
        <v>13</v>
      </c>
      <c r="AH426" t="n">
        <v>0</v>
      </c>
      <c r="AI426" t="n">
        <v>6</v>
      </c>
      <c r="AJ426" t="n">
        <v>1</v>
      </c>
      <c r="AK426" t="n">
        <v>3</v>
      </c>
      <c r="AL426" t="n">
        <v>2</v>
      </c>
      <c r="AM426" t="n">
        <v>8</v>
      </c>
      <c r="AN426" t="n">
        <v>2</v>
      </c>
      <c r="AO426" t="n">
        <v>2</v>
      </c>
      <c r="AP426" t="n">
        <v>0</v>
      </c>
      <c r="AQ426" t="n">
        <v>0</v>
      </c>
      <c r="AR426" t="inlineStr">
        <is>
          <t>No</t>
        </is>
      </c>
      <c r="AS426" t="inlineStr">
        <is>
          <t>No</t>
        </is>
      </c>
      <c r="AT426">
        <f>HYPERLINK("http://catalog.hathitrust.org/Record/001017380","HathiTrust Record")</f>
        <v/>
      </c>
      <c r="AU426">
        <f>HYPERLINK("https://creighton-primo.hosted.exlibrisgroup.com/primo-explore/search?tab=default_tab&amp;search_scope=EVERYTHING&amp;vid=01CRU&amp;lang=en_US&amp;offset=0&amp;query=any,contains,991003457269702656","Catalog Record")</f>
        <v/>
      </c>
      <c r="AV426">
        <f>HYPERLINK("http://www.worldcat.org/oclc/997421","WorldCat Record")</f>
        <v/>
      </c>
      <c r="AW426" t="inlineStr">
        <is>
          <t>1993961:eng</t>
        </is>
      </c>
      <c r="AX426" t="inlineStr">
        <is>
          <t>997421</t>
        </is>
      </c>
      <c r="AY426" t="inlineStr">
        <is>
          <t>991003457269702656</t>
        </is>
      </c>
      <c r="AZ426" t="inlineStr">
        <is>
          <t>991003457269702656</t>
        </is>
      </c>
      <c r="BA426" t="inlineStr">
        <is>
          <t>2271627980002656</t>
        </is>
      </c>
      <c r="BB426" t="inlineStr">
        <is>
          <t>BOOK</t>
        </is>
      </c>
      <c r="BE426" t="inlineStr">
        <is>
          <t>32285002990363</t>
        </is>
      </c>
      <c r="BF426" t="inlineStr">
        <is>
          <t>893518484</t>
        </is>
      </c>
    </row>
    <row r="427">
      <c r="A427" t="inlineStr">
        <is>
          <t>No</t>
        </is>
      </c>
      <c r="B427" t="inlineStr">
        <is>
          <t>CURAL</t>
        </is>
      </c>
      <c r="C427" t="inlineStr">
        <is>
          <t>SHELVES</t>
        </is>
      </c>
      <c r="D427" t="inlineStr">
        <is>
          <t>PR2340.A5 R5</t>
        </is>
      </c>
      <c r="E427" t="inlineStr">
        <is>
          <t>0                      PR 2340000A  5                  R  5</t>
        </is>
      </c>
      <c r="F427" t="inlineStr">
        <is>
          <t>Poems / edited by William A. Ringler, Jr.</t>
        </is>
      </c>
      <c r="H427" t="inlineStr">
        <is>
          <t>No</t>
        </is>
      </c>
      <c r="I427" t="inlineStr">
        <is>
          <t>1</t>
        </is>
      </c>
      <c r="J427" t="inlineStr">
        <is>
          <t>No</t>
        </is>
      </c>
      <c r="K427" t="inlineStr">
        <is>
          <t>No</t>
        </is>
      </c>
      <c r="L427" t="inlineStr">
        <is>
          <t>0</t>
        </is>
      </c>
      <c r="M427" t="inlineStr">
        <is>
          <t>Sidney, Philip, 1554-1586.</t>
        </is>
      </c>
      <c r="N427" t="inlineStr">
        <is>
          <t>Oxford : Clarendon Press, 1962.</t>
        </is>
      </c>
      <c r="O427" t="inlineStr">
        <is>
          <t>1962</t>
        </is>
      </c>
      <c r="Q427" t="inlineStr">
        <is>
          <t>eng</t>
        </is>
      </c>
      <c r="R427" t="inlineStr">
        <is>
          <t xml:space="preserve">xx </t>
        </is>
      </c>
      <c r="T427" t="inlineStr">
        <is>
          <t xml:space="preserve">PR </t>
        </is>
      </c>
      <c r="U427" t="n">
        <v>2</v>
      </c>
      <c r="V427" t="n">
        <v>2</v>
      </c>
      <c r="W427" t="inlineStr">
        <is>
          <t>2002-02-09</t>
        </is>
      </c>
      <c r="X427" t="inlineStr">
        <is>
          <t>2002-02-09</t>
        </is>
      </c>
      <c r="Y427" t="inlineStr">
        <is>
          <t>1991-10-10</t>
        </is>
      </c>
      <c r="Z427" t="inlineStr">
        <is>
          <t>1991-10-10</t>
        </is>
      </c>
      <c r="AA427" t="n">
        <v>942</v>
      </c>
      <c r="AB427" t="n">
        <v>824</v>
      </c>
      <c r="AC427" t="n">
        <v>830</v>
      </c>
      <c r="AD427" t="n">
        <v>7</v>
      </c>
      <c r="AE427" t="n">
        <v>7</v>
      </c>
      <c r="AF427" t="n">
        <v>44</v>
      </c>
      <c r="AG427" t="n">
        <v>44</v>
      </c>
      <c r="AH427" t="n">
        <v>19</v>
      </c>
      <c r="AI427" t="n">
        <v>19</v>
      </c>
      <c r="AJ427" t="n">
        <v>8</v>
      </c>
      <c r="AK427" t="n">
        <v>8</v>
      </c>
      <c r="AL427" t="n">
        <v>21</v>
      </c>
      <c r="AM427" t="n">
        <v>21</v>
      </c>
      <c r="AN427" t="n">
        <v>6</v>
      </c>
      <c r="AO427" t="n">
        <v>6</v>
      </c>
      <c r="AP427" t="n">
        <v>0</v>
      </c>
      <c r="AQ427" t="n">
        <v>0</v>
      </c>
      <c r="AR427" t="inlineStr">
        <is>
          <t>No</t>
        </is>
      </c>
      <c r="AS427" t="inlineStr">
        <is>
          <t>Yes</t>
        </is>
      </c>
      <c r="AT427">
        <f>HYPERLINK("http://catalog.hathitrust.org/Record/003912144","HathiTrust Record")</f>
        <v/>
      </c>
      <c r="AU427">
        <f>HYPERLINK("https://creighton-primo.hosted.exlibrisgroup.com/primo-explore/search?tab=default_tab&amp;search_scope=EVERYTHING&amp;vid=01CRU&amp;lang=en_US&amp;offset=0&amp;query=any,contains,991001909599702656","Catalog Record")</f>
        <v/>
      </c>
      <c r="AV427">
        <f>HYPERLINK("http://www.worldcat.org/oclc/241898","WorldCat Record")</f>
        <v/>
      </c>
      <c r="AW427" t="inlineStr">
        <is>
          <t>5090636865:eng</t>
        </is>
      </c>
      <c r="AX427" t="inlineStr">
        <is>
          <t>241898</t>
        </is>
      </c>
      <c r="AY427" t="inlineStr">
        <is>
          <t>991001909599702656</t>
        </is>
      </c>
      <c r="AZ427" t="inlineStr">
        <is>
          <t>991001909599702656</t>
        </is>
      </c>
      <c r="BA427" t="inlineStr">
        <is>
          <t>2271692400002656</t>
        </is>
      </c>
      <c r="BB427" t="inlineStr">
        <is>
          <t>BOOK</t>
        </is>
      </c>
      <c r="BE427" t="inlineStr">
        <is>
          <t>32285000772730</t>
        </is>
      </c>
      <c r="BF427" t="inlineStr">
        <is>
          <t>893590731</t>
        </is>
      </c>
    </row>
    <row r="428">
      <c r="A428" t="inlineStr">
        <is>
          <t>No</t>
        </is>
      </c>
      <c r="B428" t="inlineStr">
        <is>
          <t>CURAL</t>
        </is>
      </c>
      <c r="C428" t="inlineStr">
        <is>
          <t>SHELVES</t>
        </is>
      </c>
      <c r="D428" t="inlineStr">
        <is>
          <t>PR2341 .D8 1989</t>
        </is>
      </c>
      <c r="E428" t="inlineStr">
        <is>
          <t>0                      PR 2341000D  8           1989</t>
        </is>
      </c>
      <c r="F428" t="inlineStr">
        <is>
          <t>Sir Philip Sidney / edited by Katherine Duncan-Jones.</t>
        </is>
      </c>
      <c r="H428" t="inlineStr">
        <is>
          <t>No</t>
        </is>
      </c>
      <c r="I428" t="inlineStr">
        <is>
          <t>1</t>
        </is>
      </c>
      <c r="J428" t="inlineStr">
        <is>
          <t>No</t>
        </is>
      </c>
      <c r="K428" t="inlineStr">
        <is>
          <t>No</t>
        </is>
      </c>
      <c r="L428" t="inlineStr">
        <is>
          <t>0</t>
        </is>
      </c>
      <c r="M428" t="inlineStr">
        <is>
          <t>Sidney, Philip, 1554-1586.</t>
        </is>
      </c>
      <c r="N428" t="inlineStr">
        <is>
          <t>Oxford [Oxfordshire] ; New York : Oxford University Press, 1989.</t>
        </is>
      </c>
      <c r="O428" t="inlineStr">
        <is>
          <t>1989</t>
        </is>
      </c>
      <c r="Q428" t="inlineStr">
        <is>
          <t>eng</t>
        </is>
      </c>
      <c r="R428" t="inlineStr">
        <is>
          <t>enk</t>
        </is>
      </c>
      <c r="S428" t="inlineStr">
        <is>
          <t>The Oxford authors</t>
        </is>
      </c>
      <c r="T428" t="inlineStr">
        <is>
          <t xml:space="preserve">PR </t>
        </is>
      </c>
      <c r="U428" t="n">
        <v>3</v>
      </c>
      <c r="V428" t="n">
        <v>3</v>
      </c>
      <c r="W428" t="inlineStr">
        <is>
          <t>1996-09-10</t>
        </is>
      </c>
      <c r="X428" t="inlineStr">
        <is>
          <t>1996-09-10</t>
        </is>
      </c>
      <c r="Y428" t="inlineStr">
        <is>
          <t>1991-03-08</t>
        </is>
      </c>
      <c r="Z428" t="inlineStr">
        <is>
          <t>1991-03-08</t>
        </is>
      </c>
      <c r="AA428" t="n">
        <v>491</v>
      </c>
      <c r="AB428" t="n">
        <v>370</v>
      </c>
      <c r="AC428" t="n">
        <v>411</v>
      </c>
      <c r="AD428" t="n">
        <v>3</v>
      </c>
      <c r="AE428" t="n">
        <v>3</v>
      </c>
      <c r="AF428" t="n">
        <v>26</v>
      </c>
      <c r="AG428" t="n">
        <v>28</v>
      </c>
      <c r="AH428" t="n">
        <v>11</v>
      </c>
      <c r="AI428" t="n">
        <v>12</v>
      </c>
      <c r="AJ428" t="n">
        <v>4</v>
      </c>
      <c r="AK428" t="n">
        <v>5</v>
      </c>
      <c r="AL428" t="n">
        <v>15</v>
      </c>
      <c r="AM428" t="n">
        <v>17</v>
      </c>
      <c r="AN428" t="n">
        <v>2</v>
      </c>
      <c r="AO428" t="n">
        <v>2</v>
      </c>
      <c r="AP428" t="n">
        <v>0</v>
      </c>
      <c r="AQ428" t="n">
        <v>0</v>
      </c>
      <c r="AR428" t="inlineStr">
        <is>
          <t>No</t>
        </is>
      </c>
      <c r="AS428" t="inlineStr">
        <is>
          <t>Yes</t>
        </is>
      </c>
      <c r="AT428">
        <f>HYPERLINK("http://catalog.hathitrust.org/Record/001821756","HathiTrust Record")</f>
        <v/>
      </c>
      <c r="AU428">
        <f>HYPERLINK("https://creighton-primo.hosted.exlibrisgroup.com/primo-explore/search?tab=default_tab&amp;search_scope=EVERYTHING&amp;vid=01CRU&amp;lang=en_US&amp;offset=0&amp;query=any,contains,991001394929702656","Catalog Record")</f>
        <v/>
      </c>
      <c r="AV428">
        <f>HYPERLINK("http://www.worldcat.org/oclc/18780739","WorldCat Record")</f>
        <v/>
      </c>
      <c r="AW428" t="inlineStr">
        <is>
          <t>10792701600:eng</t>
        </is>
      </c>
      <c r="AX428" t="inlineStr">
        <is>
          <t>18780739</t>
        </is>
      </c>
      <c r="AY428" t="inlineStr">
        <is>
          <t>991001394929702656</t>
        </is>
      </c>
      <c r="AZ428" t="inlineStr">
        <is>
          <t>991001394929702656</t>
        </is>
      </c>
      <c r="BA428" t="inlineStr">
        <is>
          <t>2258382350002656</t>
        </is>
      </c>
      <c r="BB428" t="inlineStr">
        <is>
          <t>BOOK</t>
        </is>
      </c>
      <c r="BD428" t="inlineStr">
        <is>
          <t>9780192820242</t>
        </is>
      </c>
      <c r="BE428" t="inlineStr">
        <is>
          <t>32285000494368</t>
        </is>
      </c>
      <c r="BF428" t="inlineStr">
        <is>
          <t>893516172</t>
        </is>
      </c>
    </row>
    <row r="429">
      <c r="A429" t="inlineStr">
        <is>
          <t>No</t>
        </is>
      </c>
      <c r="B429" t="inlineStr">
        <is>
          <t>CURAL</t>
        </is>
      </c>
      <c r="C429" t="inlineStr">
        <is>
          <t>SHELVES</t>
        </is>
      </c>
      <c r="D429" t="inlineStr">
        <is>
          <t>PR2342.A6 D3</t>
        </is>
      </c>
      <c r="E429" t="inlineStr">
        <is>
          <t>0                      PR 2342000A  6                  D  3</t>
        </is>
      </c>
      <c r="F429" t="inlineStr">
        <is>
          <t>Sidney's Arcadia. A map of Arcadia: Sidney's romance in its tradition, by Walter R. Davis. The old Arcadia, by Richard A. Lanham.</t>
        </is>
      </c>
      <c r="H429" t="inlineStr">
        <is>
          <t>No</t>
        </is>
      </c>
      <c r="I429" t="inlineStr">
        <is>
          <t>1</t>
        </is>
      </c>
      <c r="J429" t="inlineStr">
        <is>
          <t>No</t>
        </is>
      </c>
      <c r="K429" t="inlineStr">
        <is>
          <t>No</t>
        </is>
      </c>
      <c r="L429" t="inlineStr">
        <is>
          <t>0</t>
        </is>
      </c>
      <c r="M429" t="inlineStr">
        <is>
          <t>Davis, Walter R.</t>
        </is>
      </c>
      <c r="N429" t="inlineStr">
        <is>
          <t>New Haven, Yale University Press, 1965.</t>
        </is>
      </c>
      <c r="O429" t="inlineStr">
        <is>
          <t>1965</t>
        </is>
      </c>
      <c r="Q429" t="inlineStr">
        <is>
          <t>eng</t>
        </is>
      </c>
      <c r="R429" t="inlineStr">
        <is>
          <t>ctu</t>
        </is>
      </c>
      <c r="S429" t="inlineStr">
        <is>
          <t>Yale studies in English ; v. 158</t>
        </is>
      </c>
      <c r="T429" t="inlineStr">
        <is>
          <t xml:space="preserve">PR </t>
        </is>
      </c>
      <c r="U429" t="n">
        <v>2</v>
      </c>
      <c r="V429" t="n">
        <v>2</v>
      </c>
      <c r="W429" t="inlineStr">
        <is>
          <t>1998-04-13</t>
        </is>
      </c>
      <c r="X429" t="inlineStr">
        <is>
          <t>1998-04-13</t>
        </is>
      </c>
      <c r="Y429" t="inlineStr">
        <is>
          <t>1997-07-29</t>
        </is>
      </c>
      <c r="Z429" t="inlineStr">
        <is>
          <t>1997-07-29</t>
        </is>
      </c>
      <c r="AA429" t="n">
        <v>608</v>
      </c>
      <c r="AB429" t="n">
        <v>500</v>
      </c>
      <c r="AC429" t="n">
        <v>507</v>
      </c>
      <c r="AD429" t="n">
        <v>4</v>
      </c>
      <c r="AE429" t="n">
        <v>4</v>
      </c>
      <c r="AF429" t="n">
        <v>27</v>
      </c>
      <c r="AG429" t="n">
        <v>27</v>
      </c>
      <c r="AH429" t="n">
        <v>8</v>
      </c>
      <c r="AI429" t="n">
        <v>8</v>
      </c>
      <c r="AJ429" t="n">
        <v>5</v>
      </c>
      <c r="AK429" t="n">
        <v>5</v>
      </c>
      <c r="AL429" t="n">
        <v>17</v>
      </c>
      <c r="AM429" t="n">
        <v>17</v>
      </c>
      <c r="AN429" t="n">
        <v>3</v>
      </c>
      <c r="AO429" t="n">
        <v>3</v>
      </c>
      <c r="AP429" t="n">
        <v>0</v>
      </c>
      <c r="AQ429" t="n">
        <v>0</v>
      </c>
      <c r="AR429" t="inlineStr">
        <is>
          <t>No</t>
        </is>
      </c>
      <c r="AS429" t="inlineStr">
        <is>
          <t>Yes</t>
        </is>
      </c>
      <c r="AT429">
        <f>HYPERLINK("http://catalog.hathitrust.org/Record/001185648","HathiTrust Record")</f>
        <v/>
      </c>
      <c r="AU429">
        <f>HYPERLINK("https://creighton-primo.hosted.exlibrisgroup.com/primo-explore/search?tab=default_tab&amp;search_scope=EVERYTHING&amp;vid=01CRU&amp;lang=en_US&amp;offset=0&amp;query=any,contains,991001909529702656","Catalog Record")</f>
        <v/>
      </c>
      <c r="AV429">
        <f>HYPERLINK("http://www.worldcat.org/oclc/241890","WorldCat Record")</f>
        <v/>
      </c>
      <c r="AW429" t="inlineStr">
        <is>
          <t>118014995:eng</t>
        </is>
      </c>
      <c r="AX429" t="inlineStr">
        <is>
          <t>241890</t>
        </is>
      </c>
      <c r="AY429" t="inlineStr">
        <is>
          <t>991001909529702656</t>
        </is>
      </c>
      <c r="AZ429" t="inlineStr">
        <is>
          <t>991001909529702656</t>
        </is>
      </c>
      <c r="BA429" t="inlineStr">
        <is>
          <t>2271693320002656</t>
        </is>
      </c>
      <c r="BB429" t="inlineStr">
        <is>
          <t>BOOK</t>
        </is>
      </c>
      <c r="BE429" t="inlineStr">
        <is>
          <t>32285002990462</t>
        </is>
      </c>
      <c r="BF429" t="inlineStr">
        <is>
          <t>893328452</t>
        </is>
      </c>
    </row>
    <row r="430">
      <c r="A430" t="inlineStr">
        <is>
          <t>No</t>
        </is>
      </c>
      <c r="B430" t="inlineStr">
        <is>
          <t>CURAL</t>
        </is>
      </c>
      <c r="C430" t="inlineStr">
        <is>
          <t>SHELVES</t>
        </is>
      </c>
      <c r="D430" t="inlineStr">
        <is>
          <t>PR2342.A6 W4</t>
        </is>
      </c>
      <c r="E430" t="inlineStr">
        <is>
          <t>0                      PR 2342000A  6                  W  4</t>
        </is>
      </c>
      <c r="F430" t="inlineStr">
        <is>
          <t>Sir Philip Sidney and the poetics of Protestantism : a study of contexts / Andrew D. Weiner.</t>
        </is>
      </c>
      <c r="H430" t="inlineStr">
        <is>
          <t>No</t>
        </is>
      </c>
      <c r="I430" t="inlineStr">
        <is>
          <t>1</t>
        </is>
      </c>
      <c r="J430" t="inlineStr">
        <is>
          <t>No</t>
        </is>
      </c>
      <c r="K430" t="inlineStr">
        <is>
          <t>No</t>
        </is>
      </c>
      <c r="L430" t="inlineStr">
        <is>
          <t>0</t>
        </is>
      </c>
      <c r="M430" t="inlineStr">
        <is>
          <t>Weiner, Andrew D.</t>
        </is>
      </c>
      <c r="N430" t="inlineStr">
        <is>
          <t>Minneapolis : University of Minnesota Press, c1978.</t>
        </is>
      </c>
      <c r="O430" t="inlineStr">
        <is>
          <t>1978</t>
        </is>
      </c>
      <c r="Q430" t="inlineStr">
        <is>
          <t>eng</t>
        </is>
      </c>
      <c r="R430" t="inlineStr">
        <is>
          <t>mnu</t>
        </is>
      </c>
      <c r="T430" t="inlineStr">
        <is>
          <t xml:space="preserve">PR </t>
        </is>
      </c>
      <c r="U430" t="n">
        <v>3</v>
      </c>
      <c r="V430" t="n">
        <v>3</v>
      </c>
      <c r="W430" t="inlineStr">
        <is>
          <t>2001-04-03</t>
        </is>
      </c>
      <c r="X430" t="inlineStr">
        <is>
          <t>2001-04-03</t>
        </is>
      </c>
      <c r="Y430" t="inlineStr">
        <is>
          <t>1991-10-08</t>
        </is>
      </c>
      <c r="Z430" t="inlineStr">
        <is>
          <t>1991-10-08</t>
        </is>
      </c>
      <c r="AA430" t="n">
        <v>538</v>
      </c>
      <c r="AB430" t="n">
        <v>447</v>
      </c>
      <c r="AC430" t="n">
        <v>608</v>
      </c>
      <c r="AD430" t="n">
        <v>4</v>
      </c>
      <c r="AE430" t="n">
        <v>4</v>
      </c>
      <c r="AF430" t="n">
        <v>23</v>
      </c>
      <c r="AG430" t="n">
        <v>31</v>
      </c>
      <c r="AH430" t="n">
        <v>6</v>
      </c>
      <c r="AI430" t="n">
        <v>13</v>
      </c>
      <c r="AJ430" t="n">
        <v>6</v>
      </c>
      <c r="AK430" t="n">
        <v>8</v>
      </c>
      <c r="AL430" t="n">
        <v>13</v>
      </c>
      <c r="AM430" t="n">
        <v>15</v>
      </c>
      <c r="AN430" t="n">
        <v>3</v>
      </c>
      <c r="AO430" t="n">
        <v>3</v>
      </c>
      <c r="AP430" t="n">
        <v>0</v>
      </c>
      <c r="AQ430" t="n">
        <v>0</v>
      </c>
      <c r="AR430" t="inlineStr">
        <is>
          <t>No</t>
        </is>
      </c>
      <c r="AS430" t="inlineStr">
        <is>
          <t>No</t>
        </is>
      </c>
      <c r="AU430">
        <f>HYPERLINK("https://creighton-primo.hosted.exlibrisgroup.com/primo-explore/search?tab=default_tab&amp;search_scope=EVERYTHING&amp;vid=01CRU&amp;lang=en_US&amp;offset=0&amp;query=any,contains,991004661189702656","Catalog Record")</f>
        <v/>
      </c>
      <c r="AV430">
        <f>HYPERLINK("http://www.worldcat.org/oclc/4496908","WorldCat Record")</f>
        <v/>
      </c>
      <c r="AW430" t="inlineStr">
        <is>
          <t>890387692:eng</t>
        </is>
      </c>
      <c r="AX430" t="inlineStr">
        <is>
          <t>4496908</t>
        </is>
      </c>
      <c r="AY430" t="inlineStr">
        <is>
          <t>991004661189702656</t>
        </is>
      </c>
      <c r="AZ430" t="inlineStr">
        <is>
          <t>991004661189702656</t>
        </is>
      </c>
      <c r="BA430" t="inlineStr">
        <is>
          <t>2268636300002656</t>
        </is>
      </c>
      <c r="BB430" t="inlineStr">
        <is>
          <t>BOOK</t>
        </is>
      </c>
      <c r="BD430" t="inlineStr">
        <is>
          <t>9780816608737</t>
        </is>
      </c>
      <c r="BE430" t="inlineStr">
        <is>
          <t>32285000772763</t>
        </is>
      </c>
      <c r="BF430" t="inlineStr">
        <is>
          <t>893895263</t>
        </is>
      </c>
    </row>
    <row r="431">
      <c r="A431" t="inlineStr">
        <is>
          <t>No</t>
        </is>
      </c>
      <c r="B431" t="inlineStr">
        <is>
          <t>CURAL</t>
        </is>
      </c>
      <c r="C431" t="inlineStr">
        <is>
          <t>SHELVES</t>
        </is>
      </c>
      <c r="D431" t="inlineStr">
        <is>
          <t>PR2343 .B87</t>
        </is>
      </c>
      <c r="E431" t="inlineStr">
        <is>
          <t>0                      PR 2343000B  87</t>
        </is>
      </c>
      <c r="F431" t="inlineStr">
        <is>
          <t>Sir Philip Sidney and the English Renaissance.</t>
        </is>
      </c>
      <c r="H431" t="inlineStr">
        <is>
          <t>No</t>
        </is>
      </c>
      <c r="I431" t="inlineStr">
        <is>
          <t>1</t>
        </is>
      </c>
      <c r="J431" t="inlineStr">
        <is>
          <t>No</t>
        </is>
      </c>
      <c r="K431" t="inlineStr">
        <is>
          <t>No</t>
        </is>
      </c>
      <c r="L431" t="inlineStr">
        <is>
          <t>0</t>
        </is>
      </c>
      <c r="M431" t="inlineStr">
        <is>
          <t>Buxton, John.</t>
        </is>
      </c>
      <c r="N431" t="inlineStr">
        <is>
          <t>London, Macmillan; New York, St. Martin's Press, 1954.</t>
        </is>
      </c>
      <c r="O431" t="inlineStr">
        <is>
          <t>1954</t>
        </is>
      </c>
      <c r="Q431" t="inlineStr">
        <is>
          <t>eng</t>
        </is>
      </c>
      <c r="R431" t="inlineStr">
        <is>
          <t>enk</t>
        </is>
      </c>
      <c r="T431" t="inlineStr">
        <is>
          <t xml:space="preserve">PR </t>
        </is>
      </c>
      <c r="U431" t="n">
        <v>1</v>
      </c>
      <c r="V431" t="n">
        <v>1</v>
      </c>
      <c r="W431" t="inlineStr">
        <is>
          <t>2001-04-03</t>
        </is>
      </c>
      <c r="X431" t="inlineStr">
        <is>
          <t>2001-04-03</t>
        </is>
      </c>
      <c r="Y431" t="inlineStr">
        <is>
          <t>1997-07-29</t>
        </is>
      </c>
      <c r="Z431" t="inlineStr">
        <is>
          <t>1997-07-29</t>
        </is>
      </c>
      <c r="AA431" t="n">
        <v>542</v>
      </c>
      <c r="AB431" t="n">
        <v>402</v>
      </c>
      <c r="AC431" t="n">
        <v>911</v>
      </c>
      <c r="AD431" t="n">
        <v>4</v>
      </c>
      <c r="AE431" t="n">
        <v>7</v>
      </c>
      <c r="AF431" t="n">
        <v>24</v>
      </c>
      <c r="AG431" t="n">
        <v>47</v>
      </c>
      <c r="AH431" t="n">
        <v>6</v>
      </c>
      <c r="AI431" t="n">
        <v>19</v>
      </c>
      <c r="AJ431" t="n">
        <v>4</v>
      </c>
      <c r="AK431" t="n">
        <v>9</v>
      </c>
      <c r="AL431" t="n">
        <v>16</v>
      </c>
      <c r="AM431" t="n">
        <v>24</v>
      </c>
      <c r="AN431" t="n">
        <v>3</v>
      </c>
      <c r="AO431" t="n">
        <v>6</v>
      </c>
      <c r="AP431" t="n">
        <v>0</v>
      </c>
      <c r="AQ431" t="n">
        <v>0</v>
      </c>
      <c r="AR431" t="inlineStr">
        <is>
          <t>No</t>
        </is>
      </c>
      <c r="AS431" t="inlineStr">
        <is>
          <t>Yes</t>
        </is>
      </c>
      <c r="AT431">
        <f>HYPERLINK("http://catalog.hathitrust.org/Record/001111948","HathiTrust Record")</f>
        <v/>
      </c>
      <c r="AU431">
        <f>HYPERLINK("https://creighton-primo.hosted.exlibrisgroup.com/primo-explore/search?tab=default_tab&amp;search_scope=EVERYTHING&amp;vid=01CRU&amp;lang=en_US&amp;offset=0&amp;query=any,contains,991001925119702656","Catalog Record")</f>
        <v/>
      </c>
      <c r="AV431">
        <f>HYPERLINK("http://www.worldcat.org/oclc/246144","WorldCat Record")</f>
        <v/>
      </c>
      <c r="AW431" t="inlineStr">
        <is>
          <t>5535489003:eng</t>
        </is>
      </c>
      <c r="AX431" t="inlineStr">
        <is>
          <t>246144</t>
        </is>
      </c>
      <c r="AY431" t="inlineStr">
        <is>
          <t>991001925119702656</t>
        </is>
      </c>
      <c r="AZ431" t="inlineStr">
        <is>
          <t>991001925119702656</t>
        </is>
      </c>
      <c r="BA431" t="inlineStr">
        <is>
          <t>2257335130002656</t>
        </is>
      </c>
      <c r="BB431" t="inlineStr">
        <is>
          <t>BOOK</t>
        </is>
      </c>
      <c r="BE431" t="inlineStr">
        <is>
          <t>32285002990520</t>
        </is>
      </c>
      <c r="BF431" t="inlineStr">
        <is>
          <t>893433257</t>
        </is>
      </c>
    </row>
    <row r="432">
      <c r="A432" t="inlineStr">
        <is>
          <t>No</t>
        </is>
      </c>
      <c r="B432" t="inlineStr">
        <is>
          <t>CURAL</t>
        </is>
      </c>
      <c r="C432" t="inlineStr">
        <is>
          <t>SHELVES</t>
        </is>
      </c>
      <c r="D432" t="inlineStr">
        <is>
          <t>PR2343 .D84 1991</t>
        </is>
      </c>
      <c r="E432" t="inlineStr">
        <is>
          <t>0                      PR 2343000D  84          1991</t>
        </is>
      </c>
      <c r="F432" t="inlineStr">
        <is>
          <t>Sir Philip Sidney : courtier poet / Katherine Duncan-Jones.</t>
        </is>
      </c>
      <c r="H432" t="inlineStr">
        <is>
          <t>No</t>
        </is>
      </c>
      <c r="I432" t="inlineStr">
        <is>
          <t>1</t>
        </is>
      </c>
      <c r="J432" t="inlineStr">
        <is>
          <t>No</t>
        </is>
      </c>
      <c r="K432" t="inlineStr">
        <is>
          <t>No</t>
        </is>
      </c>
      <c r="L432" t="inlineStr">
        <is>
          <t>0</t>
        </is>
      </c>
      <c r="M432" t="inlineStr">
        <is>
          <t>Duncan-Jones, Katherine.</t>
        </is>
      </c>
      <c r="N432" t="inlineStr">
        <is>
          <t>New Haven : Yale University Press, 1991.</t>
        </is>
      </c>
      <c r="O432" t="inlineStr">
        <is>
          <t>1991</t>
        </is>
      </c>
      <c r="Q432" t="inlineStr">
        <is>
          <t>eng</t>
        </is>
      </c>
      <c r="R432" t="inlineStr">
        <is>
          <t>ctu</t>
        </is>
      </c>
      <c r="T432" t="inlineStr">
        <is>
          <t xml:space="preserve">PR </t>
        </is>
      </c>
      <c r="U432" t="n">
        <v>1</v>
      </c>
      <c r="V432" t="n">
        <v>1</v>
      </c>
      <c r="W432" t="inlineStr">
        <is>
          <t>1997-09-08</t>
        </is>
      </c>
      <c r="X432" t="inlineStr">
        <is>
          <t>1997-09-08</t>
        </is>
      </c>
      <c r="Y432" t="inlineStr">
        <is>
          <t>1992-04-14</t>
        </is>
      </c>
      <c r="Z432" t="inlineStr">
        <is>
          <t>1992-04-14</t>
        </is>
      </c>
      <c r="AA432" t="n">
        <v>786</v>
      </c>
      <c r="AB432" t="n">
        <v>695</v>
      </c>
      <c r="AC432" t="n">
        <v>709</v>
      </c>
      <c r="AD432" t="n">
        <v>5</v>
      </c>
      <c r="AE432" t="n">
        <v>5</v>
      </c>
      <c r="AF432" t="n">
        <v>38</v>
      </c>
      <c r="AG432" t="n">
        <v>39</v>
      </c>
      <c r="AH432" t="n">
        <v>18</v>
      </c>
      <c r="AI432" t="n">
        <v>18</v>
      </c>
      <c r="AJ432" t="n">
        <v>8</v>
      </c>
      <c r="AK432" t="n">
        <v>9</v>
      </c>
      <c r="AL432" t="n">
        <v>19</v>
      </c>
      <c r="AM432" t="n">
        <v>20</v>
      </c>
      <c r="AN432" t="n">
        <v>4</v>
      </c>
      <c r="AO432" t="n">
        <v>4</v>
      </c>
      <c r="AP432" t="n">
        <v>0</v>
      </c>
      <c r="AQ432" t="n">
        <v>0</v>
      </c>
      <c r="AR432" t="inlineStr">
        <is>
          <t>No</t>
        </is>
      </c>
      <c r="AS432" t="inlineStr">
        <is>
          <t>No</t>
        </is>
      </c>
      <c r="AU432">
        <f>HYPERLINK("https://creighton-primo.hosted.exlibrisgroup.com/primo-explore/search?tab=default_tab&amp;search_scope=EVERYTHING&amp;vid=01CRU&amp;lang=en_US&amp;offset=0&amp;query=any,contains,991001945199702656","Catalog Record")</f>
        <v/>
      </c>
      <c r="AV432">
        <f>HYPERLINK("http://www.worldcat.org/oclc/25710760","WorldCat Record")</f>
        <v/>
      </c>
      <c r="AW432" t="inlineStr">
        <is>
          <t>3372820024:eng</t>
        </is>
      </c>
      <c r="AX432" t="inlineStr">
        <is>
          <t>25710760</t>
        </is>
      </c>
      <c r="AY432" t="inlineStr">
        <is>
          <t>991001945199702656</t>
        </is>
      </c>
      <c r="AZ432" t="inlineStr">
        <is>
          <t>991001945199702656</t>
        </is>
      </c>
      <c r="BA432" t="inlineStr">
        <is>
          <t>2258019270002656</t>
        </is>
      </c>
      <c r="BB432" t="inlineStr">
        <is>
          <t>BOOK</t>
        </is>
      </c>
      <c r="BD432" t="inlineStr">
        <is>
          <t>9780300050998</t>
        </is>
      </c>
      <c r="BE432" t="inlineStr">
        <is>
          <t>32285001035210</t>
        </is>
      </c>
      <c r="BF432" t="inlineStr">
        <is>
          <t>893244574</t>
        </is>
      </c>
    </row>
    <row r="433">
      <c r="A433" t="inlineStr">
        <is>
          <t>No</t>
        </is>
      </c>
      <c r="B433" t="inlineStr">
        <is>
          <t>CURAL</t>
        </is>
      </c>
      <c r="C433" t="inlineStr">
        <is>
          <t>SHELVES</t>
        </is>
      </c>
      <c r="D433" t="inlineStr">
        <is>
          <t>PR2343 .K3</t>
        </is>
      </c>
      <c r="E433" t="inlineStr">
        <is>
          <t>0                      PR 2343000K  3</t>
        </is>
      </c>
      <c r="F433" t="inlineStr">
        <is>
          <t>Sidney's poetry: contexts and interpretations.</t>
        </is>
      </c>
      <c r="H433" t="inlineStr">
        <is>
          <t>No</t>
        </is>
      </c>
      <c r="I433" t="inlineStr">
        <is>
          <t>1</t>
        </is>
      </c>
      <c r="J433" t="inlineStr">
        <is>
          <t>No</t>
        </is>
      </c>
      <c r="K433" t="inlineStr">
        <is>
          <t>No</t>
        </is>
      </c>
      <c r="L433" t="inlineStr">
        <is>
          <t>0</t>
        </is>
      </c>
      <c r="M433" t="inlineStr">
        <is>
          <t>Kalstone, David.</t>
        </is>
      </c>
      <c r="N433" t="inlineStr">
        <is>
          <t>Cambridge, Harvard University Press, 1965.</t>
        </is>
      </c>
      <c r="O433" t="inlineStr">
        <is>
          <t>1965</t>
        </is>
      </c>
      <c r="Q433" t="inlineStr">
        <is>
          <t>eng</t>
        </is>
      </c>
      <c r="R433" t="inlineStr">
        <is>
          <t>mau</t>
        </is>
      </c>
      <c r="T433" t="inlineStr">
        <is>
          <t xml:space="preserve">PR </t>
        </is>
      </c>
      <c r="U433" t="n">
        <v>4</v>
      </c>
      <c r="V433" t="n">
        <v>4</v>
      </c>
      <c r="W433" t="inlineStr">
        <is>
          <t>2002-02-09</t>
        </is>
      </c>
      <c r="X433" t="inlineStr">
        <is>
          <t>2002-02-09</t>
        </is>
      </c>
      <c r="Y433" t="inlineStr">
        <is>
          <t>1996-11-04</t>
        </is>
      </c>
      <c r="Z433" t="inlineStr">
        <is>
          <t>1996-11-04</t>
        </is>
      </c>
      <c r="AA433" t="n">
        <v>822</v>
      </c>
      <c r="AB433" t="n">
        <v>688</v>
      </c>
      <c r="AC433" t="n">
        <v>778</v>
      </c>
      <c r="AD433" t="n">
        <v>8</v>
      </c>
      <c r="AE433" t="n">
        <v>8</v>
      </c>
      <c r="AF433" t="n">
        <v>41</v>
      </c>
      <c r="AG433" t="n">
        <v>45</v>
      </c>
      <c r="AH433" t="n">
        <v>14</v>
      </c>
      <c r="AI433" t="n">
        <v>17</v>
      </c>
      <c r="AJ433" t="n">
        <v>8</v>
      </c>
      <c r="AK433" t="n">
        <v>9</v>
      </c>
      <c r="AL433" t="n">
        <v>21</v>
      </c>
      <c r="AM433" t="n">
        <v>24</v>
      </c>
      <c r="AN433" t="n">
        <v>7</v>
      </c>
      <c r="AO433" t="n">
        <v>7</v>
      </c>
      <c r="AP433" t="n">
        <v>0</v>
      </c>
      <c r="AQ433" t="n">
        <v>0</v>
      </c>
      <c r="AR433" t="inlineStr">
        <is>
          <t>No</t>
        </is>
      </c>
      <c r="AS433" t="inlineStr">
        <is>
          <t>Yes</t>
        </is>
      </c>
      <c r="AT433">
        <f>HYPERLINK("http://catalog.hathitrust.org/Record/001017408","HathiTrust Record")</f>
        <v/>
      </c>
      <c r="AU433">
        <f>HYPERLINK("https://creighton-primo.hosted.exlibrisgroup.com/primo-explore/search?tab=default_tab&amp;search_scope=EVERYTHING&amp;vid=01CRU&amp;lang=en_US&amp;offset=0&amp;query=any,contains,991001925009702656","Catalog Record")</f>
        <v/>
      </c>
      <c r="AV433">
        <f>HYPERLINK("http://www.worldcat.org/oclc/246122","WorldCat Record")</f>
        <v/>
      </c>
      <c r="AW433" t="inlineStr">
        <is>
          <t>1400137:eng</t>
        </is>
      </c>
      <c r="AX433" t="inlineStr">
        <is>
          <t>246122</t>
        </is>
      </c>
      <c r="AY433" t="inlineStr">
        <is>
          <t>991001925009702656</t>
        </is>
      </c>
      <c r="AZ433" t="inlineStr">
        <is>
          <t>991001925009702656</t>
        </is>
      </c>
      <c r="BA433" t="inlineStr">
        <is>
          <t>2257339270002656</t>
        </is>
      </c>
      <c r="BB433" t="inlineStr">
        <is>
          <t>BOOK</t>
        </is>
      </c>
      <c r="BE433" t="inlineStr">
        <is>
          <t>32285002199544</t>
        </is>
      </c>
      <c r="BF433" t="inlineStr">
        <is>
          <t>893340838</t>
        </is>
      </c>
    </row>
    <row r="434">
      <c r="A434" t="inlineStr">
        <is>
          <t>No</t>
        </is>
      </c>
      <c r="B434" t="inlineStr">
        <is>
          <t>CURAL</t>
        </is>
      </c>
      <c r="C434" t="inlineStr">
        <is>
          <t>SHELVES</t>
        </is>
      </c>
      <c r="D434" t="inlineStr">
        <is>
          <t>PR2343 .M3</t>
        </is>
      </c>
      <c r="E434" t="inlineStr">
        <is>
          <t>0                      PR 2343000M  3</t>
        </is>
      </c>
      <c r="F434" t="inlineStr">
        <is>
          <t>Sir Philip Sidney : rebellion in Arcadia / Richard C. McCoy.</t>
        </is>
      </c>
      <c r="H434" t="inlineStr">
        <is>
          <t>No</t>
        </is>
      </c>
      <c r="I434" t="inlineStr">
        <is>
          <t>1</t>
        </is>
      </c>
      <c r="J434" t="inlineStr">
        <is>
          <t>No</t>
        </is>
      </c>
      <c r="K434" t="inlineStr">
        <is>
          <t>No</t>
        </is>
      </c>
      <c r="L434" t="inlineStr">
        <is>
          <t>0</t>
        </is>
      </c>
      <c r="M434" t="inlineStr">
        <is>
          <t>McCoy, Richard C., 1946-</t>
        </is>
      </c>
      <c r="N434" t="inlineStr">
        <is>
          <t>New Brunswick, N.J. : Rutgers University Press, c1979.</t>
        </is>
      </c>
      <c r="O434" t="inlineStr">
        <is>
          <t>1979</t>
        </is>
      </c>
      <c r="Q434" t="inlineStr">
        <is>
          <t>eng</t>
        </is>
      </c>
      <c r="R434" t="inlineStr">
        <is>
          <t>nju</t>
        </is>
      </c>
      <c r="T434" t="inlineStr">
        <is>
          <t xml:space="preserve">PR </t>
        </is>
      </c>
      <c r="U434" t="n">
        <v>2</v>
      </c>
      <c r="V434" t="n">
        <v>2</v>
      </c>
      <c r="W434" t="inlineStr">
        <is>
          <t>1998-04-13</t>
        </is>
      </c>
      <c r="X434" t="inlineStr">
        <is>
          <t>1998-04-13</t>
        </is>
      </c>
      <c r="Y434" t="inlineStr">
        <is>
          <t>1991-10-08</t>
        </is>
      </c>
      <c r="Z434" t="inlineStr">
        <is>
          <t>1991-10-08</t>
        </is>
      </c>
      <c r="AA434" t="n">
        <v>531</v>
      </c>
      <c r="AB434" t="n">
        <v>449</v>
      </c>
      <c r="AC434" t="n">
        <v>454</v>
      </c>
      <c r="AD434" t="n">
        <v>3</v>
      </c>
      <c r="AE434" t="n">
        <v>3</v>
      </c>
      <c r="AF434" t="n">
        <v>23</v>
      </c>
      <c r="AG434" t="n">
        <v>23</v>
      </c>
      <c r="AH434" t="n">
        <v>9</v>
      </c>
      <c r="AI434" t="n">
        <v>9</v>
      </c>
      <c r="AJ434" t="n">
        <v>6</v>
      </c>
      <c r="AK434" t="n">
        <v>6</v>
      </c>
      <c r="AL434" t="n">
        <v>13</v>
      </c>
      <c r="AM434" t="n">
        <v>13</v>
      </c>
      <c r="AN434" t="n">
        <v>2</v>
      </c>
      <c r="AO434" t="n">
        <v>2</v>
      </c>
      <c r="AP434" t="n">
        <v>0</v>
      </c>
      <c r="AQ434" t="n">
        <v>0</v>
      </c>
      <c r="AR434" t="inlineStr">
        <is>
          <t>No</t>
        </is>
      </c>
      <c r="AS434" t="inlineStr">
        <is>
          <t>Yes</t>
        </is>
      </c>
      <c r="AT434">
        <f>HYPERLINK("http://catalog.hathitrust.org/Record/000257105","HathiTrust Record")</f>
        <v/>
      </c>
      <c r="AU434">
        <f>HYPERLINK("https://creighton-primo.hosted.exlibrisgroup.com/primo-explore/search?tab=default_tab&amp;search_scope=EVERYTHING&amp;vid=01CRU&amp;lang=en_US&amp;offset=0&amp;query=any,contains,991004665919702656","Catalog Record")</f>
        <v/>
      </c>
      <c r="AV434">
        <f>HYPERLINK("http://www.worldcat.org/oclc/4503919","WorldCat Record")</f>
        <v/>
      </c>
      <c r="AW434" t="inlineStr">
        <is>
          <t>474537:eng</t>
        </is>
      </c>
      <c r="AX434" t="inlineStr">
        <is>
          <t>4503919</t>
        </is>
      </c>
      <c r="AY434" t="inlineStr">
        <is>
          <t>991004665919702656</t>
        </is>
      </c>
      <c r="AZ434" t="inlineStr">
        <is>
          <t>991004665919702656</t>
        </is>
      </c>
      <c r="BA434" t="inlineStr">
        <is>
          <t>2265317940002656</t>
        </is>
      </c>
      <c r="BB434" t="inlineStr">
        <is>
          <t>BOOK</t>
        </is>
      </c>
      <c r="BD434" t="inlineStr">
        <is>
          <t>9780813508696</t>
        </is>
      </c>
      <c r="BE434" t="inlineStr">
        <is>
          <t>32285000772771</t>
        </is>
      </c>
      <c r="BF434" t="inlineStr">
        <is>
          <t>893612616</t>
        </is>
      </c>
    </row>
    <row r="435">
      <c r="A435" t="inlineStr">
        <is>
          <t>No</t>
        </is>
      </c>
      <c r="B435" t="inlineStr">
        <is>
          <t>CURAL</t>
        </is>
      </c>
      <c r="C435" t="inlineStr">
        <is>
          <t>SHELVES</t>
        </is>
      </c>
      <c r="D435" t="inlineStr">
        <is>
          <t>PR2343 .M63 1969</t>
        </is>
      </c>
      <c r="E435" t="inlineStr">
        <is>
          <t>0                      PR 2343000M  63          1969</t>
        </is>
      </c>
      <c r="F435" t="inlineStr">
        <is>
          <t>Symmetry and sense; the poetry of Sir Philip Sidney, by Robert L. Montgomery, Jr.</t>
        </is>
      </c>
      <c r="H435" t="inlineStr">
        <is>
          <t>No</t>
        </is>
      </c>
      <c r="I435" t="inlineStr">
        <is>
          <t>1</t>
        </is>
      </c>
      <c r="J435" t="inlineStr">
        <is>
          <t>No</t>
        </is>
      </c>
      <c r="K435" t="inlineStr">
        <is>
          <t>No</t>
        </is>
      </c>
      <c r="L435" t="inlineStr">
        <is>
          <t>0</t>
        </is>
      </c>
      <c r="M435" t="inlineStr">
        <is>
          <t>Montgomery, Robert Langford.</t>
        </is>
      </c>
      <c r="N435" t="inlineStr">
        <is>
          <t>New York, Greenwood Press [1969, c1961]</t>
        </is>
      </c>
      <c r="O435" t="inlineStr">
        <is>
          <t>1969</t>
        </is>
      </c>
      <c r="Q435" t="inlineStr">
        <is>
          <t>eng</t>
        </is>
      </c>
      <c r="R435" t="inlineStr">
        <is>
          <t>nyu</t>
        </is>
      </c>
      <c r="T435" t="inlineStr">
        <is>
          <t xml:space="preserve">PR </t>
        </is>
      </c>
      <c r="U435" t="n">
        <v>1</v>
      </c>
      <c r="V435" t="n">
        <v>1</v>
      </c>
      <c r="W435" t="inlineStr">
        <is>
          <t>2002-02-09</t>
        </is>
      </c>
      <c r="X435" t="inlineStr">
        <is>
          <t>2002-02-09</t>
        </is>
      </c>
      <c r="Y435" t="inlineStr">
        <is>
          <t>1997-07-29</t>
        </is>
      </c>
      <c r="Z435" t="inlineStr">
        <is>
          <t>1997-07-29</t>
        </is>
      </c>
      <c r="AA435" t="n">
        <v>317</v>
      </c>
      <c r="AB435" t="n">
        <v>265</v>
      </c>
      <c r="AC435" t="n">
        <v>717</v>
      </c>
      <c r="AD435" t="n">
        <v>2</v>
      </c>
      <c r="AE435" t="n">
        <v>4</v>
      </c>
      <c r="AF435" t="n">
        <v>8</v>
      </c>
      <c r="AG435" t="n">
        <v>34</v>
      </c>
      <c r="AH435" t="n">
        <v>3</v>
      </c>
      <c r="AI435" t="n">
        <v>14</v>
      </c>
      <c r="AJ435" t="n">
        <v>1</v>
      </c>
      <c r="AK435" t="n">
        <v>10</v>
      </c>
      <c r="AL435" t="n">
        <v>4</v>
      </c>
      <c r="AM435" t="n">
        <v>17</v>
      </c>
      <c r="AN435" t="n">
        <v>1</v>
      </c>
      <c r="AO435" t="n">
        <v>3</v>
      </c>
      <c r="AP435" t="n">
        <v>0</v>
      </c>
      <c r="AQ435" t="n">
        <v>0</v>
      </c>
      <c r="AR435" t="inlineStr">
        <is>
          <t>No</t>
        </is>
      </c>
      <c r="AS435" t="inlineStr">
        <is>
          <t>Yes</t>
        </is>
      </c>
      <c r="AT435">
        <f>HYPERLINK("http://catalog.hathitrust.org/Record/001774716","HathiTrust Record")</f>
        <v/>
      </c>
      <c r="AU435">
        <f>HYPERLINK("https://creighton-primo.hosted.exlibrisgroup.com/primo-explore/search?tab=default_tab&amp;search_scope=EVERYTHING&amp;vid=01CRU&amp;lang=en_US&amp;offset=0&amp;query=any,contains,991000141119702656","Catalog Record")</f>
        <v/>
      </c>
      <c r="AV435">
        <f>HYPERLINK("http://www.worldcat.org/oclc/57871","WorldCat Record")</f>
        <v/>
      </c>
      <c r="AW435" t="inlineStr">
        <is>
          <t>1193994:eng</t>
        </is>
      </c>
      <c r="AX435" t="inlineStr">
        <is>
          <t>57871</t>
        </is>
      </c>
      <c r="AY435" t="inlineStr">
        <is>
          <t>991000141119702656</t>
        </is>
      </c>
      <c r="AZ435" t="inlineStr">
        <is>
          <t>991000141119702656</t>
        </is>
      </c>
      <c r="BA435" t="inlineStr">
        <is>
          <t>2261762500002656</t>
        </is>
      </c>
      <c r="BB435" t="inlineStr">
        <is>
          <t>BOOK</t>
        </is>
      </c>
      <c r="BD435" t="inlineStr">
        <is>
          <t>9780837121024</t>
        </is>
      </c>
      <c r="BE435" t="inlineStr">
        <is>
          <t>32285002990546</t>
        </is>
      </c>
      <c r="BF435" t="inlineStr">
        <is>
          <t>893896652</t>
        </is>
      </c>
    </row>
    <row r="436">
      <c r="A436" t="inlineStr">
        <is>
          <t>No</t>
        </is>
      </c>
      <c r="B436" t="inlineStr">
        <is>
          <t>CURAL</t>
        </is>
      </c>
      <c r="C436" t="inlineStr">
        <is>
          <t>SHELVES</t>
        </is>
      </c>
      <c r="D436" t="inlineStr">
        <is>
          <t>PR2343 .M8</t>
        </is>
      </c>
      <c r="E436" t="inlineStr">
        <is>
          <t>0                      PR 2343000M  8</t>
        </is>
      </c>
      <c r="F436" t="inlineStr">
        <is>
          <t>Sir Philip Sidney.</t>
        </is>
      </c>
      <c r="H436" t="inlineStr">
        <is>
          <t>No</t>
        </is>
      </c>
      <c r="I436" t="inlineStr">
        <is>
          <t>1</t>
        </is>
      </c>
      <c r="J436" t="inlineStr">
        <is>
          <t>No</t>
        </is>
      </c>
      <c r="K436" t="inlineStr">
        <is>
          <t>No</t>
        </is>
      </c>
      <c r="L436" t="inlineStr">
        <is>
          <t>0</t>
        </is>
      </c>
      <c r="M436" t="inlineStr">
        <is>
          <t>Muir, Kenneth.</t>
        </is>
      </c>
      <c r="N436" t="inlineStr">
        <is>
          <t>[London] Published for the British Council by Longmans, Green [1960]</t>
        </is>
      </c>
      <c r="O436" t="inlineStr">
        <is>
          <t>1960</t>
        </is>
      </c>
      <c r="Q436" t="inlineStr">
        <is>
          <t>eng</t>
        </is>
      </c>
      <c r="R436" t="inlineStr">
        <is>
          <t>enk</t>
        </is>
      </c>
      <c r="S436" t="inlineStr">
        <is>
          <t>Bibliographical series of supplements to British book news on writers and their work ; no 120</t>
        </is>
      </c>
      <c r="T436" t="inlineStr">
        <is>
          <t xml:space="preserve">PR </t>
        </is>
      </c>
      <c r="U436" t="n">
        <v>4</v>
      </c>
      <c r="V436" t="n">
        <v>4</v>
      </c>
      <c r="W436" t="inlineStr">
        <is>
          <t>2001-04-03</t>
        </is>
      </c>
      <c r="X436" t="inlineStr">
        <is>
          <t>2001-04-03</t>
        </is>
      </c>
      <c r="Y436" t="inlineStr">
        <is>
          <t>1997-07-29</t>
        </is>
      </c>
      <c r="Z436" t="inlineStr">
        <is>
          <t>1997-07-29</t>
        </is>
      </c>
      <c r="AA436" t="n">
        <v>580</v>
      </c>
      <c r="AB436" t="n">
        <v>452</v>
      </c>
      <c r="AC436" t="n">
        <v>535</v>
      </c>
      <c r="AD436" t="n">
        <v>4</v>
      </c>
      <c r="AE436" t="n">
        <v>4</v>
      </c>
      <c r="AF436" t="n">
        <v>26</v>
      </c>
      <c r="AG436" t="n">
        <v>28</v>
      </c>
      <c r="AH436" t="n">
        <v>12</v>
      </c>
      <c r="AI436" t="n">
        <v>13</v>
      </c>
      <c r="AJ436" t="n">
        <v>5</v>
      </c>
      <c r="AK436" t="n">
        <v>5</v>
      </c>
      <c r="AL436" t="n">
        <v>13</v>
      </c>
      <c r="AM436" t="n">
        <v>14</v>
      </c>
      <c r="AN436" t="n">
        <v>3</v>
      </c>
      <c r="AO436" t="n">
        <v>3</v>
      </c>
      <c r="AP436" t="n">
        <v>0</v>
      </c>
      <c r="AQ436" t="n">
        <v>0</v>
      </c>
      <c r="AR436" t="inlineStr">
        <is>
          <t>No</t>
        </is>
      </c>
      <c r="AS436" t="inlineStr">
        <is>
          <t>Yes</t>
        </is>
      </c>
      <c r="AT436">
        <f>HYPERLINK("http://catalog.hathitrust.org/Record/001017410","HathiTrust Record")</f>
        <v/>
      </c>
      <c r="AU436">
        <f>HYPERLINK("https://creighton-primo.hosted.exlibrisgroup.com/primo-explore/search?tab=default_tab&amp;search_scope=EVERYTHING&amp;vid=01CRU&amp;lang=en_US&amp;offset=0&amp;query=any,contains,991003996989702656","Catalog Record")</f>
        <v/>
      </c>
      <c r="AV436">
        <f>HYPERLINK("http://www.worldcat.org/oclc/2064124","WorldCat Record")</f>
        <v/>
      </c>
      <c r="AW436" t="inlineStr">
        <is>
          <t>1866305846:eng</t>
        </is>
      </c>
      <c r="AX436" t="inlineStr">
        <is>
          <t>2064124</t>
        </is>
      </c>
      <c r="AY436" t="inlineStr">
        <is>
          <t>991003996989702656</t>
        </is>
      </c>
      <c r="AZ436" t="inlineStr">
        <is>
          <t>991003996989702656</t>
        </is>
      </c>
      <c r="BA436" t="inlineStr">
        <is>
          <t>2263235640002656</t>
        </is>
      </c>
      <c r="BB436" t="inlineStr">
        <is>
          <t>BOOK</t>
        </is>
      </c>
      <c r="BE436" t="inlineStr">
        <is>
          <t>32285002990553</t>
        </is>
      </c>
      <c r="BF436" t="inlineStr">
        <is>
          <t>893794362</t>
        </is>
      </c>
    </row>
    <row r="437">
      <c r="A437" t="inlineStr">
        <is>
          <t>No</t>
        </is>
      </c>
      <c r="B437" t="inlineStr">
        <is>
          <t>CURAL</t>
        </is>
      </c>
      <c r="C437" t="inlineStr">
        <is>
          <t>SHELVES</t>
        </is>
      </c>
      <c r="D437" t="inlineStr">
        <is>
          <t>PR2343 .M9 1965</t>
        </is>
      </c>
      <c r="E437" t="inlineStr">
        <is>
          <t>0                      PR 2343000M  9           1965</t>
        </is>
      </c>
      <c r="F437" t="inlineStr">
        <is>
          <t>Sir Philip Sidney as a literary craftsman, by Kenneth Myrick.</t>
        </is>
      </c>
      <c r="H437" t="inlineStr">
        <is>
          <t>No</t>
        </is>
      </c>
      <c r="I437" t="inlineStr">
        <is>
          <t>1</t>
        </is>
      </c>
      <c r="J437" t="inlineStr">
        <is>
          <t>No</t>
        </is>
      </c>
      <c r="K437" t="inlineStr">
        <is>
          <t>No</t>
        </is>
      </c>
      <c r="L437" t="inlineStr">
        <is>
          <t>0</t>
        </is>
      </c>
      <c r="M437" t="inlineStr">
        <is>
          <t>Myrick, Kenneth, 1897-</t>
        </is>
      </c>
      <c r="N437" t="inlineStr">
        <is>
          <t>Lincoln, University of Nebraska Press [c1965]</t>
        </is>
      </c>
      <c r="O437" t="inlineStr">
        <is>
          <t>1965</t>
        </is>
      </c>
      <c r="P437" t="inlineStr">
        <is>
          <t>[2d ed.]</t>
        </is>
      </c>
      <c r="Q437" t="inlineStr">
        <is>
          <t>eng</t>
        </is>
      </c>
      <c r="R437" t="inlineStr">
        <is>
          <t>nbu</t>
        </is>
      </c>
      <c r="S437" t="inlineStr">
        <is>
          <t>A Bison book, BB312</t>
        </is>
      </c>
      <c r="T437" t="inlineStr">
        <is>
          <t xml:space="preserve">PR </t>
        </is>
      </c>
      <c r="U437" t="n">
        <v>2</v>
      </c>
      <c r="V437" t="n">
        <v>2</v>
      </c>
      <c r="W437" t="inlineStr">
        <is>
          <t>2002-02-09</t>
        </is>
      </c>
      <c r="X437" t="inlineStr">
        <is>
          <t>2002-02-09</t>
        </is>
      </c>
      <c r="Y437" t="inlineStr">
        <is>
          <t>1997-07-29</t>
        </is>
      </c>
      <c r="Z437" t="inlineStr">
        <is>
          <t>1997-07-29</t>
        </is>
      </c>
      <c r="AA437" t="n">
        <v>678</v>
      </c>
      <c r="AB437" t="n">
        <v>592</v>
      </c>
      <c r="AC437" t="n">
        <v>833</v>
      </c>
      <c r="AD437" t="n">
        <v>7</v>
      </c>
      <c r="AE437" t="n">
        <v>8</v>
      </c>
      <c r="AF437" t="n">
        <v>33</v>
      </c>
      <c r="AG437" t="n">
        <v>46</v>
      </c>
      <c r="AH437" t="n">
        <v>14</v>
      </c>
      <c r="AI437" t="n">
        <v>18</v>
      </c>
      <c r="AJ437" t="n">
        <v>6</v>
      </c>
      <c r="AK437" t="n">
        <v>9</v>
      </c>
      <c r="AL437" t="n">
        <v>17</v>
      </c>
      <c r="AM437" t="n">
        <v>24</v>
      </c>
      <c r="AN437" t="n">
        <v>6</v>
      </c>
      <c r="AO437" t="n">
        <v>7</v>
      </c>
      <c r="AP437" t="n">
        <v>0</v>
      </c>
      <c r="AQ437" t="n">
        <v>0</v>
      </c>
      <c r="AR437" t="inlineStr">
        <is>
          <t>No</t>
        </is>
      </c>
      <c r="AS437" t="inlineStr">
        <is>
          <t>Yes</t>
        </is>
      </c>
      <c r="AT437">
        <f>HYPERLINK("http://catalog.hathitrust.org/Record/001111949","HathiTrust Record")</f>
        <v/>
      </c>
      <c r="AU437">
        <f>HYPERLINK("https://creighton-primo.hosted.exlibrisgroup.com/primo-explore/search?tab=default_tab&amp;search_scope=EVERYTHING&amp;vid=01CRU&amp;lang=en_US&amp;offset=0&amp;query=any,contains,991002446219702656","Catalog Record")</f>
        <v/>
      </c>
      <c r="AV437">
        <f>HYPERLINK("http://www.worldcat.org/oclc/351603","WorldCat Record")</f>
        <v/>
      </c>
      <c r="AW437" t="inlineStr">
        <is>
          <t>1386706:eng</t>
        </is>
      </c>
      <c r="AX437" t="inlineStr">
        <is>
          <t>351603</t>
        </is>
      </c>
      <c r="AY437" t="inlineStr">
        <is>
          <t>991002446219702656</t>
        </is>
      </c>
      <c r="AZ437" t="inlineStr">
        <is>
          <t>991002446219702656</t>
        </is>
      </c>
      <c r="BA437" t="inlineStr">
        <is>
          <t>2266886810002656</t>
        </is>
      </c>
      <c r="BB437" t="inlineStr">
        <is>
          <t>BOOK</t>
        </is>
      </c>
      <c r="BE437" t="inlineStr">
        <is>
          <t>32285002990561</t>
        </is>
      </c>
      <c r="BF437" t="inlineStr">
        <is>
          <t>893886285</t>
        </is>
      </c>
    </row>
    <row r="438">
      <c r="A438" t="inlineStr">
        <is>
          <t>No</t>
        </is>
      </c>
      <c r="B438" t="inlineStr">
        <is>
          <t>CURAL</t>
        </is>
      </c>
      <c r="C438" t="inlineStr">
        <is>
          <t>SHELVES</t>
        </is>
      </c>
      <c r="D438" t="inlineStr">
        <is>
          <t>PR2343 .R6</t>
        </is>
      </c>
      <c r="E438" t="inlineStr">
        <is>
          <t>0                      PR 2343000R  6</t>
        </is>
      </c>
      <c r="F438" t="inlineStr">
        <is>
          <t>Heroic love; studies in Sidney and Spenser.</t>
        </is>
      </c>
      <c r="H438" t="inlineStr">
        <is>
          <t>No</t>
        </is>
      </c>
      <c r="I438" t="inlineStr">
        <is>
          <t>1</t>
        </is>
      </c>
      <c r="J438" t="inlineStr">
        <is>
          <t>No</t>
        </is>
      </c>
      <c r="K438" t="inlineStr">
        <is>
          <t>No</t>
        </is>
      </c>
      <c r="L438" t="inlineStr">
        <is>
          <t>0</t>
        </is>
      </c>
      <c r="M438" t="inlineStr">
        <is>
          <t>Rose, Mark, 1939-</t>
        </is>
      </c>
      <c r="N438" t="inlineStr">
        <is>
          <t>Cambridge, Mass., Harvard University Press, 1968.</t>
        </is>
      </c>
      <c r="O438" t="inlineStr">
        <is>
          <t>1968</t>
        </is>
      </c>
      <c r="Q438" t="inlineStr">
        <is>
          <t>eng</t>
        </is>
      </c>
      <c r="R438" t="inlineStr">
        <is>
          <t>mau</t>
        </is>
      </c>
      <c r="T438" t="inlineStr">
        <is>
          <t xml:space="preserve">PR </t>
        </is>
      </c>
      <c r="U438" t="n">
        <v>2</v>
      </c>
      <c r="V438" t="n">
        <v>2</v>
      </c>
      <c r="W438" t="inlineStr">
        <is>
          <t>2002-02-09</t>
        </is>
      </c>
      <c r="X438" t="inlineStr">
        <is>
          <t>2002-02-09</t>
        </is>
      </c>
      <c r="Y438" t="inlineStr">
        <is>
          <t>1997-07-29</t>
        </is>
      </c>
      <c r="Z438" t="inlineStr">
        <is>
          <t>1997-07-29</t>
        </is>
      </c>
      <c r="AA438" t="n">
        <v>1062</v>
      </c>
      <c r="AB438" t="n">
        <v>905</v>
      </c>
      <c r="AC438" t="n">
        <v>916</v>
      </c>
      <c r="AD438" t="n">
        <v>9</v>
      </c>
      <c r="AE438" t="n">
        <v>9</v>
      </c>
      <c r="AF438" t="n">
        <v>48</v>
      </c>
      <c r="AG438" t="n">
        <v>48</v>
      </c>
      <c r="AH438" t="n">
        <v>19</v>
      </c>
      <c r="AI438" t="n">
        <v>19</v>
      </c>
      <c r="AJ438" t="n">
        <v>11</v>
      </c>
      <c r="AK438" t="n">
        <v>11</v>
      </c>
      <c r="AL438" t="n">
        <v>21</v>
      </c>
      <c r="AM438" t="n">
        <v>21</v>
      </c>
      <c r="AN438" t="n">
        <v>8</v>
      </c>
      <c r="AO438" t="n">
        <v>8</v>
      </c>
      <c r="AP438" t="n">
        <v>0</v>
      </c>
      <c r="AQ438" t="n">
        <v>0</v>
      </c>
      <c r="AR438" t="inlineStr">
        <is>
          <t>No</t>
        </is>
      </c>
      <c r="AS438" t="inlineStr">
        <is>
          <t>Yes</t>
        </is>
      </c>
      <c r="AT438">
        <f>HYPERLINK("http://catalog.hathitrust.org/Record/001017411","HathiTrust Record")</f>
        <v/>
      </c>
      <c r="AU438">
        <f>HYPERLINK("https://creighton-primo.hosted.exlibrisgroup.com/primo-explore/search?tab=default_tab&amp;search_scope=EVERYTHING&amp;vid=01CRU&amp;lang=en_US&amp;offset=0&amp;query=any,contains,991002805219702656","Catalog Record")</f>
        <v/>
      </c>
      <c r="AV438">
        <f>HYPERLINK("http://www.worldcat.org/oclc/449256","WorldCat Record")</f>
        <v/>
      </c>
      <c r="AW438" t="inlineStr">
        <is>
          <t>891235534:eng</t>
        </is>
      </c>
      <c r="AX438" t="inlineStr">
        <is>
          <t>449256</t>
        </is>
      </c>
      <c r="AY438" t="inlineStr">
        <is>
          <t>991002805219702656</t>
        </is>
      </c>
      <c r="AZ438" t="inlineStr">
        <is>
          <t>991002805219702656</t>
        </is>
      </c>
      <c r="BA438" t="inlineStr">
        <is>
          <t>2265192630002656</t>
        </is>
      </c>
      <c r="BB438" t="inlineStr">
        <is>
          <t>BOOK</t>
        </is>
      </c>
      <c r="BE438" t="inlineStr">
        <is>
          <t>32285002990579</t>
        </is>
      </c>
      <c r="BF438" t="inlineStr">
        <is>
          <t>893704540</t>
        </is>
      </c>
    </row>
    <row r="439">
      <c r="A439" t="inlineStr">
        <is>
          <t>No</t>
        </is>
      </c>
      <c r="B439" t="inlineStr">
        <is>
          <t>CURAL</t>
        </is>
      </c>
      <c r="C439" t="inlineStr">
        <is>
          <t>SHELVES</t>
        </is>
      </c>
      <c r="D439" t="inlineStr">
        <is>
          <t>PR2343 .R8</t>
        </is>
      </c>
      <c r="E439" t="inlineStr">
        <is>
          <t>0                      PR 2343000R  8</t>
        </is>
      </c>
      <c r="F439" t="inlineStr">
        <is>
          <t>Sidney's poetic development [by] Neil L. Rudenstine.</t>
        </is>
      </c>
      <c r="H439" t="inlineStr">
        <is>
          <t>No</t>
        </is>
      </c>
      <c r="I439" t="inlineStr">
        <is>
          <t>1</t>
        </is>
      </c>
      <c r="J439" t="inlineStr">
        <is>
          <t>No</t>
        </is>
      </c>
      <c r="K439" t="inlineStr">
        <is>
          <t>No</t>
        </is>
      </c>
      <c r="L439" t="inlineStr">
        <is>
          <t>0</t>
        </is>
      </c>
      <c r="M439" t="inlineStr">
        <is>
          <t>Rudenstine, Neil L.</t>
        </is>
      </c>
      <c r="N439" t="inlineStr">
        <is>
          <t>Cambridge, Harvard University Press, 1967.</t>
        </is>
      </c>
      <c r="O439" t="inlineStr">
        <is>
          <t>1967</t>
        </is>
      </c>
      <c r="Q439" t="inlineStr">
        <is>
          <t>eng</t>
        </is>
      </c>
      <c r="R439" t="inlineStr">
        <is>
          <t>mau</t>
        </is>
      </c>
      <c r="T439" t="inlineStr">
        <is>
          <t xml:space="preserve">PR </t>
        </is>
      </c>
      <c r="U439" t="n">
        <v>3</v>
      </c>
      <c r="V439" t="n">
        <v>3</v>
      </c>
      <c r="W439" t="inlineStr">
        <is>
          <t>2002-02-09</t>
        </is>
      </c>
      <c r="X439" t="inlineStr">
        <is>
          <t>2002-02-09</t>
        </is>
      </c>
      <c r="Y439" t="inlineStr">
        <is>
          <t>1997-07-29</t>
        </is>
      </c>
      <c r="Z439" t="inlineStr">
        <is>
          <t>1997-07-29</t>
        </is>
      </c>
      <c r="AA439" t="n">
        <v>712</v>
      </c>
      <c r="AB439" t="n">
        <v>592</v>
      </c>
      <c r="AC439" t="n">
        <v>597</v>
      </c>
      <c r="AD439" t="n">
        <v>7</v>
      </c>
      <c r="AE439" t="n">
        <v>7</v>
      </c>
      <c r="AF439" t="n">
        <v>33</v>
      </c>
      <c r="AG439" t="n">
        <v>33</v>
      </c>
      <c r="AH439" t="n">
        <v>9</v>
      </c>
      <c r="AI439" t="n">
        <v>9</v>
      </c>
      <c r="AJ439" t="n">
        <v>7</v>
      </c>
      <c r="AK439" t="n">
        <v>7</v>
      </c>
      <c r="AL439" t="n">
        <v>18</v>
      </c>
      <c r="AM439" t="n">
        <v>18</v>
      </c>
      <c r="AN439" t="n">
        <v>6</v>
      </c>
      <c r="AO439" t="n">
        <v>6</v>
      </c>
      <c r="AP439" t="n">
        <v>0</v>
      </c>
      <c r="AQ439" t="n">
        <v>0</v>
      </c>
      <c r="AR439" t="inlineStr">
        <is>
          <t>No</t>
        </is>
      </c>
      <c r="AS439" t="inlineStr">
        <is>
          <t>Yes</t>
        </is>
      </c>
      <c r="AT439">
        <f>HYPERLINK("http://catalog.hathitrust.org/Record/001185662","HathiTrust Record")</f>
        <v/>
      </c>
      <c r="AU439">
        <f>HYPERLINK("https://creighton-primo.hosted.exlibrisgroup.com/primo-explore/search?tab=default_tab&amp;search_scope=EVERYTHING&amp;vid=01CRU&amp;lang=en_US&amp;offset=0&amp;query=any,contains,991002446449702656","Catalog Record")</f>
        <v/>
      </c>
      <c r="AV439">
        <f>HYPERLINK("http://www.worldcat.org/oclc/351647","WorldCat Record")</f>
        <v/>
      </c>
      <c r="AW439" t="inlineStr">
        <is>
          <t>1386802:eng</t>
        </is>
      </c>
      <c r="AX439" t="inlineStr">
        <is>
          <t>351647</t>
        </is>
      </c>
      <c r="AY439" t="inlineStr">
        <is>
          <t>991002446449702656</t>
        </is>
      </c>
      <c r="AZ439" t="inlineStr">
        <is>
          <t>991002446449702656</t>
        </is>
      </c>
      <c r="BA439" t="inlineStr">
        <is>
          <t>2266811510002656</t>
        </is>
      </c>
      <c r="BB439" t="inlineStr">
        <is>
          <t>BOOK</t>
        </is>
      </c>
      <c r="BE439" t="inlineStr">
        <is>
          <t>32285002990587</t>
        </is>
      </c>
      <c r="BF439" t="inlineStr">
        <is>
          <t>893232961</t>
        </is>
      </c>
    </row>
    <row r="440">
      <c r="A440" t="inlineStr">
        <is>
          <t>No</t>
        </is>
      </c>
      <c r="B440" t="inlineStr">
        <is>
          <t>CURAL</t>
        </is>
      </c>
      <c r="C440" t="inlineStr">
        <is>
          <t>SHELVES</t>
        </is>
      </c>
      <c r="D440" t="inlineStr">
        <is>
          <t>PR2343 .S57 1984</t>
        </is>
      </c>
      <c r="E440" t="inlineStr">
        <is>
          <t>0                      PR 2343000S  57          1984</t>
        </is>
      </c>
      <c r="F440" t="inlineStr">
        <is>
          <t>Sir Philip Sidney and the interpretation of Renaissance culture : the poet in his time and in ours : a collection of critical and scholarly essays / edited by Gary F. Waller and Michael D. Moore.</t>
        </is>
      </c>
      <c r="H440" t="inlineStr">
        <is>
          <t>No</t>
        </is>
      </c>
      <c r="I440" t="inlineStr">
        <is>
          <t>1</t>
        </is>
      </c>
      <c r="J440" t="inlineStr">
        <is>
          <t>No</t>
        </is>
      </c>
      <c r="K440" t="inlineStr">
        <is>
          <t>No</t>
        </is>
      </c>
      <c r="L440" t="inlineStr">
        <is>
          <t>0</t>
        </is>
      </c>
      <c r="N440" t="inlineStr">
        <is>
          <t>London : Croom Helm ; Totowa, N.J. : Barnes &amp; Noble, 1984.</t>
        </is>
      </c>
      <c r="O440" t="inlineStr">
        <is>
          <t>1984</t>
        </is>
      </c>
      <c r="Q440" t="inlineStr">
        <is>
          <t>eng</t>
        </is>
      </c>
      <c r="R440" t="inlineStr">
        <is>
          <t>enk</t>
        </is>
      </c>
      <c r="T440" t="inlineStr">
        <is>
          <t xml:space="preserve">PR </t>
        </is>
      </c>
      <c r="U440" t="n">
        <v>3</v>
      </c>
      <c r="V440" t="n">
        <v>3</v>
      </c>
      <c r="W440" t="inlineStr">
        <is>
          <t>2002-02-09</t>
        </is>
      </c>
      <c r="X440" t="inlineStr">
        <is>
          <t>2002-02-09</t>
        </is>
      </c>
      <c r="Y440" t="inlineStr">
        <is>
          <t>1991-10-08</t>
        </is>
      </c>
      <c r="Z440" t="inlineStr">
        <is>
          <t>1991-10-08</t>
        </is>
      </c>
      <c r="AA440" t="n">
        <v>507</v>
      </c>
      <c r="AB440" t="n">
        <v>360</v>
      </c>
      <c r="AC440" t="n">
        <v>368</v>
      </c>
      <c r="AD440" t="n">
        <v>4</v>
      </c>
      <c r="AE440" t="n">
        <v>4</v>
      </c>
      <c r="AF440" t="n">
        <v>20</v>
      </c>
      <c r="AG440" t="n">
        <v>20</v>
      </c>
      <c r="AH440" t="n">
        <v>8</v>
      </c>
      <c r="AI440" t="n">
        <v>8</v>
      </c>
      <c r="AJ440" t="n">
        <v>4</v>
      </c>
      <c r="AK440" t="n">
        <v>4</v>
      </c>
      <c r="AL440" t="n">
        <v>12</v>
      </c>
      <c r="AM440" t="n">
        <v>12</v>
      </c>
      <c r="AN440" t="n">
        <v>3</v>
      </c>
      <c r="AO440" t="n">
        <v>3</v>
      </c>
      <c r="AP440" t="n">
        <v>0</v>
      </c>
      <c r="AQ440" t="n">
        <v>0</v>
      </c>
      <c r="AR440" t="inlineStr">
        <is>
          <t>No</t>
        </is>
      </c>
      <c r="AS440" t="inlineStr">
        <is>
          <t>Yes</t>
        </is>
      </c>
      <c r="AT440">
        <f>HYPERLINK("http://catalog.hathitrust.org/Record/000328236","HathiTrust Record")</f>
        <v/>
      </c>
      <c r="AU440">
        <f>HYPERLINK("https://creighton-primo.hosted.exlibrisgroup.com/primo-explore/search?tab=default_tab&amp;search_scope=EVERYTHING&amp;vid=01CRU&amp;lang=en_US&amp;offset=0&amp;query=any,contains,991000456079702656","Catalog Record")</f>
        <v/>
      </c>
      <c r="AV440">
        <f>HYPERLINK("http://www.worldcat.org/oclc/10913795","WorldCat Record")</f>
        <v/>
      </c>
      <c r="AW440" t="inlineStr">
        <is>
          <t>836670246:eng</t>
        </is>
      </c>
      <c r="AX440" t="inlineStr">
        <is>
          <t>10913795</t>
        </is>
      </c>
      <c r="AY440" t="inlineStr">
        <is>
          <t>991000456079702656</t>
        </is>
      </c>
      <c r="AZ440" t="inlineStr">
        <is>
          <t>991000456079702656</t>
        </is>
      </c>
      <c r="BA440" t="inlineStr">
        <is>
          <t>2258596450002656</t>
        </is>
      </c>
      <c r="BB440" t="inlineStr">
        <is>
          <t>BOOK</t>
        </is>
      </c>
      <c r="BD440" t="inlineStr">
        <is>
          <t>9780389205142</t>
        </is>
      </c>
      <c r="BE440" t="inlineStr">
        <is>
          <t>32285000772789</t>
        </is>
      </c>
      <c r="BF440" t="inlineStr">
        <is>
          <t>893884394</t>
        </is>
      </c>
    </row>
    <row r="441">
      <c r="A441" t="inlineStr">
        <is>
          <t>No</t>
        </is>
      </c>
      <c r="B441" t="inlineStr">
        <is>
          <t>CURAL</t>
        </is>
      </c>
      <c r="C441" t="inlineStr">
        <is>
          <t>SHELVES</t>
        </is>
      </c>
      <c r="D441" t="inlineStr">
        <is>
          <t>PR2343 .W3 1936</t>
        </is>
      </c>
      <c r="E441" t="inlineStr">
        <is>
          <t>0                      PR 2343000W  3           1936</t>
        </is>
      </c>
      <c r="F441" t="inlineStr">
        <is>
          <t>Sir Philip Sidney, a study in conflict, by C. Henry Warren.</t>
        </is>
      </c>
      <c r="H441" t="inlineStr">
        <is>
          <t>No</t>
        </is>
      </c>
      <c r="I441" t="inlineStr">
        <is>
          <t>1</t>
        </is>
      </c>
      <c r="J441" t="inlineStr">
        <is>
          <t>No</t>
        </is>
      </c>
      <c r="K441" t="inlineStr">
        <is>
          <t>No</t>
        </is>
      </c>
      <c r="L441" t="inlineStr">
        <is>
          <t>0</t>
        </is>
      </c>
      <c r="M441" t="inlineStr">
        <is>
          <t>Warren, C. Henry (Clarence Henry), 1895-1966.</t>
        </is>
      </c>
      <c r="N441" t="inlineStr">
        <is>
          <t>London, New York [etc.] T. Nelson &amp; sons, ltd. [1936]</t>
        </is>
      </c>
      <c r="O441" t="inlineStr">
        <is>
          <t>1936</t>
        </is>
      </c>
      <c r="Q441" t="inlineStr">
        <is>
          <t>eng</t>
        </is>
      </c>
      <c r="R441" t="inlineStr">
        <is>
          <t xml:space="preserve">xx </t>
        </is>
      </c>
      <c r="T441" t="inlineStr">
        <is>
          <t xml:space="preserve">PR </t>
        </is>
      </c>
      <c r="U441" t="n">
        <v>1</v>
      </c>
      <c r="V441" t="n">
        <v>1</v>
      </c>
      <c r="W441" t="inlineStr">
        <is>
          <t>2002-02-09</t>
        </is>
      </c>
      <c r="X441" t="inlineStr">
        <is>
          <t>2002-02-09</t>
        </is>
      </c>
      <c r="Y441" t="inlineStr">
        <is>
          <t>1997-07-29</t>
        </is>
      </c>
      <c r="Z441" t="inlineStr">
        <is>
          <t>1997-07-29</t>
        </is>
      </c>
      <c r="AA441" t="n">
        <v>120</v>
      </c>
      <c r="AB441" t="n">
        <v>101</v>
      </c>
      <c r="AC441" t="n">
        <v>257</v>
      </c>
      <c r="AD441" t="n">
        <v>1</v>
      </c>
      <c r="AE441" t="n">
        <v>2</v>
      </c>
      <c r="AF441" t="n">
        <v>5</v>
      </c>
      <c r="AG441" t="n">
        <v>11</v>
      </c>
      <c r="AH441" t="n">
        <v>0</v>
      </c>
      <c r="AI441" t="n">
        <v>1</v>
      </c>
      <c r="AJ441" t="n">
        <v>2</v>
      </c>
      <c r="AK441" t="n">
        <v>3</v>
      </c>
      <c r="AL441" t="n">
        <v>4</v>
      </c>
      <c r="AM441" t="n">
        <v>8</v>
      </c>
      <c r="AN441" t="n">
        <v>0</v>
      </c>
      <c r="AO441" t="n">
        <v>1</v>
      </c>
      <c r="AP441" t="n">
        <v>0</v>
      </c>
      <c r="AQ441" t="n">
        <v>0</v>
      </c>
      <c r="AR441" t="inlineStr">
        <is>
          <t>No</t>
        </is>
      </c>
      <c r="AS441" t="inlineStr">
        <is>
          <t>Yes</t>
        </is>
      </c>
      <c r="AT441">
        <f>HYPERLINK("http://catalog.hathitrust.org/Record/006055310","HathiTrust Record")</f>
        <v/>
      </c>
      <c r="AU441">
        <f>HYPERLINK("https://creighton-primo.hosted.exlibrisgroup.com/primo-explore/search?tab=default_tab&amp;search_scope=EVERYTHING&amp;vid=01CRU&amp;lang=en_US&amp;offset=0&amp;query=any,contains,991003848339702656","Catalog Record")</f>
        <v/>
      </c>
      <c r="AV441">
        <f>HYPERLINK("http://www.worldcat.org/oclc/1635850","WorldCat Record")</f>
        <v/>
      </c>
      <c r="AW441" t="inlineStr">
        <is>
          <t>197486697:eng</t>
        </is>
      </c>
      <c r="AX441" t="inlineStr">
        <is>
          <t>1635850</t>
        </is>
      </c>
      <c r="AY441" t="inlineStr">
        <is>
          <t>991003848339702656</t>
        </is>
      </c>
      <c r="AZ441" t="inlineStr">
        <is>
          <t>991003848339702656</t>
        </is>
      </c>
      <c r="BA441" t="inlineStr">
        <is>
          <t>2255641330002656</t>
        </is>
      </c>
      <c r="BB441" t="inlineStr">
        <is>
          <t>BOOK</t>
        </is>
      </c>
      <c r="BE441" t="inlineStr">
        <is>
          <t>32285002990595</t>
        </is>
      </c>
      <c r="BF441" t="inlineStr">
        <is>
          <t>893228541</t>
        </is>
      </c>
    </row>
    <row r="442">
      <c r="A442" t="inlineStr">
        <is>
          <t>No</t>
        </is>
      </c>
      <c r="B442" t="inlineStr">
        <is>
          <t>CURAL</t>
        </is>
      </c>
      <c r="C442" t="inlineStr">
        <is>
          <t>SHELVES</t>
        </is>
      </c>
      <c r="D442" t="inlineStr">
        <is>
          <t>PR2346 .S3 1983</t>
        </is>
      </c>
      <c r="E442" t="inlineStr">
        <is>
          <t>0                      PR 2346000S  3           1983</t>
        </is>
      </c>
      <c r="F442" t="inlineStr">
        <is>
          <t>John Skelton, the complete English poems / edited by John Scattergood.</t>
        </is>
      </c>
      <c r="H442" t="inlineStr">
        <is>
          <t>No</t>
        </is>
      </c>
      <c r="I442" t="inlineStr">
        <is>
          <t>1</t>
        </is>
      </c>
      <c r="J442" t="inlineStr">
        <is>
          <t>No</t>
        </is>
      </c>
      <c r="K442" t="inlineStr">
        <is>
          <t>No</t>
        </is>
      </c>
      <c r="L442" t="inlineStr">
        <is>
          <t>0</t>
        </is>
      </c>
      <c r="M442" t="inlineStr">
        <is>
          <t>Skelton, John, 1460?-1529.</t>
        </is>
      </c>
      <c r="N442" t="inlineStr">
        <is>
          <t>New Haven : Yale University Press, 1983.</t>
        </is>
      </c>
      <c r="O442" t="inlineStr">
        <is>
          <t>1983</t>
        </is>
      </c>
      <c r="Q442" t="inlineStr">
        <is>
          <t>eng</t>
        </is>
      </c>
      <c r="R442" t="inlineStr">
        <is>
          <t>ctu</t>
        </is>
      </c>
      <c r="S442" t="inlineStr">
        <is>
          <t>The English poets ; 15</t>
        </is>
      </c>
      <c r="T442" t="inlineStr">
        <is>
          <t xml:space="preserve">PR </t>
        </is>
      </c>
      <c r="U442" t="n">
        <v>3</v>
      </c>
      <c r="V442" t="n">
        <v>3</v>
      </c>
      <c r="W442" t="inlineStr">
        <is>
          <t>2009-04-20</t>
        </is>
      </c>
      <c r="X442" t="inlineStr">
        <is>
          <t>2009-04-20</t>
        </is>
      </c>
      <c r="Y442" t="inlineStr">
        <is>
          <t>1991-10-08</t>
        </is>
      </c>
      <c r="Z442" t="inlineStr">
        <is>
          <t>1991-10-08</t>
        </is>
      </c>
      <c r="AA442" t="n">
        <v>516</v>
      </c>
      <c r="AB442" t="n">
        <v>446</v>
      </c>
      <c r="AC442" t="n">
        <v>491</v>
      </c>
      <c r="AD442" t="n">
        <v>4</v>
      </c>
      <c r="AE442" t="n">
        <v>4</v>
      </c>
      <c r="AF442" t="n">
        <v>28</v>
      </c>
      <c r="AG442" t="n">
        <v>31</v>
      </c>
      <c r="AH442" t="n">
        <v>13</v>
      </c>
      <c r="AI442" t="n">
        <v>15</v>
      </c>
      <c r="AJ442" t="n">
        <v>7</v>
      </c>
      <c r="AK442" t="n">
        <v>8</v>
      </c>
      <c r="AL442" t="n">
        <v>14</v>
      </c>
      <c r="AM442" t="n">
        <v>16</v>
      </c>
      <c r="AN442" t="n">
        <v>3</v>
      </c>
      <c r="AO442" t="n">
        <v>3</v>
      </c>
      <c r="AP442" t="n">
        <v>0</v>
      </c>
      <c r="AQ442" t="n">
        <v>0</v>
      </c>
      <c r="AR442" t="inlineStr">
        <is>
          <t>No</t>
        </is>
      </c>
      <c r="AS442" t="inlineStr">
        <is>
          <t>No</t>
        </is>
      </c>
      <c r="AU442">
        <f>HYPERLINK("https://creighton-primo.hosted.exlibrisgroup.com/primo-explore/search?tab=default_tab&amp;search_scope=EVERYTHING&amp;vid=01CRU&amp;lang=en_US&amp;offset=0&amp;query=any,contains,991000060449702656","Catalog Record")</f>
        <v/>
      </c>
      <c r="AV442">
        <f>HYPERLINK("http://www.worldcat.org/oclc/8728872","WorldCat Record")</f>
        <v/>
      </c>
      <c r="AW442" t="inlineStr">
        <is>
          <t>5145543694:eng</t>
        </is>
      </c>
      <c r="AX442" t="inlineStr">
        <is>
          <t>8728872</t>
        </is>
      </c>
      <c r="AY442" t="inlineStr">
        <is>
          <t>991000060449702656</t>
        </is>
      </c>
      <c r="AZ442" t="inlineStr">
        <is>
          <t>991000060449702656</t>
        </is>
      </c>
      <c r="BA442" t="inlineStr">
        <is>
          <t>2271299470002656</t>
        </is>
      </c>
      <c r="BB442" t="inlineStr">
        <is>
          <t>BOOK</t>
        </is>
      </c>
      <c r="BD442" t="inlineStr">
        <is>
          <t>9780300029710</t>
        </is>
      </c>
      <c r="BE442" t="inlineStr">
        <is>
          <t>32285000772797</t>
        </is>
      </c>
      <c r="BF442" t="inlineStr">
        <is>
          <t>893425369</t>
        </is>
      </c>
    </row>
    <row r="443">
      <c r="A443" t="inlineStr">
        <is>
          <t>No</t>
        </is>
      </c>
      <c r="B443" t="inlineStr">
        <is>
          <t>CURAL</t>
        </is>
      </c>
      <c r="C443" t="inlineStr">
        <is>
          <t>SHELVES</t>
        </is>
      </c>
      <c r="D443" t="inlineStr">
        <is>
          <t>PR2348 .H3</t>
        </is>
      </c>
      <c r="E443" t="inlineStr">
        <is>
          <t>0                      PR 2348000H  3</t>
        </is>
      </c>
      <c r="F443" t="inlineStr">
        <is>
          <t>Skelton's Magnyfycence and the cardinal virtue tradition, by William O. Harris.</t>
        </is>
      </c>
      <c r="H443" t="inlineStr">
        <is>
          <t>No</t>
        </is>
      </c>
      <c r="I443" t="inlineStr">
        <is>
          <t>1</t>
        </is>
      </c>
      <c r="J443" t="inlineStr">
        <is>
          <t>No</t>
        </is>
      </c>
      <c r="K443" t="inlineStr">
        <is>
          <t>No</t>
        </is>
      </c>
      <c r="L443" t="inlineStr">
        <is>
          <t>0</t>
        </is>
      </c>
      <c r="M443" t="inlineStr">
        <is>
          <t>Harris, William O.</t>
        </is>
      </c>
      <c r="N443" t="inlineStr">
        <is>
          <t>Chapel Hill, University of North Carolina Press [1965]</t>
        </is>
      </c>
      <c r="O443" t="inlineStr">
        <is>
          <t>1965</t>
        </is>
      </c>
      <c r="Q443" t="inlineStr">
        <is>
          <t>eng</t>
        </is>
      </c>
      <c r="R443" t="inlineStr">
        <is>
          <t>ncu</t>
        </is>
      </c>
      <c r="T443" t="inlineStr">
        <is>
          <t xml:space="preserve">PR </t>
        </is>
      </c>
      <c r="U443" t="n">
        <v>1</v>
      </c>
      <c r="V443" t="n">
        <v>1</v>
      </c>
      <c r="W443" t="inlineStr">
        <is>
          <t>2004-10-03</t>
        </is>
      </c>
      <c r="X443" t="inlineStr">
        <is>
          <t>2004-10-03</t>
        </is>
      </c>
      <c r="Y443" t="inlineStr">
        <is>
          <t>1997-07-29</t>
        </is>
      </c>
      <c r="Z443" t="inlineStr">
        <is>
          <t>1997-07-29</t>
        </is>
      </c>
      <c r="AA443" t="n">
        <v>428</v>
      </c>
      <c r="AB443" t="n">
        <v>345</v>
      </c>
      <c r="AC443" t="n">
        <v>347</v>
      </c>
      <c r="AD443" t="n">
        <v>4</v>
      </c>
      <c r="AE443" t="n">
        <v>4</v>
      </c>
      <c r="AF443" t="n">
        <v>22</v>
      </c>
      <c r="AG443" t="n">
        <v>22</v>
      </c>
      <c r="AH443" t="n">
        <v>5</v>
      </c>
      <c r="AI443" t="n">
        <v>5</v>
      </c>
      <c r="AJ443" t="n">
        <v>5</v>
      </c>
      <c r="AK443" t="n">
        <v>5</v>
      </c>
      <c r="AL443" t="n">
        <v>14</v>
      </c>
      <c r="AM443" t="n">
        <v>14</v>
      </c>
      <c r="AN443" t="n">
        <v>3</v>
      </c>
      <c r="AO443" t="n">
        <v>3</v>
      </c>
      <c r="AP443" t="n">
        <v>0</v>
      </c>
      <c r="AQ443" t="n">
        <v>0</v>
      </c>
      <c r="AR443" t="inlineStr">
        <is>
          <t>No</t>
        </is>
      </c>
      <c r="AS443" t="inlineStr">
        <is>
          <t>Yes</t>
        </is>
      </c>
      <c r="AT443">
        <f>HYPERLINK("http://catalog.hathitrust.org/Record/001185853","HathiTrust Record")</f>
        <v/>
      </c>
      <c r="AU443">
        <f>HYPERLINK("https://creighton-primo.hosted.exlibrisgroup.com/primo-explore/search?tab=default_tab&amp;search_scope=EVERYTHING&amp;vid=01CRU&amp;lang=en_US&amp;offset=0&amp;query=any,contains,991002239579702656","Catalog Record")</f>
        <v/>
      </c>
      <c r="AV443">
        <f>HYPERLINK("http://www.worldcat.org/oclc/296862","WorldCat Record")</f>
        <v/>
      </c>
      <c r="AW443" t="inlineStr">
        <is>
          <t>1496551:eng</t>
        </is>
      </c>
      <c r="AX443" t="inlineStr">
        <is>
          <t>296862</t>
        </is>
      </c>
      <c r="AY443" t="inlineStr">
        <is>
          <t>991002239579702656</t>
        </is>
      </c>
      <c r="AZ443" t="inlineStr">
        <is>
          <t>991002239579702656</t>
        </is>
      </c>
      <c r="BA443" t="inlineStr">
        <is>
          <t>2262767800002656</t>
        </is>
      </c>
      <c r="BB443" t="inlineStr">
        <is>
          <t>BOOK</t>
        </is>
      </c>
      <c r="BE443" t="inlineStr">
        <is>
          <t>32285002990645</t>
        </is>
      </c>
      <c r="BF443" t="inlineStr">
        <is>
          <t>893238815</t>
        </is>
      </c>
    </row>
    <row r="444">
      <c r="A444" t="inlineStr">
        <is>
          <t>No</t>
        </is>
      </c>
      <c r="B444" t="inlineStr">
        <is>
          <t>CURAL</t>
        </is>
      </c>
      <c r="C444" t="inlineStr">
        <is>
          <t>SHELVES</t>
        </is>
      </c>
      <c r="D444" t="inlineStr">
        <is>
          <t>PR2349 .S5 1967</t>
        </is>
      </c>
      <c r="E444" t="inlineStr">
        <is>
          <t>0                      PR 2349000S  5           1967</t>
        </is>
      </c>
      <c r="F444" t="inlineStr">
        <is>
          <t>The poems of Robert Southwell, S.J.; edited by James H. McDonald and Nancy Pollard Brown.</t>
        </is>
      </c>
      <c r="H444" t="inlineStr">
        <is>
          <t>No</t>
        </is>
      </c>
      <c r="I444" t="inlineStr">
        <is>
          <t>1</t>
        </is>
      </c>
      <c r="J444" t="inlineStr">
        <is>
          <t>No</t>
        </is>
      </c>
      <c r="K444" t="inlineStr">
        <is>
          <t>No</t>
        </is>
      </c>
      <c r="L444" t="inlineStr">
        <is>
          <t>0</t>
        </is>
      </c>
      <c r="M444" t="inlineStr">
        <is>
          <t>Southwell, Robert, Saint, 1561?-1595.</t>
        </is>
      </c>
      <c r="N444" t="inlineStr">
        <is>
          <t>Oxford, Clarendon P., 1967.</t>
        </is>
      </c>
      <c r="O444" t="inlineStr">
        <is>
          <t>1967</t>
        </is>
      </c>
      <c r="Q444" t="inlineStr">
        <is>
          <t>eng</t>
        </is>
      </c>
      <c r="R444" t="inlineStr">
        <is>
          <t>enk</t>
        </is>
      </c>
      <c r="T444" t="inlineStr">
        <is>
          <t xml:space="preserve">PR </t>
        </is>
      </c>
      <c r="U444" t="n">
        <v>1</v>
      </c>
      <c r="V444" t="n">
        <v>1</v>
      </c>
      <c r="W444" t="inlineStr">
        <is>
          <t>2010-01-11</t>
        </is>
      </c>
      <c r="X444" t="inlineStr">
        <is>
          <t>2010-01-11</t>
        </is>
      </c>
      <c r="Y444" t="inlineStr">
        <is>
          <t>1997-07-29</t>
        </is>
      </c>
      <c r="Z444" t="inlineStr">
        <is>
          <t>1997-07-29</t>
        </is>
      </c>
      <c r="AA444" t="n">
        <v>670</v>
      </c>
      <c r="AB444" t="n">
        <v>559</v>
      </c>
      <c r="AC444" t="n">
        <v>575</v>
      </c>
      <c r="AD444" t="n">
        <v>3</v>
      </c>
      <c r="AE444" t="n">
        <v>3</v>
      </c>
      <c r="AF444" t="n">
        <v>39</v>
      </c>
      <c r="AG444" t="n">
        <v>39</v>
      </c>
      <c r="AH444" t="n">
        <v>14</v>
      </c>
      <c r="AI444" t="n">
        <v>14</v>
      </c>
      <c r="AJ444" t="n">
        <v>11</v>
      </c>
      <c r="AK444" t="n">
        <v>11</v>
      </c>
      <c r="AL444" t="n">
        <v>24</v>
      </c>
      <c r="AM444" t="n">
        <v>24</v>
      </c>
      <c r="AN444" t="n">
        <v>2</v>
      </c>
      <c r="AO444" t="n">
        <v>2</v>
      </c>
      <c r="AP444" t="n">
        <v>0</v>
      </c>
      <c r="AQ444" t="n">
        <v>0</v>
      </c>
      <c r="AR444" t="inlineStr">
        <is>
          <t>No</t>
        </is>
      </c>
      <c r="AS444" t="inlineStr">
        <is>
          <t>Yes</t>
        </is>
      </c>
      <c r="AT444">
        <f>HYPERLINK("http://catalog.hathitrust.org/Record/001186058","HathiTrust Record")</f>
        <v/>
      </c>
      <c r="AU444">
        <f>HYPERLINK("https://creighton-primo.hosted.exlibrisgroup.com/primo-explore/search?tab=default_tab&amp;search_scope=EVERYTHING&amp;vid=01CRU&amp;lang=en_US&amp;offset=0&amp;query=any,contains,991003416419702656","Catalog Record")</f>
        <v/>
      </c>
      <c r="AV444">
        <f>HYPERLINK("http://www.worldcat.org/oclc/957533","WorldCat Record")</f>
        <v/>
      </c>
      <c r="AW444" t="inlineStr">
        <is>
          <t>1906357:eng</t>
        </is>
      </c>
      <c r="AX444" t="inlineStr">
        <is>
          <t>957533</t>
        </is>
      </c>
      <c r="AY444" t="inlineStr">
        <is>
          <t>991003416419702656</t>
        </is>
      </c>
      <c r="AZ444" t="inlineStr">
        <is>
          <t>991003416419702656</t>
        </is>
      </c>
      <c r="BA444" t="inlineStr">
        <is>
          <t>2267867270002656</t>
        </is>
      </c>
      <c r="BB444" t="inlineStr">
        <is>
          <t>BOOK</t>
        </is>
      </c>
      <c r="BE444" t="inlineStr">
        <is>
          <t>32285002990686</t>
        </is>
      </c>
      <c r="BF444" t="inlineStr">
        <is>
          <t>893705207</t>
        </is>
      </c>
    </row>
    <row r="445">
      <c r="A445" t="inlineStr">
        <is>
          <t>No</t>
        </is>
      </c>
      <c r="B445" t="inlineStr">
        <is>
          <t>CURAL</t>
        </is>
      </c>
      <c r="C445" t="inlineStr">
        <is>
          <t>SHELVES</t>
        </is>
      </c>
      <c r="D445" t="inlineStr">
        <is>
          <t>PR2349.S5 Z59 1996</t>
        </is>
      </c>
      <c r="E445" t="inlineStr">
        <is>
          <t>0                      PR 2349000S  5                  Z  59          1996</t>
        </is>
      </c>
      <c r="F445" t="inlineStr">
        <is>
          <t>Robert Southwell / by F.W. Brownlow.</t>
        </is>
      </c>
      <c r="H445" t="inlineStr">
        <is>
          <t>No</t>
        </is>
      </c>
      <c r="I445" t="inlineStr">
        <is>
          <t>1</t>
        </is>
      </c>
      <c r="J445" t="inlineStr">
        <is>
          <t>No</t>
        </is>
      </c>
      <c r="K445" t="inlineStr">
        <is>
          <t>No</t>
        </is>
      </c>
      <c r="L445" t="inlineStr">
        <is>
          <t>0</t>
        </is>
      </c>
      <c r="M445" t="inlineStr">
        <is>
          <t>Brownlow, F. W. (Frank Walsh), 1934-</t>
        </is>
      </c>
      <c r="N445" t="inlineStr">
        <is>
          <t>New York : Twayne, 1996.</t>
        </is>
      </c>
      <c r="O445" t="inlineStr">
        <is>
          <t>1996</t>
        </is>
      </c>
      <c r="Q445" t="inlineStr">
        <is>
          <t>eng</t>
        </is>
      </c>
      <c r="R445" t="inlineStr">
        <is>
          <t>nyu</t>
        </is>
      </c>
      <c r="S445" t="inlineStr">
        <is>
          <t>Twayne's English authors series ; TEAS 516</t>
        </is>
      </c>
      <c r="T445" t="inlineStr">
        <is>
          <t xml:space="preserve">PR </t>
        </is>
      </c>
      <c r="U445" t="n">
        <v>3</v>
      </c>
      <c r="V445" t="n">
        <v>3</v>
      </c>
      <c r="W445" t="inlineStr">
        <is>
          <t>2010-01-11</t>
        </is>
      </c>
      <c r="X445" t="inlineStr">
        <is>
          <t>2010-01-11</t>
        </is>
      </c>
      <c r="Y445" t="inlineStr">
        <is>
          <t>1996-04-04</t>
        </is>
      </c>
      <c r="Z445" t="inlineStr">
        <is>
          <t>1996-04-04</t>
        </is>
      </c>
      <c r="AA445" t="n">
        <v>429</v>
      </c>
      <c r="AB445" t="n">
        <v>372</v>
      </c>
      <c r="AC445" t="n">
        <v>482</v>
      </c>
      <c r="AD445" t="n">
        <v>5</v>
      </c>
      <c r="AE445" t="n">
        <v>5</v>
      </c>
      <c r="AF445" t="n">
        <v>26</v>
      </c>
      <c r="AG445" t="n">
        <v>27</v>
      </c>
      <c r="AH445" t="n">
        <v>8</v>
      </c>
      <c r="AI445" t="n">
        <v>9</v>
      </c>
      <c r="AJ445" t="n">
        <v>5</v>
      </c>
      <c r="AK445" t="n">
        <v>5</v>
      </c>
      <c r="AL445" t="n">
        <v>16</v>
      </c>
      <c r="AM445" t="n">
        <v>16</v>
      </c>
      <c r="AN445" t="n">
        <v>4</v>
      </c>
      <c r="AO445" t="n">
        <v>4</v>
      </c>
      <c r="AP445" t="n">
        <v>0</v>
      </c>
      <c r="AQ445" t="n">
        <v>0</v>
      </c>
      <c r="AR445" t="inlineStr">
        <is>
          <t>No</t>
        </is>
      </c>
      <c r="AS445" t="inlineStr">
        <is>
          <t>Yes</t>
        </is>
      </c>
      <c r="AT445">
        <f>HYPERLINK("http://catalog.hathitrust.org/Record/003048524","HathiTrust Record")</f>
        <v/>
      </c>
      <c r="AU445">
        <f>HYPERLINK("https://creighton-primo.hosted.exlibrisgroup.com/primo-explore/search?tab=default_tab&amp;search_scope=EVERYTHING&amp;vid=01CRU&amp;lang=en_US&amp;offset=0&amp;query=any,contains,991002505239702656","Catalog Record")</f>
        <v/>
      </c>
      <c r="AV445">
        <f>HYPERLINK("http://www.worldcat.org/oclc/32589364","WorldCat Record")</f>
        <v/>
      </c>
      <c r="AW445" t="inlineStr">
        <is>
          <t>1075079:eng</t>
        </is>
      </c>
      <c r="AX445" t="inlineStr">
        <is>
          <t>32589364</t>
        </is>
      </c>
      <c r="AY445" t="inlineStr">
        <is>
          <t>991002505239702656</t>
        </is>
      </c>
      <c r="AZ445" t="inlineStr">
        <is>
          <t>991002505239702656</t>
        </is>
      </c>
      <c r="BA445" t="inlineStr">
        <is>
          <t>2260942340002656</t>
        </is>
      </c>
      <c r="BB445" t="inlineStr">
        <is>
          <t>BOOK</t>
        </is>
      </c>
      <c r="BD445" t="inlineStr">
        <is>
          <t>9780805778069</t>
        </is>
      </c>
      <c r="BE445" t="inlineStr">
        <is>
          <t>32285002150505</t>
        </is>
      </c>
      <c r="BF445" t="inlineStr">
        <is>
          <t>893257387</t>
        </is>
      </c>
    </row>
    <row r="446">
      <c r="A446" t="inlineStr">
        <is>
          <t>No</t>
        </is>
      </c>
      <c r="B446" t="inlineStr">
        <is>
          <t>CURAL</t>
        </is>
      </c>
      <c r="C446" t="inlineStr">
        <is>
          <t>SHELVES</t>
        </is>
      </c>
      <c r="D446" t="inlineStr">
        <is>
          <t>PR2358 .C3</t>
        </is>
      </c>
      <c r="E446" t="inlineStr">
        <is>
          <t>0                      PR 2358000C  3</t>
        </is>
      </c>
      <c r="F446" t="inlineStr">
        <is>
          <t>Praise in The faerie queene / Thomas H. Cain.</t>
        </is>
      </c>
      <c r="H446" t="inlineStr">
        <is>
          <t>No</t>
        </is>
      </c>
      <c r="I446" t="inlineStr">
        <is>
          <t>1</t>
        </is>
      </c>
      <c r="J446" t="inlineStr">
        <is>
          <t>No</t>
        </is>
      </c>
      <c r="K446" t="inlineStr">
        <is>
          <t>No</t>
        </is>
      </c>
      <c r="L446" t="inlineStr">
        <is>
          <t>0</t>
        </is>
      </c>
      <c r="M446" t="inlineStr">
        <is>
          <t>Cain, Thomas H. (Thomas Henry), 1931-</t>
        </is>
      </c>
      <c r="N446" t="inlineStr">
        <is>
          <t>Lincoln : University of Nebraska Press, c1978.</t>
        </is>
      </c>
      <c r="O446" t="inlineStr">
        <is>
          <t>1978</t>
        </is>
      </c>
      <c r="Q446" t="inlineStr">
        <is>
          <t>eng</t>
        </is>
      </c>
      <c r="R446" t="inlineStr">
        <is>
          <t>nbu</t>
        </is>
      </c>
      <c r="T446" t="inlineStr">
        <is>
          <t xml:space="preserve">PR </t>
        </is>
      </c>
      <c r="U446" t="n">
        <v>1</v>
      </c>
      <c r="V446" t="n">
        <v>1</v>
      </c>
      <c r="W446" t="inlineStr">
        <is>
          <t>2008-02-22</t>
        </is>
      </c>
      <c r="X446" t="inlineStr">
        <is>
          <t>2008-02-22</t>
        </is>
      </c>
      <c r="Y446" t="inlineStr">
        <is>
          <t>1991-10-08</t>
        </is>
      </c>
      <c r="Z446" t="inlineStr">
        <is>
          <t>1991-10-08</t>
        </is>
      </c>
      <c r="AA446" t="n">
        <v>572</v>
      </c>
      <c r="AB446" t="n">
        <v>464</v>
      </c>
      <c r="AC446" t="n">
        <v>467</v>
      </c>
      <c r="AD446" t="n">
        <v>4</v>
      </c>
      <c r="AE446" t="n">
        <v>4</v>
      </c>
      <c r="AF446" t="n">
        <v>26</v>
      </c>
      <c r="AG446" t="n">
        <v>26</v>
      </c>
      <c r="AH446" t="n">
        <v>9</v>
      </c>
      <c r="AI446" t="n">
        <v>9</v>
      </c>
      <c r="AJ446" t="n">
        <v>7</v>
      </c>
      <c r="AK446" t="n">
        <v>7</v>
      </c>
      <c r="AL446" t="n">
        <v>16</v>
      </c>
      <c r="AM446" t="n">
        <v>16</v>
      </c>
      <c r="AN446" t="n">
        <v>2</v>
      </c>
      <c r="AO446" t="n">
        <v>2</v>
      </c>
      <c r="AP446" t="n">
        <v>0</v>
      </c>
      <c r="AQ446" t="n">
        <v>0</v>
      </c>
      <c r="AR446" t="inlineStr">
        <is>
          <t>No</t>
        </is>
      </c>
      <c r="AS446" t="inlineStr">
        <is>
          <t>Yes</t>
        </is>
      </c>
      <c r="AT446">
        <f>HYPERLINK("http://catalog.hathitrust.org/Record/000137186","HathiTrust Record")</f>
        <v/>
      </c>
      <c r="AU446">
        <f>HYPERLINK("https://creighton-primo.hosted.exlibrisgroup.com/primo-explore/search?tab=default_tab&amp;search_scope=EVERYTHING&amp;vid=01CRU&amp;lang=en_US&amp;offset=0&amp;query=any,contains,991004540209702656","Catalog Record")</f>
        <v/>
      </c>
      <c r="AV446">
        <f>HYPERLINK("http://www.worldcat.org/oclc/3892783","WorldCat Record")</f>
        <v/>
      </c>
      <c r="AW446" t="inlineStr">
        <is>
          <t>347327117:eng</t>
        </is>
      </c>
      <c r="AX446" t="inlineStr">
        <is>
          <t>3892783</t>
        </is>
      </c>
      <c r="AY446" t="inlineStr">
        <is>
          <t>991004540209702656</t>
        </is>
      </c>
      <c r="AZ446" t="inlineStr">
        <is>
          <t>991004540209702656</t>
        </is>
      </c>
      <c r="BA446" t="inlineStr">
        <is>
          <t>2272234520002656</t>
        </is>
      </c>
      <c r="BB446" t="inlineStr">
        <is>
          <t>BOOK</t>
        </is>
      </c>
      <c r="BD446" t="inlineStr">
        <is>
          <t>9780803214057</t>
        </is>
      </c>
      <c r="BE446" t="inlineStr">
        <is>
          <t>32285000772839</t>
        </is>
      </c>
      <c r="BF446" t="inlineStr">
        <is>
          <t>893513358</t>
        </is>
      </c>
    </row>
    <row r="447">
      <c r="A447" t="inlineStr">
        <is>
          <t>No</t>
        </is>
      </c>
      <c r="B447" t="inlineStr">
        <is>
          <t>CURAL</t>
        </is>
      </c>
      <c r="C447" t="inlineStr">
        <is>
          <t>SHELVES</t>
        </is>
      </c>
      <c r="D447" t="inlineStr">
        <is>
          <t>PR2358 .F55 2000</t>
        </is>
      </c>
      <c r="E447" t="inlineStr">
        <is>
          <t>0                      PR 2358000F  55          2000</t>
        </is>
      </c>
      <c r="F447" t="inlineStr">
        <is>
          <t>Irish demons : English writings on Ireland, the Irish, and gender by Spenser and his contemporaries / Joan Fitzpatrick.</t>
        </is>
      </c>
      <c r="H447" t="inlineStr">
        <is>
          <t>No</t>
        </is>
      </c>
      <c r="I447" t="inlineStr">
        <is>
          <t>1</t>
        </is>
      </c>
      <c r="J447" t="inlineStr">
        <is>
          <t>No</t>
        </is>
      </c>
      <c r="K447" t="inlineStr">
        <is>
          <t>No</t>
        </is>
      </c>
      <c r="L447" t="inlineStr">
        <is>
          <t>0</t>
        </is>
      </c>
      <c r="M447" t="inlineStr">
        <is>
          <t>Fitzpatrick, Joan.</t>
        </is>
      </c>
      <c r="N447" t="inlineStr">
        <is>
          <t>Lanham, Md. : University Press of America, c2000.</t>
        </is>
      </c>
      <c r="O447" t="inlineStr">
        <is>
          <t>2000</t>
        </is>
      </c>
      <c r="Q447" t="inlineStr">
        <is>
          <t>eng</t>
        </is>
      </c>
      <c r="R447" t="inlineStr">
        <is>
          <t>mdu</t>
        </is>
      </c>
      <c r="T447" t="inlineStr">
        <is>
          <t xml:space="preserve">PR </t>
        </is>
      </c>
      <c r="U447" t="n">
        <v>2</v>
      </c>
      <c r="V447" t="n">
        <v>2</v>
      </c>
      <c r="W447" t="inlineStr">
        <is>
          <t>2005-12-21</t>
        </is>
      </c>
      <c r="X447" t="inlineStr">
        <is>
          <t>2005-12-21</t>
        </is>
      </c>
      <c r="Y447" t="inlineStr">
        <is>
          <t>2005-12-21</t>
        </is>
      </c>
      <c r="Z447" t="inlineStr">
        <is>
          <t>2005-12-21</t>
        </is>
      </c>
      <c r="AA447" t="n">
        <v>193</v>
      </c>
      <c r="AB447" t="n">
        <v>158</v>
      </c>
      <c r="AC447" t="n">
        <v>160</v>
      </c>
      <c r="AD447" t="n">
        <v>3</v>
      </c>
      <c r="AE447" t="n">
        <v>3</v>
      </c>
      <c r="AF447" t="n">
        <v>10</v>
      </c>
      <c r="AG447" t="n">
        <v>10</v>
      </c>
      <c r="AH447" t="n">
        <v>2</v>
      </c>
      <c r="AI447" t="n">
        <v>2</v>
      </c>
      <c r="AJ447" t="n">
        <v>2</v>
      </c>
      <c r="AK447" t="n">
        <v>2</v>
      </c>
      <c r="AL447" t="n">
        <v>6</v>
      </c>
      <c r="AM447" t="n">
        <v>6</v>
      </c>
      <c r="AN447" t="n">
        <v>2</v>
      </c>
      <c r="AO447" t="n">
        <v>2</v>
      </c>
      <c r="AP447" t="n">
        <v>0</v>
      </c>
      <c r="AQ447" t="n">
        <v>0</v>
      </c>
      <c r="AR447" t="inlineStr">
        <is>
          <t>No</t>
        </is>
      </c>
      <c r="AS447" t="inlineStr">
        <is>
          <t>Yes</t>
        </is>
      </c>
      <c r="AT447">
        <f>HYPERLINK("http://catalog.hathitrust.org/Record/004137726","HathiTrust Record")</f>
        <v/>
      </c>
      <c r="AU447">
        <f>HYPERLINK("https://creighton-primo.hosted.exlibrisgroup.com/primo-explore/search?tab=default_tab&amp;search_scope=EVERYTHING&amp;vid=01CRU&amp;lang=en_US&amp;offset=0&amp;query=any,contains,991004702979702656","Catalog Record")</f>
        <v/>
      </c>
      <c r="AV447">
        <f>HYPERLINK("http://www.worldcat.org/oclc/44039765","WorldCat Record")</f>
        <v/>
      </c>
      <c r="AW447" t="inlineStr">
        <is>
          <t>457611193:eng</t>
        </is>
      </c>
      <c r="AX447" t="inlineStr">
        <is>
          <t>44039765</t>
        </is>
      </c>
      <c r="AY447" t="inlineStr">
        <is>
          <t>991004702979702656</t>
        </is>
      </c>
      <c r="AZ447" t="inlineStr">
        <is>
          <t>991004702979702656</t>
        </is>
      </c>
      <c r="BA447" t="inlineStr">
        <is>
          <t>2265527260002656</t>
        </is>
      </c>
      <c r="BB447" t="inlineStr">
        <is>
          <t>BOOK</t>
        </is>
      </c>
      <c r="BD447" t="inlineStr">
        <is>
          <t>9780761817352</t>
        </is>
      </c>
      <c r="BE447" t="inlineStr">
        <is>
          <t>32285005152979</t>
        </is>
      </c>
      <c r="BF447" t="inlineStr">
        <is>
          <t>893325672</t>
        </is>
      </c>
    </row>
    <row r="448">
      <c r="A448" t="inlineStr">
        <is>
          <t>No</t>
        </is>
      </c>
      <c r="B448" t="inlineStr">
        <is>
          <t>CURAL</t>
        </is>
      </c>
      <c r="C448" t="inlineStr">
        <is>
          <t>SHELVES</t>
        </is>
      </c>
      <c r="D448" t="inlineStr">
        <is>
          <t>PR2358 .F7</t>
        </is>
      </c>
      <c r="E448" t="inlineStr">
        <is>
          <t>0                      PR 2358000F  7</t>
        </is>
      </c>
      <c r="F448" t="inlineStr">
        <is>
          <t>The Faerie queene : a companion for readers.</t>
        </is>
      </c>
      <c r="H448" t="inlineStr">
        <is>
          <t>No</t>
        </is>
      </c>
      <c r="I448" t="inlineStr">
        <is>
          <t>1</t>
        </is>
      </c>
      <c r="J448" t="inlineStr">
        <is>
          <t>No</t>
        </is>
      </c>
      <c r="K448" t="inlineStr">
        <is>
          <t>No</t>
        </is>
      </c>
      <c r="L448" t="inlineStr">
        <is>
          <t>0</t>
        </is>
      </c>
      <c r="M448" t="inlineStr">
        <is>
          <t>Freeman, Rosemary.</t>
        </is>
      </c>
      <c r="N448" t="inlineStr">
        <is>
          <t>Berkeley : University of California Press, 1970.</t>
        </is>
      </c>
      <c r="O448" t="inlineStr">
        <is>
          <t>1970</t>
        </is>
      </c>
      <c r="Q448" t="inlineStr">
        <is>
          <t>eng</t>
        </is>
      </c>
      <c r="R448" t="inlineStr">
        <is>
          <t>cau</t>
        </is>
      </c>
      <c r="T448" t="inlineStr">
        <is>
          <t xml:space="preserve">PR </t>
        </is>
      </c>
      <c r="U448" t="n">
        <v>6</v>
      </c>
      <c r="V448" t="n">
        <v>6</v>
      </c>
      <c r="W448" t="inlineStr">
        <is>
          <t>2009-12-04</t>
        </is>
      </c>
      <c r="X448" t="inlineStr">
        <is>
          <t>2009-12-04</t>
        </is>
      </c>
      <c r="Y448" t="inlineStr">
        <is>
          <t>1991-10-17</t>
        </is>
      </c>
      <c r="Z448" t="inlineStr">
        <is>
          <t>1991-10-17</t>
        </is>
      </c>
      <c r="AA448" t="n">
        <v>710</v>
      </c>
      <c r="AB448" t="n">
        <v>656</v>
      </c>
      <c r="AC448" t="n">
        <v>751</v>
      </c>
      <c r="AD448" t="n">
        <v>4</v>
      </c>
      <c r="AE448" t="n">
        <v>5</v>
      </c>
      <c r="AF448" t="n">
        <v>30</v>
      </c>
      <c r="AG448" t="n">
        <v>36</v>
      </c>
      <c r="AH448" t="n">
        <v>13</v>
      </c>
      <c r="AI448" t="n">
        <v>16</v>
      </c>
      <c r="AJ448" t="n">
        <v>6</v>
      </c>
      <c r="AK448" t="n">
        <v>8</v>
      </c>
      <c r="AL448" t="n">
        <v>16</v>
      </c>
      <c r="AM448" t="n">
        <v>20</v>
      </c>
      <c r="AN448" t="n">
        <v>3</v>
      </c>
      <c r="AO448" t="n">
        <v>4</v>
      </c>
      <c r="AP448" t="n">
        <v>0</v>
      </c>
      <c r="AQ448" t="n">
        <v>0</v>
      </c>
      <c r="AR448" t="inlineStr">
        <is>
          <t>No</t>
        </is>
      </c>
      <c r="AS448" t="inlineStr">
        <is>
          <t>No</t>
        </is>
      </c>
      <c r="AU448">
        <f>HYPERLINK("https://creighton-primo.hosted.exlibrisgroup.com/primo-explore/search?tab=default_tab&amp;search_scope=EVERYTHING&amp;vid=01CRU&amp;lang=en_US&amp;offset=0&amp;query=any,contains,991000625199702656","Catalog Record")</f>
        <v/>
      </c>
      <c r="AV448">
        <f>HYPERLINK("http://www.worldcat.org/oclc/103979","WorldCat Record")</f>
        <v/>
      </c>
      <c r="AW448" t="inlineStr">
        <is>
          <t>1269967:eng</t>
        </is>
      </c>
      <c r="AX448" t="inlineStr">
        <is>
          <t>103979</t>
        </is>
      </c>
      <c r="AY448" t="inlineStr">
        <is>
          <t>991000625199702656</t>
        </is>
      </c>
      <c r="AZ448" t="inlineStr">
        <is>
          <t>991000625199702656</t>
        </is>
      </c>
      <c r="BA448" t="inlineStr">
        <is>
          <t>2260274110002656</t>
        </is>
      </c>
      <c r="BB448" t="inlineStr">
        <is>
          <t>BOOK</t>
        </is>
      </c>
      <c r="BD448" t="inlineStr">
        <is>
          <t>9780520017320</t>
        </is>
      </c>
      <c r="BE448" t="inlineStr">
        <is>
          <t>32285000772854</t>
        </is>
      </c>
      <c r="BF448" t="inlineStr">
        <is>
          <t>893702282</t>
        </is>
      </c>
    </row>
    <row r="449">
      <c r="A449" t="inlineStr">
        <is>
          <t>No</t>
        </is>
      </c>
      <c r="B449" t="inlineStr">
        <is>
          <t>CURAL</t>
        </is>
      </c>
      <c r="C449" t="inlineStr">
        <is>
          <t>SHELVES</t>
        </is>
      </c>
      <c r="D449" t="inlineStr">
        <is>
          <t>PR2358 .H277</t>
        </is>
      </c>
      <c r="E449" t="inlineStr">
        <is>
          <t>0                      PR 2358000H  277</t>
        </is>
      </c>
      <c r="F449" t="inlineStr">
        <is>
          <t>Essential articles for the study of Edmund Spenser / edited by A. C. Hamilton.</t>
        </is>
      </c>
      <c r="H449" t="inlineStr">
        <is>
          <t>No</t>
        </is>
      </c>
      <c r="I449" t="inlineStr">
        <is>
          <t>1</t>
        </is>
      </c>
      <c r="J449" t="inlineStr">
        <is>
          <t>No</t>
        </is>
      </c>
      <c r="K449" t="inlineStr">
        <is>
          <t>No</t>
        </is>
      </c>
      <c r="L449" t="inlineStr">
        <is>
          <t>0</t>
        </is>
      </c>
      <c r="M449" t="inlineStr">
        <is>
          <t>Hamilton, A. C. (Albert Charles), 1921-2016 compiler.</t>
        </is>
      </c>
      <c r="N449" t="inlineStr">
        <is>
          <t>Hamden, Conn. : Archon Books, 1972.</t>
        </is>
      </c>
      <c r="O449" t="inlineStr">
        <is>
          <t>1972</t>
        </is>
      </c>
      <c r="Q449" t="inlineStr">
        <is>
          <t>eng</t>
        </is>
      </c>
      <c r="R449" t="inlineStr">
        <is>
          <t>ctu</t>
        </is>
      </c>
      <c r="S449" t="inlineStr">
        <is>
          <t>The Essential articles series</t>
        </is>
      </c>
      <c r="T449" t="inlineStr">
        <is>
          <t xml:space="preserve">PR </t>
        </is>
      </c>
      <c r="U449" t="n">
        <v>3</v>
      </c>
      <c r="V449" t="n">
        <v>3</v>
      </c>
      <c r="W449" t="inlineStr">
        <is>
          <t>2005-04-17</t>
        </is>
      </c>
      <c r="X449" t="inlineStr">
        <is>
          <t>2005-04-17</t>
        </is>
      </c>
      <c r="Y449" t="inlineStr">
        <is>
          <t>1990-05-10</t>
        </is>
      </c>
      <c r="Z449" t="inlineStr">
        <is>
          <t>1990-05-10</t>
        </is>
      </c>
      <c r="AA449" t="n">
        <v>744</v>
      </c>
      <c r="AB449" t="n">
        <v>620</v>
      </c>
      <c r="AC449" t="n">
        <v>633</v>
      </c>
      <c r="AD449" t="n">
        <v>5</v>
      </c>
      <c r="AE449" t="n">
        <v>5</v>
      </c>
      <c r="AF449" t="n">
        <v>33</v>
      </c>
      <c r="AG449" t="n">
        <v>34</v>
      </c>
      <c r="AH449" t="n">
        <v>11</v>
      </c>
      <c r="AI449" t="n">
        <v>12</v>
      </c>
      <c r="AJ449" t="n">
        <v>9</v>
      </c>
      <c r="AK449" t="n">
        <v>9</v>
      </c>
      <c r="AL449" t="n">
        <v>16</v>
      </c>
      <c r="AM449" t="n">
        <v>16</v>
      </c>
      <c r="AN449" t="n">
        <v>4</v>
      </c>
      <c r="AO449" t="n">
        <v>4</v>
      </c>
      <c r="AP449" t="n">
        <v>0</v>
      </c>
      <c r="AQ449" t="n">
        <v>0</v>
      </c>
      <c r="AR449" t="inlineStr">
        <is>
          <t>No</t>
        </is>
      </c>
      <c r="AS449" t="inlineStr">
        <is>
          <t>Yes</t>
        </is>
      </c>
      <c r="AT449">
        <f>HYPERLINK("http://catalog.hathitrust.org/Record/000005480","HathiTrust Record")</f>
        <v/>
      </c>
      <c r="AU449">
        <f>HYPERLINK("https://creighton-primo.hosted.exlibrisgroup.com/primo-explore/search?tab=default_tab&amp;search_scope=EVERYTHING&amp;vid=01CRU&amp;lang=en_US&amp;offset=0&amp;query=any,contains,991002656789702656","Catalog Record")</f>
        <v/>
      </c>
      <c r="AV449">
        <f>HYPERLINK("http://www.worldcat.org/oclc/389709","WorldCat Record")</f>
        <v/>
      </c>
      <c r="AW449" t="inlineStr">
        <is>
          <t>1521964:eng</t>
        </is>
      </c>
      <c r="AX449" t="inlineStr">
        <is>
          <t>389709</t>
        </is>
      </c>
      <c r="AY449" t="inlineStr">
        <is>
          <t>991002656789702656</t>
        </is>
      </c>
      <c r="AZ449" t="inlineStr">
        <is>
          <t>991002656789702656</t>
        </is>
      </c>
      <c r="BA449" t="inlineStr">
        <is>
          <t>2256594980002656</t>
        </is>
      </c>
      <c r="BB449" t="inlineStr">
        <is>
          <t>BOOK</t>
        </is>
      </c>
      <c r="BD449" t="inlineStr">
        <is>
          <t>9780208012111</t>
        </is>
      </c>
      <c r="BE449" t="inlineStr">
        <is>
          <t>32285000139138</t>
        </is>
      </c>
      <c r="BF449" t="inlineStr">
        <is>
          <t>893535117</t>
        </is>
      </c>
    </row>
    <row r="450">
      <c r="A450" t="inlineStr">
        <is>
          <t>No</t>
        </is>
      </c>
      <c r="B450" t="inlineStr">
        <is>
          <t>CURAL</t>
        </is>
      </c>
      <c r="C450" t="inlineStr">
        <is>
          <t>SHELVES</t>
        </is>
      </c>
      <c r="D450" t="inlineStr">
        <is>
          <t>PR2358 .H28</t>
        </is>
      </c>
      <c r="E450" t="inlineStr">
        <is>
          <t>0                      PR 2358000H  28</t>
        </is>
      </c>
      <c r="F450" t="inlineStr">
        <is>
          <t>The structure of allegory in the Faerie queene.</t>
        </is>
      </c>
      <c r="H450" t="inlineStr">
        <is>
          <t>No</t>
        </is>
      </c>
      <c r="I450" t="inlineStr">
        <is>
          <t>1</t>
        </is>
      </c>
      <c r="J450" t="inlineStr">
        <is>
          <t>No</t>
        </is>
      </c>
      <c r="K450" t="inlineStr">
        <is>
          <t>No</t>
        </is>
      </c>
      <c r="L450" t="inlineStr">
        <is>
          <t>0</t>
        </is>
      </c>
      <c r="M450" t="inlineStr">
        <is>
          <t>Hamilton, A. C. (Albert Charles), 1921-2016.</t>
        </is>
      </c>
      <c r="N450" t="inlineStr">
        <is>
          <t>Oxford, Clarendon Press, 1961.</t>
        </is>
      </c>
      <c r="O450" t="inlineStr">
        <is>
          <t>1961</t>
        </is>
      </c>
      <c r="Q450" t="inlineStr">
        <is>
          <t>eng</t>
        </is>
      </c>
      <c r="R450" t="inlineStr">
        <is>
          <t>enk</t>
        </is>
      </c>
      <c r="T450" t="inlineStr">
        <is>
          <t xml:space="preserve">PR </t>
        </is>
      </c>
      <c r="U450" t="n">
        <v>1</v>
      </c>
      <c r="V450" t="n">
        <v>1</v>
      </c>
      <c r="W450" t="inlineStr">
        <is>
          <t>2005-04-17</t>
        </is>
      </c>
      <c r="X450" t="inlineStr">
        <is>
          <t>2005-04-17</t>
        </is>
      </c>
      <c r="Y450" t="inlineStr">
        <is>
          <t>1997-07-30</t>
        </is>
      </c>
      <c r="Z450" t="inlineStr">
        <is>
          <t>1997-07-30</t>
        </is>
      </c>
      <c r="AA450" t="n">
        <v>918</v>
      </c>
      <c r="AB450" t="n">
        <v>744</v>
      </c>
      <c r="AC450" t="n">
        <v>783</v>
      </c>
      <c r="AD450" t="n">
        <v>8</v>
      </c>
      <c r="AE450" t="n">
        <v>8</v>
      </c>
      <c r="AF450" t="n">
        <v>41</v>
      </c>
      <c r="AG450" t="n">
        <v>44</v>
      </c>
      <c r="AH450" t="n">
        <v>14</v>
      </c>
      <c r="AI450" t="n">
        <v>17</v>
      </c>
      <c r="AJ450" t="n">
        <v>9</v>
      </c>
      <c r="AK450" t="n">
        <v>9</v>
      </c>
      <c r="AL450" t="n">
        <v>20</v>
      </c>
      <c r="AM450" t="n">
        <v>21</v>
      </c>
      <c r="AN450" t="n">
        <v>7</v>
      </c>
      <c r="AO450" t="n">
        <v>7</v>
      </c>
      <c r="AP450" t="n">
        <v>0</v>
      </c>
      <c r="AQ450" t="n">
        <v>0</v>
      </c>
      <c r="AR450" t="inlineStr">
        <is>
          <t>No</t>
        </is>
      </c>
      <c r="AS450" t="inlineStr">
        <is>
          <t>Yes</t>
        </is>
      </c>
      <c r="AT450">
        <f>HYPERLINK("http://catalog.hathitrust.org/Record/001004337","HathiTrust Record")</f>
        <v/>
      </c>
      <c r="AU450">
        <f>HYPERLINK("https://creighton-primo.hosted.exlibrisgroup.com/primo-explore/search?tab=default_tab&amp;search_scope=EVERYTHING&amp;vid=01CRU&amp;lang=en_US&amp;offset=0&amp;query=any,contains,991002156199702656","Catalog Record")</f>
        <v/>
      </c>
      <c r="AV450">
        <f>HYPERLINK("http://www.worldcat.org/oclc/272881","WorldCat Record")</f>
        <v/>
      </c>
      <c r="AW450" t="inlineStr">
        <is>
          <t>1403969:eng</t>
        </is>
      </c>
      <c r="AX450" t="inlineStr">
        <is>
          <t>272881</t>
        </is>
      </c>
      <c r="AY450" t="inlineStr">
        <is>
          <t>991002156199702656</t>
        </is>
      </c>
      <c r="AZ450" t="inlineStr">
        <is>
          <t>991002156199702656</t>
        </is>
      </c>
      <c r="BA450" t="inlineStr">
        <is>
          <t>2262406390002656</t>
        </is>
      </c>
      <c r="BB450" t="inlineStr">
        <is>
          <t>BOOK</t>
        </is>
      </c>
      <c r="BE450" t="inlineStr">
        <is>
          <t>32285002990942</t>
        </is>
      </c>
      <c r="BF450" t="inlineStr">
        <is>
          <t>893504067</t>
        </is>
      </c>
    </row>
    <row r="451">
      <c r="A451" t="inlineStr">
        <is>
          <t>No</t>
        </is>
      </c>
      <c r="B451" t="inlineStr">
        <is>
          <t>CURAL</t>
        </is>
      </c>
      <c r="C451" t="inlineStr">
        <is>
          <t>SHELVES</t>
        </is>
      </c>
      <c r="D451" t="inlineStr">
        <is>
          <t>PR2358 .H29</t>
        </is>
      </c>
      <c r="E451" t="inlineStr">
        <is>
          <t>0                      PR 2358000H  29</t>
        </is>
      </c>
      <c r="F451" t="inlineStr">
        <is>
          <t>Source and meaning in Spenser's allegory : a study of The faerie queene.</t>
        </is>
      </c>
      <c r="H451" t="inlineStr">
        <is>
          <t>No</t>
        </is>
      </c>
      <c r="I451" t="inlineStr">
        <is>
          <t>1</t>
        </is>
      </c>
      <c r="J451" t="inlineStr">
        <is>
          <t>No</t>
        </is>
      </c>
      <c r="K451" t="inlineStr">
        <is>
          <t>No</t>
        </is>
      </c>
      <c r="L451" t="inlineStr">
        <is>
          <t>0</t>
        </is>
      </c>
      <c r="M451" t="inlineStr">
        <is>
          <t>Hankins, John Erskine, 1905-1996.</t>
        </is>
      </c>
      <c r="N451" t="inlineStr">
        <is>
          <t>Oxford : Clarendon Press, 1971.</t>
        </is>
      </c>
      <c r="O451" t="inlineStr">
        <is>
          <t>1971</t>
        </is>
      </c>
      <c r="Q451" t="inlineStr">
        <is>
          <t>eng</t>
        </is>
      </c>
      <c r="R451" t="inlineStr">
        <is>
          <t>enk</t>
        </is>
      </c>
      <c r="T451" t="inlineStr">
        <is>
          <t xml:space="preserve">PR </t>
        </is>
      </c>
      <c r="U451" t="n">
        <v>6</v>
      </c>
      <c r="V451" t="n">
        <v>6</v>
      </c>
      <c r="W451" t="inlineStr">
        <is>
          <t>2005-04-17</t>
        </is>
      </c>
      <c r="X451" t="inlineStr">
        <is>
          <t>2005-04-17</t>
        </is>
      </c>
      <c r="Y451" t="inlineStr">
        <is>
          <t>1991-10-17</t>
        </is>
      </c>
      <c r="Z451" t="inlineStr">
        <is>
          <t>1991-10-17</t>
        </is>
      </c>
      <c r="AA451" t="n">
        <v>818</v>
      </c>
      <c r="AB451" t="n">
        <v>643</v>
      </c>
      <c r="AC451" t="n">
        <v>657</v>
      </c>
      <c r="AD451" t="n">
        <v>8</v>
      </c>
      <c r="AE451" t="n">
        <v>8</v>
      </c>
      <c r="AF451" t="n">
        <v>34</v>
      </c>
      <c r="AG451" t="n">
        <v>34</v>
      </c>
      <c r="AH451" t="n">
        <v>14</v>
      </c>
      <c r="AI451" t="n">
        <v>14</v>
      </c>
      <c r="AJ451" t="n">
        <v>4</v>
      </c>
      <c r="AK451" t="n">
        <v>4</v>
      </c>
      <c r="AL451" t="n">
        <v>18</v>
      </c>
      <c r="AM451" t="n">
        <v>18</v>
      </c>
      <c r="AN451" t="n">
        <v>7</v>
      </c>
      <c r="AO451" t="n">
        <v>7</v>
      </c>
      <c r="AP451" t="n">
        <v>0</v>
      </c>
      <c r="AQ451" t="n">
        <v>0</v>
      </c>
      <c r="AR451" t="inlineStr">
        <is>
          <t>No</t>
        </is>
      </c>
      <c r="AS451" t="inlineStr">
        <is>
          <t>Yes</t>
        </is>
      </c>
      <c r="AT451">
        <f>HYPERLINK("http://catalog.hathitrust.org/Record/001186125","HathiTrust Record")</f>
        <v/>
      </c>
      <c r="AU451">
        <f>HYPERLINK("https://creighton-primo.hosted.exlibrisgroup.com/primo-explore/search?tab=default_tab&amp;search_scope=EVERYTHING&amp;vid=01CRU&amp;lang=en_US&amp;offset=0&amp;query=any,contains,991002684729702656","Catalog Record")</f>
        <v/>
      </c>
      <c r="AV451">
        <f>HYPERLINK("http://www.worldcat.org/oclc/399543","WorldCat Record")</f>
        <v/>
      </c>
      <c r="AW451" t="inlineStr">
        <is>
          <t>1550116:eng</t>
        </is>
      </c>
      <c r="AX451" t="inlineStr">
        <is>
          <t>399543</t>
        </is>
      </c>
      <c r="AY451" t="inlineStr">
        <is>
          <t>991002684729702656</t>
        </is>
      </c>
      <c r="AZ451" t="inlineStr">
        <is>
          <t>991002684729702656</t>
        </is>
      </c>
      <c r="BA451" t="inlineStr">
        <is>
          <t>2257984420002656</t>
        </is>
      </c>
      <c r="BB451" t="inlineStr">
        <is>
          <t>BOOK</t>
        </is>
      </c>
      <c r="BD451" t="inlineStr">
        <is>
          <t>9780198120131</t>
        </is>
      </c>
      <c r="BE451" t="inlineStr">
        <is>
          <t>32285000772870</t>
        </is>
      </c>
      <c r="BF451" t="inlineStr">
        <is>
          <t>893427883</t>
        </is>
      </c>
    </row>
    <row r="452">
      <c r="A452" t="inlineStr">
        <is>
          <t>No</t>
        </is>
      </c>
      <c r="B452" t="inlineStr">
        <is>
          <t>CURAL</t>
        </is>
      </c>
      <c r="C452" t="inlineStr">
        <is>
          <t>SHELVES</t>
        </is>
      </c>
      <c r="D452" t="inlineStr">
        <is>
          <t>PR2358 .O25</t>
        </is>
      </c>
      <c r="E452" t="inlineStr">
        <is>
          <t>0                      PR 2358000O  25</t>
        </is>
      </c>
      <c r="F452" t="inlineStr">
        <is>
          <t>Mirror and veil : the historical dimension of Spenser's Faerie queene / by Michael O'Connell. --</t>
        </is>
      </c>
      <c r="H452" t="inlineStr">
        <is>
          <t>No</t>
        </is>
      </c>
      <c r="I452" t="inlineStr">
        <is>
          <t>1</t>
        </is>
      </c>
      <c r="J452" t="inlineStr">
        <is>
          <t>No</t>
        </is>
      </c>
      <c r="K452" t="inlineStr">
        <is>
          <t>No</t>
        </is>
      </c>
      <c r="L452" t="inlineStr">
        <is>
          <t>0</t>
        </is>
      </c>
      <c r="M452" t="inlineStr">
        <is>
          <t>O'Connell, Michael, 1943-</t>
        </is>
      </c>
      <c r="N452" t="inlineStr">
        <is>
          <t>Chapel Hill : University of North Carolina Press, c1977.</t>
        </is>
      </c>
      <c r="O452" t="inlineStr">
        <is>
          <t>1977</t>
        </is>
      </c>
      <c r="Q452" t="inlineStr">
        <is>
          <t>eng</t>
        </is>
      </c>
      <c r="R452" t="inlineStr">
        <is>
          <t>ncu</t>
        </is>
      </c>
      <c r="T452" t="inlineStr">
        <is>
          <t xml:space="preserve">PR </t>
        </is>
      </c>
      <c r="U452" t="n">
        <v>3</v>
      </c>
      <c r="V452" t="n">
        <v>3</v>
      </c>
      <c r="W452" t="inlineStr">
        <is>
          <t>1993-12-08</t>
        </is>
      </c>
      <c r="X452" t="inlineStr">
        <is>
          <t>1993-12-08</t>
        </is>
      </c>
      <c r="Y452" t="inlineStr">
        <is>
          <t>1991-10-08</t>
        </is>
      </c>
      <c r="Z452" t="inlineStr">
        <is>
          <t>1991-10-08</t>
        </is>
      </c>
      <c r="AA452" t="n">
        <v>733</v>
      </c>
      <c r="AB452" t="n">
        <v>609</v>
      </c>
      <c r="AC452" t="n">
        <v>615</v>
      </c>
      <c r="AD452" t="n">
        <v>7</v>
      </c>
      <c r="AE452" t="n">
        <v>7</v>
      </c>
      <c r="AF452" t="n">
        <v>36</v>
      </c>
      <c r="AG452" t="n">
        <v>36</v>
      </c>
      <c r="AH452" t="n">
        <v>13</v>
      </c>
      <c r="AI452" t="n">
        <v>13</v>
      </c>
      <c r="AJ452" t="n">
        <v>8</v>
      </c>
      <c r="AK452" t="n">
        <v>8</v>
      </c>
      <c r="AL452" t="n">
        <v>19</v>
      </c>
      <c r="AM452" t="n">
        <v>19</v>
      </c>
      <c r="AN452" t="n">
        <v>6</v>
      </c>
      <c r="AO452" t="n">
        <v>6</v>
      </c>
      <c r="AP452" t="n">
        <v>0</v>
      </c>
      <c r="AQ452" t="n">
        <v>0</v>
      </c>
      <c r="AR452" t="inlineStr">
        <is>
          <t>No</t>
        </is>
      </c>
      <c r="AS452" t="inlineStr">
        <is>
          <t>Yes</t>
        </is>
      </c>
      <c r="AT452">
        <f>HYPERLINK("http://catalog.hathitrust.org/Record/004438959","HathiTrust Record")</f>
        <v/>
      </c>
      <c r="AU452">
        <f>HYPERLINK("https://creighton-primo.hosted.exlibrisgroup.com/primo-explore/search?tab=default_tab&amp;search_scope=EVERYTHING&amp;vid=01CRU&amp;lang=en_US&amp;offset=0&amp;query=any,contains,991004244989702656","Catalog Record")</f>
        <v/>
      </c>
      <c r="AV452">
        <f>HYPERLINK("http://www.worldcat.org/oclc/2798094","WorldCat Record")</f>
        <v/>
      </c>
      <c r="AW452" t="inlineStr">
        <is>
          <t>471395000:eng</t>
        </is>
      </c>
      <c r="AX452" t="inlineStr">
        <is>
          <t>2798094</t>
        </is>
      </c>
      <c r="AY452" t="inlineStr">
        <is>
          <t>991004244989702656</t>
        </is>
      </c>
      <c r="AZ452" t="inlineStr">
        <is>
          <t>991004244989702656</t>
        </is>
      </c>
      <c r="BA452" t="inlineStr">
        <is>
          <t>2272813710002656</t>
        </is>
      </c>
      <c r="BB452" t="inlineStr">
        <is>
          <t>BOOK</t>
        </is>
      </c>
      <c r="BD452" t="inlineStr">
        <is>
          <t>9780807813072</t>
        </is>
      </c>
      <c r="BE452" t="inlineStr">
        <is>
          <t>32285000772904</t>
        </is>
      </c>
      <c r="BF452" t="inlineStr">
        <is>
          <t>893888463</t>
        </is>
      </c>
    </row>
    <row r="453">
      <c r="A453" t="inlineStr">
        <is>
          <t>No</t>
        </is>
      </c>
      <c r="B453" t="inlineStr">
        <is>
          <t>CURAL</t>
        </is>
      </c>
      <c r="C453" t="inlineStr">
        <is>
          <t>SHELVES</t>
        </is>
      </c>
      <c r="D453" t="inlineStr">
        <is>
          <t>PR2358 .P35 1966</t>
        </is>
      </c>
      <c r="E453" t="inlineStr">
        <is>
          <t>0                      PR 2358000P  35          1966</t>
        </is>
      </c>
      <c r="F453" t="inlineStr">
        <is>
          <t>The allegory of the Faerie Queene.</t>
        </is>
      </c>
      <c r="H453" t="inlineStr">
        <is>
          <t>No</t>
        </is>
      </c>
      <c r="I453" t="inlineStr">
        <is>
          <t>1</t>
        </is>
      </c>
      <c r="J453" t="inlineStr">
        <is>
          <t>No</t>
        </is>
      </c>
      <c r="K453" t="inlineStr">
        <is>
          <t>No</t>
        </is>
      </c>
      <c r="L453" t="inlineStr">
        <is>
          <t>0</t>
        </is>
      </c>
      <c r="M453" t="inlineStr">
        <is>
          <t>Parker, Pauline.</t>
        </is>
      </c>
      <c r="N453" t="inlineStr">
        <is>
          <t>Oxford : Clarendon Press, 1966, c1960.</t>
        </is>
      </c>
      <c r="O453" t="inlineStr">
        <is>
          <t>1966</t>
        </is>
      </c>
      <c r="Q453" t="inlineStr">
        <is>
          <t>eng</t>
        </is>
      </c>
      <c r="R453" t="inlineStr">
        <is>
          <t>enk</t>
        </is>
      </c>
      <c r="T453" t="inlineStr">
        <is>
          <t xml:space="preserve">PR </t>
        </is>
      </c>
      <c r="U453" t="n">
        <v>3</v>
      </c>
      <c r="V453" t="n">
        <v>3</v>
      </c>
      <c r="W453" t="inlineStr">
        <is>
          <t>2005-04-17</t>
        </is>
      </c>
      <c r="X453" t="inlineStr">
        <is>
          <t>2005-04-17</t>
        </is>
      </c>
      <c r="Y453" t="inlineStr">
        <is>
          <t>1993-12-13</t>
        </is>
      </c>
      <c r="Z453" t="inlineStr">
        <is>
          <t>1993-12-13</t>
        </is>
      </c>
      <c r="AA453" t="n">
        <v>14</v>
      </c>
      <c r="AB453" t="n">
        <v>10</v>
      </c>
      <c r="AC453" t="n">
        <v>698</v>
      </c>
      <c r="AD453" t="n">
        <v>2</v>
      </c>
      <c r="AE453" t="n">
        <v>10</v>
      </c>
      <c r="AF453" t="n">
        <v>2</v>
      </c>
      <c r="AG453" t="n">
        <v>43</v>
      </c>
      <c r="AH453" t="n">
        <v>1</v>
      </c>
      <c r="AI453" t="n">
        <v>17</v>
      </c>
      <c r="AJ453" t="n">
        <v>0</v>
      </c>
      <c r="AK453" t="n">
        <v>8</v>
      </c>
      <c r="AL453" t="n">
        <v>0</v>
      </c>
      <c r="AM453" t="n">
        <v>21</v>
      </c>
      <c r="AN453" t="n">
        <v>1</v>
      </c>
      <c r="AO453" t="n">
        <v>8</v>
      </c>
      <c r="AP453" t="n">
        <v>0</v>
      </c>
      <c r="AQ453" t="n">
        <v>0</v>
      </c>
      <c r="AR453" t="inlineStr">
        <is>
          <t>No</t>
        </is>
      </c>
      <c r="AS453" t="inlineStr">
        <is>
          <t>No</t>
        </is>
      </c>
      <c r="AU453">
        <f>HYPERLINK("https://creighton-primo.hosted.exlibrisgroup.com/primo-explore/search?tab=default_tab&amp;search_scope=EVERYTHING&amp;vid=01CRU&amp;lang=en_US&amp;offset=0&amp;query=any,contains,991001328859702656","Catalog Record")</f>
        <v/>
      </c>
      <c r="AV453">
        <f>HYPERLINK("http://www.worldcat.org/oclc/18293852","WorldCat Record")</f>
        <v/>
      </c>
      <c r="AW453" t="inlineStr">
        <is>
          <t>1397471:eng</t>
        </is>
      </c>
      <c r="AX453" t="inlineStr">
        <is>
          <t>18293852</t>
        </is>
      </c>
      <c r="AY453" t="inlineStr">
        <is>
          <t>991001328859702656</t>
        </is>
      </c>
      <c r="AZ453" t="inlineStr">
        <is>
          <t>991001328859702656</t>
        </is>
      </c>
      <c r="BA453" t="inlineStr">
        <is>
          <t>2264269050002656</t>
        </is>
      </c>
      <c r="BB453" t="inlineStr">
        <is>
          <t>BOOK</t>
        </is>
      </c>
      <c r="BE453" t="inlineStr">
        <is>
          <t>32285001807865</t>
        </is>
      </c>
      <c r="BF453" t="inlineStr">
        <is>
          <t>893785033</t>
        </is>
      </c>
    </row>
    <row r="454">
      <c r="A454" t="inlineStr">
        <is>
          <t>No</t>
        </is>
      </c>
      <c r="B454" t="inlineStr">
        <is>
          <t>CURAL</t>
        </is>
      </c>
      <c r="C454" t="inlineStr">
        <is>
          <t>SHELVES</t>
        </is>
      </c>
      <c r="D454" t="inlineStr">
        <is>
          <t>PR2358 .R66</t>
        </is>
      </c>
      <c r="E454" t="inlineStr">
        <is>
          <t>0                      PR 2358000R  66</t>
        </is>
      </c>
      <c r="F454" t="inlineStr">
        <is>
          <t>Spenser's art : a companion to book one of The faerie queene / Mark Rose.</t>
        </is>
      </c>
      <c r="H454" t="inlineStr">
        <is>
          <t>No</t>
        </is>
      </c>
      <c r="I454" t="inlineStr">
        <is>
          <t>1</t>
        </is>
      </c>
      <c r="J454" t="inlineStr">
        <is>
          <t>No</t>
        </is>
      </c>
      <c r="K454" t="inlineStr">
        <is>
          <t>No</t>
        </is>
      </c>
      <c r="L454" t="inlineStr">
        <is>
          <t>0</t>
        </is>
      </c>
      <c r="M454" t="inlineStr">
        <is>
          <t>Rose, Mark, 1939-</t>
        </is>
      </c>
      <c r="N454" t="inlineStr">
        <is>
          <t>Cambridge, Mass. : Harvard University Press, 1975.</t>
        </is>
      </c>
      <c r="O454" t="inlineStr">
        <is>
          <t>1975</t>
        </is>
      </c>
      <c r="Q454" t="inlineStr">
        <is>
          <t>eng</t>
        </is>
      </c>
      <c r="R454" t="inlineStr">
        <is>
          <t>mau</t>
        </is>
      </c>
      <c r="T454" t="inlineStr">
        <is>
          <t xml:space="preserve">PR </t>
        </is>
      </c>
      <c r="U454" t="n">
        <v>4</v>
      </c>
      <c r="V454" t="n">
        <v>4</v>
      </c>
      <c r="W454" t="inlineStr">
        <is>
          <t>2005-04-07</t>
        </is>
      </c>
      <c r="X454" t="inlineStr">
        <is>
          <t>2005-04-07</t>
        </is>
      </c>
      <c r="Y454" t="inlineStr">
        <is>
          <t>1991-10-17</t>
        </is>
      </c>
      <c r="Z454" t="inlineStr">
        <is>
          <t>1991-10-17</t>
        </is>
      </c>
      <c r="AA454" t="n">
        <v>886</v>
      </c>
      <c r="AB454" t="n">
        <v>763</v>
      </c>
      <c r="AC454" t="n">
        <v>773</v>
      </c>
      <c r="AD454" t="n">
        <v>6</v>
      </c>
      <c r="AE454" t="n">
        <v>6</v>
      </c>
      <c r="AF454" t="n">
        <v>32</v>
      </c>
      <c r="AG454" t="n">
        <v>32</v>
      </c>
      <c r="AH454" t="n">
        <v>14</v>
      </c>
      <c r="AI454" t="n">
        <v>14</v>
      </c>
      <c r="AJ454" t="n">
        <v>7</v>
      </c>
      <c r="AK454" t="n">
        <v>7</v>
      </c>
      <c r="AL454" t="n">
        <v>17</v>
      </c>
      <c r="AM454" t="n">
        <v>17</v>
      </c>
      <c r="AN454" t="n">
        <v>5</v>
      </c>
      <c r="AO454" t="n">
        <v>5</v>
      </c>
      <c r="AP454" t="n">
        <v>0</v>
      </c>
      <c r="AQ454" t="n">
        <v>0</v>
      </c>
      <c r="AR454" t="inlineStr">
        <is>
          <t>No</t>
        </is>
      </c>
      <c r="AS454" t="inlineStr">
        <is>
          <t>Yes</t>
        </is>
      </c>
      <c r="AT454">
        <f>HYPERLINK("http://catalog.hathitrust.org/Record/001186132","HathiTrust Record")</f>
        <v/>
      </c>
      <c r="AU454">
        <f>HYPERLINK("https://creighton-primo.hosted.exlibrisgroup.com/primo-explore/search?tab=default_tab&amp;search_scope=EVERYTHING&amp;vid=01CRU&amp;lang=en_US&amp;offset=0&amp;query=any,contains,991003749279702656","Catalog Record")</f>
        <v/>
      </c>
      <c r="AV454">
        <f>HYPERLINK("http://www.worldcat.org/oclc/1423360","WorldCat Record")</f>
        <v/>
      </c>
      <c r="AW454" t="inlineStr">
        <is>
          <t>889941106:eng</t>
        </is>
      </c>
      <c r="AX454" t="inlineStr">
        <is>
          <t>1423360</t>
        </is>
      </c>
      <c r="AY454" t="inlineStr">
        <is>
          <t>991003749279702656</t>
        </is>
      </c>
      <c r="AZ454" t="inlineStr">
        <is>
          <t>991003749279702656</t>
        </is>
      </c>
      <c r="BA454" t="inlineStr">
        <is>
          <t>2269802020002656</t>
        </is>
      </c>
      <c r="BB454" t="inlineStr">
        <is>
          <t>BOOK</t>
        </is>
      </c>
      <c r="BD454" t="inlineStr">
        <is>
          <t>9780674831933</t>
        </is>
      </c>
      <c r="BE454" t="inlineStr">
        <is>
          <t>32285000772912</t>
        </is>
      </c>
      <c r="BF454" t="inlineStr">
        <is>
          <t>893887844</t>
        </is>
      </c>
    </row>
    <row r="455">
      <c r="A455" t="inlineStr">
        <is>
          <t>No</t>
        </is>
      </c>
      <c r="B455" t="inlineStr">
        <is>
          <t>CURAL</t>
        </is>
      </c>
      <c r="C455" t="inlineStr">
        <is>
          <t>SHELVES</t>
        </is>
      </c>
      <c r="D455" t="inlineStr">
        <is>
          <t>PR2360.A53 G5 1990</t>
        </is>
      </c>
      <c r="E455" t="inlineStr">
        <is>
          <t>0                      PR 2360000A  53                 G  5           1990</t>
        </is>
      </c>
      <c r="F455" t="inlineStr">
        <is>
          <t>Spenser's Amoretti : a critical study / Donna Gibbs.</t>
        </is>
      </c>
      <c r="H455" t="inlineStr">
        <is>
          <t>No</t>
        </is>
      </c>
      <c r="I455" t="inlineStr">
        <is>
          <t>1</t>
        </is>
      </c>
      <c r="J455" t="inlineStr">
        <is>
          <t>No</t>
        </is>
      </c>
      <c r="K455" t="inlineStr">
        <is>
          <t>No</t>
        </is>
      </c>
      <c r="L455" t="inlineStr">
        <is>
          <t>0</t>
        </is>
      </c>
      <c r="M455" t="inlineStr">
        <is>
          <t>Gibbs, Donna, 1944-</t>
        </is>
      </c>
      <c r="N455" t="inlineStr">
        <is>
          <t>Aldershot, Hants, England : Scolar Press ; Brookfield, Vt., USA : Gower, c1990.</t>
        </is>
      </c>
      <c r="O455" t="inlineStr">
        <is>
          <t>1990</t>
        </is>
      </c>
      <c r="Q455" t="inlineStr">
        <is>
          <t>eng</t>
        </is>
      </c>
      <c r="R455" t="inlineStr">
        <is>
          <t>enk</t>
        </is>
      </c>
      <c r="T455" t="inlineStr">
        <is>
          <t xml:space="preserve">PR </t>
        </is>
      </c>
      <c r="U455" t="n">
        <v>4</v>
      </c>
      <c r="V455" t="n">
        <v>4</v>
      </c>
      <c r="W455" t="inlineStr">
        <is>
          <t>2002-02-10</t>
        </is>
      </c>
      <c r="X455" t="inlineStr">
        <is>
          <t>2002-02-10</t>
        </is>
      </c>
      <c r="Y455" t="inlineStr">
        <is>
          <t>1990-10-17</t>
        </is>
      </c>
      <c r="Z455" t="inlineStr">
        <is>
          <t>1990-10-17</t>
        </is>
      </c>
      <c r="AA455" t="n">
        <v>287</v>
      </c>
      <c r="AB455" t="n">
        <v>196</v>
      </c>
      <c r="AC455" t="n">
        <v>202</v>
      </c>
      <c r="AD455" t="n">
        <v>2</v>
      </c>
      <c r="AE455" t="n">
        <v>2</v>
      </c>
      <c r="AF455" t="n">
        <v>12</v>
      </c>
      <c r="AG455" t="n">
        <v>12</v>
      </c>
      <c r="AH455" t="n">
        <v>3</v>
      </c>
      <c r="AI455" t="n">
        <v>3</v>
      </c>
      <c r="AJ455" t="n">
        <v>2</v>
      </c>
      <c r="AK455" t="n">
        <v>2</v>
      </c>
      <c r="AL455" t="n">
        <v>10</v>
      </c>
      <c r="AM455" t="n">
        <v>10</v>
      </c>
      <c r="AN455" t="n">
        <v>1</v>
      </c>
      <c r="AO455" t="n">
        <v>1</v>
      </c>
      <c r="AP455" t="n">
        <v>0</v>
      </c>
      <c r="AQ455" t="n">
        <v>0</v>
      </c>
      <c r="AR455" t="inlineStr">
        <is>
          <t>No</t>
        </is>
      </c>
      <c r="AS455" t="inlineStr">
        <is>
          <t>Yes</t>
        </is>
      </c>
      <c r="AT455">
        <f>HYPERLINK("http://catalog.hathitrust.org/Record/001838282","HathiTrust Record")</f>
        <v/>
      </c>
      <c r="AU455">
        <f>HYPERLINK("https://creighton-primo.hosted.exlibrisgroup.com/primo-explore/search?tab=default_tab&amp;search_scope=EVERYTHING&amp;vid=01CRU&amp;lang=en_US&amp;offset=0&amp;query=any,contains,991001570559702656","Catalog Record")</f>
        <v/>
      </c>
      <c r="AV455">
        <f>HYPERLINK("http://www.worldcat.org/oclc/20390976","WorldCat Record")</f>
        <v/>
      </c>
      <c r="AW455" t="inlineStr">
        <is>
          <t>346759639:eng</t>
        </is>
      </c>
      <c r="AX455" t="inlineStr">
        <is>
          <t>20390976</t>
        </is>
      </c>
      <c r="AY455" t="inlineStr">
        <is>
          <t>991001570559702656</t>
        </is>
      </c>
      <c r="AZ455" t="inlineStr">
        <is>
          <t>991001570559702656</t>
        </is>
      </c>
      <c r="BA455" t="inlineStr">
        <is>
          <t>2268898880002656</t>
        </is>
      </c>
      <c r="BB455" t="inlineStr">
        <is>
          <t>BOOK</t>
        </is>
      </c>
      <c r="BD455" t="inlineStr">
        <is>
          <t>9780859677776</t>
        </is>
      </c>
      <c r="BE455" t="inlineStr">
        <is>
          <t>32285000311604</t>
        </is>
      </c>
      <c r="BF455" t="inlineStr">
        <is>
          <t>893261862</t>
        </is>
      </c>
    </row>
    <row r="456">
      <c r="A456" t="inlineStr">
        <is>
          <t>No</t>
        </is>
      </c>
      <c r="B456" t="inlineStr">
        <is>
          <t>CURAL</t>
        </is>
      </c>
      <c r="C456" t="inlineStr">
        <is>
          <t>SHELVES</t>
        </is>
      </c>
      <c r="D456" t="inlineStr">
        <is>
          <t>PR2362 .S7 1990</t>
        </is>
      </c>
      <c r="E456" t="inlineStr">
        <is>
          <t>0                      PR 2362000S  7           1990</t>
        </is>
      </c>
      <c r="F456" t="inlineStr">
        <is>
          <t>The Spenser encyclopedia / A.C. Hamilton, general editor ... [et al.].</t>
        </is>
      </c>
      <c r="H456" t="inlineStr">
        <is>
          <t>No</t>
        </is>
      </c>
      <c r="I456" t="inlineStr">
        <is>
          <t>1</t>
        </is>
      </c>
      <c r="J456" t="inlineStr">
        <is>
          <t>No</t>
        </is>
      </c>
      <c r="K456" t="inlineStr">
        <is>
          <t>No</t>
        </is>
      </c>
      <c r="L456" t="inlineStr">
        <is>
          <t>0</t>
        </is>
      </c>
      <c r="N456" t="inlineStr">
        <is>
          <t>Toronto : University of Toronto Press, c1990.</t>
        </is>
      </c>
      <c r="O456" t="inlineStr">
        <is>
          <t>1990</t>
        </is>
      </c>
      <c r="Q456" t="inlineStr">
        <is>
          <t>eng</t>
        </is>
      </c>
      <c r="R456" t="inlineStr">
        <is>
          <t>onc</t>
        </is>
      </c>
      <c r="T456" t="inlineStr">
        <is>
          <t xml:space="preserve">PR </t>
        </is>
      </c>
      <c r="U456" t="n">
        <v>4</v>
      </c>
      <c r="V456" t="n">
        <v>4</v>
      </c>
      <c r="W456" t="inlineStr">
        <is>
          <t>2006-03-19</t>
        </is>
      </c>
      <c r="X456" t="inlineStr">
        <is>
          <t>2006-03-19</t>
        </is>
      </c>
      <c r="Y456" t="inlineStr">
        <is>
          <t>1991-05-22</t>
        </is>
      </c>
      <c r="Z456" t="inlineStr">
        <is>
          <t>1991-05-22</t>
        </is>
      </c>
      <c r="AA456" t="n">
        <v>604</v>
      </c>
      <c r="AB456" t="n">
        <v>425</v>
      </c>
      <c r="AC456" t="n">
        <v>1023</v>
      </c>
      <c r="AD456" t="n">
        <v>2</v>
      </c>
      <c r="AE456" t="n">
        <v>11</v>
      </c>
      <c r="AF456" t="n">
        <v>24</v>
      </c>
      <c r="AG456" t="n">
        <v>44</v>
      </c>
      <c r="AH456" t="n">
        <v>6</v>
      </c>
      <c r="AI456" t="n">
        <v>12</v>
      </c>
      <c r="AJ456" t="n">
        <v>7</v>
      </c>
      <c r="AK456" t="n">
        <v>10</v>
      </c>
      <c r="AL456" t="n">
        <v>16</v>
      </c>
      <c r="AM456" t="n">
        <v>19</v>
      </c>
      <c r="AN456" t="n">
        <v>1</v>
      </c>
      <c r="AO456" t="n">
        <v>10</v>
      </c>
      <c r="AP456" t="n">
        <v>0</v>
      </c>
      <c r="AQ456" t="n">
        <v>1</v>
      </c>
      <c r="AR456" t="inlineStr">
        <is>
          <t>No</t>
        </is>
      </c>
      <c r="AS456" t="inlineStr">
        <is>
          <t>No</t>
        </is>
      </c>
      <c r="AU456">
        <f>HYPERLINK("https://creighton-primo.hosted.exlibrisgroup.com/primo-explore/search?tab=default_tab&amp;search_scope=EVERYTHING&amp;vid=01CRU&amp;lang=en_US&amp;offset=0&amp;query=any,contains,991001762709702656","Catalog Record")</f>
        <v/>
      </c>
      <c r="AV456">
        <f>HYPERLINK("http://www.worldcat.org/oclc/21305587","WorldCat Record")</f>
        <v/>
      </c>
      <c r="AW456" t="inlineStr">
        <is>
          <t>1047526449:eng</t>
        </is>
      </c>
      <c r="AX456" t="inlineStr">
        <is>
          <t>21305587</t>
        </is>
      </c>
      <c r="AY456" t="inlineStr">
        <is>
          <t>991001762709702656</t>
        </is>
      </c>
      <c r="AZ456" t="inlineStr">
        <is>
          <t>991001762709702656</t>
        </is>
      </c>
      <c r="BA456" t="inlineStr">
        <is>
          <t>2259988660002656</t>
        </is>
      </c>
      <c r="BB456" t="inlineStr">
        <is>
          <t>BOOK</t>
        </is>
      </c>
      <c r="BD456" t="inlineStr">
        <is>
          <t>9780802026767</t>
        </is>
      </c>
      <c r="BE456" t="inlineStr">
        <is>
          <t>32285000574557</t>
        </is>
      </c>
      <c r="BF456" t="inlineStr">
        <is>
          <t>893626818</t>
        </is>
      </c>
    </row>
    <row r="457">
      <c r="A457" t="inlineStr">
        <is>
          <t>No</t>
        </is>
      </c>
      <c r="B457" t="inlineStr">
        <is>
          <t>CURAL</t>
        </is>
      </c>
      <c r="C457" t="inlineStr">
        <is>
          <t>SHELVES</t>
        </is>
      </c>
      <c r="D457" t="inlineStr">
        <is>
          <t>PR2363 .J6</t>
        </is>
      </c>
      <c r="E457" t="inlineStr">
        <is>
          <t>0                      PR 2363000J  6</t>
        </is>
      </c>
      <c r="F457" t="inlineStr">
        <is>
          <t>A Spenser handbook / by H.S.V. Jones.</t>
        </is>
      </c>
      <c r="H457" t="inlineStr">
        <is>
          <t>No</t>
        </is>
      </c>
      <c r="I457" t="inlineStr">
        <is>
          <t>1</t>
        </is>
      </c>
      <c r="J457" t="inlineStr">
        <is>
          <t>No</t>
        </is>
      </c>
      <c r="K457" t="inlineStr">
        <is>
          <t>No</t>
        </is>
      </c>
      <c r="L457" t="inlineStr">
        <is>
          <t>0</t>
        </is>
      </c>
      <c r="M457" t="inlineStr">
        <is>
          <t>Jones, H. S. V. (Harry Stuart Vedder), 1878-1942.</t>
        </is>
      </c>
      <c r="N457" t="inlineStr">
        <is>
          <t>New York : F.S. Crofts &amp; Co., 1930.</t>
        </is>
      </c>
      <c r="O457" t="inlineStr">
        <is>
          <t>1930</t>
        </is>
      </c>
      <c r="Q457" t="inlineStr">
        <is>
          <t>eng</t>
        </is>
      </c>
      <c r="R457" t="inlineStr">
        <is>
          <t>nyu</t>
        </is>
      </c>
      <c r="T457" t="inlineStr">
        <is>
          <t xml:space="preserve">PR </t>
        </is>
      </c>
      <c r="U457" t="n">
        <v>4</v>
      </c>
      <c r="V457" t="n">
        <v>4</v>
      </c>
      <c r="W457" t="inlineStr">
        <is>
          <t>2002-02-09</t>
        </is>
      </c>
      <c r="X457" t="inlineStr">
        <is>
          <t>2002-02-09</t>
        </is>
      </c>
      <c r="Y457" t="inlineStr">
        <is>
          <t>1991-11-19</t>
        </is>
      </c>
      <c r="Z457" t="inlineStr">
        <is>
          <t>1991-11-19</t>
        </is>
      </c>
      <c r="AA457" t="n">
        <v>892</v>
      </c>
      <c r="AB457" t="n">
        <v>794</v>
      </c>
      <c r="AC457" t="n">
        <v>1096</v>
      </c>
      <c r="AD457" t="n">
        <v>9</v>
      </c>
      <c r="AE457" t="n">
        <v>9</v>
      </c>
      <c r="AF457" t="n">
        <v>33</v>
      </c>
      <c r="AG457" t="n">
        <v>49</v>
      </c>
      <c r="AH457" t="n">
        <v>11</v>
      </c>
      <c r="AI457" t="n">
        <v>22</v>
      </c>
      <c r="AJ457" t="n">
        <v>7</v>
      </c>
      <c r="AK457" t="n">
        <v>8</v>
      </c>
      <c r="AL457" t="n">
        <v>14</v>
      </c>
      <c r="AM457" t="n">
        <v>22</v>
      </c>
      <c r="AN457" t="n">
        <v>8</v>
      </c>
      <c r="AO457" t="n">
        <v>8</v>
      </c>
      <c r="AP457" t="n">
        <v>0</v>
      </c>
      <c r="AQ457" t="n">
        <v>0</v>
      </c>
      <c r="AR457" t="inlineStr">
        <is>
          <t>No</t>
        </is>
      </c>
      <c r="AS457" t="inlineStr">
        <is>
          <t>Yes</t>
        </is>
      </c>
      <c r="AT457">
        <f>HYPERLINK("http://catalog.hathitrust.org/Record/001111952","HathiTrust Record")</f>
        <v/>
      </c>
      <c r="AU457">
        <f>HYPERLINK("https://creighton-primo.hosted.exlibrisgroup.com/primo-explore/search?tab=default_tab&amp;search_scope=EVERYTHING&amp;vid=01CRU&amp;lang=en_US&amp;offset=0&amp;query=any,contains,991002906959702656","Catalog Record")</f>
        <v/>
      </c>
      <c r="AV457">
        <f>HYPERLINK("http://www.worldcat.org/oclc/519886","WorldCat Record")</f>
        <v/>
      </c>
      <c r="AW457" t="inlineStr">
        <is>
          <t>1513296:eng</t>
        </is>
      </c>
      <c r="AX457" t="inlineStr">
        <is>
          <t>519886</t>
        </is>
      </c>
      <c r="AY457" t="inlineStr">
        <is>
          <t>991002906959702656</t>
        </is>
      </c>
      <c r="AZ457" t="inlineStr">
        <is>
          <t>991002906959702656</t>
        </is>
      </c>
      <c r="BA457" t="inlineStr">
        <is>
          <t>2257187830002656</t>
        </is>
      </c>
      <c r="BB457" t="inlineStr">
        <is>
          <t>BOOK</t>
        </is>
      </c>
      <c r="BE457" t="inlineStr">
        <is>
          <t>32285000820687</t>
        </is>
      </c>
      <c r="BF457" t="inlineStr">
        <is>
          <t>893504969</t>
        </is>
      </c>
    </row>
    <row r="458">
      <c r="A458" t="inlineStr">
        <is>
          <t>No</t>
        </is>
      </c>
      <c r="B458" t="inlineStr">
        <is>
          <t>CURAL</t>
        </is>
      </c>
      <c r="C458" t="inlineStr">
        <is>
          <t>SHELVES</t>
        </is>
      </c>
      <c r="D458" t="inlineStr">
        <is>
          <t>PR2364 .A8</t>
        </is>
      </c>
      <c r="E458" t="inlineStr">
        <is>
          <t>0                      PR 2364000A  8</t>
        </is>
      </c>
      <c r="F458" t="inlineStr">
        <is>
          <t>On the poetry of Spenser and the form of romances.</t>
        </is>
      </c>
      <c r="H458" t="inlineStr">
        <is>
          <t>No</t>
        </is>
      </c>
      <c r="I458" t="inlineStr">
        <is>
          <t>1</t>
        </is>
      </c>
      <c r="J458" t="inlineStr">
        <is>
          <t>No</t>
        </is>
      </c>
      <c r="K458" t="inlineStr">
        <is>
          <t>No</t>
        </is>
      </c>
      <c r="L458" t="inlineStr">
        <is>
          <t>0</t>
        </is>
      </c>
      <c r="M458" t="inlineStr">
        <is>
          <t>Arthos, John, 1908-2000.</t>
        </is>
      </c>
      <c r="N458" t="inlineStr">
        <is>
          <t>London, Allen &amp; Unwin [1956]</t>
        </is>
      </c>
      <c r="O458" t="inlineStr">
        <is>
          <t>1956</t>
        </is>
      </c>
      <c r="Q458" t="inlineStr">
        <is>
          <t>eng</t>
        </is>
      </c>
      <c r="R458" t="inlineStr">
        <is>
          <t>enk</t>
        </is>
      </c>
      <c r="T458" t="inlineStr">
        <is>
          <t xml:space="preserve">PR </t>
        </is>
      </c>
      <c r="U458" t="n">
        <v>1</v>
      </c>
      <c r="V458" t="n">
        <v>1</v>
      </c>
      <c r="W458" t="inlineStr">
        <is>
          <t>2002-02-09</t>
        </is>
      </c>
      <c r="X458" t="inlineStr">
        <is>
          <t>2002-02-09</t>
        </is>
      </c>
      <c r="Y458" t="inlineStr">
        <is>
          <t>1997-07-30</t>
        </is>
      </c>
      <c r="Z458" t="inlineStr">
        <is>
          <t>1997-07-30</t>
        </is>
      </c>
      <c r="AA458" t="n">
        <v>483</v>
      </c>
      <c r="AB458" t="n">
        <v>382</v>
      </c>
      <c r="AC458" t="n">
        <v>581</v>
      </c>
      <c r="AD458" t="n">
        <v>6</v>
      </c>
      <c r="AE458" t="n">
        <v>6</v>
      </c>
      <c r="AF458" t="n">
        <v>29</v>
      </c>
      <c r="AG458" t="n">
        <v>35</v>
      </c>
      <c r="AH458" t="n">
        <v>8</v>
      </c>
      <c r="AI458" t="n">
        <v>11</v>
      </c>
      <c r="AJ458" t="n">
        <v>6</v>
      </c>
      <c r="AK458" t="n">
        <v>7</v>
      </c>
      <c r="AL458" t="n">
        <v>17</v>
      </c>
      <c r="AM458" t="n">
        <v>20</v>
      </c>
      <c r="AN458" t="n">
        <v>5</v>
      </c>
      <c r="AO458" t="n">
        <v>5</v>
      </c>
      <c r="AP458" t="n">
        <v>0</v>
      </c>
      <c r="AQ458" t="n">
        <v>0</v>
      </c>
      <c r="AR458" t="inlineStr">
        <is>
          <t>No</t>
        </is>
      </c>
      <c r="AS458" t="inlineStr">
        <is>
          <t>Yes</t>
        </is>
      </c>
      <c r="AT458">
        <f>HYPERLINK("http://catalog.hathitrust.org/Record/001774932","HathiTrust Record")</f>
        <v/>
      </c>
      <c r="AU458">
        <f>HYPERLINK("https://creighton-primo.hosted.exlibrisgroup.com/primo-explore/search?tab=default_tab&amp;search_scope=EVERYTHING&amp;vid=01CRU&amp;lang=en_US&amp;offset=0&amp;query=any,contains,991001924679702656","Catalog Record")</f>
        <v/>
      </c>
      <c r="AV458">
        <f>HYPERLINK("http://www.worldcat.org/oclc/246053","WorldCat Record")</f>
        <v/>
      </c>
      <c r="AW458" t="inlineStr">
        <is>
          <t>1291913:eng</t>
        </is>
      </c>
      <c r="AX458" t="inlineStr">
        <is>
          <t>246053</t>
        </is>
      </c>
      <c r="AY458" t="inlineStr">
        <is>
          <t>991001924679702656</t>
        </is>
      </c>
      <c r="AZ458" t="inlineStr">
        <is>
          <t>991001924679702656</t>
        </is>
      </c>
      <c r="BA458" t="inlineStr">
        <is>
          <t>2257287270002656</t>
        </is>
      </c>
      <c r="BB458" t="inlineStr">
        <is>
          <t>BOOK</t>
        </is>
      </c>
      <c r="BE458" t="inlineStr">
        <is>
          <t>32285002991130</t>
        </is>
      </c>
      <c r="BF458" t="inlineStr">
        <is>
          <t>893596840</t>
        </is>
      </c>
    </row>
    <row r="459">
      <c r="A459" t="inlineStr">
        <is>
          <t>No</t>
        </is>
      </c>
      <c r="B459" t="inlineStr">
        <is>
          <t>CURAL</t>
        </is>
      </c>
      <c r="C459" t="inlineStr">
        <is>
          <t>SHELVES</t>
        </is>
      </c>
      <c r="D459" t="inlineStr">
        <is>
          <t>PR2364 .B4</t>
        </is>
      </c>
      <c r="E459" t="inlineStr">
        <is>
          <t>0                      PR 2364000B  4</t>
        </is>
      </c>
      <c r="F459" t="inlineStr">
        <is>
          <t>Spenser : a collection of critical essays.</t>
        </is>
      </c>
      <c r="H459" t="inlineStr">
        <is>
          <t>No</t>
        </is>
      </c>
      <c r="I459" t="inlineStr">
        <is>
          <t>1</t>
        </is>
      </c>
      <c r="J459" t="inlineStr">
        <is>
          <t>No</t>
        </is>
      </c>
      <c r="K459" t="inlineStr">
        <is>
          <t>No</t>
        </is>
      </c>
      <c r="L459" t="inlineStr">
        <is>
          <t>0</t>
        </is>
      </c>
      <c r="M459" t="inlineStr">
        <is>
          <t>Berger, Harry compiler.</t>
        </is>
      </c>
      <c r="N459" t="inlineStr">
        <is>
          <t>Englewood Cliffs, N.J. : Prentice-Hall, [1968]</t>
        </is>
      </c>
      <c r="O459" t="inlineStr">
        <is>
          <t>1968</t>
        </is>
      </c>
      <c r="Q459" t="inlineStr">
        <is>
          <t>eng</t>
        </is>
      </c>
      <c r="R459" t="inlineStr">
        <is>
          <t>nju</t>
        </is>
      </c>
      <c r="S459" t="inlineStr">
        <is>
          <t>A Spectrum book.</t>
        </is>
      </c>
      <c r="T459" t="inlineStr">
        <is>
          <t xml:space="preserve">PR </t>
        </is>
      </c>
      <c r="U459" t="n">
        <v>1</v>
      </c>
      <c r="V459" t="n">
        <v>1</v>
      </c>
      <c r="W459" t="inlineStr">
        <is>
          <t>1993-04-14</t>
        </is>
      </c>
      <c r="X459" t="inlineStr">
        <is>
          <t>1993-04-14</t>
        </is>
      </c>
      <c r="Y459" t="inlineStr">
        <is>
          <t>1992-03-03</t>
        </is>
      </c>
      <c r="Z459" t="inlineStr">
        <is>
          <t>1992-03-03</t>
        </is>
      </c>
      <c r="AA459" t="n">
        <v>1791</v>
      </c>
      <c r="AB459" t="n">
        <v>1582</v>
      </c>
      <c r="AC459" t="n">
        <v>1592</v>
      </c>
      <c r="AD459" t="n">
        <v>13</v>
      </c>
      <c r="AE459" t="n">
        <v>13</v>
      </c>
      <c r="AF459" t="n">
        <v>52</v>
      </c>
      <c r="AG459" t="n">
        <v>52</v>
      </c>
      <c r="AH459" t="n">
        <v>21</v>
      </c>
      <c r="AI459" t="n">
        <v>21</v>
      </c>
      <c r="AJ459" t="n">
        <v>10</v>
      </c>
      <c r="AK459" t="n">
        <v>10</v>
      </c>
      <c r="AL459" t="n">
        <v>23</v>
      </c>
      <c r="AM459" t="n">
        <v>23</v>
      </c>
      <c r="AN459" t="n">
        <v>10</v>
      </c>
      <c r="AO459" t="n">
        <v>10</v>
      </c>
      <c r="AP459" t="n">
        <v>0</v>
      </c>
      <c r="AQ459" t="n">
        <v>0</v>
      </c>
      <c r="AR459" t="inlineStr">
        <is>
          <t>No</t>
        </is>
      </c>
      <c r="AS459" t="inlineStr">
        <is>
          <t>Yes</t>
        </is>
      </c>
      <c r="AT459">
        <f>HYPERLINK("http://catalog.hathitrust.org/Record/001017451","HathiTrust Record")</f>
        <v/>
      </c>
      <c r="AU459">
        <f>HYPERLINK("https://creighton-primo.hosted.exlibrisgroup.com/primo-explore/search?tab=default_tab&amp;search_scope=EVERYTHING&amp;vid=01CRU&amp;lang=en_US&amp;offset=0&amp;query=any,contains,991001780629702656","Catalog Record")</f>
        <v/>
      </c>
      <c r="AV459">
        <f>HYPERLINK("http://www.worldcat.org/oclc/236531","WorldCat Record")</f>
        <v/>
      </c>
      <c r="AW459" t="inlineStr">
        <is>
          <t>889352296:eng</t>
        </is>
      </c>
      <c r="AX459" t="inlineStr">
        <is>
          <t>236531</t>
        </is>
      </c>
      <c r="AY459" t="inlineStr">
        <is>
          <t>991001780629702656</t>
        </is>
      </c>
      <c r="AZ459" t="inlineStr">
        <is>
          <t>991001780629702656</t>
        </is>
      </c>
      <c r="BA459" t="inlineStr">
        <is>
          <t>2257576630002656</t>
        </is>
      </c>
      <c r="BB459" t="inlineStr">
        <is>
          <t>BOOK</t>
        </is>
      </c>
      <c r="BE459" t="inlineStr">
        <is>
          <t>32285000979889</t>
        </is>
      </c>
      <c r="BF459" t="inlineStr">
        <is>
          <t>893697028</t>
        </is>
      </c>
    </row>
    <row r="460">
      <c r="A460" t="inlineStr">
        <is>
          <t>No</t>
        </is>
      </c>
      <c r="B460" t="inlineStr">
        <is>
          <t>CURAL</t>
        </is>
      </c>
      <c r="C460" t="inlineStr">
        <is>
          <t>SHELVES</t>
        </is>
      </c>
      <c r="D460" t="inlineStr">
        <is>
          <t>PR2367.C7 F62 1968</t>
        </is>
      </c>
      <c r="E460" t="inlineStr">
        <is>
          <t>0                      PR 2367000C  7                  F  62          1968</t>
        </is>
      </c>
      <c r="F460" t="inlineStr">
        <is>
          <t>Spenser and the system of courtly love, by Earle B. Fowler.</t>
        </is>
      </c>
      <c r="H460" t="inlineStr">
        <is>
          <t>No</t>
        </is>
      </c>
      <c r="I460" t="inlineStr">
        <is>
          <t>1</t>
        </is>
      </c>
      <c r="J460" t="inlineStr">
        <is>
          <t>No</t>
        </is>
      </c>
      <c r="K460" t="inlineStr">
        <is>
          <t>No</t>
        </is>
      </c>
      <c r="L460" t="inlineStr">
        <is>
          <t>0</t>
        </is>
      </c>
      <c r="M460" t="inlineStr">
        <is>
          <t>Fowler, Earle B. (Earle Broadus)</t>
        </is>
      </c>
      <c r="N460" t="inlineStr">
        <is>
          <t>New York, Phaeton Press, 1968.</t>
        </is>
      </c>
      <c r="O460" t="inlineStr">
        <is>
          <t>1968</t>
        </is>
      </c>
      <c r="Q460" t="inlineStr">
        <is>
          <t>eng</t>
        </is>
      </c>
      <c r="R460" t="inlineStr">
        <is>
          <t>nyu</t>
        </is>
      </c>
      <c r="T460" t="inlineStr">
        <is>
          <t xml:space="preserve">PR </t>
        </is>
      </c>
      <c r="U460" t="n">
        <v>2</v>
      </c>
      <c r="V460" t="n">
        <v>2</v>
      </c>
      <c r="W460" t="inlineStr">
        <is>
          <t>2002-02-10</t>
        </is>
      </c>
      <c r="X460" t="inlineStr">
        <is>
          <t>2002-02-10</t>
        </is>
      </c>
      <c r="Y460" t="inlineStr">
        <is>
          <t>1997-07-30</t>
        </is>
      </c>
      <c r="Z460" t="inlineStr">
        <is>
          <t>1997-07-30</t>
        </is>
      </c>
      <c r="AA460" t="n">
        <v>484</v>
      </c>
      <c r="AB460" t="n">
        <v>441</v>
      </c>
      <c r="AC460" t="n">
        <v>554</v>
      </c>
      <c r="AD460" t="n">
        <v>4</v>
      </c>
      <c r="AE460" t="n">
        <v>5</v>
      </c>
      <c r="AF460" t="n">
        <v>21</v>
      </c>
      <c r="AG460" t="n">
        <v>29</v>
      </c>
      <c r="AH460" t="n">
        <v>9</v>
      </c>
      <c r="AI460" t="n">
        <v>12</v>
      </c>
      <c r="AJ460" t="n">
        <v>3</v>
      </c>
      <c r="AK460" t="n">
        <v>5</v>
      </c>
      <c r="AL460" t="n">
        <v>11</v>
      </c>
      <c r="AM460" t="n">
        <v>16</v>
      </c>
      <c r="AN460" t="n">
        <v>3</v>
      </c>
      <c r="AO460" t="n">
        <v>4</v>
      </c>
      <c r="AP460" t="n">
        <v>0</v>
      </c>
      <c r="AQ460" t="n">
        <v>0</v>
      </c>
      <c r="AR460" t="inlineStr">
        <is>
          <t>No</t>
        </is>
      </c>
      <c r="AS460" t="inlineStr">
        <is>
          <t>No</t>
        </is>
      </c>
      <c r="AU460">
        <f>HYPERLINK("https://creighton-primo.hosted.exlibrisgroup.com/primo-explore/search?tab=default_tab&amp;search_scope=EVERYTHING&amp;vid=01CRU&amp;lang=en_US&amp;offset=0&amp;query=any,contains,991002450169702656","Catalog Record")</f>
        <v/>
      </c>
      <c r="AV460">
        <f>HYPERLINK("http://www.worldcat.org/oclc/352654","WorldCat Record")</f>
        <v/>
      </c>
      <c r="AW460" t="inlineStr">
        <is>
          <t>1389392:eng</t>
        </is>
      </c>
      <c r="AX460" t="inlineStr">
        <is>
          <t>352654</t>
        </is>
      </c>
      <c r="AY460" t="inlineStr">
        <is>
          <t>991002450169702656</t>
        </is>
      </c>
      <c r="AZ460" t="inlineStr">
        <is>
          <t>991002450169702656</t>
        </is>
      </c>
      <c r="BA460" t="inlineStr">
        <is>
          <t>2265175620002656</t>
        </is>
      </c>
      <c r="BB460" t="inlineStr">
        <is>
          <t>BOOK</t>
        </is>
      </c>
      <c r="BE460" t="inlineStr">
        <is>
          <t>32285002991254</t>
        </is>
      </c>
      <c r="BF460" t="inlineStr">
        <is>
          <t>893886293</t>
        </is>
      </c>
    </row>
    <row r="461">
      <c r="A461" t="inlineStr">
        <is>
          <t>No</t>
        </is>
      </c>
      <c r="B461" t="inlineStr">
        <is>
          <t>CURAL</t>
        </is>
      </c>
      <c r="C461" t="inlineStr">
        <is>
          <t>SHELVES</t>
        </is>
      </c>
      <c r="D461" t="inlineStr">
        <is>
          <t>PR2367.P6 S47 1989</t>
        </is>
      </c>
      <c r="E461" t="inlineStr">
        <is>
          <t>0                      PR 2367000P  6                  S  47          1989</t>
        </is>
      </c>
      <c r="F461" t="inlineStr">
        <is>
          <t>Spenser / Simon Shepherd.</t>
        </is>
      </c>
      <c r="H461" t="inlineStr">
        <is>
          <t>No</t>
        </is>
      </c>
      <c r="I461" t="inlineStr">
        <is>
          <t>1</t>
        </is>
      </c>
      <c r="J461" t="inlineStr">
        <is>
          <t>No</t>
        </is>
      </c>
      <c r="K461" t="inlineStr">
        <is>
          <t>No</t>
        </is>
      </c>
      <c r="L461" t="inlineStr">
        <is>
          <t>0</t>
        </is>
      </c>
      <c r="M461" t="inlineStr">
        <is>
          <t>Shepherd, Simon.</t>
        </is>
      </c>
      <c r="N461" t="inlineStr">
        <is>
          <t>Atlantic Highlands, N.J. : Humanities Press International, 1989.</t>
        </is>
      </c>
      <c r="O461" t="inlineStr">
        <is>
          <t>1989</t>
        </is>
      </c>
      <c r="Q461" t="inlineStr">
        <is>
          <t>eng</t>
        </is>
      </c>
      <c r="R461" t="inlineStr">
        <is>
          <t>nju</t>
        </is>
      </c>
      <c r="S461" t="inlineStr">
        <is>
          <t>Harvester new readings</t>
        </is>
      </c>
      <c r="T461" t="inlineStr">
        <is>
          <t xml:space="preserve">PR </t>
        </is>
      </c>
      <c r="U461" t="n">
        <v>1</v>
      </c>
      <c r="V461" t="n">
        <v>1</v>
      </c>
      <c r="W461" t="inlineStr">
        <is>
          <t>2002-02-10</t>
        </is>
      </c>
      <c r="X461" t="inlineStr">
        <is>
          <t>2002-02-10</t>
        </is>
      </c>
      <c r="Y461" t="inlineStr">
        <is>
          <t>1990-02-07</t>
        </is>
      </c>
      <c r="Z461" t="inlineStr">
        <is>
          <t>1990-02-07</t>
        </is>
      </c>
      <c r="AA461" t="n">
        <v>214</v>
      </c>
      <c r="AB461" t="n">
        <v>184</v>
      </c>
      <c r="AC461" t="n">
        <v>241</v>
      </c>
      <c r="AD461" t="n">
        <v>2</v>
      </c>
      <c r="AE461" t="n">
        <v>3</v>
      </c>
      <c r="AF461" t="n">
        <v>11</v>
      </c>
      <c r="AG461" t="n">
        <v>15</v>
      </c>
      <c r="AH461" t="n">
        <v>3</v>
      </c>
      <c r="AI461" t="n">
        <v>3</v>
      </c>
      <c r="AJ461" t="n">
        <v>0</v>
      </c>
      <c r="AK461" t="n">
        <v>2</v>
      </c>
      <c r="AL461" t="n">
        <v>9</v>
      </c>
      <c r="AM461" t="n">
        <v>12</v>
      </c>
      <c r="AN461" t="n">
        <v>1</v>
      </c>
      <c r="AO461" t="n">
        <v>2</v>
      </c>
      <c r="AP461" t="n">
        <v>0</v>
      </c>
      <c r="AQ461" t="n">
        <v>0</v>
      </c>
      <c r="AR461" t="inlineStr">
        <is>
          <t>No</t>
        </is>
      </c>
      <c r="AS461" t="inlineStr">
        <is>
          <t>No</t>
        </is>
      </c>
      <c r="AU461">
        <f>HYPERLINK("https://creighton-primo.hosted.exlibrisgroup.com/primo-explore/search?tab=default_tab&amp;search_scope=EVERYTHING&amp;vid=01CRU&amp;lang=en_US&amp;offset=0&amp;query=any,contains,991001341059702656","Catalog Record")</f>
        <v/>
      </c>
      <c r="AV461">
        <f>HYPERLINK("http://www.worldcat.org/oclc/18382586","WorldCat Record")</f>
        <v/>
      </c>
      <c r="AW461" t="inlineStr">
        <is>
          <t>17707252:eng</t>
        </is>
      </c>
      <c r="AX461" t="inlineStr">
        <is>
          <t>18382586</t>
        </is>
      </c>
      <c r="AY461" t="inlineStr">
        <is>
          <t>991001341059702656</t>
        </is>
      </c>
      <c r="AZ461" t="inlineStr">
        <is>
          <t>991001341059702656</t>
        </is>
      </c>
      <c r="BA461" t="inlineStr">
        <is>
          <t>2259206880002656</t>
        </is>
      </c>
      <c r="BB461" t="inlineStr">
        <is>
          <t>BOOK</t>
        </is>
      </c>
      <c r="BD461" t="inlineStr">
        <is>
          <t>9780391034754</t>
        </is>
      </c>
      <c r="BE461" t="inlineStr">
        <is>
          <t>32285000036524</t>
        </is>
      </c>
      <c r="BF461" t="inlineStr">
        <is>
          <t>893250176</t>
        </is>
      </c>
    </row>
    <row r="462">
      <c r="A462" t="inlineStr">
        <is>
          <t>No</t>
        </is>
      </c>
      <c r="B462" t="inlineStr">
        <is>
          <t>CURAL</t>
        </is>
      </c>
      <c r="C462" t="inlineStr">
        <is>
          <t>SHELVES</t>
        </is>
      </c>
      <c r="D462" t="inlineStr">
        <is>
          <t>PR2367.R4 K56 1990</t>
        </is>
      </c>
      <c r="E462" t="inlineStr">
        <is>
          <t>0                      PR 2367000R  4                  K  56          1990</t>
        </is>
      </c>
      <c r="F462" t="inlineStr">
        <is>
          <t>Spenser's poetry and the Reformation tradition / John N. King.</t>
        </is>
      </c>
      <c r="H462" t="inlineStr">
        <is>
          <t>No</t>
        </is>
      </c>
      <c r="I462" t="inlineStr">
        <is>
          <t>1</t>
        </is>
      </c>
      <c r="J462" t="inlineStr">
        <is>
          <t>No</t>
        </is>
      </c>
      <c r="K462" t="inlineStr">
        <is>
          <t>No</t>
        </is>
      </c>
      <c r="L462" t="inlineStr">
        <is>
          <t>0</t>
        </is>
      </c>
      <c r="M462" t="inlineStr">
        <is>
          <t>King, John N., 1945-</t>
        </is>
      </c>
      <c r="N462" t="inlineStr">
        <is>
          <t>Princeton, N.J. : Princeton University Press, 1990.</t>
        </is>
      </c>
      <c r="O462" t="inlineStr">
        <is>
          <t>1990</t>
        </is>
      </c>
      <c r="Q462" t="inlineStr">
        <is>
          <t>eng</t>
        </is>
      </c>
      <c r="R462" t="inlineStr">
        <is>
          <t>nju</t>
        </is>
      </c>
      <c r="T462" t="inlineStr">
        <is>
          <t xml:space="preserve">PR </t>
        </is>
      </c>
      <c r="U462" t="n">
        <v>2</v>
      </c>
      <c r="V462" t="n">
        <v>2</v>
      </c>
      <c r="W462" t="inlineStr">
        <is>
          <t>1995-05-19</t>
        </is>
      </c>
      <c r="X462" t="inlineStr">
        <is>
          <t>1995-05-19</t>
        </is>
      </c>
      <c r="Y462" t="inlineStr">
        <is>
          <t>1990-12-19</t>
        </is>
      </c>
      <c r="Z462" t="inlineStr">
        <is>
          <t>1990-12-19</t>
        </is>
      </c>
      <c r="AA462" t="n">
        <v>672</v>
      </c>
      <c r="AB462" t="n">
        <v>537</v>
      </c>
      <c r="AC462" t="n">
        <v>537</v>
      </c>
      <c r="AD462" t="n">
        <v>4</v>
      </c>
      <c r="AE462" t="n">
        <v>4</v>
      </c>
      <c r="AF462" t="n">
        <v>31</v>
      </c>
      <c r="AG462" t="n">
        <v>31</v>
      </c>
      <c r="AH462" t="n">
        <v>14</v>
      </c>
      <c r="AI462" t="n">
        <v>14</v>
      </c>
      <c r="AJ462" t="n">
        <v>7</v>
      </c>
      <c r="AK462" t="n">
        <v>7</v>
      </c>
      <c r="AL462" t="n">
        <v>17</v>
      </c>
      <c r="AM462" t="n">
        <v>17</v>
      </c>
      <c r="AN462" t="n">
        <v>3</v>
      </c>
      <c r="AO462" t="n">
        <v>3</v>
      </c>
      <c r="AP462" t="n">
        <v>0</v>
      </c>
      <c r="AQ462" t="n">
        <v>0</v>
      </c>
      <c r="AR462" t="inlineStr">
        <is>
          <t>No</t>
        </is>
      </c>
      <c r="AS462" t="inlineStr">
        <is>
          <t>No</t>
        </is>
      </c>
      <c r="AU462">
        <f>HYPERLINK("https://creighton-primo.hosted.exlibrisgroup.com/primo-explore/search?tab=default_tab&amp;search_scope=EVERYTHING&amp;vid=01CRU&amp;lang=en_US&amp;offset=0&amp;query=any,contains,991001591509702656","Catalog Record")</f>
        <v/>
      </c>
      <c r="AV462">
        <f>HYPERLINK("http://www.worldcat.org/oclc/20592853","WorldCat Record")</f>
        <v/>
      </c>
      <c r="AW462" t="inlineStr">
        <is>
          <t>22692255:eng</t>
        </is>
      </c>
      <c r="AX462" t="inlineStr">
        <is>
          <t>20592853</t>
        </is>
      </c>
      <c r="AY462" t="inlineStr">
        <is>
          <t>991001591509702656</t>
        </is>
      </c>
      <c r="AZ462" t="inlineStr">
        <is>
          <t>991001591509702656</t>
        </is>
      </c>
      <c r="BA462" t="inlineStr">
        <is>
          <t>2271075590002656</t>
        </is>
      </c>
      <c r="BB462" t="inlineStr">
        <is>
          <t>BOOK</t>
        </is>
      </c>
      <c r="BD462" t="inlineStr">
        <is>
          <t>9780691068008</t>
        </is>
      </c>
      <c r="BE462" t="inlineStr">
        <is>
          <t>32285000405174</t>
        </is>
      </c>
      <c r="BF462" t="inlineStr">
        <is>
          <t>893534600</t>
        </is>
      </c>
    </row>
    <row r="463">
      <c r="A463" t="inlineStr">
        <is>
          <t>No</t>
        </is>
      </c>
      <c r="B463" t="inlineStr">
        <is>
          <t>CURAL</t>
        </is>
      </c>
      <c r="C463" t="inlineStr">
        <is>
          <t>SHELVES</t>
        </is>
      </c>
      <c r="D463" t="inlineStr">
        <is>
          <t>PR2373 .S47 1986</t>
        </is>
      </c>
      <c r="E463" t="inlineStr">
        <is>
          <t>0                      PR 2373000S  47          1986</t>
        </is>
      </c>
      <c r="F463" t="inlineStr">
        <is>
          <t>Henry Howard, Earl of Surrey / by William A. Sessions.</t>
        </is>
      </c>
      <c r="H463" t="inlineStr">
        <is>
          <t>No</t>
        </is>
      </c>
      <c r="I463" t="inlineStr">
        <is>
          <t>1</t>
        </is>
      </c>
      <c r="J463" t="inlineStr">
        <is>
          <t>No</t>
        </is>
      </c>
      <c r="K463" t="inlineStr">
        <is>
          <t>No</t>
        </is>
      </c>
      <c r="L463" t="inlineStr">
        <is>
          <t>0</t>
        </is>
      </c>
      <c r="M463" t="inlineStr">
        <is>
          <t>Sessions, William A.</t>
        </is>
      </c>
      <c r="N463" t="inlineStr">
        <is>
          <t>Boston : Twayne, c1986.</t>
        </is>
      </c>
      <c r="O463" t="inlineStr">
        <is>
          <t>1986</t>
        </is>
      </c>
      <c r="Q463" t="inlineStr">
        <is>
          <t>eng</t>
        </is>
      </c>
      <c r="R463" t="inlineStr">
        <is>
          <t>mau</t>
        </is>
      </c>
      <c r="S463" t="inlineStr">
        <is>
          <t>Twayne's English authors series ; TEAS 429</t>
        </is>
      </c>
      <c r="T463" t="inlineStr">
        <is>
          <t xml:space="preserve">PR </t>
        </is>
      </c>
      <c r="U463" t="n">
        <v>3</v>
      </c>
      <c r="V463" t="n">
        <v>3</v>
      </c>
      <c r="W463" t="inlineStr">
        <is>
          <t>2000-03-31</t>
        </is>
      </c>
      <c r="X463" t="inlineStr">
        <is>
          <t>2000-03-31</t>
        </is>
      </c>
      <c r="Y463" t="inlineStr">
        <is>
          <t>1991-10-08</t>
        </is>
      </c>
      <c r="Z463" t="inlineStr">
        <is>
          <t>1991-10-08</t>
        </is>
      </c>
      <c r="AA463" t="n">
        <v>427</v>
      </c>
      <c r="AB463" t="n">
        <v>365</v>
      </c>
      <c r="AC463" t="n">
        <v>371</v>
      </c>
      <c r="AD463" t="n">
        <v>5</v>
      </c>
      <c r="AE463" t="n">
        <v>5</v>
      </c>
      <c r="AF463" t="n">
        <v>22</v>
      </c>
      <c r="AG463" t="n">
        <v>22</v>
      </c>
      <c r="AH463" t="n">
        <v>7</v>
      </c>
      <c r="AI463" t="n">
        <v>7</v>
      </c>
      <c r="AJ463" t="n">
        <v>3</v>
      </c>
      <c r="AK463" t="n">
        <v>3</v>
      </c>
      <c r="AL463" t="n">
        <v>14</v>
      </c>
      <c r="AM463" t="n">
        <v>14</v>
      </c>
      <c r="AN463" t="n">
        <v>4</v>
      </c>
      <c r="AO463" t="n">
        <v>4</v>
      </c>
      <c r="AP463" t="n">
        <v>0</v>
      </c>
      <c r="AQ463" t="n">
        <v>0</v>
      </c>
      <c r="AR463" t="inlineStr">
        <is>
          <t>No</t>
        </is>
      </c>
      <c r="AS463" t="inlineStr">
        <is>
          <t>Yes</t>
        </is>
      </c>
      <c r="AT463">
        <f>HYPERLINK("http://catalog.hathitrust.org/Record/000628958","HathiTrust Record")</f>
        <v/>
      </c>
      <c r="AU463">
        <f>HYPERLINK("https://creighton-primo.hosted.exlibrisgroup.com/primo-explore/search?tab=default_tab&amp;search_scope=EVERYTHING&amp;vid=01CRU&amp;lang=en_US&amp;offset=0&amp;query=any,contains,991000813309702656","Catalog Record")</f>
        <v/>
      </c>
      <c r="AV463">
        <f>HYPERLINK("http://www.worldcat.org/oclc/13333667","WorldCat Record")</f>
        <v/>
      </c>
      <c r="AW463" t="inlineStr">
        <is>
          <t>1862331351:eng</t>
        </is>
      </c>
      <c r="AX463" t="inlineStr">
        <is>
          <t>13333667</t>
        </is>
      </c>
      <c r="AY463" t="inlineStr">
        <is>
          <t>991000813309702656</t>
        </is>
      </c>
      <c r="AZ463" t="inlineStr">
        <is>
          <t>991000813309702656</t>
        </is>
      </c>
      <c r="BA463" t="inlineStr">
        <is>
          <t>2262005790002656</t>
        </is>
      </c>
      <c r="BB463" t="inlineStr">
        <is>
          <t>BOOK</t>
        </is>
      </c>
      <c r="BD463" t="inlineStr">
        <is>
          <t>9780805769203</t>
        </is>
      </c>
      <c r="BE463" t="inlineStr">
        <is>
          <t>32285000773076</t>
        </is>
      </c>
      <c r="BF463" t="inlineStr">
        <is>
          <t>893702459</t>
        </is>
      </c>
    </row>
    <row r="464">
      <c r="A464" t="inlineStr">
        <is>
          <t>No</t>
        </is>
      </c>
      <c r="B464" t="inlineStr">
        <is>
          <t>CURAL</t>
        </is>
      </c>
      <c r="C464" t="inlineStr">
        <is>
          <t>SHELVES</t>
        </is>
      </c>
      <c r="D464" t="inlineStr">
        <is>
          <t>PR2384.W3 P3 1950</t>
        </is>
      </c>
      <c r="E464" t="inlineStr">
        <is>
          <t>0                      PR 2384000W  3                  P  3           1950</t>
        </is>
      </c>
      <c r="F464" t="inlineStr">
        <is>
          <t>Syrinx; or, A sevenfold history, edited, with introd. and notes, by Wallace A. Bacon.</t>
        </is>
      </c>
      <c r="H464" t="inlineStr">
        <is>
          <t>No</t>
        </is>
      </c>
      <c r="I464" t="inlineStr">
        <is>
          <t>1</t>
        </is>
      </c>
      <c r="J464" t="inlineStr">
        <is>
          <t>No</t>
        </is>
      </c>
      <c r="K464" t="inlineStr">
        <is>
          <t>No</t>
        </is>
      </c>
      <c r="L464" t="inlineStr">
        <is>
          <t>0</t>
        </is>
      </c>
      <c r="M464" t="inlineStr">
        <is>
          <t>Warner, William, 1558?-1609.</t>
        </is>
      </c>
      <c r="N464" t="inlineStr">
        <is>
          <t>Evanston, Ill., Northwestern University Press, 1950.</t>
        </is>
      </c>
      <c r="O464" t="inlineStr">
        <is>
          <t>1950</t>
        </is>
      </c>
      <c r="Q464" t="inlineStr">
        <is>
          <t>eng</t>
        </is>
      </c>
      <c r="R464" t="inlineStr">
        <is>
          <t>ilu</t>
        </is>
      </c>
      <c r="S464" t="inlineStr">
        <is>
          <t>Northwestern University studies. Humanities series ; no. 26</t>
        </is>
      </c>
      <c r="T464" t="inlineStr">
        <is>
          <t xml:space="preserve">PR </t>
        </is>
      </c>
      <c r="U464" t="n">
        <v>1</v>
      </c>
      <c r="V464" t="n">
        <v>1</v>
      </c>
      <c r="W464" t="inlineStr">
        <is>
          <t>2004-11-15</t>
        </is>
      </c>
      <c r="X464" t="inlineStr">
        <is>
          <t>2004-11-15</t>
        </is>
      </c>
      <c r="Y464" t="inlineStr">
        <is>
          <t>1997-07-30</t>
        </is>
      </c>
      <c r="Z464" t="inlineStr">
        <is>
          <t>1997-07-30</t>
        </is>
      </c>
      <c r="AA464" t="n">
        <v>158</v>
      </c>
      <c r="AB464" t="n">
        <v>135</v>
      </c>
      <c r="AC464" t="n">
        <v>189</v>
      </c>
      <c r="AD464" t="n">
        <v>2</v>
      </c>
      <c r="AE464" t="n">
        <v>2</v>
      </c>
      <c r="AF464" t="n">
        <v>7</v>
      </c>
      <c r="AG464" t="n">
        <v>8</v>
      </c>
      <c r="AH464" t="n">
        <v>1</v>
      </c>
      <c r="AI464" t="n">
        <v>2</v>
      </c>
      <c r="AJ464" t="n">
        <v>1</v>
      </c>
      <c r="AK464" t="n">
        <v>1</v>
      </c>
      <c r="AL464" t="n">
        <v>5</v>
      </c>
      <c r="AM464" t="n">
        <v>5</v>
      </c>
      <c r="AN464" t="n">
        <v>1</v>
      </c>
      <c r="AO464" t="n">
        <v>1</v>
      </c>
      <c r="AP464" t="n">
        <v>0</v>
      </c>
      <c r="AQ464" t="n">
        <v>0</v>
      </c>
      <c r="AR464" t="inlineStr">
        <is>
          <t>Yes</t>
        </is>
      </c>
      <c r="AS464" t="inlineStr">
        <is>
          <t>No</t>
        </is>
      </c>
      <c r="AT464">
        <f>HYPERLINK("http://catalog.hathitrust.org/Record/006671236","HathiTrust Record")</f>
        <v/>
      </c>
      <c r="AU464">
        <f>HYPERLINK("https://creighton-primo.hosted.exlibrisgroup.com/primo-explore/search?tab=default_tab&amp;search_scope=EVERYTHING&amp;vid=01CRU&amp;lang=en_US&amp;offset=0&amp;query=any,contains,991004323419702656","Catalog Record")</f>
        <v/>
      </c>
      <c r="AV464">
        <f>HYPERLINK("http://www.worldcat.org/oclc/3026609","WorldCat Record")</f>
        <v/>
      </c>
      <c r="AW464" t="inlineStr">
        <is>
          <t>7444772:eng</t>
        </is>
      </c>
      <c r="AX464" t="inlineStr">
        <is>
          <t>3026609</t>
        </is>
      </c>
      <c r="AY464" t="inlineStr">
        <is>
          <t>991004323419702656</t>
        </is>
      </c>
      <c r="AZ464" t="inlineStr">
        <is>
          <t>991004323419702656</t>
        </is>
      </c>
      <c r="BA464" t="inlineStr">
        <is>
          <t>2257225080002656</t>
        </is>
      </c>
      <c r="BB464" t="inlineStr">
        <is>
          <t>BOOK</t>
        </is>
      </c>
      <c r="BE464" t="inlineStr">
        <is>
          <t>32285002991312</t>
        </is>
      </c>
      <c r="BF464" t="inlineStr">
        <is>
          <t>893429923</t>
        </is>
      </c>
    </row>
    <row r="465">
      <c r="A465" t="inlineStr">
        <is>
          <t>No</t>
        </is>
      </c>
      <c r="B465" t="inlineStr">
        <is>
          <t>CURAL</t>
        </is>
      </c>
      <c r="C465" t="inlineStr">
        <is>
          <t>SHELVES</t>
        </is>
      </c>
      <c r="D465" t="inlineStr">
        <is>
          <t>PR2388.W4 C5 1586b</t>
        </is>
      </c>
      <c r="E465" t="inlineStr">
        <is>
          <t>0                      PR 2388000W  4                  C  5           1586b</t>
        </is>
      </c>
      <c r="F465" t="inlineStr">
        <is>
          <t>A choice of emblemes, by Geffrey Whitney, 1548-1601. Edited by Henry Green. With an introd. by Frank Fieler.</t>
        </is>
      </c>
      <c r="H465" t="inlineStr">
        <is>
          <t>No</t>
        </is>
      </c>
      <c r="I465" t="inlineStr">
        <is>
          <t>1</t>
        </is>
      </c>
      <c r="J465" t="inlineStr">
        <is>
          <t>Yes</t>
        </is>
      </c>
      <c r="K465" t="inlineStr">
        <is>
          <t>No</t>
        </is>
      </c>
      <c r="L465" t="inlineStr">
        <is>
          <t>0</t>
        </is>
      </c>
      <c r="M465" t="inlineStr">
        <is>
          <t>Whitney, Geffrey, 1548?-1601?</t>
        </is>
      </c>
      <c r="N465" t="inlineStr">
        <is>
          <t>New York, B. Blom [1967]</t>
        </is>
      </c>
      <c r="O465" t="inlineStr">
        <is>
          <t>1967</t>
        </is>
      </c>
      <c r="Q465" t="inlineStr">
        <is>
          <t>eng</t>
        </is>
      </c>
      <c r="R465" t="inlineStr">
        <is>
          <t>nyu</t>
        </is>
      </c>
      <c r="T465" t="inlineStr">
        <is>
          <t xml:space="preserve">PR </t>
        </is>
      </c>
      <c r="U465" t="n">
        <v>1</v>
      </c>
      <c r="V465" t="n">
        <v>1</v>
      </c>
      <c r="W465" t="inlineStr">
        <is>
          <t>2001-11-14</t>
        </is>
      </c>
      <c r="X465" t="inlineStr">
        <is>
          <t>2001-11-14</t>
        </is>
      </c>
      <c r="Y465" t="inlineStr">
        <is>
          <t>1997-07-30</t>
        </is>
      </c>
      <c r="Z465" t="inlineStr">
        <is>
          <t>2003-07-23</t>
        </is>
      </c>
      <c r="AA465" t="n">
        <v>467</v>
      </c>
      <c r="AB465" t="n">
        <v>437</v>
      </c>
      <c r="AC465" t="n">
        <v>478</v>
      </c>
      <c r="AD465" t="n">
        <v>5</v>
      </c>
      <c r="AE465" t="n">
        <v>5</v>
      </c>
      <c r="AF465" t="n">
        <v>23</v>
      </c>
      <c r="AG465" t="n">
        <v>24</v>
      </c>
      <c r="AH465" t="n">
        <v>6</v>
      </c>
      <c r="AI465" t="n">
        <v>7</v>
      </c>
      <c r="AJ465" t="n">
        <v>4</v>
      </c>
      <c r="AK465" t="n">
        <v>4</v>
      </c>
      <c r="AL465" t="n">
        <v>14</v>
      </c>
      <c r="AM465" t="n">
        <v>15</v>
      </c>
      <c r="AN465" t="n">
        <v>4</v>
      </c>
      <c r="AO465" t="n">
        <v>4</v>
      </c>
      <c r="AP465" t="n">
        <v>0</v>
      </c>
      <c r="AQ465" t="n">
        <v>0</v>
      </c>
      <c r="AR465" t="inlineStr">
        <is>
          <t>No</t>
        </is>
      </c>
      <c r="AS465" t="inlineStr">
        <is>
          <t>Yes</t>
        </is>
      </c>
      <c r="AT465">
        <f>HYPERLINK("http://catalog.hathitrust.org/Record/006812198","HathiTrust Record")</f>
        <v/>
      </c>
      <c r="AU465">
        <f>HYPERLINK("https://creighton-primo.hosted.exlibrisgroup.com/primo-explore/search?tab=default_tab&amp;search_scope=EVERYTHING&amp;vid=01CRU&amp;lang=en_US&amp;offset=0&amp;query=any,contains,991003246839702656","Catalog Record")</f>
        <v/>
      </c>
      <c r="AV465">
        <f>HYPERLINK("http://www.worldcat.org/oclc/353403","WorldCat Record")</f>
        <v/>
      </c>
      <c r="AW465" t="inlineStr">
        <is>
          <t>5578928116:eng</t>
        </is>
      </c>
      <c r="AX465" t="inlineStr">
        <is>
          <t>353403</t>
        </is>
      </c>
      <c r="AY465" t="inlineStr">
        <is>
          <t>991003246839702656</t>
        </is>
      </c>
      <c r="AZ465" t="inlineStr">
        <is>
          <t>991003246839702656</t>
        </is>
      </c>
      <c r="BA465" t="inlineStr">
        <is>
          <t>2264941160002656</t>
        </is>
      </c>
      <c r="BB465" t="inlineStr">
        <is>
          <t>BOOK</t>
        </is>
      </c>
      <c r="BE465" t="inlineStr">
        <is>
          <t>32285002991320</t>
        </is>
      </c>
      <c r="BF465" t="inlineStr">
        <is>
          <t>893904306</t>
        </is>
      </c>
    </row>
    <row r="466">
      <c r="A466" t="inlineStr">
        <is>
          <t>No</t>
        </is>
      </c>
      <c r="B466" t="inlineStr">
        <is>
          <t>CURAL</t>
        </is>
      </c>
      <c r="C466" t="inlineStr">
        <is>
          <t>SHELVES</t>
        </is>
      </c>
      <c r="D466" t="inlineStr">
        <is>
          <t>PR2400.A5 R4 1981</t>
        </is>
      </c>
      <c r="E466" t="inlineStr">
        <is>
          <t>0                      PR 2400000A  5                  R  4           1981</t>
        </is>
      </c>
      <c r="F466" t="inlineStr">
        <is>
          <t>Sir Thomas Wyatt, The complete poems / edited by R. A. Rebholz.</t>
        </is>
      </c>
      <c r="H466" t="inlineStr">
        <is>
          <t>No</t>
        </is>
      </c>
      <c r="I466" t="inlineStr">
        <is>
          <t>1</t>
        </is>
      </c>
      <c r="J466" t="inlineStr">
        <is>
          <t>No</t>
        </is>
      </c>
      <c r="K466" t="inlineStr">
        <is>
          <t>No</t>
        </is>
      </c>
      <c r="L466" t="inlineStr">
        <is>
          <t>0</t>
        </is>
      </c>
      <c r="M466" t="inlineStr">
        <is>
          <t>Wyatt, Thomas, Sir, 1503?-1542.</t>
        </is>
      </c>
      <c r="N466" t="inlineStr">
        <is>
          <t>New Haven : Yale University Press, 1981.</t>
        </is>
      </c>
      <c r="O466" t="inlineStr">
        <is>
          <t>1981</t>
        </is>
      </c>
      <c r="Q466" t="inlineStr">
        <is>
          <t>eng</t>
        </is>
      </c>
      <c r="R466" t="inlineStr">
        <is>
          <t>ctu</t>
        </is>
      </c>
      <c r="S466" t="inlineStr">
        <is>
          <t>The English poets ; 5</t>
        </is>
      </c>
      <c r="T466" t="inlineStr">
        <is>
          <t xml:space="preserve">PR </t>
        </is>
      </c>
      <c r="U466" t="n">
        <v>1</v>
      </c>
      <c r="V466" t="n">
        <v>1</v>
      </c>
      <c r="W466" t="inlineStr">
        <is>
          <t>1995-03-18</t>
        </is>
      </c>
      <c r="X466" t="inlineStr">
        <is>
          <t>1995-03-18</t>
        </is>
      </c>
      <c r="Y466" t="inlineStr">
        <is>
          <t>1991-10-08</t>
        </is>
      </c>
      <c r="Z466" t="inlineStr">
        <is>
          <t>1991-10-08</t>
        </is>
      </c>
      <c r="AA466" t="n">
        <v>440</v>
      </c>
      <c r="AB466" t="n">
        <v>372</v>
      </c>
      <c r="AC466" t="n">
        <v>376</v>
      </c>
      <c r="AD466" t="n">
        <v>3</v>
      </c>
      <c r="AE466" t="n">
        <v>3</v>
      </c>
      <c r="AF466" t="n">
        <v>20</v>
      </c>
      <c r="AG466" t="n">
        <v>20</v>
      </c>
      <c r="AH466" t="n">
        <v>6</v>
      </c>
      <c r="AI466" t="n">
        <v>6</v>
      </c>
      <c r="AJ466" t="n">
        <v>6</v>
      </c>
      <c r="AK466" t="n">
        <v>6</v>
      </c>
      <c r="AL466" t="n">
        <v>12</v>
      </c>
      <c r="AM466" t="n">
        <v>12</v>
      </c>
      <c r="AN466" t="n">
        <v>2</v>
      </c>
      <c r="AO466" t="n">
        <v>2</v>
      </c>
      <c r="AP466" t="n">
        <v>0</v>
      </c>
      <c r="AQ466" t="n">
        <v>0</v>
      </c>
      <c r="AR466" t="inlineStr">
        <is>
          <t>No</t>
        </is>
      </c>
      <c r="AS466" t="inlineStr">
        <is>
          <t>No</t>
        </is>
      </c>
      <c r="AU466">
        <f>HYPERLINK("https://creighton-primo.hosted.exlibrisgroup.com/primo-explore/search?tab=default_tab&amp;search_scope=EVERYTHING&amp;vid=01CRU&amp;lang=en_US&amp;offset=0&amp;query=any,contains,991005085619702656","Catalog Record")</f>
        <v/>
      </c>
      <c r="AV466">
        <f>HYPERLINK("http://www.worldcat.org/oclc/7196346","WorldCat Record")</f>
        <v/>
      </c>
      <c r="AW466" t="inlineStr">
        <is>
          <t>3769018591:eng</t>
        </is>
      </c>
      <c r="AX466" t="inlineStr">
        <is>
          <t>7196346</t>
        </is>
      </c>
      <c r="AY466" t="inlineStr">
        <is>
          <t>991005085619702656</t>
        </is>
      </c>
      <c r="AZ466" t="inlineStr">
        <is>
          <t>991005085619702656</t>
        </is>
      </c>
      <c r="BA466" t="inlineStr">
        <is>
          <t>2255675020002656</t>
        </is>
      </c>
      <c r="BB466" t="inlineStr">
        <is>
          <t>BOOK</t>
        </is>
      </c>
      <c r="BD466" t="inlineStr">
        <is>
          <t>9780300026818</t>
        </is>
      </c>
      <c r="BE466" t="inlineStr">
        <is>
          <t>32285000773100</t>
        </is>
      </c>
      <c r="BF466" t="inlineStr">
        <is>
          <t>893606802</t>
        </is>
      </c>
    </row>
    <row r="467">
      <c r="A467" t="inlineStr">
        <is>
          <t>No</t>
        </is>
      </c>
      <c r="B467" t="inlineStr">
        <is>
          <t>CURAL</t>
        </is>
      </c>
      <c r="C467" t="inlineStr">
        <is>
          <t>SHELVES</t>
        </is>
      </c>
      <c r="D467" t="inlineStr">
        <is>
          <t>PR2403 .T4</t>
        </is>
      </c>
      <c r="E467" t="inlineStr">
        <is>
          <t>0                      PR 2403000T  4</t>
        </is>
      </c>
      <c r="F467" t="inlineStr">
        <is>
          <t>Sir Thomas Wyatt and his background.</t>
        </is>
      </c>
      <c r="H467" t="inlineStr">
        <is>
          <t>No</t>
        </is>
      </c>
      <c r="I467" t="inlineStr">
        <is>
          <t>1</t>
        </is>
      </c>
      <c r="J467" t="inlineStr">
        <is>
          <t>No</t>
        </is>
      </c>
      <c r="K467" t="inlineStr">
        <is>
          <t>No</t>
        </is>
      </c>
      <c r="L467" t="inlineStr">
        <is>
          <t>0</t>
        </is>
      </c>
      <c r="M467" t="inlineStr">
        <is>
          <t>Thomson, Patricia.</t>
        </is>
      </c>
      <c r="N467" t="inlineStr">
        <is>
          <t>Stanford, Calif., Stanford University Press [1965, c1964]</t>
        </is>
      </c>
      <c r="O467" t="inlineStr">
        <is>
          <t>1965</t>
        </is>
      </c>
      <c r="Q467" t="inlineStr">
        <is>
          <t>eng</t>
        </is>
      </c>
      <c r="R467" t="inlineStr">
        <is>
          <t>cau</t>
        </is>
      </c>
      <c r="T467" t="inlineStr">
        <is>
          <t xml:space="preserve">PR </t>
        </is>
      </c>
      <c r="U467" t="n">
        <v>3</v>
      </c>
      <c r="V467" t="n">
        <v>3</v>
      </c>
      <c r="W467" t="inlineStr">
        <is>
          <t>1998-04-02</t>
        </is>
      </c>
      <c r="X467" t="inlineStr">
        <is>
          <t>1998-04-02</t>
        </is>
      </c>
      <c r="Y467" t="inlineStr">
        <is>
          <t>1997-07-30</t>
        </is>
      </c>
      <c r="Z467" t="inlineStr">
        <is>
          <t>1997-07-30</t>
        </is>
      </c>
      <c r="AA467" t="n">
        <v>540</v>
      </c>
      <c r="AB467" t="n">
        <v>520</v>
      </c>
      <c r="AC467" t="n">
        <v>677</v>
      </c>
      <c r="AD467" t="n">
        <v>3</v>
      </c>
      <c r="AE467" t="n">
        <v>5</v>
      </c>
      <c r="AF467" t="n">
        <v>23</v>
      </c>
      <c r="AG467" t="n">
        <v>36</v>
      </c>
      <c r="AH467" t="n">
        <v>12</v>
      </c>
      <c r="AI467" t="n">
        <v>17</v>
      </c>
      <c r="AJ467" t="n">
        <v>4</v>
      </c>
      <c r="AK467" t="n">
        <v>6</v>
      </c>
      <c r="AL467" t="n">
        <v>11</v>
      </c>
      <c r="AM467" t="n">
        <v>19</v>
      </c>
      <c r="AN467" t="n">
        <v>2</v>
      </c>
      <c r="AO467" t="n">
        <v>4</v>
      </c>
      <c r="AP467" t="n">
        <v>0</v>
      </c>
      <c r="AQ467" t="n">
        <v>0</v>
      </c>
      <c r="AR467" t="inlineStr">
        <is>
          <t>No</t>
        </is>
      </c>
      <c r="AS467" t="inlineStr">
        <is>
          <t>No</t>
        </is>
      </c>
      <c r="AU467">
        <f>HYPERLINK("https://creighton-primo.hosted.exlibrisgroup.com/primo-explore/search?tab=default_tab&amp;search_scope=EVERYTHING&amp;vid=01CRU&amp;lang=en_US&amp;offset=0&amp;query=any,contains,991002450089702656","Catalog Record")</f>
        <v/>
      </c>
      <c r="AV467">
        <f>HYPERLINK("http://www.worldcat.org/oclc/352651","WorldCat Record")</f>
        <v/>
      </c>
      <c r="AW467" t="inlineStr">
        <is>
          <t>1389382:eng</t>
        </is>
      </c>
      <c r="AX467" t="inlineStr">
        <is>
          <t>352651</t>
        </is>
      </c>
      <c r="AY467" t="inlineStr">
        <is>
          <t>991002450089702656</t>
        </is>
      </c>
      <c r="AZ467" t="inlineStr">
        <is>
          <t>991002450089702656</t>
        </is>
      </c>
      <c r="BA467" t="inlineStr">
        <is>
          <t>2265175820002656</t>
        </is>
      </c>
      <c r="BB467" t="inlineStr">
        <is>
          <t>BOOK</t>
        </is>
      </c>
      <c r="BE467" t="inlineStr">
        <is>
          <t>32285002991452</t>
        </is>
      </c>
      <c r="BF467" t="inlineStr">
        <is>
          <t>893245196</t>
        </is>
      </c>
    </row>
    <row r="468">
      <c r="A468" t="inlineStr">
        <is>
          <t>No</t>
        </is>
      </c>
      <c r="B468" t="inlineStr">
        <is>
          <t>CURAL</t>
        </is>
      </c>
      <c r="C468" t="inlineStr">
        <is>
          <t>SHELVES</t>
        </is>
      </c>
      <c r="D468" t="inlineStr">
        <is>
          <t>PR2404 .F57 1990</t>
        </is>
      </c>
      <c r="E468" t="inlineStr">
        <is>
          <t>0                      PR 2404000F  57          1990</t>
        </is>
      </c>
      <c r="F468" t="inlineStr">
        <is>
          <t>Sir Thomas Wyatt / by Stephen Merriam Foley.</t>
        </is>
      </c>
      <c r="H468" t="inlineStr">
        <is>
          <t>No</t>
        </is>
      </c>
      <c r="I468" t="inlineStr">
        <is>
          <t>1</t>
        </is>
      </c>
      <c r="J468" t="inlineStr">
        <is>
          <t>No</t>
        </is>
      </c>
      <c r="K468" t="inlineStr">
        <is>
          <t>No</t>
        </is>
      </c>
      <c r="L468" t="inlineStr">
        <is>
          <t>0</t>
        </is>
      </c>
      <c r="M468" t="inlineStr">
        <is>
          <t>Foley, Stephen Merriam.</t>
        </is>
      </c>
      <c r="N468" t="inlineStr">
        <is>
          <t>Boston : Twayne Publishers, 1990.</t>
        </is>
      </c>
      <c r="O468" t="inlineStr">
        <is>
          <t>1990</t>
        </is>
      </c>
      <c r="Q468" t="inlineStr">
        <is>
          <t>eng</t>
        </is>
      </c>
      <c r="R468" t="inlineStr">
        <is>
          <t>mau</t>
        </is>
      </c>
      <c r="S468" t="inlineStr">
        <is>
          <t>Twayne's English authors series ; TEAS 475</t>
        </is>
      </c>
      <c r="T468" t="inlineStr">
        <is>
          <t xml:space="preserve">PR </t>
        </is>
      </c>
      <c r="U468" t="n">
        <v>4</v>
      </c>
      <c r="V468" t="n">
        <v>4</v>
      </c>
      <c r="W468" t="inlineStr">
        <is>
          <t>2005-04-06</t>
        </is>
      </c>
      <c r="X468" t="inlineStr">
        <is>
          <t>2005-04-06</t>
        </is>
      </c>
      <c r="Y468" t="inlineStr">
        <is>
          <t>1990-06-13</t>
        </is>
      </c>
      <c r="Z468" t="inlineStr">
        <is>
          <t>1990-06-13</t>
        </is>
      </c>
      <c r="AA468" t="n">
        <v>608</v>
      </c>
      <c r="AB468" t="n">
        <v>510</v>
      </c>
      <c r="AC468" t="n">
        <v>602</v>
      </c>
      <c r="AD468" t="n">
        <v>5</v>
      </c>
      <c r="AE468" t="n">
        <v>5</v>
      </c>
      <c r="AF468" t="n">
        <v>26</v>
      </c>
      <c r="AG468" t="n">
        <v>27</v>
      </c>
      <c r="AH468" t="n">
        <v>9</v>
      </c>
      <c r="AI468" t="n">
        <v>9</v>
      </c>
      <c r="AJ468" t="n">
        <v>5</v>
      </c>
      <c r="AK468" t="n">
        <v>5</v>
      </c>
      <c r="AL468" t="n">
        <v>16</v>
      </c>
      <c r="AM468" t="n">
        <v>17</v>
      </c>
      <c r="AN468" t="n">
        <v>4</v>
      </c>
      <c r="AO468" t="n">
        <v>4</v>
      </c>
      <c r="AP468" t="n">
        <v>0</v>
      </c>
      <c r="AQ468" t="n">
        <v>0</v>
      </c>
      <c r="AR468" t="inlineStr">
        <is>
          <t>No</t>
        </is>
      </c>
      <c r="AS468" t="inlineStr">
        <is>
          <t>Yes</t>
        </is>
      </c>
      <c r="AT468">
        <f>HYPERLINK("http://catalog.hathitrust.org/Record/002164014","HathiTrust Record")</f>
        <v/>
      </c>
      <c r="AU468">
        <f>HYPERLINK("https://creighton-primo.hosted.exlibrisgroup.com/primo-explore/search?tab=default_tab&amp;search_scope=EVERYTHING&amp;vid=01CRU&amp;lang=en_US&amp;offset=0&amp;query=any,contains,991001622349702656","Catalog Record")</f>
        <v/>
      </c>
      <c r="AV468">
        <f>HYPERLINK("http://www.worldcat.org/oclc/20826101","WorldCat Record")</f>
        <v/>
      </c>
      <c r="AW468" t="inlineStr">
        <is>
          <t>10252784671:eng</t>
        </is>
      </c>
      <c r="AX468" t="inlineStr">
        <is>
          <t>20826101</t>
        </is>
      </c>
      <c r="AY468" t="inlineStr">
        <is>
          <t>991001622349702656</t>
        </is>
      </c>
      <c r="AZ468" t="inlineStr">
        <is>
          <t>991001622349702656</t>
        </is>
      </c>
      <c r="BA468" t="inlineStr">
        <is>
          <t>2261000580002656</t>
        </is>
      </c>
      <c r="BB468" t="inlineStr">
        <is>
          <t>BOOK</t>
        </is>
      </c>
      <c r="BD468" t="inlineStr">
        <is>
          <t>9780805769920</t>
        </is>
      </c>
      <c r="BE468" t="inlineStr">
        <is>
          <t>32285000022896</t>
        </is>
      </c>
      <c r="BF468" t="inlineStr">
        <is>
          <t>893432952</t>
        </is>
      </c>
    </row>
    <row r="469">
      <c r="A469" t="inlineStr">
        <is>
          <t>No</t>
        </is>
      </c>
      <c r="B469" t="inlineStr">
        <is>
          <t>CURAL</t>
        </is>
      </c>
      <c r="C469" t="inlineStr">
        <is>
          <t>SHELVES</t>
        </is>
      </c>
      <c r="D469" t="inlineStr">
        <is>
          <t>PR2411 .S3 1978</t>
        </is>
      </c>
      <c r="E469" t="inlineStr">
        <is>
          <t>0                      PR 2411000S  3           1978</t>
        </is>
      </c>
      <c r="F469" t="inlineStr">
        <is>
          <t>The second maiden's tragedy / edited by Anne Lancashire. --</t>
        </is>
      </c>
      <c r="H469" t="inlineStr">
        <is>
          <t>No</t>
        </is>
      </c>
      <c r="I469" t="inlineStr">
        <is>
          <t>1</t>
        </is>
      </c>
      <c r="J469" t="inlineStr">
        <is>
          <t>No</t>
        </is>
      </c>
      <c r="K469" t="inlineStr">
        <is>
          <t>No</t>
        </is>
      </c>
      <c r="L469" t="inlineStr">
        <is>
          <t>0</t>
        </is>
      </c>
      <c r="M469" t="inlineStr">
        <is>
          <t>Second maiden's tragedy.</t>
        </is>
      </c>
      <c r="N469" t="inlineStr">
        <is>
          <t>Manchester : Manchester University Press ; Baltimore : Johns Hopkins University Press, 1978.</t>
        </is>
      </c>
      <c r="O469" t="inlineStr">
        <is>
          <t>1978</t>
        </is>
      </c>
      <c r="Q469" t="inlineStr">
        <is>
          <t>eng</t>
        </is>
      </c>
      <c r="R469" t="inlineStr">
        <is>
          <t>enk</t>
        </is>
      </c>
      <c r="S469" t="inlineStr">
        <is>
          <t>The Revels plays</t>
        </is>
      </c>
      <c r="T469" t="inlineStr">
        <is>
          <t xml:space="preserve">PR </t>
        </is>
      </c>
      <c r="U469" t="n">
        <v>0</v>
      </c>
      <c r="V469" t="n">
        <v>0</v>
      </c>
      <c r="W469" t="inlineStr">
        <is>
          <t>2002-08-22</t>
        </is>
      </c>
      <c r="X469" t="inlineStr">
        <is>
          <t>2002-08-22</t>
        </is>
      </c>
      <c r="Y469" t="inlineStr">
        <is>
          <t>1991-10-08</t>
        </is>
      </c>
      <c r="Z469" t="inlineStr">
        <is>
          <t>1991-10-08</t>
        </is>
      </c>
      <c r="AA469" t="n">
        <v>618</v>
      </c>
      <c r="AB469" t="n">
        <v>481</v>
      </c>
      <c r="AC469" t="n">
        <v>509</v>
      </c>
      <c r="AD469" t="n">
        <v>4</v>
      </c>
      <c r="AE469" t="n">
        <v>4</v>
      </c>
      <c r="AF469" t="n">
        <v>32</v>
      </c>
      <c r="AG469" t="n">
        <v>32</v>
      </c>
      <c r="AH469" t="n">
        <v>13</v>
      </c>
      <c r="AI469" t="n">
        <v>13</v>
      </c>
      <c r="AJ469" t="n">
        <v>7</v>
      </c>
      <c r="AK469" t="n">
        <v>7</v>
      </c>
      <c r="AL469" t="n">
        <v>19</v>
      </c>
      <c r="AM469" t="n">
        <v>19</v>
      </c>
      <c r="AN469" t="n">
        <v>3</v>
      </c>
      <c r="AO469" t="n">
        <v>3</v>
      </c>
      <c r="AP469" t="n">
        <v>0</v>
      </c>
      <c r="AQ469" t="n">
        <v>0</v>
      </c>
      <c r="AR469" t="inlineStr">
        <is>
          <t>No</t>
        </is>
      </c>
      <c r="AS469" t="inlineStr">
        <is>
          <t>Yes</t>
        </is>
      </c>
      <c r="AT469">
        <f>HYPERLINK("http://catalog.hathitrust.org/Record/000179757","HathiTrust Record")</f>
        <v/>
      </c>
      <c r="AU469">
        <f>HYPERLINK("https://creighton-primo.hosted.exlibrisgroup.com/primo-explore/search?tab=default_tab&amp;search_scope=EVERYTHING&amp;vid=01CRU&amp;lang=en_US&amp;offset=0&amp;query=any,contains,991004590729702656","Catalog Record")</f>
        <v/>
      </c>
      <c r="AV469">
        <f>HYPERLINK("http://www.worldcat.org/oclc/4116881","WorldCat Record")</f>
        <v/>
      </c>
      <c r="AW469" t="inlineStr">
        <is>
          <t>4095563857:eng</t>
        </is>
      </c>
      <c r="AX469" t="inlineStr">
        <is>
          <t>4116881</t>
        </is>
      </c>
      <c r="AY469" t="inlineStr">
        <is>
          <t>991004590729702656</t>
        </is>
      </c>
      <c r="AZ469" t="inlineStr">
        <is>
          <t>991004590729702656</t>
        </is>
      </c>
      <c r="BA469" t="inlineStr">
        <is>
          <t>2271028380002656</t>
        </is>
      </c>
      <c r="BB469" t="inlineStr">
        <is>
          <t>BOOK</t>
        </is>
      </c>
      <c r="BD469" t="inlineStr">
        <is>
          <t>9780801820113</t>
        </is>
      </c>
      <c r="BE469" t="inlineStr">
        <is>
          <t>32285000773126</t>
        </is>
      </c>
      <c r="BF469" t="inlineStr">
        <is>
          <t>893442786</t>
        </is>
      </c>
    </row>
    <row r="470">
      <c r="A470" t="inlineStr">
        <is>
          <t>No</t>
        </is>
      </c>
      <c r="B470" t="inlineStr">
        <is>
          <t>CURAL</t>
        </is>
      </c>
      <c r="C470" t="inlineStr">
        <is>
          <t>SHELVES</t>
        </is>
      </c>
      <c r="D470" t="inlineStr">
        <is>
          <t>PR2411 .T3 1998</t>
        </is>
      </c>
      <c r="E470" t="inlineStr">
        <is>
          <t>0                      PR 2411000T  3           1998</t>
        </is>
      </c>
      <c r="F470" t="inlineStr">
        <is>
          <t>The taming of a shrew : the 1594 quarto / edited by Stephen Roy Miller.</t>
        </is>
      </c>
      <c r="H470" t="inlineStr">
        <is>
          <t>No</t>
        </is>
      </c>
      <c r="I470" t="inlineStr">
        <is>
          <t>1</t>
        </is>
      </c>
      <c r="J470" t="inlineStr">
        <is>
          <t>No</t>
        </is>
      </c>
      <c r="K470" t="inlineStr">
        <is>
          <t>No</t>
        </is>
      </c>
      <c r="L470" t="inlineStr">
        <is>
          <t>0</t>
        </is>
      </c>
      <c r="N470" t="inlineStr">
        <is>
          <t>Cambridge ; New York : Cambridge University Press, 1998.</t>
        </is>
      </c>
      <c r="O470" t="inlineStr">
        <is>
          <t>1998</t>
        </is>
      </c>
      <c r="Q470" t="inlineStr">
        <is>
          <t>eng</t>
        </is>
      </c>
      <c r="R470" t="inlineStr">
        <is>
          <t>enk</t>
        </is>
      </c>
      <c r="S470" t="inlineStr">
        <is>
          <t>The new Cambridge Shakespeare</t>
        </is>
      </c>
      <c r="T470" t="inlineStr">
        <is>
          <t xml:space="preserve">PR </t>
        </is>
      </c>
      <c r="U470" t="n">
        <v>1</v>
      </c>
      <c r="V470" t="n">
        <v>1</v>
      </c>
      <c r="W470" t="inlineStr">
        <is>
          <t>2009-01-25</t>
        </is>
      </c>
      <c r="X470" t="inlineStr">
        <is>
          <t>2009-01-25</t>
        </is>
      </c>
      <c r="Y470" t="inlineStr">
        <is>
          <t>1999-03-23</t>
        </is>
      </c>
      <c r="Z470" t="inlineStr">
        <is>
          <t>1999-03-23</t>
        </is>
      </c>
      <c r="AA470" t="n">
        <v>344</v>
      </c>
      <c r="AB470" t="n">
        <v>252</v>
      </c>
      <c r="AC470" t="n">
        <v>261</v>
      </c>
      <c r="AD470" t="n">
        <v>4</v>
      </c>
      <c r="AE470" t="n">
        <v>4</v>
      </c>
      <c r="AF470" t="n">
        <v>16</v>
      </c>
      <c r="AG470" t="n">
        <v>16</v>
      </c>
      <c r="AH470" t="n">
        <v>5</v>
      </c>
      <c r="AI470" t="n">
        <v>5</v>
      </c>
      <c r="AJ470" t="n">
        <v>3</v>
      </c>
      <c r="AK470" t="n">
        <v>3</v>
      </c>
      <c r="AL470" t="n">
        <v>8</v>
      </c>
      <c r="AM470" t="n">
        <v>8</v>
      </c>
      <c r="AN470" t="n">
        <v>3</v>
      </c>
      <c r="AO470" t="n">
        <v>3</v>
      </c>
      <c r="AP470" t="n">
        <v>0</v>
      </c>
      <c r="AQ470" t="n">
        <v>0</v>
      </c>
      <c r="AR470" t="inlineStr">
        <is>
          <t>No</t>
        </is>
      </c>
      <c r="AS470" t="inlineStr">
        <is>
          <t>No</t>
        </is>
      </c>
      <c r="AU470">
        <f>HYPERLINK("https://creighton-primo.hosted.exlibrisgroup.com/primo-explore/search?tab=default_tab&amp;search_scope=EVERYTHING&amp;vid=01CRU&amp;lang=en_US&amp;offset=0&amp;query=any,contains,991002889439702656","Catalog Record")</f>
        <v/>
      </c>
      <c r="AV470">
        <f>HYPERLINK("http://www.worldcat.org/oclc/38067620","WorldCat Record")</f>
        <v/>
      </c>
      <c r="AW470" t="inlineStr">
        <is>
          <t>837031088:eng</t>
        </is>
      </c>
      <c r="AX470" t="inlineStr">
        <is>
          <t>38067620</t>
        </is>
      </c>
      <c r="AY470" t="inlineStr">
        <is>
          <t>991002889439702656</t>
        </is>
      </c>
      <c r="AZ470" t="inlineStr">
        <is>
          <t>991002889439702656</t>
        </is>
      </c>
      <c r="BA470" t="inlineStr">
        <is>
          <t>2260094280002656</t>
        </is>
      </c>
      <c r="BB470" t="inlineStr">
        <is>
          <t>BOOK</t>
        </is>
      </c>
      <c r="BD470" t="inlineStr">
        <is>
          <t>9780521563239</t>
        </is>
      </c>
      <c r="BE470" t="inlineStr">
        <is>
          <t>32285003545307</t>
        </is>
      </c>
      <c r="BF470" t="inlineStr">
        <is>
          <t>893251746</t>
        </is>
      </c>
    </row>
    <row r="471">
      <c r="A471" t="inlineStr">
        <is>
          <t>No</t>
        </is>
      </c>
      <c r="B471" t="inlineStr">
        <is>
          <t>CURAL</t>
        </is>
      </c>
      <c r="C471" t="inlineStr">
        <is>
          <t>SHELVES</t>
        </is>
      </c>
      <c r="D471" t="inlineStr">
        <is>
          <t>PR2434 .A7</t>
        </is>
      </c>
      <c r="E471" t="inlineStr">
        <is>
          <t>0                      PR 2434000A  7</t>
        </is>
      </c>
      <c r="F471" t="inlineStr">
        <is>
          <t>Beaumont and Fletcher; a critical study.</t>
        </is>
      </c>
      <c r="H471" t="inlineStr">
        <is>
          <t>No</t>
        </is>
      </c>
      <c r="I471" t="inlineStr">
        <is>
          <t>1</t>
        </is>
      </c>
      <c r="J471" t="inlineStr">
        <is>
          <t>No</t>
        </is>
      </c>
      <c r="K471" t="inlineStr">
        <is>
          <t>No</t>
        </is>
      </c>
      <c r="L471" t="inlineStr">
        <is>
          <t>0</t>
        </is>
      </c>
      <c r="M471" t="inlineStr">
        <is>
          <t>Appleton, William W., 1915-2014.</t>
        </is>
      </c>
      <c r="N471" t="inlineStr">
        <is>
          <t>London, Allen &amp; Unwin [label: Fair Lawn, N.J., Essential Books, 1956]</t>
        </is>
      </c>
      <c r="O471" t="inlineStr">
        <is>
          <t>1956</t>
        </is>
      </c>
      <c r="Q471" t="inlineStr">
        <is>
          <t>eng</t>
        </is>
      </c>
      <c r="R471" t="inlineStr">
        <is>
          <t>enk</t>
        </is>
      </c>
      <c r="T471" t="inlineStr">
        <is>
          <t xml:space="preserve">PR </t>
        </is>
      </c>
      <c r="U471" t="n">
        <v>1</v>
      </c>
      <c r="V471" t="n">
        <v>1</v>
      </c>
      <c r="W471" t="inlineStr">
        <is>
          <t>2004-09-23</t>
        </is>
      </c>
      <c r="X471" t="inlineStr">
        <is>
          <t>2004-09-23</t>
        </is>
      </c>
      <c r="Y471" t="inlineStr">
        <is>
          <t>1997-07-30</t>
        </is>
      </c>
      <c r="Z471" t="inlineStr">
        <is>
          <t>1997-07-30</t>
        </is>
      </c>
      <c r="AA471" t="n">
        <v>565</v>
      </c>
      <c r="AB471" t="n">
        <v>442</v>
      </c>
      <c r="AC471" t="n">
        <v>522</v>
      </c>
      <c r="AD471" t="n">
        <v>6</v>
      </c>
      <c r="AE471" t="n">
        <v>6</v>
      </c>
      <c r="AF471" t="n">
        <v>25</v>
      </c>
      <c r="AG471" t="n">
        <v>28</v>
      </c>
      <c r="AH471" t="n">
        <v>7</v>
      </c>
      <c r="AI471" t="n">
        <v>8</v>
      </c>
      <c r="AJ471" t="n">
        <v>4</v>
      </c>
      <c r="AK471" t="n">
        <v>6</v>
      </c>
      <c r="AL471" t="n">
        <v>14</v>
      </c>
      <c r="AM471" t="n">
        <v>16</v>
      </c>
      <c r="AN471" t="n">
        <v>5</v>
      </c>
      <c r="AO471" t="n">
        <v>5</v>
      </c>
      <c r="AP471" t="n">
        <v>0</v>
      </c>
      <c r="AQ471" t="n">
        <v>0</v>
      </c>
      <c r="AR471" t="inlineStr">
        <is>
          <t>No</t>
        </is>
      </c>
      <c r="AS471" t="inlineStr">
        <is>
          <t>Yes</t>
        </is>
      </c>
      <c r="AT471">
        <f>HYPERLINK("http://catalog.hathitrust.org/Record/001004347","HathiTrust Record")</f>
        <v/>
      </c>
      <c r="AU471">
        <f>HYPERLINK("https://creighton-primo.hosted.exlibrisgroup.com/primo-explore/search?tab=default_tab&amp;search_scope=EVERYTHING&amp;vid=01CRU&amp;lang=en_US&amp;offset=0&amp;query=any,contains,991003749219702656","Catalog Record")</f>
        <v/>
      </c>
      <c r="AV471">
        <f>HYPERLINK("http://www.worldcat.org/oclc/1423215","WorldCat Record")</f>
        <v/>
      </c>
      <c r="AW471" t="inlineStr">
        <is>
          <t>1862266133:eng</t>
        </is>
      </c>
      <c r="AX471" t="inlineStr">
        <is>
          <t>1423215</t>
        </is>
      </c>
      <c r="AY471" t="inlineStr">
        <is>
          <t>991003749219702656</t>
        </is>
      </c>
      <c r="AZ471" t="inlineStr">
        <is>
          <t>991003749219702656</t>
        </is>
      </c>
      <c r="BA471" t="inlineStr">
        <is>
          <t>2269745880002656</t>
        </is>
      </c>
      <c r="BB471" t="inlineStr">
        <is>
          <t>BOOK</t>
        </is>
      </c>
      <c r="BE471" t="inlineStr">
        <is>
          <t>32285002992575</t>
        </is>
      </c>
      <c r="BF471" t="inlineStr">
        <is>
          <t>893787698</t>
        </is>
      </c>
    </row>
    <row r="472">
      <c r="A472" t="inlineStr">
        <is>
          <t>No</t>
        </is>
      </c>
      <c r="B472" t="inlineStr">
        <is>
          <t>CURAL</t>
        </is>
      </c>
      <c r="C472" t="inlineStr">
        <is>
          <t>SHELVES</t>
        </is>
      </c>
      <c r="D472" t="inlineStr">
        <is>
          <t>PR2434 .B55 1987</t>
        </is>
      </c>
      <c r="E472" t="inlineStr">
        <is>
          <t>0                      PR 2434000B  55          1987</t>
        </is>
      </c>
      <c r="F472" t="inlineStr">
        <is>
          <t>Francis Beaumont / by Lee Bliss.</t>
        </is>
      </c>
      <c r="H472" t="inlineStr">
        <is>
          <t>No</t>
        </is>
      </c>
      <c r="I472" t="inlineStr">
        <is>
          <t>1</t>
        </is>
      </c>
      <c r="J472" t="inlineStr">
        <is>
          <t>No</t>
        </is>
      </c>
      <c r="K472" t="inlineStr">
        <is>
          <t>No</t>
        </is>
      </c>
      <c r="L472" t="inlineStr">
        <is>
          <t>0</t>
        </is>
      </c>
      <c r="M472" t="inlineStr">
        <is>
          <t>Bliss, Lee, 1943-</t>
        </is>
      </c>
      <c r="N472" t="inlineStr">
        <is>
          <t>Boston : Twayne Publishers, c1987.</t>
        </is>
      </c>
      <c r="O472" t="inlineStr">
        <is>
          <t>1987</t>
        </is>
      </c>
      <c r="Q472" t="inlineStr">
        <is>
          <t>eng</t>
        </is>
      </c>
      <c r="R472" t="inlineStr">
        <is>
          <t>mau</t>
        </is>
      </c>
      <c r="S472" t="inlineStr">
        <is>
          <t>Twayne's English authors series ; TEAS 458</t>
        </is>
      </c>
      <c r="T472" t="inlineStr">
        <is>
          <t xml:space="preserve">PR </t>
        </is>
      </c>
      <c r="U472" t="n">
        <v>2</v>
      </c>
      <c r="V472" t="n">
        <v>2</v>
      </c>
      <c r="W472" t="inlineStr">
        <is>
          <t>1996-04-30</t>
        </is>
      </c>
      <c r="X472" t="inlineStr">
        <is>
          <t>1996-04-30</t>
        </is>
      </c>
      <c r="Y472" t="inlineStr">
        <is>
          <t>1991-10-08</t>
        </is>
      </c>
      <c r="Z472" t="inlineStr">
        <is>
          <t>1991-10-08</t>
        </is>
      </c>
      <c r="AA472" t="n">
        <v>514</v>
      </c>
      <c r="AB472" t="n">
        <v>434</v>
      </c>
      <c r="AC472" t="n">
        <v>586</v>
      </c>
      <c r="AD472" t="n">
        <v>4</v>
      </c>
      <c r="AE472" t="n">
        <v>6</v>
      </c>
      <c r="AF472" t="n">
        <v>21</v>
      </c>
      <c r="AG472" t="n">
        <v>27</v>
      </c>
      <c r="AH472" t="n">
        <v>8</v>
      </c>
      <c r="AI472" t="n">
        <v>10</v>
      </c>
      <c r="AJ472" t="n">
        <v>2</v>
      </c>
      <c r="AK472" t="n">
        <v>3</v>
      </c>
      <c r="AL472" t="n">
        <v>14</v>
      </c>
      <c r="AM472" t="n">
        <v>15</v>
      </c>
      <c r="AN472" t="n">
        <v>3</v>
      </c>
      <c r="AO472" t="n">
        <v>5</v>
      </c>
      <c r="AP472" t="n">
        <v>0</v>
      </c>
      <c r="AQ472" t="n">
        <v>0</v>
      </c>
      <c r="AR472" t="inlineStr">
        <is>
          <t>No</t>
        </is>
      </c>
      <c r="AS472" t="inlineStr">
        <is>
          <t>Yes</t>
        </is>
      </c>
      <c r="AT472">
        <f>HYPERLINK("http://catalog.hathitrust.org/Record/000873328","HathiTrust Record")</f>
        <v/>
      </c>
      <c r="AU472">
        <f>HYPERLINK("https://creighton-primo.hosted.exlibrisgroup.com/primo-explore/search?tab=default_tab&amp;search_scope=EVERYTHING&amp;vid=01CRU&amp;lang=en_US&amp;offset=0&amp;query=any,contains,991001070369702656","Catalog Record")</f>
        <v/>
      </c>
      <c r="AV472">
        <f>HYPERLINK("http://www.worldcat.org/oclc/15860466","WorldCat Record")</f>
        <v/>
      </c>
      <c r="AW472" t="inlineStr">
        <is>
          <t>11065963:eng</t>
        </is>
      </c>
      <c r="AX472" t="inlineStr">
        <is>
          <t>15860466</t>
        </is>
      </c>
      <c r="AY472" t="inlineStr">
        <is>
          <t>991001070369702656</t>
        </is>
      </c>
      <c r="AZ472" t="inlineStr">
        <is>
          <t>991001070369702656</t>
        </is>
      </c>
      <c r="BA472" t="inlineStr">
        <is>
          <t>2259135090002656</t>
        </is>
      </c>
      <c r="BB472" t="inlineStr">
        <is>
          <t>BOOK</t>
        </is>
      </c>
      <c r="BD472" t="inlineStr">
        <is>
          <t>9780805769500</t>
        </is>
      </c>
      <c r="BE472" t="inlineStr">
        <is>
          <t>32285000773159</t>
        </is>
      </c>
      <c r="BF472" t="inlineStr">
        <is>
          <t>893509350</t>
        </is>
      </c>
    </row>
    <row r="473">
      <c r="A473" t="inlineStr">
        <is>
          <t>No</t>
        </is>
      </c>
      <c r="B473" t="inlineStr">
        <is>
          <t>CURAL</t>
        </is>
      </c>
      <c r="C473" t="inlineStr">
        <is>
          <t>SHELVES</t>
        </is>
      </c>
      <c r="D473" t="inlineStr">
        <is>
          <t>PR2434 .O6</t>
        </is>
      </c>
      <c r="E473" t="inlineStr">
        <is>
          <t>0                      PR 2434000O  6</t>
        </is>
      </c>
      <c r="F473" t="inlineStr">
        <is>
          <t>The plays of Beaumont and Fletcher : an attempt to determine their respective shares and the shares of others / by E. H. C. Oliphant.</t>
        </is>
      </c>
      <c r="H473" t="inlineStr">
        <is>
          <t>No</t>
        </is>
      </c>
      <c r="I473" t="inlineStr">
        <is>
          <t>1</t>
        </is>
      </c>
      <c r="J473" t="inlineStr">
        <is>
          <t>No</t>
        </is>
      </c>
      <c r="K473" t="inlineStr">
        <is>
          <t>No</t>
        </is>
      </c>
      <c r="L473" t="inlineStr">
        <is>
          <t>0</t>
        </is>
      </c>
      <c r="M473" t="inlineStr">
        <is>
          <t>Oliphant, E. H. C. (Ernest Henry Clark), 1862-1936.</t>
        </is>
      </c>
      <c r="N473" t="inlineStr">
        <is>
          <t>New Haven : Yale university press ; London : H. Milford, Oxford university press, 1927.</t>
        </is>
      </c>
      <c r="O473" t="inlineStr">
        <is>
          <t>1927</t>
        </is>
      </c>
      <c r="Q473" t="inlineStr">
        <is>
          <t>eng</t>
        </is>
      </c>
      <c r="R473" t="inlineStr">
        <is>
          <t>ctu</t>
        </is>
      </c>
      <c r="T473" t="inlineStr">
        <is>
          <t xml:space="preserve">PR </t>
        </is>
      </c>
      <c r="U473" t="n">
        <v>2</v>
      </c>
      <c r="V473" t="n">
        <v>2</v>
      </c>
      <c r="W473" t="inlineStr">
        <is>
          <t>1996-04-30</t>
        </is>
      </c>
      <c r="X473" t="inlineStr">
        <is>
          <t>1996-04-30</t>
        </is>
      </c>
      <c r="Y473" t="inlineStr">
        <is>
          <t>1995-05-24</t>
        </is>
      </c>
      <c r="Z473" t="inlineStr">
        <is>
          <t>1995-05-24</t>
        </is>
      </c>
      <c r="AA473" t="n">
        <v>326</v>
      </c>
      <c r="AB473" t="n">
        <v>285</v>
      </c>
      <c r="AC473" t="n">
        <v>523</v>
      </c>
      <c r="AD473" t="n">
        <v>4</v>
      </c>
      <c r="AE473" t="n">
        <v>5</v>
      </c>
      <c r="AF473" t="n">
        <v>14</v>
      </c>
      <c r="AG473" t="n">
        <v>26</v>
      </c>
      <c r="AH473" t="n">
        <v>6</v>
      </c>
      <c r="AI473" t="n">
        <v>12</v>
      </c>
      <c r="AJ473" t="n">
        <v>2</v>
      </c>
      <c r="AK473" t="n">
        <v>4</v>
      </c>
      <c r="AL473" t="n">
        <v>9</v>
      </c>
      <c r="AM473" t="n">
        <v>12</v>
      </c>
      <c r="AN473" t="n">
        <v>3</v>
      </c>
      <c r="AO473" t="n">
        <v>4</v>
      </c>
      <c r="AP473" t="n">
        <v>0</v>
      </c>
      <c r="AQ473" t="n">
        <v>0</v>
      </c>
      <c r="AR473" t="inlineStr">
        <is>
          <t>No</t>
        </is>
      </c>
      <c r="AS473" t="inlineStr">
        <is>
          <t>No</t>
        </is>
      </c>
      <c r="AT473">
        <f>HYPERLINK("http://catalog.hathitrust.org/Record/001908218","HathiTrust Record")</f>
        <v/>
      </c>
      <c r="AU473">
        <f>HYPERLINK("https://creighton-primo.hosted.exlibrisgroup.com/primo-explore/search?tab=default_tab&amp;search_scope=EVERYTHING&amp;vid=01CRU&amp;lang=en_US&amp;offset=0&amp;query=any,contains,991004409469702656","Catalog Record")</f>
        <v/>
      </c>
      <c r="AV473">
        <f>HYPERLINK("http://www.worldcat.org/oclc/3333262","WorldCat Record")</f>
        <v/>
      </c>
      <c r="AW473" t="inlineStr">
        <is>
          <t>365282510:eng</t>
        </is>
      </c>
      <c r="AX473" t="inlineStr">
        <is>
          <t>3333262</t>
        </is>
      </c>
      <c r="AY473" t="inlineStr">
        <is>
          <t>991004409469702656</t>
        </is>
      </c>
      <c r="AZ473" t="inlineStr">
        <is>
          <t>991004409469702656</t>
        </is>
      </c>
      <c r="BA473" t="inlineStr">
        <is>
          <t>2271829430002656</t>
        </is>
      </c>
      <c r="BB473" t="inlineStr">
        <is>
          <t>BOOK</t>
        </is>
      </c>
      <c r="BE473" t="inlineStr">
        <is>
          <t>32285002034907</t>
        </is>
      </c>
      <c r="BF473" t="inlineStr">
        <is>
          <t>893436251</t>
        </is>
      </c>
    </row>
    <row r="474">
      <c r="A474" t="inlineStr">
        <is>
          <t>No</t>
        </is>
      </c>
      <c r="B474" t="inlineStr">
        <is>
          <t>CURAL</t>
        </is>
      </c>
      <c r="C474" t="inlineStr">
        <is>
          <t>SHELVES</t>
        </is>
      </c>
      <c r="D474" t="inlineStr">
        <is>
          <t>PR2442 .P3</t>
        </is>
      </c>
      <c r="E474" t="inlineStr">
        <is>
          <t>0                      PR 2442000P  3</t>
        </is>
      </c>
      <c r="F474" t="inlineStr">
        <is>
          <t>The comedies. Edited with introductions and notes by Thomas Marc Parrott.</t>
        </is>
      </c>
      <c r="G474" t="inlineStr">
        <is>
          <t>V.2</t>
        </is>
      </c>
      <c r="H474" t="inlineStr">
        <is>
          <t>Yes</t>
        </is>
      </c>
      <c r="I474" t="inlineStr">
        <is>
          <t>1</t>
        </is>
      </c>
      <c r="J474" t="inlineStr">
        <is>
          <t>No</t>
        </is>
      </c>
      <c r="K474" t="inlineStr">
        <is>
          <t>No</t>
        </is>
      </c>
      <c r="L474" t="inlineStr">
        <is>
          <t>0</t>
        </is>
      </c>
      <c r="M474" t="inlineStr">
        <is>
          <t>Chapman, George, 1559?-1634.</t>
        </is>
      </c>
      <c r="N474" t="inlineStr">
        <is>
          <t>New York, Russell &amp; Russell, 1961.</t>
        </is>
      </c>
      <c r="O474" t="inlineStr">
        <is>
          <t>1961</t>
        </is>
      </c>
      <c r="Q474" t="inlineStr">
        <is>
          <t>eng</t>
        </is>
      </c>
      <c r="R474" t="inlineStr">
        <is>
          <t>nyu</t>
        </is>
      </c>
      <c r="S474" t="inlineStr">
        <is>
          <t>His Plays</t>
        </is>
      </c>
      <c r="T474" t="inlineStr">
        <is>
          <t xml:space="preserve">PR </t>
        </is>
      </c>
      <c r="U474" t="n">
        <v>0</v>
      </c>
      <c r="V474" t="n">
        <v>0</v>
      </c>
      <c r="W474" t="inlineStr">
        <is>
          <t>2001-05-15</t>
        </is>
      </c>
      <c r="X474" t="inlineStr">
        <is>
          <t>2001-05-15</t>
        </is>
      </c>
      <c r="Y474" t="inlineStr">
        <is>
          <t>1997-07-30</t>
        </is>
      </c>
      <c r="Z474" t="inlineStr">
        <is>
          <t>1997-07-30</t>
        </is>
      </c>
      <c r="AA474" t="n">
        <v>658</v>
      </c>
      <c r="AB474" t="n">
        <v>605</v>
      </c>
      <c r="AC474" t="n">
        <v>612</v>
      </c>
      <c r="AD474" t="n">
        <v>4</v>
      </c>
      <c r="AE474" t="n">
        <v>4</v>
      </c>
      <c r="AF474" t="n">
        <v>35</v>
      </c>
      <c r="AG474" t="n">
        <v>35</v>
      </c>
      <c r="AH474" t="n">
        <v>14</v>
      </c>
      <c r="AI474" t="n">
        <v>14</v>
      </c>
      <c r="AJ474" t="n">
        <v>9</v>
      </c>
      <c r="AK474" t="n">
        <v>9</v>
      </c>
      <c r="AL474" t="n">
        <v>17</v>
      </c>
      <c r="AM474" t="n">
        <v>17</v>
      </c>
      <c r="AN474" t="n">
        <v>3</v>
      </c>
      <c r="AO474" t="n">
        <v>3</v>
      </c>
      <c r="AP474" t="n">
        <v>0</v>
      </c>
      <c r="AQ474" t="n">
        <v>0</v>
      </c>
      <c r="AR474" t="inlineStr">
        <is>
          <t>No</t>
        </is>
      </c>
      <c r="AS474" t="inlineStr">
        <is>
          <t>Yes</t>
        </is>
      </c>
      <c r="AT474">
        <f>HYPERLINK("http://catalog.hathitrust.org/Record/001372636","HathiTrust Record")</f>
        <v/>
      </c>
      <c r="AU474">
        <f>HYPERLINK("https://creighton-primo.hosted.exlibrisgroup.com/primo-explore/search?tab=default_tab&amp;search_scope=EVERYTHING&amp;vid=01CRU&amp;lang=en_US&amp;offset=0&amp;query=any,contains,991002450609702656","Catalog Record")</f>
        <v/>
      </c>
      <c r="AV474">
        <f>HYPERLINK("http://www.worldcat.org/oclc/352788","WorldCat Record")</f>
        <v/>
      </c>
      <c r="AW474" t="inlineStr">
        <is>
          <t>1389749:eng</t>
        </is>
      </c>
      <c r="AX474" t="inlineStr">
        <is>
          <t>352788</t>
        </is>
      </c>
      <c r="AY474" t="inlineStr">
        <is>
          <t>991002450609702656</t>
        </is>
      </c>
      <c r="AZ474" t="inlineStr">
        <is>
          <t>991002450609702656</t>
        </is>
      </c>
      <c r="BA474" t="inlineStr">
        <is>
          <t>2265199800002656</t>
        </is>
      </c>
      <c r="BB474" t="inlineStr">
        <is>
          <t>BOOK</t>
        </is>
      </c>
      <c r="BE474" t="inlineStr">
        <is>
          <t>32285002992690</t>
        </is>
      </c>
      <c r="BF474" t="inlineStr">
        <is>
          <t>893773633</t>
        </is>
      </c>
    </row>
    <row r="475">
      <c r="A475" t="inlineStr">
        <is>
          <t>No</t>
        </is>
      </c>
      <c r="B475" t="inlineStr">
        <is>
          <t>CURAL</t>
        </is>
      </c>
      <c r="C475" t="inlineStr">
        <is>
          <t>SHELVES</t>
        </is>
      </c>
      <c r="D475" t="inlineStr">
        <is>
          <t>PR2442 .P3</t>
        </is>
      </c>
      <c r="E475" t="inlineStr">
        <is>
          <t>0                      PR 2442000P  3</t>
        </is>
      </c>
      <c r="F475" t="inlineStr">
        <is>
          <t>The comedies. Edited with introductions and notes by Thomas Marc Parrott.</t>
        </is>
      </c>
      <c r="G475" t="inlineStr">
        <is>
          <t>V.1</t>
        </is>
      </c>
      <c r="H475" t="inlineStr">
        <is>
          <t>Yes</t>
        </is>
      </c>
      <c r="I475" t="inlineStr">
        <is>
          <t>1</t>
        </is>
      </c>
      <c r="J475" t="inlineStr">
        <is>
          <t>No</t>
        </is>
      </c>
      <c r="K475" t="inlineStr">
        <is>
          <t>No</t>
        </is>
      </c>
      <c r="L475" t="inlineStr">
        <is>
          <t>0</t>
        </is>
      </c>
      <c r="M475" t="inlineStr">
        <is>
          <t>Chapman, George, 1559?-1634.</t>
        </is>
      </c>
      <c r="N475" t="inlineStr">
        <is>
          <t>New York, Russell &amp; Russell, 1961.</t>
        </is>
      </c>
      <c r="O475" t="inlineStr">
        <is>
          <t>1961</t>
        </is>
      </c>
      <c r="Q475" t="inlineStr">
        <is>
          <t>eng</t>
        </is>
      </c>
      <c r="R475" t="inlineStr">
        <is>
          <t>nyu</t>
        </is>
      </c>
      <c r="S475" t="inlineStr">
        <is>
          <t>His Plays</t>
        </is>
      </c>
      <c r="T475" t="inlineStr">
        <is>
          <t xml:space="preserve">PR </t>
        </is>
      </c>
      <c r="U475" t="n">
        <v>0</v>
      </c>
      <c r="V475" t="n">
        <v>0</v>
      </c>
      <c r="W475" t="inlineStr">
        <is>
          <t>2001-05-15</t>
        </is>
      </c>
      <c r="X475" t="inlineStr">
        <is>
          <t>2001-05-15</t>
        </is>
      </c>
      <c r="Y475" t="inlineStr">
        <is>
          <t>1997-07-30</t>
        </is>
      </c>
      <c r="Z475" t="inlineStr">
        <is>
          <t>1997-07-30</t>
        </is>
      </c>
      <c r="AA475" t="n">
        <v>658</v>
      </c>
      <c r="AB475" t="n">
        <v>605</v>
      </c>
      <c r="AC475" t="n">
        <v>612</v>
      </c>
      <c r="AD475" t="n">
        <v>4</v>
      </c>
      <c r="AE475" t="n">
        <v>4</v>
      </c>
      <c r="AF475" t="n">
        <v>35</v>
      </c>
      <c r="AG475" t="n">
        <v>35</v>
      </c>
      <c r="AH475" t="n">
        <v>14</v>
      </c>
      <c r="AI475" t="n">
        <v>14</v>
      </c>
      <c r="AJ475" t="n">
        <v>9</v>
      </c>
      <c r="AK475" t="n">
        <v>9</v>
      </c>
      <c r="AL475" t="n">
        <v>17</v>
      </c>
      <c r="AM475" t="n">
        <v>17</v>
      </c>
      <c r="AN475" t="n">
        <v>3</v>
      </c>
      <c r="AO475" t="n">
        <v>3</v>
      </c>
      <c r="AP475" t="n">
        <v>0</v>
      </c>
      <c r="AQ475" t="n">
        <v>0</v>
      </c>
      <c r="AR475" t="inlineStr">
        <is>
          <t>No</t>
        </is>
      </c>
      <c r="AS475" t="inlineStr">
        <is>
          <t>Yes</t>
        </is>
      </c>
      <c r="AT475">
        <f>HYPERLINK("http://catalog.hathitrust.org/Record/001372636","HathiTrust Record")</f>
        <v/>
      </c>
      <c r="AU475">
        <f>HYPERLINK("https://creighton-primo.hosted.exlibrisgroup.com/primo-explore/search?tab=default_tab&amp;search_scope=EVERYTHING&amp;vid=01CRU&amp;lang=en_US&amp;offset=0&amp;query=any,contains,991002450609702656","Catalog Record")</f>
        <v/>
      </c>
      <c r="AV475">
        <f>HYPERLINK("http://www.worldcat.org/oclc/352788","WorldCat Record")</f>
        <v/>
      </c>
      <c r="AW475" t="inlineStr">
        <is>
          <t>1389749:eng</t>
        </is>
      </c>
      <c r="AX475" t="inlineStr">
        <is>
          <t>352788</t>
        </is>
      </c>
      <c r="AY475" t="inlineStr">
        <is>
          <t>991002450609702656</t>
        </is>
      </c>
      <c r="AZ475" t="inlineStr">
        <is>
          <t>991002450609702656</t>
        </is>
      </c>
      <c r="BA475" t="inlineStr">
        <is>
          <t>2265199800002656</t>
        </is>
      </c>
      <c r="BB475" t="inlineStr">
        <is>
          <t>BOOK</t>
        </is>
      </c>
      <c r="BE475" t="inlineStr">
        <is>
          <t>32285002992682</t>
        </is>
      </c>
      <c r="BF475" t="inlineStr">
        <is>
          <t>893792487</t>
        </is>
      </c>
    </row>
    <row r="476">
      <c r="A476" t="inlineStr">
        <is>
          <t>No</t>
        </is>
      </c>
      <c r="B476" t="inlineStr">
        <is>
          <t>CURAL</t>
        </is>
      </c>
      <c r="C476" t="inlineStr">
        <is>
          <t>SHELVES</t>
        </is>
      </c>
      <c r="D476" t="inlineStr">
        <is>
          <t>PR2442 .P33</t>
        </is>
      </c>
      <c r="E476" t="inlineStr">
        <is>
          <t>0                      PR 2442000P  33</t>
        </is>
      </c>
      <c r="F476" t="inlineStr">
        <is>
          <t>The tragedies. Edited with introductions and notes by Thomas Marc Parrott.</t>
        </is>
      </c>
      <c r="G476" t="inlineStr">
        <is>
          <t>V.1</t>
        </is>
      </c>
      <c r="H476" t="inlineStr">
        <is>
          <t>Yes</t>
        </is>
      </c>
      <c r="I476" t="inlineStr">
        <is>
          <t>1</t>
        </is>
      </c>
      <c r="J476" t="inlineStr">
        <is>
          <t>No</t>
        </is>
      </c>
      <c r="K476" t="inlineStr">
        <is>
          <t>No</t>
        </is>
      </c>
      <c r="L476" t="inlineStr">
        <is>
          <t>0</t>
        </is>
      </c>
      <c r="M476" t="inlineStr">
        <is>
          <t>Chapman, George, 1559?-1634.</t>
        </is>
      </c>
      <c r="N476" t="inlineStr">
        <is>
          <t>New York, Russell &amp; Russell, 1961.</t>
        </is>
      </c>
      <c r="O476" t="inlineStr">
        <is>
          <t>1961</t>
        </is>
      </c>
      <c r="Q476" t="inlineStr">
        <is>
          <t>eng</t>
        </is>
      </c>
      <c r="R476" t="inlineStr">
        <is>
          <t>nyu</t>
        </is>
      </c>
      <c r="S476" t="inlineStr">
        <is>
          <t>His Plays</t>
        </is>
      </c>
      <c r="T476" t="inlineStr">
        <is>
          <t xml:space="preserve">PR </t>
        </is>
      </c>
      <c r="U476" t="n">
        <v>0</v>
      </c>
      <c r="V476" t="n">
        <v>0</v>
      </c>
      <c r="W476" t="inlineStr">
        <is>
          <t>2006-04-18</t>
        </is>
      </c>
      <c r="X476" t="inlineStr">
        <is>
          <t>2006-04-18</t>
        </is>
      </c>
      <c r="Y476" t="inlineStr">
        <is>
          <t>1997-07-30</t>
        </is>
      </c>
      <c r="Z476" t="inlineStr">
        <is>
          <t>1997-07-30</t>
        </is>
      </c>
      <c r="AA476" t="n">
        <v>641</v>
      </c>
      <c r="AB476" t="n">
        <v>591</v>
      </c>
      <c r="AC476" t="n">
        <v>602</v>
      </c>
      <c r="AD476" t="n">
        <v>3</v>
      </c>
      <c r="AE476" t="n">
        <v>3</v>
      </c>
      <c r="AF476" t="n">
        <v>33</v>
      </c>
      <c r="AG476" t="n">
        <v>33</v>
      </c>
      <c r="AH476" t="n">
        <v>15</v>
      </c>
      <c r="AI476" t="n">
        <v>15</v>
      </c>
      <c r="AJ476" t="n">
        <v>8</v>
      </c>
      <c r="AK476" t="n">
        <v>8</v>
      </c>
      <c r="AL476" t="n">
        <v>17</v>
      </c>
      <c r="AM476" t="n">
        <v>17</v>
      </c>
      <c r="AN476" t="n">
        <v>2</v>
      </c>
      <c r="AO476" t="n">
        <v>2</v>
      </c>
      <c r="AP476" t="n">
        <v>0</v>
      </c>
      <c r="AQ476" t="n">
        <v>0</v>
      </c>
      <c r="AR476" t="inlineStr">
        <is>
          <t>Yes</t>
        </is>
      </c>
      <c r="AS476" t="inlineStr">
        <is>
          <t>No</t>
        </is>
      </c>
      <c r="AT476">
        <f>HYPERLINK("http://catalog.hathitrust.org/Record/001372637","HathiTrust Record")</f>
        <v/>
      </c>
      <c r="AU476">
        <f>HYPERLINK("https://creighton-primo.hosted.exlibrisgroup.com/primo-explore/search?tab=default_tab&amp;search_scope=EVERYTHING&amp;vid=01CRU&amp;lang=en_US&amp;offset=0&amp;query=any,contains,991002253399702656","Catalog Record")</f>
        <v/>
      </c>
      <c r="AV476">
        <f>HYPERLINK("http://www.worldcat.org/oclc/300419","WorldCat Record")</f>
        <v/>
      </c>
      <c r="AW476" t="inlineStr">
        <is>
          <t>1341568:eng</t>
        </is>
      </c>
      <c r="AX476" t="inlineStr">
        <is>
          <t>300419</t>
        </is>
      </c>
      <c r="AY476" t="inlineStr">
        <is>
          <t>991002253399702656</t>
        </is>
      </c>
      <c r="AZ476" t="inlineStr">
        <is>
          <t>991002253399702656</t>
        </is>
      </c>
      <c r="BA476" t="inlineStr">
        <is>
          <t>2269524790002656</t>
        </is>
      </c>
      <c r="BB476" t="inlineStr">
        <is>
          <t>BOOK</t>
        </is>
      </c>
      <c r="BE476" t="inlineStr">
        <is>
          <t>32285002992708</t>
        </is>
      </c>
      <c r="BF476" t="inlineStr">
        <is>
          <t>893792227</t>
        </is>
      </c>
    </row>
    <row r="477">
      <c r="A477" t="inlineStr">
        <is>
          <t>No</t>
        </is>
      </c>
      <c r="B477" t="inlineStr">
        <is>
          <t>CURAL</t>
        </is>
      </c>
      <c r="C477" t="inlineStr">
        <is>
          <t>SHELVES</t>
        </is>
      </c>
      <c r="D477" t="inlineStr">
        <is>
          <t>PR2442 .P33</t>
        </is>
      </c>
      <c r="E477" t="inlineStr">
        <is>
          <t>0                      PR 2442000P  33</t>
        </is>
      </c>
      <c r="F477" t="inlineStr">
        <is>
          <t>The tragedies. Edited with introductions and notes by Thomas Marc Parrott.</t>
        </is>
      </c>
      <c r="G477" t="inlineStr">
        <is>
          <t>V.2</t>
        </is>
      </c>
      <c r="H477" t="inlineStr">
        <is>
          <t>Yes</t>
        </is>
      </c>
      <c r="I477" t="inlineStr">
        <is>
          <t>1</t>
        </is>
      </c>
      <c r="J477" t="inlineStr">
        <is>
          <t>No</t>
        </is>
      </c>
      <c r="K477" t="inlineStr">
        <is>
          <t>No</t>
        </is>
      </c>
      <c r="L477" t="inlineStr">
        <is>
          <t>0</t>
        </is>
      </c>
      <c r="M477" t="inlineStr">
        <is>
          <t>Chapman, George, 1559?-1634.</t>
        </is>
      </c>
      <c r="N477" t="inlineStr">
        <is>
          <t>New York, Russell &amp; Russell, 1961.</t>
        </is>
      </c>
      <c r="O477" t="inlineStr">
        <is>
          <t>1961</t>
        </is>
      </c>
      <c r="Q477" t="inlineStr">
        <is>
          <t>eng</t>
        </is>
      </c>
      <c r="R477" t="inlineStr">
        <is>
          <t>nyu</t>
        </is>
      </c>
      <c r="S477" t="inlineStr">
        <is>
          <t>His Plays</t>
        </is>
      </c>
      <c r="T477" t="inlineStr">
        <is>
          <t xml:space="preserve">PR </t>
        </is>
      </c>
      <c r="U477" t="n">
        <v>0</v>
      </c>
      <c r="V477" t="n">
        <v>0</v>
      </c>
      <c r="W477" t="inlineStr">
        <is>
          <t>2006-04-18</t>
        </is>
      </c>
      <c r="X477" t="inlineStr">
        <is>
          <t>2006-04-18</t>
        </is>
      </c>
      <c r="Y477" t="inlineStr">
        <is>
          <t>1997-07-30</t>
        </is>
      </c>
      <c r="Z477" t="inlineStr">
        <is>
          <t>1997-07-30</t>
        </is>
      </c>
      <c r="AA477" t="n">
        <v>641</v>
      </c>
      <c r="AB477" t="n">
        <v>591</v>
      </c>
      <c r="AC477" t="n">
        <v>602</v>
      </c>
      <c r="AD477" t="n">
        <v>3</v>
      </c>
      <c r="AE477" t="n">
        <v>3</v>
      </c>
      <c r="AF477" t="n">
        <v>33</v>
      </c>
      <c r="AG477" t="n">
        <v>33</v>
      </c>
      <c r="AH477" t="n">
        <v>15</v>
      </c>
      <c r="AI477" t="n">
        <v>15</v>
      </c>
      <c r="AJ477" t="n">
        <v>8</v>
      </c>
      <c r="AK477" t="n">
        <v>8</v>
      </c>
      <c r="AL477" t="n">
        <v>17</v>
      </c>
      <c r="AM477" t="n">
        <v>17</v>
      </c>
      <c r="AN477" t="n">
        <v>2</v>
      </c>
      <c r="AO477" t="n">
        <v>2</v>
      </c>
      <c r="AP477" t="n">
        <v>0</v>
      </c>
      <c r="AQ477" t="n">
        <v>0</v>
      </c>
      <c r="AR477" t="inlineStr">
        <is>
          <t>Yes</t>
        </is>
      </c>
      <c r="AS477" t="inlineStr">
        <is>
          <t>No</t>
        </is>
      </c>
      <c r="AT477">
        <f>HYPERLINK("http://catalog.hathitrust.org/Record/001372637","HathiTrust Record")</f>
        <v/>
      </c>
      <c r="AU477">
        <f>HYPERLINK("https://creighton-primo.hosted.exlibrisgroup.com/primo-explore/search?tab=default_tab&amp;search_scope=EVERYTHING&amp;vid=01CRU&amp;lang=en_US&amp;offset=0&amp;query=any,contains,991002253399702656","Catalog Record")</f>
        <v/>
      </c>
      <c r="AV477">
        <f>HYPERLINK("http://www.worldcat.org/oclc/300419","WorldCat Record")</f>
        <v/>
      </c>
      <c r="AW477" t="inlineStr">
        <is>
          <t>1341568:eng</t>
        </is>
      </c>
      <c r="AX477" t="inlineStr">
        <is>
          <t>300419</t>
        </is>
      </c>
      <c r="AY477" t="inlineStr">
        <is>
          <t>991002253399702656</t>
        </is>
      </c>
      <c r="AZ477" t="inlineStr">
        <is>
          <t>991002253399702656</t>
        </is>
      </c>
      <c r="BA477" t="inlineStr">
        <is>
          <t>2269524790002656</t>
        </is>
      </c>
      <c r="BB477" t="inlineStr">
        <is>
          <t>BOOK</t>
        </is>
      </c>
      <c r="BE477" t="inlineStr">
        <is>
          <t>32285002992716</t>
        </is>
      </c>
      <c r="BF477" t="inlineStr">
        <is>
          <t>893798368</t>
        </is>
      </c>
    </row>
    <row r="478">
      <c r="A478" t="inlineStr">
        <is>
          <t>No</t>
        </is>
      </c>
      <c r="B478" t="inlineStr">
        <is>
          <t>CURAL</t>
        </is>
      </c>
      <c r="C478" t="inlineStr">
        <is>
          <t>SHELVES</t>
        </is>
      </c>
      <c r="D478" t="inlineStr">
        <is>
          <t>PR2453 .M3</t>
        </is>
      </c>
      <c r="E478" t="inlineStr">
        <is>
          <t>0                      PR 2453000M  3</t>
        </is>
      </c>
      <c r="F478" t="inlineStr">
        <is>
          <t>George Chapman : a critical study.</t>
        </is>
      </c>
      <c r="H478" t="inlineStr">
        <is>
          <t>No</t>
        </is>
      </c>
      <c r="I478" t="inlineStr">
        <is>
          <t>1</t>
        </is>
      </c>
      <c r="J478" t="inlineStr">
        <is>
          <t>No</t>
        </is>
      </c>
      <c r="K478" t="inlineStr">
        <is>
          <t>No</t>
        </is>
      </c>
      <c r="L478" t="inlineStr">
        <is>
          <t>0</t>
        </is>
      </c>
      <c r="M478" t="inlineStr">
        <is>
          <t>MacLure, Millar, 1917-</t>
        </is>
      </c>
      <c r="N478" t="inlineStr">
        <is>
          <t>[Toronto] : University of Toronto Press, [1966]</t>
        </is>
      </c>
      <c r="O478" t="inlineStr">
        <is>
          <t>1966</t>
        </is>
      </c>
      <c r="Q478" t="inlineStr">
        <is>
          <t>eng</t>
        </is>
      </c>
      <c r="R478" t="inlineStr">
        <is>
          <t>onc</t>
        </is>
      </c>
      <c r="T478" t="inlineStr">
        <is>
          <t xml:space="preserve">PR </t>
        </is>
      </c>
      <c r="U478" t="n">
        <v>2</v>
      </c>
      <c r="V478" t="n">
        <v>2</v>
      </c>
      <c r="W478" t="inlineStr">
        <is>
          <t>1995-09-12</t>
        </is>
      </c>
      <c r="X478" t="inlineStr">
        <is>
          <t>1995-09-12</t>
        </is>
      </c>
      <c r="Y478" t="inlineStr">
        <is>
          <t>1993-03-18</t>
        </is>
      </c>
      <c r="Z478" t="inlineStr">
        <is>
          <t>1993-03-18</t>
        </is>
      </c>
      <c r="AA478" t="n">
        <v>647</v>
      </c>
      <c r="AB478" t="n">
        <v>521</v>
      </c>
      <c r="AC478" t="n">
        <v>573</v>
      </c>
      <c r="AD478" t="n">
        <v>4</v>
      </c>
      <c r="AE478" t="n">
        <v>4</v>
      </c>
      <c r="AF478" t="n">
        <v>29</v>
      </c>
      <c r="AG478" t="n">
        <v>33</v>
      </c>
      <c r="AH478" t="n">
        <v>7</v>
      </c>
      <c r="AI478" t="n">
        <v>11</v>
      </c>
      <c r="AJ478" t="n">
        <v>8</v>
      </c>
      <c r="AK478" t="n">
        <v>9</v>
      </c>
      <c r="AL478" t="n">
        <v>18</v>
      </c>
      <c r="AM478" t="n">
        <v>18</v>
      </c>
      <c r="AN478" t="n">
        <v>3</v>
      </c>
      <c r="AO478" t="n">
        <v>3</v>
      </c>
      <c r="AP478" t="n">
        <v>0</v>
      </c>
      <c r="AQ478" t="n">
        <v>0</v>
      </c>
      <c r="AR478" t="inlineStr">
        <is>
          <t>No</t>
        </is>
      </c>
      <c r="AS478" t="inlineStr">
        <is>
          <t>Yes</t>
        </is>
      </c>
      <c r="AT478">
        <f>HYPERLINK("http://catalog.hathitrust.org/Record/000624723","HathiTrust Record")</f>
        <v/>
      </c>
      <c r="AU478">
        <f>HYPERLINK("https://creighton-primo.hosted.exlibrisgroup.com/primo-explore/search?tab=default_tab&amp;search_scope=EVERYTHING&amp;vid=01CRU&amp;lang=en_US&amp;offset=0&amp;query=any,contains,991002966129702656","Catalog Record")</f>
        <v/>
      </c>
      <c r="AV478">
        <f>HYPERLINK("http://www.worldcat.org/oclc/546036","WorldCat Record")</f>
        <v/>
      </c>
      <c r="AW478" t="inlineStr">
        <is>
          <t>1578307:eng</t>
        </is>
      </c>
      <c r="AX478" t="inlineStr">
        <is>
          <t>546036</t>
        </is>
      </c>
      <c r="AY478" t="inlineStr">
        <is>
          <t>991002966129702656</t>
        </is>
      </c>
      <c r="AZ478" t="inlineStr">
        <is>
          <t>991002966129702656</t>
        </is>
      </c>
      <c r="BA478" t="inlineStr">
        <is>
          <t>2264898560002656</t>
        </is>
      </c>
      <c r="BB478" t="inlineStr">
        <is>
          <t>BOOK</t>
        </is>
      </c>
      <c r="BE478" t="inlineStr">
        <is>
          <t>32285001574119</t>
        </is>
      </c>
      <c r="BF478" t="inlineStr">
        <is>
          <t>893710911</t>
        </is>
      </c>
    </row>
    <row r="479">
      <c r="A479" t="inlineStr">
        <is>
          <t>No</t>
        </is>
      </c>
      <c r="B479" t="inlineStr">
        <is>
          <t>CURAL</t>
        </is>
      </c>
      <c r="C479" t="inlineStr">
        <is>
          <t>SHELVES</t>
        </is>
      </c>
      <c r="D479" t="inlineStr">
        <is>
          <t>PR2453 .S6</t>
        </is>
      </c>
      <c r="E479" t="inlineStr">
        <is>
          <t>0                      PR 2453000S  6</t>
        </is>
      </c>
      <c r="F479" t="inlineStr">
        <is>
          <t>George Chapman.</t>
        </is>
      </c>
      <c r="H479" t="inlineStr">
        <is>
          <t>No</t>
        </is>
      </c>
      <c r="I479" t="inlineStr">
        <is>
          <t>1</t>
        </is>
      </c>
      <c r="J479" t="inlineStr">
        <is>
          <t>No</t>
        </is>
      </c>
      <c r="K479" t="inlineStr">
        <is>
          <t>No</t>
        </is>
      </c>
      <c r="L479" t="inlineStr">
        <is>
          <t>0</t>
        </is>
      </c>
      <c r="M479" t="inlineStr">
        <is>
          <t>Spivack, Charlotte.</t>
        </is>
      </c>
      <c r="N479" t="inlineStr">
        <is>
          <t>New York : Twayne Publishers, [1967]</t>
        </is>
      </c>
      <c r="O479" t="inlineStr">
        <is>
          <t>1967</t>
        </is>
      </c>
      <c r="Q479" t="inlineStr">
        <is>
          <t>eng</t>
        </is>
      </c>
      <c r="R479" t="inlineStr">
        <is>
          <t>nyu</t>
        </is>
      </c>
      <c r="S479" t="inlineStr">
        <is>
          <t>Twayne's English authors series, 60</t>
        </is>
      </c>
      <c r="T479" t="inlineStr">
        <is>
          <t xml:space="preserve">PR </t>
        </is>
      </c>
      <c r="U479" t="n">
        <v>2</v>
      </c>
      <c r="V479" t="n">
        <v>2</v>
      </c>
      <c r="W479" t="inlineStr">
        <is>
          <t>1995-09-12</t>
        </is>
      </c>
      <c r="X479" t="inlineStr">
        <is>
          <t>1995-09-12</t>
        </is>
      </c>
      <c r="Y479" t="inlineStr">
        <is>
          <t>1991-10-17</t>
        </is>
      </c>
      <c r="Z479" t="inlineStr">
        <is>
          <t>1991-10-17</t>
        </is>
      </c>
      <c r="AA479" t="n">
        <v>807</v>
      </c>
      <c r="AB479" t="n">
        <v>728</v>
      </c>
      <c r="AC479" t="n">
        <v>738</v>
      </c>
      <c r="AD479" t="n">
        <v>7</v>
      </c>
      <c r="AE479" t="n">
        <v>7</v>
      </c>
      <c r="AF479" t="n">
        <v>36</v>
      </c>
      <c r="AG479" t="n">
        <v>36</v>
      </c>
      <c r="AH479" t="n">
        <v>13</v>
      </c>
      <c r="AI479" t="n">
        <v>13</v>
      </c>
      <c r="AJ479" t="n">
        <v>9</v>
      </c>
      <c r="AK479" t="n">
        <v>9</v>
      </c>
      <c r="AL479" t="n">
        <v>16</v>
      </c>
      <c r="AM479" t="n">
        <v>16</v>
      </c>
      <c r="AN479" t="n">
        <v>6</v>
      </c>
      <c r="AO479" t="n">
        <v>6</v>
      </c>
      <c r="AP479" t="n">
        <v>0</v>
      </c>
      <c r="AQ479" t="n">
        <v>0</v>
      </c>
      <c r="AR479" t="inlineStr">
        <is>
          <t>No</t>
        </is>
      </c>
      <c r="AS479" t="inlineStr">
        <is>
          <t>Yes</t>
        </is>
      </c>
      <c r="AT479">
        <f>HYPERLINK("http://catalog.hathitrust.org/Record/000623905","HathiTrust Record")</f>
        <v/>
      </c>
      <c r="AU479">
        <f>HYPERLINK("https://creighton-primo.hosted.exlibrisgroup.com/primo-explore/search?tab=default_tab&amp;search_scope=EVERYTHING&amp;vid=01CRU&amp;lang=en_US&amp;offset=0&amp;query=any,contains,991002450729702656","Catalog Record")</f>
        <v/>
      </c>
      <c r="AV479">
        <f>HYPERLINK("http://www.worldcat.org/oclc/352800","WorldCat Record")</f>
        <v/>
      </c>
      <c r="AW479" t="inlineStr">
        <is>
          <t>1389770:eng</t>
        </is>
      </c>
      <c r="AX479" t="inlineStr">
        <is>
          <t>352800</t>
        </is>
      </c>
      <c r="AY479" t="inlineStr">
        <is>
          <t>991002450729702656</t>
        </is>
      </c>
      <c r="AZ479" t="inlineStr">
        <is>
          <t>991002450729702656</t>
        </is>
      </c>
      <c r="BA479" t="inlineStr">
        <is>
          <t>2265218610002656</t>
        </is>
      </c>
      <c r="BB479" t="inlineStr">
        <is>
          <t>BOOK</t>
        </is>
      </c>
      <c r="BE479" t="inlineStr">
        <is>
          <t>32285000773175</t>
        </is>
      </c>
      <c r="BF479" t="inlineStr">
        <is>
          <t>893622300</t>
        </is>
      </c>
    </row>
    <row r="480">
      <c r="A480" t="inlineStr">
        <is>
          <t>No</t>
        </is>
      </c>
      <c r="B480" t="inlineStr">
        <is>
          <t>CURAL</t>
        </is>
      </c>
      <c r="C480" t="inlineStr">
        <is>
          <t>SHELVES</t>
        </is>
      </c>
      <c r="D480" t="inlineStr">
        <is>
          <t>PR2490 .A1 1951</t>
        </is>
      </c>
      <c r="E480" t="inlineStr">
        <is>
          <t>0                      PR 2490000A  1           1951</t>
        </is>
      </c>
      <c r="F480" t="inlineStr">
        <is>
          <t>The shoemaker's holiday : a comedy / by Thomas Dekker; edited, with an introduction and notes, by Wilfrid J. Halliday.</t>
        </is>
      </c>
      <c r="H480" t="inlineStr">
        <is>
          <t>No</t>
        </is>
      </c>
      <c r="I480" t="inlineStr">
        <is>
          <t>1</t>
        </is>
      </c>
      <c r="J480" t="inlineStr">
        <is>
          <t>No</t>
        </is>
      </c>
      <c r="K480" t="inlineStr">
        <is>
          <t>No</t>
        </is>
      </c>
      <c r="L480" t="inlineStr">
        <is>
          <t>0</t>
        </is>
      </c>
      <c r="M480" t="inlineStr">
        <is>
          <t>Dekker, Thomas, approximately 1572-1632.</t>
        </is>
      </c>
      <c r="N480" t="inlineStr">
        <is>
          <t>London : Macmillan, 1951, 1950.</t>
        </is>
      </c>
      <c r="O480" t="inlineStr">
        <is>
          <t>1951</t>
        </is>
      </c>
      <c r="Q480" t="inlineStr">
        <is>
          <t>eng</t>
        </is>
      </c>
      <c r="R480" t="inlineStr">
        <is>
          <t>enk</t>
        </is>
      </c>
      <c r="T480" t="inlineStr">
        <is>
          <t xml:space="preserve">PR </t>
        </is>
      </c>
      <c r="U480" t="n">
        <v>3</v>
      </c>
      <c r="V480" t="n">
        <v>3</v>
      </c>
      <c r="W480" t="inlineStr">
        <is>
          <t>2006-03-31</t>
        </is>
      </c>
      <c r="X480" t="inlineStr">
        <is>
          <t>2006-03-31</t>
        </is>
      </c>
      <c r="Y480" t="inlineStr">
        <is>
          <t>1995-05-02</t>
        </is>
      </c>
      <c r="Z480" t="inlineStr">
        <is>
          <t>1995-05-02</t>
        </is>
      </c>
      <c r="AA480" t="n">
        <v>29</v>
      </c>
      <c r="AB480" t="n">
        <v>17</v>
      </c>
      <c r="AC480" t="n">
        <v>42</v>
      </c>
      <c r="AD480" t="n">
        <v>1</v>
      </c>
      <c r="AE480" t="n">
        <v>1</v>
      </c>
      <c r="AF480" t="n">
        <v>0</v>
      </c>
      <c r="AG480" t="n">
        <v>0</v>
      </c>
      <c r="AH480" t="n">
        <v>0</v>
      </c>
      <c r="AI480" t="n">
        <v>0</v>
      </c>
      <c r="AJ480" t="n">
        <v>0</v>
      </c>
      <c r="AK480" t="n">
        <v>0</v>
      </c>
      <c r="AL480" t="n">
        <v>0</v>
      </c>
      <c r="AM480" t="n">
        <v>0</v>
      </c>
      <c r="AN480" t="n">
        <v>0</v>
      </c>
      <c r="AO480" t="n">
        <v>0</v>
      </c>
      <c r="AP480" t="n">
        <v>0</v>
      </c>
      <c r="AQ480" t="n">
        <v>0</v>
      </c>
      <c r="AR480" t="inlineStr">
        <is>
          <t>No</t>
        </is>
      </c>
      <c r="AS480" t="inlineStr">
        <is>
          <t>No</t>
        </is>
      </c>
      <c r="AU480">
        <f>HYPERLINK("https://creighton-primo.hosted.exlibrisgroup.com/primo-explore/search?tab=default_tab&amp;search_scope=EVERYTHING&amp;vid=01CRU&amp;lang=en_US&amp;offset=0&amp;query=any,contains,991005014599702656","Catalog Record")</f>
        <v/>
      </c>
      <c r="AV480">
        <f>HYPERLINK("http://www.worldcat.org/oclc/6620760","WorldCat Record")</f>
        <v/>
      </c>
      <c r="AW480" t="inlineStr">
        <is>
          <t>4918271461:eng</t>
        </is>
      </c>
      <c r="AX480" t="inlineStr">
        <is>
          <t>6620760</t>
        </is>
      </c>
      <c r="AY480" t="inlineStr">
        <is>
          <t>991005014599702656</t>
        </is>
      </c>
      <c r="AZ480" t="inlineStr">
        <is>
          <t>991005014599702656</t>
        </is>
      </c>
      <c r="BA480" t="inlineStr">
        <is>
          <t>2261771380002656</t>
        </is>
      </c>
      <c r="BB480" t="inlineStr">
        <is>
          <t>BOOK</t>
        </is>
      </c>
      <c r="BE480" t="inlineStr">
        <is>
          <t>32285002031523</t>
        </is>
      </c>
      <c r="BF480" t="inlineStr">
        <is>
          <t>893600490</t>
        </is>
      </c>
    </row>
    <row r="481">
      <c r="A481" t="inlineStr">
        <is>
          <t>No</t>
        </is>
      </c>
      <c r="B481" t="inlineStr">
        <is>
          <t>CURAL</t>
        </is>
      </c>
      <c r="C481" t="inlineStr">
        <is>
          <t>SHELVES</t>
        </is>
      </c>
      <c r="D481" t="inlineStr">
        <is>
          <t>PR2490 A1 1927</t>
        </is>
      </c>
      <c r="E481" t="inlineStr">
        <is>
          <t>0                      PR 2490000A  1           1927</t>
        </is>
      </c>
      <c r="F481" t="inlineStr">
        <is>
          <t>The shoemaker's holiday ; or, A pleasant comedy of the gentle craft / ed. by W. Tom Williams.</t>
        </is>
      </c>
      <c r="H481" t="inlineStr">
        <is>
          <t>No</t>
        </is>
      </c>
      <c r="I481" t="inlineStr">
        <is>
          <t>1</t>
        </is>
      </c>
      <c r="J481" t="inlineStr">
        <is>
          <t>No</t>
        </is>
      </c>
      <c r="K481" t="inlineStr">
        <is>
          <t>No</t>
        </is>
      </c>
      <c r="L481" t="inlineStr">
        <is>
          <t>0</t>
        </is>
      </c>
      <c r="M481" t="inlineStr">
        <is>
          <t>Dekker, Thomas, approximately 1572-1632.</t>
        </is>
      </c>
      <c r="N481" t="inlineStr">
        <is>
          <t>London : Methuen, [1927]</t>
        </is>
      </c>
      <c r="O481" t="inlineStr">
        <is>
          <t>1927</t>
        </is>
      </c>
      <c r="Q481" t="inlineStr">
        <is>
          <t>eng</t>
        </is>
      </c>
      <c r="R481" t="inlineStr">
        <is>
          <t>enk</t>
        </is>
      </c>
      <c r="S481" t="inlineStr">
        <is>
          <t>Methuen's English classics</t>
        </is>
      </c>
      <c r="T481" t="inlineStr">
        <is>
          <t xml:space="preserve">PR </t>
        </is>
      </c>
      <c r="U481" t="n">
        <v>2</v>
      </c>
      <c r="V481" t="n">
        <v>2</v>
      </c>
      <c r="W481" t="inlineStr">
        <is>
          <t>2006-03-31</t>
        </is>
      </c>
      <c r="X481" t="inlineStr">
        <is>
          <t>2006-03-31</t>
        </is>
      </c>
      <c r="Y481" t="inlineStr">
        <is>
          <t>1995-05-24</t>
        </is>
      </c>
      <c r="Z481" t="inlineStr">
        <is>
          <t>1995-05-24</t>
        </is>
      </c>
      <c r="AA481" t="n">
        <v>5</v>
      </c>
      <c r="AB481" t="n">
        <v>2</v>
      </c>
      <c r="AC481" t="n">
        <v>65</v>
      </c>
      <c r="AD481" t="n">
        <v>1</v>
      </c>
      <c r="AE481" t="n">
        <v>1</v>
      </c>
      <c r="AF481" t="n">
        <v>0</v>
      </c>
      <c r="AG481" t="n">
        <v>4</v>
      </c>
      <c r="AH481" t="n">
        <v>0</v>
      </c>
      <c r="AI481" t="n">
        <v>1</v>
      </c>
      <c r="AJ481" t="n">
        <v>0</v>
      </c>
      <c r="AK481" t="n">
        <v>0</v>
      </c>
      <c r="AL481" t="n">
        <v>0</v>
      </c>
      <c r="AM481" t="n">
        <v>4</v>
      </c>
      <c r="AN481" t="n">
        <v>0</v>
      </c>
      <c r="AO481" t="n">
        <v>0</v>
      </c>
      <c r="AP481" t="n">
        <v>0</v>
      </c>
      <c r="AQ481" t="n">
        <v>0</v>
      </c>
      <c r="AR481" t="inlineStr">
        <is>
          <t>No</t>
        </is>
      </c>
      <c r="AS481" t="inlineStr">
        <is>
          <t>No</t>
        </is>
      </c>
      <c r="AU481">
        <f>HYPERLINK("https://creighton-primo.hosted.exlibrisgroup.com/primo-explore/search?tab=default_tab&amp;search_scope=EVERYTHING&amp;vid=01CRU&amp;lang=en_US&amp;offset=0&amp;query=any,contains,991001850359702656","Catalog Record")</f>
        <v/>
      </c>
      <c r="AV481">
        <f>HYPERLINK("http://www.worldcat.org/oclc/23218801","WorldCat Record")</f>
        <v/>
      </c>
      <c r="AW481" t="inlineStr">
        <is>
          <t>3943268629:eng</t>
        </is>
      </c>
      <c r="AX481" t="inlineStr">
        <is>
          <t>23218801</t>
        </is>
      </c>
      <c r="AY481" t="inlineStr">
        <is>
          <t>991001850359702656</t>
        </is>
      </c>
      <c r="AZ481" t="inlineStr">
        <is>
          <t>991001850359702656</t>
        </is>
      </c>
      <c r="BA481" t="inlineStr">
        <is>
          <t>2260233520002656</t>
        </is>
      </c>
      <c r="BB481" t="inlineStr">
        <is>
          <t>BOOK</t>
        </is>
      </c>
      <c r="BE481" t="inlineStr">
        <is>
          <t>32285002034881</t>
        </is>
      </c>
      <c r="BF481" t="inlineStr">
        <is>
          <t>893340746</t>
        </is>
      </c>
    </row>
    <row r="482">
      <c r="A482" t="inlineStr">
        <is>
          <t>No</t>
        </is>
      </c>
      <c r="B482" t="inlineStr">
        <is>
          <t>CURAL</t>
        </is>
      </c>
      <c r="C482" t="inlineStr">
        <is>
          <t>SHELVES</t>
        </is>
      </c>
      <c r="D482" t="inlineStr">
        <is>
          <t>PR251 .M34 1986</t>
        </is>
      </c>
      <c r="E482" t="inlineStr">
        <is>
          <t>0                      PR 0251000M  34          1986</t>
        </is>
      </c>
      <c r="F482" t="inlineStr">
        <is>
          <t>Medieval English religious and ethical literature : essays in honour of G.H. Russell / edited by Gregory Kratzmann and James Simpson.</t>
        </is>
      </c>
      <c r="H482" t="inlineStr">
        <is>
          <t>No</t>
        </is>
      </c>
      <c r="I482" t="inlineStr">
        <is>
          <t>1</t>
        </is>
      </c>
      <c r="J482" t="inlineStr">
        <is>
          <t>No</t>
        </is>
      </c>
      <c r="K482" t="inlineStr">
        <is>
          <t>No</t>
        </is>
      </c>
      <c r="L482" t="inlineStr">
        <is>
          <t>0</t>
        </is>
      </c>
      <c r="N482" t="inlineStr">
        <is>
          <t>Cambridge [Cambridgeshire] ; Dover, N.H. : D.S. Brewer, 1986.</t>
        </is>
      </c>
      <c r="O482" t="inlineStr">
        <is>
          <t>1986</t>
        </is>
      </c>
      <c r="Q482" t="inlineStr">
        <is>
          <t>eng</t>
        </is>
      </c>
      <c r="R482" t="inlineStr">
        <is>
          <t>enk</t>
        </is>
      </c>
      <c r="T482" t="inlineStr">
        <is>
          <t xml:space="preserve">PR </t>
        </is>
      </c>
      <c r="U482" t="n">
        <v>2</v>
      </c>
      <c r="V482" t="n">
        <v>2</v>
      </c>
      <c r="W482" t="inlineStr">
        <is>
          <t>1997-04-12</t>
        </is>
      </c>
      <c r="X482" t="inlineStr">
        <is>
          <t>1997-04-12</t>
        </is>
      </c>
      <c r="Y482" t="inlineStr">
        <is>
          <t>1991-08-28</t>
        </is>
      </c>
      <c r="Z482" t="inlineStr">
        <is>
          <t>1991-08-28</t>
        </is>
      </c>
      <c r="AA482" t="n">
        <v>293</v>
      </c>
      <c r="AB482" t="n">
        <v>212</v>
      </c>
      <c r="AC482" t="n">
        <v>224</v>
      </c>
      <c r="AD482" t="n">
        <v>4</v>
      </c>
      <c r="AE482" t="n">
        <v>4</v>
      </c>
      <c r="AF482" t="n">
        <v>15</v>
      </c>
      <c r="AG482" t="n">
        <v>15</v>
      </c>
      <c r="AH482" t="n">
        <v>2</v>
      </c>
      <c r="AI482" t="n">
        <v>2</v>
      </c>
      <c r="AJ482" t="n">
        <v>4</v>
      </c>
      <c r="AK482" t="n">
        <v>4</v>
      </c>
      <c r="AL482" t="n">
        <v>10</v>
      </c>
      <c r="AM482" t="n">
        <v>10</v>
      </c>
      <c r="AN482" t="n">
        <v>3</v>
      </c>
      <c r="AO482" t="n">
        <v>3</v>
      </c>
      <c r="AP482" t="n">
        <v>0</v>
      </c>
      <c r="AQ482" t="n">
        <v>0</v>
      </c>
      <c r="AR482" t="inlineStr">
        <is>
          <t>No</t>
        </is>
      </c>
      <c r="AS482" t="inlineStr">
        <is>
          <t>Yes</t>
        </is>
      </c>
      <c r="AT482">
        <f>HYPERLINK("http://catalog.hathitrust.org/Record/000804770","HathiTrust Record")</f>
        <v/>
      </c>
      <c r="AU482">
        <f>HYPERLINK("https://creighton-primo.hosted.exlibrisgroup.com/primo-explore/search?tab=default_tab&amp;search_scope=EVERYTHING&amp;vid=01CRU&amp;lang=en_US&amp;offset=0&amp;query=any,contains,991000815769702656","Catalog Record")</f>
        <v/>
      </c>
      <c r="AV482">
        <f>HYPERLINK("http://www.worldcat.org/oclc/13358084","WorldCat Record")</f>
        <v/>
      </c>
      <c r="AW482" t="inlineStr">
        <is>
          <t>836627319:eng</t>
        </is>
      </c>
      <c r="AX482" t="inlineStr">
        <is>
          <t>13358084</t>
        </is>
      </c>
      <c r="AY482" t="inlineStr">
        <is>
          <t>991000815769702656</t>
        </is>
      </c>
      <c r="AZ482" t="inlineStr">
        <is>
          <t>991000815769702656</t>
        </is>
      </c>
      <c r="BA482" t="inlineStr">
        <is>
          <t>2268264600002656</t>
        </is>
      </c>
      <c r="BB482" t="inlineStr">
        <is>
          <t>BOOK</t>
        </is>
      </c>
      <c r="BD482" t="inlineStr">
        <is>
          <t>9780859912204</t>
        </is>
      </c>
      <c r="BE482" t="inlineStr">
        <is>
          <t>32285000730126</t>
        </is>
      </c>
      <c r="BF482" t="inlineStr">
        <is>
          <t>893528408</t>
        </is>
      </c>
    </row>
    <row r="483">
      <c r="A483" t="inlineStr">
        <is>
          <t>No</t>
        </is>
      </c>
      <c r="B483" t="inlineStr">
        <is>
          <t>CURAL</t>
        </is>
      </c>
      <c r="C483" t="inlineStr">
        <is>
          <t>SHELVES</t>
        </is>
      </c>
      <c r="D483" t="inlineStr">
        <is>
          <t>PR251 .M4</t>
        </is>
      </c>
      <c r="E483" t="inlineStr">
        <is>
          <t>0                      PR 0251000M  4</t>
        </is>
      </c>
      <c r="F483" t="inlineStr">
        <is>
          <t>Medieval studies in honor of Lillian Herlands Hornstein / edited by Jess B. Bessinger, Jr. and Robert R. Raymo.</t>
        </is>
      </c>
      <c r="H483" t="inlineStr">
        <is>
          <t>No</t>
        </is>
      </c>
      <c r="I483" t="inlineStr">
        <is>
          <t>1</t>
        </is>
      </c>
      <c r="J483" t="inlineStr">
        <is>
          <t>No</t>
        </is>
      </c>
      <c r="K483" t="inlineStr">
        <is>
          <t>No</t>
        </is>
      </c>
      <c r="L483" t="inlineStr">
        <is>
          <t>0</t>
        </is>
      </c>
      <c r="N483" t="inlineStr">
        <is>
          <t>New York : New York University Press, 1976.</t>
        </is>
      </c>
      <c r="O483" t="inlineStr">
        <is>
          <t>1976</t>
        </is>
      </c>
      <c r="Q483" t="inlineStr">
        <is>
          <t>eng</t>
        </is>
      </c>
      <c r="R483" t="inlineStr">
        <is>
          <t>nyu</t>
        </is>
      </c>
      <c r="T483" t="inlineStr">
        <is>
          <t xml:space="preserve">PR </t>
        </is>
      </c>
      <c r="U483" t="n">
        <v>1</v>
      </c>
      <c r="V483" t="n">
        <v>1</v>
      </c>
      <c r="W483" t="inlineStr">
        <is>
          <t>1995-12-02</t>
        </is>
      </c>
      <c r="X483" t="inlineStr">
        <is>
          <t>1995-12-02</t>
        </is>
      </c>
      <c r="Y483" t="inlineStr">
        <is>
          <t>1991-08-28</t>
        </is>
      </c>
      <c r="Z483" t="inlineStr">
        <is>
          <t>1991-08-28</t>
        </is>
      </c>
      <c r="AA483" t="n">
        <v>288</v>
      </c>
      <c r="AB483" t="n">
        <v>228</v>
      </c>
      <c r="AC483" t="n">
        <v>228</v>
      </c>
      <c r="AD483" t="n">
        <v>2</v>
      </c>
      <c r="AE483" t="n">
        <v>2</v>
      </c>
      <c r="AF483" t="n">
        <v>9</v>
      </c>
      <c r="AG483" t="n">
        <v>9</v>
      </c>
      <c r="AH483" t="n">
        <v>2</v>
      </c>
      <c r="AI483" t="n">
        <v>2</v>
      </c>
      <c r="AJ483" t="n">
        <v>3</v>
      </c>
      <c r="AK483" t="n">
        <v>3</v>
      </c>
      <c r="AL483" t="n">
        <v>6</v>
      </c>
      <c r="AM483" t="n">
        <v>6</v>
      </c>
      <c r="AN483" t="n">
        <v>1</v>
      </c>
      <c r="AO483" t="n">
        <v>1</v>
      </c>
      <c r="AP483" t="n">
        <v>0</v>
      </c>
      <c r="AQ483" t="n">
        <v>0</v>
      </c>
      <c r="AR483" t="inlineStr">
        <is>
          <t>No</t>
        </is>
      </c>
      <c r="AS483" t="inlineStr">
        <is>
          <t>No</t>
        </is>
      </c>
      <c r="AU483">
        <f>HYPERLINK("https://creighton-primo.hosted.exlibrisgroup.com/primo-explore/search?tab=default_tab&amp;search_scope=EVERYTHING&amp;vid=01CRU&amp;lang=en_US&amp;offset=0&amp;query=any,contains,991003968609702656","Catalog Record")</f>
        <v/>
      </c>
      <c r="AV483">
        <f>HYPERLINK("http://www.worldcat.org/oclc/1991043","WorldCat Record")</f>
        <v/>
      </c>
      <c r="AW483" t="inlineStr">
        <is>
          <t>347375691:eng</t>
        </is>
      </c>
      <c r="AX483" t="inlineStr">
        <is>
          <t>1991043</t>
        </is>
      </c>
      <c r="AY483" t="inlineStr">
        <is>
          <t>991003968609702656</t>
        </is>
      </c>
      <c r="AZ483" t="inlineStr">
        <is>
          <t>991003968609702656</t>
        </is>
      </c>
      <c r="BA483" t="inlineStr">
        <is>
          <t>2264106240002656</t>
        </is>
      </c>
      <c r="BB483" t="inlineStr">
        <is>
          <t>BOOK</t>
        </is>
      </c>
      <c r="BD483" t="inlineStr">
        <is>
          <t>9780814773673</t>
        </is>
      </c>
      <c r="BE483" t="inlineStr">
        <is>
          <t>32285000730134</t>
        </is>
      </c>
      <c r="BF483" t="inlineStr">
        <is>
          <t>893234885</t>
        </is>
      </c>
    </row>
    <row r="484">
      <c r="A484" t="inlineStr">
        <is>
          <t>No</t>
        </is>
      </c>
      <c r="B484" t="inlineStr">
        <is>
          <t>CURAL</t>
        </is>
      </c>
      <c r="C484" t="inlineStr">
        <is>
          <t>SHELVES</t>
        </is>
      </c>
      <c r="D484" t="inlineStr">
        <is>
          <t>PR251 .P45 1961</t>
        </is>
      </c>
      <c r="E484" t="inlineStr">
        <is>
          <t>0                      PR 0251000P  45          1961</t>
        </is>
      </c>
      <c r="F484" t="inlineStr">
        <is>
          <t>Studies in medieval literature : In honor of Professor Albert Croll Baugh / edited by MacEdward Leach. Editorial committee: Frederick L. Jones [and others]</t>
        </is>
      </c>
      <c r="H484" t="inlineStr">
        <is>
          <t>No</t>
        </is>
      </c>
      <c r="I484" t="inlineStr">
        <is>
          <t>1</t>
        </is>
      </c>
      <c r="J484" t="inlineStr">
        <is>
          <t>No</t>
        </is>
      </c>
      <c r="K484" t="inlineStr">
        <is>
          <t>No</t>
        </is>
      </c>
      <c r="L484" t="inlineStr">
        <is>
          <t>0</t>
        </is>
      </c>
      <c r="M484" t="inlineStr">
        <is>
          <t>University of Pennsylvania.</t>
        </is>
      </c>
      <c r="N484" t="inlineStr">
        <is>
          <t>Philadelphia, University of Pennsylvania Press [1961]</t>
        </is>
      </c>
      <c r="O484" t="inlineStr">
        <is>
          <t>1961</t>
        </is>
      </c>
      <c r="Q484" t="inlineStr">
        <is>
          <t>eng</t>
        </is>
      </c>
      <c r="R484" t="inlineStr">
        <is>
          <t>pau</t>
        </is>
      </c>
      <c r="T484" t="inlineStr">
        <is>
          <t xml:space="preserve">PR </t>
        </is>
      </c>
      <c r="U484" t="n">
        <v>7</v>
      </c>
      <c r="V484" t="n">
        <v>7</v>
      </c>
      <c r="W484" t="inlineStr">
        <is>
          <t>1999-11-17</t>
        </is>
      </c>
      <c r="X484" t="inlineStr">
        <is>
          <t>1999-11-17</t>
        </is>
      </c>
      <c r="Y484" t="inlineStr">
        <is>
          <t>1997-08-19</t>
        </is>
      </c>
      <c r="Z484" t="inlineStr">
        <is>
          <t>1997-08-19</t>
        </is>
      </c>
      <c r="AA484" t="n">
        <v>818</v>
      </c>
      <c r="AB484" t="n">
        <v>718</v>
      </c>
      <c r="AC484" t="n">
        <v>723</v>
      </c>
      <c r="AD484" t="n">
        <v>3</v>
      </c>
      <c r="AE484" t="n">
        <v>3</v>
      </c>
      <c r="AF484" t="n">
        <v>36</v>
      </c>
      <c r="AG484" t="n">
        <v>36</v>
      </c>
      <c r="AH484" t="n">
        <v>16</v>
      </c>
      <c r="AI484" t="n">
        <v>16</v>
      </c>
      <c r="AJ484" t="n">
        <v>7</v>
      </c>
      <c r="AK484" t="n">
        <v>7</v>
      </c>
      <c r="AL484" t="n">
        <v>21</v>
      </c>
      <c r="AM484" t="n">
        <v>21</v>
      </c>
      <c r="AN484" t="n">
        <v>2</v>
      </c>
      <c r="AO484" t="n">
        <v>2</v>
      </c>
      <c r="AP484" t="n">
        <v>0</v>
      </c>
      <c r="AQ484" t="n">
        <v>0</v>
      </c>
      <c r="AR484" t="inlineStr">
        <is>
          <t>No</t>
        </is>
      </c>
      <c r="AS484" t="inlineStr">
        <is>
          <t>No</t>
        </is>
      </c>
      <c r="AT484">
        <f>HYPERLINK("http://catalog.hathitrust.org/Record/001016294","HathiTrust Record")</f>
        <v/>
      </c>
      <c r="AU484">
        <f>HYPERLINK("https://creighton-primo.hosted.exlibrisgroup.com/primo-explore/search?tab=default_tab&amp;search_scope=EVERYTHING&amp;vid=01CRU&amp;lang=en_US&amp;offset=0&amp;query=any,contains,991002442969702656","Catalog Record")</f>
        <v/>
      </c>
      <c r="AV484">
        <f>HYPERLINK("http://www.worldcat.org/oclc/350655","WorldCat Record")</f>
        <v/>
      </c>
      <c r="AW484" t="inlineStr">
        <is>
          <t>475306120:eng</t>
        </is>
      </c>
      <c r="AX484" t="inlineStr">
        <is>
          <t>350655</t>
        </is>
      </c>
      <c r="AY484" t="inlineStr">
        <is>
          <t>991002442969702656</t>
        </is>
      </c>
      <c r="AZ484" t="inlineStr">
        <is>
          <t>991002442969702656</t>
        </is>
      </c>
      <c r="BA484" t="inlineStr">
        <is>
          <t>2268793640002656</t>
        </is>
      </c>
      <c r="BB484" t="inlineStr">
        <is>
          <t>BOOK</t>
        </is>
      </c>
      <c r="BE484" t="inlineStr">
        <is>
          <t>32285003150736</t>
        </is>
      </c>
      <c r="BF484" t="inlineStr">
        <is>
          <t>893792477</t>
        </is>
      </c>
    </row>
    <row r="485">
      <c r="A485" t="inlineStr">
        <is>
          <t>No</t>
        </is>
      </c>
      <c r="B485" t="inlineStr">
        <is>
          <t>CURAL</t>
        </is>
      </c>
      <c r="C485" t="inlineStr">
        <is>
          <t>SHELVES</t>
        </is>
      </c>
      <c r="D485" t="inlineStr">
        <is>
          <t>PR2514 .S68 1986</t>
        </is>
      </c>
      <c r="E485" t="inlineStr">
        <is>
          <t>0                      PR 2514000S  68          1986</t>
        </is>
      </c>
      <c r="F485" t="inlineStr">
        <is>
          <t>John Fletcher / by Charles L. Squier.</t>
        </is>
      </c>
      <c r="H485" t="inlineStr">
        <is>
          <t>No</t>
        </is>
      </c>
      <c r="I485" t="inlineStr">
        <is>
          <t>1</t>
        </is>
      </c>
      <c r="J485" t="inlineStr">
        <is>
          <t>No</t>
        </is>
      </c>
      <c r="K485" t="inlineStr">
        <is>
          <t>No</t>
        </is>
      </c>
      <c r="L485" t="inlineStr">
        <is>
          <t>0</t>
        </is>
      </c>
      <c r="M485" t="inlineStr">
        <is>
          <t>Squier, Charles L.</t>
        </is>
      </c>
      <c r="N485" t="inlineStr">
        <is>
          <t>Boston : Twayne Publishers, c1986.</t>
        </is>
      </c>
      <c r="O485" t="inlineStr">
        <is>
          <t>1986</t>
        </is>
      </c>
      <c r="Q485" t="inlineStr">
        <is>
          <t>eng</t>
        </is>
      </c>
      <c r="R485" t="inlineStr">
        <is>
          <t>mau</t>
        </is>
      </c>
      <c r="S485" t="inlineStr">
        <is>
          <t>Twayne's English authors series ; TEAS 433</t>
        </is>
      </c>
      <c r="T485" t="inlineStr">
        <is>
          <t xml:space="preserve">PR </t>
        </is>
      </c>
      <c r="U485" t="n">
        <v>1</v>
      </c>
      <c r="V485" t="n">
        <v>1</v>
      </c>
      <c r="W485" t="inlineStr">
        <is>
          <t>2004-09-23</t>
        </is>
      </c>
      <c r="X485" t="inlineStr">
        <is>
          <t>2004-09-23</t>
        </is>
      </c>
      <c r="Y485" t="inlineStr">
        <is>
          <t>1991-10-08</t>
        </is>
      </c>
      <c r="Z485" t="inlineStr">
        <is>
          <t>1991-10-08</t>
        </is>
      </c>
      <c r="AA485" t="n">
        <v>530</v>
      </c>
      <c r="AB485" t="n">
        <v>458</v>
      </c>
      <c r="AC485" t="n">
        <v>555</v>
      </c>
      <c r="AD485" t="n">
        <v>5</v>
      </c>
      <c r="AE485" t="n">
        <v>5</v>
      </c>
      <c r="AF485" t="n">
        <v>27</v>
      </c>
      <c r="AG485" t="n">
        <v>29</v>
      </c>
      <c r="AH485" t="n">
        <v>9</v>
      </c>
      <c r="AI485" t="n">
        <v>10</v>
      </c>
      <c r="AJ485" t="n">
        <v>6</v>
      </c>
      <c r="AK485" t="n">
        <v>6</v>
      </c>
      <c r="AL485" t="n">
        <v>16</v>
      </c>
      <c r="AM485" t="n">
        <v>17</v>
      </c>
      <c r="AN485" t="n">
        <v>4</v>
      </c>
      <c r="AO485" t="n">
        <v>4</v>
      </c>
      <c r="AP485" t="n">
        <v>0</v>
      </c>
      <c r="AQ485" t="n">
        <v>0</v>
      </c>
      <c r="AR485" t="inlineStr">
        <is>
          <t>No</t>
        </is>
      </c>
      <c r="AS485" t="inlineStr">
        <is>
          <t>Yes</t>
        </is>
      </c>
      <c r="AT485">
        <f>HYPERLINK("http://catalog.hathitrust.org/Record/000595874","HathiTrust Record")</f>
        <v/>
      </c>
      <c r="AU485">
        <f>HYPERLINK("https://creighton-primo.hosted.exlibrisgroup.com/primo-explore/search?tab=default_tab&amp;search_scope=EVERYTHING&amp;vid=01CRU&amp;lang=en_US&amp;offset=0&amp;query=any,contains,991000858719702656","Catalog Record")</f>
        <v/>
      </c>
      <c r="AV485">
        <f>HYPERLINK("http://www.worldcat.org/oclc/13668206","WorldCat Record")</f>
        <v/>
      </c>
      <c r="AW485" t="inlineStr">
        <is>
          <t>7146656:eng</t>
        </is>
      </c>
      <c r="AX485" t="inlineStr">
        <is>
          <t>13668206</t>
        </is>
      </c>
      <c r="AY485" t="inlineStr">
        <is>
          <t>991000858719702656</t>
        </is>
      </c>
      <c r="AZ485" t="inlineStr">
        <is>
          <t>991000858719702656</t>
        </is>
      </c>
      <c r="BA485" t="inlineStr">
        <is>
          <t>2264292870002656</t>
        </is>
      </c>
      <c r="BB485" t="inlineStr">
        <is>
          <t>BOOK</t>
        </is>
      </c>
      <c r="BD485" t="inlineStr">
        <is>
          <t>9780805769234</t>
        </is>
      </c>
      <c r="BE485" t="inlineStr">
        <is>
          <t>32285000773225</t>
        </is>
      </c>
      <c r="BF485" t="inlineStr">
        <is>
          <t>893315303</t>
        </is>
      </c>
    </row>
    <row r="486">
      <c r="A486" t="inlineStr">
        <is>
          <t>No</t>
        </is>
      </c>
      <c r="B486" t="inlineStr">
        <is>
          <t>CURAL</t>
        </is>
      </c>
      <c r="C486" t="inlineStr">
        <is>
          <t>SHELVES</t>
        </is>
      </c>
      <c r="D486" t="inlineStr">
        <is>
          <t>PR2524 .B7 1968</t>
        </is>
      </c>
      <c r="E486" t="inlineStr">
        <is>
          <t>0                      PR 2524000B  7           1968</t>
        </is>
      </c>
      <c r="F486" t="inlineStr">
        <is>
          <t>The broken heart. Edited by Donald K. Anderson, Jr.</t>
        </is>
      </c>
      <c r="H486" t="inlineStr">
        <is>
          <t>No</t>
        </is>
      </c>
      <c r="I486" t="inlineStr">
        <is>
          <t>1</t>
        </is>
      </c>
      <c r="J486" t="inlineStr">
        <is>
          <t>No</t>
        </is>
      </c>
      <c r="K486" t="inlineStr">
        <is>
          <t>No</t>
        </is>
      </c>
      <c r="L486" t="inlineStr">
        <is>
          <t>0</t>
        </is>
      </c>
      <c r="M486" t="inlineStr">
        <is>
          <t>Ford, John, 1586-approximately 1640.</t>
        </is>
      </c>
      <c r="N486" t="inlineStr">
        <is>
          <t>Lincoln, University of Nebraska Press [1968]</t>
        </is>
      </c>
      <c r="O486" t="inlineStr">
        <is>
          <t>1968</t>
        </is>
      </c>
      <c r="Q486" t="inlineStr">
        <is>
          <t>eng</t>
        </is>
      </c>
      <c r="R486" t="inlineStr">
        <is>
          <t>nbu</t>
        </is>
      </c>
      <c r="S486" t="inlineStr">
        <is>
          <t>Regents Renaissance drama series</t>
        </is>
      </c>
      <c r="T486" t="inlineStr">
        <is>
          <t xml:space="preserve">PR </t>
        </is>
      </c>
      <c r="U486" t="n">
        <v>1</v>
      </c>
      <c r="V486" t="n">
        <v>1</v>
      </c>
      <c r="W486" t="inlineStr">
        <is>
          <t>2006-02-28</t>
        </is>
      </c>
      <c r="X486" t="inlineStr">
        <is>
          <t>2006-02-28</t>
        </is>
      </c>
      <c r="Y486" t="inlineStr">
        <is>
          <t>1997-07-30</t>
        </is>
      </c>
      <c r="Z486" t="inlineStr">
        <is>
          <t>1997-07-30</t>
        </is>
      </c>
      <c r="AA486" t="n">
        <v>489</v>
      </c>
      <c r="AB486" t="n">
        <v>420</v>
      </c>
      <c r="AC486" t="n">
        <v>791</v>
      </c>
      <c r="AD486" t="n">
        <v>5</v>
      </c>
      <c r="AE486" t="n">
        <v>7</v>
      </c>
      <c r="AF486" t="n">
        <v>26</v>
      </c>
      <c r="AG486" t="n">
        <v>46</v>
      </c>
      <c r="AH486" t="n">
        <v>9</v>
      </c>
      <c r="AI486" t="n">
        <v>18</v>
      </c>
      <c r="AJ486" t="n">
        <v>5</v>
      </c>
      <c r="AK486" t="n">
        <v>10</v>
      </c>
      <c r="AL486" t="n">
        <v>14</v>
      </c>
      <c r="AM486" t="n">
        <v>20</v>
      </c>
      <c r="AN486" t="n">
        <v>4</v>
      </c>
      <c r="AO486" t="n">
        <v>6</v>
      </c>
      <c r="AP486" t="n">
        <v>0</v>
      </c>
      <c r="AQ486" t="n">
        <v>1</v>
      </c>
      <c r="AR486" t="inlineStr">
        <is>
          <t>No</t>
        </is>
      </c>
      <c r="AS486" t="inlineStr">
        <is>
          <t>No</t>
        </is>
      </c>
      <c r="AU486">
        <f>HYPERLINK("https://creighton-primo.hosted.exlibrisgroup.com/primo-explore/search?tab=default_tab&amp;search_scope=EVERYTHING&amp;vid=01CRU&amp;lang=en_US&amp;offset=0&amp;query=any,contains,991002450649702656","Catalog Record")</f>
        <v/>
      </c>
      <c r="AV486">
        <f>HYPERLINK("http://www.worldcat.org/oclc/352791","WorldCat Record")</f>
        <v/>
      </c>
      <c r="AW486" t="inlineStr">
        <is>
          <t>578213:eng</t>
        </is>
      </c>
      <c r="AX486" t="inlineStr">
        <is>
          <t>352791</t>
        </is>
      </c>
      <c r="AY486" t="inlineStr">
        <is>
          <t>991002450649702656</t>
        </is>
      </c>
      <c r="AZ486" t="inlineStr">
        <is>
          <t>991002450649702656</t>
        </is>
      </c>
      <c r="BA486" t="inlineStr">
        <is>
          <t>2265199180002656</t>
        </is>
      </c>
      <c r="BB486" t="inlineStr">
        <is>
          <t>BOOK</t>
        </is>
      </c>
      <c r="BE486" t="inlineStr">
        <is>
          <t>32285002993094</t>
        </is>
      </c>
      <c r="BF486" t="inlineStr">
        <is>
          <t>893704099</t>
        </is>
      </c>
    </row>
    <row r="487">
      <c r="A487" t="inlineStr">
        <is>
          <t>No</t>
        </is>
      </c>
      <c r="B487" t="inlineStr">
        <is>
          <t>CURAL</t>
        </is>
      </c>
      <c r="C487" t="inlineStr">
        <is>
          <t>SHELVES</t>
        </is>
      </c>
      <c r="D487" t="inlineStr">
        <is>
          <t>PR2524 .C5</t>
        </is>
      </c>
      <c r="E487" t="inlineStr">
        <is>
          <t>0                      PR 2524000C  5</t>
        </is>
      </c>
      <c r="F487" t="inlineStr">
        <is>
          <t>Perkin Warbeck. Edited by Donald K. Anderson, Jr.</t>
        </is>
      </c>
      <c r="H487" t="inlineStr">
        <is>
          <t>No</t>
        </is>
      </c>
      <c r="I487" t="inlineStr">
        <is>
          <t>1</t>
        </is>
      </c>
      <c r="J487" t="inlineStr">
        <is>
          <t>No</t>
        </is>
      </c>
      <c r="K487" t="inlineStr">
        <is>
          <t>No</t>
        </is>
      </c>
      <c r="L487" t="inlineStr">
        <is>
          <t>0</t>
        </is>
      </c>
      <c r="M487" t="inlineStr">
        <is>
          <t>Ford, John, 1586-approximately 1640.</t>
        </is>
      </c>
      <c r="N487" t="inlineStr">
        <is>
          <t>Lincoln, University of Nebraska Press [1965]</t>
        </is>
      </c>
      <c r="O487" t="inlineStr">
        <is>
          <t>1965</t>
        </is>
      </c>
      <c r="Q487" t="inlineStr">
        <is>
          <t>eng</t>
        </is>
      </c>
      <c r="R487" t="inlineStr">
        <is>
          <t>nbu</t>
        </is>
      </c>
      <c r="S487" t="inlineStr">
        <is>
          <t>Regents Renaissance drama series</t>
        </is>
      </c>
      <c r="T487" t="inlineStr">
        <is>
          <t xml:space="preserve">PR </t>
        </is>
      </c>
      <c r="U487" t="n">
        <v>1</v>
      </c>
      <c r="V487" t="n">
        <v>1</v>
      </c>
      <c r="W487" t="inlineStr">
        <is>
          <t>2006-02-17</t>
        </is>
      </c>
      <c r="X487" t="inlineStr">
        <is>
          <t>2006-02-17</t>
        </is>
      </c>
      <c r="Y487" t="inlineStr">
        <is>
          <t>1997-07-30</t>
        </is>
      </c>
      <c r="Z487" t="inlineStr">
        <is>
          <t>1997-07-30</t>
        </is>
      </c>
      <c r="AA487" t="n">
        <v>636</v>
      </c>
      <c r="AB487" t="n">
        <v>586</v>
      </c>
      <c r="AC487" t="n">
        <v>621</v>
      </c>
      <c r="AD487" t="n">
        <v>7</v>
      </c>
      <c r="AE487" t="n">
        <v>7</v>
      </c>
      <c r="AF487" t="n">
        <v>38</v>
      </c>
      <c r="AG487" t="n">
        <v>38</v>
      </c>
      <c r="AH487" t="n">
        <v>9</v>
      </c>
      <c r="AI487" t="n">
        <v>9</v>
      </c>
      <c r="AJ487" t="n">
        <v>10</v>
      </c>
      <c r="AK487" t="n">
        <v>10</v>
      </c>
      <c r="AL487" t="n">
        <v>20</v>
      </c>
      <c r="AM487" t="n">
        <v>20</v>
      </c>
      <c r="AN487" t="n">
        <v>6</v>
      </c>
      <c r="AO487" t="n">
        <v>6</v>
      </c>
      <c r="AP487" t="n">
        <v>0</v>
      </c>
      <c r="AQ487" t="n">
        <v>0</v>
      </c>
      <c r="AR487" t="inlineStr">
        <is>
          <t>No</t>
        </is>
      </c>
      <c r="AS487" t="inlineStr">
        <is>
          <t>Yes</t>
        </is>
      </c>
      <c r="AT487">
        <f>HYPERLINK("http://catalog.hathitrust.org/Record/001372815","HathiTrust Record")</f>
        <v/>
      </c>
      <c r="AU487">
        <f>HYPERLINK("https://creighton-primo.hosted.exlibrisgroup.com/primo-explore/search?tab=default_tab&amp;search_scope=EVERYTHING&amp;vid=01CRU&amp;lang=en_US&amp;offset=0&amp;query=any,contains,991002450689702656","Catalog Record")</f>
        <v/>
      </c>
      <c r="AV487">
        <f>HYPERLINK("http://www.worldcat.org/oclc/352792","WorldCat Record")</f>
        <v/>
      </c>
      <c r="AW487" t="inlineStr">
        <is>
          <t>2564811779:eng</t>
        </is>
      </c>
      <c r="AX487" t="inlineStr">
        <is>
          <t>352792</t>
        </is>
      </c>
      <c r="AY487" t="inlineStr">
        <is>
          <t>991002450689702656</t>
        </is>
      </c>
      <c r="AZ487" t="inlineStr">
        <is>
          <t>991002450689702656</t>
        </is>
      </c>
      <c r="BA487" t="inlineStr">
        <is>
          <t>2265199210002656</t>
        </is>
      </c>
      <c r="BB487" t="inlineStr">
        <is>
          <t>BOOK</t>
        </is>
      </c>
      <c r="BE487" t="inlineStr">
        <is>
          <t>32285002993110</t>
        </is>
      </c>
      <c r="BF487" t="inlineStr">
        <is>
          <t>893792488</t>
        </is>
      </c>
    </row>
    <row r="488">
      <c r="A488" t="inlineStr">
        <is>
          <t>No</t>
        </is>
      </c>
      <c r="B488" t="inlineStr">
        <is>
          <t>CURAL</t>
        </is>
      </c>
      <c r="C488" t="inlineStr">
        <is>
          <t>SHELVES</t>
        </is>
      </c>
      <c r="D488" t="inlineStr">
        <is>
          <t>PR2527 .A5</t>
        </is>
      </c>
      <c r="E488" t="inlineStr">
        <is>
          <t>0                      PR 2527000A  5</t>
        </is>
      </c>
      <c r="F488" t="inlineStr">
        <is>
          <t>John Ford / by Donald K. Anderson, Jr.</t>
        </is>
      </c>
      <c r="H488" t="inlineStr">
        <is>
          <t>No</t>
        </is>
      </c>
      <c r="I488" t="inlineStr">
        <is>
          <t>1</t>
        </is>
      </c>
      <c r="J488" t="inlineStr">
        <is>
          <t>No</t>
        </is>
      </c>
      <c r="K488" t="inlineStr">
        <is>
          <t>No</t>
        </is>
      </c>
      <c r="L488" t="inlineStr">
        <is>
          <t>0</t>
        </is>
      </c>
      <c r="M488" t="inlineStr">
        <is>
          <t>Anderson, Donald K., 1922-</t>
        </is>
      </c>
      <c r="N488" t="inlineStr">
        <is>
          <t>New York : Twayne Publishers, [1972]</t>
        </is>
      </c>
      <c r="O488" t="inlineStr">
        <is>
          <t>1972</t>
        </is>
      </c>
      <c r="Q488" t="inlineStr">
        <is>
          <t>eng</t>
        </is>
      </c>
      <c r="R488" t="inlineStr">
        <is>
          <t>nyu</t>
        </is>
      </c>
      <c r="S488" t="inlineStr">
        <is>
          <t>Twayne's English authors series ; TEAS 129</t>
        </is>
      </c>
      <c r="T488" t="inlineStr">
        <is>
          <t xml:space="preserve">PR </t>
        </is>
      </c>
      <c r="U488" t="n">
        <v>4</v>
      </c>
      <c r="V488" t="n">
        <v>4</v>
      </c>
      <c r="W488" t="inlineStr">
        <is>
          <t>1994-04-07</t>
        </is>
      </c>
      <c r="X488" t="inlineStr">
        <is>
          <t>1994-04-07</t>
        </is>
      </c>
      <c r="Y488" t="inlineStr">
        <is>
          <t>1991-10-17</t>
        </is>
      </c>
      <c r="Z488" t="inlineStr">
        <is>
          <t>1991-10-17</t>
        </is>
      </c>
      <c r="AA488" t="n">
        <v>803</v>
      </c>
      <c r="AB488" t="n">
        <v>705</v>
      </c>
      <c r="AC488" t="n">
        <v>713</v>
      </c>
      <c r="AD488" t="n">
        <v>8</v>
      </c>
      <c r="AE488" t="n">
        <v>8</v>
      </c>
      <c r="AF488" t="n">
        <v>34</v>
      </c>
      <c r="AG488" t="n">
        <v>34</v>
      </c>
      <c r="AH488" t="n">
        <v>12</v>
      </c>
      <c r="AI488" t="n">
        <v>12</v>
      </c>
      <c r="AJ488" t="n">
        <v>8</v>
      </c>
      <c r="AK488" t="n">
        <v>8</v>
      </c>
      <c r="AL488" t="n">
        <v>16</v>
      </c>
      <c r="AM488" t="n">
        <v>16</v>
      </c>
      <c r="AN488" t="n">
        <v>7</v>
      </c>
      <c r="AO488" t="n">
        <v>7</v>
      </c>
      <c r="AP488" t="n">
        <v>0</v>
      </c>
      <c r="AQ488" t="n">
        <v>0</v>
      </c>
      <c r="AR488" t="inlineStr">
        <is>
          <t>No</t>
        </is>
      </c>
      <c r="AS488" t="inlineStr">
        <is>
          <t>Yes</t>
        </is>
      </c>
      <c r="AT488">
        <f>HYPERLINK("http://catalog.hathitrust.org/Record/000005003","HathiTrust Record")</f>
        <v/>
      </c>
      <c r="AU488">
        <f>HYPERLINK("https://creighton-primo.hosted.exlibrisgroup.com/primo-explore/search?tab=default_tab&amp;search_scope=EVERYTHING&amp;vid=01CRU&amp;lang=en_US&amp;offset=0&amp;query=any,contains,991002433819702656","Catalog Record")</f>
        <v/>
      </c>
      <c r="AV488">
        <f>HYPERLINK("http://www.worldcat.org/oclc/348245","WorldCat Record")</f>
        <v/>
      </c>
      <c r="AW488" t="inlineStr">
        <is>
          <t>3944028718:eng</t>
        </is>
      </c>
      <c r="AX488" t="inlineStr">
        <is>
          <t>348245</t>
        </is>
      </c>
      <c r="AY488" t="inlineStr">
        <is>
          <t>991002433819702656</t>
        </is>
      </c>
      <c r="AZ488" t="inlineStr">
        <is>
          <t>991002433819702656</t>
        </is>
      </c>
      <c r="BA488" t="inlineStr">
        <is>
          <t>2271121790002656</t>
        </is>
      </c>
      <c r="BB488" t="inlineStr">
        <is>
          <t>BOOK</t>
        </is>
      </c>
      <c r="BE488" t="inlineStr">
        <is>
          <t>32285000773233</t>
        </is>
      </c>
      <c r="BF488" t="inlineStr">
        <is>
          <t>893226831</t>
        </is>
      </c>
    </row>
    <row r="489">
      <c r="A489" t="inlineStr">
        <is>
          <t>No</t>
        </is>
      </c>
      <c r="B489" t="inlineStr">
        <is>
          <t>CURAL</t>
        </is>
      </c>
      <c r="C489" t="inlineStr">
        <is>
          <t>SHELVES</t>
        </is>
      </c>
      <c r="D489" t="inlineStr">
        <is>
          <t>PR255 .B3</t>
        </is>
      </c>
      <c r="E489" t="inlineStr">
        <is>
          <t>0                      PR 0255000B  3</t>
        </is>
      </c>
      <c r="F489" t="inlineStr">
        <is>
          <t>Three medieval centuries of literature in England, 1100-1400, by Charles Sears Baldwin ...</t>
        </is>
      </c>
      <c r="H489" t="inlineStr">
        <is>
          <t>No</t>
        </is>
      </c>
      <c r="I489" t="inlineStr">
        <is>
          <t>1</t>
        </is>
      </c>
      <c r="J489" t="inlineStr">
        <is>
          <t>No</t>
        </is>
      </c>
      <c r="K489" t="inlineStr">
        <is>
          <t>No</t>
        </is>
      </c>
      <c r="L489" t="inlineStr">
        <is>
          <t>0</t>
        </is>
      </c>
      <c r="M489" t="inlineStr">
        <is>
          <t>Baldwin, Charles Sears, 1867-1935.</t>
        </is>
      </c>
      <c r="N489" t="inlineStr">
        <is>
          <t>Boston, Little, Brown, and Company, 1932.</t>
        </is>
      </c>
      <c r="O489" t="inlineStr">
        <is>
          <t>1932</t>
        </is>
      </c>
      <c r="Q489" t="inlineStr">
        <is>
          <t>eng</t>
        </is>
      </c>
      <c r="R489" t="inlineStr">
        <is>
          <t>mau</t>
        </is>
      </c>
      <c r="T489" t="inlineStr">
        <is>
          <t xml:space="preserve">PR </t>
        </is>
      </c>
      <c r="U489" t="n">
        <v>3</v>
      </c>
      <c r="V489" t="n">
        <v>3</v>
      </c>
      <c r="W489" t="inlineStr">
        <is>
          <t>1998-11-03</t>
        </is>
      </c>
      <c r="X489" t="inlineStr">
        <is>
          <t>1998-11-03</t>
        </is>
      </c>
      <c r="Y489" t="inlineStr">
        <is>
          <t>1997-08-19</t>
        </is>
      </c>
      <c r="Z489" t="inlineStr">
        <is>
          <t>1997-08-19</t>
        </is>
      </c>
      <c r="AA489" t="n">
        <v>353</v>
      </c>
      <c r="AB489" t="n">
        <v>334</v>
      </c>
      <c r="AC489" t="n">
        <v>561</v>
      </c>
      <c r="AD489" t="n">
        <v>5</v>
      </c>
      <c r="AE489" t="n">
        <v>5</v>
      </c>
      <c r="AF489" t="n">
        <v>26</v>
      </c>
      <c r="AG489" t="n">
        <v>33</v>
      </c>
      <c r="AH489" t="n">
        <v>6</v>
      </c>
      <c r="AI489" t="n">
        <v>10</v>
      </c>
      <c r="AJ489" t="n">
        <v>4</v>
      </c>
      <c r="AK489" t="n">
        <v>6</v>
      </c>
      <c r="AL489" t="n">
        <v>16</v>
      </c>
      <c r="AM489" t="n">
        <v>19</v>
      </c>
      <c r="AN489" t="n">
        <v>4</v>
      </c>
      <c r="AO489" t="n">
        <v>4</v>
      </c>
      <c r="AP489" t="n">
        <v>0</v>
      </c>
      <c r="AQ489" t="n">
        <v>0</v>
      </c>
      <c r="AR489" t="inlineStr">
        <is>
          <t>No</t>
        </is>
      </c>
      <c r="AS489" t="inlineStr">
        <is>
          <t>No</t>
        </is>
      </c>
      <c r="AT489">
        <f>HYPERLINK("http://catalog.hathitrust.org/Record/001016295","HathiTrust Record")</f>
        <v/>
      </c>
      <c r="AU489">
        <f>HYPERLINK("https://creighton-primo.hosted.exlibrisgroup.com/primo-explore/search?tab=default_tab&amp;search_scope=EVERYTHING&amp;vid=01CRU&amp;lang=en_US&amp;offset=0&amp;query=any,contains,991002036839702656","Catalog Record")</f>
        <v/>
      </c>
      <c r="AV489">
        <f>HYPERLINK("http://www.worldcat.org/oclc/260615","WorldCat Record")</f>
        <v/>
      </c>
      <c r="AW489" t="inlineStr">
        <is>
          <t>1368364:eng</t>
        </is>
      </c>
      <c r="AX489" t="inlineStr">
        <is>
          <t>260615</t>
        </is>
      </c>
      <c r="AY489" t="inlineStr">
        <is>
          <t>991002036839702656</t>
        </is>
      </c>
      <c r="AZ489" t="inlineStr">
        <is>
          <t>991002036839702656</t>
        </is>
      </c>
      <c r="BA489" t="inlineStr">
        <is>
          <t>2262523340002656</t>
        </is>
      </c>
      <c r="BB489" t="inlineStr">
        <is>
          <t>BOOK</t>
        </is>
      </c>
      <c r="BE489" t="inlineStr">
        <is>
          <t>32285003150769</t>
        </is>
      </c>
      <c r="BF489" t="inlineStr">
        <is>
          <t>893408616</t>
        </is>
      </c>
    </row>
    <row r="490">
      <c r="A490" t="inlineStr">
        <is>
          <t>No</t>
        </is>
      </c>
      <c r="B490" t="inlineStr">
        <is>
          <t>CURAL</t>
        </is>
      </c>
      <c r="C490" t="inlineStr">
        <is>
          <t>SHELVES</t>
        </is>
      </c>
      <c r="D490" t="inlineStr">
        <is>
          <t>PR255 .B43 1958</t>
        </is>
      </c>
      <c r="E490" t="inlineStr">
        <is>
          <t>0                      PR 0255000B  43          1958</t>
        </is>
      </c>
      <c r="F490" t="inlineStr">
        <is>
          <t>Chaucer and the fifteenth century / by H.S. Bennett.</t>
        </is>
      </c>
      <c r="H490" t="inlineStr">
        <is>
          <t>No</t>
        </is>
      </c>
      <c r="I490" t="inlineStr">
        <is>
          <t>1</t>
        </is>
      </c>
      <c r="J490" t="inlineStr">
        <is>
          <t>No</t>
        </is>
      </c>
      <c r="K490" t="inlineStr">
        <is>
          <t>No</t>
        </is>
      </c>
      <c r="L490" t="inlineStr">
        <is>
          <t>0</t>
        </is>
      </c>
      <c r="M490" t="inlineStr">
        <is>
          <t>Bennett, H. S. (Henry Stanley), 1889-1972.</t>
        </is>
      </c>
      <c r="N490" t="inlineStr">
        <is>
          <t>Oxford : Clarendon Press, [1958]</t>
        </is>
      </c>
      <c r="O490" t="inlineStr">
        <is>
          <t>1958</t>
        </is>
      </c>
      <c r="Q490" t="inlineStr">
        <is>
          <t>eng</t>
        </is>
      </c>
      <c r="R490" t="inlineStr">
        <is>
          <t>___</t>
        </is>
      </c>
      <c r="S490" t="inlineStr">
        <is>
          <t>Oxford history of English literature ; v. 2, pt. 1</t>
        </is>
      </c>
      <c r="T490" t="inlineStr">
        <is>
          <t xml:space="preserve">PR </t>
        </is>
      </c>
      <c r="U490" t="n">
        <v>3</v>
      </c>
      <c r="V490" t="n">
        <v>3</v>
      </c>
      <c r="W490" t="inlineStr">
        <is>
          <t>1998-11-06</t>
        </is>
      </c>
      <c r="X490" t="inlineStr">
        <is>
          <t>1998-11-06</t>
        </is>
      </c>
      <c r="Y490" t="inlineStr">
        <is>
          <t>1991-08-28</t>
        </is>
      </c>
      <c r="Z490" t="inlineStr">
        <is>
          <t>1991-08-28</t>
        </is>
      </c>
      <c r="AA490" t="n">
        <v>90</v>
      </c>
      <c r="AB490" t="n">
        <v>72</v>
      </c>
      <c r="AC490" t="n">
        <v>336</v>
      </c>
      <c r="AD490" t="n">
        <v>1</v>
      </c>
      <c r="AE490" t="n">
        <v>2</v>
      </c>
      <c r="AF490" t="n">
        <v>0</v>
      </c>
      <c r="AG490" t="n">
        <v>8</v>
      </c>
      <c r="AH490" t="n">
        <v>0</v>
      </c>
      <c r="AI490" t="n">
        <v>3</v>
      </c>
      <c r="AJ490" t="n">
        <v>0</v>
      </c>
      <c r="AK490" t="n">
        <v>2</v>
      </c>
      <c r="AL490" t="n">
        <v>0</v>
      </c>
      <c r="AM490" t="n">
        <v>5</v>
      </c>
      <c r="AN490" t="n">
        <v>0</v>
      </c>
      <c r="AO490" t="n">
        <v>1</v>
      </c>
      <c r="AP490" t="n">
        <v>0</v>
      </c>
      <c r="AQ490" t="n">
        <v>0</v>
      </c>
      <c r="AR490" t="inlineStr">
        <is>
          <t>No</t>
        </is>
      </c>
      <c r="AS490" t="inlineStr">
        <is>
          <t>Yes</t>
        </is>
      </c>
      <c r="AT490">
        <f>HYPERLINK("http://catalog.hathitrust.org/Record/102499142","HathiTrust Record")</f>
        <v/>
      </c>
      <c r="AU490">
        <f>HYPERLINK("https://creighton-primo.hosted.exlibrisgroup.com/primo-explore/search?tab=default_tab&amp;search_scope=EVERYTHING&amp;vid=01CRU&amp;lang=en_US&amp;offset=0&amp;query=any,contains,991003738419702656","Catalog Record")</f>
        <v/>
      </c>
      <c r="AV490">
        <f>HYPERLINK("http://www.worldcat.org/oclc/1398146","WorldCat Record")</f>
        <v/>
      </c>
      <c r="AW490" t="inlineStr">
        <is>
          <t>58640651:eng</t>
        </is>
      </c>
      <c r="AX490" t="inlineStr">
        <is>
          <t>1398146</t>
        </is>
      </c>
      <c r="AY490" t="inlineStr">
        <is>
          <t>991003738419702656</t>
        </is>
      </c>
      <c r="AZ490" t="inlineStr">
        <is>
          <t>991003738419702656</t>
        </is>
      </c>
      <c r="BA490" t="inlineStr">
        <is>
          <t>2263285360002656</t>
        </is>
      </c>
      <c r="BB490" t="inlineStr">
        <is>
          <t>BOOK</t>
        </is>
      </c>
      <c r="BE490" t="inlineStr">
        <is>
          <t>32285000730159</t>
        </is>
      </c>
      <c r="BF490" t="inlineStr">
        <is>
          <t>893806150</t>
        </is>
      </c>
    </row>
    <row r="491">
      <c r="A491" t="inlineStr">
        <is>
          <t>No</t>
        </is>
      </c>
      <c r="B491" t="inlineStr">
        <is>
          <t>CURAL</t>
        </is>
      </c>
      <c r="C491" t="inlineStr">
        <is>
          <t>SHELVES</t>
        </is>
      </c>
      <c r="D491" t="inlineStr">
        <is>
          <t>PR255 .B45 1990</t>
        </is>
      </c>
      <c r="E491" t="inlineStr">
        <is>
          <t>0                      PR 0255000B  45          1990</t>
        </is>
      </c>
      <c r="F491" t="inlineStr">
        <is>
          <t>Middle English literature, 1100-1400 / J.A.W. Bennett ; edited and completed by Douglas Gray.</t>
        </is>
      </c>
      <c r="H491" t="inlineStr">
        <is>
          <t>No</t>
        </is>
      </c>
      <c r="I491" t="inlineStr">
        <is>
          <t>1</t>
        </is>
      </c>
      <c r="J491" t="inlineStr">
        <is>
          <t>No</t>
        </is>
      </c>
      <c r="K491" t="inlineStr">
        <is>
          <t>No</t>
        </is>
      </c>
      <c r="L491" t="inlineStr">
        <is>
          <t>0</t>
        </is>
      </c>
      <c r="M491" t="inlineStr">
        <is>
          <t>Bennett, J. A. W. (Jack Arthur Walter)</t>
        </is>
      </c>
      <c r="N491" t="inlineStr">
        <is>
          <t>Oxford : Clarendon Press ; New York : Oxford University Press, 1990, c1986</t>
        </is>
      </c>
      <c r="O491" t="inlineStr">
        <is>
          <t>1990</t>
        </is>
      </c>
      <c r="Q491" t="inlineStr">
        <is>
          <t>eng</t>
        </is>
      </c>
      <c r="R491" t="inlineStr">
        <is>
          <t>enk</t>
        </is>
      </c>
      <c r="S491" t="inlineStr">
        <is>
          <t>The Oxford history of English literature ; 1, pt. 2</t>
        </is>
      </c>
      <c r="T491" t="inlineStr">
        <is>
          <t xml:space="preserve">PR </t>
        </is>
      </c>
      <c r="U491" t="n">
        <v>4</v>
      </c>
      <c r="V491" t="n">
        <v>4</v>
      </c>
      <c r="W491" t="inlineStr">
        <is>
          <t>1998-11-06</t>
        </is>
      </c>
      <c r="X491" t="inlineStr">
        <is>
          <t>1998-11-06</t>
        </is>
      </c>
      <c r="Y491" t="inlineStr">
        <is>
          <t>1991-05-14</t>
        </is>
      </c>
      <c r="Z491" t="inlineStr">
        <is>
          <t>1991-05-14</t>
        </is>
      </c>
      <c r="AA491" t="n">
        <v>113</v>
      </c>
      <c r="AB491" t="n">
        <v>65</v>
      </c>
      <c r="AC491" t="n">
        <v>67</v>
      </c>
      <c r="AD491" t="n">
        <v>3</v>
      </c>
      <c r="AE491" t="n">
        <v>3</v>
      </c>
      <c r="AF491" t="n">
        <v>5</v>
      </c>
      <c r="AG491" t="n">
        <v>5</v>
      </c>
      <c r="AH491" t="n">
        <v>1</v>
      </c>
      <c r="AI491" t="n">
        <v>1</v>
      </c>
      <c r="AJ491" t="n">
        <v>0</v>
      </c>
      <c r="AK491" t="n">
        <v>0</v>
      </c>
      <c r="AL491" t="n">
        <v>2</v>
      </c>
      <c r="AM491" t="n">
        <v>2</v>
      </c>
      <c r="AN491" t="n">
        <v>2</v>
      </c>
      <c r="AO491" t="n">
        <v>2</v>
      </c>
      <c r="AP491" t="n">
        <v>0</v>
      </c>
      <c r="AQ491" t="n">
        <v>0</v>
      </c>
      <c r="AR491" t="inlineStr">
        <is>
          <t>No</t>
        </is>
      </c>
      <c r="AS491" t="inlineStr">
        <is>
          <t>No</t>
        </is>
      </c>
      <c r="AU491">
        <f>HYPERLINK("https://creighton-primo.hosted.exlibrisgroup.com/primo-explore/search?tab=default_tab&amp;search_scope=EVERYTHING&amp;vid=01CRU&amp;lang=en_US&amp;offset=0&amp;query=any,contains,991001796759702656","Catalog Record")</f>
        <v/>
      </c>
      <c r="AV491">
        <f>HYPERLINK("http://www.worldcat.org/oclc/22608370","WorldCat Record")</f>
        <v/>
      </c>
      <c r="AW491" t="inlineStr">
        <is>
          <t>5610182844:eng</t>
        </is>
      </c>
      <c r="AX491" t="inlineStr">
        <is>
          <t>22608370</t>
        </is>
      </c>
      <c r="AY491" t="inlineStr">
        <is>
          <t>991001796759702656</t>
        </is>
      </c>
      <c r="AZ491" t="inlineStr">
        <is>
          <t>991001796759702656</t>
        </is>
      </c>
      <c r="BA491" t="inlineStr">
        <is>
          <t>2255962250002656</t>
        </is>
      </c>
      <c r="BB491" t="inlineStr">
        <is>
          <t>BOOK</t>
        </is>
      </c>
      <c r="BE491" t="inlineStr">
        <is>
          <t>32285000573104</t>
        </is>
      </c>
      <c r="BF491" t="inlineStr">
        <is>
          <t>893709552</t>
        </is>
      </c>
    </row>
    <row r="492">
      <c r="A492" t="inlineStr">
        <is>
          <t>No</t>
        </is>
      </c>
      <c r="B492" t="inlineStr">
        <is>
          <t>CURAL</t>
        </is>
      </c>
      <c r="C492" t="inlineStr">
        <is>
          <t>SHELVES</t>
        </is>
      </c>
      <c r="D492" t="inlineStr">
        <is>
          <t>PR255 .B73 1983</t>
        </is>
      </c>
      <c r="E492" t="inlineStr">
        <is>
          <t>0                      PR 0255000B  73          1983</t>
        </is>
      </c>
      <c r="F492" t="inlineStr">
        <is>
          <t>English gothic literature / Derek Brewer.</t>
        </is>
      </c>
      <c r="H492" t="inlineStr">
        <is>
          <t>No</t>
        </is>
      </c>
      <c r="I492" t="inlineStr">
        <is>
          <t>1</t>
        </is>
      </c>
      <c r="J492" t="inlineStr">
        <is>
          <t>No</t>
        </is>
      </c>
      <c r="K492" t="inlineStr">
        <is>
          <t>No</t>
        </is>
      </c>
      <c r="L492" t="inlineStr">
        <is>
          <t>0</t>
        </is>
      </c>
      <c r="M492" t="inlineStr">
        <is>
          <t>Brewer, Derek, 1923-2008.</t>
        </is>
      </c>
      <c r="N492" t="inlineStr">
        <is>
          <t>New York : Schocken Books, 1983.</t>
        </is>
      </c>
      <c r="O492" t="inlineStr">
        <is>
          <t>1983</t>
        </is>
      </c>
      <c r="P492" t="inlineStr">
        <is>
          <t>1st American ed.</t>
        </is>
      </c>
      <c r="Q492" t="inlineStr">
        <is>
          <t>eng</t>
        </is>
      </c>
      <c r="R492" t="inlineStr">
        <is>
          <t>nyu</t>
        </is>
      </c>
      <c r="S492" t="inlineStr">
        <is>
          <t>History of literature series, 0732-1937</t>
        </is>
      </c>
      <c r="T492" t="inlineStr">
        <is>
          <t xml:space="preserve">PR </t>
        </is>
      </c>
      <c r="U492" t="n">
        <v>6</v>
      </c>
      <c r="V492" t="n">
        <v>6</v>
      </c>
      <c r="W492" t="inlineStr">
        <is>
          <t>2004-04-29</t>
        </is>
      </c>
      <c r="X492" t="inlineStr">
        <is>
          <t>2004-04-29</t>
        </is>
      </c>
      <c r="Y492" t="inlineStr">
        <is>
          <t>1991-08-28</t>
        </is>
      </c>
      <c r="Z492" t="inlineStr">
        <is>
          <t>1991-08-28</t>
        </is>
      </c>
      <c r="AA492" t="n">
        <v>224</v>
      </c>
      <c r="AB492" t="n">
        <v>198</v>
      </c>
      <c r="AC492" t="n">
        <v>252</v>
      </c>
      <c r="AD492" t="n">
        <v>2</v>
      </c>
      <c r="AE492" t="n">
        <v>3</v>
      </c>
      <c r="AF492" t="n">
        <v>11</v>
      </c>
      <c r="AG492" t="n">
        <v>12</v>
      </c>
      <c r="AH492" t="n">
        <v>6</v>
      </c>
      <c r="AI492" t="n">
        <v>6</v>
      </c>
      <c r="AJ492" t="n">
        <v>4</v>
      </c>
      <c r="AK492" t="n">
        <v>4</v>
      </c>
      <c r="AL492" t="n">
        <v>5</v>
      </c>
      <c r="AM492" t="n">
        <v>5</v>
      </c>
      <c r="AN492" t="n">
        <v>1</v>
      </c>
      <c r="AO492" t="n">
        <v>2</v>
      </c>
      <c r="AP492" t="n">
        <v>0</v>
      </c>
      <c r="AQ492" t="n">
        <v>0</v>
      </c>
      <c r="AR492" t="inlineStr">
        <is>
          <t>No</t>
        </is>
      </c>
      <c r="AS492" t="inlineStr">
        <is>
          <t>Yes</t>
        </is>
      </c>
      <c r="AT492">
        <f>HYPERLINK("http://catalog.hathitrust.org/Record/006210088","HathiTrust Record")</f>
        <v/>
      </c>
      <c r="AU492">
        <f>HYPERLINK("https://creighton-primo.hosted.exlibrisgroup.com/primo-explore/search?tab=default_tab&amp;search_scope=EVERYTHING&amp;vid=01CRU&amp;lang=en_US&amp;offset=0&amp;query=any,contains,991000153999702656","Catalog Record")</f>
        <v/>
      </c>
      <c r="AV492">
        <f>HYPERLINK("http://www.worldcat.org/oclc/9219366","WorldCat Record")</f>
        <v/>
      </c>
      <c r="AW492" t="inlineStr">
        <is>
          <t>156264850:eng</t>
        </is>
      </c>
      <c r="AX492" t="inlineStr">
        <is>
          <t>9219366</t>
        </is>
      </c>
      <c r="AY492" t="inlineStr">
        <is>
          <t>991000153999702656</t>
        </is>
      </c>
      <c r="AZ492" t="inlineStr">
        <is>
          <t>991000153999702656</t>
        </is>
      </c>
      <c r="BA492" t="inlineStr">
        <is>
          <t>2268277650002656</t>
        </is>
      </c>
      <c r="BB492" t="inlineStr">
        <is>
          <t>BOOK</t>
        </is>
      </c>
      <c r="BD492" t="inlineStr">
        <is>
          <t>9780805238617</t>
        </is>
      </c>
      <c r="BE492" t="inlineStr">
        <is>
          <t>32285000730167</t>
        </is>
      </c>
      <c r="BF492" t="inlineStr">
        <is>
          <t>893771439</t>
        </is>
      </c>
    </row>
    <row r="493">
      <c r="A493" t="inlineStr">
        <is>
          <t>No</t>
        </is>
      </c>
      <c r="B493" t="inlineStr">
        <is>
          <t>CURAL</t>
        </is>
      </c>
      <c r="C493" t="inlineStr">
        <is>
          <t>SHELVES</t>
        </is>
      </c>
      <c r="D493" t="inlineStr">
        <is>
          <t>PR255 .G65 2003</t>
        </is>
      </c>
      <c r="E493" t="inlineStr">
        <is>
          <t>0                      PR 0255000G  65          2003</t>
        </is>
      </c>
      <c r="F493" t="inlineStr">
        <is>
          <t>Middle English literature : a historical sourcebook / Matthew Boyd Goldie.</t>
        </is>
      </c>
      <c r="H493" t="inlineStr">
        <is>
          <t>No</t>
        </is>
      </c>
      <c r="I493" t="inlineStr">
        <is>
          <t>1</t>
        </is>
      </c>
      <c r="J493" t="inlineStr">
        <is>
          <t>No</t>
        </is>
      </c>
      <c r="K493" t="inlineStr">
        <is>
          <t>No</t>
        </is>
      </c>
      <c r="L493" t="inlineStr">
        <is>
          <t>0</t>
        </is>
      </c>
      <c r="M493" t="inlineStr">
        <is>
          <t>Goldie, Matthew Boyd.</t>
        </is>
      </c>
      <c r="N493" t="inlineStr">
        <is>
          <t>Malden, MA ; Oxford : Blackwell, 2003.</t>
        </is>
      </c>
      <c r="O493" t="inlineStr">
        <is>
          <t>2003</t>
        </is>
      </c>
      <c r="Q493" t="inlineStr">
        <is>
          <t>eng</t>
        </is>
      </c>
      <c r="R493" t="inlineStr">
        <is>
          <t>mau</t>
        </is>
      </c>
      <c r="T493" t="inlineStr">
        <is>
          <t xml:space="preserve">PR </t>
        </is>
      </c>
      <c r="U493" t="n">
        <v>2</v>
      </c>
      <c r="V493" t="n">
        <v>2</v>
      </c>
      <c r="W493" t="inlineStr">
        <is>
          <t>2005-02-28</t>
        </is>
      </c>
      <c r="X493" t="inlineStr">
        <is>
          <t>2005-02-28</t>
        </is>
      </c>
      <c r="Y493" t="inlineStr">
        <is>
          <t>2005-02-28</t>
        </is>
      </c>
      <c r="Z493" t="inlineStr">
        <is>
          <t>2005-02-28</t>
        </is>
      </c>
      <c r="AA493" t="n">
        <v>506</v>
      </c>
      <c r="AB493" t="n">
        <v>413</v>
      </c>
      <c r="AC493" t="n">
        <v>434</v>
      </c>
      <c r="AD493" t="n">
        <v>4</v>
      </c>
      <c r="AE493" t="n">
        <v>4</v>
      </c>
      <c r="AF493" t="n">
        <v>27</v>
      </c>
      <c r="AG493" t="n">
        <v>27</v>
      </c>
      <c r="AH493" t="n">
        <v>14</v>
      </c>
      <c r="AI493" t="n">
        <v>14</v>
      </c>
      <c r="AJ493" t="n">
        <v>6</v>
      </c>
      <c r="AK493" t="n">
        <v>6</v>
      </c>
      <c r="AL493" t="n">
        <v>13</v>
      </c>
      <c r="AM493" t="n">
        <v>13</v>
      </c>
      <c r="AN493" t="n">
        <v>2</v>
      </c>
      <c r="AO493" t="n">
        <v>2</v>
      </c>
      <c r="AP493" t="n">
        <v>0</v>
      </c>
      <c r="AQ493" t="n">
        <v>0</v>
      </c>
      <c r="AR493" t="inlineStr">
        <is>
          <t>No</t>
        </is>
      </c>
      <c r="AS493" t="inlineStr">
        <is>
          <t>No</t>
        </is>
      </c>
      <c r="AU493">
        <f>HYPERLINK("https://creighton-primo.hosted.exlibrisgroup.com/primo-explore/search?tab=default_tab&amp;search_scope=EVERYTHING&amp;vid=01CRU&amp;lang=en_US&amp;offset=0&amp;query=any,contains,991004407859702656","Catalog Record")</f>
        <v/>
      </c>
      <c r="AV493">
        <f>HYPERLINK("http://www.worldcat.org/oclc/51738648","WorldCat Record")</f>
        <v/>
      </c>
      <c r="AW493" t="inlineStr">
        <is>
          <t>802750126:eng</t>
        </is>
      </c>
      <c r="AX493" t="inlineStr">
        <is>
          <t>51738648</t>
        </is>
      </c>
      <c r="AY493" t="inlineStr">
        <is>
          <t>991004407859702656</t>
        </is>
      </c>
      <c r="AZ493" t="inlineStr">
        <is>
          <t>991004407859702656</t>
        </is>
      </c>
      <c r="BA493" t="inlineStr">
        <is>
          <t>2256263160002656</t>
        </is>
      </c>
      <c r="BB493" t="inlineStr">
        <is>
          <t>BOOK</t>
        </is>
      </c>
      <c r="BD493" t="inlineStr">
        <is>
          <t>9780631231479</t>
        </is>
      </c>
      <c r="BE493" t="inlineStr">
        <is>
          <t>32285005028021</t>
        </is>
      </c>
      <c r="BF493" t="inlineStr">
        <is>
          <t>893343802</t>
        </is>
      </c>
    </row>
    <row r="494">
      <c r="A494" t="inlineStr">
        <is>
          <t>No</t>
        </is>
      </c>
      <c r="B494" t="inlineStr">
        <is>
          <t>CURAL</t>
        </is>
      </c>
      <c r="C494" t="inlineStr">
        <is>
          <t>SHELVES</t>
        </is>
      </c>
      <c r="D494" t="inlineStr">
        <is>
          <t>PR255 .L37 1981</t>
        </is>
      </c>
      <c r="E494" t="inlineStr">
        <is>
          <t>0                      PR 0255000L  37          1981</t>
        </is>
      </c>
      <c r="F494" t="inlineStr">
        <is>
          <t>The Later Middle Ages / edited by Stephen Medcalf.</t>
        </is>
      </c>
      <c r="H494" t="inlineStr">
        <is>
          <t>No</t>
        </is>
      </c>
      <c r="I494" t="inlineStr">
        <is>
          <t>1</t>
        </is>
      </c>
      <c r="J494" t="inlineStr">
        <is>
          <t>No</t>
        </is>
      </c>
      <c r="K494" t="inlineStr">
        <is>
          <t>No</t>
        </is>
      </c>
      <c r="L494" t="inlineStr">
        <is>
          <t>0</t>
        </is>
      </c>
      <c r="N494" t="inlineStr">
        <is>
          <t>New York, NY : Holmes &amp; Meier, 1981.</t>
        </is>
      </c>
      <c r="O494" t="inlineStr">
        <is>
          <t>1981</t>
        </is>
      </c>
      <c r="Q494" t="inlineStr">
        <is>
          <t>eng</t>
        </is>
      </c>
      <c r="R494" t="inlineStr">
        <is>
          <t>nyu</t>
        </is>
      </c>
      <c r="S494" t="inlineStr">
        <is>
          <t>The Context of English literature</t>
        </is>
      </c>
      <c r="T494" t="inlineStr">
        <is>
          <t xml:space="preserve">PR </t>
        </is>
      </c>
      <c r="U494" t="n">
        <v>2</v>
      </c>
      <c r="V494" t="n">
        <v>2</v>
      </c>
      <c r="W494" t="inlineStr">
        <is>
          <t>2004-10-03</t>
        </is>
      </c>
      <c r="X494" t="inlineStr">
        <is>
          <t>2004-10-03</t>
        </is>
      </c>
      <c r="Y494" t="inlineStr">
        <is>
          <t>1991-08-28</t>
        </is>
      </c>
      <c r="Z494" t="inlineStr">
        <is>
          <t>1991-08-28</t>
        </is>
      </c>
      <c r="AA494" t="n">
        <v>596</v>
      </c>
      <c r="AB494" t="n">
        <v>545</v>
      </c>
      <c r="AC494" t="n">
        <v>635</v>
      </c>
      <c r="AD494" t="n">
        <v>4</v>
      </c>
      <c r="AE494" t="n">
        <v>6</v>
      </c>
      <c r="AF494" t="n">
        <v>23</v>
      </c>
      <c r="AG494" t="n">
        <v>28</v>
      </c>
      <c r="AH494" t="n">
        <v>9</v>
      </c>
      <c r="AI494" t="n">
        <v>9</v>
      </c>
      <c r="AJ494" t="n">
        <v>8</v>
      </c>
      <c r="AK494" t="n">
        <v>9</v>
      </c>
      <c r="AL494" t="n">
        <v>11</v>
      </c>
      <c r="AM494" t="n">
        <v>13</v>
      </c>
      <c r="AN494" t="n">
        <v>3</v>
      </c>
      <c r="AO494" t="n">
        <v>5</v>
      </c>
      <c r="AP494" t="n">
        <v>0</v>
      </c>
      <c r="AQ494" t="n">
        <v>0</v>
      </c>
      <c r="AR494" t="inlineStr">
        <is>
          <t>No</t>
        </is>
      </c>
      <c r="AS494" t="inlineStr">
        <is>
          <t>Yes</t>
        </is>
      </c>
      <c r="AT494">
        <f>HYPERLINK("http://catalog.hathitrust.org/Record/000228987","HathiTrust Record")</f>
        <v/>
      </c>
      <c r="AU494">
        <f>HYPERLINK("https://creighton-primo.hosted.exlibrisgroup.com/primo-explore/search?tab=default_tab&amp;search_scope=EVERYTHING&amp;vid=01CRU&amp;lang=en_US&amp;offset=0&amp;query=any,contains,991005134899702656","Catalog Record")</f>
        <v/>
      </c>
      <c r="AV494">
        <f>HYPERLINK("http://www.worldcat.org/oclc/7575926","WorldCat Record")</f>
        <v/>
      </c>
      <c r="AW494" t="inlineStr">
        <is>
          <t>114357467:eng</t>
        </is>
      </c>
      <c r="AX494" t="inlineStr">
        <is>
          <t>7575926</t>
        </is>
      </c>
      <c r="AY494" t="inlineStr">
        <is>
          <t>991005134899702656</t>
        </is>
      </c>
      <c r="AZ494" t="inlineStr">
        <is>
          <t>991005134899702656</t>
        </is>
      </c>
      <c r="BA494" t="inlineStr">
        <is>
          <t>2265769260002656</t>
        </is>
      </c>
      <c r="BB494" t="inlineStr">
        <is>
          <t>BOOK</t>
        </is>
      </c>
      <c r="BD494" t="inlineStr">
        <is>
          <t>9780841907256</t>
        </is>
      </c>
      <c r="BE494" t="inlineStr">
        <is>
          <t>32285000730423</t>
        </is>
      </c>
      <c r="BF494" t="inlineStr">
        <is>
          <t>893536405</t>
        </is>
      </c>
    </row>
    <row r="495">
      <c r="A495" t="inlineStr">
        <is>
          <t>No</t>
        </is>
      </c>
      <c r="B495" t="inlineStr">
        <is>
          <t>CURAL</t>
        </is>
      </c>
      <c r="C495" t="inlineStr">
        <is>
          <t>SHELVES</t>
        </is>
      </c>
      <c r="D495" t="inlineStr">
        <is>
          <t>PR255 .W5 1970</t>
        </is>
      </c>
      <c r="E495" t="inlineStr">
        <is>
          <t>0                      PR 0255000W  5           1970</t>
        </is>
      </c>
      <c r="F495" t="inlineStr">
        <is>
          <t>The lost literature of medieval England [by] R. M. Wilson.</t>
        </is>
      </c>
      <c r="H495" t="inlineStr">
        <is>
          <t>No</t>
        </is>
      </c>
      <c r="I495" t="inlineStr">
        <is>
          <t>1</t>
        </is>
      </c>
      <c r="J495" t="inlineStr">
        <is>
          <t>No</t>
        </is>
      </c>
      <c r="K495" t="inlineStr">
        <is>
          <t>No</t>
        </is>
      </c>
      <c r="L495" t="inlineStr">
        <is>
          <t>0</t>
        </is>
      </c>
      <c r="M495" t="inlineStr">
        <is>
          <t>Wilson, R. M. (Richard Middlewood), 1908-</t>
        </is>
      </c>
      <c r="N495" t="inlineStr">
        <is>
          <t>London, Methuen, 1970.</t>
        </is>
      </c>
      <c r="O495" t="inlineStr">
        <is>
          <t>1970</t>
        </is>
      </c>
      <c r="P495" t="inlineStr">
        <is>
          <t>2nd ed.; revised &amp; reset.</t>
        </is>
      </c>
      <c r="Q495" t="inlineStr">
        <is>
          <t>eng</t>
        </is>
      </c>
      <c r="R495" t="inlineStr">
        <is>
          <t>enk</t>
        </is>
      </c>
      <c r="T495" t="inlineStr">
        <is>
          <t xml:space="preserve">PR </t>
        </is>
      </c>
      <c r="U495" t="n">
        <v>3</v>
      </c>
      <c r="V495" t="n">
        <v>3</v>
      </c>
      <c r="W495" t="inlineStr">
        <is>
          <t>1998-11-08</t>
        </is>
      </c>
      <c r="X495" t="inlineStr">
        <is>
          <t>1998-11-08</t>
        </is>
      </c>
      <c r="Y495" t="inlineStr">
        <is>
          <t>1997-08-19</t>
        </is>
      </c>
      <c r="Z495" t="inlineStr">
        <is>
          <t>1997-08-19</t>
        </is>
      </c>
      <c r="AA495" t="n">
        <v>457</v>
      </c>
      <c r="AB495" t="n">
        <v>347</v>
      </c>
      <c r="AC495" t="n">
        <v>748</v>
      </c>
      <c r="AD495" t="n">
        <v>4</v>
      </c>
      <c r="AE495" t="n">
        <v>9</v>
      </c>
      <c r="AF495" t="n">
        <v>23</v>
      </c>
      <c r="AG495" t="n">
        <v>43</v>
      </c>
      <c r="AH495" t="n">
        <v>7</v>
      </c>
      <c r="AI495" t="n">
        <v>14</v>
      </c>
      <c r="AJ495" t="n">
        <v>5</v>
      </c>
      <c r="AK495" t="n">
        <v>8</v>
      </c>
      <c r="AL495" t="n">
        <v>13</v>
      </c>
      <c r="AM495" t="n">
        <v>21</v>
      </c>
      <c r="AN495" t="n">
        <v>3</v>
      </c>
      <c r="AO495" t="n">
        <v>8</v>
      </c>
      <c r="AP495" t="n">
        <v>0</v>
      </c>
      <c r="AQ495" t="n">
        <v>0</v>
      </c>
      <c r="AR495" t="inlineStr">
        <is>
          <t>No</t>
        </is>
      </c>
      <c r="AS495" t="inlineStr">
        <is>
          <t>Yes</t>
        </is>
      </c>
      <c r="AT495">
        <f>HYPERLINK("http://catalog.hathitrust.org/Record/001371324","HathiTrust Record")</f>
        <v/>
      </c>
      <c r="AU495">
        <f>HYPERLINK("https://creighton-primo.hosted.exlibrisgroup.com/primo-explore/search?tab=default_tab&amp;search_scope=EVERYTHING&amp;vid=01CRU&amp;lang=en_US&amp;offset=0&amp;query=any,contains,991000548479702656","Catalog Record")</f>
        <v/>
      </c>
      <c r="AV495">
        <f>HYPERLINK("http://www.worldcat.org/oclc/92081","WorldCat Record")</f>
        <v/>
      </c>
      <c r="AW495" t="inlineStr">
        <is>
          <t>1139894:eng</t>
        </is>
      </c>
      <c r="AX495" t="inlineStr">
        <is>
          <t>92081</t>
        </is>
      </c>
      <c r="AY495" t="inlineStr">
        <is>
          <t>991000548479702656</t>
        </is>
      </c>
      <c r="AZ495" t="inlineStr">
        <is>
          <t>991000548479702656</t>
        </is>
      </c>
      <c r="BA495" t="inlineStr">
        <is>
          <t>2265153800002656</t>
        </is>
      </c>
      <c r="BB495" t="inlineStr">
        <is>
          <t>BOOK</t>
        </is>
      </c>
      <c r="BD495" t="inlineStr">
        <is>
          <t>9780416170009</t>
        </is>
      </c>
      <c r="BE495" t="inlineStr">
        <is>
          <t>32285003150801</t>
        </is>
      </c>
      <c r="BF495" t="inlineStr">
        <is>
          <t>893425827</t>
        </is>
      </c>
    </row>
    <row r="496">
      <c r="A496" t="inlineStr">
        <is>
          <t>No</t>
        </is>
      </c>
      <c r="B496" t="inlineStr">
        <is>
          <t>CURAL</t>
        </is>
      </c>
      <c r="C496" t="inlineStr">
        <is>
          <t>SHELVES</t>
        </is>
      </c>
      <c r="D496" t="inlineStr">
        <is>
          <t>PR2574 .W8 1961</t>
        </is>
      </c>
      <c r="E496" t="inlineStr">
        <is>
          <t>0                      PR 2574000W  8           1961</t>
        </is>
      </c>
      <c r="F496" t="inlineStr">
        <is>
          <t>A woman killed with kindness. Edited by R.W. Van Fossen.</t>
        </is>
      </c>
      <c r="H496" t="inlineStr">
        <is>
          <t>No</t>
        </is>
      </c>
      <c r="I496" t="inlineStr">
        <is>
          <t>1</t>
        </is>
      </c>
      <c r="J496" t="inlineStr">
        <is>
          <t>No</t>
        </is>
      </c>
      <c r="K496" t="inlineStr">
        <is>
          <t>No</t>
        </is>
      </c>
      <c r="L496" t="inlineStr">
        <is>
          <t>0</t>
        </is>
      </c>
      <c r="M496" t="inlineStr">
        <is>
          <t>Heywood, Thomas, approximately 1574-1641.</t>
        </is>
      </c>
      <c r="N496" t="inlineStr">
        <is>
          <t>Cambridge, Harvard University Press [1961]</t>
        </is>
      </c>
      <c r="O496" t="inlineStr">
        <is>
          <t>1961</t>
        </is>
      </c>
      <c r="Q496" t="inlineStr">
        <is>
          <t>eng</t>
        </is>
      </c>
      <c r="R496" t="inlineStr">
        <is>
          <t>mau</t>
        </is>
      </c>
      <c r="S496" t="inlineStr">
        <is>
          <t>The Revels plays</t>
        </is>
      </c>
      <c r="T496" t="inlineStr">
        <is>
          <t xml:space="preserve">PR </t>
        </is>
      </c>
      <c r="U496" t="n">
        <v>2</v>
      </c>
      <c r="V496" t="n">
        <v>2</v>
      </c>
      <c r="W496" t="inlineStr">
        <is>
          <t>2009-09-02</t>
        </is>
      </c>
      <c r="X496" t="inlineStr">
        <is>
          <t>2009-09-02</t>
        </is>
      </c>
      <c r="Y496" t="inlineStr">
        <is>
          <t>1997-07-30</t>
        </is>
      </c>
      <c r="Z496" t="inlineStr">
        <is>
          <t>1997-07-30</t>
        </is>
      </c>
      <c r="AA496" t="n">
        <v>417</v>
      </c>
      <c r="AB496" t="n">
        <v>394</v>
      </c>
      <c r="AC496" t="n">
        <v>753</v>
      </c>
      <c r="AD496" t="n">
        <v>2</v>
      </c>
      <c r="AE496" t="n">
        <v>7</v>
      </c>
      <c r="AF496" t="n">
        <v>19</v>
      </c>
      <c r="AG496" t="n">
        <v>44</v>
      </c>
      <c r="AH496" t="n">
        <v>7</v>
      </c>
      <c r="AI496" t="n">
        <v>18</v>
      </c>
      <c r="AJ496" t="n">
        <v>3</v>
      </c>
      <c r="AK496" t="n">
        <v>10</v>
      </c>
      <c r="AL496" t="n">
        <v>11</v>
      </c>
      <c r="AM496" t="n">
        <v>22</v>
      </c>
      <c r="AN496" t="n">
        <v>1</v>
      </c>
      <c r="AO496" t="n">
        <v>6</v>
      </c>
      <c r="AP496" t="n">
        <v>0</v>
      </c>
      <c r="AQ496" t="n">
        <v>0</v>
      </c>
      <c r="AR496" t="inlineStr">
        <is>
          <t>No</t>
        </is>
      </c>
      <c r="AS496" t="inlineStr">
        <is>
          <t>No</t>
        </is>
      </c>
      <c r="AT496">
        <f>HYPERLINK("http://catalog.hathitrust.org/Record/008463268","HathiTrust Record")</f>
        <v/>
      </c>
      <c r="AU496">
        <f>HYPERLINK("https://creighton-primo.hosted.exlibrisgroup.com/primo-explore/search?tab=default_tab&amp;search_scope=EVERYTHING&amp;vid=01CRU&amp;lang=en_US&amp;offset=0&amp;query=any,contains,991002255499702656","Catalog Record")</f>
        <v/>
      </c>
      <c r="AV496">
        <f>HYPERLINK("http://www.worldcat.org/oclc/301543","WorldCat Record")</f>
        <v/>
      </c>
      <c r="AW496" t="inlineStr">
        <is>
          <t>4926341185:eng</t>
        </is>
      </c>
      <c r="AX496" t="inlineStr">
        <is>
          <t>301543</t>
        </is>
      </c>
      <c r="AY496" t="inlineStr">
        <is>
          <t>991002255499702656</t>
        </is>
      </c>
      <c r="AZ496" t="inlineStr">
        <is>
          <t>991002255499702656</t>
        </is>
      </c>
      <c r="BA496" t="inlineStr">
        <is>
          <t>2269849800002656</t>
        </is>
      </c>
      <c r="BB496" t="inlineStr">
        <is>
          <t>BOOK</t>
        </is>
      </c>
      <c r="BE496" t="inlineStr">
        <is>
          <t>32285002993490</t>
        </is>
      </c>
      <c r="BF496" t="inlineStr">
        <is>
          <t>893250992</t>
        </is>
      </c>
    </row>
    <row r="497">
      <c r="A497" t="inlineStr">
        <is>
          <t>No</t>
        </is>
      </c>
      <c r="B497" t="inlineStr">
        <is>
          <t>CURAL</t>
        </is>
      </c>
      <c r="C497" t="inlineStr">
        <is>
          <t>SHELVES</t>
        </is>
      </c>
      <c r="D497" t="inlineStr">
        <is>
          <t>PR260 .B8 1984</t>
        </is>
      </c>
      <c r="E497" t="inlineStr">
        <is>
          <t>0                      PR 0260000B  8           1984</t>
        </is>
      </c>
      <c r="F497" t="inlineStr">
        <is>
          <t>Essays on medieval literature / J.A. Burrow.</t>
        </is>
      </c>
      <c r="H497" t="inlineStr">
        <is>
          <t>No</t>
        </is>
      </c>
      <c r="I497" t="inlineStr">
        <is>
          <t>1</t>
        </is>
      </c>
      <c r="J497" t="inlineStr">
        <is>
          <t>No</t>
        </is>
      </c>
      <c r="K497" t="inlineStr">
        <is>
          <t>No</t>
        </is>
      </c>
      <c r="L497" t="inlineStr">
        <is>
          <t>0</t>
        </is>
      </c>
      <c r="M497" t="inlineStr">
        <is>
          <t>Burrow, J. A. (John Anthony)</t>
        </is>
      </c>
      <c r="N497" t="inlineStr">
        <is>
          <t>Oxford [Oxfordshire] ; New York : Clarendon Press, c1984.</t>
        </is>
      </c>
      <c r="O497" t="inlineStr">
        <is>
          <t>1984</t>
        </is>
      </c>
      <c r="Q497" t="inlineStr">
        <is>
          <t>eng</t>
        </is>
      </c>
      <c r="R497" t="inlineStr">
        <is>
          <t>enk</t>
        </is>
      </c>
      <c r="T497" t="inlineStr">
        <is>
          <t xml:space="preserve">PR </t>
        </is>
      </c>
      <c r="U497" t="n">
        <v>5</v>
      </c>
      <c r="V497" t="n">
        <v>5</v>
      </c>
      <c r="W497" t="inlineStr">
        <is>
          <t>1998-03-24</t>
        </is>
      </c>
      <c r="X497" t="inlineStr">
        <is>
          <t>1998-03-24</t>
        </is>
      </c>
      <c r="Y497" t="inlineStr">
        <is>
          <t>1991-08-28</t>
        </is>
      </c>
      <c r="Z497" t="inlineStr">
        <is>
          <t>1991-08-28</t>
        </is>
      </c>
      <c r="AA497" t="n">
        <v>614</v>
      </c>
      <c r="AB497" t="n">
        <v>468</v>
      </c>
      <c r="AC497" t="n">
        <v>508</v>
      </c>
      <c r="AD497" t="n">
        <v>5</v>
      </c>
      <c r="AE497" t="n">
        <v>5</v>
      </c>
      <c r="AF497" t="n">
        <v>30</v>
      </c>
      <c r="AG497" t="n">
        <v>31</v>
      </c>
      <c r="AH497" t="n">
        <v>12</v>
      </c>
      <c r="AI497" t="n">
        <v>12</v>
      </c>
      <c r="AJ497" t="n">
        <v>7</v>
      </c>
      <c r="AK497" t="n">
        <v>8</v>
      </c>
      <c r="AL497" t="n">
        <v>16</v>
      </c>
      <c r="AM497" t="n">
        <v>16</v>
      </c>
      <c r="AN497" t="n">
        <v>4</v>
      </c>
      <c r="AO497" t="n">
        <v>4</v>
      </c>
      <c r="AP497" t="n">
        <v>0</v>
      </c>
      <c r="AQ497" t="n">
        <v>0</v>
      </c>
      <c r="AR497" t="inlineStr">
        <is>
          <t>No</t>
        </is>
      </c>
      <c r="AS497" t="inlineStr">
        <is>
          <t>Yes</t>
        </is>
      </c>
      <c r="AT497">
        <f>HYPERLINK("http://catalog.hathitrust.org/Record/000122614","HathiTrust Record")</f>
        <v/>
      </c>
      <c r="AU497">
        <f>HYPERLINK("https://creighton-primo.hosted.exlibrisgroup.com/primo-explore/search?tab=default_tab&amp;search_scope=EVERYTHING&amp;vid=01CRU&amp;lang=en_US&amp;offset=0&amp;query=any,contains,991000300019702656","Catalog Record")</f>
        <v/>
      </c>
      <c r="AV497">
        <f>HYPERLINK("http://www.worldcat.org/oclc/10021073","WorldCat Record")</f>
        <v/>
      </c>
      <c r="AW497" t="inlineStr">
        <is>
          <t>3348135:eng</t>
        </is>
      </c>
      <c r="AX497" t="inlineStr">
        <is>
          <t>10021073</t>
        </is>
      </c>
      <c r="AY497" t="inlineStr">
        <is>
          <t>991000300019702656</t>
        </is>
      </c>
      <c r="AZ497" t="inlineStr">
        <is>
          <t>991000300019702656</t>
        </is>
      </c>
      <c r="BA497" t="inlineStr">
        <is>
          <t>2266637790002656</t>
        </is>
      </c>
      <c r="BB497" t="inlineStr">
        <is>
          <t>BOOK</t>
        </is>
      </c>
      <c r="BD497" t="inlineStr">
        <is>
          <t>9780198111870</t>
        </is>
      </c>
      <c r="BE497" t="inlineStr">
        <is>
          <t>32285000730456</t>
        </is>
      </c>
      <c r="BF497" t="inlineStr">
        <is>
          <t>893419358</t>
        </is>
      </c>
    </row>
    <row r="498">
      <c r="A498" t="inlineStr">
        <is>
          <t>No</t>
        </is>
      </c>
      <c r="B498" t="inlineStr">
        <is>
          <t>CURAL</t>
        </is>
      </c>
      <c r="C498" t="inlineStr">
        <is>
          <t>SHELVES</t>
        </is>
      </c>
      <c r="D498" t="inlineStr">
        <is>
          <t>PR260 .M44 1987</t>
        </is>
      </c>
      <c r="E498" t="inlineStr">
        <is>
          <t>0                      PR 0260000M  44          1987</t>
        </is>
      </c>
      <c r="F498" t="inlineStr">
        <is>
          <t>Medieval literature and antiquities : studies in honour of Basil Cottle / edited by Myra Stokes and T.L. Burton.</t>
        </is>
      </c>
      <c r="H498" t="inlineStr">
        <is>
          <t>No</t>
        </is>
      </c>
      <c r="I498" t="inlineStr">
        <is>
          <t>1</t>
        </is>
      </c>
      <c r="J498" t="inlineStr">
        <is>
          <t>No</t>
        </is>
      </c>
      <c r="K498" t="inlineStr">
        <is>
          <t>No</t>
        </is>
      </c>
      <c r="L498" t="inlineStr">
        <is>
          <t>0</t>
        </is>
      </c>
      <c r="N498" t="inlineStr">
        <is>
          <t>Woodbridge, Suffolk England ; Wolfeboro, N.H., USA : D.S. Brewer, 1987.</t>
        </is>
      </c>
      <c r="O498" t="inlineStr">
        <is>
          <t>1987</t>
        </is>
      </c>
      <c r="Q498" t="inlineStr">
        <is>
          <t>eng</t>
        </is>
      </c>
      <c r="R498" t="inlineStr">
        <is>
          <t>enk</t>
        </is>
      </c>
      <c r="T498" t="inlineStr">
        <is>
          <t xml:space="preserve">PR </t>
        </is>
      </c>
      <c r="U498" t="n">
        <v>4</v>
      </c>
      <c r="V498" t="n">
        <v>4</v>
      </c>
      <c r="W498" t="inlineStr">
        <is>
          <t>1998-03-24</t>
        </is>
      </c>
      <c r="X498" t="inlineStr">
        <is>
          <t>1998-03-24</t>
        </is>
      </c>
      <c r="Y498" t="inlineStr">
        <is>
          <t>1991-08-28</t>
        </is>
      </c>
      <c r="Z498" t="inlineStr">
        <is>
          <t>1991-08-28</t>
        </is>
      </c>
      <c r="AA498" t="n">
        <v>247</v>
      </c>
      <c r="AB498" t="n">
        <v>160</v>
      </c>
      <c r="AC498" t="n">
        <v>161</v>
      </c>
      <c r="AD498" t="n">
        <v>2</v>
      </c>
      <c r="AE498" t="n">
        <v>2</v>
      </c>
      <c r="AF498" t="n">
        <v>12</v>
      </c>
      <c r="AG498" t="n">
        <v>12</v>
      </c>
      <c r="AH498" t="n">
        <v>3</v>
      </c>
      <c r="AI498" t="n">
        <v>3</v>
      </c>
      <c r="AJ498" t="n">
        <v>3</v>
      </c>
      <c r="AK498" t="n">
        <v>3</v>
      </c>
      <c r="AL498" t="n">
        <v>9</v>
      </c>
      <c r="AM498" t="n">
        <v>9</v>
      </c>
      <c r="AN498" t="n">
        <v>1</v>
      </c>
      <c r="AO498" t="n">
        <v>1</v>
      </c>
      <c r="AP498" t="n">
        <v>0</v>
      </c>
      <c r="AQ498" t="n">
        <v>0</v>
      </c>
      <c r="AR498" t="inlineStr">
        <is>
          <t>No</t>
        </is>
      </c>
      <c r="AS498" t="inlineStr">
        <is>
          <t>Yes</t>
        </is>
      </c>
      <c r="AT498">
        <f>HYPERLINK("http://catalog.hathitrust.org/Record/000849152","HathiTrust Record")</f>
        <v/>
      </c>
      <c r="AU498">
        <f>HYPERLINK("https://creighton-primo.hosted.exlibrisgroup.com/primo-explore/search?tab=default_tab&amp;search_scope=EVERYTHING&amp;vid=01CRU&amp;lang=en_US&amp;offset=0&amp;query=any,contains,991000934639702656","Catalog Record")</f>
        <v/>
      </c>
      <c r="AV498">
        <f>HYPERLINK("http://www.worldcat.org/oclc/14357556","WorldCat Record")</f>
        <v/>
      </c>
      <c r="AW498" t="inlineStr">
        <is>
          <t>836674679:eng</t>
        </is>
      </c>
      <c r="AX498" t="inlineStr">
        <is>
          <t>14357556</t>
        </is>
      </c>
      <c r="AY498" t="inlineStr">
        <is>
          <t>991000934639702656</t>
        </is>
      </c>
      <c r="AZ498" t="inlineStr">
        <is>
          <t>991000934639702656</t>
        </is>
      </c>
      <c r="BA498" t="inlineStr">
        <is>
          <t>2256074430002656</t>
        </is>
      </c>
      <c r="BB498" t="inlineStr">
        <is>
          <t>BOOK</t>
        </is>
      </c>
      <c r="BD498" t="inlineStr">
        <is>
          <t>9780859912372</t>
        </is>
      </c>
      <c r="BE498" t="inlineStr">
        <is>
          <t>32285000730464</t>
        </is>
      </c>
      <c r="BF498" t="inlineStr">
        <is>
          <t>893225453</t>
        </is>
      </c>
    </row>
    <row r="499">
      <c r="A499" t="inlineStr">
        <is>
          <t>No</t>
        </is>
      </c>
      <c r="B499" t="inlineStr">
        <is>
          <t>CURAL</t>
        </is>
      </c>
      <c r="C499" t="inlineStr">
        <is>
          <t>SHELVES</t>
        </is>
      </c>
      <c r="D499" t="inlineStr">
        <is>
          <t>PR2601 .G6 1858a</t>
        </is>
      </c>
      <c r="E499" t="inlineStr">
        <is>
          <t>0                      PR 2601000G  6           1858a</t>
        </is>
      </c>
      <c r="F499" t="inlineStr">
        <is>
          <t>The works of Ben Jonson : with a biographical memoir / by William Gifford.</t>
        </is>
      </c>
      <c r="H499" t="inlineStr">
        <is>
          <t>No</t>
        </is>
      </c>
      <c r="I499" t="inlineStr">
        <is>
          <t>1</t>
        </is>
      </c>
      <c r="J499" t="inlineStr">
        <is>
          <t>No</t>
        </is>
      </c>
      <c r="K499" t="inlineStr">
        <is>
          <t>No</t>
        </is>
      </c>
      <c r="L499" t="inlineStr">
        <is>
          <t>0</t>
        </is>
      </c>
      <c r="M499" t="inlineStr">
        <is>
          <t>Jonson, Ben, 1573?-1637.</t>
        </is>
      </c>
      <c r="N499" t="inlineStr">
        <is>
          <t>Boston : Phillips, Sampson, and Company, 1858.</t>
        </is>
      </c>
      <c r="O499" t="inlineStr">
        <is>
          <t>1858</t>
        </is>
      </c>
      <c r="P499" t="inlineStr">
        <is>
          <t>A new edition.</t>
        </is>
      </c>
      <c r="Q499" t="inlineStr">
        <is>
          <t>eng</t>
        </is>
      </c>
      <c r="R499" t="inlineStr">
        <is>
          <t>mau</t>
        </is>
      </c>
      <c r="T499" t="inlineStr">
        <is>
          <t xml:space="preserve">PR </t>
        </is>
      </c>
      <c r="U499" t="n">
        <v>2</v>
      </c>
      <c r="V499" t="n">
        <v>2</v>
      </c>
      <c r="W499" t="inlineStr">
        <is>
          <t>1998-02-13</t>
        </is>
      </c>
      <c r="X499" t="inlineStr">
        <is>
          <t>1998-02-13</t>
        </is>
      </c>
      <c r="Y499" t="inlineStr">
        <is>
          <t>1991-10-08</t>
        </is>
      </c>
      <c r="Z499" t="inlineStr">
        <is>
          <t>1991-10-08</t>
        </is>
      </c>
      <c r="AA499" t="n">
        <v>23</v>
      </c>
      <c r="AB499" t="n">
        <v>22</v>
      </c>
      <c r="AC499" t="n">
        <v>98</v>
      </c>
      <c r="AD499" t="n">
        <v>1</v>
      </c>
      <c r="AE499" t="n">
        <v>2</v>
      </c>
      <c r="AF499" t="n">
        <v>2</v>
      </c>
      <c r="AG499" t="n">
        <v>5</v>
      </c>
      <c r="AH499" t="n">
        <v>1</v>
      </c>
      <c r="AI499" t="n">
        <v>1</v>
      </c>
      <c r="AJ499" t="n">
        <v>0</v>
      </c>
      <c r="AK499" t="n">
        <v>1</v>
      </c>
      <c r="AL499" t="n">
        <v>1</v>
      </c>
      <c r="AM499" t="n">
        <v>2</v>
      </c>
      <c r="AN499" t="n">
        <v>0</v>
      </c>
      <c r="AO499" t="n">
        <v>1</v>
      </c>
      <c r="AP499" t="n">
        <v>0</v>
      </c>
      <c r="AQ499" t="n">
        <v>0</v>
      </c>
      <c r="AR499" t="inlineStr">
        <is>
          <t>Yes</t>
        </is>
      </c>
      <c r="AS499" t="inlineStr">
        <is>
          <t>No</t>
        </is>
      </c>
      <c r="AT499">
        <f>HYPERLINK("http://catalog.hathitrust.org/Record/102499159","HathiTrust Record")</f>
        <v/>
      </c>
      <c r="AU499">
        <f>HYPERLINK("https://creighton-primo.hosted.exlibrisgroup.com/primo-explore/search?tab=default_tab&amp;search_scope=EVERYTHING&amp;vid=01CRU&amp;lang=en_US&amp;offset=0&amp;query=any,contains,991005102149702656","Catalog Record")</f>
        <v/>
      </c>
      <c r="AV499">
        <f>HYPERLINK("http://www.worldcat.org/oclc/7302213","WorldCat Record")</f>
        <v/>
      </c>
      <c r="AW499" t="inlineStr">
        <is>
          <t>10278896772:eng</t>
        </is>
      </c>
      <c r="AX499" t="inlineStr">
        <is>
          <t>7302213</t>
        </is>
      </c>
      <c r="AY499" t="inlineStr">
        <is>
          <t>991005102149702656</t>
        </is>
      </c>
      <c r="AZ499" t="inlineStr">
        <is>
          <t>991005102149702656</t>
        </is>
      </c>
      <c r="BA499" t="inlineStr">
        <is>
          <t>2269892960002656</t>
        </is>
      </c>
      <c r="BB499" t="inlineStr">
        <is>
          <t>BOOK</t>
        </is>
      </c>
      <c r="BE499" t="inlineStr">
        <is>
          <t>32285000773332</t>
        </is>
      </c>
      <c r="BF499" t="inlineStr">
        <is>
          <t>893230206</t>
        </is>
      </c>
    </row>
    <row r="500">
      <c r="A500" t="inlineStr">
        <is>
          <t>No</t>
        </is>
      </c>
      <c r="B500" t="inlineStr">
        <is>
          <t>CURAL</t>
        </is>
      </c>
      <c r="C500" t="inlineStr">
        <is>
          <t>SHELVES</t>
        </is>
      </c>
      <c r="D500" t="inlineStr">
        <is>
          <t>PR2602 .D66 1985</t>
        </is>
      </c>
      <c r="E500" t="inlineStr">
        <is>
          <t>0                      PR 2602000D  66          1985</t>
        </is>
      </c>
      <c r="F500" t="inlineStr">
        <is>
          <t>Ben Jonson / edited by Ian Donaldson.</t>
        </is>
      </c>
      <c r="H500" t="inlineStr">
        <is>
          <t>No</t>
        </is>
      </c>
      <c r="I500" t="inlineStr">
        <is>
          <t>1</t>
        </is>
      </c>
      <c r="J500" t="inlineStr">
        <is>
          <t>No</t>
        </is>
      </c>
      <c r="K500" t="inlineStr">
        <is>
          <t>No</t>
        </is>
      </c>
      <c r="L500" t="inlineStr">
        <is>
          <t>0</t>
        </is>
      </c>
      <c r="M500" t="inlineStr">
        <is>
          <t>Jonson, Ben, 1573?-1637.</t>
        </is>
      </c>
      <c r="N500" t="inlineStr">
        <is>
          <t>Oxford ; New York : Oxford University Press, 1985.</t>
        </is>
      </c>
      <c r="O500" t="inlineStr">
        <is>
          <t>1985</t>
        </is>
      </c>
      <c r="Q500" t="inlineStr">
        <is>
          <t>eng</t>
        </is>
      </c>
      <c r="R500" t="inlineStr">
        <is>
          <t>enk</t>
        </is>
      </c>
      <c r="S500" t="inlineStr">
        <is>
          <t>The Oxford authors</t>
        </is>
      </c>
      <c r="T500" t="inlineStr">
        <is>
          <t xml:space="preserve">PR </t>
        </is>
      </c>
      <c r="U500" t="n">
        <v>6</v>
      </c>
      <c r="V500" t="n">
        <v>6</v>
      </c>
      <c r="W500" t="inlineStr">
        <is>
          <t>1997-02-11</t>
        </is>
      </c>
      <c r="X500" t="inlineStr">
        <is>
          <t>1997-02-11</t>
        </is>
      </c>
      <c r="Y500" t="inlineStr">
        <is>
          <t>1990-06-19</t>
        </is>
      </c>
      <c r="Z500" t="inlineStr">
        <is>
          <t>1990-06-19</t>
        </is>
      </c>
      <c r="AA500" t="n">
        <v>517</v>
      </c>
      <c r="AB500" t="n">
        <v>430</v>
      </c>
      <c r="AC500" t="n">
        <v>940</v>
      </c>
      <c r="AD500" t="n">
        <v>6</v>
      </c>
      <c r="AE500" t="n">
        <v>8</v>
      </c>
      <c r="AF500" t="n">
        <v>30</v>
      </c>
      <c r="AG500" t="n">
        <v>43</v>
      </c>
      <c r="AH500" t="n">
        <v>15</v>
      </c>
      <c r="AI500" t="n">
        <v>20</v>
      </c>
      <c r="AJ500" t="n">
        <v>6</v>
      </c>
      <c r="AK500" t="n">
        <v>8</v>
      </c>
      <c r="AL500" t="n">
        <v>15</v>
      </c>
      <c r="AM500" t="n">
        <v>21</v>
      </c>
      <c r="AN500" t="n">
        <v>5</v>
      </c>
      <c r="AO500" t="n">
        <v>6</v>
      </c>
      <c r="AP500" t="n">
        <v>0</v>
      </c>
      <c r="AQ500" t="n">
        <v>0</v>
      </c>
      <c r="AR500" t="inlineStr">
        <is>
          <t>No</t>
        </is>
      </c>
      <c r="AS500" t="inlineStr">
        <is>
          <t>No</t>
        </is>
      </c>
      <c r="AU500">
        <f>HYPERLINK("https://creighton-primo.hosted.exlibrisgroup.com/primo-explore/search?tab=default_tab&amp;search_scope=EVERYTHING&amp;vid=01CRU&amp;lang=en_US&amp;offset=0&amp;query=any,contains,991000585649702656","Catalog Record")</f>
        <v/>
      </c>
      <c r="AV500">
        <f>HYPERLINK("http://www.worldcat.org/oclc/11756317","WorldCat Record")</f>
        <v/>
      </c>
      <c r="AW500" t="inlineStr">
        <is>
          <t>4915953523:eng</t>
        </is>
      </c>
      <c r="AX500" t="inlineStr">
        <is>
          <t>11756317</t>
        </is>
      </c>
      <c r="AY500" t="inlineStr">
        <is>
          <t>991000585649702656</t>
        </is>
      </c>
      <c r="AZ500" t="inlineStr">
        <is>
          <t>991000585649702656</t>
        </is>
      </c>
      <c r="BA500" t="inlineStr">
        <is>
          <t>2269051350002656</t>
        </is>
      </c>
      <c r="BB500" t="inlineStr">
        <is>
          <t>BOOK</t>
        </is>
      </c>
      <c r="BD500" t="inlineStr">
        <is>
          <t>9780192813398</t>
        </is>
      </c>
      <c r="BE500" t="inlineStr">
        <is>
          <t>32285000199181</t>
        </is>
      </c>
      <c r="BF500" t="inlineStr">
        <is>
          <t>893589582</t>
        </is>
      </c>
    </row>
    <row r="501">
      <c r="A501" t="inlineStr">
        <is>
          <t>No</t>
        </is>
      </c>
      <c r="B501" t="inlineStr">
        <is>
          <t>CURAL</t>
        </is>
      </c>
      <c r="C501" t="inlineStr">
        <is>
          <t>SHELVES</t>
        </is>
      </c>
      <c r="D501" t="inlineStr">
        <is>
          <t>PR2630 .B75</t>
        </is>
      </c>
      <c r="E501" t="inlineStr">
        <is>
          <t>0                      PR 2630000B  75</t>
        </is>
      </c>
      <c r="F501" t="inlineStr">
        <is>
          <t>Ben Jonson: a quadricentennial bibliography, 1947-1972, by D. Heyward Brock and James M. Welsh.</t>
        </is>
      </c>
      <c r="H501" t="inlineStr">
        <is>
          <t>No</t>
        </is>
      </c>
      <c r="I501" t="inlineStr">
        <is>
          <t>1</t>
        </is>
      </c>
      <c r="J501" t="inlineStr">
        <is>
          <t>No</t>
        </is>
      </c>
      <c r="K501" t="inlineStr">
        <is>
          <t>No</t>
        </is>
      </c>
      <c r="L501" t="inlineStr">
        <is>
          <t>0</t>
        </is>
      </c>
      <c r="M501" t="inlineStr">
        <is>
          <t>Brock, D. Heyward (Dewey Heyward), 1941-</t>
        </is>
      </c>
      <c r="N501" t="inlineStr">
        <is>
          <t>Metuchen, N.J., Scarecrow Press, 1974.</t>
        </is>
      </c>
      <c r="O501" t="inlineStr">
        <is>
          <t>1974</t>
        </is>
      </c>
      <c r="Q501" t="inlineStr">
        <is>
          <t>eng</t>
        </is>
      </c>
      <c r="R501" t="inlineStr">
        <is>
          <t>nju</t>
        </is>
      </c>
      <c r="S501" t="inlineStr">
        <is>
          <t>The Scarecrow author bibliographies, no. 16</t>
        </is>
      </c>
      <c r="T501" t="inlineStr">
        <is>
          <t xml:space="preserve">PR </t>
        </is>
      </c>
      <c r="U501" t="n">
        <v>2</v>
      </c>
      <c r="V501" t="n">
        <v>2</v>
      </c>
      <c r="W501" t="inlineStr">
        <is>
          <t>2005-11-21</t>
        </is>
      </c>
      <c r="X501" t="inlineStr">
        <is>
          <t>2005-11-21</t>
        </is>
      </c>
      <c r="Y501" t="inlineStr">
        <is>
          <t>1997-07-30</t>
        </is>
      </c>
      <c r="Z501" t="inlineStr">
        <is>
          <t>1997-07-30</t>
        </is>
      </c>
      <c r="AA501" t="n">
        <v>480</v>
      </c>
      <c r="AB501" t="n">
        <v>384</v>
      </c>
      <c r="AC501" t="n">
        <v>391</v>
      </c>
      <c r="AD501" t="n">
        <v>5</v>
      </c>
      <c r="AE501" t="n">
        <v>5</v>
      </c>
      <c r="AF501" t="n">
        <v>20</v>
      </c>
      <c r="AG501" t="n">
        <v>20</v>
      </c>
      <c r="AH501" t="n">
        <v>6</v>
      </c>
      <c r="AI501" t="n">
        <v>6</v>
      </c>
      <c r="AJ501" t="n">
        <v>7</v>
      </c>
      <c r="AK501" t="n">
        <v>7</v>
      </c>
      <c r="AL501" t="n">
        <v>9</v>
      </c>
      <c r="AM501" t="n">
        <v>9</v>
      </c>
      <c r="AN501" t="n">
        <v>3</v>
      </c>
      <c r="AO501" t="n">
        <v>3</v>
      </c>
      <c r="AP501" t="n">
        <v>0</v>
      </c>
      <c r="AQ501" t="n">
        <v>0</v>
      </c>
      <c r="AR501" t="inlineStr">
        <is>
          <t>No</t>
        </is>
      </c>
      <c r="AS501" t="inlineStr">
        <is>
          <t>Yes</t>
        </is>
      </c>
      <c r="AT501">
        <f>HYPERLINK("http://catalog.hathitrust.org/Record/000483191","HathiTrust Record")</f>
        <v/>
      </c>
      <c r="AU501">
        <f>HYPERLINK("https://creighton-primo.hosted.exlibrisgroup.com/primo-explore/search?tab=default_tab&amp;search_scope=EVERYTHING&amp;vid=01CRU&amp;lang=en_US&amp;offset=0&amp;query=any,contains,991003305409702656","Catalog Record")</f>
        <v/>
      </c>
      <c r="AV501">
        <f>HYPERLINK("http://www.worldcat.org/oclc/828302","WorldCat Record")</f>
        <v/>
      </c>
      <c r="AW501" t="inlineStr">
        <is>
          <t>866256641:eng</t>
        </is>
      </c>
      <c r="AX501" t="inlineStr">
        <is>
          <t>828302</t>
        </is>
      </c>
      <c r="AY501" t="inlineStr">
        <is>
          <t>991003305409702656</t>
        </is>
      </c>
      <c r="AZ501" t="inlineStr">
        <is>
          <t>991003305409702656</t>
        </is>
      </c>
      <c r="BA501" t="inlineStr">
        <is>
          <t>2269273720002656</t>
        </is>
      </c>
      <c r="BB501" t="inlineStr">
        <is>
          <t>BOOK</t>
        </is>
      </c>
      <c r="BD501" t="inlineStr">
        <is>
          <t>9780810807105</t>
        </is>
      </c>
      <c r="BE501" t="inlineStr">
        <is>
          <t>32285002993797</t>
        </is>
      </c>
      <c r="BF501" t="inlineStr">
        <is>
          <t>893434867</t>
        </is>
      </c>
    </row>
    <row r="502">
      <c r="A502" t="inlineStr">
        <is>
          <t>No</t>
        </is>
      </c>
      <c r="B502" t="inlineStr">
        <is>
          <t>CURAL</t>
        </is>
      </c>
      <c r="C502" t="inlineStr">
        <is>
          <t>SHELVES</t>
        </is>
      </c>
      <c r="D502" t="inlineStr">
        <is>
          <t>PR2631 .M54 1986</t>
        </is>
      </c>
      <c r="E502" t="inlineStr">
        <is>
          <t>0                      PR 2631000M  54          1986</t>
        </is>
      </c>
      <c r="F502" t="inlineStr">
        <is>
          <t>Ben Jonson, his life and work / Rosalind Miles.</t>
        </is>
      </c>
      <c r="H502" t="inlineStr">
        <is>
          <t>No</t>
        </is>
      </c>
      <c r="I502" t="inlineStr">
        <is>
          <t>1</t>
        </is>
      </c>
      <c r="J502" t="inlineStr">
        <is>
          <t>No</t>
        </is>
      </c>
      <c r="K502" t="inlineStr">
        <is>
          <t>No</t>
        </is>
      </c>
      <c r="L502" t="inlineStr">
        <is>
          <t>0</t>
        </is>
      </c>
      <c r="M502" t="inlineStr">
        <is>
          <t>Miles, Rosalind.</t>
        </is>
      </c>
      <c r="N502" t="inlineStr">
        <is>
          <t>London ; Boston : Routledge &amp; Kegan Paul, 1986.</t>
        </is>
      </c>
      <c r="O502" t="inlineStr">
        <is>
          <t>1986</t>
        </is>
      </c>
      <c r="Q502" t="inlineStr">
        <is>
          <t>eng</t>
        </is>
      </c>
      <c r="R502" t="inlineStr">
        <is>
          <t>enk</t>
        </is>
      </c>
      <c r="T502" t="inlineStr">
        <is>
          <t xml:space="preserve">PR </t>
        </is>
      </c>
      <c r="U502" t="n">
        <v>4</v>
      </c>
      <c r="V502" t="n">
        <v>4</v>
      </c>
      <c r="W502" t="inlineStr">
        <is>
          <t>2005-11-21</t>
        </is>
      </c>
      <c r="X502" t="inlineStr">
        <is>
          <t>2005-11-21</t>
        </is>
      </c>
      <c r="Y502" t="inlineStr">
        <is>
          <t>1990-06-12</t>
        </is>
      </c>
      <c r="Z502" t="inlineStr">
        <is>
          <t>1990-06-12</t>
        </is>
      </c>
      <c r="AA502" t="n">
        <v>559</v>
      </c>
      <c r="AB502" t="n">
        <v>376</v>
      </c>
      <c r="AC502" t="n">
        <v>399</v>
      </c>
      <c r="AD502" t="n">
        <v>3</v>
      </c>
      <c r="AE502" t="n">
        <v>3</v>
      </c>
      <c r="AF502" t="n">
        <v>18</v>
      </c>
      <c r="AG502" t="n">
        <v>18</v>
      </c>
      <c r="AH502" t="n">
        <v>8</v>
      </c>
      <c r="AI502" t="n">
        <v>8</v>
      </c>
      <c r="AJ502" t="n">
        <v>4</v>
      </c>
      <c r="AK502" t="n">
        <v>4</v>
      </c>
      <c r="AL502" t="n">
        <v>10</v>
      </c>
      <c r="AM502" t="n">
        <v>10</v>
      </c>
      <c r="AN502" t="n">
        <v>2</v>
      </c>
      <c r="AO502" t="n">
        <v>2</v>
      </c>
      <c r="AP502" t="n">
        <v>0</v>
      </c>
      <c r="AQ502" t="n">
        <v>0</v>
      </c>
      <c r="AR502" t="inlineStr">
        <is>
          <t>No</t>
        </is>
      </c>
      <c r="AS502" t="inlineStr">
        <is>
          <t>Yes</t>
        </is>
      </c>
      <c r="AT502">
        <f>HYPERLINK("http://catalog.hathitrust.org/Record/000445676","HathiTrust Record")</f>
        <v/>
      </c>
      <c r="AU502">
        <f>HYPERLINK("https://creighton-primo.hosted.exlibrisgroup.com/primo-explore/search?tab=default_tab&amp;search_scope=EVERYTHING&amp;vid=01CRU&amp;lang=en_US&amp;offset=0&amp;query=any,contains,991000784949702656","Catalog Record")</f>
        <v/>
      </c>
      <c r="AV502">
        <f>HYPERLINK("http://www.worldcat.org/oclc/13123407","WorldCat Record")</f>
        <v/>
      </c>
      <c r="AW502" t="inlineStr">
        <is>
          <t>2260829747:eng</t>
        </is>
      </c>
      <c r="AX502" t="inlineStr">
        <is>
          <t>13123407</t>
        </is>
      </c>
      <c r="AY502" t="inlineStr">
        <is>
          <t>991000784949702656</t>
        </is>
      </c>
      <c r="AZ502" t="inlineStr">
        <is>
          <t>991000784949702656</t>
        </is>
      </c>
      <c r="BA502" t="inlineStr">
        <is>
          <t>2256443090002656</t>
        </is>
      </c>
      <c r="BB502" t="inlineStr">
        <is>
          <t>BOOK</t>
        </is>
      </c>
      <c r="BD502" t="inlineStr">
        <is>
          <t>9780710208385</t>
        </is>
      </c>
      <c r="BE502" t="inlineStr">
        <is>
          <t>32285000191139</t>
        </is>
      </c>
      <c r="BF502" t="inlineStr">
        <is>
          <t>893884754</t>
        </is>
      </c>
    </row>
    <row r="503">
      <c r="A503" t="inlineStr">
        <is>
          <t>No</t>
        </is>
      </c>
      <c r="B503" t="inlineStr">
        <is>
          <t>CURAL</t>
        </is>
      </c>
      <c r="C503" t="inlineStr">
        <is>
          <t>SHELVES</t>
        </is>
      </c>
      <c r="D503" t="inlineStr">
        <is>
          <t>PR2631 .S6</t>
        </is>
      </c>
      <c r="E503" t="inlineStr">
        <is>
          <t>0                      PR 2631000S  6</t>
        </is>
      </c>
      <c r="F503" t="inlineStr">
        <is>
          <t>Ben Jonson, by G. Gregory Smith.</t>
        </is>
      </c>
      <c r="H503" t="inlineStr">
        <is>
          <t>No</t>
        </is>
      </c>
      <c r="I503" t="inlineStr">
        <is>
          <t>1</t>
        </is>
      </c>
      <c r="J503" t="inlineStr">
        <is>
          <t>No</t>
        </is>
      </c>
      <c r="K503" t="inlineStr">
        <is>
          <t>No</t>
        </is>
      </c>
      <c r="L503" t="inlineStr">
        <is>
          <t>0</t>
        </is>
      </c>
      <c r="M503" t="inlineStr">
        <is>
          <t>Smith, G. Gregory (George Gregory), 1865-1932.</t>
        </is>
      </c>
      <c r="N503" t="inlineStr">
        <is>
          <t>London, Macmillan &amp; Co., limited, 1919.</t>
        </is>
      </c>
      <c r="O503" t="inlineStr">
        <is>
          <t>1919</t>
        </is>
      </c>
      <c r="Q503" t="inlineStr">
        <is>
          <t>eng</t>
        </is>
      </c>
      <c r="R503" t="inlineStr">
        <is>
          <t>enk</t>
        </is>
      </c>
      <c r="S503" t="inlineStr">
        <is>
          <t>English men of letters</t>
        </is>
      </c>
      <c r="T503" t="inlineStr">
        <is>
          <t xml:space="preserve">PR </t>
        </is>
      </c>
      <c r="U503" t="n">
        <v>2</v>
      </c>
      <c r="V503" t="n">
        <v>2</v>
      </c>
      <c r="W503" t="inlineStr">
        <is>
          <t>2005-11-21</t>
        </is>
      </c>
      <c r="X503" t="inlineStr">
        <is>
          <t>2005-11-21</t>
        </is>
      </c>
      <c r="Y503" t="inlineStr">
        <is>
          <t>1997-07-30</t>
        </is>
      </c>
      <c r="Z503" t="inlineStr">
        <is>
          <t>1997-07-30</t>
        </is>
      </c>
      <c r="AA503" t="n">
        <v>299</v>
      </c>
      <c r="AB503" t="n">
        <v>216</v>
      </c>
      <c r="AC503" t="n">
        <v>421</v>
      </c>
      <c r="AD503" t="n">
        <v>3</v>
      </c>
      <c r="AE503" t="n">
        <v>4</v>
      </c>
      <c r="AF503" t="n">
        <v>6</v>
      </c>
      <c r="AG503" t="n">
        <v>15</v>
      </c>
      <c r="AH503" t="n">
        <v>0</v>
      </c>
      <c r="AI503" t="n">
        <v>1</v>
      </c>
      <c r="AJ503" t="n">
        <v>0</v>
      </c>
      <c r="AK503" t="n">
        <v>4</v>
      </c>
      <c r="AL503" t="n">
        <v>4</v>
      </c>
      <c r="AM503" t="n">
        <v>9</v>
      </c>
      <c r="AN503" t="n">
        <v>2</v>
      </c>
      <c r="AO503" t="n">
        <v>3</v>
      </c>
      <c r="AP503" t="n">
        <v>0</v>
      </c>
      <c r="AQ503" t="n">
        <v>0</v>
      </c>
      <c r="AR503" t="inlineStr">
        <is>
          <t>Yes</t>
        </is>
      </c>
      <c r="AS503" t="inlineStr">
        <is>
          <t>No</t>
        </is>
      </c>
      <c r="AT503">
        <f>HYPERLINK("http://catalog.hathitrust.org/Record/001373077","HathiTrust Record")</f>
        <v/>
      </c>
      <c r="AU503">
        <f>HYPERLINK("https://creighton-primo.hosted.exlibrisgroup.com/primo-explore/search?tab=default_tab&amp;search_scope=EVERYTHING&amp;vid=01CRU&amp;lang=en_US&amp;offset=0&amp;query=any,contains,991003640719702656","Catalog Record")</f>
        <v/>
      </c>
      <c r="AV503">
        <f>HYPERLINK("http://www.worldcat.org/oclc/1238266","WorldCat Record")</f>
        <v/>
      </c>
      <c r="AW503" t="inlineStr">
        <is>
          <t>1580941:eng</t>
        </is>
      </c>
      <c r="AX503" t="inlineStr">
        <is>
          <t>1238266</t>
        </is>
      </c>
      <c r="AY503" t="inlineStr">
        <is>
          <t>991003640719702656</t>
        </is>
      </c>
      <c r="AZ503" t="inlineStr">
        <is>
          <t>991003640719702656</t>
        </is>
      </c>
      <c r="BA503" t="inlineStr">
        <is>
          <t>2264779210002656</t>
        </is>
      </c>
      <c r="BB503" t="inlineStr">
        <is>
          <t>BOOK</t>
        </is>
      </c>
      <c r="BE503" t="inlineStr">
        <is>
          <t>32285002993839</t>
        </is>
      </c>
      <c r="BF503" t="inlineStr">
        <is>
          <t>893881381</t>
        </is>
      </c>
    </row>
    <row r="504">
      <c r="A504" t="inlineStr">
        <is>
          <t>No</t>
        </is>
      </c>
      <c r="B504" t="inlineStr">
        <is>
          <t>CURAL</t>
        </is>
      </c>
      <c r="C504" t="inlineStr">
        <is>
          <t>SHELVES</t>
        </is>
      </c>
      <c r="D504" t="inlineStr">
        <is>
          <t>PR2636 .B22</t>
        </is>
      </c>
      <c r="E504" t="inlineStr">
        <is>
          <t>0                      PR 2636000B  22</t>
        </is>
      </c>
      <c r="F504" t="inlineStr">
        <is>
          <t>English elements in Jonson's early comedy.</t>
        </is>
      </c>
      <c r="H504" t="inlineStr">
        <is>
          <t>No</t>
        </is>
      </c>
      <c r="I504" t="inlineStr">
        <is>
          <t>1</t>
        </is>
      </c>
      <c r="J504" t="inlineStr">
        <is>
          <t>No</t>
        </is>
      </c>
      <c r="K504" t="inlineStr">
        <is>
          <t>No</t>
        </is>
      </c>
      <c r="L504" t="inlineStr">
        <is>
          <t>0</t>
        </is>
      </c>
      <c r="M504" t="inlineStr">
        <is>
          <t>Baskervill, Charles Read, 1872-1935.</t>
        </is>
      </c>
      <c r="O504" t="inlineStr">
        <is>
          <t>1911</t>
        </is>
      </c>
      <c r="Q504" t="inlineStr">
        <is>
          <t>eng</t>
        </is>
      </c>
      <c r="R504" t="inlineStr">
        <is>
          <t>txu</t>
        </is>
      </c>
      <c r="T504" t="inlineStr">
        <is>
          <t xml:space="preserve">PR </t>
        </is>
      </c>
      <c r="U504" t="n">
        <v>2</v>
      </c>
      <c r="V504" t="n">
        <v>2</v>
      </c>
      <c r="W504" t="inlineStr">
        <is>
          <t>2000-12-13</t>
        </is>
      </c>
      <c r="X504" t="inlineStr">
        <is>
          <t>2000-12-13</t>
        </is>
      </c>
      <c r="Y504" t="inlineStr">
        <is>
          <t>1994-04-27</t>
        </is>
      </c>
      <c r="Z504" t="inlineStr">
        <is>
          <t>1994-04-27</t>
        </is>
      </c>
      <c r="AA504" t="n">
        <v>20</v>
      </c>
      <c r="AB504" t="n">
        <v>17</v>
      </c>
      <c r="AC504" t="n">
        <v>457</v>
      </c>
      <c r="AD504" t="n">
        <v>1</v>
      </c>
      <c r="AE504" t="n">
        <v>4</v>
      </c>
      <c r="AF504" t="n">
        <v>0</v>
      </c>
      <c r="AG504" t="n">
        <v>23</v>
      </c>
      <c r="AH504" t="n">
        <v>0</v>
      </c>
      <c r="AI504" t="n">
        <v>6</v>
      </c>
      <c r="AJ504" t="n">
        <v>0</v>
      </c>
      <c r="AK504" t="n">
        <v>8</v>
      </c>
      <c r="AL504" t="n">
        <v>0</v>
      </c>
      <c r="AM504" t="n">
        <v>12</v>
      </c>
      <c r="AN504" t="n">
        <v>0</v>
      </c>
      <c r="AO504" t="n">
        <v>3</v>
      </c>
      <c r="AP504" t="n">
        <v>0</v>
      </c>
      <c r="AQ504" t="n">
        <v>0</v>
      </c>
      <c r="AR504" t="inlineStr">
        <is>
          <t>No</t>
        </is>
      </c>
      <c r="AS504" t="inlineStr">
        <is>
          <t>No</t>
        </is>
      </c>
      <c r="AU504">
        <f>HYPERLINK("https://creighton-primo.hosted.exlibrisgroup.com/primo-explore/search?tab=default_tab&amp;search_scope=EVERYTHING&amp;vid=01CRU&amp;lang=en_US&amp;offset=0&amp;query=any,contains,991005149549702656","Catalog Record")</f>
        <v/>
      </c>
      <c r="AV504">
        <f>HYPERLINK("http://www.worldcat.org/oclc/7712978","WorldCat Record")</f>
        <v/>
      </c>
      <c r="AW504" t="inlineStr">
        <is>
          <t>1402174:eng</t>
        </is>
      </c>
      <c r="AX504" t="inlineStr">
        <is>
          <t>7712978</t>
        </is>
      </c>
      <c r="AY504" t="inlineStr">
        <is>
          <t>991005149549702656</t>
        </is>
      </c>
      <c r="AZ504" t="inlineStr">
        <is>
          <t>991005149549702656</t>
        </is>
      </c>
      <c r="BA504" t="inlineStr">
        <is>
          <t>2268767300002656</t>
        </is>
      </c>
      <c r="BB504" t="inlineStr">
        <is>
          <t>BOOK</t>
        </is>
      </c>
      <c r="BE504" t="inlineStr">
        <is>
          <t>32285001893378</t>
        </is>
      </c>
      <c r="BF504" t="inlineStr">
        <is>
          <t>893625525</t>
        </is>
      </c>
    </row>
    <row r="505">
      <c r="A505" t="inlineStr">
        <is>
          <t>No</t>
        </is>
      </c>
      <c r="B505" t="inlineStr">
        <is>
          <t>CURAL</t>
        </is>
      </c>
      <c r="C505" t="inlineStr">
        <is>
          <t>SHELVES</t>
        </is>
      </c>
      <c r="D505" t="inlineStr">
        <is>
          <t>PR2636 .B6</t>
        </is>
      </c>
      <c r="E505" t="inlineStr">
        <is>
          <t>0                      PR 2636000B  6</t>
        </is>
      </c>
      <c r="F505" t="inlineStr">
        <is>
          <t>The devil's disciple; Ben Jonson's debt to Machiavelli, by Daniel C. Boughner.</t>
        </is>
      </c>
      <c r="H505" t="inlineStr">
        <is>
          <t>No</t>
        </is>
      </c>
      <c r="I505" t="inlineStr">
        <is>
          <t>1</t>
        </is>
      </c>
      <c r="J505" t="inlineStr">
        <is>
          <t>No</t>
        </is>
      </c>
      <c r="K505" t="inlineStr">
        <is>
          <t>No</t>
        </is>
      </c>
      <c r="L505" t="inlineStr">
        <is>
          <t>0</t>
        </is>
      </c>
      <c r="M505" t="inlineStr">
        <is>
          <t>Boughner, Daniel C. (Daniel Cliness), 1909-</t>
        </is>
      </c>
      <c r="N505" t="inlineStr">
        <is>
          <t>New York, Philosophical Library [1968]</t>
        </is>
      </c>
      <c r="O505" t="inlineStr">
        <is>
          <t>1968</t>
        </is>
      </c>
      <c r="Q505" t="inlineStr">
        <is>
          <t>eng</t>
        </is>
      </c>
      <c r="R505" t="inlineStr">
        <is>
          <t>nyu</t>
        </is>
      </c>
      <c r="T505" t="inlineStr">
        <is>
          <t xml:space="preserve">PR </t>
        </is>
      </c>
      <c r="U505" t="n">
        <v>2</v>
      </c>
      <c r="V505" t="n">
        <v>2</v>
      </c>
      <c r="W505" t="inlineStr">
        <is>
          <t>1999-11-27</t>
        </is>
      </c>
      <c r="X505" t="inlineStr">
        <is>
          <t>1999-11-27</t>
        </is>
      </c>
      <c r="Y505" t="inlineStr">
        <is>
          <t>1997-07-30</t>
        </is>
      </c>
      <c r="Z505" t="inlineStr">
        <is>
          <t>1997-07-30</t>
        </is>
      </c>
      <c r="AA505" t="n">
        <v>463</v>
      </c>
      <c r="AB505" t="n">
        <v>405</v>
      </c>
      <c r="AC505" t="n">
        <v>458</v>
      </c>
      <c r="AD505" t="n">
        <v>4</v>
      </c>
      <c r="AE505" t="n">
        <v>4</v>
      </c>
      <c r="AF505" t="n">
        <v>21</v>
      </c>
      <c r="AG505" t="n">
        <v>24</v>
      </c>
      <c r="AH505" t="n">
        <v>7</v>
      </c>
      <c r="AI505" t="n">
        <v>8</v>
      </c>
      <c r="AJ505" t="n">
        <v>8</v>
      </c>
      <c r="AK505" t="n">
        <v>8</v>
      </c>
      <c r="AL505" t="n">
        <v>9</v>
      </c>
      <c r="AM505" t="n">
        <v>11</v>
      </c>
      <c r="AN505" t="n">
        <v>3</v>
      </c>
      <c r="AO505" t="n">
        <v>3</v>
      </c>
      <c r="AP505" t="n">
        <v>0</v>
      </c>
      <c r="AQ505" t="n">
        <v>0</v>
      </c>
      <c r="AR505" t="inlineStr">
        <is>
          <t>No</t>
        </is>
      </c>
      <c r="AS505" t="inlineStr">
        <is>
          <t>Yes</t>
        </is>
      </c>
      <c r="AT505">
        <f>HYPERLINK("http://catalog.hathitrust.org/Record/000483195","HathiTrust Record")</f>
        <v/>
      </c>
      <c r="AU505">
        <f>HYPERLINK("https://creighton-primo.hosted.exlibrisgroup.com/primo-explore/search?tab=default_tab&amp;search_scope=EVERYTHING&amp;vid=01CRU&amp;lang=en_US&amp;offset=0&amp;query=any,contains,991003326719702656","Catalog Record")</f>
        <v/>
      </c>
      <c r="AV505">
        <f>HYPERLINK("http://www.worldcat.org/oclc/856546","WorldCat Record")</f>
        <v/>
      </c>
      <c r="AW505" t="inlineStr">
        <is>
          <t>1806396:eng</t>
        </is>
      </c>
      <c r="AX505" t="inlineStr">
        <is>
          <t>856546</t>
        </is>
      </c>
      <c r="AY505" t="inlineStr">
        <is>
          <t>991003326719702656</t>
        </is>
      </c>
      <c r="AZ505" t="inlineStr">
        <is>
          <t>991003326719702656</t>
        </is>
      </c>
      <c r="BA505" t="inlineStr">
        <is>
          <t>2268577960002656</t>
        </is>
      </c>
      <c r="BB505" t="inlineStr">
        <is>
          <t>BOOK</t>
        </is>
      </c>
      <c r="BE505" t="inlineStr">
        <is>
          <t>32285002993854</t>
        </is>
      </c>
      <c r="BF505" t="inlineStr">
        <is>
          <t>893874660</t>
        </is>
      </c>
    </row>
    <row r="506">
      <c r="A506" t="inlineStr">
        <is>
          <t>No</t>
        </is>
      </c>
      <c r="B506" t="inlineStr">
        <is>
          <t>CURAL</t>
        </is>
      </c>
      <c r="C506" t="inlineStr">
        <is>
          <t>SHELVES</t>
        </is>
      </c>
      <c r="D506" t="inlineStr">
        <is>
          <t>PR2638 .B27</t>
        </is>
      </c>
      <c r="E506" t="inlineStr">
        <is>
          <t>0                      PR 2638000B  27</t>
        </is>
      </c>
      <c r="F506" t="inlineStr">
        <is>
          <t>Ben Jonson : a collection of critical essays.</t>
        </is>
      </c>
      <c r="H506" t="inlineStr">
        <is>
          <t>No</t>
        </is>
      </c>
      <c r="I506" t="inlineStr">
        <is>
          <t>1</t>
        </is>
      </c>
      <c r="J506" t="inlineStr">
        <is>
          <t>No</t>
        </is>
      </c>
      <c r="K506" t="inlineStr">
        <is>
          <t>No</t>
        </is>
      </c>
      <c r="L506" t="inlineStr">
        <is>
          <t>0</t>
        </is>
      </c>
      <c r="M506" t="inlineStr">
        <is>
          <t>Barish, Jonas A., editor.</t>
        </is>
      </c>
      <c r="N506" t="inlineStr">
        <is>
          <t>Englewood Cliffs, N.J. : Prentice-Hall, [1963]</t>
        </is>
      </c>
      <c r="O506" t="inlineStr">
        <is>
          <t>1963</t>
        </is>
      </c>
      <c r="Q506" t="inlineStr">
        <is>
          <t>eng</t>
        </is>
      </c>
      <c r="R506" t="inlineStr">
        <is>
          <t>nju</t>
        </is>
      </c>
      <c r="S506" t="inlineStr">
        <is>
          <t>A Spectrum book; Twentieth century views, S-TC-22</t>
        </is>
      </c>
      <c r="T506" t="inlineStr">
        <is>
          <t xml:space="preserve">PR </t>
        </is>
      </c>
      <c r="U506" t="n">
        <v>1</v>
      </c>
      <c r="V506" t="n">
        <v>1</v>
      </c>
      <c r="W506" t="inlineStr">
        <is>
          <t>2000-12-13</t>
        </is>
      </c>
      <c r="X506" t="inlineStr">
        <is>
          <t>2000-12-13</t>
        </is>
      </c>
      <c r="Y506" t="inlineStr">
        <is>
          <t>1993-12-02</t>
        </is>
      </c>
      <c r="Z506" t="inlineStr">
        <is>
          <t>1993-12-02</t>
        </is>
      </c>
      <c r="AA506" t="n">
        <v>2075</v>
      </c>
      <c r="AB506" t="n">
        <v>1835</v>
      </c>
      <c r="AC506" t="n">
        <v>1854</v>
      </c>
      <c r="AD506" t="n">
        <v>16</v>
      </c>
      <c r="AE506" t="n">
        <v>16</v>
      </c>
      <c r="AF506" t="n">
        <v>59</v>
      </c>
      <c r="AG506" t="n">
        <v>60</v>
      </c>
      <c r="AH506" t="n">
        <v>25</v>
      </c>
      <c r="AI506" t="n">
        <v>26</v>
      </c>
      <c r="AJ506" t="n">
        <v>10</v>
      </c>
      <c r="AK506" t="n">
        <v>10</v>
      </c>
      <c r="AL506" t="n">
        <v>24</v>
      </c>
      <c r="AM506" t="n">
        <v>24</v>
      </c>
      <c r="AN506" t="n">
        <v>13</v>
      </c>
      <c r="AO506" t="n">
        <v>13</v>
      </c>
      <c r="AP506" t="n">
        <v>0</v>
      </c>
      <c r="AQ506" t="n">
        <v>0</v>
      </c>
      <c r="AR506" t="inlineStr">
        <is>
          <t>No</t>
        </is>
      </c>
      <c r="AS506" t="inlineStr">
        <is>
          <t>No</t>
        </is>
      </c>
      <c r="AT506">
        <f>HYPERLINK("http://catalog.hathitrust.org/Record/000483188","HathiTrust Record")</f>
        <v/>
      </c>
      <c r="AU506">
        <f>HYPERLINK("https://creighton-primo.hosted.exlibrisgroup.com/primo-explore/search?tab=default_tab&amp;search_scope=EVERYTHING&amp;vid=01CRU&amp;lang=en_US&amp;offset=0&amp;query=any,contains,991002450969702656","Catalog Record")</f>
        <v/>
      </c>
      <c r="AV506">
        <f>HYPERLINK("http://www.worldcat.org/oclc/352824","WorldCat Record")</f>
        <v/>
      </c>
      <c r="AW506" t="inlineStr">
        <is>
          <t>3901106121:eng</t>
        </is>
      </c>
      <c r="AX506" t="inlineStr">
        <is>
          <t>352824</t>
        </is>
      </c>
      <c r="AY506" t="inlineStr">
        <is>
          <t>991002450969702656</t>
        </is>
      </c>
      <c r="AZ506" t="inlineStr">
        <is>
          <t>991002450969702656</t>
        </is>
      </c>
      <c r="BA506" t="inlineStr">
        <is>
          <t>2265216230002656</t>
        </is>
      </c>
      <c r="BB506" t="inlineStr">
        <is>
          <t>BOOK</t>
        </is>
      </c>
      <c r="BE506" t="inlineStr">
        <is>
          <t>32285001805505</t>
        </is>
      </c>
      <c r="BF506" t="inlineStr">
        <is>
          <t>893786156</t>
        </is>
      </c>
    </row>
    <row r="507">
      <c r="A507" t="inlineStr">
        <is>
          <t>No</t>
        </is>
      </c>
      <c r="B507" t="inlineStr">
        <is>
          <t>CURAL</t>
        </is>
      </c>
      <c r="C507" t="inlineStr">
        <is>
          <t>SHELVES</t>
        </is>
      </c>
      <c r="D507" t="inlineStr">
        <is>
          <t>PR2638 .B28 1984</t>
        </is>
      </c>
      <c r="E507" t="inlineStr">
        <is>
          <t>0                      PR 2638000B  28          1984</t>
        </is>
      </c>
      <c r="F507" t="inlineStr">
        <is>
          <t>Ben Jonson, dramatist / Anne Barton.</t>
        </is>
      </c>
      <c r="H507" t="inlineStr">
        <is>
          <t>No</t>
        </is>
      </c>
      <c r="I507" t="inlineStr">
        <is>
          <t>1</t>
        </is>
      </c>
      <c r="J507" t="inlineStr">
        <is>
          <t>No</t>
        </is>
      </c>
      <c r="K507" t="inlineStr">
        <is>
          <t>No</t>
        </is>
      </c>
      <c r="L507" t="inlineStr">
        <is>
          <t>0</t>
        </is>
      </c>
      <c r="M507" t="inlineStr">
        <is>
          <t>Barton, Anne.</t>
        </is>
      </c>
      <c r="N507" t="inlineStr">
        <is>
          <t>Cambridge ; New York : Cambridge University Press, 1984.</t>
        </is>
      </c>
      <c r="O507" t="inlineStr">
        <is>
          <t>1984</t>
        </is>
      </c>
      <c r="Q507" t="inlineStr">
        <is>
          <t>eng</t>
        </is>
      </c>
      <c r="R507" t="inlineStr">
        <is>
          <t>cau</t>
        </is>
      </c>
      <c r="T507" t="inlineStr">
        <is>
          <t xml:space="preserve">PR </t>
        </is>
      </c>
      <c r="U507" t="n">
        <v>5</v>
      </c>
      <c r="V507" t="n">
        <v>5</v>
      </c>
      <c r="W507" t="inlineStr">
        <is>
          <t>2005-11-21</t>
        </is>
      </c>
      <c r="X507" t="inlineStr">
        <is>
          <t>2005-11-21</t>
        </is>
      </c>
      <c r="Y507" t="inlineStr">
        <is>
          <t>1990-06-12</t>
        </is>
      </c>
      <c r="Z507" t="inlineStr">
        <is>
          <t>1990-06-12</t>
        </is>
      </c>
      <c r="AA507" t="n">
        <v>774</v>
      </c>
      <c r="AB507" t="n">
        <v>570</v>
      </c>
      <c r="AC507" t="n">
        <v>581</v>
      </c>
      <c r="AD507" t="n">
        <v>4</v>
      </c>
      <c r="AE507" t="n">
        <v>4</v>
      </c>
      <c r="AF507" t="n">
        <v>33</v>
      </c>
      <c r="AG507" t="n">
        <v>33</v>
      </c>
      <c r="AH507" t="n">
        <v>15</v>
      </c>
      <c r="AI507" t="n">
        <v>15</v>
      </c>
      <c r="AJ507" t="n">
        <v>8</v>
      </c>
      <c r="AK507" t="n">
        <v>8</v>
      </c>
      <c r="AL507" t="n">
        <v>17</v>
      </c>
      <c r="AM507" t="n">
        <v>17</v>
      </c>
      <c r="AN507" t="n">
        <v>3</v>
      </c>
      <c r="AO507" t="n">
        <v>3</v>
      </c>
      <c r="AP507" t="n">
        <v>0</v>
      </c>
      <c r="AQ507" t="n">
        <v>0</v>
      </c>
      <c r="AR507" t="inlineStr">
        <is>
          <t>No</t>
        </is>
      </c>
      <c r="AS507" t="inlineStr">
        <is>
          <t>No</t>
        </is>
      </c>
      <c r="AU507">
        <f>HYPERLINK("https://creighton-primo.hosted.exlibrisgroup.com/primo-explore/search?tab=default_tab&amp;search_scope=EVERYTHING&amp;vid=01CRU&amp;lang=en_US&amp;offset=0&amp;query=any,contains,991000317049702656","Catalog Record")</f>
        <v/>
      </c>
      <c r="AV507">
        <f>HYPERLINK("http://www.worldcat.org/oclc/10123447","WorldCat Record")</f>
        <v/>
      </c>
      <c r="AW507" t="inlineStr">
        <is>
          <t>3309870:eng</t>
        </is>
      </c>
      <c r="AX507" t="inlineStr">
        <is>
          <t>10123447</t>
        </is>
      </c>
      <c r="AY507" t="inlineStr">
        <is>
          <t>991000317049702656</t>
        </is>
      </c>
      <c r="AZ507" t="inlineStr">
        <is>
          <t>991000317049702656</t>
        </is>
      </c>
      <c r="BA507" t="inlineStr">
        <is>
          <t>2270338700002656</t>
        </is>
      </c>
      <c r="BB507" t="inlineStr">
        <is>
          <t>BOOK</t>
        </is>
      </c>
      <c r="BD507" t="inlineStr">
        <is>
          <t>9780521277488</t>
        </is>
      </c>
      <c r="BE507" t="inlineStr">
        <is>
          <t>32285000191147</t>
        </is>
      </c>
      <c r="BF507" t="inlineStr">
        <is>
          <t>893521568</t>
        </is>
      </c>
    </row>
    <row r="508">
      <c r="A508" t="inlineStr">
        <is>
          <t>No</t>
        </is>
      </c>
      <c r="B508" t="inlineStr">
        <is>
          <t>CURAL</t>
        </is>
      </c>
      <c r="C508" t="inlineStr">
        <is>
          <t>SHELVES</t>
        </is>
      </c>
      <c r="D508" t="inlineStr">
        <is>
          <t>PR2638 .B4</t>
        </is>
      </c>
      <c r="E508" t="inlineStr">
        <is>
          <t>0                      PR 2638000B  4</t>
        </is>
      </c>
      <c r="F508" t="inlineStr">
        <is>
          <t>Jonson and Elizabethan comedy : essays in dramatic rhetoric / L. A. Beaurline.</t>
        </is>
      </c>
      <c r="H508" t="inlineStr">
        <is>
          <t>No</t>
        </is>
      </c>
      <c r="I508" t="inlineStr">
        <is>
          <t>1</t>
        </is>
      </c>
      <c r="J508" t="inlineStr">
        <is>
          <t>No</t>
        </is>
      </c>
      <c r="K508" t="inlineStr">
        <is>
          <t>No</t>
        </is>
      </c>
      <c r="L508" t="inlineStr">
        <is>
          <t>0</t>
        </is>
      </c>
      <c r="M508" t="inlineStr">
        <is>
          <t>Beaurline, L. A. (Lester A.)</t>
        </is>
      </c>
      <c r="N508" t="inlineStr">
        <is>
          <t>San Marino, [Calif.] : Huntington Library, 1978.</t>
        </is>
      </c>
      <c r="O508" t="inlineStr">
        <is>
          <t>1978</t>
        </is>
      </c>
      <c r="Q508" t="inlineStr">
        <is>
          <t>eng</t>
        </is>
      </c>
      <c r="R508" t="inlineStr">
        <is>
          <t>cau</t>
        </is>
      </c>
      <c r="T508" t="inlineStr">
        <is>
          <t xml:space="preserve">PR </t>
        </is>
      </c>
      <c r="U508" t="n">
        <v>1</v>
      </c>
      <c r="V508" t="n">
        <v>1</v>
      </c>
      <c r="W508" t="inlineStr">
        <is>
          <t>2000-12-13</t>
        </is>
      </c>
      <c r="X508" t="inlineStr">
        <is>
          <t>2000-12-13</t>
        </is>
      </c>
      <c r="Y508" t="inlineStr">
        <is>
          <t>1991-10-17</t>
        </is>
      </c>
      <c r="Z508" t="inlineStr">
        <is>
          <t>1991-10-17</t>
        </is>
      </c>
      <c r="AA508" t="n">
        <v>712</v>
      </c>
      <c r="AB508" t="n">
        <v>577</v>
      </c>
      <c r="AC508" t="n">
        <v>584</v>
      </c>
      <c r="AD508" t="n">
        <v>6</v>
      </c>
      <c r="AE508" t="n">
        <v>6</v>
      </c>
      <c r="AF508" t="n">
        <v>32</v>
      </c>
      <c r="AG508" t="n">
        <v>32</v>
      </c>
      <c r="AH508" t="n">
        <v>11</v>
      </c>
      <c r="AI508" t="n">
        <v>11</v>
      </c>
      <c r="AJ508" t="n">
        <v>7</v>
      </c>
      <c r="AK508" t="n">
        <v>7</v>
      </c>
      <c r="AL508" t="n">
        <v>18</v>
      </c>
      <c r="AM508" t="n">
        <v>18</v>
      </c>
      <c r="AN508" t="n">
        <v>5</v>
      </c>
      <c r="AO508" t="n">
        <v>5</v>
      </c>
      <c r="AP508" t="n">
        <v>0</v>
      </c>
      <c r="AQ508" t="n">
        <v>0</v>
      </c>
      <c r="AR508" t="inlineStr">
        <is>
          <t>No</t>
        </is>
      </c>
      <c r="AS508" t="inlineStr">
        <is>
          <t>Yes</t>
        </is>
      </c>
      <c r="AT508">
        <f>HYPERLINK("http://catalog.hathitrust.org/Record/000175563","HathiTrust Record")</f>
        <v/>
      </c>
      <c r="AU508">
        <f>HYPERLINK("https://creighton-primo.hosted.exlibrisgroup.com/primo-explore/search?tab=default_tab&amp;search_scope=EVERYTHING&amp;vid=01CRU&amp;lang=en_US&amp;offset=0&amp;query=any,contains,991004556709702656","Catalog Record")</f>
        <v/>
      </c>
      <c r="AV508">
        <f>HYPERLINK("http://www.worldcat.org/oclc/3969549","WorldCat Record")</f>
        <v/>
      </c>
      <c r="AW508" t="inlineStr">
        <is>
          <t>308688565:eng</t>
        </is>
      </c>
      <c r="AX508" t="inlineStr">
        <is>
          <t>3969549</t>
        </is>
      </c>
      <c r="AY508" t="inlineStr">
        <is>
          <t>991004556709702656</t>
        </is>
      </c>
      <c r="AZ508" t="inlineStr">
        <is>
          <t>991004556709702656</t>
        </is>
      </c>
      <c r="BA508" t="inlineStr">
        <is>
          <t>2261114400002656</t>
        </is>
      </c>
      <c r="BB508" t="inlineStr">
        <is>
          <t>BOOK</t>
        </is>
      </c>
      <c r="BD508" t="inlineStr">
        <is>
          <t>9780873280716</t>
        </is>
      </c>
      <c r="BE508" t="inlineStr">
        <is>
          <t>32285000774017</t>
        </is>
      </c>
      <c r="BF508" t="inlineStr">
        <is>
          <t>893888871</t>
        </is>
      </c>
    </row>
    <row r="509">
      <c r="A509" t="inlineStr">
        <is>
          <t>No</t>
        </is>
      </c>
      <c r="B509" t="inlineStr">
        <is>
          <t>CURAL</t>
        </is>
      </c>
      <c r="C509" t="inlineStr">
        <is>
          <t>SHELVES</t>
        </is>
      </c>
      <c r="D509" t="inlineStr">
        <is>
          <t>PR2638 .C55 1982</t>
        </is>
      </c>
      <c r="E509" t="inlineStr">
        <is>
          <t>0                      PR 2638000C  55          1982</t>
        </is>
      </c>
      <c r="F509" t="inlineStr">
        <is>
          <t>Classic and cavalier : essays on Jonson and the sons of Ben / Claude J. Summers, Ted-Larry Pebworth, editors.</t>
        </is>
      </c>
      <c r="H509" t="inlineStr">
        <is>
          <t>No</t>
        </is>
      </c>
      <c r="I509" t="inlineStr">
        <is>
          <t>1</t>
        </is>
      </c>
      <c r="J509" t="inlineStr">
        <is>
          <t>No</t>
        </is>
      </c>
      <c r="K509" t="inlineStr">
        <is>
          <t>No</t>
        </is>
      </c>
      <c r="L509" t="inlineStr">
        <is>
          <t>0</t>
        </is>
      </c>
      <c r="N509" t="inlineStr">
        <is>
          <t>Pittsburgh, Pa. : University of Pittsburgh Press, c1982.</t>
        </is>
      </c>
      <c r="O509" t="inlineStr">
        <is>
          <t>1982</t>
        </is>
      </c>
      <c r="Q509" t="inlineStr">
        <is>
          <t>eng</t>
        </is>
      </c>
      <c r="R509" t="inlineStr">
        <is>
          <t>pau</t>
        </is>
      </c>
      <c r="T509" t="inlineStr">
        <is>
          <t xml:space="preserve">PR </t>
        </is>
      </c>
      <c r="U509" t="n">
        <v>1</v>
      </c>
      <c r="V509" t="n">
        <v>1</v>
      </c>
      <c r="W509" t="inlineStr">
        <is>
          <t>2003-02-17</t>
        </is>
      </c>
      <c r="X509" t="inlineStr">
        <is>
          <t>2003-02-17</t>
        </is>
      </c>
      <c r="Y509" t="inlineStr">
        <is>
          <t>1991-10-17</t>
        </is>
      </c>
      <c r="Z509" t="inlineStr">
        <is>
          <t>1991-10-17</t>
        </is>
      </c>
      <c r="AA509" t="n">
        <v>352</v>
      </c>
      <c r="AB509" t="n">
        <v>275</v>
      </c>
      <c r="AC509" t="n">
        <v>282</v>
      </c>
      <c r="AD509" t="n">
        <v>3</v>
      </c>
      <c r="AE509" t="n">
        <v>3</v>
      </c>
      <c r="AF509" t="n">
        <v>15</v>
      </c>
      <c r="AG509" t="n">
        <v>15</v>
      </c>
      <c r="AH509" t="n">
        <v>3</v>
      </c>
      <c r="AI509" t="n">
        <v>3</v>
      </c>
      <c r="AJ509" t="n">
        <v>5</v>
      </c>
      <c r="AK509" t="n">
        <v>5</v>
      </c>
      <c r="AL509" t="n">
        <v>9</v>
      </c>
      <c r="AM509" t="n">
        <v>9</v>
      </c>
      <c r="AN509" t="n">
        <v>2</v>
      </c>
      <c r="AO509" t="n">
        <v>2</v>
      </c>
      <c r="AP509" t="n">
        <v>0</v>
      </c>
      <c r="AQ509" t="n">
        <v>0</v>
      </c>
      <c r="AR509" t="inlineStr">
        <is>
          <t>No</t>
        </is>
      </c>
      <c r="AS509" t="inlineStr">
        <is>
          <t>Yes</t>
        </is>
      </c>
      <c r="AT509">
        <f>HYPERLINK("http://catalog.hathitrust.org/Record/000272876","HathiTrust Record")</f>
        <v/>
      </c>
      <c r="AU509">
        <f>HYPERLINK("https://creighton-primo.hosted.exlibrisgroup.com/primo-explore/search?tab=default_tab&amp;search_scope=EVERYTHING&amp;vid=01CRU&amp;lang=en_US&amp;offset=0&amp;query=any,contains,991005211409702656","Catalog Record")</f>
        <v/>
      </c>
      <c r="AV509">
        <f>HYPERLINK("http://www.worldcat.org/oclc/8169427","WorldCat Record")</f>
        <v/>
      </c>
      <c r="AW509" t="inlineStr">
        <is>
          <t>836684494:eng</t>
        </is>
      </c>
      <c r="AX509" t="inlineStr">
        <is>
          <t>8169427</t>
        </is>
      </c>
      <c r="AY509" t="inlineStr">
        <is>
          <t>991005211409702656</t>
        </is>
      </c>
      <c r="AZ509" t="inlineStr">
        <is>
          <t>991005211409702656</t>
        </is>
      </c>
      <c r="BA509" t="inlineStr">
        <is>
          <t>2269833170002656</t>
        </is>
      </c>
      <c r="BB509" t="inlineStr">
        <is>
          <t>BOOK</t>
        </is>
      </c>
      <c r="BD509" t="inlineStr">
        <is>
          <t>9780822934615</t>
        </is>
      </c>
      <c r="BE509" t="inlineStr">
        <is>
          <t>32285000774025</t>
        </is>
      </c>
      <c r="BF509" t="inlineStr">
        <is>
          <t>893619637</t>
        </is>
      </c>
    </row>
    <row r="510">
      <c r="A510" t="inlineStr">
        <is>
          <t>No</t>
        </is>
      </c>
      <c r="B510" t="inlineStr">
        <is>
          <t>CURAL</t>
        </is>
      </c>
      <c r="C510" t="inlineStr">
        <is>
          <t>SHELVES</t>
        </is>
      </c>
      <c r="D510" t="inlineStr">
        <is>
          <t>PR2638 .D47</t>
        </is>
      </c>
      <c r="E510" t="inlineStr">
        <is>
          <t>0                      PR 2638000D  47</t>
        </is>
      </c>
      <c r="F510" t="inlineStr">
        <is>
          <t>Jonson's moral comedy / [by] Alan C. Dessen.</t>
        </is>
      </c>
      <c r="H510" t="inlineStr">
        <is>
          <t>No</t>
        </is>
      </c>
      <c r="I510" t="inlineStr">
        <is>
          <t>1</t>
        </is>
      </c>
      <c r="J510" t="inlineStr">
        <is>
          <t>No</t>
        </is>
      </c>
      <c r="K510" t="inlineStr">
        <is>
          <t>No</t>
        </is>
      </c>
      <c r="L510" t="inlineStr">
        <is>
          <t>0</t>
        </is>
      </c>
      <c r="M510" t="inlineStr">
        <is>
          <t>Dessen, Alan C., 1935-</t>
        </is>
      </c>
      <c r="N510" t="inlineStr">
        <is>
          <t>[Evanston, Ill.] : Northwestern University Press, 1971.</t>
        </is>
      </c>
      <c r="O510" t="inlineStr">
        <is>
          <t>1971</t>
        </is>
      </c>
      <c r="Q510" t="inlineStr">
        <is>
          <t>eng</t>
        </is>
      </c>
      <c r="R510" t="inlineStr">
        <is>
          <t>ilu</t>
        </is>
      </c>
      <c r="T510" t="inlineStr">
        <is>
          <t xml:space="preserve">PR </t>
        </is>
      </c>
      <c r="U510" t="n">
        <v>2</v>
      </c>
      <c r="V510" t="n">
        <v>2</v>
      </c>
      <c r="W510" t="inlineStr">
        <is>
          <t>1994-05-01</t>
        </is>
      </c>
      <c r="X510" t="inlineStr">
        <is>
          <t>1994-05-01</t>
        </is>
      </c>
      <c r="Y510" t="inlineStr">
        <is>
          <t>1993-12-02</t>
        </is>
      </c>
      <c r="Z510" t="inlineStr">
        <is>
          <t>1993-12-02</t>
        </is>
      </c>
      <c r="AA510" t="n">
        <v>809</v>
      </c>
      <c r="AB510" t="n">
        <v>688</v>
      </c>
      <c r="AC510" t="n">
        <v>699</v>
      </c>
      <c r="AD510" t="n">
        <v>6</v>
      </c>
      <c r="AE510" t="n">
        <v>6</v>
      </c>
      <c r="AF510" t="n">
        <v>34</v>
      </c>
      <c r="AG510" t="n">
        <v>35</v>
      </c>
      <c r="AH510" t="n">
        <v>16</v>
      </c>
      <c r="AI510" t="n">
        <v>16</v>
      </c>
      <c r="AJ510" t="n">
        <v>8</v>
      </c>
      <c r="AK510" t="n">
        <v>9</v>
      </c>
      <c r="AL510" t="n">
        <v>17</v>
      </c>
      <c r="AM510" t="n">
        <v>17</v>
      </c>
      <c r="AN510" t="n">
        <v>5</v>
      </c>
      <c r="AO510" t="n">
        <v>5</v>
      </c>
      <c r="AP510" t="n">
        <v>0</v>
      </c>
      <c r="AQ510" t="n">
        <v>0</v>
      </c>
      <c r="AR510" t="inlineStr">
        <is>
          <t>No</t>
        </is>
      </c>
      <c r="AS510" t="inlineStr">
        <is>
          <t>Yes</t>
        </is>
      </c>
      <c r="AT510">
        <f>HYPERLINK("http://catalog.hathitrust.org/Record/001373064","HathiTrust Record")</f>
        <v/>
      </c>
      <c r="AU510">
        <f>HYPERLINK("https://creighton-primo.hosted.exlibrisgroup.com/primo-explore/search?tab=default_tab&amp;search_scope=EVERYTHING&amp;vid=01CRU&amp;lang=en_US&amp;offset=0&amp;query=any,contains,991000776969702656","Catalog Record")</f>
        <v/>
      </c>
      <c r="AV510">
        <f>HYPERLINK("http://www.worldcat.org/oclc/133386","WorldCat Record")</f>
        <v/>
      </c>
      <c r="AW510" t="inlineStr">
        <is>
          <t>1275642:eng</t>
        </is>
      </c>
      <c r="AX510" t="inlineStr">
        <is>
          <t>133386</t>
        </is>
      </c>
      <c r="AY510" t="inlineStr">
        <is>
          <t>991000776969702656</t>
        </is>
      </c>
      <c r="AZ510" t="inlineStr">
        <is>
          <t>991000776969702656</t>
        </is>
      </c>
      <c r="BA510" t="inlineStr">
        <is>
          <t>2255646110002656</t>
        </is>
      </c>
      <c r="BB510" t="inlineStr">
        <is>
          <t>BOOK</t>
        </is>
      </c>
      <c r="BD510" t="inlineStr">
        <is>
          <t>9780810103184</t>
        </is>
      </c>
      <c r="BE510" t="inlineStr">
        <is>
          <t>32285001805489</t>
        </is>
      </c>
      <c r="BF510" t="inlineStr">
        <is>
          <t>893690021</t>
        </is>
      </c>
    </row>
    <row r="511">
      <c r="A511" t="inlineStr">
        <is>
          <t>No</t>
        </is>
      </c>
      <c r="B511" t="inlineStr">
        <is>
          <t>CURAL</t>
        </is>
      </c>
      <c r="C511" t="inlineStr">
        <is>
          <t>SHELVES</t>
        </is>
      </c>
      <c r="D511" t="inlineStr">
        <is>
          <t>PR2638 .M55 1990</t>
        </is>
      </c>
      <c r="E511" t="inlineStr">
        <is>
          <t>0                      PR 2638000M  55          1990</t>
        </is>
      </c>
      <c r="F511" t="inlineStr">
        <is>
          <t>Ben Jonson, his craft and art / Rosalind Miles.</t>
        </is>
      </c>
      <c r="H511" t="inlineStr">
        <is>
          <t>No</t>
        </is>
      </c>
      <c r="I511" t="inlineStr">
        <is>
          <t>1</t>
        </is>
      </c>
      <c r="J511" t="inlineStr">
        <is>
          <t>No</t>
        </is>
      </c>
      <c r="K511" t="inlineStr">
        <is>
          <t>No</t>
        </is>
      </c>
      <c r="L511" t="inlineStr">
        <is>
          <t>0</t>
        </is>
      </c>
      <c r="M511" t="inlineStr">
        <is>
          <t>Miles, Rosalind.</t>
        </is>
      </c>
      <c r="N511" t="inlineStr">
        <is>
          <t>Savage, Maryland : Barnes &amp; Noble, 1990.</t>
        </is>
      </c>
      <c r="O511" t="inlineStr">
        <is>
          <t>1990</t>
        </is>
      </c>
      <c r="Q511" t="inlineStr">
        <is>
          <t>eng</t>
        </is>
      </c>
      <c r="R511" t="inlineStr">
        <is>
          <t>enk</t>
        </is>
      </c>
      <c r="T511" t="inlineStr">
        <is>
          <t xml:space="preserve">PR </t>
        </is>
      </c>
      <c r="U511" t="n">
        <v>2</v>
      </c>
      <c r="V511" t="n">
        <v>2</v>
      </c>
      <c r="W511" t="inlineStr">
        <is>
          <t>2005-11-21</t>
        </is>
      </c>
      <c r="X511" t="inlineStr">
        <is>
          <t>2005-11-21</t>
        </is>
      </c>
      <c r="Y511" t="inlineStr">
        <is>
          <t>1992-04-02</t>
        </is>
      </c>
      <c r="Z511" t="inlineStr">
        <is>
          <t>1992-04-02</t>
        </is>
      </c>
      <c r="AA511" t="n">
        <v>493</v>
      </c>
      <c r="AB511" t="n">
        <v>422</v>
      </c>
      <c r="AC511" t="n">
        <v>467</v>
      </c>
      <c r="AD511" t="n">
        <v>2</v>
      </c>
      <c r="AE511" t="n">
        <v>2</v>
      </c>
      <c r="AF511" t="n">
        <v>24</v>
      </c>
      <c r="AG511" t="n">
        <v>25</v>
      </c>
      <c r="AH511" t="n">
        <v>10</v>
      </c>
      <c r="AI511" t="n">
        <v>11</v>
      </c>
      <c r="AJ511" t="n">
        <v>5</v>
      </c>
      <c r="AK511" t="n">
        <v>5</v>
      </c>
      <c r="AL511" t="n">
        <v>12</v>
      </c>
      <c r="AM511" t="n">
        <v>12</v>
      </c>
      <c r="AN511" t="n">
        <v>1</v>
      </c>
      <c r="AO511" t="n">
        <v>1</v>
      </c>
      <c r="AP511" t="n">
        <v>0</v>
      </c>
      <c r="AQ511" t="n">
        <v>0</v>
      </c>
      <c r="AR511" t="inlineStr">
        <is>
          <t>No</t>
        </is>
      </c>
      <c r="AS511" t="inlineStr">
        <is>
          <t>Yes</t>
        </is>
      </c>
      <c r="AT511">
        <f>HYPERLINK("http://catalog.hathitrust.org/Record/009921441","HathiTrust Record")</f>
        <v/>
      </c>
      <c r="AU511">
        <f>HYPERLINK("https://creighton-primo.hosted.exlibrisgroup.com/primo-explore/search?tab=default_tab&amp;search_scope=EVERYTHING&amp;vid=01CRU&amp;lang=en_US&amp;offset=0&amp;query=any,contains,991001668159702656","Catalog Record")</f>
        <v/>
      </c>
      <c r="AV511">
        <f>HYPERLINK("http://www.worldcat.org/oclc/21229505","WorldCat Record")</f>
        <v/>
      </c>
      <c r="AW511" t="inlineStr">
        <is>
          <t>836618224:eng</t>
        </is>
      </c>
      <c r="AX511" t="inlineStr">
        <is>
          <t>21229505</t>
        </is>
      </c>
      <c r="AY511" t="inlineStr">
        <is>
          <t>991001668159702656</t>
        </is>
      </c>
      <c r="AZ511" t="inlineStr">
        <is>
          <t>991001668159702656</t>
        </is>
      </c>
      <c r="BA511" t="inlineStr">
        <is>
          <t>2270588030002656</t>
        </is>
      </c>
      <c r="BB511" t="inlineStr">
        <is>
          <t>BOOK</t>
        </is>
      </c>
      <c r="BE511" t="inlineStr">
        <is>
          <t>32285001007771</t>
        </is>
      </c>
      <c r="BF511" t="inlineStr">
        <is>
          <t>893879061</t>
        </is>
      </c>
    </row>
    <row r="512">
      <c r="A512" t="inlineStr">
        <is>
          <t>No</t>
        </is>
      </c>
      <c r="B512" t="inlineStr">
        <is>
          <t>CURAL</t>
        </is>
      </c>
      <c r="C512" t="inlineStr">
        <is>
          <t>SHELVES</t>
        </is>
      </c>
      <c r="D512" t="inlineStr">
        <is>
          <t>PR2642.C4 B87 1993</t>
        </is>
      </c>
      <c r="E512" t="inlineStr">
        <is>
          <t>0                      PR 2642000C  4                  B  87          1993</t>
        </is>
      </c>
      <c r="F512" t="inlineStr">
        <is>
          <t>Licensed by authority : Ben Jonson and the discourses of censorship / Richard Burt.</t>
        </is>
      </c>
      <c r="H512" t="inlineStr">
        <is>
          <t>No</t>
        </is>
      </c>
      <c r="I512" t="inlineStr">
        <is>
          <t>1</t>
        </is>
      </c>
      <c r="J512" t="inlineStr">
        <is>
          <t>No</t>
        </is>
      </c>
      <c r="K512" t="inlineStr">
        <is>
          <t>No</t>
        </is>
      </c>
      <c r="L512" t="inlineStr">
        <is>
          <t>0</t>
        </is>
      </c>
      <c r="M512" t="inlineStr">
        <is>
          <t>Burt, Richard, 1954-</t>
        </is>
      </c>
      <c r="N512" t="inlineStr">
        <is>
          <t>Ithaca, [N.Y.] : Cornell University Press, 1993.</t>
        </is>
      </c>
      <c r="O512" t="inlineStr">
        <is>
          <t>1993</t>
        </is>
      </c>
      <c r="Q512" t="inlineStr">
        <is>
          <t>eng</t>
        </is>
      </c>
      <c r="R512" t="inlineStr">
        <is>
          <t>nyu</t>
        </is>
      </c>
      <c r="T512" t="inlineStr">
        <is>
          <t xml:space="preserve">PR </t>
        </is>
      </c>
      <c r="U512" t="n">
        <v>2</v>
      </c>
      <c r="V512" t="n">
        <v>2</v>
      </c>
      <c r="W512" t="inlineStr">
        <is>
          <t>2005-11-21</t>
        </is>
      </c>
      <c r="X512" t="inlineStr">
        <is>
          <t>2005-11-21</t>
        </is>
      </c>
      <c r="Y512" t="inlineStr">
        <is>
          <t>1993-08-26</t>
        </is>
      </c>
      <c r="Z512" t="inlineStr">
        <is>
          <t>1993-08-26</t>
        </is>
      </c>
      <c r="AA512" t="n">
        <v>372</v>
      </c>
      <c r="AB512" t="n">
        <v>280</v>
      </c>
      <c r="AC512" t="n">
        <v>293</v>
      </c>
      <c r="AD512" t="n">
        <v>3</v>
      </c>
      <c r="AE512" t="n">
        <v>3</v>
      </c>
      <c r="AF512" t="n">
        <v>19</v>
      </c>
      <c r="AG512" t="n">
        <v>19</v>
      </c>
      <c r="AH512" t="n">
        <v>6</v>
      </c>
      <c r="AI512" t="n">
        <v>6</v>
      </c>
      <c r="AJ512" t="n">
        <v>5</v>
      </c>
      <c r="AK512" t="n">
        <v>5</v>
      </c>
      <c r="AL512" t="n">
        <v>12</v>
      </c>
      <c r="AM512" t="n">
        <v>12</v>
      </c>
      <c r="AN512" t="n">
        <v>2</v>
      </c>
      <c r="AO512" t="n">
        <v>2</v>
      </c>
      <c r="AP512" t="n">
        <v>0</v>
      </c>
      <c r="AQ512" t="n">
        <v>0</v>
      </c>
      <c r="AR512" t="inlineStr">
        <is>
          <t>No</t>
        </is>
      </c>
      <c r="AS512" t="inlineStr">
        <is>
          <t>No</t>
        </is>
      </c>
      <c r="AU512">
        <f>HYPERLINK("https://creighton-primo.hosted.exlibrisgroup.com/primo-explore/search?tab=default_tab&amp;search_scope=EVERYTHING&amp;vid=01CRU&amp;lang=en_US&amp;offset=0&amp;query=any,contains,991002102469702656","Catalog Record")</f>
        <v/>
      </c>
      <c r="AV512">
        <f>HYPERLINK("http://www.worldcat.org/oclc/26975040","WorldCat Record")</f>
        <v/>
      </c>
      <c r="AW512" t="inlineStr">
        <is>
          <t>351325:eng</t>
        </is>
      </c>
      <c r="AX512" t="inlineStr">
        <is>
          <t>26975040</t>
        </is>
      </c>
      <c r="AY512" t="inlineStr">
        <is>
          <t>991002102469702656</t>
        </is>
      </c>
      <c r="AZ512" t="inlineStr">
        <is>
          <t>991002102469702656</t>
        </is>
      </c>
      <c r="BA512" t="inlineStr">
        <is>
          <t>2256024830002656</t>
        </is>
      </c>
      <c r="BB512" t="inlineStr">
        <is>
          <t>BOOK</t>
        </is>
      </c>
      <c r="BD512" t="inlineStr">
        <is>
          <t>9780801427824</t>
        </is>
      </c>
      <c r="BE512" t="inlineStr">
        <is>
          <t>32285001728855</t>
        </is>
      </c>
      <c r="BF512" t="inlineStr">
        <is>
          <t>893621910</t>
        </is>
      </c>
    </row>
    <row r="513">
      <c r="A513" t="inlineStr">
        <is>
          <t>No</t>
        </is>
      </c>
      <c r="B513" t="inlineStr">
        <is>
          <t>CURAL</t>
        </is>
      </c>
      <c r="C513" t="inlineStr">
        <is>
          <t>SHELVES</t>
        </is>
      </c>
      <c r="D513" t="inlineStr">
        <is>
          <t>PR2673 .B3</t>
        </is>
      </c>
      <c r="E513" t="inlineStr">
        <is>
          <t>0                      PR 2673000B  3</t>
        </is>
      </c>
      <c r="F513" t="inlineStr">
        <is>
          <t>Christopher Marlowe : the man in his time / by John Bakeless.</t>
        </is>
      </c>
      <c r="H513" t="inlineStr">
        <is>
          <t>No</t>
        </is>
      </c>
      <c r="I513" t="inlineStr">
        <is>
          <t>1</t>
        </is>
      </c>
      <c r="J513" t="inlineStr">
        <is>
          <t>No</t>
        </is>
      </c>
      <c r="K513" t="inlineStr">
        <is>
          <t>No</t>
        </is>
      </c>
      <c r="L513" t="inlineStr">
        <is>
          <t>0</t>
        </is>
      </c>
      <c r="M513" t="inlineStr">
        <is>
          <t>Bakeless, John, 1894-1978.</t>
        </is>
      </c>
      <c r="N513" t="inlineStr">
        <is>
          <t>New York : W. Morrow and Company, 1937.</t>
        </is>
      </c>
      <c r="O513" t="inlineStr">
        <is>
          <t>1937</t>
        </is>
      </c>
      <c r="Q513" t="inlineStr">
        <is>
          <t>eng</t>
        </is>
      </c>
      <c r="R513" t="inlineStr">
        <is>
          <t>nyu</t>
        </is>
      </c>
      <c r="T513" t="inlineStr">
        <is>
          <t xml:space="preserve">PR </t>
        </is>
      </c>
      <c r="U513" t="n">
        <v>7</v>
      </c>
      <c r="V513" t="n">
        <v>7</v>
      </c>
      <c r="W513" t="inlineStr">
        <is>
          <t>2002-11-03</t>
        </is>
      </c>
      <c r="X513" t="inlineStr">
        <is>
          <t>2002-11-03</t>
        </is>
      </c>
      <c r="Y513" t="inlineStr">
        <is>
          <t>1990-02-22</t>
        </is>
      </c>
      <c r="Z513" t="inlineStr">
        <is>
          <t>1990-02-22</t>
        </is>
      </c>
      <c r="AA513" t="n">
        <v>574</v>
      </c>
      <c r="AB513" t="n">
        <v>543</v>
      </c>
      <c r="AC513" t="n">
        <v>677</v>
      </c>
      <c r="AD513" t="n">
        <v>6</v>
      </c>
      <c r="AE513" t="n">
        <v>6</v>
      </c>
      <c r="AF513" t="n">
        <v>34</v>
      </c>
      <c r="AG513" t="n">
        <v>36</v>
      </c>
      <c r="AH513" t="n">
        <v>16</v>
      </c>
      <c r="AI513" t="n">
        <v>17</v>
      </c>
      <c r="AJ513" t="n">
        <v>5</v>
      </c>
      <c r="AK513" t="n">
        <v>5</v>
      </c>
      <c r="AL513" t="n">
        <v>15</v>
      </c>
      <c r="AM513" t="n">
        <v>16</v>
      </c>
      <c r="AN513" t="n">
        <v>5</v>
      </c>
      <c r="AO513" t="n">
        <v>5</v>
      </c>
      <c r="AP513" t="n">
        <v>0</v>
      </c>
      <c r="AQ513" t="n">
        <v>0</v>
      </c>
      <c r="AR513" t="inlineStr">
        <is>
          <t>No</t>
        </is>
      </c>
      <c r="AS513" t="inlineStr">
        <is>
          <t>Yes</t>
        </is>
      </c>
      <c r="AT513">
        <f>HYPERLINK("http://catalog.hathitrust.org/Record/001373216","HathiTrust Record")</f>
        <v/>
      </c>
      <c r="AU513">
        <f>HYPERLINK("https://creighton-primo.hosted.exlibrisgroup.com/primo-explore/search?tab=default_tab&amp;search_scope=EVERYTHING&amp;vid=01CRU&amp;lang=en_US&amp;offset=0&amp;query=any,contains,991003226599702656","Catalog Record")</f>
        <v/>
      </c>
      <c r="AV513">
        <f>HYPERLINK("http://www.worldcat.org/oclc/751015","WorldCat Record")</f>
        <v/>
      </c>
      <c r="AW513" t="inlineStr">
        <is>
          <t>3855431372:eng</t>
        </is>
      </c>
      <c r="AX513" t="inlineStr">
        <is>
          <t>751015</t>
        </is>
      </c>
      <c r="AY513" t="inlineStr">
        <is>
          <t>991003226599702656</t>
        </is>
      </c>
      <c r="AZ513" t="inlineStr">
        <is>
          <t>991003226599702656</t>
        </is>
      </c>
      <c r="BA513" t="inlineStr">
        <is>
          <t>2269480920002656</t>
        </is>
      </c>
      <c r="BB513" t="inlineStr">
        <is>
          <t>BOOK</t>
        </is>
      </c>
      <c r="BE513" t="inlineStr">
        <is>
          <t>32285000060326</t>
        </is>
      </c>
      <c r="BF513" t="inlineStr">
        <is>
          <t>893416175</t>
        </is>
      </c>
    </row>
    <row r="514">
      <c r="A514" t="inlineStr">
        <is>
          <t>No</t>
        </is>
      </c>
      <c r="B514" t="inlineStr">
        <is>
          <t>CURAL</t>
        </is>
      </c>
      <c r="C514" t="inlineStr">
        <is>
          <t>SHELVES</t>
        </is>
      </c>
      <c r="D514" t="inlineStr">
        <is>
          <t>PR2673 .E4 1967</t>
        </is>
      </c>
      <c r="E514" t="inlineStr">
        <is>
          <t>0                      PR 2673000E  4           1967</t>
        </is>
      </c>
      <c r="F514" t="inlineStr">
        <is>
          <t>Christopher Marlowe in London.</t>
        </is>
      </c>
      <c r="H514" t="inlineStr">
        <is>
          <t>No</t>
        </is>
      </c>
      <c r="I514" t="inlineStr">
        <is>
          <t>1</t>
        </is>
      </c>
      <c r="J514" t="inlineStr">
        <is>
          <t>No</t>
        </is>
      </c>
      <c r="K514" t="inlineStr">
        <is>
          <t>No</t>
        </is>
      </c>
      <c r="L514" t="inlineStr">
        <is>
          <t>0</t>
        </is>
      </c>
      <c r="M514" t="inlineStr">
        <is>
          <t>Eccles, Mark.</t>
        </is>
      </c>
      <c r="N514" t="inlineStr">
        <is>
          <t>New York, Octagon Books, 1967 [c1934]</t>
        </is>
      </c>
      <c r="O514" t="inlineStr">
        <is>
          <t>1967</t>
        </is>
      </c>
      <c r="Q514" t="inlineStr">
        <is>
          <t>eng</t>
        </is>
      </c>
      <c r="R514" t="inlineStr">
        <is>
          <t>nyu</t>
        </is>
      </c>
      <c r="S514" t="inlineStr">
        <is>
          <t>Harvard studies in English ; v. 10</t>
        </is>
      </c>
      <c r="T514" t="inlineStr">
        <is>
          <t xml:space="preserve">PR </t>
        </is>
      </c>
      <c r="U514" t="n">
        <v>2</v>
      </c>
      <c r="V514" t="n">
        <v>2</v>
      </c>
      <c r="W514" t="inlineStr">
        <is>
          <t>1998-04-27</t>
        </is>
      </c>
      <c r="X514" t="inlineStr">
        <is>
          <t>1998-04-27</t>
        </is>
      </c>
      <c r="Y514" t="inlineStr">
        <is>
          <t>1997-07-30</t>
        </is>
      </c>
      <c r="Z514" t="inlineStr">
        <is>
          <t>1997-07-30</t>
        </is>
      </c>
      <c r="AA514" t="n">
        <v>531</v>
      </c>
      <c r="AB514" t="n">
        <v>489</v>
      </c>
      <c r="AC514" t="n">
        <v>682</v>
      </c>
      <c r="AD514" t="n">
        <v>4</v>
      </c>
      <c r="AE514" t="n">
        <v>5</v>
      </c>
      <c r="AF514" t="n">
        <v>23</v>
      </c>
      <c r="AG514" t="n">
        <v>30</v>
      </c>
      <c r="AH514" t="n">
        <v>9</v>
      </c>
      <c r="AI514" t="n">
        <v>12</v>
      </c>
      <c r="AJ514" t="n">
        <v>5</v>
      </c>
      <c r="AK514" t="n">
        <v>6</v>
      </c>
      <c r="AL514" t="n">
        <v>10</v>
      </c>
      <c r="AM514" t="n">
        <v>13</v>
      </c>
      <c r="AN514" t="n">
        <v>3</v>
      </c>
      <c r="AO514" t="n">
        <v>4</v>
      </c>
      <c r="AP514" t="n">
        <v>0</v>
      </c>
      <c r="AQ514" t="n">
        <v>0</v>
      </c>
      <c r="AR514" t="inlineStr">
        <is>
          <t>No</t>
        </is>
      </c>
      <c r="AS514" t="inlineStr">
        <is>
          <t>Yes</t>
        </is>
      </c>
      <c r="AT514">
        <f>HYPERLINK("http://catalog.hathitrust.org/Record/001017562","HathiTrust Record")</f>
        <v/>
      </c>
      <c r="AU514">
        <f>HYPERLINK("https://creighton-primo.hosted.exlibrisgroup.com/primo-explore/search?tab=default_tab&amp;search_scope=EVERYTHING&amp;vid=01CRU&amp;lang=en_US&amp;offset=0&amp;query=any,contains,991002449599702656","Catalog Record")</f>
        <v/>
      </c>
      <c r="AV514">
        <f>HYPERLINK("http://www.worldcat.org/oclc/352593","WorldCat Record")</f>
        <v/>
      </c>
      <c r="AW514" t="inlineStr">
        <is>
          <t>1389205:eng</t>
        </is>
      </c>
      <c r="AX514" t="inlineStr">
        <is>
          <t>352593</t>
        </is>
      </c>
      <c r="AY514" t="inlineStr">
        <is>
          <t>991002449599702656</t>
        </is>
      </c>
      <c r="AZ514" t="inlineStr">
        <is>
          <t>991002449599702656</t>
        </is>
      </c>
      <c r="BA514" t="inlineStr">
        <is>
          <t>2265239350002656</t>
        </is>
      </c>
      <c r="BB514" t="inlineStr">
        <is>
          <t>BOOK</t>
        </is>
      </c>
      <c r="BE514" t="inlineStr">
        <is>
          <t>32285002994175</t>
        </is>
      </c>
      <c r="BF514" t="inlineStr">
        <is>
          <t>893498122</t>
        </is>
      </c>
    </row>
    <row r="515">
      <c r="A515" t="inlineStr">
        <is>
          <t>No</t>
        </is>
      </c>
      <c r="B515" t="inlineStr">
        <is>
          <t>CURAL</t>
        </is>
      </c>
      <c r="C515" t="inlineStr">
        <is>
          <t>SHELVES</t>
        </is>
      </c>
      <c r="D515" t="inlineStr">
        <is>
          <t>PR2673 .I5 1970</t>
        </is>
      </c>
      <c r="E515" t="inlineStr">
        <is>
          <t>0                      PR 2673000I  5           1970</t>
        </is>
      </c>
      <c r="F515" t="inlineStr">
        <is>
          <t>Christopher Marlowe and his associates.</t>
        </is>
      </c>
      <c r="H515" t="inlineStr">
        <is>
          <t>No</t>
        </is>
      </c>
      <c r="I515" t="inlineStr">
        <is>
          <t>1</t>
        </is>
      </c>
      <c r="J515" t="inlineStr">
        <is>
          <t>No</t>
        </is>
      </c>
      <c r="K515" t="inlineStr">
        <is>
          <t>No</t>
        </is>
      </c>
      <c r="L515" t="inlineStr">
        <is>
          <t>0</t>
        </is>
      </c>
      <c r="M515" t="inlineStr">
        <is>
          <t>Ingram, John H., 1842-1916.</t>
        </is>
      </c>
      <c r="N515" t="inlineStr">
        <is>
          <t>New York : Cooper Square Publishers, 1970.</t>
        </is>
      </c>
      <c r="O515" t="inlineStr">
        <is>
          <t>1970</t>
        </is>
      </c>
      <c r="Q515" t="inlineStr">
        <is>
          <t>eng</t>
        </is>
      </c>
      <c r="R515" t="inlineStr">
        <is>
          <t>nyu</t>
        </is>
      </c>
      <c r="T515" t="inlineStr">
        <is>
          <t xml:space="preserve">PR </t>
        </is>
      </c>
      <c r="U515" t="n">
        <v>4</v>
      </c>
      <c r="V515" t="n">
        <v>4</v>
      </c>
      <c r="W515" t="inlineStr">
        <is>
          <t>2000-12-11</t>
        </is>
      </c>
      <c r="X515" t="inlineStr">
        <is>
          <t>2000-12-11</t>
        </is>
      </c>
      <c r="Y515" t="inlineStr">
        <is>
          <t>1991-10-17</t>
        </is>
      </c>
      <c r="Z515" t="inlineStr">
        <is>
          <t>1991-10-17</t>
        </is>
      </c>
      <c r="AA515" t="n">
        <v>252</v>
      </c>
      <c r="AB515" t="n">
        <v>230</v>
      </c>
      <c r="AC515" t="n">
        <v>470</v>
      </c>
      <c r="AD515" t="n">
        <v>4</v>
      </c>
      <c r="AE515" t="n">
        <v>6</v>
      </c>
      <c r="AF515" t="n">
        <v>11</v>
      </c>
      <c r="AG515" t="n">
        <v>29</v>
      </c>
      <c r="AH515" t="n">
        <v>3</v>
      </c>
      <c r="AI515" t="n">
        <v>10</v>
      </c>
      <c r="AJ515" t="n">
        <v>3</v>
      </c>
      <c r="AK515" t="n">
        <v>10</v>
      </c>
      <c r="AL515" t="n">
        <v>5</v>
      </c>
      <c r="AM515" t="n">
        <v>12</v>
      </c>
      <c r="AN515" t="n">
        <v>2</v>
      </c>
      <c r="AO515" t="n">
        <v>4</v>
      </c>
      <c r="AP515" t="n">
        <v>0</v>
      </c>
      <c r="AQ515" t="n">
        <v>0</v>
      </c>
      <c r="AR515" t="inlineStr">
        <is>
          <t>No</t>
        </is>
      </c>
      <c r="AS515" t="inlineStr">
        <is>
          <t>Yes</t>
        </is>
      </c>
      <c r="AT515">
        <f>HYPERLINK("http://catalog.hathitrust.org/Record/004439264","HathiTrust Record")</f>
        <v/>
      </c>
      <c r="AU515">
        <f>HYPERLINK("https://creighton-primo.hosted.exlibrisgroup.com/primo-explore/search?tab=default_tab&amp;search_scope=EVERYTHING&amp;vid=01CRU&amp;lang=en_US&amp;offset=0&amp;query=any,contains,991000546539702656","Catalog Record")</f>
        <v/>
      </c>
      <c r="AV515">
        <f>HYPERLINK("http://www.worldcat.org/oclc/91527","WorldCat Record")</f>
        <v/>
      </c>
      <c r="AW515" t="inlineStr">
        <is>
          <t>477190:eng</t>
        </is>
      </c>
      <c r="AX515" t="inlineStr">
        <is>
          <t>91527</t>
        </is>
      </c>
      <c r="AY515" t="inlineStr">
        <is>
          <t>991000546539702656</t>
        </is>
      </c>
      <c r="AZ515" t="inlineStr">
        <is>
          <t>991000546539702656</t>
        </is>
      </c>
      <c r="BA515" t="inlineStr">
        <is>
          <t>2264774290002656</t>
        </is>
      </c>
      <c r="BB515" t="inlineStr">
        <is>
          <t>BOOK</t>
        </is>
      </c>
      <c r="BD515" t="inlineStr">
        <is>
          <t>9780815403265</t>
        </is>
      </c>
      <c r="BE515" t="inlineStr">
        <is>
          <t>32285000774199</t>
        </is>
      </c>
      <c r="BF515" t="inlineStr">
        <is>
          <t>893237404</t>
        </is>
      </c>
    </row>
    <row r="516">
      <c r="A516" t="inlineStr">
        <is>
          <t>No</t>
        </is>
      </c>
      <c r="B516" t="inlineStr">
        <is>
          <t>CURAL</t>
        </is>
      </c>
      <c r="C516" t="inlineStr">
        <is>
          <t>SHELVES</t>
        </is>
      </c>
      <c r="D516" t="inlineStr">
        <is>
          <t>PR2673 .K6</t>
        </is>
      </c>
      <c r="E516" t="inlineStr">
        <is>
          <t>0                      PR 2673000K  6</t>
        </is>
      </c>
      <c r="F516" t="inlineStr">
        <is>
          <t>Christopher Marlowe : a study of his thought, learning, and character / by Paul H. Kocher.</t>
        </is>
      </c>
      <c r="H516" t="inlineStr">
        <is>
          <t>No</t>
        </is>
      </c>
      <c r="I516" t="inlineStr">
        <is>
          <t>1</t>
        </is>
      </c>
      <c r="J516" t="inlineStr">
        <is>
          <t>No</t>
        </is>
      </c>
      <c r="K516" t="inlineStr">
        <is>
          <t>No</t>
        </is>
      </c>
      <c r="L516" t="inlineStr">
        <is>
          <t>0</t>
        </is>
      </c>
      <c r="M516" t="inlineStr">
        <is>
          <t>Kocher, Paul H. (Paul Harold), 1907-1998.</t>
        </is>
      </c>
      <c r="N516" t="inlineStr">
        <is>
          <t>Chapel Hill : The University of North Carolina press, 1946.</t>
        </is>
      </c>
      <c r="O516" t="inlineStr">
        <is>
          <t>1946</t>
        </is>
      </c>
      <c r="Q516" t="inlineStr">
        <is>
          <t>eng</t>
        </is>
      </c>
      <c r="R516" t="inlineStr">
        <is>
          <t>ncu</t>
        </is>
      </c>
      <c r="T516" t="inlineStr">
        <is>
          <t xml:space="preserve">PR </t>
        </is>
      </c>
      <c r="U516" t="n">
        <v>9</v>
      </c>
      <c r="V516" t="n">
        <v>9</v>
      </c>
      <c r="W516" t="inlineStr">
        <is>
          <t>1996-04-29</t>
        </is>
      </c>
      <c r="X516" t="inlineStr">
        <is>
          <t>1996-04-29</t>
        </is>
      </c>
      <c r="Y516" t="inlineStr">
        <is>
          <t>1990-02-19</t>
        </is>
      </c>
      <c r="Z516" t="inlineStr">
        <is>
          <t>1990-02-19</t>
        </is>
      </c>
      <c r="AA516" t="n">
        <v>372</v>
      </c>
      <c r="AB516" t="n">
        <v>315</v>
      </c>
      <c r="AC516" t="n">
        <v>951</v>
      </c>
      <c r="AD516" t="n">
        <v>4</v>
      </c>
      <c r="AE516" t="n">
        <v>10</v>
      </c>
      <c r="AF516" t="n">
        <v>17</v>
      </c>
      <c r="AG516" t="n">
        <v>46</v>
      </c>
      <c r="AH516" t="n">
        <v>6</v>
      </c>
      <c r="AI516" t="n">
        <v>19</v>
      </c>
      <c r="AJ516" t="n">
        <v>3</v>
      </c>
      <c r="AK516" t="n">
        <v>8</v>
      </c>
      <c r="AL516" t="n">
        <v>11</v>
      </c>
      <c r="AM516" t="n">
        <v>22</v>
      </c>
      <c r="AN516" t="n">
        <v>2</v>
      </c>
      <c r="AO516" t="n">
        <v>8</v>
      </c>
      <c r="AP516" t="n">
        <v>0</v>
      </c>
      <c r="AQ516" t="n">
        <v>0</v>
      </c>
      <c r="AR516" t="inlineStr">
        <is>
          <t>No</t>
        </is>
      </c>
      <c r="AS516" t="inlineStr">
        <is>
          <t>Yes</t>
        </is>
      </c>
      <c r="AT516">
        <f>HYPERLINK("http://catalog.hathitrust.org/Record/001111964","HathiTrust Record")</f>
        <v/>
      </c>
      <c r="AU516">
        <f>HYPERLINK("https://creighton-primo.hosted.exlibrisgroup.com/primo-explore/search?tab=default_tab&amp;search_scope=EVERYTHING&amp;vid=01CRU&amp;lang=en_US&amp;offset=0&amp;query=any,contains,991004006519702656","Catalog Record")</f>
        <v/>
      </c>
      <c r="AV516">
        <f>HYPERLINK("http://www.worldcat.org/oclc/2085714","WorldCat Record")</f>
        <v/>
      </c>
      <c r="AW516" t="inlineStr">
        <is>
          <t>50936044:eng</t>
        </is>
      </c>
      <c r="AX516" t="inlineStr">
        <is>
          <t>2085714</t>
        </is>
      </c>
      <c r="AY516" t="inlineStr">
        <is>
          <t>991004006519702656</t>
        </is>
      </c>
      <c r="AZ516" t="inlineStr">
        <is>
          <t>991004006519702656</t>
        </is>
      </c>
      <c r="BA516" t="inlineStr">
        <is>
          <t>2256498590002656</t>
        </is>
      </c>
      <c r="BB516" t="inlineStr">
        <is>
          <t>BOOK</t>
        </is>
      </c>
      <c r="BE516" t="inlineStr">
        <is>
          <t>32285000042431</t>
        </is>
      </c>
      <c r="BF516" t="inlineStr">
        <is>
          <t>893593155</t>
        </is>
      </c>
    </row>
    <row r="517">
      <c r="A517" t="inlineStr">
        <is>
          <t>No</t>
        </is>
      </c>
      <c r="B517" t="inlineStr">
        <is>
          <t>CURAL</t>
        </is>
      </c>
      <c r="C517" t="inlineStr">
        <is>
          <t>SHELVES</t>
        </is>
      </c>
      <c r="D517" t="inlineStr">
        <is>
          <t>PR2673 .R6</t>
        </is>
      </c>
      <c r="E517" t="inlineStr">
        <is>
          <t>0                      PR 2673000R  6</t>
        </is>
      </c>
      <c r="F517" t="inlineStr">
        <is>
          <t>Marlowe, a conspectus / by J. M. Robertson.</t>
        </is>
      </c>
      <c r="H517" t="inlineStr">
        <is>
          <t>No</t>
        </is>
      </c>
      <c r="I517" t="inlineStr">
        <is>
          <t>1</t>
        </is>
      </c>
      <c r="J517" t="inlineStr">
        <is>
          <t>No</t>
        </is>
      </c>
      <c r="K517" t="inlineStr">
        <is>
          <t>No</t>
        </is>
      </c>
      <c r="L517" t="inlineStr">
        <is>
          <t>0</t>
        </is>
      </c>
      <c r="M517" t="inlineStr">
        <is>
          <t>Robertson, J. M. (John Mackinnon), 1856-1933.</t>
        </is>
      </c>
      <c r="N517" t="inlineStr">
        <is>
          <t>London : G. Routledge &amp; sons, ltd., 1931.</t>
        </is>
      </c>
      <c r="O517" t="inlineStr">
        <is>
          <t>1931</t>
        </is>
      </c>
      <c r="Q517" t="inlineStr">
        <is>
          <t>eng</t>
        </is>
      </c>
      <c r="R517" t="inlineStr">
        <is>
          <t xml:space="preserve">xx </t>
        </is>
      </c>
      <c r="T517" t="inlineStr">
        <is>
          <t xml:space="preserve">PR </t>
        </is>
      </c>
      <c r="U517" t="n">
        <v>2</v>
      </c>
      <c r="V517" t="n">
        <v>2</v>
      </c>
      <c r="W517" t="inlineStr">
        <is>
          <t>1992-03-18</t>
        </is>
      </c>
      <c r="X517" t="inlineStr">
        <is>
          <t>1992-03-18</t>
        </is>
      </c>
      <c r="Y517" t="inlineStr">
        <is>
          <t>1990-02-19</t>
        </is>
      </c>
      <c r="Z517" t="inlineStr">
        <is>
          <t>1990-02-19</t>
        </is>
      </c>
      <c r="AA517" t="n">
        <v>214</v>
      </c>
      <c r="AB517" t="n">
        <v>163</v>
      </c>
      <c r="AC517" t="n">
        <v>181</v>
      </c>
      <c r="AD517" t="n">
        <v>2</v>
      </c>
      <c r="AE517" t="n">
        <v>2</v>
      </c>
      <c r="AF517" t="n">
        <v>12</v>
      </c>
      <c r="AG517" t="n">
        <v>12</v>
      </c>
      <c r="AH517" t="n">
        <v>5</v>
      </c>
      <c r="AI517" t="n">
        <v>5</v>
      </c>
      <c r="AJ517" t="n">
        <v>3</v>
      </c>
      <c r="AK517" t="n">
        <v>3</v>
      </c>
      <c r="AL517" t="n">
        <v>8</v>
      </c>
      <c r="AM517" t="n">
        <v>8</v>
      </c>
      <c r="AN517" t="n">
        <v>1</v>
      </c>
      <c r="AO517" t="n">
        <v>1</v>
      </c>
      <c r="AP517" t="n">
        <v>0</v>
      </c>
      <c r="AQ517" t="n">
        <v>0</v>
      </c>
      <c r="AR517" t="inlineStr">
        <is>
          <t>No</t>
        </is>
      </c>
      <c r="AS517" t="inlineStr">
        <is>
          <t>No</t>
        </is>
      </c>
      <c r="AT517">
        <f>HYPERLINK("http://catalog.hathitrust.org/Record/001373228","HathiTrust Record")</f>
        <v/>
      </c>
      <c r="AU517">
        <f>HYPERLINK("https://creighton-primo.hosted.exlibrisgroup.com/primo-explore/search?tab=default_tab&amp;search_scope=EVERYTHING&amp;vid=01CRU&amp;lang=en_US&amp;offset=0&amp;query=any,contains,991003487719702656","Catalog Record")</f>
        <v/>
      </c>
      <c r="AV517">
        <f>HYPERLINK("http://www.worldcat.org/oclc/1035903","WorldCat Record")</f>
        <v/>
      </c>
      <c r="AW517" t="inlineStr">
        <is>
          <t>1992784:eng</t>
        </is>
      </c>
      <c r="AX517" t="inlineStr">
        <is>
          <t>1035903</t>
        </is>
      </c>
      <c r="AY517" t="inlineStr">
        <is>
          <t>991003487719702656</t>
        </is>
      </c>
      <c r="AZ517" t="inlineStr">
        <is>
          <t>991003487719702656</t>
        </is>
      </c>
      <c r="BA517" t="inlineStr">
        <is>
          <t>2265567040002656</t>
        </is>
      </c>
      <c r="BB517" t="inlineStr">
        <is>
          <t>BOOK</t>
        </is>
      </c>
      <c r="BE517" t="inlineStr">
        <is>
          <t>32285000042449</t>
        </is>
      </c>
      <c r="BF517" t="inlineStr">
        <is>
          <t>893774772</t>
        </is>
      </c>
    </row>
    <row r="518">
      <c r="A518" t="inlineStr">
        <is>
          <t>No</t>
        </is>
      </c>
      <c r="B518" t="inlineStr">
        <is>
          <t>CURAL</t>
        </is>
      </c>
      <c r="C518" t="inlineStr">
        <is>
          <t>SHELVES</t>
        </is>
      </c>
      <c r="D518" t="inlineStr">
        <is>
          <t>PR2673 .R66</t>
        </is>
      </c>
      <c r="E518" t="inlineStr">
        <is>
          <t>0                      PR 2673000R  66</t>
        </is>
      </c>
      <c r="F518" t="inlineStr">
        <is>
          <t>Kind Kit: an informal biography of Christopher Marlowe.</t>
        </is>
      </c>
      <c r="H518" t="inlineStr">
        <is>
          <t>No</t>
        </is>
      </c>
      <c r="I518" t="inlineStr">
        <is>
          <t>1</t>
        </is>
      </c>
      <c r="J518" t="inlineStr">
        <is>
          <t>No</t>
        </is>
      </c>
      <c r="K518" t="inlineStr">
        <is>
          <t>No</t>
        </is>
      </c>
      <c r="L518" t="inlineStr">
        <is>
          <t>0</t>
        </is>
      </c>
      <c r="M518" t="inlineStr">
        <is>
          <t>Ross Williamson, Hugh, 1901-1978.</t>
        </is>
      </c>
      <c r="N518" t="inlineStr">
        <is>
          <t>London, Joseph, 1972.</t>
        </is>
      </c>
      <c r="O518" t="inlineStr">
        <is>
          <t>1972</t>
        </is>
      </c>
      <c r="Q518" t="inlineStr">
        <is>
          <t>eng</t>
        </is>
      </c>
      <c r="R518" t="inlineStr">
        <is>
          <t>enk</t>
        </is>
      </c>
      <c r="T518" t="inlineStr">
        <is>
          <t xml:space="preserve">PR </t>
        </is>
      </c>
      <c r="U518" t="n">
        <v>3</v>
      </c>
      <c r="V518" t="n">
        <v>3</v>
      </c>
      <c r="W518" t="inlineStr">
        <is>
          <t>1999-12-15</t>
        </is>
      </c>
      <c r="X518" t="inlineStr">
        <is>
          <t>1999-12-15</t>
        </is>
      </c>
      <c r="Y518" t="inlineStr">
        <is>
          <t>1997-07-30</t>
        </is>
      </c>
      <c r="Z518" t="inlineStr">
        <is>
          <t>1997-07-30</t>
        </is>
      </c>
      <c r="AA518" t="n">
        <v>252</v>
      </c>
      <c r="AB518" t="n">
        <v>154</v>
      </c>
      <c r="AC518" t="n">
        <v>454</v>
      </c>
      <c r="AD518" t="n">
        <v>2</v>
      </c>
      <c r="AE518" t="n">
        <v>3</v>
      </c>
      <c r="AF518" t="n">
        <v>7</v>
      </c>
      <c r="AG518" t="n">
        <v>15</v>
      </c>
      <c r="AH518" t="n">
        <v>0</v>
      </c>
      <c r="AI518" t="n">
        <v>3</v>
      </c>
      <c r="AJ518" t="n">
        <v>4</v>
      </c>
      <c r="AK518" t="n">
        <v>4</v>
      </c>
      <c r="AL518" t="n">
        <v>4</v>
      </c>
      <c r="AM518" t="n">
        <v>9</v>
      </c>
      <c r="AN518" t="n">
        <v>1</v>
      </c>
      <c r="AO518" t="n">
        <v>2</v>
      </c>
      <c r="AP518" t="n">
        <v>0</v>
      </c>
      <c r="AQ518" t="n">
        <v>0</v>
      </c>
      <c r="AR518" t="inlineStr">
        <is>
          <t>No</t>
        </is>
      </c>
      <c r="AS518" t="inlineStr">
        <is>
          <t>No</t>
        </is>
      </c>
      <c r="AU518">
        <f>HYPERLINK("https://creighton-primo.hosted.exlibrisgroup.com/primo-explore/search?tab=default_tab&amp;search_scope=EVERYTHING&amp;vid=01CRU&amp;lang=en_US&amp;offset=0&amp;query=any,contains,991003003519702656","Catalog Record")</f>
        <v/>
      </c>
      <c r="AV518">
        <f>HYPERLINK("http://www.worldcat.org/oclc/570679","WorldCat Record")</f>
        <v/>
      </c>
      <c r="AW518" t="inlineStr">
        <is>
          <t>1636469:eng</t>
        </is>
      </c>
      <c r="AX518" t="inlineStr">
        <is>
          <t>570679</t>
        </is>
      </c>
      <c r="AY518" t="inlineStr">
        <is>
          <t>991003003519702656</t>
        </is>
      </c>
      <c r="AZ518" t="inlineStr">
        <is>
          <t>991003003519702656</t>
        </is>
      </c>
      <c r="BA518" t="inlineStr">
        <is>
          <t>2269735380002656</t>
        </is>
      </c>
      <c r="BB518" t="inlineStr">
        <is>
          <t>BOOK</t>
        </is>
      </c>
      <c r="BD518" t="inlineStr">
        <is>
          <t>9780718109882</t>
        </is>
      </c>
      <c r="BE518" t="inlineStr">
        <is>
          <t>32285002994209</t>
        </is>
      </c>
      <c r="BF518" t="inlineStr">
        <is>
          <t>893698562</t>
        </is>
      </c>
    </row>
    <row r="519">
      <c r="A519" t="inlineStr">
        <is>
          <t>No</t>
        </is>
      </c>
      <c r="B519" t="inlineStr">
        <is>
          <t>CURAL</t>
        </is>
      </c>
      <c r="C519" t="inlineStr">
        <is>
          <t>SHELVES</t>
        </is>
      </c>
      <c r="D519" t="inlineStr">
        <is>
          <t>PR2673 .W5</t>
        </is>
      </c>
      <c r="E519" t="inlineStr">
        <is>
          <t>0                      PR 2673000W  5</t>
        </is>
      </c>
      <c r="F519" t="inlineStr">
        <is>
          <t>Marlowe and the early Shakespeare.</t>
        </is>
      </c>
      <c r="H519" t="inlineStr">
        <is>
          <t>No</t>
        </is>
      </c>
      <c r="I519" t="inlineStr">
        <is>
          <t>1</t>
        </is>
      </c>
      <c r="J519" t="inlineStr">
        <is>
          <t>No</t>
        </is>
      </c>
      <c r="K519" t="inlineStr">
        <is>
          <t>No</t>
        </is>
      </c>
      <c r="L519" t="inlineStr">
        <is>
          <t>0</t>
        </is>
      </c>
      <c r="M519" t="inlineStr">
        <is>
          <t>Wilson, F. P. (Frank Percy), 1889-1963.</t>
        </is>
      </c>
      <c r="N519" t="inlineStr">
        <is>
          <t>Oxford : Clarendon Press, 1953.</t>
        </is>
      </c>
      <c r="O519" t="inlineStr">
        <is>
          <t>1953</t>
        </is>
      </c>
      <c r="Q519" t="inlineStr">
        <is>
          <t>eng</t>
        </is>
      </c>
      <c r="R519" t="inlineStr">
        <is>
          <t>enk</t>
        </is>
      </c>
      <c r="S519" t="inlineStr">
        <is>
          <t>The Clark lectures, Trinity College, Cambridge ; 1951</t>
        </is>
      </c>
      <c r="T519" t="inlineStr">
        <is>
          <t xml:space="preserve">PR </t>
        </is>
      </c>
      <c r="U519" t="n">
        <v>6</v>
      </c>
      <c r="V519" t="n">
        <v>6</v>
      </c>
      <c r="W519" t="inlineStr">
        <is>
          <t>2002-11-03</t>
        </is>
      </c>
      <c r="X519" t="inlineStr">
        <is>
          <t>2002-11-03</t>
        </is>
      </c>
      <c r="Y519" t="inlineStr">
        <is>
          <t>1993-12-13</t>
        </is>
      </c>
      <c r="Z519" t="inlineStr">
        <is>
          <t>1993-12-13</t>
        </is>
      </c>
      <c r="AA519" t="n">
        <v>645</v>
      </c>
      <c r="AB519" t="n">
        <v>519</v>
      </c>
      <c r="AC519" t="n">
        <v>806</v>
      </c>
      <c r="AD519" t="n">
        <v>8</v>
      </c>
      <c r="AE519" t="n">
        <v>8</v>
      </c>
      <c r="AF519" t="n">
        <v>33</v>
      </c>
      <c r="AG519" t="n">
        <v>41</v>
      </c>
      <c r="AH519" t="n">
        <v>13</v>
      </c>
      <c r="AI519" t="n">
        <v>17</v>
      </c>
      <c r="AJ519" t="n">
        <v>5</v>
      </c>
      <c r="AK519" t="n">
        <v>8</v>
      </c>
      <c r="AL519" t="n">
        <v>17</v>
      </c>
      <c r="AM519" t="n">
        <v>19</v>
      </c>
      <c r="AN519" t="n">
        <v>7</v>
      </c>
      <c r="AO519" t="n">
        <v>7</v>
      </c>
      <c r="AP519" t="n">
        <v>0</v>
      </c>
      <c r="AQ519" t="n">
        <v>0</v>
      </c>
      <c r="AR519" t="inlineStr">
        <is>
          <t>No</t>
        </is>
      </c>
      <c r="AS519" t="inlineStr">
        <is>
          <t>No</t>
        </is>
      </c>
      <c r="AU519">
        <f>HYPERLINK("https://creighton-primo.hosted.exlibrisgroup.com/primo-explore/search?tab=default_tab&amp;search_scope=EVERYTHING&amp;vid=01CRU&amp;lang=en_US&amp;offset=0&amp;query=any,contains,991002256229702656","Catalog Record")</f>
        <v/>
      </c>
      <c r="AV519">
        <f>HYPERLINK("http://www.worldcat.org/oclc/3402436","WorldCat Record")</f>
        <v/>
      </c>
      <c r="AW519" t="inlineStr">
        <is>
          <t>1397875:eng</t>
        </is>
      </c>
      <c r="AX519" t="inlineStr">
        <is>
          <t>3402436</t>
        </is>
      </c>
      <c r="AY519" t="inlineStr">
        <is>
          <t>991002256229702656</t>
        </is>
      </c>
      <c r="AZ519" t="inlineStr">
        <is>
          <t>991002256229702656</t>
        </is>
      </c>
      <c r="BA519" t="inlineStr">
        <is>
          <t>2269940240002656</t>
        </is>
      </c>
      <c r="BB519" t="inlineStr">
        <is>
          <t>BOOK</t>
        </is>
      </c>
      <c r="BE519" t="inlineStr">
        <is>
          <t>32285001807840</t>
        </is>
      </c>
      <c r="BF519" t="inlineStr">
        <is>
          <t>893627037</t>
        </is>
      </c>
    </row>
    <row r="520">
      <c r="A520" t="inlineStr">
        <is>
          <t>No</t>
        </is>
      </c>
      <c r="B520" t="inlineStr">
        <is>
          <t>CURAL</t>
        </is>
      </c>
      <c r="C520" t="inlineStr">
        <is>
          <t>SHELVES</t>
        </is>
      </c>
      <c r="D520" t="inlineStr">
        <is>
          <t>PR2674 .E5 1977</t>
        </is>
      </c>
      <c r="E520" t="inlineStr">
        <is>
          <t>0                      PR 2674000E  5           1977</t>
        </is>
      </c>
      <c r="F520" t="inlineStr">
        <is>
          <t>Two Renaissance mythmakers, Christopher Marlowe and Ben Jonson / edited, with a foreword, by Alvin Kernan.</t>
        </is>
      </c>
      <c r="H520" t="inlineStr">
        <is>
          <t>No</t>
        </is>
      </c>
      <c r="I520" t="inlineStr">
        <is>
          <t>1</t>
        </is>
      </c>
      <c r="J520" t="inlineStr">
        <is>
          <t>No</t>
        </is>
      </c>
      <c r="K520" t="inlineStr">
        <is>
          <t>No</t>
        </is>
      </c>
      <c r="L520" t="inlineStr">
        <is>
          <t>0</t>
        </is>
      </c>
      <c r="M520" t="inlineStr">
        <is>
          <t>English Institute.</t>
        </is>
      </c>
      <c r="N520" t="inlineStr">
        <is>
          <t>Baltimore : Johns Hopkins University Press, c1977.</t>
        </is>
      </c>
      <c r="O520" t="inlineStr">
        <is>
          <t>1977</t>
        </is>
      </c>
      <c r="Q520" t="inlineStr">
        <is>
          <t>eng</t>
        </is>
      </c>
      <c r="R520" t="inlineStr">
        <is>
          <t>mdu</t>
        </is>
      </c>
      <c r="S520" t="inlineStr">
        <is>
          <t>Selected papers from the English Institute ; 1975-76, new ser. 1</t>
        </is>
      </c>
      <c r="T520" t="inlineStr">
        <is>
          <t xml:space="preserve">PR </t>
        </is>
      </c>
      <c r="U520" t="n">
        <v>8</v>
      </c>
      <c r="V520" t="n">
        <v>8</v>
      </c>
      <c r="W520" t="inlineStr">
        <is>
          <t>1997-12-15</t>
        </is>
      </c>
      <c r="X520" t="inlineStr">
        <is>
          <t>1997-12-15</t>
        </is>
      </c>
      <c r="Y520" t="inlineStr">
        <is>
          <t>1990-02-24</t>
        </is>
      </c>
      <c r="Z520" t="inlineStr">
        <is>
          <t>1990-02-24</t>
        </is>
      </c>
      <c r="AA520" t="n">
        <v>908</v>
      </c>
      <c r="AB520" t="n">
        <v>761</v>
      </c>
      <c r="AC520" t="n">
        <v>868</v>
      </c>
      <c r="AD520" t="n">
        <v>10</v>
      </c>
      <c r="AE520" t="n">
        <v>10</v>
      </c>
      <c r="AF520" t="n">
        <v>44</v>
      </c>
      <c r="AG520" t="n">
        <v>47</v>
      </c>
      <c r="AH520" t="n">
        <v>15</v>
      </c>
      <c r="AI520" t="n">
        <v>18</v>
      </c>
      <c r="AJ520" t="n">
        <v>9</v>
      </c>
      <c r="AK520" t="n">
        <v>9</v>
      </c>
      <c r="AL520" t="n">
        <v>22</v>
      </c>
      <c r="AM520" t="n">
        <v>22</v>
      </c>
      <c r="AN520" t="n">
        <v>9</v>
      </c>
      <c r="AO520" t="n">
        <v>9</v>
      </c>
      <c r="AP520" t="n">
        <v>0</v>
      </c>
      <c r="AQ520" t="n">
        <v>0</v>
      </c>
      <c r="AR520" t="inlineStr">
        <is>
          <t>No</t>
        </is>
      </c>
      <c r="AS520" t="inlineStr">
        <is>
          <t>Yes</t>
        </is>
      </c>
      <c r="AT520">
        <f>HYPERLINK("http://catalog.hathitrust.org/Record/000211341","HathiTrust Record")</f>
        <v/>
      </c>
      <c r="AU520">
        <f>HYPERLINK("https://creighton-primo.hosted.exlibrisgroup.com/primo-explore/search?tab=default_tab&amp;search_scope=EVERYTHING&amp;vid=01CRU&amp;lang=en_US&amp;offset=0&amp;query=any,contains,991004259549702656","Catalog Record")</f>
        <v/>
      </c>
      <c r="AV520">
        <f>HYPERLINK("http://www.worldcat.org/oclc/2837227","WorldCat Record")</f>
        <v/>
      </c>
      <c r="AW520" t="inlineStr">
        <is>
          <t>6492090:eng</t>
        </is>
      </c>
      <c r="AX520" t="inlineStr">
        <is>
          <t>2837227</t>
        </is>
      </c>
      <c r="AY520" t="inlineStr">
        <is>
          <t>991004259549702656</t>
        </is>
      </c>
      <c r="AZ520" t="inlineStr">
        <is>
          <t>991004259549702656</t>
        </is>
      </c>
      <c r="BA520" t="inlineStr">
        <is>
          <t>2262141280002656</t>
        </is>
      </c>
      <c r="BB520" t="inlineStr">
        <is>
          <t>BOOK</t>
        </is>
      </c>
      <c r="BD520" t="inlineStr">
        <is>
          <t>9780801819711</t>
        </is>
      </c>
      <c r="BE520" t="inlineStr">
        <is>
          <t>32285000061522</t>
        </is>
      </c>
      <c r="BF520" t="inlineStr">
        <is>
          <t>893325135</t>
        </is>
      </c>
    </row>
    <row r="521">
      <c r="A521" t="inlineStr">
        <is>
          <t>No</t>
        </is>
      </c>
      <c r="B521" t="inlineStr">
        <is>
          <t>CURAL</t>
        </is>
      </c>
      <c r="C521" t="inlineStr">
        <is>
          <t>SHELVES</t>
        </is>
      </c>
      <c r="D521" t="inlineStr">
        <is>
          <t>PR2674 .M29</t>
        </is>
      </c>
      <c r="E521" t="inlineStr">
        <is>
          <t>0                      PR 2674000M  29</t>
        </is>
      </c>
      <c r="F521" t="inlineStr">
        <is>
          <t>Marlowe, the critical heritage, 1588-1896 / edited by Millar Maclure.</t>
        </is>
      </c>
      <c r="H521" t="inlineStr">
        <is>
          <t>No</t>
        </is>
      </c>
      <c r="I521" t="inlineStr">
        <is>
          <t>1</t>
        </is>
      </c>
      <c r="J521" t="inlineStr">
        <is>
          <t>No</t>
        </is>
      </c>
      <c r="K521" t="inlineStr">
        <is>
          <t>No</t>
        </is>
      </c>
      <c r="L521" t="inlineStr">
        <is>
          <t>0</t>
        </is>
      </c>
      <c r="N521" t="inlineStr">
        <is>
          <t>London ; Boston : Routledge &amp; Kegan Paul, 1979.</t>
        </is>
      </c>
      <c r="O521" t="inlineStr">
        <is>
          <t>1979</t>
        </is>
      </c>
      <c r="Q521" t="inlineStr">
        <is>
          <t>eng</t>
        </is>
      </c>
      <c r="R521" t="inlineStr">
        <is>
          <t>enk</t>
        </is>
      </c>
      <c r="S521" t="inlineStr">
        <is>
          <t>Critical heritage series</t>
        </is>
      </c>
      <c r="T521" t="inlineStr">
        <is>
          <t xml:space="preserve">PR </t>
        </is>
      </c>
      <c r="U521" t="n">
        <v>4</v>
      </c>
      <c r="V521" t="n">
        <v>4</v>
      </c>
      <c r="W521" t="inlineStr">
        <is>
          <t>2002-11-03</t>
        </is>
      </c>
      <c r="X521" t="inlineStr">
        <is>
          <t>2002-11-03</t>
        </is>
      </c>
      <c r="Y521" t="inlineStr">
        <is>
          <t>1990-06-06</t>
        </is>
      </c>
      <c r="Z521" t="inlineStr">
        <is>
          <t>1990-06-06</t>
        </is>
      </c>
      <c r="AA521" t="n">
        <v>624</v>
      </c>
      <c r="AB521" t="n">
        <v>413</v>
      </c>
      <c r="AC521" t="n">
        <v>419</v>
      </c>
      <c r="AD521" t="n">
        <v>4</v>
      </c>
      <c r="AE521" t="n">
        <v>4</v>
      </c>
      <c r="AF521" t="n">
        <v>20</v>
      </c>
      <c r="AG521" t="n">
        <v>20</v>
      </c>
      <c r="AH521" t="n">
        <v>6</v>
      </c>
      <c r="AI521" t="n">
        <v>6</v>
      </c>
      <c r="AJ521" t="n">
        <v>5</v>
      </c>
      <c r="AK521" t="n">
        <v>5</v>
      </c>
      <c r="AL521" t="n">
        <v>10</v>
      </c>
      <c r="AM521" t="n">
        <v>10</v>
      </c>
      <c r="AN521" t="n">
        <v>3</v>
      </c>
      <c r="AO521" t="n">
        <v>3</v>
      </c>
      <c r="AP521" t="n">
        <v>0</v>
      </c>
      <c r="AQ521" t="n">
        <v>0</v>
      </c>
      <c r="AR521" t="inlineStr">
        <is>
          <t>No</t>
        </is>
      </c>
      <c r="AS521" t="inlineStr">
        <is>
          <t>Yes</t>
        </is>
      </c>
      <c r="AT521">
        <f>HYPERLINK("http://catalog.hathitrust.org/Record/000759849","HathiTrust Record")</f>
        <v/>
      </c>
      <c r="AU521">
        <f>HYPERLINK("https://creighton-primo.hosted.exlibrisgroup.com/primo-explore/search?tab=default_tab&amp;search_scope=EVERYTHING&amp;vid=01CRU&amp;lang=en_US&amp;offset=0&amp;query=any,contains,991004858859702656","Catalog Record")</f>
        <v/>
      </c>
      <c r="AV521">
        <f>HYPERLINK("http://www.worldcat.org/oclc/5677983","WorldCat Record")</f>
        <v/>
      </c>
      <c r="AW521" t="inlineStr">
        <is>
          <t>445176:eng</t>
        </is>
      </c>
      <c r="AX521" t="inlineStr">
        <is>
          <t>5677983</t>
        </is>
      </c>
      <c r="AY521" t="inlineStr">
        <is>
          <t>991004858859702656</t>
        </is>
      </c>
      <c r="AZ521" t="inlineStr">
        <is>
          <t>991004858859702656</t>
        </is>
      </c>
      <c r="BA521" t="inlineStr">
        <is>
          <t>2261767220002656</t>
        </is>
      </c>
      <c r="BB521" t="inlineStr">
        <is>
          <t>BOOK</t>
        </is>
      </c>
      <c r="BD521" t="inlineStr">
        <is>
          <t>9780710002457</t>
        </is>
      </c>
      <c r="BE521" t="inlineStr">
        <is>
          <t>32285000182963</t>
        </is>
      </c>
      <c r="BF521" t="inlineStr">
        <is>
          <t>893350451</t>
        </is>
      </c>
    </row>
    <row r="522">
      <c r="A522" t="inlineStr">
        <is>
          <t>No</t>
        </is>
      </c>
      <c r="B522" t="inlineStr">
        <is>
          <t>CURAL</t>
        </is>
      </c>
      <c r="C522" t="inlineStr">
        <is>
          <t>SHELVES</t>
        </is>
      </c>
      <c r="D522" t="inlineStr">
        <is>
          <t>PR2674 .Z8 1972</t>
        </is>
      </c>
      <c r="E522" t="inlineStr">
        <is>
          <t>0                      PR 2674000Z  8           1972</t>
        </is>
      </c>
      <c r="F522" t="inlineStr">
        <is>
          <t>Stage and image in the plays of Christopher Marlowe.</t>
        </is>
      </c>
      <c r="H522" t="inlineStr">
        <is>
          <t>No</t>
        </is>
      </c>
      <c r="I522" t="inlineStr">
        <is>
          <t>1</t>
        </is>
      </c>
      <c r="J522" t="inlineStr">
        <is>
          <t>No</t>
        </is>
      </c>
      <c r="K522" t="inlineStr">
        <is>
          <t>No</t>
        </is>
      </c>
      <c r="L522" t="inlineStr">
        <is>
          <t>0</t>
        </is>
      </c>
      <c r="M522" t="inlineStr">
        <is>
          <t>Zucker, David Hard.</t>
        </is>
      </c>
      <c r="N522" t="inlineStr">
        <is>
          <t>Salzburg : Inst. f. Engl. Sprache u. Literatur, Univ. Salzburg, 1972.</t>
        </is>
      </c>
      <c r="O522" t="inlineStr">
        <is>
          <t>1972</t>
        </is>
      </c>
      <c r="Q522" t="inlineStr">
        <is>
          <t>eng</t>
        </is>
      </c>
      <c r="R522" t="inlineStr">
        <is>
          <t xml:space="preserve">au </t>
        </is>
      </c>
      <c r="S522" t="inlineStr">
        <is>
          <t>Salzburg studies in English literature. Elizabethan studies, 7</t>
        </is>
      </c>
      <c r="T522" t="inlineStr">
        <is>
          <t xml:space="preserve">PR </t>
        </is>
      </c>
      <c r="U522" t="n">
        <v>7</v>
      </c>
      <c r="V522" t="n">
        <v>7</v>
      </c>
      <c r="W522" t="inlineStr">
        <is>
          <t>2002-11-03</t>
        </is>
      </c>
      <c r="X522" t="inlineStr">
        <is>
          <t>2002-11-03</t>
        </is>
      </c>
      <c r="Y522" t="inlineStr">
        <is>
          <t>1992-04-22</t>
        </is>
      </c>
      <c r="Z522" t="inlineStr">
        <is>
          <t>1992-04-22</t>
        </is>
      </c>
      <c r="AA522" t="n">
        <v>311</v>
      </c>
      <c r="AB522" t="n">
        <v>237</v>
      </c>
      <c r="AC522" t="n">
        <v>243</v>
      </c>
      <c r="AD522" t="n">
        <v>2</v>
      </c>
      <c r="AE522" t="n">
        <v>2</v>
      </c>
      <c r="AF522" t="n">
        <v>9</v>
      </c>
      <c r="AG522" t="n">
        <v>9</v>
      </c>
      <c r="AH522" t="n">
        <v>3</v>
      </c>
      <c r="AI522" t="n">
        <v>3</v>
      </c>
      <c r="AJ522" t="n">
        <v>3</v>
      </c>
      <c r="AK522" t="n">
        <v>3</v>
      </c>
      <c r="AL522" t="n">
        <v>6</v>
      </c>
      <c r="AM522" t="n">
        <v>6</v>
      </c>
      <c r="AN522" t="n">
        <v>1</v>
      </c>
      <c r="AO522" t="n">
        <v>1</v>
      </c>
      <c r="AP522" t="n">
        <v>0</v>
      </c>
      <c r="AQ522" t="n">
        <v>0</v>
      </c>
      <c r="AR522" t="inlineStr">
        <is>
          <t>No</t>
        </is>
      </c>
      <c r="AS522" t="inlineStr">
        <is>
          <t>No</t>
        </is>
      </c>
      <c r="AU522">
        <f>HYPERLINK("https://creighton-primo.hosted.exlibrisgroup.com/primo-explore/search?tab=default_tab&amp;search_scope=EVERYTHING&amp;vid=01CRU&amp;lang=en_US&amp;offset=0&amp;query=any,contains,991003136269702656","Catalog Record")</f>
        <v/>
      </c>
      <c r="AV522">
        <f>HYPERLINK("http://www.worldcat.org/oclc/678009","WorldCat Record")</f>
        <v/>
      </c>
      <c r="AW522" t="inlineStr">
        <is>
          <t>10279275146:eng</t>
        </is>
      </c>
      <c r="AX522" t="inlineStr">
        <is>
          <t>678009</t>
        </is>
      </c>
      <c r="AY522" t="inlineStr">
        <is>
          <t>991003136269702656</t>
        </is>
      </c>
      <c r="AZ522" t="inlineStr">
        <is>
          <t>991003136269702656</t>
        </is>
      </c>
      <c r="BA522" t="inlineStr">
        <is>
          <t>2271356300002656</t>
        </is>
      </c>
      <c r="BB522" t="inlineStr">
        <is>
          <t>BOOK</t>
        </is>
      </c>
      <c r="BE522" t="inlineStr">
        <is>
          <t>32285001085884</t>
        </is>
      </c>
      <c r="BF522" t="inlineStr">
        <is>
          <t>893893412</t>
        </is>
      </c>
    </row>
    <row r="523">
      <c r="A523" t="inlineStr">
        <is>
          <t>No</t>
        </is>
      </c>
      <c r="B523" t="inlineStr">
        <is>
          <t>CURAL</t>
        </is>
      </c>
      <c r="C523" t="inlineStr">
        <is>
          <t>SHELVES</t>
        </is>
      </c>
      <c r="D523" t="inlineStr">
        <is>
          <t>PR2696 .C3</t>
        </is>
      </c>
      <c r="E523" t="inlineStr">
        <is>
          <t>0                      PR 2696000C  3</t>
        </is>
      </c>
      <c r="F523" t="inlineStr">
        <is>
          <t>John Marston, satirist.</t>
        </is>
      </c>
      <c r="H523" t="inlineStr">
        <is>
          <t>No</t>
        </is>
      </c>
      <c r="I523" t="inlineStr">
        <is>
          <t>1</t>
        </is>
      </c>
      <c r="J523" t="inlineStr">
        <is>
          <t>No</t>
        </is>
      </c>
      <c r="K523" t="inlineStr">
        <is>
          <t>No</t>
        </is>
      </c>
      <c r="L523" t="inlineStr">
        <is>
          <t>0</t>
        </is>
      </c>
      <c r="M523" t="inlineStr">
        <is>
          <t>Caputi, Anthony, 1924-2008.</t>
        </is>
      </c>
      <c r="N523" t="inlineStr">
        <is>
          <t>Ithaca, N.Y., Cornell University Press [1961]</t>
        </is>
      </c>
      <c r="O523" t="inlineStr">
        <is>
          <t>1961</t>
        </is>
      </c>
      <c r="Q523" t="inlineStr">
        <is>
          <t>eng</t>
        </is>
      </c>
      <c r="R523" t="inlineStr">
        <is>
          <t>nyu</t>
        </is>
      </c>
      <c r="T523" t="inlineStr">
        <is>
          <t xml:space="preserve">PR </t>
        </is>
      </c>
      <c r="U523" t="n">
        <v>0</v>
      </c>
      <c r="V523" t="n">
        <v>0</v>
      </c>
      <c r="W523" t="inlineStr">
        <is>
          <t>2002-01-10</t>
        </is>
      </c>
      <c r="X523" t="inlineStr">
        <is>
          <t>2002-01-10</t>
        </is>
      </c>
      <c r="Y523" t="inlineStr">
        <is>
          <t>1997-07-30</t>
        </is>
      </c>
      <c r="Z523" t="inlineStr">
        <is>
          <t>1997-07-30</t>
        </is>
      </c>
      <c r="AA523" t="n">
        <v>503</v>
      </c>
      <c r="AB523" t="n">
        <v>388</v>
      </c>
      <c r="AC523" t="n">
        <v>490</v>
      </c>
      <c r="AD523" t="n">
        <v>3</v>
      </c>
      <c r="AE523" t="n">
        <v>3</v>
      </c>
      <c r="AF523" t="n">
        <v>30</v>
      </c>
      <c r="AG523" t="n">
        <v>33</v>
      </c>
      <c r="AH523" t="n">
        <v>13</v>
      </c>
      <c r="AI523" t="n">
        <v>15</v>
      </c>
      <c r="AJ523" t="n">
        <v>6</v>
      </c>
      <c r="AK523" t="n">
        <v>7</v>
      </c>
      <c r="AL523" t="n">
        <v>16</v>
      </c>
      <c r="AM523" t="n">
        <v>18</v>
      </c>
      <c r="AN523" t="n">
        <v>2</v>
      </c>
      <c r="AO523" t="n">
        <v>2</v>
      </c>
      <c r="AP523" t="n">
        <v>0</v>
      </c>
      <c r="AQ523" t="n">
        <v>0</v>
      </c>
      <c r="AR523" t="inlineStr">
        <is>
          <t>No</t>
        </is>
      </c>
      <c r="AS523" t="inlineStr">
        <is>
          <t>Yes</t>
        </is>
      </c>
      <c r="AT523">
        <f>HYPERLINK("http://catalog.hathitrust.org/Record/001017581","HathiTrust Record")</f>
        <v/>
      </c>
      <c r="AU523">
        <f>HYPERLINK("https://creighton-primo.hosted.exlibrisgroup.com/primo-explore/search?tab=default_tab&amp;search_scope=EVERYTHING&amp;vid=01CRU&amp;lang=en_US&amp;offset=0&amp;query=any,contains,991002449119702656","Catalog Record")</f>
        <v/>
      </c>
      <c r="AV523">
        <f>HYPERLINK("http://www.worldcat.org/oclc/352505","WorldCat Record")</f>
        <v/>
      </c>
      <c r="AW523" t="inlineStr">
        <is>
          <t>451103:eng</t>
        </is>
      </c>
      <c r="AX523" t="inlineStr">
        <is>
          <t>352505</t>
        </is>
      </c>
      <c r="AY523" t="inlineStr">
        <is>
          <t>991002449119702656</t>
        </is>
      </c>
      <c r="AZ523" t="inlineStr">
        <is>
          <t>991002449119702656</t>
        </is>
      </c>
      <c r="BA523" t="inlineStr">
        <is>
          <t>2265214280002656</t>
        </is>
      </c>
      <c r="BB523" t="inlineStr">
        <is>
          <t>BOOK</t>
        </is>
      </c>
      <c r="BE523" t="inlineStr">
        <is>
          <t>32285002994316</t>
        </is>
      </c>
      <c r="BF523" t="inlineStr">
        <is>
          <t>893786153</t>
        </is>
      </c>
    </row>
    <row r="524">
      <c r="A524" t="inlineStr">
        <is>
          <t>No</t>
        </is>
      </c>
      <c r="B524" t="inlineStr">
        <is>
          <t>CURAL</t>
        </is>
      </c>
      <c r="C524" t="inlineStr">
        <is>
          <t>SHELVES</t>
        </is>
      </c>
      <c r="D524" t="inlineStr">
        <is>
          <t>PR2707 .A35 1987</t>
        </is>
      </c>
      <c r="E524" t="inlineStr">
        <is>
          <t>0                      PR 2707000A  35          1987</t>
        </is>
      </c>
      <c r="F524" t="inlineStr">
        <is>
          <t>Philip Massinger / by Doris Adler.</t>
        </is>
      </c>
      <c r="H524" t="inlineStr">
        <is>
          <t>No</t>
        </is>
      </c>
      <c r="I524" t="inlineStr">
        <is>
          <t>1</t>
        </is>
      </c>
      <c r="J524" t="inlineStr">
        <is>
          <t>No</t>
        </is>
      </c>
      <c r="K524" t="inlineStr">
        <is>
          <t>No</t>
        </is>
      </c>
      <c r="L524" t="inlineStr">
        <is>
          <t>0</t>
        </is>
      </c>
      <c r="M524" t="inlineStr">
        <is>
          <t>Adler, Doris Ray.</t>
        </is>
      </c>
      <c r="N524" t="inlineStr">
        <is>
          <t>Boston : Twayne Publishers, c1987.</t>
        </is>
      </c>
      <c r="O524" t="inlineStr">
        <is>
          <t>1987</t>
        </is>
      </c>
      <c r="Q524" t="inlineStr">
        <is>
          <t>eng</t>
        </is>
      </c>
      <c r="R524" t="inlineStr">
        <is>
          <t>mau</t>
        </is>
      </c>
      <c r="S524" t="inlineStr">
        <is>
          <t>Twayne's English authors series ; TEAS 435</t>
        </is>
      </c>
      <c r="T524" t="inlineStr">
        <is>
          <t xml:space="preserve">PR </t>
        </is>
      </c>
      <c r="U524" t="n">
        <v>5</v>
      </c>
      <c r="V524" t="n">
        <v>5</v>
      </c>
      <c r="W524" t="inlineStr">
        <is>
          <t>1996-05-02</t>
        </is>
      </c>
      <c r="X524" t="inlineStr">
        <is>
          <t>1996-05-02</t>
        </is>
      </c>
      <c r="Y524" t="inlineStr">
        <is>
          <t>1991-10-17</t>
        </is>
      </c>
      <c r="Z524" t="inlineStr">
        <is>
          <t>1991-10-17</t>
        </is>
      </c>
      <c r="AA524" t="n">
        <v>506</v>
      </c>
      <c r="AB524" t="n">
        <v>427</v>
      </c>
      <c r="AC524" t="n">
        <v>433</v>
      </c>
      <c r="AD524" t="n">
        <v>5</v>
      </c>
      <c r="AE524" t="n">
        <v>5</v>
      </c>
      <c r="AF524" t="n">
        <v>24</v>
      </c>
      <c r="AG524" t="n">
        <v>24</v>
      </c>
      <c r="AH524" t="n">
        <v>7</v>
      </c>
      <c r="AI524" t="n">
        <v>7</v>
      </c>
      <c r="AJ524" t="n">
        <v>5</v>
      </c>
      <c r="AK524" t="n">
        <v>5</v>
      </c>
      <c r="AL524" t="n">
        <v>15</v>
      </c>
      <c r="AM524" t="n">
        <v>15</v>
      </c>
      <c r="AN524" t="n">
        <v>4</v>
      </c>
      <c r="AO524" t="n">
        <v>4</v>
      </c>
      <c r="AP524" t="n">
        <v>0</v>
      </c>
      <c r="AQ524" t="n">
        <v>0</v>
      </c>
      <c r="AR524" t="inlineStr">
        <is>
          <t>No</t>
        </is>
      </c>
      <c r="AS524" t="inlineStr">
        <is>
          <t>Yes</t>
        </is>
      </c>
      <c r="AT524">
        <f>HYPERLINK("http://catalog.hathitrust.org/Record/000819562","HathiTrust Record")</f>
        <v/>
      </c>
      <c r="AU524">
        <f>HYPERLINK("https://creighton-primo.hosted.exlibrisgroup.com/primo-explore/search?tab=default_tab&amp;search_scope=EVERYTHING&amp;vid=01CRU&amp;lang=en_US&amp;offset=0&amp;query=any,contains,991000906429702656","Catalog Record")</f>
        <v/>
      </c>
      <c r="AV524">
        <f>HYPERLINK("http://www.worldcat.org/oclc/14098634","WorldCat Record")</f>
        <v/>
      </c>
      <c r="AW524" t="inlineStr">
        <is>
          <t>2564877208:eng</t>
        </is>
      </c>
      <c r="AX524" t="inlineStr">
        <is>
          <t>14098634</t>
        </is>
      </c>
      <c r="AY524" t="inlineStr">
        <is>
          <t>991000906429702656</t>
        </is>
      </c>
      <c r="AZ524" t="inlineStr">
        <is>
          <t>991000906429702656</t>
        </is>
      </c>
      <c r="BA524" t="inlineStr">
        <is>
          <t>2264509140002656</t>
        </is>
      </c>
      <c r="BB524" t="inlineStr">
        <is>
          <t>BOOK</t>
        </is>
      </c>
      <c r="BD524" t="inlineStr">
        <is>
          <t>9780805769340</t>
        </is>
      </c>
      <c r="BE524" t="inlineStr">
        <is>
          <t>32285000774249</t>
        </is>
      </c>
      <c r="BF524" t="inlineStr">
        <is>
          <t>893808866</t>
        </is>
      </c>
    </row>
    <row r="525">
      <c r="A525" t="inlineStr">
        <is>
          <t>No</t>
        </is>
      </c>
      <c r="B525" t="inlineStr">
        <is>
          <t>CURAL</t>
        </is>
      </c>
      <c r="C525" t="inlineStr">
        <is>
          <t>SHELVES</t>
        </is>
      </c>
      <c r="D525" t="inlineStr">
        <is>
          <t>PR2707 .P5 1985</t>
        </is>
      </c>
      <c r="E525" t="inlineStr">
        <is>
          <t>0                      PR 2707000P  5           1985</t>
        </is>
      </c>
      <c r="F525" t="inlineStr">
        <is>
          <t>Philip Massinger : a critical reassessment / edited by Douglas Howard.</t>
        </is>
      </c>
      <c r="H525" t="inlineStr">
        <is>
          <t>No</t>
        </is>
      </c>
      <c r="I525" t="inlineStr">
        <is>
          <t>1</t>
        </is>
      </c>
      <c r="J525" t="inlineStr">
        <is>
          <t>No</t>
        </is>
      </c>
      <c r="K525" t="inlineStr">
        <is>
          <t>No</t>
        </is>
      </c>
      <c r="L525" t="inlineStr">
        <is>
          <t>0</t>
        </is>
      </c>
      <c r="N525" t="inlineStr">
        <is>
          <t>Cambridge [Cambridgeshire] : Cambridge University Press, 1985.</t>
        </is>
      </c>
      <c r="O525" t="inlineStr">
        <is>
          <t>1985</t>
        </is>
      </c>
      <c r="Q525" t="inlineStr">
        <is>
          <t>eng</t>
        </is>
      </c>
      <c r="R525" t="inlineStr">
        <is>
          <t>enk</t>
        </is>
      </c>
      <c r="T525" t="inlineStr">
        <is>
          <t xml:space="preserve">PR </t>
        </is>
      </c>
      <c r="U525" t="n">
        <v>5</v>
      </c>
      <c r="V525" t="n">
        <v>5</v>
      </c>
      <c r="W525" t="inlineStr">
        <is>
          <t>1996-05-02</t>
        </is>
      </c>
      <c r="X525" t="inlineStr">
        <is>
          <t>1996-05-02</t>
        </is>
      </c>
      <c r="Y525" t="inlineStr">
        <is>
          <t>1991-10-17</t>
        </is>
      </c>
      <c r="Z525" t="inlineStr">
        <is>
          <t>1991-10-17</t>
        </is>
      </c>
      <c r="AA525" t="n">
        <v>460</v>
      </c>
      <c r="AB525" t="n">
        <v>344</v>
      </c>
      <c r="AC525" t="n">
        <v>350</v>
      </c>
      <c r="AD525" t="n">
        <v>4</v>
      </c>
      <c r="AE525" t="n">
        <v>4</v>
      </c>
      <c r="AF525" t="n">
        <v>16</v>
      </c>
      <c r="AG525" t="n">
        <v>16</v>
      </c>
      <c r="AH525" t="n">
        <v>3</v>
      </c>
      <c r="AI525" t="n">
        <v>3</v>
      </c>
      <c r="AJ525" t="n">
        <v>6</v>
      </c>
      <c r="AK525" t="n">
        <v>6</v>
      </c>
      <c r="AL525" t="n">
        <v>8</v>
      </c>
      <c r="AM525" t="n">
        <v>8</v>
      </c>
      <c r="AN525" t="n">
        <v>3</v>
      </c>
      <c r="AO525" t="n">
        <v>3</v>
      </c>
      <c r="AP525" t="n">
        <v>0</v>
      </c>
      <c r="AQ525" t="n">
        <v>0</v>
      </c>
      <c r="AR525" t="inlineStr">
        <is>
          <t>No</t>
        </is>
      </c>
      <c r="AS525" t="inlineStr">
        <is>
          <t>No</t>
        </is>
      </c>
      <c r="AU525">
        <f>HYPERLINK("https://creighton-primo.hosted.exlibrisgroup.com/primo-explore/search?tab=default_tab&amp;search_scope=EVERYTHING&amp;vid=01CRU&amp;lang=en_US&amp;offset=0&amp;query=any,contains,991000505529702656","Catalog Record")</f>
        <v/>
      </c>
      <c r="AV525">
        <f>HYPERLINK("http://www.worldcat.org/oclc/11210768","WorldCat Record")</f>
        <v/>
      </c>
      <c r="AW525" t="inlineStr">
        <is>
          <t>836679484:eng</t>
        </is>
      </c>
      <c r="AX525" t="inlineStr">
        <is>
          <t>11210768</t>
        </is>
      </c>
      <c r="AY525" t="inlineStr">
        <is>
          <t>991000505529702656</t>
        </is>
      </c>
      <c r="AZ525" t="inlineStr">
        <is>
          <t>991000505529702656</t>
        </is>
      </c>
      <c r="BA525" t="inlineStr">
        <is>
          <t>2256594370002656</t>
        </is>
      </c>
      <c r="BB525" t="inlineStr">
        <is>
          <t>BOOK</t>
        </is>
      </c>
      <c r="BD525" t="inlineStr">
        <is>
          <t>9780521258951</t>
        </is>
      </c>
      <c r="BE525" t="inlineStr">
        <is>
          <t>32285000774256</t>
        </is>
      </c>
      <c r="BF525" t="inlineStr">
        <is>
          <t>893771691</t>
        </is>
      </c>
    </row>
    <row r="526">
      <c r="A526" t="inlineStr">
        <is>
          <t>No</t>
        </is>
      </c>
      <c r="B526" t="inlineStr">
        <is>
          <t>CURAL</t>
        </is>
      </c>
      <c r="C526" t="inlineStr">
        <is>
          <t>SHELVES</t>
        </is>
      </c>
      <c r="D526" t="inlineStr">
        <is>
          <t>PR2718.P87 H44</t>
        </is>
      </c>
      <c r="E526" t="inlineStr">
        <is>
          <t>0                      PR 2718000P  87                 H  44</t>
        </is>
      </c>
      <c r="F526" t="inlineStr">
        <is>
          <t>Puritanism and theatre : Thomas Middleton and opposition drama under the early Stuarts / Margot Heinemann.</t>
        </is>
      </c>
      <c r="H526" t="inlineStr">
        <is>
          <t>No</t>
        </is>
      </c>
      <c r="I526" t="inlineStr">
        <is>
          <t>1</t>
        </is>
      </c>
      <c r="J526" t="inlineStr">
        <is>
          <t>No</t>
        </is>
      </c>
      <c r="K526" t="inlineStr">
        <is>
          <t>No</t>
        </is>
      </c>
      <c r="L526" t="inlineStr">
        <is>
          <t>0</t>
        </is>
      </c>
      <c r="M526" t="inlineStr">
        <is>
          <t>Heinemann, Margot.</t>
        </is>
      </c>
      <c r="N526" t="inlineStr">
        <is>
          <t>Cambridge ; New York : Cambridge University Press, 1980.</t>
        </is>
      </c>
      <c r="O526" t="inlineStr">
        <is>
          <t>1980</t>
        </is>
      </c>
      <c r="Q526" t="inlineStr">
        <is>
          <t>eng</t>
        </is>
      </c>
      <c r="R526" t="inlineStr">
        <is>
          <t>enk</t>
        </is>
      </c>
      <c r="S526" t="inlineStr">
        <is>
          <t>Past and present publications</t>
        </is>
      </c>
      <c r="T526" t="inlineStr">
        <is>
          <t xml:space="preserve">PR </t>
        </is>
      </c>
      <c r="U526" t="n">
        <v>3</v>
      </c>
      <c r="V526" t="n">
        <v>3</v>
      </c>
      <c r="W526" t="inlineStr">
        <is>
          <t>2005-11-06</t>
        </is>
      </c>
      <c r="X526" t="inlineStr">
        <is>
          <t>2005-11-06</t>
        </is>
      </c>
      <c r="Y526" t="inlineStr">
        <is>
          <t>1991-10-17</t>
        </is>
      </c>
      <c r="Z526" t="inlineStr">
        <is>
          <t>1991-10-17</t>
        </is>
      </c>
      <c r="AA526" t="n">
        <v>662</v>
      </c>
      <c r="AB526" t="n">
        <v>460</v>
      </c>
      <c r="AC526" t="n">
        <v>491</v>
      </c>
      <c r="AD526" t="n">
        <v>3</v>
      </c>
      <c r="AE526" t="n">
        <v>3</v>
      </c>
      <c r="AF526" t="n">
        <v>27</v>
      </c>
      <c r="AG526" t="n">
        <v>29</v>
      </c>
      <c r="AH526" t="n">
        <v>9</v>
      </c>
      <c r="AI526" t="n">
        <v>11</v>
      </c>
      <c r="AJ526" t="n">
        <v>8</v>
      </c>
      <c r="AK526" t="n">
        <v>8</v>
      </c>
      <c r="AL526" t="n">
        <v>16</v>
      </c>
      <c r="AM526" t="n">
        <v>17</v>
      </c>
      <c r="AN526" t="n">
        <v>2</v>
      </c>
      <c r="AO526" t="n">
        <v>2</v>
      </c>
      <c r="AP526" t="n">
        <v>0</v>
      </c>
      <c r="AQ526" t="n">
        <v>0</v>
      </c>
      <c r="AR526" t="inlineStr">
        <is>
          <t>No</t>
        </is>
      </c>
      <c r="AS526" t="inlineStr">
        <is>
          <t>No</t>
        </is>
      </c>
      <c r="AU526">
        <f>HYPERLINK("https://creighton-primo.hosted.exlibrisgroup.com/primo-explore/search?tab=default_tab&amp;search_scope=EVERYTHING&amp;vid=01CRU&amp;lang=en_US&amp;offset=0&amp;query=any,contains,991004766679702656","Catalog Record")</f>
        <v/>
      </c>
      <c r="AV526">
        <f>HYPERLINK("http://www.worldcat.org/oclc/5029633","WorldCat Record")</f>
        <v/>
      </c>
      <c r="AW526" t="inlineStr">
        <is>
          <t>809013530:eng</t>
        </is>
      </c>
      <c r="AX526" t="inlineStr">
        <is>
          <t>5029633</t>
        </is>
      </c>
      <c r="AY526" t="inlineStr">
        <is>
          <t>991004766679702656</t>
        </is>
      </c>
      <c r="AZ526" t="inlineStr">
        <is>
          <t>991004766679702656</t>
        </is>
      </c>
      <c r="BA526" t="inlineStr">
        <is>
          <t>2271576810002656</t>
        </is>
      </c>
      <c r="BB526" t="inlineStr">
        <is>
          <t>BOOK</t>
        </is>
      </c>
      <c r="BD526" t="inlineStr">
        <is>
          <t>9780521226028</t>
        </is>
      </c>
      <c r="BE526" t="inlineStr">
        <is>
          <t>32285000774306</t>
        </is>
      </c>
      <c r="BF526" t="inlineStr">
        <is>
          <t>893443025</t>
        </is>
      </c>
    </row>
    <row r="527">
      <c r="A527" t="inlineStr">
        <is>
          <t>No</t>
        </is>
      </c>
      <c r="B527" t="inlineStr">
        <is>
          <t>CURAL</t>
        </is>
      </c>
      <c r="C527" t="inlineStr">
        <is>
          <t>SHELVES</t>
        </is>
      </c>
      <c r="D527" t="inlineStr">
        <is>
          <t>PR275.A47 S25 2001</t>
        </is>
      </c>
      <c r="E527" t="inlineStr">
        <is>
          <t>0                      PR 0275000A  47                 S  25          2001</t>
        </is>
      </c>
      <c r="F527" t="inlineStr">
        <is>
          <t>Holy and noble beasts : encounters with animals in medieval literature / David Salter.</t>
        </is>
      </c>
      <c r="H527" t="inlineStr">
        <is>
          <t>No</t>
        </is>
      </c>
      <c r="I527" t="inlineStr">
        <is>
          <t>1</t>
        </is>
      </c>
      <c r="J527" t="inlineStr">
        <is>
          <t>No</t>
        </is>
      </c>
      <c r="K527" t="inlineStr">
        <is>
          <t>No</t>
        </is>
      </c>
      <c r="L527" t="inlineStr">
        <is>
          <t>0</t>
        </is>
      </c>
      <c r="M527" t="inlineStr">
        <is>
          <t>Salter, David, 1969-</t>
        </is>
      </c>
      <c r="N527" t="inlineStr">
        <is>
          <t>Woodbridge, Suffolk, UK ; Rochester, NY : D.S. Brewer, 2001.</t>
        </is>
      </c>
      <c r="O527" t="inlineStr">
        <is>
          <t>2001</t>
        </is>
      </c>
      <c r="Q527" t="inlineStr">
        <is>
          <t>eng</t>
        </is>
      </c>
      <c r="R527" t="inlineStr">
        <is>
          <t>xxk</t>
        </is>
      </c>
      <c r="T527" t="inlineStr">
        <is>
          <t xml:space="preserve">PR </t>
        </is>
      </c>
      <c r="U527" t="n">
        <v>1</v>
      </c>
      <c r="V527" t="n">
        <v>1</v>
      </c>
      <c r="W527" t="inlineStr">
        <is>
          <t>2003-10-15</t>
        </is>
      </c>
      <c r="X527" t="inlineStr">
        <is>
          <t>2003-10-15</t>
        </is>
      </c>
      <c r="Y527" t="inlineStr">
        <is>
          <t>2003-10-15</t>
        </is>
      </c>
      <c r="Z527" t="inlineStr">
        <is>
          <t>2003-10-15</t>
        </is>
      </c>
      <c r="AA527" t="n">
        <v>234</v>
      </c>
      <c r="AB527" t="n">
        <v>159</v>
      </c>
      <c r="AC527" t="n">
        <v>161</v>
      </c>
      <c r="AD527" t="n">
        <v>2</v>
      </c>
      <c r="AE527" t="n">
        <v>2</v>
      </c>
      <c r="AF527" t="n">
        <v>11</v>
      </c>
      <c r="AG527" t="n">
        <v>11</v>
      </c>
      <c r="AH527" t="n">
        <v>3</v>
      </c>
      <c r="AI527" t="n">
        <v>3</v>
      </c>
      <c r="AJ527" t="n">
        <v>5</v>
      </c>
      <c r="AK527" t="n">
        <v>5</v>
      </c>
      <c r="AL527" t="n">
        <v>5</v>
      </c>
      <c r="AM527" t="n">
        <v>5</v>
      </c>
      <c r="AN527" t="n">
        <v>1</v>
      </c>
      <c r="AO527" t="n">
        <v>1</v>
      </c>
      <c r="AP527" t="n">
        <v>0</v>
      </c>
      <c r="AQ527" t="n">
        <v>0</v>
      </c>
      <c r="AR527" t="inlineStr">
        <is>
          <t>No</t>
        </is>
      </c>
      <c r="AS527" t="inlineStr">
        <is>
          <t>Yes</t>
        </is>
      </c>
      <c r="AT527">
        <f>HYPERLINK("http://catalog.hathitrust.org/Record/004219980","HathiTrust Record")</f>
        <v/>
      </c>
      <c r="AU527">
        <f>HYPERLINK("https://creighton-primo.hosted.exlibrisgroup.com/primo-explore/search?tab=default_tab&amp;search_scope=EVERYTHING&amp;vid=01CRU&amp;lang=en_US&amp;offset=0&amp;query=any,contains,991004153569702656","Catalog Record")</f>
        <v/>
      </c>
      <c r="AV527">
        <f>HYPERLINK("http://www.worldcat.org/oclc/46732382","WorldCat Record")</f>
        <v/>
      </c>
      <c r="AW527" t="inlineStr">
        <is>
          <t>784443540:eng</t>
        </is>
      </c>
      <c r="AX527" t="inlineStr">
        <is>
          <t>46732382</t>
        </is>
      </c>
      <c r="AY527" t="inlineStr">
        <is>
          <t>991004153569702656</t>
        </is>
      </c>
      <c r="AZ527" t="inlineStr">
        <is>
          <t>991004153569702656</t>
        </is>
      </c>
      <c r="BA527" t="inlineStr">
        <is>
          <t>2263507240002656</t>
        </is>
      </c>
      <c r="BB527" t="inlineStr">
        <is>
          <t>BOOK</t>
        </is>
      </c>
      <c r="BD527" t="inlineStr">
        <is>
          <t>9780859916240</t>
        </is>
      </c>
      <c r="BE527" t="inlineStr">
        <is>
          <t>32285004788690</t>
        </is>
      </c>
      <c r="BF527" t="inlineStr">
        <is>
          <t>893611982</t>
        </is>
      </c>
    </row>
    <row r="528">
      <c r="A528" t="inlineStr">
        <is>
          <t>No</t>
        </is>
      </c>
      <c r="B528" t="inlineStr">
        <is>
          <t>CURAL</t>
        </is>
      </c>
      <c r="C528" t="inlineStr">
        <is>
          <t>SHELVES</t>
        </is>
      </c>
      <c r="D528" t="inlineStr">
        <is>
          <t>PR275.D53 C6 1981</t>
        </is>
      </c>
      <c r="E528" t="inlineStr">
        <is>
          <t>0                      PR 0275000D  53                 C  6           1981</t>
        </is>
      </c>
      <c r="F528" t="inlineStr">
        <is>
          <t>Medieval readers and writers, 1350-1400 / Janet Coleman.</t>
        </is>
      </c>
      <c r="H528" t="inlineStr">
        <is>
          <t>No</t>
        </is>
      </c>
      <c r="I528" t="inlineStr">
        <is>
          <t>1</t>
        </is>
      </c>
      <c r="J528" t="inlineStr">
        <is>
          <t>No</t>
        </is>
      </c>
      <c r="K528" t="inlineStr">
        <is>
          <t>No</t>
        </is>
      </c>
      <c r="L528" t="inlineStr">
        <is>
          <t>0</t>
        </is>
      </c>
      <c r="M528" t="inlineStr">
        <is>
          <t>Coleman, Janet.</t>
        </is>
      </c>
      <c r="N528" t="inlineStr">
        <is>
          <t>New York : Columbia University Press, 1981.</t>
        </is>
      </c>
      <c r="O528" t="inlineStr">
        <is>
          <t>1981</t>
        </is>
      </c>
      <c r="Q528" t="inlineStr">
        <is>
          <t>eng</t>
        </is>
      </c>
      <c r="R528" t="inlineStr">
        <is>
          <t>nyu</t>
        </is>
      </c>
      <c r="T528" t="inlineStr">
        <is>
          <t xml:space="preserve">PR </t>
        </is>
      </c>
      <c r="U528" t="n">
        <v>2</v>
      </c>
      <c r="V528" t="n">
        <v>2</v>
      </c>
      <c r="W528" t="inlineStr">
        <is>
          <t>1993-07-21</t>
        </is>
      </c>
      <c r="X528" t="inlineStr">
        <is>
          <t>1993-07-21</t>
        </is>
      </c>
      <c r="Y528" t="inlineStr">
        <is>
          <t>1991-08-28</t>
        </is>
      </c>
      <c r="Z528" t="inlineStr">
        <is>
          <t>1991-08-28</t>
        </is>
      </c>
      <c r="AA528" t="n">
        <v>568</v>
      </c>
      <c r="AB528" t="n">
        <v>502</v>
      </c>
      <c r="AC528" t="n">
        <v>667</v>
      </c>
      <c r="AD528" t="n">
        <v>6</v>
      </c>
      <c r="AE528" t="n">
        <v>7</v>
      </c>
      <c r="AF528" t="n">
        <v>26</v>
      </c>
      <c r="AG528" t="n">
        <v>38</v>
      </c>
      <c r="AH528" t="n">
        <v>9</v>
      </c>
      <c r="AI528" t="n">
        <v>13</v>
      </c>
      <c r="AJ528" t="n">
        <v>6</v>
      </c>
      <c r="AK528" t="n">
        <v>10</v>
      </c>
      <c r="AL528" t="n">
        <v>13</v>
      </c>
      <c r="AM528" t="n">
        <v>18</v>
      </c>
      <c r="AN528" t="n">
        <v>5</v>
      </c>
      <c r="AO528" t="n">
        <v>6</v>
      </c>
      <c r="AP528" t="n">
        <v>0</v>
      </c>
      <c r="AQ528" t="n">
        <v>0</v>
      </c>
      <c r="AR528" t="inlineStr">
        <is>
          <t>No</t>
        </is>
      </c>
      <c r="AS528" t="inlineStr">
        <is>
          <t>Yes</t>
        </is>
      </c>
      <c r="AT528">
        <f>HYPERLINK("http://catalog.hathitrust.org/Record/007475217","HathiTrust Record")</f>
        <v/>
      </c>
      <c r="AU528">
        <f>HYPERLINK("https://creighton-primo.hosted.exlibrisgroup.com/primo-explore/search?tab=default_tab&amp;search_scope=EVERYTHING&amp;vid=01CRU&amp;lang=en_US&amp;offset=0&amp;query=any,contains,991005141589702656","Catalog Record")</f>
        <v/>
      </c>
      <c r="AV528">
        <f>HYPERLINK("http://www.worldcat.org/oclc/7614932","WorldCat Record")</f>
        <v/>
      </c>
      <c r="AW528" t="inlineStr">
        <is>
          <t>420481:eng</t>
        </is>
      </c>
      <c r="AX528" t="inlineStr">
        <is>
          <t>7614932</t>
        </is>
      </c>
      <c r="AY528" t="inlineStr">
        <is>
          <t>991005141589702656</t>
        </is>
      </c>
      <c r="AZ528" t="inlineStr">
        <is>
          <t>991005141589702656</t>
        </is>
      </c>
      <c r="BA528" t="inlineStr">
        <is>
          <t>2264101020002656</t>
        </is>
      </c>
      <c r="BB528" t="inlineStr">
        <is>
          <t>BOOK</t>
        </is>
      </c>
      <c r="BD528" t="inlineStr">
        <is>
          <t>9780231053648</t>
        </is>
      </c>
      <c r="BE528" t="inlineStr">
        <is>
          <t>32285000730498</t>
        </is>
      </c>
      <c r="BF528" t="inlineStr">
        <is>
          <t>893320096</t>
        </is>
      </c>
    </row>
    <row r="529">
      <c r="A529" t="inlineStr">
        <is>
          <t>No</t>
        </is>
      </c>
      <c r="B529" t="inlineStr">
        <is>
          <t>CURAL</t>
        </is>
      </c>
      <c r="C529" t="inlineStr">
        <is>
          <t>SHELVES</t>
        </is>
      </c>
      <c r="D529" t="inlineStr">
        <is>
          <t>PR275.H83 Y36 2000</t>
        </is>
      </c>
      <c r="E529" t="inlineStr">
        <is>
          <t>0                      PR 0275000H  83                 Y  36          2000</t>
        </is>
      </c>
      <c r="F529" t="inlineStr">
        <is>
          <t>The boundaries of the human in medieval English literature / Dorothy Yamamoto.</t>
        </is>
      </c>
      <c r="H529" t="inlineStr">
        <is>
          <t>No</t>
        </is>
      </c>
      <c r="I529" t="inlineStr">
        <is>
          <t>1</t>
        </is>
      </c>
      <c r="J529" t="inlineStr">
        <is>
          <t>No</t>
        </is>
      </c>
      <c r="K529" t="inlineStr">
        <is>
          <t>No</t>
        </is>
      </c>
      <c r="L529" t="inlineStr">
        <is>
          <t>0</t>
        </is>
      </c>
      <c r="M529" t="inlineStr">
        <is>
          <t>Yamamoto, Dorothy.</t>
        </is>
      </c>
      <c r="N529" t="inlineStr">
        <is>
          <t>Oxford ; New York : Oxford University Press, 2000.</t>
        </is>
      </c>
      <c r="O529" t="inlineStr">
        <is>
          <t>2000</t>
        </is>
      </c>
      <c r="Q529" t="inlineStr">
        <is>
          <t>eng</t>
        </is>
      </c>
      <c r="R529" t="inlineStr">
        <is>
          <t>enk</t>
        </is>
      </c>
      <c r="T529" t="inlineStr">
        <is>
          <t xml:space="preserve">PR </t>
        </is>
      </c>
      <c r="U529" t="n">
        <v>1</v>
      </c>
      <c r="V529" t="n">
        <v>1</v>
      </c>
      <c r="W529" t="inlineStr">
        <is>
          <t>2001-03-14</t>
        </is>
      </c>
      <c r="X529" t="inlineStr">
        <is>
          <t>2001-03-14</t>
        </is>
      </c>
      <c r="Y529" t="inlineStr">
        <is>
          <t>2001-03-14</t>
        </is>
      </c>
      <c r="Z529" t="inlineStr">
        <is>
          <t>2001-03-14</t>
        </is>
      </c>
      <c r="AA529" t="n">
        <v>351</v>
      </c>
      <c r="AB529" t="n">
        <v>265</v>
      </c>
      <c r="AC529" t="n">
        <v>942</v>
      </c>
      <c r="AD529" t="n">
        <v>3</v>
      </c>
      <c r="AE529" t="n">
        <v>4</v>
      </c>
      <c r="AF529" t="n">
        <v>14</v>
      </c>
      <c r="AG529" t="n">
        <v>24</v>
      </c>
      <c r="AH529" t="n">
        <v>5</v>
      </c>
      <c r="AI529" t="n">
        <v>10</v>
      </c>
      <c r="AJ529" t="n">
        <v>3</v>
      </c>
      <c r="AK529" t="n">
        <v>5</v>
      </c>
      <c r="AL529" t="n">
        <v>7</v>
      </c>
      <c r="AM529" t="n">
        <v>10</v>
      </c>
      <c r="AN529" t="n">
        <v>2</v>
      </c>
      <c r="AO529" t="n">
        <v>3</v>
      </c>
      <c r="AP529" t="n">
        <v>0</v>
      </c>
      <c r="AQ529" t="n">
        <v>0</v>
      </c>
      <c r="AR529" t="inlineStr">
        <is>
          <t>No</t>
        </is>
      </c>
      <c r="AS529" t="inlineStr">
        <is>
          <t>No</t>
        </is>
      </c>
      <c r="AU529">
        <f>HYPERLINK("https://creighton-primo.hosted.exlibrisgroup.com/primo-explore/search?tab=default_tab&amp;search_scope=EVERYTHING&amp;vid=01CRU&amp;lang=en_US&amp;offset=0&amp;query=any,contains,991003508749702656","Catalog Record")</f>
        <v/>
      </c>
      <c r="AV529">
        <f>HYPERLINK("http://www.worldcat.org/oclc/59454600","WorldCat Record")</f>
        <v/>
      </c>
      <c r="AW529" t="inlineStr">
        <is>
          <t>988211:eng</t>
        </is>
      </c>
      <c r="AX529" t="inlineStr">
        <is>
          <t>59454600</t>
        </is>
      </c>
      <c r="AY529" t="inlineStr">
        <is>
          <t>991003508749702656</t>
        </is>
      </c>
      <c r="AZ529" t="inlineStr">
        <is>
          <t>991003508749702656</t>
        </is>
      </c>
      <c r="BA529" t="inlineStr">
        <is>
          <t>2256768890002656</t>
        </is>
      </c>
      <c r="BB529" t="inlineStr">
        <is>
          <t>BOOK</t>
        </is>
      </c>
      <c r="BD529" t="inlineStr">
        <is>
          <t>9780198186748</t>
        </is>
      </c>
      <c r="BE529" t="inlineStr">
        <is>
          <t>32285004305354</t>
        </is>
      </c>
      <c r="BF529" t="inlineStr">
        <is>
          <t>893717730</t>
        </is>
      </c>
    </row>
    <row r="530">
      <c r="A530" t="inlineStr">
        <is>
          <t>No</t>
        </is>
      </c>
      <c r="B530" t="inlineStr">
        <is>
          <t>CURAL</t>
        </is>
      </c>
      <c r="C530" t="inlineStr">
        <is>
          <t>SHELVES</t>
        </is>
      </c>
      <c r="D530" t="inlineStr">
        <is>
          <t>PR275.I3 I43 2002</t>
        </is>
      </c>
      <c r="E530" t="inlineStr">
        <is>
          <t>0                      PR 0275000I  3                  I  43          2002</t>
        </is>
      </c>
      <c r="F530" t="inlineStr">
        <is>
          <t>Images, idolatry, and iconoclasm in late Medieval England : textuality and the visual image / edited by Jeremy Dimmick, James Simpson, Nicolette Zeeman.</t>
        </is>
      </c>
      <c r="H530" t="inlineStr">
        <is>
          <t>No</t>
        </is>
      </c>
      <c r="I530" t="inlineStr">
        <is>
          <t>1</t>
        </is>
      </c>
      <c r="J530" t="inlineStr">
        <is>
          <t>No</t>
        </is>
      </c>
      <c r="K530" t="inlineStr">
        <is>
          <t>No</t>
        </is>
      </c>
      <c r="L530" t="inlineStr">
        <is>
          <t>0</t>
        </is>
      </c>
      <c r="N530" t="inlineStr">
        <is>
          <t>Oxford ; New York : Oxford University Press, 2002.</t>
        </is>
      </c>
      <c r="O530" t="inlineStr">
        <is>
          <t>2002</t>
        </is>
      </c>
      <c r="Q530" t="inlineStr">
        <is>
          <t>eng</t>
        </is>
      </c>
      <c r="R530" t="inlineStr">
        <is>
          <t>enk</t>
        </is>
      </c>
      <c r="T530" t="inlineStr">
        <is>
          <t xml:space="preserve">PR </t>
        </is>
      </c>
      <c r="U530" t="n">
        <v>5</v>
      </c>
      <c r="V530" t="n">
        <v>5</v>
      </c>
      <c r="W530" t="inlineStr">
        <is>
          <t>2008-09-08</t>
        </is>
      </c>
      <c r="X530" t="inlineStr">
        <is>
          <t>2008-09-08</t>
        </is>
      </c>
      <c r="Y530" t="inlineStr">
        <is>
          <t>2003-11-13</t>
        </is>
      </c>
      <c r="Z530" t="inlineStr">
        <is>
          <t>2003-11-13</t>
        </is>
      </c>
      <c r="AA530" t="n">
        <v>355</v>
      </c>
      <c r="AB530" t="n">
        <v>257</v>
      </c>
      <c r="AC530" t="n">
        <v>262</v>
      </c>
      <c r="AD530" t="n">
        <v>3</v>
      </c>
      <c r="AE530" t="n">
        <v>3</v>
      </c>
      <c r="AF530" t="n">
        <v>18</v>
      </c>
      <c r="AG530" t="n">
        <v>18</v>
      </c>
      <c r="AH530" t="n">
        <v>7</v>
      </c>
      <c r="AI530" t="n">
        <v>7</v>
      </c>
      <c r="AJ530" t="n">
        <v>4</v>
      </c>
      <c r="AK530" t="n">
        <v>4</v>
      </c>
      <c r="AL530" t="n">
        <v>11</v>
      </c>
      <c r="AM530" t="n">
        <v>11</v>
      </c>
      <c r="AN530" t="n">
        <v>2</v>
      </c>
      <c r="AO530" t="n">
        <v>2</v>
      </c>
      <c r="AP530" t="n">
        <v>0</v>
      </c>
      <c r="AQ530" t="n">
        <v>0</v>
      </c>
      <c r="AR530" t="inlineStr">
        <is>
          <t>No</t>
        </is>
      </c>
      <c r="AS530" t="inlineStr">
        <is>
          <t>No</t>
        </is>
      </c>
      <c r="AU530">
        <f>HYPERLINK("https://creighton-primo.hosted.exlibrisgroup.com/primo-explore/search?tab=default_tab&amp;search_scope=EVERYTHING&amp;vid=01CRU&amp;lang=en_US&amp;offset=0&amp;query=any,contains,991004152219702656","Catalog Record")</f>
        <v/>
      </c>
      <c r="AV530">
        <f>HYPERLINK("http://www.worldcat.org/oclc/48477578","WorldCat Record")</f>
        <v/>
      </c>
      <c r="AW530" t="inlineStr">
        <is>
          <t>1082070989:eng</t>
        </is>
      </c>
      <c r="AX530" t="inlineStr">
        <is>
          <t>48477578</t>
        </is>
      </c>
      <c r="AY530" t="inlineStr">
        <is>
          <t>991004152219702656</t>
        </is>
      </c>
      <c r="AZ530" t="inlineStr">
        <is>
          <t>991004152219702656</t>
        </is>
      </c>
      <c r="BA530" t="inlineStr">
        <is>
          <t>2272585570002656</t>
        </is>
      </c>
      <c r="BB530" t="inlineStr">
        <is>
          <t>BOOK</t>
        </is>
      </c>
      <c r="BD530" t="inlineStr">
        <is>
          <t>9780198187592</t>
        </is>
      </c>
      <c r="BE530" t="inlineStr">
        <is>
          <t>32285004797980</t>
        </is>
      </c>
      <c r="BF530" t="inlineStr">
        <is>
          <t>893888354</t>
        </is>
      </c>
    </row>
    <row r="531">
      <c r="A531" t="inlineStr">
        <is>
          <t>No</t>
        </is>
      </c>
      <c r="B531" t="inlineStr">
        <is>
          <t>CURAL</t>
        </is>
      </c>
      <c r="C531" t="inlineStr">
        <is>
          <t>SHELVES</t>
        </is>
      </c>
      <c r="D531" t="inlineStr">
        <is>
          <t>PR275.L35 L47 2002</t>
        </is>
      </c>
      <c r="E531" t="inlineStr">
        <is>
          <t>0                      PR 0275000L  35                 L  47          2002</t>
        </is>
      </c>
      <c r="F531" t="inlineStr">
        <is>
          <t>The letter of the law : legal practice and literary production in medieval England / edited by Emily Steiner and Candace Barrington.</t>
        </is>
      </c>
      <c r="H531" t="inlineStr">
        <is>
          <t>No</t>
        </is>
      </c>
      <c r="I531" t="inlineStr">
        <is>
          <t>1</t>
        </is>
      </c>
      <c r="J531" t="inlineStr">
        <is>
          <t>No</t>
        </is>
      </c>
      <c r="K531" t="inlineStr">
        <is>
          <t>No</t>
        </is>
      </c>
      <c r="L531" t="inlineStr">
        <is>
          <t>0</t>
        </is>
      </c>
      <c r="N531" t="inlineStr">
        <is>
          <t>Ithaca : Cornell University Press, 2002.</t>
        </is>
      </c>
      <c r="O531" t="inlineStr">
        <is>
          <t>2002</t>
        </is>
      </c>
      <c r="Q531" t="inlineStr">
        <is>
          <t>eng</t>
        </is>
      </c>
      <c r="R531" t="inlineStr">
        <is>
          <t>nyu</t>
        </is>
      </c>
      <c r="T531" t="inlineStr">
        <is>
          <t xml:space="preserve">PR </t>
        </is>
      </c>
      <c r="U531" t="n">
        <v>1</v>
      </c>
      <c r="V531" t="n">
        <v>1</v>
      </c>
      <c r="W531" t="inlineStr">
        <is>
          <t>2008-02-29</t>
        </is>
      </c>
      <c r="X531" t="inlineStr">
        <is>
          <t>2008-02-29</t>
        </is>
      </c>
      <c r="Y531" t="inlineStr">
        <is>
          <t>2004-01-07</t>
        </is>
      </c>
      <c r="Z531" t="inlineStr">
        <is>
          <t>2004-01-07</t>
        </is>
      </c>
      <c r="AA531" t="n">
        <v>416</v>
      </c>
      <c r="AB531" t="n">
        <v>350</v>
      </c>
      <c r="AC531" t="n">
        <v>355</v>
      </c>
      <c r="AD531" t="n">
        <v>3</v>
      </c>
      <c r="AE531" t="n">
        <v>3</v>
      </c>
      <c r="AF531" t="n">
        <v>28</v>
      </c>
      <c r="AG531" t="n">
        <v>28</v>
      </c>
      <c r="AH531" t="n">
        <v>5</v>
      </c>
      <c r="AI531" t="n">
        <v>5</v>
      </c>
      <c r="AJ531" t="n">
        <v>4</v>
      </c>
      <c r="AK531" t="n">
        <v>4</v>
      </c>
      <c r="AL531" t="n">
        <v>9</v>
      </c>
      <c r="AM531" t="n">
        <v>9</v>
      </c>
      <c r="AN531" t="n">
        <v>2</v>
      </c>
      <c r="AO531" t="n">
        <v>2</v>
      </c>
      <c r="AP531" t="n">
        <v>12</v>
      </c>
      <c r="AQ531" t="n">
        <v>12</v>
      </c>
      <c r="AR531" t="inlineStr">
        <is>
          <t>No</t>
        </is>
      </c>
      <c r="AS531" t="inlineStr">
        <is>
          <t>Yes</t>
        </is>
      </c>
      <c r="AT531">
        <f>HYPERLINK("http://catalog.hathitrust.org/Record/004244162","HathiTrust Record")</f>
        <v/>
      </c>
      <c r="AU531">
        <f>HYPERLINK("https://creighton-primo.hosted.exlibrisgroup.com/primo-explore/search?tab=default_tab&amp;search_scope=EVERYTHING&amp;vid=01CRU&amp;lang=en_US&amp;offset=0&amp;query=any,contains,991004152319702656","Catalog Record")</f>
        <v/>
      </c>
      <c r="AV531">
        <f>HYPERLINK("http://www.worldcat.org/oclc/48140651","WorldCat Record")</f>
        <v/>
      </c>
      <c r="AW531" t="inlineStr">
        <is>
          <t>837082694:eng</t>
        </is>
      </c>
      <c r="AX531" t="inlineStr">
        <is>
          <t>48140651</t>
        </is>
      </c>
      <c r="AY531" t="inlineStr">
        <is>
          <t>991004152319702656</t>
        </is>
      </c>
      <c r="AZ531" t="inlineStr">
        <is>
          <t>991004152319702656</t>
        </is>
      </c>
      <c r="BA531" t="inlineStr">
        <is>
          <t>2269882820002656</t>
        </is>
      </c>
      <c r="BB531" t="inlineStr">
        <is>
          <t>BOOK</t>
        </is>
      </c>
      <c r="BD531" t="inlineStr">
        <is>
          <t>9780801439759</t>
        </is>
      </c>
      <c r="BE531" t="inlineStr">
        <is>
          <t>32285004849757</t>
        </is>
      </c>
      <c r="BF531" t="inlineStr">
        <is>
          <t>893888355</t>
        </is>
      </c>
    </row>
    <row r="532">
      <c r="A532" t="inlineStr">
        <is>
          <t>No</t>
        </is>
      </c>
      <c r="B532" t="inlineStr">
        <is>
          <t>CURAL</t>
        </is>
      </c>
      <c r="C532" t="inlineStr">
        <is>
          <t>SHELVES</t>
        </is>
      </c>
      <c r="D532" t="inlineStr">
        <is>
          <t>PR275.L35 S74 2003</t>
        </is>
      </c>
      <c r="E532" t="inlineStr">
        <is>
          <t>0                      PR 0275000L  35                 S  74          2003</t>
        </is>
      </c>
      <c r="F532" t="inlineStr">
        <is>
          <t>Documentary culture and the making of medieval English literature / Emily Steiner.</t>
        </is>
      </c>
      <c r="H532" t="inlineStr">
        <is>
          <t>No</t>
        </is>
      </c>
      <c r="I532" t="inlineStr">
        <is>
          <t>1</t>
        </is>
      </c>
      <c r="J532" t="inlineStr">
        <is>
          <t>No</t>
        </is>
      </c>
      <c r="K532" t="inlineStr">
        <is>
          <t>No</t>
        </is>
      </c>
      <c r="L532" t="inlineStr">
        <is>
          <t>0</t>
        </is>
      </c>
      <c r="M532" t="inlineStr">
        <is>
          <t>Steiner, Emily.</t>
        </is>
      </c>
      <c r="N532" t="inlineStr">
        <is>
          <t>Cambridge, U.K. ; New York : Cambridge University Press, 2003.</t>
        </is>
      </c>
      <c r="O532" t="inlineStr">
        <is>
          <t>2003</t>
        </is>
      </c>
      <c r="Q532" t="inlineStr">
        <is>
          <t>eng</t>
        </is>
      </c>
      <c r="R532" t="inlineStr">
        <is>
          <t>enk</t>
        </is>
      </c>
      <c r="S532" t="inlineStr">
        <is>
          <t>Cambridge studies in medieval literature ; 50</t>
        </is>
      </c>
      <c r="T532" t="inlineStr">
        <is>
          <t xml:space="preserve">PR </t>
        </is>
      </c>
      <c r="U532" t="n">
        <v>1</v>
      </c>
      <c r="V532" t="n">
        <v>1</v>
      </c>
      <c r="W532" t="inlineStr">
        <is>
          <t>2005-02-08</t>
        </is>
      </c>
      <c r="X532" t="inlineStr">
        <is>
          <t>2005-02-08</t>
        </is>
      </c>
      <c r="Y532" t="inlineStr">
        <is>
          <t>2005-02-08</t>
        </is>
      </c>
      <c r="Z532" t="inlineStr">
        <is>
          <t>2005-02-08</t>
        </is>
      </c>
      <c r="AA532" t="n">
        <v>377</v>
      </c>
      <c r="AB532" t="n">
        <v>288</v>
      </c>
      <c r="AC532" t="n">
        <v>291</v>
      </c>
      <c r="AD532" t="n">
        <v>3</v>
      </c>
      <c r="AE532" t="n">
        <v>3</v>
      </c>
      <c r="AF532" t="n">
        <v>26</v>
      </c>
      <c r="AG532" t="n">
        <v>26</v>
      </c>
      <c r="AH532" t="n">
        <v>9</v>
      </c>
      <c r="AI532" t="n">
        <v>9</v>
      </c>
      <c r="AJ532" t="n">
        <v>8</v>
      </c>
      <c r="AK532" t="n">
        <v>8</v>
      </c>
      <c r="AL532" t="n">
        <v>13</v>
      </c>
      <c r="AM532" t="n">
        <v>13</v>
      </c>
      <c r="AN532" t="n">
        <v>2</v>
      </c>
      <c r="AO532" t="n">
        <v>2</v>
      </c>
      <c r="AP532" t="n">
        <v>3</v>
      </c>
      <c r="AQ532" t="n">
        <v>3</v>
      </c>
      <c r="AR532" t="inlineStr">
        <is>
          <t>No</t>
        </is>
      </c>
      <c r="AS532" t="inlineStr">
        <is>
          <t>No</t>
        </is>
      </c>
      <c r="AU532">
        <f>HYPERLINK("https://creighton-primo.hosted.exlibrisgroup.com/primo-explore/search?tab=default_tab&amp;search_scope=EVERYTHING&amp;vid=01CRU&amp;lang=en_US&amp;offset=0&amp;query=any,contains,991004407739702656","Catalog Record")</f>
        <v/>
      </c>
      <c r="AV532">
        <f>HYPERLINK("http://www.worldcat.org/oclc/51914335","WorldCat Record")</f>
        <v/>
      </c>
      <c r="AW532" t="inlineStr">
        <is>
          <t>710787:eng</t>
        </is>
      </c>
      <c r="AX532" t="inlineStr">
        <is>
          <t>51914335</t>
        </is>
      </c>
      <c r="AY532" t="inlineStr">
        <is>
          <t>991004407739702656</t>
        </is>
      </c>
      <c r="AZ532" t="inlineStr">
        <is>
          <t>991004407739702656</t>
        </is>
      </c>
      <c r="BA532" t="inlineStr">
        <is>
          <t>2262989690002656</t>
        </is>
      </c>
      <c r="BB532" t="inlineStr">
        <is>
          <t>BOOK</t>
        </is>
      </c>
      <c r="BD532" t="inlineStr">
        <is>
          <t>9780521824842</t>
        </is>
      </c>
      <c r="BE532" t="inlineStr">
        <is>
          <t>32285005025308</t>
        </is>
      </c>
      <c r="BF532" t="inlineStr">
        <is>
          <t>893593655</t>
        </is>
      </c>
    </row>
    <row r="533">
      <c r="A533" t="inlineStr">
        <is>
          <t>No</t>
        </is>
      </c>
      <c r="B533" t="inlineStr">
        <is>
          <t>CURAL</t>
        </is>
      </c>
      <c r="C533" t="inlineStr">
        <is>
          <t>SHELVES</t>
        </is>
      </c>
      <c r="D533" t="inlineStr">
        <is>
          <t>PR275.M9 R513</t>
        </is>
      </c>
      <c r="E533" t="inlineStr">
        <is>
          <t>0                      PR 0275000M  9                  R  513</t>
        </is>
      </c>
      <c r="F533" t="inlineStr">
        <is>
          <t>The middle English mystics / Wolfgang Riehle ; translated by Bernad Standring.</t>
        </is>
      </c>
      <c r="H533" t="inlineStr">
        <is>
          <t>No</t>
        </is>
      </c>
      <c r="I533" t="inlineStr">
        <is>
          <t>1</t>
        </is>
      </c>
      <c r="J533" t="inlineStr">
        <is>
          <t>No</t>
        </is>
      </c>
      <c r="K533" t="inlineStr">
        <is>
          <t>No</t>
        </is>
      </c>
      <c r="L533" t="inlineStr">
        <is>
          <t>0</t>
        </is>
      </c>
      <c r="M533" t="inlineStr">
        <is>
          <t>Riehle, Wolfgang.</t>
        </is>
      </c>
      <c r="N533" t="inlineStr">
        <is>
          <t>London ; Boston : Routledge &amp; Kegan Paul, 1981.</t>
        </is>
      </c>
      <c r="O533" t="inlineStr">
        <is>
          <t>1981</t>
        </is>
      </c>
      <c r="Q533" t="inlineStr">
        <is>
          <t>eng</t>
        </is>
      </c>
      <c r="R533" t="inlineStr">
        <is>
          <t>enk</t>
        </is>
      </c>
      <c r="T533" t="inlineStr">
        <is>
          <t xml:space="preserve">PR </t>
        </is>
      </c>
      <c r="U533" t="n">
        <v>2</v>
      </c>
      <c r="V533" t="n">
        <v>2</v>
      </c>
      <c r="W533" t="inlineStr">
        <is>
          <t>1999-08-08</t>
        </is>
      </c>
      <c r="X533" t="inlineStr">
        <is>
          <t>1999-08-08</t>
        </is>
      </c>
      <c r="Y533" t="inlineStr">
        <is>
          <t>1991-08-28</t>
        </is>
      </c>
      <c r="Z533" t="inlineStr">
        <is>
          <t>1991-08-28</t>
        </is>
      </c>
      <c r="AA533" t="n">
        <v>437</v>
      </c>
      <c r="AB533" t="n">
        <v>293</v>
      </c>
      <c r="AC533" t="n">
        <v>319</v>
      </c>
      <c r="AD533" t="n">
        <v>2</v>
      </c>
      <c r="AE533" t="n">
        <v>2</v>
      </c>
      <c r="AF533" t="n">
        <v>15</v>
      </c>
      <c r="AG533" t="n">
        <v>15</v>
      </c>
      <c r="AH533" t="n">
        <v>3</v>
      </c>
      <c r="AI533" t="n">
        <v>3</v>
      </c>
      <c r="AJ533" t="n">
        <v>5</v>
      </c>
      <c r="AK533" t="n">
        <v>5</v>
      </c>
      <c r="AL533" t="n">
        <v>10</v>
      </c>
      <c r="AM533" t="n">
        <v>10</v>
      </c>
      <c r="AN533" t="n">
        <v>1</v>
      </c>
      <c r="AO533" t="n">
        <v>1</v>
      </c>
      <c r="AP533" t="n">
        <v>0</v>
      </c>
      <c r="AQ533" t="n">
        <v>0</v>
      </c>
      <c r="AR533" t="inlineStr">
        <is>
          <t>No</t>
        </is>
      </c>
      <c r="AS533" t="inlineStr">
        <is>
          <t>Yes</t>
        </is>
      </c>
      <c r="AT533">
        <f>HYPERLINK("http://catalog.hathitrust.org/Record/000184891","HathiTrust Record")</f>
        <v/>
      </c>
      <c r="AU533">
        <f>HYPERLINK("https://creighton-primo.hosted.exlibrisgroup.com/primo-explore/search?tab=default_tab&amp;search_scope=EVERYTHING&amp;vid=01CRU&amp;lang=en_US&amp;offset=0&amp;query=any,contains,991005137569702656","Catalog Record")</f>
        <v/>
      </c>
      <c r="AV533">
        <f>HYPERLINK("http://www.worldcat.org/oclc/7480187","WorldCat Record")</f>
        <v/>
      </c>
      <c r="AW533" t="inlineStr">
        <is>
          <t>319630566:eng</t>
        </is>
      </c>
      <c r="AX533" t="inlineStr">
        <is>
          <t>7480187</t>
        </is>
      </c>
      <c r="AY533" t="inlineStr">
        <is>
          <t>991005137569702656</t>
        </is>
      </c>
      <c r="AZ533" t="inlineStr">
        <is>
          <t>991005137569702656</t>
        </is>
      </c>
      <c r="BA533" t="inlineStr">
        <is>
          <t>2270682560002656</t>
        </is>
      </c>
      <c r="BB533" t="inlineStr">
        <is>
          <t>BOOK</t>
        </is>
      </c>
      <c r="BD533" t="inlineStr">
        <is>
          <t>9780710006127</t>
        </is>
      </c>
      <c r="BE533" t="inlineStr">
        <is>
          <t>32285000730514</t>
        </is>
      </c>
      <c r="BF533" t="inlineStr">
        <is>
          <t>893446593</t>
        </is>
      </c>
    </row>
    <row r="534">
      <c r="A534" t="inlineStr">
        <is>
          <t>No</t>
        </is>
      </c>
      <c r="B534" t="inlineStr">
        <is>
          <t>CURAL</t>
        </is>
      </c>
      <c r="C534" t="inlineStr">
        <is>
          <t>SHELVES</t>
        </is>
      </c>
      <c r="D534" t="inlineStr">
        <is>
          <t>PR275.N27 S27 2002</t>
        </is>
      </c>
      <c r="E534" t="inlineStr">
        <is>
          <t>0                      PR 0275000N  27                 S  27          2002</t>
        </is>
      </c>
      <c r="F534" t="inlineStr">
        <is>
          <t>Absent narratives, manuscript textuality, and literary structure in late medieval England / Elizabeth Scala.</t>
        </is>
      </c>
      <c r="H534" t="inlineStr">
        <is>
          <t>No</t>
        </is>
      </c>
      <c r="I534" t="inlineStr">
        <is>
          <t>1</t>
        </is>
      </c>
      <c r="J534" t="inlineStr">
        <is>
          <t>No</t>
        </is>
      </c>
      <c r="K534" t="inlineStr">
        <is>
          <t>No</t>
        </is>
      </c>
      <c r="L534" t="inlineStr">
        <is>
          <t>0</t>
        </is>
      </c>
      <c r="M534" t="inlineStr">
        <is>
          <t>Scala, Elizabeth, 1966-</t>
        </is>
      </c>
      <c r="N534" t="inlineStr">
        <is>
          <t>New York : Palgrave/Macmillan, 2002.</t>
        </is>
      </c>
      <c r="O534" t="inlineStr">
        <is>
          <t>2002</t>
        </is>
      </c>
      <c r="P534" t="inlineStr">
        <is>
          <t>1st ed.</t>
        </is>
      </c>
      <c r="Q534" t="inlineStr">
        <is>
          <t>eng</t>
        </is>
      </c>
      <c r="R534" t="inlineStr">
        <is>
          <t>nyu</t>
        </is>
      </c>
      <c r="S534" t="inlineStr">
        <is>
          <t>The new Middle Ages</t>
        </is>
      </c>
      <c r="T534" t="inlineStr">
        <is>
          <t xml:space="preserve">PR </t>
        </is>
      </c>
      <c r="U534" t="n">
        <v>1</v>
      </c>
      <c r="V534" t="n">
        <v>1</v>
      </c>
      <c r="W534" t="inlineStr">
        <is>
          <t>2003-11-04</t>
        </is>
      </c>
      <c r="X534" t="inlineStr">
        <is>
          <t>2003-11-04</t>
        </is>
      </c>
      <c r="Y534" t="inlineStr">
        <is>
          <t>2003-11-04</t>
        </is>
      </c>
      <c r="Z534" t="inlineStr">
        <is>
          <t>2003-11-04</t>
        </is>
      </c>
      <c r="AA534" t="n">
        <v>260</v>
      </c>
      <c r="AB534" t="n">
        <v>187</v>
      </c>
      <c r="AC534" t="n">
        <v>209</v>
      </c>
      <c r="AD534" t="n">
        <v>2</v>
      </c>
      <c r="AE534" t="n">
        <v>2</v>
      </c>
      <c r="AF534" t="n">
        <v>9</v>
      </c>
      <c r="AG534" t="n">
        <v>10</v>
      </c>
      <c r="AH534" t="n">
        <v>2</v>
      </c>
      <c r="AI534" t="n">
        <v>3</v>
      </c>
      <c r="AJ534" t="n">
        <v>2</v>
      </c>
      <c r="AK534" t="n">
        <v>2</v>
      </c>
      <c r="AL534" t="n">
        <v>6</v>
      </c>
      <c r="AM534" t="n">
        <v>7</v>
      </c>
      <c r="AN534" t="n">
        <v>1</v>
      </c>
      <c r="AO534" t="n">
        <v>1</v>
      </c>
      <c r="AP534" t="n">
        <v>0</v>
      </c>
      <c r="AQ534" t="n">
        <v>0</v>
      </c>
      <c r="AR534" t="inlineStr">
        <is>
          <t>No</t>
        </is>
      </c>
      <c r="AS534" t="inlineStr">
        <is>
          <t>No</t>
        </is>
      </c>
      <c r="AU534">
        <f>HYPERLINK("https://creighton-primo.hosted.exlibrisgroup.com/primo-explore/search?tab=default_tab&amp;search_scope=EVERYTHING&amp;vid=01CRU&amp;lang=en_US&amp;offset=0&amp;query=any,contains,991004152089702656","Catalog Record")</f>
        <v/>
      </c>
      <c r="AV534">
        <f>HYPERLINK("http://www.worldcat.org/oclc/48942962","WorldCat Record")</f>
        <v/>
      </c>
      <c r="AW534" t="inlineStr">
        <is>
          <t>38667721:eng</t>
        </is>
      </c>
      <c r="AX534" t="inlineStr">
        <is>
          <t>48942962</t>
        </is>
      </c>
      <c r="AY534" t="inlineStr">
        <is>
          <t>991004152089702656</t>
        </is>
      </c>
      <c r="AZ534" t="inlineStr">
        <is>
          <t>991004152089702656</t>
        </is>
      </c>
      <c r="BA534" t="inlineStr">
        <is>
          <t>2264002620002656</t>
        </is>
      </c>
      <c r="BB534" t="inlineStr">
        <is>
          <t>BOOK</t>
        </is>
      </c>
      <c r="BD534" t="inlineStr">
        <is>
          <t>9780312240431</t>
        </is>
      </c>
      <c r="BE534" t="inlineStr">
        <is>
          <t>32285004793393</t>
        </is>
      </c>
      <c r="BF534" t="inlineStr">
        <is>
          <t>893699911</t>
        </is>
      </c>
    </row>
    <row r="535">
      <c r="A535" t="inlineStr">
        <is>
          <t>No</t>
        </is>
      </c>
      <c r="B535" t="inlineStr">
        <is>
          <t>CURAL</t>
        </is>
      </c>
      <c r="C535" t="inlineStr">
        <is>
          <t>SHELVES</t>
        </is>
      </c>
      <c r="D535" t="inlineStr">
        <is>
          <t>PR275.N3 W47 2000</t>
        </is>
      </c>
      <c r="E535" t="inlineStr">
        <is>
          <t>0                      PR 0275000N  3                  W  47          2000</t>
        </is>
      </c>
      <c r="F535" t="inlineStr">
        <is>
          <t>Nature, sex, and goodness in a Medieval literary tradition / Hugh White.</t>
        </is>
      </c>
      <c r="H535" t="inlineStr">
        <is>
          <t>No</t>
        </is>
      </c>
      <c r="I535" t="inlineStr">
        <is>
          <t>1</t>
        </is>
      </c>
      <c r="J535" t="inlineStr">
        <is>
          <t>No</t>
        </is>
      </c>
      <c r="K535" t="inlineStr">
        <is>
          <t>No</t>
        </is>
      </c>
      <c r="L535" t="inlineStr">
        <is>
          <t>0</t>
        </is>
      </c>
      <c r="M535" t="inlineStr">
        <is>
          <t>White, Hugh.</t>
        </is>
      </c>
      <c r="N535" t="inlineStr">
        <is>
          <t>Oxford ; New York : Oxford University Press, 2000.</t>
        </is>
      </c>
      <c r="O535" t="inlineStr">
        <is>
          <t>2000</t>
        </is>
      </c>
      <c r="Q535" t="inlineStr">
        <is>
          <t>eng</t>
        </is>
      </c>
      <c r="R535" t="inlineStr">
        <is>
          <t>enk</t>
        </is>
      </c>
      <c r="T535" t="inlineStr">
        <is>
          <t xml:space="preserve">PR </t>
        </is>
      </c>
      <c r="U535" t="n">
        <v>2</v>
      </c>
      <c r="V535" t="n">
        <v>2</v>
      </c>
      <c r="W535" t="inlineStr">
        <is>
          <t>2005-04-13</t>
        </is>
      </c>
      <c r="X535" t="inlineStr">
        <is>
          <t>2005-04-13</t>
        </is>
      </c>
      <c r="Y535" t="inlineStr">
        <is>
          <t>2003-12-01</t>
        </is>
      </c>
      <c r="Z535" t="inlineStr">
        <is>
          <t>2003-12-01</t>
        </is>
      </c>
      <c r="AA535" t="n">
        <v>346</v>
      </c>
      <c r="AB535" t="n">
        <v>264</v>
      </c>
      <c r="AC535" t="n">
        <v>297</v>
      </c>
      <c r="AD535" t="n">
        <v>3</v>
      </c>
      <c r="AE535" t="n">
        <v>3</v>
      </c>
      <c r="AF535" t="n">
        <v>16</v>
      </c>
      <c r="AG535" t="n">
        <v>17</v>
      </c>
      <c r="AH535" t="n">
        <v>6</v>
      </c>
      <c r="AI535" t="n">
        <v>6</v>
      </c>
      <c r="AJ535" t="n">
        <v>4</v>
      </c>
      <c r="AK535" t="n">
        <v>5</v>
      </c>
      <c r="AL535" t="n">
        <v>7</v>
      </c>
      <c r="AM535" t="n">
        <v>7</v>
      </c>
      <c r="AN535" t="n">
        <v>2</v>
      </c>
      <c r="AO535" t="n">
        <v>2</v>
      </c>
      <c r="AP535" t="n">
        <v>0</v>
      </c>
      <c r="AQ535" t="n">
        <v>0</v>
      </c>
      <c r="AR535" t="inlineStr">
        <is>
          <t>No</t>
        </is>
      </c>
      <c r="AS535" t="inlineStr">
        <is>
          <t>No</t>
        </is>
      </c>
      <c r="AU535">
        <f>HYPERLINK("https://creighton-primo.hosted.exlibrisgroup.com/primo-explore/search?tab=default_tab&amp;search_scope=EVERYTHING&amp;vid=01CRU&amp;lang=en_US&amp;offset=0&amp;query=any,contains,991004151639702656","Catalog Record")</f>
        <v/>
      </c>
      <c r="AV535">
        <f>HYPERLINK("http://www.worldcat.org/oclc/44502410","WorldCat Record")</f>
        <v/>
      </c>
      <c r="AW535" t="inlineStr">
        <is>
          <t>33835226:eng</t>
        </is>
      </c>
      <c r="AX535" t="inlineStr">
        <is>
          <t>44502410</t>
        </is>
      </c>
      <c r="AY535" t="inlineStr">
        <is>
          <t>991004151639702656</t>
        </is>
      </c>
      <c r="AZ535" t="inlineStr">
        <is>
          <t>991004151639702656</t>
        </is>
      </c>
      <c r="BA535" t="inlineStr">
        <is>
          <t>2263473860002656</t>
        </is>
      </c>
      <c r="BB535" t="inlineStr">
        <is>
          <t>BOOK</t>
        </is>
      </c>
      <c r="BD535" t="inlineStr">
        <is>
          <t>9780198187301</t>
        </is>
      </c>
      <c r="BE535" t="inlineStr">
        <is>
          <t>32285004843362</t>
        </is>
      </c>
      <c r="BF535" t="inlineStr">
        <is>
          <t>893241081</t>
        </is>
      </c>
    </row>
    <row r="536">
      <c r="A536" t="inlineStr">
        <is>
          <t>No</t>
        </is>
      </c>
      <c r="B536" t="inlineStr">
        <is>
          <t>CURAL</t>
        </is>
      </c>
      <c r="C536" t="inlineStr">
        <is>
          <t>SHELVES</t>
        </is>
      </c>
      <c r="D536" t="inlineStr">
        <is>
          <t>PR275.P63 S77 2005</t>
        </is>
      </c>
      <c r="E536" t="inlineStr">
        <is>
          <t>0                      PR 0275000P  63                 S  77          2005</t>
        </is>
      </c>
      <c r="F536" t="inlineStr">
        <is>
          <t>Politique : languages of statecraft between Chaucer and Shakespeare / Paul Strohm.</t>
        </is>
      </c>
      <c r="H536" t="inlineStr">
        <is>
          <t>No</t>
        </is>
      </c>
      <c r="I536" t="inlineStr">
        <is>
          <t>1</t>
        </is>
      </c>
      <c r="J536" t="inlineStr">
        <is>
          <t>No</t>
        </is>
      </c>
      <c r="K536" t="inlineStr">
        <is>
          <t>No</t>
        </is>
      </c>
      <c r="L536" t="inlineStr">
        <is>
          <t>0</t>
        </is>
      </c>
      <c r="M536" t="inlineStr">
        <is>
          <t>Strohm, Paul, 1938-</t>
        </is>
      </c>
      <c r="N536" t="inlineStr">
        <is>
          <t>Notre Dame, Ind. : University of Notre Dame Press, c2005.</t>
        </is>
      </c>
      <c r="O536" t="inlineStr">
        <is>
          <t>2005</t>
        </is>
      </c>
      <c r="Q536" t="inlineStr">
        <is>
          <t>eng</t>
        </is>
      </c>
      <c r="R536" t="inlineStr">
        <is>
          <t>inu</t>
        </is>
      </c>
      <c r="S536" t="inlineStr">
        <is>
          <t>The Conway lectures in medieval studies</t>
        </is>
      </c>
      <c r="T536" t="inlineStr">
        <is>
          <t xml:space="preserve">PR </t>
        </is>
      </c>
      <c r="U536" t="n">
        <v>1</v>
      </c>
      <c r="V536" t="n">
        <v>1</v>
      </c>
      <c r="W536" t="inlineStr">
        <is>
          <t>2006-07-31</t>
        </is>
      </c>
      <c r="X536" t="inlineStr">
        <is>
          <t>2006-07-31</t>
        </is>
      </c>
      <c r="Y536" t="inlineStr">
        <is>
          <t>2006-07-31</t>
        </is>
      </c>
      <c r="Z536" t="inlineStr">
        <is>
          <t>2006-07-31</t>
        </is>
      </c>
      <c r="AA536" t="n">
        <v>501</v>
      </c>
      <c r="AB536" t="n">
        <v>414</v>
      </c>
      <c r="AC536" t="n">
        <v>415</v>
      </c>
      <c r="AD536" t="n">
        <v>4</v>
      </c>
      <c r="AE536" t="n">
        <v>4</v>
      </c>
      <c r="AF536" t="n">
        <v>30</v>
      </c>
      <c r="AG536" t="n">
        <v>30</v>
      </c>
      <c r="AH536" t="n">
        <v>16</v>
      </c>
      <c r="AI536" t="n">
        <v>16</v>
      </c>
      <c r="AJ536" t="n">
        <v>7</v>
      </c>
      <c r="AK536" t="n">
        <v>7</v>
      </c>
      <c r="AL536" t="n">
        <v>13</v>
      </c>
      <c r="AM536" t="n">
        <v>13</v>
      </c>
      <c r="AN536" t="n">
        <v>3</v>
      </c>
      <c r="AO536" t="n">
        <v>3</v>
      </c>
      <c r="AP536" t="n">
        <v>0</v>
      </c>
      <c r="AQ536" t="n">
        <v>0</v>
      </c>
      <c r="AR536" t="inlineStr">
        <is>
          <t>No</t>
        </is>
      </c>
      <c r="AS536" t="inlineStr">
        <is>
          <t>Yes</t>
        </is>
      </c>
      <c r="AT536">
        <f>HYPERLINK("http://catalog.hathitrust.org/Record/005025403","HathiTrust Record")</f>
        <v/>
      </c>
      <c r="AU536">
        <f>HYPERLINK("https://creighton-primo.hosted.exlibrisgroup.com/primo-explore/search?tab=default_tab&amp;search_scope=EVERYTHING&amp;vid=01CRU&amp;lang=en_US&amp;offset=0&amp;query=any,contains,991004857479702656","Catalog Record")</f>
        <v/>
      </c>
      <c r="AV536">
        <f>HYPERLINK("http://www.worldcat.org/oclc/57754121","WorldCat Record")</f>
        <v/>
      </c>
      <c r="AW536" t="inlineStr">
        <is>
          <t>892187626:eng</t>
        </is>
      </c>
      <c r="AX536" t="inlineStr">
        <is>
          <t>57754121</t>
        </is>
      </c>
      <c r="AY536" t="inlineStr">
        <is>
          <t>991004857479702656</t>
        </is>
      </c>
      <c r="AZ536" t="inlineStr">
        <is>
          <t>991004857479702656</t>
        </is>
      </c>
      <c r="BA536" t="inlineStr">
        <is>
          <t>2267278890002656</t>
        </is>
      </c>
      <c r="BB536" t="inlineStr">
        <is>
          <t>BOOK</t>
        </is>
      </c>
      <c r="BD536" t="inlineStr">
        <is>
          <t>9780268041137</t>
        </is>
      </c>
      <c r="BE536" t="inlineStr">
        <is>
          <t>32285005198410</t>
        </is>
      </c>
      <c r="BF536" t="inlineStr">
        <is>
          <t>893807550</t>
        </is>
      </c>
    </row>
    <row r="537">
      <c r="A537" t="inlineStr">
        <is>
          <t>No</t>
        </is>
      </c>
      <c r="B537" t="inlineStr">
        <is>
          <t>CURAL</t>
        </is>
      </c>
      <c r="C537" t="inlineStr">
        <is>
          <t>SHELVES</t>
        </is>
      </c>
      <c r="D537" t="inlineStr">
        <is>
          <t>PR275.R4 B37 1995</t>
        </is>
      </c>
      <c r="E537" t="inlineStr">
        <is>
          <t>0                      PR 0275000R  4                  B  37          1995</t>
        </is>
      </c>
      <c r="F537" t="inlineStr">
        <is>
          <t>Male authors, female readers : representation and subjectivity in Middle English devotional literature / Anne Clark Bartlett.</t>
        </is>
      </c>
      <c r="H537" t="inlineStr">
        <is>
          <t>No</t>
        </is>
      </c>
      <c r="I537" t="inlineStr">
        <is>
          <t>1</t>
        </is>
      </c>
      <c r="J537" t="inlineStr">
        <is>
          <t>No</t>
        </is>
      </c>
      <c r="K537" t="inlineStr">
        <is>
          <t>No</t>
        </is>
      </c>
      <c r="L537" t="inlineStr">
        <is>
          <t>0</t>
        </is>
      </c>
      <c r="M537" t="inlineStr">
        <is>
          <t>Bartlett, Anne Clark, 1960-</t>
        </is>
      </c>
      <c r="N537" t="inlineStr">
        <is>
          <t>Ithaca : Cornell University Press, 1995.</t>
        </is>
      </c>
      <c r="O537" t="inlineStr">
        <is>
          <t>1995</t>
        </is>
      </c>
      <c r="Q537" t="inlineStr">
        <is>
          <t>eng</t>
        </is>
      </c>
      <c r="R537" t="inlineStr">
        <is>
          <t>nyu</t>
        </is>
      </c>
      <c r="T537" t="inlineStr">
        <is>
          <t xml:space="preserve">PR </t>
        </is>
      </c>
      <c r="U537" t="n">
        <v>3</v>
      </c>
      <c r="V537" t="n">
        <v>3</v>
      </c>
      <c r="W537" t="inlineStr">
        <is>
          <t>1998-01-20</t>
        </is>
      </c>
      <c r="X537" t="inlineStr">
        <is>
          <t>1998-01-20</t>
        </is>
      </c>
      <c r="Y537" t="inlineStr">
        <is>
          <t>1996-05-09</t>
        </is>
      </c>
      <c r="Z537" t="inlineStr">
        <is>
          <t>1996-05-09</t>
        </is>
      </c>
      <c r="AA537" t="n">
        <v>447</v>
      </c>
      <c r="AB537" t="n">
        <v>348</v>
      </c>
      <c r="AC537" t="n">
        <v>362</v>
      </c>
      <c r="AD537" t="n">
        <v>4</v>
      </c>
      <c r="AE537" t="n">
        <v>4</v>
      </c>
      <c r="AF537" t="n">
        <v>21</v>
      </c>
      <c r="AG537" t="n">
        <v>21</v>
      </c>
      <c r="AH537" t="n">
        <v>7</v>
      </c>
      <c r="AI537" t="n">
        <v>7</v>
      </c>
      <c r="AJ537" t="n">
        <v>6</v>
      </c>
      <c r="AK537" t="n">
        <v>6</v>
      </c>
      <c r="AL537" t="n">
        <v>9</v>
      </c>
      <c r="AM537" t="n">
        <v>9</v>
      </c>
      <c r="AN537" t="n">
        <v>3</v>
      </c>
      <c r="AO537" t="n">
        <v>3</v>
      </c>
      <c r="AP537" t="n">
        <v>0</v>
      </c>
      <c r="AQ537" t="n">
        <v>0</v>
      </c>
      <c r="AR537" t="inlineStr">
        <is>
          <t>No</t>
        </is>
      </c>
      <c r="AS537" t="inlineStr">
        <is>
          <t>No</t>
        </is>
      </c>
      <c r="AU537">
        <f>HYPERLINK("https://creighton-primo.hosted.exlibrisgroup.com/primo-explore/search?tab=default_tab&amp;search_scope=EVERYTHING&amp;vid=01CRU&amp;lang=en_US&amp;offset=0&amp;query=any,contains,991002420239702656","Catalog Record")</f>
        <v/>
      </c>
      <c r="AV537">
        <f>HYPERLINK("http://www.worldcat.org/oclc/31516744","WorldCat Record")</f>
        <v/>
      </c>
      <c r="AW537" t="inlineStr">
        <is>
          <t>33237534:eng</t>
        </is>
      </c>
      <c r="AX537" t="inlineStr">
        <is>
          <t>31516744</t>
        </is>
      </c>
      <c r="AY537" t="inlineStr">
        <is>
          <t>991002420239702656</t>
        </is>
      </c>
      <c r="AZ537" t="inlineStr">
        <is>
          <t>991002420239702656</t>
        </is>
      </c>
      <c r="BA537" t="inlineStr">
        <is>
          <t>2270661980002656</t>
        </is>
      </c>
      <c r="BB537" t="inlineStr">
        <is>
          <t>BOOK</t>
        </is>
      </c>
      <c r="BD537" t="inlineStr">
        <is>
          <t>9780801430381</t>
        </is>
      </c>
      <c r="BE537" t="inlineStr">
        <is>
          <t>32285002166469</t>
        </is>
      </c>
      <c r="BF537" t="inlineStr">
        <is>
          <t>893341405</t>
        </is>
      </c>
    </row>
    <row r="538">
      <c r="A538" t="inlineStr">
        <is>
          <t>No</t>
        </is>
      </c>
      <c r="B538" t="inlineStr">
        <is>
          <t>CURAL</t>
        </is>
      </c>
      <c r="C538" t="inlineStr">
        <is>
          <t>SHELVES</t>
        </is>
      </c>
      <c r="D538" t="inlineStr">
        <is>
          <t>PR275.T45 B66 1997</t>
        </is>
      </c>
      <c r="E538" t="inlineStr">
        <is>
          <t>0                      PR 0275000T  45                 B  66          1997</t>
        </is>
      </c>
      <c r="F538" t="inlineStr">
        <is>
          <t>The book and the body / edited by Dolores Warwick Frese, Katherine O'Brien O'Keeffe.</t>
        </is>
      </c>
      <c r="H538" t="inlineStr">
        <is>
          <t>No</t>
        </is>
      </c>
      <c r="I538" t="inlineStr">
        <is>
          <t>1</t>
        </is>
      </c>
      <c r="J538" t="inlineStr">
        <is>
          <t>No</t>
        </is>
      </c>
      <c r="K538" t="inlineStr">
        <is>
          <t>No</t>
        </is>
      </c>
      <c r="L538" t="inlineStr">
        <is>
          <t>0</t>
        </is>
      </c>
      <c r="N538" t="inlineStr">
        <is>
          <t>Notre Dame, Ind. : University of Notre Dame Press, c1997.</t>
        </is>
      </c>
      <c r="O538" t="inlineStr">
        <is>
          <t>1997</t>
        </is>
      </c>
      <c r="Q538" t="inlineStr">
        <is>
          <t>eng</t>
        </is>
      </c>
      <c r="R538" t="inlineStr">
        <is>
          <t>inu</t>
        </is>
      </c>
      <c r="S538" t="inlineStr">
        <is>
          <t>University of Notre Dame Ward-Phillips lectures in English language and literature ; 14.</t>
        </is>
      </c>
      <c r="T538" t="inlineStr">
        <is>
          <t xml:space="preserve">PR </t>
        </is>
      </c>
      <c r="U538" t="n">
        <v>1</v>
      </c>
      <c r="V538" t="n">
        <v>1</v>
      </c>
      <c r="W538" t="inlineStr">
        <is>
          <t>2001-08-02</t>
        </is>
      </c>
      <c r="X538" t="inlineStr">
        <is>
          <t>2001-08-02</t>
        </is>
      </c>
      <c r="Y538" t="inlineStr">
        <is>
          <t>2001-08-02</t>
        </is>
      </c>
      <c r="Z538" t="inlineStr">
        <is>
          <t>2001-08-02</t>
        </is>
      </c>
      <c r="AA538" t="n">
        <v>346</v>
      </c>
      <c r="AB538" t="n">
        <v>284</v>
      </c>
      <c r="AC538" t="n">
        <v>286</v>
      </c>
      <c r="AD538" t="n">
        <v>3</v>
      </c>
      <c r="AE538" t="n">
        <v>3</v>
      </c>
      <c r="AF538" t="n">
        <v>17</v>
      </c>
      <c r="AG538" t="n">
        <v>17</v>
      </c>
      <c r="AH538" t="n">
        <v>3</v>
      </c>
      <c r="AI538" t="n">
        <v>3</v>
      </c>
      <c r="AJ538" t="n">
        <v>6</v>
      </c>
      <c r="AK538" t="n">
        <v>6</v>
      </c>
      <c r="AL538" t="n">
        <v>11</v>
      </c>
      <c r="AM538" t="n">
        <v>11</v>
      </c>
      <c r="AN538" t="n">
        <v>2</v>
      </c>
      <c r="AO538" t="n">
        <v>2</v>
      </c>
      <c r="AP538" t="n">
        <v>0</v>
      </c>
      <c r="AQ538" t="n">
        <v>0</v>
      </c>
      <c r="AR538" t="inlineStr">
        <is>
          <t>No</t>
        </is>
      </c>
      <c r="AS538" t="inlineStr">
        <is>
          <t>Yes</t>
        </is>
      </c>
      <c r="AT538">
        <f>HYPERLINK("http://catalog.hathitrust.org/Record/003180079","HathiTrust Record")</f>
        <v/>
      </c>
      <c r="AU538">
        <f>HYPERLINK("https://creighton-primo.hosted.exlibrisgroup.com/primo-explore/search?tab=default_tab&amp;search_scope=EVERYTHING&amp;vid=01CRU&amp;lang=en_US&amp;offset=0&amp;query=any,contains,991003595609702656","Catalog Record")</f>
        <v/>
      </c>
      <c r="AV538">
        <f>HYPERLINK("http://www.worldcat.org/oclc/35016529","WorldCat Record")</f>
        <v/>
      </c>
      <c r="AW538" t="inlineStr">
        <is>
          <t>350892673:eng</t>
        </is>
      </c>
      <c r="AX538" t="inlineStr">
        <is>
          <t>35016529</t>
        </is>
      </c>
      <c r="AY538" t="inlineStr">
        <is>
          <t>991003595609702656</t>
        </is>
      </c>
      <c r="AZ538" t="inlineStr">
        <is>
          <t>991003595609702656</t>
        </is>
      </c>
      <c r="BA538" t="inlineStr">
        <is>
          <t>2268421790002656</t>
        </is>
      </c>
      <c r="BB538" t="inlineStr">
        <is>
          <t>BOOK</t>
        </is>
      </c>
      <c r="BD538" t="inlineStr">
        <is>
          <t>9780268006990</t>
        </is>
      </c>
      <c r="BE538" t="inlineStr">
        <is>
          <t>32285004375746</t>
        </is>
      </c>
      <c r="BF538" t="inlineStr">
        <is>
          <t>893505747</t>
        </is>
      </c>
    </row>
    <row r="539">
      <c r="A539" t="inlineStr">
        <is>
          <t>No</t>
        </is>
      </c>
      <c r="B539" t="inlineStr">
        <is>
          <t>CURAL</t>
        </is>
      </c>
      <c r="C539" t="inlineStr">
        <is>
          <t>SHELVES</t>
        </is>
      </c>
      <c r="D539" t="inlineStr">
        <is>
          <t>PR275.W6 K78 2002</t>
        </is>
      </c>
      <c r="E539" t="inlineStr">
        <is>
          <t>0                      PR 0275000W  6                  K  78          2002</t>
        </is>
      </c>
      <c r="F539" t="inlineStr">
        <is>
          <t>Reading families : women's literate practice in late medieval England / Rebecca Krug.</t>
        </is>
      </c>
      <c r="H539" t="inlineStr">
        <is>
          <t>No</t>
        </is>
      </c>
      <c r="I539" t="inlineStr">
        <is>
          <t>1</t>
        </is>
      </c>
      <c r="J539" t="inlineStr">
        <is>
          <t>No</t>
        </is>
      </c>
      <c r="K539" t="inlineStr">
        <is>
          <t>No</t>
        </is>
      </c>
      <c r="L539" t="inlineStr">
        <is>
          <t>0</t>
        </is>
      </c>
      <c r="M539" t="inlineStr">
        <is>
          <t>Krug, Rebecca.</t>
        </is>
      </c>
      <c r="N539" t="inlineStr">
        <is>
          <t>Ithaca : Cornell University Press, 2002.</t>
        </is>
      </c>
      <c r="O539" t="inlineStr">
        <is>
          <t>2002</t>
        </is>
      </c>
      <c r="Q539" t="inlineStr">
        <is>
          <t>eng</t>
        </is>
      </c>
      <c r="R539" t="inlineStr">
        <is>
          <t>nyu</t>
        </is>
      </c>
      <c r="T539" t="inlineStr">
        <is>
          <t xml:space="preserve">PR </t>
        </is>
      </c>
      <c r="U539" t="n">
        <v>1</v>
      </c>
      <c r="V539" t="n">
        <v>1</v>
      </c>
      <c r="W539" t="inlineStr">
        <is>
          <t>2003-11-19</t>
        </is>
      </c>
      <c r="X539" t="inlineStr">
        <is>
          <t>2003-11-19</t>
        </is>
      </c>
      <c r="Y539" t="inlineStr">
        <is>
          <t>2003-11-19</t>
        </is>
      </c>
      <c r="Z539" t="inlineStr">
        <is>
          <t>2003-11-19</t>
        </is>
      </c>
      <c r="AA539" t="n">
        <v>467</v>
      </c>
      <c r="AB539" t="n">
        <v>392</v>
      </c>
      <c r="AC539" t="n">
        <v>570</v>
      </c>
      <c r="AD539" t="n">
        <v>4</v>
      </c>
      <c r="AE539" t="n">
        <v>4</v>
      </c>
      <c r="AF539" t="n">
        <v>25</v>
      </c>
      <c r="AG539" t="n">
        <v>33</v>
      </c>
      <c r="AH539" t="n">
        <v>11</v>
      </c>
      <c r="AI539" t="n">
        <v>15</v>
      </c>
      <c r="AJ539" t="n">
        <v>5</v>
      </c>
      <c r="AK539" t="n">
        <v>8</v>
      </c>
      <c r="AL539" t="n">
        <v>12</v>
      </c>
      <c r="AM539" t="n">
        <v>16</v>
      </c>
      <c r="AN539" t="n">
        <v>3</v>
      </c>
      <c r="AO539" t="n">
        <v>3</v>
      </c>
      <c r="AP539" t="n">
        <v>0</v>
      </c>
      <c r="AQ539" t="n">
        <v>0</v>
      </c>
      <c r="AR539" t="inlineStr">
        <is>
          <t>No</t>
        </is>
      </c>
      <c r="AS539" t="inlineStr">
        <is>
          <t>No</t>
        </is>
      </c>
      <c r="AU539">
        <f>HYPERLINK("https://creighton-primo.hosted.exlibrisgroup.com/primo-explore/search?tab=default_tab&amp;search_scope=EVERYTHING&amp;vid=01CRU&amp;lang=en_US&amp;offset=0&amp;query=any,contains,991004162009702656","Catalog Record")</f>
        <v/>
      </c>
      <c r="AV539">
        <f>HYPERLINK("http://www.worldcat.org/oclc/49332841","WorldCat Record")</f>
        <v/>
      </c>
      <c r="AW539" t="inlineStr">
        <is>
          <t>321987004:eng</t>
        </is>
      </c>
      <c r="AX539" t="inlineStr">
        <is>
          <t>49332841</t>
        </is>
      </c>
      <c r="AY539" t="inlineStr">
        <is>
          <t>991004162009702656</t>
        </is>
      </c>
      <c r="AZ539" t="inlineStr">
        <is>
          <t>991004162009702656</t>
        </is>
      </c>
      <c r="BA539" t="inlineStr">
        <is>
          <t>2255835640002656</t>
        </is>
      </c>
      <c r="BB539" t="inlineStr">
        <is>
          <t>BOOK</t>
        </is>
      </c>
      <c r="BD539" t="inlineStr">
        <is>
          <t>9780801439247</t>
        </is>
      </c>
      <c r="BE539" t="inlineStr">
        <is>
          <t>32285004799788</t>
        </is>
      </c>
      <c r="BF539" t="inlineStr">
        <is>
          <t>893706058</t>
        </is>
      </c>
    </row>
    <row r="540">
      <c r="A540" t="inlineStr">
        <is>
          <t>No</t>
        </is>
      </c>
      <c r="B540" t="inlineStr">
        <is>
          <t>CURAL</t>
        </is>
      </c>
      <c r="C540" t="inlineStr">
        <is>
          <t>SHELVES</t>
        </is>
      </c>
      <c r="D540" t="inlineStr">
        <is>
          <t>PR275.W6 S25 2001</t>
        </is>
      </c>
      <c r="E540" t="inlineStr">
        <is>
          <t>0                      PR 0275000W  6                  S  25          2001</t>
        </is>
      </c>
      <c r="F540" t="inlineStr">
        <is>
          <t>Versions of virginity in late medieval England / Sarah Salih.</t>
        </is>
      </c>
      <c r="H540" t="inlineStr">
        <is>
          <t>No</t>
        </is>
      </c>
      <c r="I540" t="inlineStr">
        <is>
          <t>1</t>
        </is>
      </c>
      <c r="J540" t="inlineStr">
        <is>
          <t>No</t>
        </is>
      </c>
      <c r="K540" t="inlineStr">
        <is>
          <t>No</t>
        </is>
      </c>
      <c r="L540" t="inlineStr">
        <is>
          <t>0</t>
        </is>
      </c>
      <c r="M540" t="inlineStr">
        <is>
          <t>Salih, Sarah, 1967-</t>
        </is>
      </c>
      <c r="N540" t="inlineStr">
        <is>
          <t>Woodbridge, Suffolk, UK ; Rochester, NY : D.S. Brewer, 2001.</t>
        </is>
      </c>
      <c r="O540" t="inlineStr">
        <is>
          <t>2001</t>
        </is>
      </c>
      <c r="Q540" t="inlineStr">
        <is>
          <t>eng</t>
        </is>
      </c>
      <c r="R540" t="inlineStr">
        <is>
          <t>nyu</t>
        </is>
      </c>
      <c r="T540" t="inlineStr">
        <is>
          <t xml:space="preserve">PR </t>
        </is>
      </c>
      <c r="U540" t="n">
        <v>2</v>
      </c>
      <c r="V540" t="n">
        <v>2</v>
      </c>
      <c r="W540" t="inlineStr">
        <is>
          <t>2002-11-11</t>
        </is>
      </c>
      <c r="X540" t="inlineStr">
        <is>
          <t>2002-11-11</t>
        </is>
      </c>
      <c r="Y540" t="inlineStr">
        <is>
          <t>2002-05-06</t>
        </is>
      </c>
      <c r="Z540" t="inlineStr">
        <is>
          <t>2002-05-06</t>
        </is>
      </c>
      <c r="AA540" t="n">
        <v>206</v>
      </c>
      <c r="AB540" t="n">
        <v>140</v>
      </c>
      <c r="AC540" t="n">
        <v>140</v>
      </c>
      <c r="AD540" t="n">
        <v>1</v>
      </c>
      <c r="AE540" t="n">
        <v>1</v>
      </c>
      <c r="AF540" t="n">
        <v>11</v>
      </c>
      <c r="AG540" t="n">
        <v>11</v>
      </c>
      <c r="AH540" t="n">
        <v>3</v>
      </c>
      <c r="AI540" t="n">
        <v>3</v>
      </c>
      <c r="AJ540" t="n">
        <v>4</v>
      </c>
      <c r="AK540" t="n">
        <v>4</v>
      </c>
      <c r="AL540" t="n">
        <v>6</v>
      </c>
      <c r="AM540" t="n">
        <v>6</v>
      </c>
      <c r="AN540" t="n">
        <v>0</v>
      </c>
      <c r="AO540" t="n">
        <v>0</v>
      </c>
      <c r="AP540" t="n">
        <v>0</v>
      </c>
      <c r="AQ540" t="n">
        <v>0</v>
      </c>
      <c r="AR540" t="inlineStr">
        <is>
          <t>No</t>
        </is>
      </c>
      <c r="AS540" t="inlineStr">
        <is>
          <t>No</t>
        </is>
      </c>
      <c r="AU540">
        <f>HYPERLINK("https://creighton-primo.hosted.exlibrisgroup.com/primo-explore/search?tab=default_tab&amp;search_scope=EVERYTHING&amp;vid=01CRU&amp;lang=en_US&amp;offset=0&amp;query=any,contains,991003791779702656","Catalog Record")</f>
        <v/>
      </c>
      <c r="AV540">
        <f>HYPERLINK("http://www.worldcat.org/oclc/46641853","WorldCat Record")</f>
        <v/>
      </c>
      <c r="AW540" t="inlineStr">
        <is>
          <t>36189851:eng</t>
        </is>
      </c>
      <c r="AX540" t="inlineStr">
        <is>
          <t>46641853</t>
        </is>
      </c>
      <c r="AY540" t="inlineStr">
        <is>
          <t>991003791779702656</t>
        </is>
      </c>
      <c r="AZ540" t="inlineStr">
        <is>
          <t>991003791779702656</t>
        </is>
      </c>
      <c r="BA540" t="inlineStr">
        <is>
          <t>2265258650002656</t>
        </is>
      </c>
      <c r="BB540" t="inlineStr">
        <is>
          <t>BOOK</t>
        </is>
      </c>
      <c r="BD540" t="inlineStr">
        <is>
          <t>9780859916226</t>
        </is>
      </c>
      <c r="BE540" t="inlineStr">
        <is>
          <t>32285004485644</t>
        </is>
      </c>
      <c r="BF540" t="inlineStr">
        <is>
          <t>893531600</t>
        </is>
      </c>
    </row>
    <row r="541">
      <c r="A541" t="inlineStr">
        <is>
          <t>No</t>
        </is>
      </c>
      <c r="B541" t="inlineStr">
        <is>
          <t>CURAL</t>
        </is>
      </c>
      <c r="C541" t="inlineStr">
        <is>
          <t>SHELVES</t>
        </is>
      </c>
      <c r="D541" t="inlineStr">
        <is>
          <t>PR275.W6 S65 1995</t>
        </is>
      </c>
      <c r="E541" t="inlineStr">
        <is>
          <t>0                      PR 0275000W  6                  S  65          1995</t>
        </is>
      </c>
      <c r="F541" t="inlineStr">
        <is>
          <t>Sovereign lady : essays on women in Middle English literature / edited by Muriel Whitaker.</t>
        </is>
      </c>
      <c r="H541" t="inlineStr">
        <is>
          <t>No</t>
        </is>
      </c>
      <c r="I541" t="inlineStr">
        <is>
          <t>1</t>
        </is>
      </c>
      <c r="J541" t="inlineStr">
        <is>
          <t>No</t>
        </is>
      </c>
      <c r="K541" t="inlineStr">
        <is>
          <t>No</t>
        </is>
      </c>
      <c r="L541" t="inlineStr">
        <is>
          <t>0</t>
        </is>
      </c>
      <c r="N541" t="inlineStr">
        <is>
          <t>New York : Garland Pub., 1995.</t>
        </is>
      </c>
      <c r="O541" t="inlineStr">
        <is>
          <t>1995</t>
        </is>
      </c>
      <c r="Q541" t="inlineStr">
        <is>
          <t>eng</t>
        </is>
      </c>
      <c r="R541" t="inlineStr">
        <is>
          <t>nyu</t>
        </is>
      </c>
      <c r="S541" t="inlineStr">
        <is>
          <t>Garland medieval casebooks ; vol. 11</t>
        </is>
      </c>
      <c r="T541" t="inlineStr">
        <is>
          <t xml:space="preserve">PR </t>
        </is>
      </c>
      <c r="U541" t="n">
        <v>10</v>
      </c>
      <c r="V541" t="n">
        <v>10</v>
      </c>
      <c r="W541" t="inlineStr">
        <is>
          <t>2000-04-10</t>
        </is>
      </c>
      <c r="X541" t="inlineStr">
        <is>
          <t>2000-04-10</t>
        </is>
      </c>
      <c r="Y541" t="inlineStr">
        <is>
          <t>1995-05-10</t>
        </is>
      </c>
      <c r="Z541" t="inlineStr">
        <is>
          <t>1995-05-10</t>
        </is>
      </c>
      <c r="AA541" t="n">
        <v>280</v>
      </c>
      <c r="AB541" t="n">
        <v>206</v>
      </c>
      <c r="AC541" t="n">
        <v>206</v>
      </c>
      <c r="AD541" t="n">
        <v>3</v>
      </c>
      <c r="AE541" t="n">
        <v>3</v>
      </c>
      <c r="AF541" t="n">
        <v>13</v>
      </c>
      <c r="AG541" t="n">
        <v>13</v>
      </c>
      <c r="AH541" t="n">
        <v>3</v>
      </c>
      <c r="AI541" t="n">
        <v>3</v>
      </c>
      <c r="AJ541" t="n">
        <v>3</v>
      </c>
      <c r="AK541" t="n">
        <v>3</v>
      </c>
      <c r="AL541" t="n">
        <v>10</v>
      </c>
      <c r="AM541" t="n">
        <v>10</v>
      </c>
      <c r="AN541" t="n">
        <v>2</v>
      </c>
      <c r="AO541" t="n">
        <v>2</v>
      </c>
      <c r="AP541" t="n">
        <v>0</v>
      </c>
      <c r="AQ541" t="n">
        <v>0</v>
      </c>
      <c r="AR541" t="inlineStr">
        <is>
          <t>No</t>
        </is>
      </c>
      <c r="AS541" t="inlineStr">
        <is>
          <t>No</t>
        </is>
      </c>
      <c r="AU541">
        <f>HYPERLINK("https://creighton-primo.hosted.exlibrisgroup.com/primo-explore/search?tab=default_tab&amp;search_scope=EVERYTHING&amp;vid=01CRU&amp;lang=en_US&amp;offset=0&amp;query=any,contains,991002382049702656","Catalog Record")</f>
        <v/>
      </c>
      <c r="AV541">
        <f>HYPERLINK("http://www.worldcat.org/oclc/30971553","WorldCat Record")</f>
        <v/>
      </c>
      <c r="AW541" t="inlineStr">
        <is>
          <t>836928978:eng</t>
        </is>
      </c>
      <c r="AX541" t="inlineStr">
        <is>
          <t>30971553</t>
        </is>
      </c>
      <c r="AY541" t="inlineStr">
        <is>
          <t>991002382049702656</t>
        </is>
      </c>
      <c r="AZ541" t="inlineStr">
        <is>
          <t>991002382049702656</t>
        </is>
      </c>
      <c r="BA541" t="inlineStr">
        <is>
          <t>2260821160002656</t>
        </is>
      </c>
      <c r="BB541" t="inlineStr">
        <is>
          <t>BOOK</t>
        </is>
      </c>
      <c r="BD541" t="inlineStr">
        <is>
          <t>9780815318880</t>
        </is>
      </c>
      <c r="BE541" t="inlineStr">
        <is>
          <t>32285002039047</t>
        </is>
      </c>
      <c r="BF541" t="inlineStr">
        <is>
          <t>893421275</t>
        </is>
      </c>
    </row>
    <row r="542">
      <c r="A542" t="inlineStr">
        <is>
          <t>No</t>
        </is>
      </c>
      <c r="B542" t="inlineStr">
        <is>
          <t>CURAL</t>
        </is>
      </c>
      <c r="C542" t="inlineStr">
        <is>
          <t>SHELVES</t>
        </is>
      </c>
      <c r="D542" t="inlineStr">
        <is>
          <t>PR2753.K7 W5 1972</t>
        </is>
      </c>
      <c r="E542" t="inlineStr">
        <is>
          <t>0                      PR 2753000K  7                  W  5           1972</t>
        </is>
      </c>
      <c r="F542" t="inlineStr">
        <is>
          <t>William Shakspere : a biography.</t>
        </is>
      </c>
      <c r="H542" t="inlineStr">
        <is>
          <t>No</t>
        </is>
      </c>
      <c r="I542" t="inlineStr">
        <is>
          <t>1</t>
        </is>
      </c>
      <c r="J542" t="inlineStr">
        <is>
          <t>No</t>
        </is>
      </c>
      <c r="K542" t="inlineStr">
        <is>
          <t>No</t>
        </is>
      </c>
      <c r="L542" t="inlineStr">
        <is>
          <t>0</t>
        </is>
      </c>
      <c r="M542" t="inlineStr">
        <is>
          <t>Knight, Charles, 1791-1873.</t>
        </is>
      </c>
      <c r="N542" t="inlineStr">
        <is>
          <t>[New York : AMS Press, 1972]</t>
        </is>
      </c>
      <c r="O542" t="inlineStr">
        <is>
          <t>1972</t>
        </is>
      </c>
      <c r="Q542" t="inlineStr">
        <is>
          <t>eng</t>
        </is>
      </c>
      <c r="R542" t="inlineStr">
        <is>
          <t>nyu</t>
        </is>
      </c>
      <c r="T542" t="inlineStr">
        <is>
          <t xml:space="preserve">PR </t>
        </is>
      </c>
      <c r="U542" t="n">
        <v>3</v>
      </c>
      <c r="V542" t="n">
        <v>3</v>
      </c>
      <c r="W542" t="inlineStr">
        <is>
          <t>1996-11-03</t>
        </is>
      </c>
      <c r="X542" t="inlineStr">
        <is>
          <t>1996-11-03</t>
        </is>
      </c>
      <c r="Y542" t="inlineStr">
        <is>
          <t>1991-10-16</t>
        </is>
      </c>
      <c r="Z542" t="inlineStr">
        <is>
          <t>1991-10-16</t>
        </is>
      </c>
      <c r="AA542" t="n">
        <v>77</v>
      </c>
      <c r="AB542" t="n">
        <v>69</v>
      </c>
      <c r="AC542" t="n">
        <v>203</v>
      </c>
      <c r="AD542" t="n">
        <v>1</v>
      </c>
      <c r="AE542" t="n">
        <v>2</v>
      </c>
      <c r="AF542" t="n">
        <v>2</v>
      </c>
      <c r="AG542" t="n">
        <v>8</v>
      </c>
      <c r="AH542" t="n">
        <v>0</v>
      </c>
      <c r="AI542" t="n">
        <v>2</v>
      </c>
      <c r="AJ542" t="n">
        <v>0</v>
      </c>
      <c r="AK542" t="n">
        <v>2</v>
      </c>
      <c r="AL542" t="n">
        <v>2</v>
      </c>
      <c r="AM542" t="n">
        <v>4</v>
      </c>
      <c r="AN542" t="n">
        <v>0</v>
      </c>
      <c r="AO542" t="n">
        <v>1</v>
      </c>
      <c r="AP542" t="n">
        <v>0</v>
      </c>
      <c r="AQ542" t="n">
        <v>0</v>
      </c>
      <c r="AR542" t="inlineStr">
        <is>
          <t>No</t>
        </is>
      </c>
      <c r="AS542" t="inlineStr">
        <is>
          <t>No</t>
        </is>
      </c>
      <c r="AU542">
        <f>HYPERLINK("https://creighton-primo.hosted.exlibrisgroup.com/primo-explore/search?tab=default_tab&amp;search_scope=EVERYTHING&amp;vid=01CRU&amp;lang=en_US&amp;offset=0&amp;query=any,contains,991001949979702656","Catalog Record")</f>
        <v/>
      </c>
      <c r="AV542">
        <f>HYPERLINK("http://www.worldcat.org/oclc/251612","WorldCat Record")</f>
        <v/>
      </c>
      <c r="AW542" t="inlineStr">
        <is>
          <t>3856515898:eng</t>
        </is>
      </c>
      <c r="AX542" t="inlineStr">
        <is>
          <t>251612</t>
        </is>
      </c>
      <c r="AY542" t="inlineStr">
        <is>
          <t>991001949979702656</t>
        </is>
      </c>
      <c r="AZ542" t="inlineStr">
        <is>
          <t>991001949979702656</t>
        </is>
      </c>
      <c r="BA542" t="inlineStr">
        <is>
          <t>2268571900002656</t>
        </is>
      </c>
      <c r="BB542" t="inlineStr">
        <is>
          <t>BOOK</t>
        </is>
      </c>
      <c r="BD542" t="inlineStr">
        <is>
          <t>9780404037345</t>
        </is>
      </c>
      <c r="BE542" t="inlineStr">
        <is>
          <t>32285000774363</t>
        </is>
      </c>
      <c r="BF542" t="inlineStr">
        <is>
          <t>893621753</t>
        </is>
      </c>
    </row>
    <row r="543">
      <c r="A543" t="inlineStr">
        <is>
          <t>No</t>
        </is>
      </c>
      <c r="B543" t="inlineStr">
        <is>
          <t>CURAL</t>
        </is>
      </c>
      <c r="C543" t="inlineStr">
        <is>
          <t>SHELVES</t>
        </is>
      </c>
      <c r="D543" t="inlineStr">
        <is>
          <t>PR2754 .B86 1938</t>
        </is>
      </c>
      <c r="E543" t="inlineStr">
        <is>
          <t>0                      PR 2754000B  86          1938</t>
        </is>
      </c>
      <c r="F543" t="inlineStr">
        <is>
          <t>The works of William Shakespeare gathered into one volume.</t>
        </is>
      </c>
      <c r="H543" t="inlineStr">
        <is>
          <t>No</t>
        </is>
      </c>
      <c r="I543" t="inlineStr">
        <is>
          <t>1</t>
        </is>
      </c>
      <c r="J543" t="inlineStr">
        <is>
          <t>No</t>
        </is>
      </c>
      <c r="K543" t="inlineStr">
        <is>
          <t>No</t>
        </is>
      </c>
      <c r="L543" t="inlineStr">
        <is>
          <t>0</t>
        </is>
      </c>
      <c r="M543" t="inlineStr">
        <is>
          <t>Shakespeare, William, 1564-1616.</t>
        </is>
      </c>
      <c r="N543" t="inlineStr">
        <is>
          <t>New York : The Shakespeare Head Press edition pub. by the Oxford University Press, [1938]</t>
        </is>
      </c>
      <c r="O543" t="inlineStr">
        <is>
          <t>1938</t>
        </is>
      </c>
      <c r="Q543" t="inlineStr">
        <is>
          <t>eng</t>
        </is>
      </c>
      <c r="R543" t="inlineStr">
        <is>
          <t>nyu</t>
        </is>
      </c>
      <c r="T543" t="inlineStr">
        <is>
          <t xml:space="preserve">PR </t>
        </is>
      </c>
      <c r="U543" t="n">
        <v>5</v>
      </c>
      <c r="V543" t="n">
        <v>5</v>
      </c>
      <c r="W543" t="inlineStr">
        <is>
          <t>1998-12-12</t>
        </is>
      </c>
      <c r="X543" t="inlineStr">
        <is>
          <t>1998-12-12</t>
        </is>
      </c>
      <c r="Y543" t="inlineStr">
        <is>
          <t>1991-10-10</t>
        </is>
      </c>
      <c r="Z543" t="inlineStr">
        <is>
          <t>1991-10-10</t>
        </is>
      </c>
      <c r="AA543" t="n">
        <v>500</v>
      </c>
      <c r="AB543" t="n">
        <v>474</v>
      </c>
      <c r="AC543" t="n">
        <v>667</v>
      </c>
      <c r="AD543" t="n">
        <v>4</v>
      </c>
      <c r="AE543" t="n">
        <v>5</v>
      </c>
      <c r="AF543" t="n">
        <v>16</v>
      </c>
      <c r="AG543" t="n">
        <v>20</v>
      </c>
      <c r="AH543" t="n">
        <v>3</v>
      </c>
      <c r="AI543" t="n">
        <v>3</v>
      </c>
      <c r="AJ543" t="n">
        <v>4</v>
      </c>
      <c r="AK543" t="n">
        <v>4</v>
      </c>
      <c r="AL543" t="n">
        <v>9</v>
      </c>
      <c r="AM543" t="n">
        <v>13</v>
      </c>
      <c r="AN543" t="n">
        <v>3</v>
      </c>
      <c r="AO543" t="n">
        <v>3</v>
      </c>
      <c r="AP543" t="n">
        <v>0</v>
      </c>
      <c r="AQ543" t="n">
        <v>0</v>
      </c>
      <c r="AR543" t="inlineStr">
        <is>
          <t>Yes</t>
        </is>
      </c>
      <c r="AS543" t="inlineStr">
        <is>
          <t>No</t>
        </is>
      </c>
      <c r="AT543">
        <f>HYPERLINK("http://catalog.hathitrust.org/Record/001360569","HathiTrust Record")</f>
        <v/>
      </c>
      <c r="AU543">
        <f>HYPERLINK("https://creighton-primo.hosted.exlibrisgroup.com/primo-explore/search?tab=default_tab&amp;search_scope=EVERYTHING&amp;vid=01CRU&amp;lang=en_US&amp;offset=0&amp;query=any,contains,991002458059702656","Catalog Record")</f>
        <v/>
      </c>
      <c r="AV543">
        <f>HYPERLINK("http://www.worldcat.org/oclc/355073","WorldCat Record")</f>
        <v/>
      </c>
      <c r="AW543" t="inlineStr">
        <is>
          <t>6833990:eng</t>
        </is>
      </c>
      <c r="AX543" t="inlineStr">
        <is>
          <t>355073</t>
        </is>
      </c>
      <c r="AY543" t="inlineStr">
        <is>
          <t>991002458059702656</t>
        </is>
      </c>
      <c r="AZ543" t="inlineStr">
        <is>
          <t>991002458059702656</t>
        </is>
      </c>
      <c r="BA543" t="inlineStr">
        <is>
          <t>2264560030002656</t>
        </is>
      </c>
      <c r="BB543" t="inlineStr">
        <is>
          <t>BOOK</t>
        </is>
      </c>
      <c r="BE543" t="inlineStr">
        <is>
          <t>32285000774371</t>
        </is>
      </c>
      <c r="BF543" t="inlineStr">
        <is>
          <t>893879948</t>
        </is>
      </c>
    </row>
    <row r="544">
      <c r="A544" t="inlineStr">
        <is>
          <t>No</t>
        </is>
      </c>
      <c r="B544" t="inlineStr">
        <is>
          <t>CURAL</t>
        </is>
      </c>
      <c r="C544" t="inlineStr">
        <is>
          <t>SHELVES</t>
        </is>
      </c>
      <c r="D544" t="inlineStr">
        <is>
          <t>PR2802 .L3</t>
        </is>
      </c>
      <c r="E544" t="inlineStr">
        <is>
          <t>0                      PR 2802000L  3</t>
        </is>
      </c>
      <c r="F544" t="inlineStr">
        <is>
          <t>Antony and Cleopatra on the English stage / Margaret Lamb.</t>
        </is>
      </c>
      <c r="H544" t="inlineStr">
        <is>
          <t>No</t>
        </is>
      </c>
      <c r="I544" t="inlineStr">
        <is>
          <t>1</t>
        </is>
      </c>
      <c r="J544" t="inlineStr">
        <is>
          <t>No</t>
        </is>
      </c>
      <c r="K544" t="inlineStr">
        <is>
          <t>No</t>
        </is>
      </c>
      <c r="L544" t="inlineStr">
        <is>
          <t>0</t>
        </is>
      </c>
      <c r="M544" t="inlineStr">
        <is>
          <t>Lamb, Margaret, 1936-2011.</t>
        </is>
      </c>
      <c r="N544" t="inlineStr">
        <is>
          <t>Rutherford [N.J.] : Fairleigh Dickinson University Press, c1980.</t>
        </is>
      </c>
      <c r="O544" t="inlineStr">
        <is>
          <t>1980</t>
        </is>
      </c>
      <c r="Q544" t="inlineStr">
        <is>
          <t>eng</t>
        </is>
      </c>
      <c r="R544" t="inlineStr">
        <is>
          <t>nju</t>
        </is>
      </c>
      <c r="T544" t="inlineStr">
        <is>
          <t xml:space="preserve">PR </t>
        </is>
      </c>
      <c r="U544" t="n">
        <v>3</v>
      </c>
      <c r="V544" t="n">
        <v>3</v>
      </c>
      <c r="W544" t="inlineStr">
        <is>
          <t>2005-11-02</t>
        </is>
      </c>
      <c r="X544" t="inlineStr">
        <is>
          <t>2005-11-02</t>
        </is>
      </c>
      <c r="Y544" t="inlineStr">
        <is>
          <t>1991-10-10</t>
        </is>
      </c>
      <c r="Z544" t="inlineStr">
        <is>
          <t>1991-10-10</t>
        </is>
      </c>
      <c r="AA544" t="n">
        <v>346</v>
      </c>
      <c r="AB544" t="n">
        <v>265</v>
      </c>
      <c r="AC544" t="n">
        <v>272</v>
      </c>
      <c r="AD544" t="n">
        <v>3</v>
      </c>
      <c r="AE544" t="n">
        <v>3</v>
      </c>
      <c r="AF544" t="n">
        <v>10</v>
      </c>
      <c r="AG544" t="n">
        <v>11</v>
      </c>
      <c r="AH544" t="n">
        <v>1</v>
      </c>
      <c r="AI544" t="n">
        <v>1</v>
      </c>
      <c r="AJ544" t="n">
        <v>2</v>
      </c>
      <c r="AK544" t="n">
        <v>3</v>
      </c>
      <c r="AL544" t="n">
        <v>6</v>
      </c>
      <c r="AM544" t="n">
        <v>7</v>
      </c>
      <c r="AN544" t="n">
        <v>2</v>
      </c>
      <c r="AO544" t="n">
        <v>2</v>
      </c>
      <c r="AP544" t="n">
        <v>0</v>
      </c>
      <c r="AQ544" t="n">
        <v>0</v>
      </c>
      <c r="AR544" t="inlineStr">
        <is>
          <t>No</t>
        </is>
      </c>
      <c r="AS544" t="inlineStr">
        <is>
          <t>Yes</t>
        </is>
      </c>
      <c r="AT544">
        <f>HYPERLINK("http://catalog.hathitrust.org/Record/000705971","HathiTrust Record")</f>
        <v/>
      </c>
      <c r="AU544">
        <f>HYPERLINK("https://creighton-primo.hosted.exlibrisgroup.com/primo-explore/search?tab=default_tab&amp;search_scope=EVERYTHING&amp;vid=01CRU&amp;lang=en_US&amp;offset=0&amp;query=any,contains,991004793499702656","Catalog Record")</f>
        <v/>
      </c>
      <c r="AV544">
        <f>HYPERLINK("http://www.worldcat.org/oclc/5172379","WorldCat Record")</f>
        <v/>
      </c>
      <c r="AW544" t="inlineStr">
        <is>
          <t>141787057:eng</t>
        </is>
      </c>
      <c r="AX544" t="inlineStr">
        <is>
          <t>5172379</t>
        </is>
      </c>
      <c r="AY544" t="inlineStr">
        <is>
          <t>991004793499702656</t>
        </is>
      </c>
      <c r="AZ544" t="inlineStr">
        <is>
          <t>991004793499702656</t>
        </is>
      </c>
      <c r="BA544" t="inlineStr">
        <is>
          <t>2256279120002656</t>
        </is>
      </c>
      <c r="BB544" t="inlineStr">
        <is>
          <t>BOOK</t>
        </is>
      </c>
      <c r="BD544" t="inlineStr">
        <is>
          <t>9780838621981</t>
        </is>
      </c>
      <c r="BE544" t="inlineStr">
        <is>
          <t>32285000774520</t>
        </is>
      </c>
      <c r="BF544" t="inlineStr">
        <is>
          <t>893507245</t>
        </is>
      </c>
    </row>
    <row r="545">
      <c r="A545" t="inlineStr">
        <is>
          <t>No</t>
        </is>
      </c>
      <c r="B545" t="inlineStr">
        <is>
          <t>CURAL</t>
        </is>
      </c>
      <c r="C545" t="inlineStr">
        <is>
          <t>SHELVES</t>
        </is>
      </c>
      <c r="D545" t="inlineStr">
        <is>
          <t>PR2804 .C66 1997</t>
        </is>
      </c>
      <c r="E545" t="inlineStr">
        <is>
          <t>0                      PR 2804000C  66          1997</t>
        </is>
      </c>
      <c r="F545" t="inlineStr">
        <is>
          <t>The Comedy of errors : critical essays / edited by Robert S. Miola.</t>
        </is>
      </c>
      <c r="H545" t="inlineStr">
        <is>
          <t>No</t>
        </is>
      </c>
      <c r="I545" t="inlineStr">
        <is>
          <t>1</t>
        </is>
      </c>
      <c r="J545" t="inlineStr">
        <is>
          <t>No</t>
        </is>
      </c>
      <c r="K545" t="inlineStr">
        <is>
          <t>No</t>
        </is>
      </c>
      <c r="L545" t="inlineStr">
        <is>
          <t>0</t>
        </is>
      </c>
      <c r="N545" t="inlineStr">
        <is>
          <t>New York : Garland Pub., 1997.</t>
        </is>
      </c>
      <c r="O545" t="inlineStr">
        <is>
          <t>1997</t>
        </is>
      </c>
      <c r="Q545" t="inlineStr">
        <is>
          <t>eng</t>
        </is>
      </c>
      <c r="R545" t="inlineStr">
        <is>
          <t>nyu</t>
        </is>
      </c>
      <c r="S545" t="inlineStr">
        <is>
          <t>Garland reference library of the humanities ; v. 1897</t>
        </is>
      </c>
      <c r="T545" t="inlineStr">
        <is>
          <t xml:space="preserve">PR </t>
        </is>
      </c>
      <c r="U545" t="n">
        <v>2</v>
      </c>
      <c r="V545" t="n">
        <v>2</v>
      </c>
      <c r="W545" t="inlineStr">
        <is>
          <t>1997-11-12</t>
        </is>
      </c>
      <c r="X545" t="inlineStr">
        <is>
          <t>1997-11-12</t>
        </is>
      </c>
      <c r="Y545" t="inlineStr">
        <is>
          <t>1997-09-05</t>
        </is>
      </c>
      <c r="Z545" t="inlineStr">
        <is>
          <t>1997-09-05</t>
        </is>
      </c>
      <c r="AA545" t="n">
        <v>402</v>
      </c>
      <c r="AB545" t="n">
        <v>338</v>
      </c>
      <c r="AC545" t="n">
        <v>417</v>
      </c>
      <c r="AD545" t="n">
        <v>2</v>
      </c>
      <c r="AE545" t="n">
        <v>3</v>
      </c>
      <c r="AF545" t="n">
        <v>27</v>
      </c>
      <c r="AG545" t="n">
        <v>32</v>
      </c>
      <c r="AH545" t="n">
        <v>14</v>
      </c>
      <c r="AI545" t="n">
        <v>15</v>
      </c>
      <c r="AJ545" t="n">
        <v>5</v>
      </c>
      <c r="AK545" t="n">
        <v>6</v>
      </c>
      <c r="AL545" t="n">
        <v>15</v>
      </c>
      <c r="AM545" t="n">
        <v>18</v>
      </c>
      <c r="AN545" t="n">
        <v>1</v>
      </c>
      <c r="AO545" t="n">
        <v>2</v>
      </c>
      <c r="AP545" t="n">
        <v>0</v>
      </c>
      <c r="AQ545" t="n">
        <v>0</v>
      </c>
      <c r="AR545" t="inlineStr">
        <is>
          <t>No</t>
        </is>
      </c>
      <c r="AS545" t="inlineStr">
        <is>
          <t>No</t>
        </is>
      </c>
      <c r="AU545">
        <f>HYPERLINK("https://creighton-primo.hosted.exlibrisgroup.com/primo-explore/search?tab=default_tab&amp;search_scope=EVERYTHING&amp;vid=01CRU&amp;lang=en_US&amp;offset=0&amp;query=any,contains,991002782619702656","Catalog Record")</f>
        <v/>
      </c>
      <c r="AV545">
        <f>HYPERLINK("http://www.worldcat.org/oclc/36528424","WorldCat Record")</f>
        <v/>
      </c>
      <c r="AW545" t="inlineStr">
        <is>
          <t>836917370:eng</t>
        </is>
      </c>
      <c r="AX545" t="inlineStr">
        <is>
          <t>36528424</t>
        </is>
      </c>
      <c r="AY545" t="inlineStr">
        <is>
          <t>991002782619702656</t>
        </is>
      </c>
      <c r="AZ545" t="inlineStr">
        <is>
          <t>991002782619702656</t>
        </is>
      </c>
      <c r="BA545" t="inlineStr">
        <is>
          <t>2262713360002656</t>
        </is>
      </c>
      <c r="BB545" t="inlineStr">
        <is>
          <t>BOOK</t>
        </is>
      </c>
      <c r="BD545" t="inlineStr">
        <is>
          <t>9780815319979</t>
        </is>
      </c>
      <c r="BE545" t="inlineStr">
        <is>
          <t>32285003003950</t>
        </is>
      </c>
      <c r="BF545" t="inlineStr">
        <is>
          <t>893535191</t>
        </is>
      </c>
    </row>
    <row r="546">
      <c r="A546" t="inlineStr">
        <is>
          <t>No</t>
        </is>
      </c>
      <c r="B546" t="inlineStr">
        <is>
          <t>CURAL</t>
        </is>
      </c>
      <c r="C546" t="inlineStr">
        <is>
          <t>SHELVES</t>
        </is>
      </c>
      <c r="D546" t="inlineStr">
        <is>
          <t>PR2805 .P6 1988</t>
        </is>
      </c>
      <c r="E546" t="inlineStr">
        <is>
          <t>0                      PR 2805000P  6           1988</t>
        </is>
      </c>
      <c r="F546" t="inlineStr">
        <is>
          <t>Coriolanus / Adrian Poole.</t>
        </is>
      </c>
      <c r="H546" t="inlineStr">
        <is>
          <t>No</t>
        </is>
      </c>
      <c r="I546" t="inlineStr">
        <is>
          <t>1</t>
        </is>
      </c>
      <c r="J546" t="inlineStr">
        <is>
          <t>No</t>
        </is>
      </c>
      <c r="K546" t="inlineStr">
        <is>
          <t>No</t>
        </is>
      </c>
      <c r="L546" t="inlineStr">
        <is>
          <t>0</t>
        </is>
      </c>
      <c r="M546" t="inlineStr">
        <is>
          <t>Poole, Adrian.</t>
        </is>
      </c>
      <c r="N546" t="inlineStr">
        <is>
          <t>Boston : Twayne Publishers, 1988.</t>
        </is>
      </c>
      <c r="O546" t="inlineStr">
        <is>
          <t>1988</t>
        </is>
      </c>
      <c r="Q546" t="inlineStr">
        <is>
          <t>eng</t>
        </is>
      </c>
      <c r="R546" t="inlineStr">
        <is>
          <t>mau</t>
        </is>
      </c>
      <c r="S546" t="inlineStr">
        <is>
          <t>Twayne's new critical introductions to Shakespeare</t>
        </is>
      </c>
      <c r="T546" t="inlineStr">
        <is>
          <t xml:space="preserve">PR </t>
        </is>
      </c>
      <c r="U546" t="n">
        <v>6</v>
      </c>
      <c r="V546" t="n">
        <v>6</v>
      </c>
      <c r="W546" t="inlineStr">
        <is>
          <t>1996-03-29</t>
        </is>
      </c>
      <c r="X546" t="inlineStr">
        <is>
          <t>1996-03-29</t>
        </is>
      </c>
      <c r="Y546" t="inlineStr">
        <is>
          <t>1991-10-10</t>
        </is>
      </c>
      <c r="Z546" t="inlineStr">
        <is>
          <t>1991-10-10</t>
        </is>
      </c>
      <c r="AA546" t="n">
        <v>812</v>
      </c>
      <c r="AB546" t="n">
        <v>759</v>
      </c>
      <c r="AC546" t="n">
        <v>796</v>
      </c>
      <c r="AD546" t="n">
        <v>7</v>
      </c>
      <c r="AE546" t="n">
        <v>8</v>
      </c>
      <c r="AF546" t="n">
        <v>23</v>
      </c>
      <c r="AG546" t="n">
        <v>25</v>
      </c>
      <c r="AH546" t="n">
        <v>11</v>
      </c>
      <c r="AI546" t="n">
        <v>11</v>
      </c>
      <c r="AJ546" t="n">
        <v>2</v>
      </c>
      <c r="AK546" t="n">
        <v>3</v>
      </c>
      <c r="AL546" t="n">
        <v>8</v>
      </c>
      <c r="AM546" t="n">
        <v>9</v>
      </c>
      <c r="AN546" t="n">
        <v>6</v>
      </c>
      <c r="AO546" t="n">
        <v>7</v>
      </c>
      <c r="AP546" t="n">
        <v>0</v>
      </c>
      <c r="AQ546" t="n">
        <v>0</v>
      </c>
      <c r="AR546" t="inlineStr">
        <is>
          <t>No</t>
        </is>
      </c>
      <c r="AS546" t="inlineStr">
        <is>
          <t>No</t>
        </is>
      </c>
      <c r="AU546">
        <f>HYPERLINK("https://creighton-primo.hosted.exlibrisgroup.com/primo-explore/search?tab=default_tab&amp;search_scope=EVERYTHING&amp;vid=01CRU&amp;lang=en_US&amp;offset=0&amp;query=any,contains,991001321189702656","Catalog Record")</f>
        <v/>
      </c>
      <c r="AV546">
        <f>HYPERLINK("http://www.worldcat.org/oclc/18225145","WorldCat Record")</f>
        <v/>
      </c>
      <c r="AW546" t="inlineStr">
        <is>
          <t>1934962108:eng</t>
        </is>
      </c>
      <c r="AX546" t="inlineStr">
        <is>
          <t>18225145</t>
        </is>
      </c>
      <c r="AY546" t="inlineStr">
        <is>
          <t>991001321189702656</t>
        </is>
      </c>
      <c r="AZ546" t="inlineStr">
        <is>
          <t>991001321189702656</t>
        </is>
      </c>
      <c r="BA546" t="inlineStr">
        <is>
          <t>2264251160002656</t>
        </is>
      </c>
      <c r="BB546" t="inlineStr">
        <is>
          <t>BOOK</t>
        </is>
      </c>
      <c r="BD546" t="inlineStr">
        <is>
          <t>9780805787139</t>
        </is>
      </c>
      <c r="BE546" t="inlineStr">
        <is>
          <t>32285000774579</t>
        </is>
      </c>
      <c r="BF546" t="inlineStr">
        <is>
          <t>893797485</t>
        </is>
      </c>
    </row>
    <row r="547">
      <c r="A547" t="inlineStr">
        <is>
          <t>No</t>
        </is>
      </c>
      <c r="B547" t="inlineStr">
        <is>
          <t>CURAL</t>
        </is>
      </c>
      <c r="C547" t="inlineStr">
        <is>
          <t>SHELVES</t>
        </is>
      </c>
      <c r="D547" t="inlineStr">
        <is>
          <t>PR2807 .B22 1961</t>
        </is>
      </c>
      <c r="E547" t="inlineStr">
        <is>
          <t>0                      PR 2807000B  22          1961</t>
        </is>
      </c>
      <c r="F547" t="inlineStr">
        <is>
          <t>Hamlet, a tragedy of errors / by Weston Babcock.</t>
        </is>
      </c>
      <c r="H547" t="inlineStr">
        <is>
          <t>No</t>
        </is>
      </c>
      <c r="I547" t="inlineStr">
        <is>
          <t>1</t>
        </is>
      </c>
      <c r="J547" t="inlineStr">
        <is>
          <t>No</t>
        </is>
      </c>
      <c r="K547" t="inlineStr">
        <is>
          <t>No</t>
        </is>
      </c>
      <c r="L547" t="inlineStr">
        <is>
          <t>0</t>
        </is>
      </c>
      <c r="M547" t="inlineStr">
        <is>
          <t>Babcock, Weston, 1893-</t>
        </is>
      </c>
      <c r="O547" t="inlineStr">
        <is>
          <t>1961</t>
        </is>
      </c>
      <c r="Q547" t="inlineStr">
        <is>
          <t>eng</t>
        </is>
      </c>
      <c r="R547" t="inlineStr">
        <is>
          <t>inu</t>
        </is>
      </c>
      <c r="S547" t="inlineStr">
        <is>
          <t>Purdue University studies. Humanities series</t>
        </is>
      </c>
      <c r="T547" t="inlineStr">
        <is>
          <t xml:space="preserve">PR </t>
        </is>
      </c>
      <c r="U547" t="n">
        <v>3</v>
      </c>
      <c r="V547" t="n">
        <v>3</v>
      </c>
      <c r="W547" t="inlineStr">
        <is>
          <t>2003-12-03</t>
        </is>
      </c>
      <c r="X547" t="inlineStr">
        <is>
          <t>2003-12-03</t>
        </is>
      </c>
      <c r="Y547" t="inlineStr">
        <is>
          <t>2001-07-12</t>
        </is>
      </c>
      <c r="Z547" t="inlineStr">
        <is>
          <t>2001-07-12</t>
        </is>
      </c>
      <c r="AA547" t="n">
        <v>383</v>
      </c>
      <c r="AB547" t="n">
        <v>339</v>
      </c>
      <c r="AC547" t="n">
        <v>363</v>
      </c>
      <c r="AD547" t="n">
        <v>2</v>
      </c>
      <c r="AE547" t="n">
        <v>2</v>
      </c>
      <c r="AF547" t="n">
        <v>23</v>
      </c>
      <c r="AG547" t="n">
        <v>24</v>
      </c>
      <c r="AH547" t="n">
        <v>11</v>
      </c>
      <c r="AI547" t="n">
        <v>11</v>
      </c>
      <c r="AJ547" t="n">
        <v>3</v>
      </c>
      <c r="AK547" t="n">
        <v>4</v>
      </c>
      <c r="AL547" t="n">
        <v>14</v>
      </c>
      <c r="AM547" t="n">
        <v>14</v>
      </c>
      <c r="AN547" t="n">
        <v>1</v>
      </c>
      <c r="AO547" t="n">
        <v>1</v>
      </c>
      <c r="AP547" t="n">
        <v>0</v>
      </c>
      <c r="AQ547" t="n">
        <v>0</v>
      </c>
      <c r="AR547" t="inlineStr">
        <is>
          <t>Yes</t>
        </is>
      </c>
      <c r="AS547" t="inlineStr">
        <is>
          <t>No</t>
        </is>
      </c>
      <c r="AT547">
        <f>HYPERLINK("http://catalog.hathitrust.org/Record/001017724","HathiTrust Record")</f>
        <v/>
      </c>
      <c r="AU547">
        <f>HYPERLINK("https://creighton-primo.hosted.exlibrisgroup.com/primo-explore/search?tab=default_tab&amp;search_scope=EVERYTHING&amp;vid=01CRU&amp;lang=en_US&amp;offset=0&amp;query=any,contains,991003568059702656","Catalog Record")</f>
        <v/>
      </c>
      <c r="AV547">
        <f>HYPERLINK("http://www.worldcat.org/oclc/353968","WorldCat Record")</f>
        <v/>
      </c>
      <c r="AW547" t="inlineStr">
        <is>
          <t>2973728290:eng</t>
        </is>
      </c>
      <c r="AX547" t="inlineStr">
        <is>
          <t>353968</t>
        </is>
      </c>
      <c r="AY547" t="inlineStr">
        <is>
          <t>991003568059702656</t>
        </is>
      </c>
      <c r="AZ547" t="inlineStr">
        <is>
          <t>991003568059702656</t>
        </is>
      </c>
      <c r="BA547" t="inlineStr">
        <is>
          <t>2267825790002656</t>
        </is>
      </c>
      <c r="BB547" t="inlineStr">
        <is>
          <t>BOOK</t>
        </is>
      </c>
      <c r="BE547" t="inlineStr">
        <is>
          <t>32285004332242</t>
        </is>
      </c>
      <c r="BF547" t="inlineStr">
        <is>
          <t>893705367</t>
        </is>
      </c>
    </row>
    <row r="548">
      <c r="A548" t="inlineStr">
        <is>
          <t>No</t>
        </is>
      </c>
      <c r="B548" t="inlineStr">
        <is>
          <t>CURAL</t>
        </is>
      </c>
      <c r="C548" t="inlineStr">
        <is>
          <t>SHELVES</t>
        </is>
      </c>
      <c r="D548" t="inlineStr">
        <is>
          <t>PR2807 .C68</t>
        </is>
      </c>
      <c r="E548" t="inlineStr">
        <is>
          <t>0                      PR 2807000C  68</t>
        </is>
      </c>
      <c r="F548" t="inlineStr">
        <is>
          <t>Figurative design in Hamlet : the significance of the dumb show.</t>
        </is>
      </c>
      <c r="H548" t="inlineStr">
        <is>
          <t>No</t>
        </is>
      </c>
      <c r="I548" t="inlineStr">
        <is>
          <t>1</t>
        </is>
      </c>
      <c r="J548" t="inlineStr">
        <is>
          <t>No</t>
        </is>
      </c>
      <c r="K548" t="inlineStr">
        <is>
          <t>No</t>
        </is>
      </c>
      <c r="L548" t="inlineStr">
        <is>
          <t>0</t>
        </is>
      </c>
      <c r="M548" t="inlineStr">
        <is>
          <t>Cox, Lee Sheridan.</t>
        </is>
      </c>
      <c r="N548" t="inlineStr">
        <is>
          <t>[Columbus] : Ohio State University Press, [1973]</t>
        </is>
      </c>
      <c r="O548" t="inlineStr">
        <is>
          <t>1973</t>
        </is>
      </c>
      <c r="Q548" t="inlineStr">
        <is>
          <t>eng</t>
        </is>
      </c>
      <c r="R548" t="inlineStr">
        <is>
          <t>ohu</t>
        </is>
      </c>
      <c r="T548" t="inlineStr">
        <is>
          <t xml:space="preserve">PR </t>
        </is>
      </c>
      <c r="U548" t="n">
        <v>15</v>
      </c>
      <c r="V548" t="n">
        <v>15</v>
      </c>
      <c r="W548" t="inlineStr">
        <is>
          <t>2000-12-03</t>
        </is>
      </c>
      <c r="X548" t="inlineStr">
        <is>
          <t>2000-12-03</t>
        </is>
      </c>
      <c r="Y548" t="inlineStr">
        <is>
          <t>1991-10-16</t>
        </is>
      </c>
      <c r="Z548" t="inlineStr">
        <is>
          <t>1991-10-16</t>
        </is>
      </c>
      <c r="AA548" t="n">
        <v>660</v>
      </c>
      <c r="AB548" t="n">
        <v>561</v>
      </c>
      <c r="AC548" t="n">
        <v>583</v>
      </c>
      <c r="AD548" t="n">
        <v>6</v>
      </c>
      <c r="AE548" t="n">
        <v>6</v>
      </c>
      <c r="AF548" t="n">
        <v>29</v>
      </c>
      <c r="AG548" t="n">
        <v>29</v>
      </c>
      <c r="AH548" t="n">
        <v>11</v>
      </c>
      <c r="AI548" t="n">
        <v>11</v>
      </c>
      <c r="AJ548" t="n">
        <v>7</v>
      </c>
      <c r="AK548" t="n">
        <v>7</v>
      </c>
      <c r="AL548" t="n">
        <v>15</v>
      </c>
      <c r="AM548" t="n">
        <v>15</v>
      </c>
      <c r="AN548" t="n">
        <v>4</v>
      </c>
      <c r="AO548" t="n">
        <v>4</v>
      </c>
      <c r="AP548" t="n">
        <v>0</v>
      </c>
      <c r="AQ548" t="n">
        <v>0</v>
      </c>
      <c r="AR548" t="inlineStr">
        <is>
          <t>No</t>
        </is>
      </c>
      <c r="AS548" t="inlineStr">
        <is>
          <t>Yes</t>
        </is>
      </c>
      <c r="AT548">
        <f>HYPERLINK("http://catalog.hathitrust.org/Record/001111992","HathiTrust Record")</f>
        <v/>
      </c>
      <c r="AU548">
        <f>HYPERLINK("https://creighton-primo.hosted.exlibrisgroup.com/primo-explore/search?tab=default_tab&amp;search_scope=EVERYTHING&amp;vid=01CRU&amp;lang=en_US&amp;offset=0&amp;query=any,contains,991002916389702656","Catalog Record")</f>
        <v/>
      </c>
      <c r="AV548">
        <f>HYPERLINK("http://www.worldcat.org/oclc/524171","WorldCat Record")</f>
        <v/>
      </c>
      <c r="AW548" t="inlineStr">
        <is>
          <t>198610226:eng</t>
        </is>
      </c>
      <c r="AX548" t="inlineStr">
        <is>
          <t>524171</t>
        </is>
      </c>
      <c r="AY548" t="inlineStr">
        <is>
          <t>991002916389702656</t>
        </is>
      </c>
      <c r="AZ548" t="inlineStr">
        <is>
          <t>991002916389702656</t>
        </is>
      </c>
      <c r="BA548" t="inlineStr">
        <is>
          <t>2261325520002656</t>
        </is>
      </c>
      <c r="BB548" t="inlineStr">
        <is>
          <t>BOOK</t>
        </is>
      </c>
      <c r="BD548" t="inlineStr">
        <is>
          <t>9780814201756</t>
        </is>
      </c>
      <c r="BE548" t="inlineStr">
        <is>
          <t>32285000774637</t>
        </is>
      </c>
      <c r="BF548" t="inlineStr">
        <is>
          <t>893692161</t>
        </is>
      </c>
    </row>
    <row r="549">
      <c r="A549" t="inlineStr">
        <is>
          <t>No</t>
        </is>
      </c>
      <c r="B549" t="inlineStr">
        <is>
          <t>CURAL</t>
        </is>
      </c>
      <c r="C549" t="inlineStr">
        <is>
          <t>SHELVES</t>
        </is>
      </c>
      <c r="D549" t="inlineStr">
        <is>
          <t>PR2807 .D7</t>
        </is>
      </c>
      <c r="E549" t="inlineStr">
        <is>
          <t>0                      PR 2807000D  7</t>
        </is>
      </c>
      <c r="F549" t="inlineStr">
        <is>
          <t>The Hamlet of Shakespeare's audience / by John W. Draper.</t>
        </is>
      </c>
      <c r="H549" t="inlineStr">
        <is>
          <t>No</t>
        </is>
      </c>
      <c r="I549" t="inlineStr">
        <is>
          <t>1</t>
        </is>
      </c>
      <c r="J549" t="inlineStr">
        <is>
          <t>No</t>
        </is>
      </c>
      <c r="K549" t="inlineStr">
        <is>
          <t>No</t>
        </is>
      </c>
      <c r="L549" t="inlineStr">
        <is>
          <t>0</t>
        </is>
      </c>
      <c r="M549" t="inlineStr">
        <is>
          <t>Draper, John W. (John William), 1893-1976.</t>
        </is>
      </c>
      <c r="N549" t="inlineStr">
        <is>
          <t>Durham, N.C. : Duke University Press, 1938 [c1939]</t>
        </is>
      </c>
      <c r="O549" t="inlineStr">
        <is>
          <t>1939</t>
        </is>
      </c>
      <c r="Q549" t="inlineStr">
        <is>
          <t>eng</t>
        </is>
      </c>
      <c r="R549" t="inlineStr">
        <is>
          <t xml:space="preserve">xx </t>
        </is>
      </c>
      <c r="T549" t="inlineStr">
        <is>
          <t xml:space="preserve">PR </t>
        </is>
      </c>
      <c r="U549" t="n">
        <v>14</v>
      </c>
      <c r="V549" t="n">
        <v>14</v>
      </c>
      <c r="W549" t="inlineStr">
        <is>
          <t>2004-11-14</t>
        </is>
      </c>
      <c r="X549" t="inlineStr">
        <is>
          <t>2004-11-14</t>
        </is>
      </c>
      <c r="Y549" t="inlineStr">
        <is>
          <t>1993-04-15</t>
        </is>
      </c>
      <c r="Z549" t="inlineStr">
        <is>
          <t>1993-04-15</t>
        </is>
      </c>
      <c r="AA549" t="n">
        <v>37</v>
      </c>
      <c r="AB549" t="n">
        <v>34</v>
      </c>
      <c r="AC549" t="n">
        <v>612</v>
      </c>
      <c r="AD549" t="n">
        <v>1</v>
      </c>
      <c r="AE549" t="n">
        <v>4</v>
      </c>
      <c r="AF549" t="n">
        <v>1</v>
      </c>
      <c r="AG549" t="n">
        <v>30</v>
      </c>
      <c r="AH549" t="n">
        <v>0</v>
      </c>
      <c r="AI549" t="n">
        <v>14</v>
      </c>
      <c r="AJ549" t="n">
        <v>0</v>
      </c>
      <c r="AK549" t="n">
        <v>5</v>
      </c>
      <c r="AL549" t="n">
        <v>1</v>
      </c>
      <c r="AM549" t="n">
        <v>15</v>
      </c>
      <c r="AN549" t="n">
        <v>0</v>
      </c>
      <c r="AO549" t="n">
        <v>3</v>
      </c>
      <c r="AP549" t="n">
        <v>0</v>
      </c>
      <c r="AQ549" t="n">
        <v>0</v>
      </c>
      <c r="AR549" t="inlineStr">
        <is>
          <t>No</t>
        </is>
      </c>
      <c r="AS549" t="inlineStr">
        <is>
          <t>No</t>
        </is>
      </c>
      <c r="AU549">
        <f>HYPERLINK("https://creighton-primo.hosted.exlibrisgroup.com/primo-explore/search?tab=default_tab&amp;search_scope=EVERYTHING&amp;vid=01CRU&amp;lang=en_US&amp;offset=0&amp;query=any,contains,991003406079702656","Catalog Record")</f>
        <v/>
      </c>
      <c r="AV549">
        <f>HYPERLINK("http://www.worldcat.org/oclc/946033","WorldCat Record")</f>
        <v/>
      </c>
      <c r="AW549" t="inlineStr">
        <is>
          <t>1388831:eng</t>
        </is>
      </c>
      <c r="AX549" t="inlineStr">
        <is>
          <t>946033</t>
        </is>
      </c>
      <c r="AY549" t="inlineStr">
        <is>
          <t>991003406079702656</t>
        </is>
      </c>
      <c r="AZ549" t="inlineStr">
        <is>
          <t>991003406079702656</t>
        </is>
      </c>
      <c r="BA549" t="inlineStr">
        <is>
          <t>2268035760002656</t>
        </is>
      </c>
      <c r="BB549" t="inlineStr">
        <is>
          <t>BOOK</t>
        </is>
      </c>
      <c r="BE549" t="inlineStr">
        <is>
          <t>32285001620227</t>
        </is>
      </c>
      <c r="BF549" t="inlineStr">
        <is>
          <t>893499264</t>
        </is>
      </c>
    </row>
    <row r="550">
      <c r="A550" t="inlineStr">
        <is>
          <t>No</t>
        </is>
      </c>
      <c r="B550" t="inlineStr">
        <is>
          <t>CURAL</t>
        </is>
      </c>
      <c r="C550" t="inlineStr">
        <is>
          <t>SHELVES</t>
        </is>
      </c>
      <c r="D550" t="inlineStr">
        <is>
          <t>PR2807 .E5 1965</t>
        </is>
      </c>
      <c r="E550" t="inlineStr">
        <is>
          <t>0                      PR 2807000E  5           1965</t>
        </is>
      </c>
      <c r="F550" t="inlineStr">
        <is>
          <t>Scourge and minister : a study of Hamlet as tragedy of revengefulness and justice.</t>
        </is>
      </c>
      <c r="H550" t="inlineStr">
        <is>
          <t>No</t>
        </is>
      </c>
      <c r="I550" t="inlineStr">
        <is>
          <t>1</t>
        </is>
      </c>
      <c r="J550" t="inlineStr">
        <is>
          <t>No</t>
        </is>
      </c>
      <c r="K550" t="inlineStr">
        <is>
          <t>No</t>
        </is>
      </c>
      <c r="L550" t="inlineStr">
        <is>
          <t>0</t>
        </is>
      </c>
      <c r="M550" t="inlineStr">
        <is>
          <t>Elliott, George Roy, 1883-1963.</t>
        </is>
      </c>
      <c r="N550" t="inlineStr">
        <is>
          <t>New York : AMS Press, 1965 [c1951]</t>
        </is>
      </c>
      <c r="O550" t="inlineStr">
        <is>
          <t>1965</t>
        </is>
      </c>
      <c r="Q550" t="inlineStr">
        <is>
          <t>eng</t>
        </is>
      </c>
      <c r="R550" t="inlineStr">
        <is>
          <t>nyu</t>
        </is>
      </c>
      <c r="T550" t="inlineStr">
        <is>
          <t xml:space="preserve">PR </t>
        </is>
      </c>
      <c r="U550" t="n">
        <v>14</v>
      </c>
      <c r="V550" t="n">
        <v>14</v>
      </c>
      <c r="W550" t="inlineStr">
        <is>
          <t>2000-12-04</t>
        </is>
      </c>
      <c r="X550" t="inlineStr">
        <is>
          <t>2000-12-04</t>
        </is>
      </c>
      <c r="Y550" t="inlineStr">
        <is>
          <t>1990-05-30</t>
        </is>
      </c>
      <c r="Z550" t="inlineStr">
        <is>
          <t>1990-05-30</t>
        </is>
      </c>
      <c r="AA550" t="n">
        <v>329</v>
      </c>
      <c r="AB550" t="n">
        <v>284</v>
      </c>
      <c r="AC550" t="n">
        <v>664</v>
      </c>
      <c r="AD550" t="n">
        <v>2</v>
      </c>
      <c r="AE550" t="n">
        <v>6</v>
      </c>
      <c r="AF550" t="n">
        <v>12</v>
      </c>
      <c r="AG550" t="n">
        <v>41</v>
      </c>
      <c r="AH550" t="n">
        <v>4</v>
      </c>
      <c r="AI550" t="n">
        <v>18</v>
      </c>
      <c r="AJ550" t="n">
        <v>2</v>
      </c>
      <c r="AK550" t="n">
        <v>8</v>
      </c>
      <c r="AL550" t="n">
        <v>6</v>
      </c>
      <c r="AM550" t="n">
        <v>20</v>
      </c>
      <c r="AN550" t="n">
        <v>1</v>
      </c>
      <c r="AO550" t="n">
        <v>5</v>
      </c>
      <c r="AP550" t="n">
        <v>0</v>
      </c>
      <c r="AQ550" t="n">
        <v>0</v>
      </c>
      <c r="AR550" t="inlineStr">
        <is>
          <t>No</t>
        </is>
      </c>
      <c r="AS550" t="inlineStr">
        <is>
          <t>No</t>
        </is>
      </c>
      <c r="AU550">
        <f>HYPERLINK("https://creighton-primo.hosted.exlibrisgroup.com/primo-explore/search?tab=default_tab&amp;search_scope=EVERYTHING&amp;vid=01CRU&amp;lang=en_US&amp;offset=0&amp;query=any,contains,991004239699702656","Catalog Record")</f>
        <v/>
      </c>
      <c r="AV550">
        <f>HYPERLINK("http://www.worldcat.org/oclc/2780447","WorldCat Record")</f>
        <v/>
      </c>
      <c r="AW550" t="inlineStr">
        <is>
          <t>474464:eng</t>
        </is>
      </c>
      <c r="AX550" t="inlineStr">
        <is>
          <t>2780447</t>
        </is>
      </c>
      <c r="AY550" t="inlineStr">
        <is>
          <t>991004239699702656</t>
        </is>
      </c>
      <c r="AZ550" t="inlineStr">
        <is>
          <t>991004239699702656</t>
        </is>
      </c>
      <c r="BA550" t="inlineStr">
        <is>
          <t>2263048350002656</t>
        </is>
      </c>
      <c r="BB550" t="inlineStr">
        <is>
          <t>BOOK</t>
        </is>
      </c>
      <c r="BE550" t="inlineStr">
        <is>
          <t>32285000159581</t>
        </is>
      </c>
      <c r="BF550" t="inlineStr">
        <is>
          <t>893263161</t>
        </is>
      </c>
    </row>
    <row r="551">
      <c r="A551" t="inlineStr">
        <is>
          <t>No</t>
        </is>
      </c>
      <c r="B551" t="inlineStr">
        <is>
          <t>CURAL</t>
        </is>
      </c>
      <c r="C551" t="inlineStr">
        <is>
          <t>SHELVES</t>
        </is>
      </c>
      <c r="D551" t="inlineStr">
        <is>
          <t>PR2807 .F47</t>
        </is>
      </c>
      <c r="E551" t="inlineStr">
        <is>
          <t>0                      PR 2807000F  47</t>
        </is>
      </c>
      <c r="F551" t="inlineStr">
        <is>
          <t>Hamlet and the Word; the covenant pattern in Shakespeare / Harold Fisch.</t>
        </is>
      </c>
      <c r="H551" t="inlineStr">
        <is>
          <t>No</t>
        </is>
      </c>
      <c r="I551" t="inlineStr">
        <is>
          <t>1</t>
        </is>
      </c>
      <c r="J551" t="inlineStr">
        <is>
          <t>No</t>
        </is>
      </c>
      <c r="K551" t="inlineStr">
        <is>
          <t>No</t>
        </is>
      </c>
      <c r="L551" t="inlineStr">
        <is>
          <t>0</t>
        </is>
      </c>
      <c r="M551" t="inlineStr">
        <is>
          <t>Fisch, Harold.</t>
        </is>
      </c>
      <c r="N551" t="inlineStr">
        <is>
          <t>New York : Ungar, 1971.</t>
        </is>
      </c>
      <c r="O551" t="inlineStr">
        <is>
          <t>1971</t>
        </is>
      </c>
      <c r="Q551" t="inlineStr">
        <is>
          <t>eng</t>
        </is>
      </c>
      <c r="R551" t="inlineStr">
        <is>
          <t>nyu</t>
        </is>
      </c>
      <c r="T551" t="inlineStr">
        <is>
          <t xml:space="preserve">PR </t>
        </is>
      </c>
      <c r="U551" t="n">
        <v>15</v>
      </c>
      <c r="V551" t="n">
        <v>15</v>
      </c>
      <c r="W551" t="inlineStr">
        <is>
          <t>2001-04-20</t>
        </is>
      </c>
      <c r="X551" t="inlineStr">
        <is>
          <t>2001-04-20</t>
        </is>
      </c>
      <c r="Y551" t="inlineStr">
        <is>
          <t>1991-10-10</t>
        </is>
      </c>
      <c r="Z551" t="inlineStr">
        <is>
          <t>1991-10-10</t>
        </is>
      </c>
      <c r="AA551" t="n">
        <v>582</v>
      </c>
      <c r="AB551" t="n">
        <v>476</v>
      </c>
      <c r="AC551" t="n">
        <v>483</v>
      </c>
      <c r="AD551" t="n">
        <v>5</v>
      </c>
      <c r="AE551" t="n">
        <v>5</v>
      </c>
      <c r="AF551" t="n">
        <v>19</v>
      </c>
      <c r="AG551" t="n">
        <v>19</v>
      </c>
      <c r="AH551" t="n">
        <v>6</v>
      </c>
      <c r="AI551" t="n">
        <v>6</v>
      </c>
      <c r="AJ551" t="n">
        <v>4</v>
      </c>
      <c r="AK551" t="n">
        <v>4</v>
      </c>
      <c r="AL551" t="n">
        <v>10</v>
      </c>
      <c r="AM551" t="n">
        <v>10</v>
      </c>
      <c r="AN551" t="n">
        <v>4</v>
      </c>
      <c r="AO551" t="n">
        <v>4</v>
      </c>
      <c r="AP551" t="n">
        <v>0</v>
      </c>
      <c r="AQ551" t="n">
        <v>0</v>
      </c>
      <c r="AR551" t="inlineStr">
        <is>
          <t>No</t>
        </is>
      </c>
      <c r="AS551" t="inlineStr">
        <is>
          <t>Yes</t>
        </is>
      </c>
      <c r="AT551">
        <f>HYPERLINK("http://catalog.hathitrust.org/Record/001017745","HathiTrust Record")</f>
        <v/>
      </c>
      <c r="AU551">
        <f>HYPERLINK("https://creighton-primo.hosted.exlibrisgroup.com/primo-explore/search?tab=default_tab&amp;search_scope=EVERYTHING&amp;vid=01CRU&amp;lang=en_US&amp;offset=0&amp;query=any,contains,991002107639702656","Catalog Record")</f>
        <v/>
      </c>
      <c r="AV551">
        <f>HYPERLINK("http://www.worldcat.org/oclc/266716","WorldCat Record")</f>
        <v/>
      </c>
      <c r="AW551" t="inlineStr">
        <is>
          <t>199128972:eng</t>
        </is>
      </c>
      <c r="AX551" t="inlineStr">
        <is>
          <t>266716</t>
        </is>
      </c>
      <c r="AY551" t="inlineStr">
        <is>
          <t>991002107639702656</t>
        </is>
      </c>
      <c r="AZ551" t="inlineStr">
        <is>
          <t>991002107639702656</t>
        </is>
      </c>
      <c r="BA551" t="inlineStr">
        <is>
          <t>2269207090002656</t>
        </is>
      </c>
      <c r="BB551" t="inlineStr">
        <is>
          <t>BOOK</t>
        </is>
      </c>
      <c r="BD551" t="inlineStr">
        <is>
          <t>9780804421980</t>
        </is>
      </c>
      <c r="BE551" t="inlineStr">
        <is>
          <t>32285000774660</t>
        </is>
      </c>
      <c r="BF551" t="inlineStr">
        <is>
          <t>893427215</t>
        </is>
      </c>
    </row>
    <row r="552">
      <c r="A552" t="inlineStr">
        <is>
          <t>No</t>
        </is>
      </c>
      <c r="B552" t="inlineStr">
        <is>
          <t>CURAL</t>
        </is>
      </c>
      <c r="C552" t="inlineStr">
        <is>
          <t>SHELVES</t>
        </is>
      </c>
      <c r="D552" t="inlineStr">
        <is>
          <t>PR2807 .G69 2001</t>
        </is>
      </c>
      <c r="E552" t="inlineStr">
        <is>
          <t>0                      PR 2807000G  69          2001</t>
        </is>
      </c>
      <c r="F552" t="inlineStr">
        <is>
          <t>Hamlet in purgatory / Stephen Greenblatt.</t>
        </is>
      </c>
      <c r="H552" t="inlineStr">
        <is>
          <t>No</t>
        </is>
      </c>
      <c r="I552" t="inlineStr">
        <is>
          <t>1</t>
        </is>
      </c>
      <c r="J552" t="inlineStr">
        <is>
          <t>No</t>
        </is>
      </c>
      <c r="K552" t="inlineStr">
        <is>
          <t>No</t>
        </is>
      </c>
      <c r="L552" t="inlineStr">
        <is>
          <t>0</t>
        </is>
      </c>
      <c r="M552" t="inlineStr">
        <is>
          <t>Greenblatt, Stephen, 1943-</t>
        </is>
      </c>
      <c r="N552" t="inlineStr">
        <is>
          <t>Princeton, N.J. : Princeton University Press, c2001.</t>
        </is>
      </c>
      <c r="O552" t="inlineStr">
        <is>
          <t>2001</t>
        </is>
      </c>
      <c r="Q552" t="inlineStr">
        <is>
          <t>eng</t>
        </is>
      </c>
      <c r="R552" t="inlineStr">
        <is>
          <t>nju</t>
        </is>
      </c>
      <c r="T552" t="inlineStr">
        <is>
          <t xml:space="preserve">PR </t>
        </is>
      </c>
      <c r="U552" t="n">
        <v>6</v>
      </c>
      <c r="V552" t="n">
        <v>6</v>
      </c>
      <c r="W552" t="inlineStr">
        <is>
          <t>2009-11-12</t>
        </is>
      </c>
      <c r="X552" t="inlineStr">
        <is>
          <t>2009-11-12</t>
        </is>
      </c>
      <c r="Y552" t="inlineStr">
        <is>
          <t>2001-10-18</t>
        </is>
      </c>
      <c r="Z552" t="inlineStr">
        <is>
          <t>2001-10-18</t>
        </is>
      </c>
      <c r="AA552" t="n">
        <v>1165</v>
      </c>
      <c r="AB552" t="n">
        <v>957</v>
      </c>
      <c r="AC552" t="n">
        <v>1203</v>
      </c>
      <c r="AD552" t="n">
        <v>7</v>
      </c>
      <c r="AE552" t="n">
        <v>9</v>
      </c>
      <c r="AF552" t="n">
        <v>46</v>
      </c>
      <c r="AG552" t="n">
        <v>54</v>
      </c>
      <c r="AH552" t="n">
        <v>23</v>
      </c>
      <c r="AI552" t="n">
        <v>25</v>
      </c>
      <c r="AJ552" t="n">
        <v>8</v>
      </c>
      <c r="AK552" t="n">
        <v>9</v>
      </c>
      <c r="AL552" t="n">
        <v>20</v>
      </c>
      <c r="AM552" t="n">
        <v>24</v>
      </c>
      <c r="AN552" t="n">
        <v>6</v>
      </c>
      <c r="AO552" t="n">
        <v>8</v>
      </c>
      <c r="AP552" t="n">
        <v>0</v>
      </c>
      <c r="AQ552" t="n">
        <v>0</v>
      </c>
      <c r="AR552" t="inlineStr">
        <is>
          <t>No</t>
        </is>
      </c>
      <c r="AS552" t="inlineStr">
        <is>
          <t>No</t>
        </is>
      </c>
      <c r="AU552">
        <f>HYPERLINK("https://creighton-primo.hosted.exlibrisgroup.com/primo-explore/search?tab=default_tab&amp;search_scope=EVERYTHING&amp;vid=01CRU&amp;lang=en_US&amp;offset=0&amp;query=any,contains,991003636539702656","Catalog Record")</f>
        <v/>
      </c>
      <c r="AV552">
        <f>HYPERLINK("http://www.worldcat.org/oclc/44720559","WorldCat Record")</f>
        <v/>
      </c>
      <c r="AW552" t="inlineStr">
        <is>
          <t>892425:eng</t>
        </is>
      </c>
      <c r="AX552" t="inlineStr">
        <is>
          <t>44720559</t>
        </is>
      </c>
      <c r="AY552" t="inlineStr">
        <is>
          <t>991003636539702656</t>
        </is>
      </c>
      <c r="AZ552" t="inlineStr">
        <is>
          <t>991003636539702656</t>
        </is>
      </c>
      <c r="BA552" t="inlineStr">
        <is>
          <t>2271647210002656</t>
        </is>
      </c>
      <c r="BB552" t="inlineStr">
        <is>
          <t>BOOK</t>
        </is>
      </c>
      <c r="BD552" t="inlineStr">
        <is>
          <t>9780691058733</t>
        </is>
      </c>
      <c r="BE552" t="inlineStr">
        <is>
          <t>32285004398482</t>
        </is>
      </c>
      <c r="BF552" t="inlineStr">
        <is>
          <t>893799971</t>
        </is>
      </c>
    </row>
    <row r="553">
      <c r="A553" t="inlineStr">
        <is>
          <t>No</t>
        </is>
      </c>
      <c r="B553" t="inlineStr">
        <is>
          <t>CURAL</t>
        </is>
      </c>
      <c r="C553" t="inlineStr">
        <is>
          <t>SHELVES</t>
        </is>
      </c>
      <c r="D553" t="inlineStr">
        <is>
          <t>PR2807 .G7 1957</t>
        </is>
      </c>
      <c r="E553" t="inlineStr">
        <is>
          <t>0                      PR 2807000G  7           1957</t>
        </is>
      </c>
      <c r="F553" t="inlineStr">
        <is>
          <t>Preface to Hamlet / by Harley Granville-Barker.</t>
        </is>
      </c>
      <c r="H553" t="inlineStr">
        <is>
          <t>No</t>
        </is>
      </c>
      <c r="I553" t="inlineStr">
        <is>
          <t>1</t>
        </is>
      </c>
      <c r="J553" t="inlineStr">
        <is>
          <t>No</t>
        </is>
      </c>
      <c r="K553" t="inlineStr">
        <is>
          <t>No</t>
        </is>
      </c>
      <c r="L553" t="inlineStr">
        <is>
          <t>0</t>
        </is>
      </c>
      <c r="M553" t="inlineStr">
        <is>
          <t>Granville-Barker, Harley, 1877-1946.</t>
        </is>
      </c>
      <c r="N553" t="inlineStr">
        <is>
          <t>New York : Hill and Wang, 1957, c1946.</t>
        </is>
      </c>
      <c r="O553" t="inlineStr">
        <is>
          <t>1957</t>
        </is>
      </c>
      <c r="P553" t="inlineStr">
        <is>
          <t>1st Dramabook ed.</t>
        </is>
      </c>
      <c r="Q553" t="inlineStr">
        <is>
          <t>eng</t>
        </is>
      </c>
      <c r="R553" t="inlineStr">
        <is>
          <t>nyu</t>
        </is>
      </c>
      <c r="S553" t="inlineStr">
        <is>
          <t>A Dramabook, D6</t>
        </is>
      </c>
      <c r="T553" t="inlineStr">
        <is>
          <t xml:space="preserve">PR </t>
        </is>
      </c>
      <c r="U553" t="n">
        <v>1</v>
      </c>
      <c r="V553" t="n">
        <v>1</v>
      </c>
      <c r="W553" t="inlineStr">
        <is>
          <t>2001-07-12</t>
        </is>
      </c>
      <c r="X553" t="inlineStr">
        <is>
          <t>2001-07-12</t>
        </is>
      </c>
      <c r="Y553" t="inlineStr">
        <is>
          <t>2001-07-12</t>
        </is>
      </c>
      <c r="Z553" t="inlineStr">
        <is>
          <t>2001-07-12</t>
        </is>
      </c>
      <c r="AA553" t="n">
        <v>245</v>
      </c>
      <c r="AB553" t="n">
        <v>217</v>
      </c>
      <c r="AC553" t="n">
        <v>230</v>
      </c>
      <c r="AD553" t="n">
        <v>1</v>
      </c>
      <c r="AE553" t="n">
        <v>1</v>
      </c>
      <c r="AF553" t="n">
        <v>8</v>
      </c>
      <c r="AG553" t="n">
        <v>8</v>
      </c>
      <c r="AH553" t="n">
        <v>4</v>
      </c>
      <c r="AI553" t="n">
        <v>4</v>
      </c>
      <c r="AJ553" t="n">
        <v>1</v>
      </c>
      <c r="AK553" t="n">
        <v>1</v>
      </c>
      <c r="AL553" t="n">
        <v>6</v>
      </c>
      <c r="AM553" t="n">
        <v>6</v>
      </c>
      <c r="AN553" t="n">
        <v>0</v>
      </c>
      <c r="AO553" t="n">
        <v>0</v>
      </c>
      <c r="AP553" t="n">
        <v>0</v>
      </c>
      <c r="AQ553" t="n">
        <v>0</v>
      </c>
      <c r="AR553" t="inlineStr">
        <is>
          <t>No</t>
        </is>
      </c>
      <c r="AS553" t="inlineStr">
        <is>
          <t>No</t>
        </is>
      </c>
      <c r="AT553">
        <f>HYPERLINK("http://catalog.hathitrust.org/Record/001017752","HathiTrust Record")</f>
        <v/>
      </c>
      <c r="AU553">
        <f>HYPERLINK("https://creighton-primo.hosted.exlibrisgroup.com/primo-explore/search?tab=default_tab&amp;search_scope=EVERYTHING&amp;vid=01CRU&amp;lang=en_US&amp;offset=0&amp;query=any,contains,991003568189702656","Catalog Record")</f>
        <v/>
      </c>
      <c r="AV553">
        <f>HYPERLINK("http://www.worldcat.org/oclc/2292391","WorldCat Record")</f>
        <v/>
      </c>
      <c r="AW553" t="inlineStr">
        <is>
          <t>4720536:eng</t>
        </is>
      </c>
      <c r="AX553" t="inlineStr">
        <is>
          <t>2292391</t>
        </is>
      </c>
      <c r="AY553" t="inlineStr">
        <is>
          <t>991003568189702656</t>
        </is>
      </c>
      <c r="AZ553" t="inlineStr">
        <is>
          <t>991003568189702656</t>
        </is>
      </c>
      <c r="BA553" t="inlineStr">
        <is>
          <t>2265214850002656</t>
        </is>
      </c>
      <c r="BB553" t="inlineStr">
        <is>
          <t>BOOK</t>
        </is>
      </c>
      <c r="BE553" t="inlineStr">
        <is>
          <t>32285004332291</t>
        </is>
      </c>
      <c r="BF553" t="inlineStr">
        <is>
          <t>893410413</t>
        </is>
      </c>
    </row>
    <row r="554">
      <c r="A554" t="inlineStr">
        <is>
          <t>No</t>
        </is>
      </c>
      <c r="B554" t="inlineStr">
        <is>
          <t>CURAL</t>
        </is>
      </c>
      <c r="C554" t="inlineStr">
        <is>
          <t>SHELVES</t>
        </is>
      </c>
      <c r="D554" t="inlineStr">
        <is>
          <t>PR2807 .J65</t>
        </is>
      </c>
      <c r="E554" t="inlineStr">
        <is>
          <t>0                      PR 2807000J  65</t>
        </is>
      </c>
      <c r="F554" t="inlineStr">
        <is>
          <t>The king in Hamlet.</t>
        </is>
      </c>
      <c r="H554" t="inlineStr">
        <is>
          <t>No</t>
        </is>
      </c>
      <c r="I554" t="inlineStr">
        <is>
          <t>1</t>
        </is>
      </c>
      <c r="J554" t="inlineStr">
        <is>
          <t>No</t>
        </is>
      </c>
      <c r="K554" t="inlineStr">
        <is>
          <t>No</t>
        </is>
      </c>
      <c r="L554" t="inlineStr">
        <is>
          <t>0</t>
        </is>
      </c>
      <c r="M554" t="inlineStr">
        <is>
          <t>Jones, Howard Mumford, 1892-1980.</t>
        </is>
      </c>
      <c r="N554" t="inlineStr">
        <is>
          <t>Austin : The University, 1918.</t>
        </is>
      </c>
      <c r="O554" t="inlineStr">
        <is>
          <t>1918</t>
        </is>
      </c>
      <c r="Q554" t="inlineStr">
        <is>
          <t>eng</t>
        </is>
      </c>
      <c r="R554" t="inlineStr">
        <is>
          <t>txu</t>
        </is>
      </c>
      <c r="S554" t="inlineStr">
        <is>
          <t>University of Texas bulletin ; no. 1865</t>
        </is>
      </c>
      <c r="T554" t="inlineStr">
        <is>
          <t xml:space="preserve">PR </t>
        </is>
      </c>
      <c r="U554" t="n">
        <v>15</v>
      </c>
      <c r="V554" t="n">
        <v>15</v>
      </c>
      <c r="W554" t="inlineStr">
        <is>
          <t>2000-11-28</t>
        </is>
      </c>
      <c r="X554" t="inlineStr">
        <is>
          <t>2000-11-28</t>
        </is>
      </c>
      <c r="Y554" t="inlineStr">
        <is>
          <t>1993-05-11</t>
        </is>
      </c>
      <c r="Z554" t="inlineStr">
        <is>
          <t>1993-05-11</t>
        </is>
      </c>
      <c r="AA554" t="n">
        <v>81</v>
      </c>
      <c r="AB554" t="n">
        <v>74</v>
      </c>
      <c r="AC554" t="n">
        <v>130</v>
      </c>
      <c r="AD554" t="n">
        <v>2</v>
      </c>
      <c r="AE554" t="n">
        <v>2</v>
      </c>
      <c r="AF554" t="n">
        <v>1</v>
      </c>
      <c r="AG554" t="n">
        <v>4</v>
      </c>
      <c r="AH554" t="n">
        <v>0</v>
      </c>
      <c r="AI554" t="n">
        <v>0</v>
      </c>
      <c r="AJ554" t="n">
        <v>0</v>
      </c>
      <c r="AK554" t="n">
        <v>2</v>
      </c>
      <c r="AL554" t="n">
        <v>0</v>
      </c>
      <c r="AM554" t="n">
        <v>1</v>
      </c>
      <c r="AN554" t="n">
        <v>1</v>
      </c>
      <c r="AO554" t="n">
        <v>1</v>
      </c>
      <c r="AP554" t="n">
        <v>0</v>
      </c>
      <c r="AQ554" t="n">
        <v>0</v>
      </c>
      <c r="AR554" t="inlineStr">
        <is>
          <t>Yes</t>
        </is>
      </c>
      <c r="AS554" t="inlineStr">
        <is>
          <t>No</t>
        </is>
      </c>
      <c r="AT554">
        <f>HYPERLINK("http://catalog.hathitrust.org/Record/100191369","HathiTrust Record")</f>
        <v/>
      </c>
      <c r="AU554">
        <f>HYPERLINK("https://creighton-primo.hosted.exlibrisgroup.com/primo-explore/search?tab=default_tab&amp;search_scope=EVERYTHING&amp;vid=01CRU&amp;lang=en_US&amp;offset=0&amp;query=any,contains,991004493439702656","Catalog Record")</f>
        <v/>
      </c>
      <c r="AV554">
        <f>HYPERLINK("http://www.worldcat.org/oclc/3675515","WorldCat Record")</f>
        <v/>
      </c>
      <c r="AW554" t="inlineStr">
        <is>
          <t>57069550:eng</t>
        </is>
      </c>
      <c r="AX554" t="inlineStr">
        <is>
          <t>3675515</t>
        </is>
      </c>
      <c r="AY554" t="inlineStr">
        <is>
          <t>991004493439702656</t>
        </is>
      </c>
      <c r="AZ554" t="inlineStr">
        <is>
          <t>991004493439702656</t>
        </is>
      </c>
      <c r="BA554" t="inlineStr">
        <is>
          <t>2262450540002656</t>
        </is>
      </c>
      <c r="BB554" t="inlineStr">
        <is>
          <t>BOOK</t>
        </is>
      </c>
      <c r="BE554" t="inlineStr">
        <is>
          <t>32285001653046</t>
        </is>
      </c>
      <c r="BF554" t="inlineStr">
        <is>
          <t>893782298</t>
        </is>
      </c>
    </row>
    <row r="555">
      <c r="A555" t="inlineStr">
        <is>
          <t>No</t>
        </is>
      </c>
      <c r="B555" t="inlineStr">
        <is>
          <t>CURAL</t>
        </is>
      </c>
      <c r="C555" t="inlineStr">
        <is>
          <t>SHELVES</t>
        </is>
      </c>
      <c r="D555" t="inlineStr">
        <is>
          <t>PR2807 .J68</t>
        </is>
      </c>
      <c r="E555" t="inlineStr">
        <is>
          <t>0                      PR 2807000J  68</t>
        </is>
      </c>
      <c r="F555" t="inlineStr">
        <is>
          <t>Conscience and the King : a study of Hamlet.</t>
        </is>
      </c>
      <c r="H555" t="inlineStr">
        <is>
          <t>No</t>
        </is>
      </c>
      <c r="I555" t="inlineStr">
        <is>
          <t>1</t>
        </is>
      </c>
      <c r="J555" t="inlineStr">
        <is>
          <t>No</t>
        </is>
      </c>
      <c r="K555" t="inlineStr">
        <is>
          <t>No</t>
        </is>
      </c>
      <c r="L555" t="inlineStr">
        <is>
          <t>0</t>
        </is>
      </c>
      <c r="M555" t="inlineStr">
        <is>
          <t>Joseph, Bertram Leon.</t>
        </is>
      </c>
      <c r="N555" t="inlineStr">
        <is>
          <t>London : Chatto and Windus, 1953.</t>
        </is>
      </c>
      <c r="O555" t="inlineStr">
        <is>
          <t>1953</t>
        </is>
      </c>
      <c r="Q555" t="inlineStr">
        <is>
          <t>eng</t>
        </is>
      </c>
      <c r="R555" t="inlineStr">
        <is>
          <t>enk</t>
        </is>
      </c>
      <c r="T555" t="inlineStr">
        <is>
          <t xml:space="preserve">PR </t>
        </is>
      </c>
      <c r="U555" t="n">
        <v>23</v>
      </c>
      <c r="V555" t="n">
        <v>23</v>
      </c>
      <c r="W555" t="inlineStr">
        <is>
          <t>2004-11-14</t>
        </is>
      </c>
      <c r="X555" t="inlineStr">
        <is>
          <t>2004-11-14</t>
        </is>
      </c>
      <c r="Y555" t="inlineStr">
        <is>
          <t>1993-02-23</t>
        </is>
      </c>
      <c r="Z555" t="inlineStr">
        <is>
          <t>1993-02-23</t>
        </is>
      </c>
      <c r="AA555" t="n">
        <v>449</v>
      </c>
      <c r="AB555" t="n">
        <v>348</v>
      </c>
      <c r="AC555" t="n">
        <v>398</v>
      </c>
      <c r="AD555" t="n">
        <v>4</v>
      </c>
      <c r="AE555" t="n">
        <v>4</v>
      </c>
      <c r="AF555" t="n">
        <v>16</v>
      </c>
      <c r="AG555" t="n">
        <v>16</v>
      </c>
      <c r="AH555" t="n">
        <v>5</v>
      </c>
      <c r="AI555" t="n">
        <v>5</v>
      </c>
      <c r="AJ555" t="n">
        <v>2</v>
      </c>
      <c r="AK555" t="n">
        <v>2</v>
      </c>
      <c r="AL555" t="n">
        <v>9</v>
      </c>
      <c r="AM555" t="n">
        <v>9</v>
      </c>
      <c r="AN555" t="n">
        <v>3</v>
      </c>
      <c r="AO555" t="n">
        <v>3</v>
      </c>
      <c r="AP555" t="n">
        <v>0</v>
      </c>
      <c r="AQ555" t="n">
        <v>0</v>
      </c>
      <c r="AR555" t="inlineStr">
        <is>
          <t>No</t>
        </is>
      </c>
      <c r="AS555" t="inlineStr">
        <is>
          <t>Yes</t>
        </is>
      </c>
      <c r="AT555">
        <f>HYPERLINK("http://catalog.hathitrust.org/Record/001017759","HathiTrust Record")</f>
        <v/>
      </c>
      <c r="AU555">
        <f>HYPERLINK("https://creighton-primo.hosted.exlibrisgroup.com/primo-explore/search?tab=default_tab&amp;search_scope=EVERYTHING&amp;vid=01CRU&amp;lang=en_US&amp;offset=0&amp;query=any,contains,991003325269702656","Catalog Record")</f>
        <v/>
      </c>
      <c r="AV555">
        <f>HYPERLINK("http://www.worldcat.org/oclc/854343","WorldCat Record")</f>
        <v/>
      </c>
      <c r="AW555" t="inlineStr">
        <is>
          <t>1799121:eng</t>
        </is>
      </c>
      <c r="AX555" t="inlineStr">
        <is>
          <t>854343</t>
        </is>
      </c>
      <c r="AY555" t="inlineStr">
        <is>
          <t>991003325269702656</t>
        </is>
      </c>
      <c r="AZ555" t="inlineStr">
        <is>
          <t>991003325269702656</t>
        </is>
      </c>
      <c r="BA555" t="inlineStr">
        <is>
          <t>2265386340002656</t>
        </is>
      </c>
      <c r="BB555" t="inlineStr">
        <is>
          <t>BOOK</t>
        </is>
      </c>
      <c r="BE555" t="inlineStr">
        <is>
          <t>32285001504835</t>
        </is>
      </c>
      <c r="BF555" t="inlineStr">
        <is>
          <t>893805676</t>
        </is>
      </c>
    </row>
    <row r="556">
      <c r="A556" t="inlineStr">
        <is>
          <t>No</t>
        </is>
      </c>
      <c r="B556" t="inlineStr">
        <is>
          <t>CURAL</t>
        </is>
      </c>
      <c r="C556" t="inlineStr">
        <is>
          <t>SHELVES</t>
        </is>
      </c>
      <c r="D556" t="inlineStr">
        <is>
          <t>PR2807 .K58</t>
        </is>
      </c>
      <c r="E556" t="inlineStr">
        <is>
          <t>0                      PR 2807000K  58</t>
        </is>
      </c>
      <c r="F556" t="inlineStr">
        <is>
          <t>An approach to "Hamlet."</t>
        </is>
      </c>
      <c r="H556" t="inlineStr">
        <is>
          <t>No</t>
        </is>
      </c>
      <c r="I556" t="inlineStr">
        <is>
          <t>1</t>
        </is>
      </c>
      <c r="J556" t="inlineStr">
        <is>
          <t>No</t>
        </is>
      </c>
      <c r="K556" t="inlineStr">
        <is>
          <t>No</t>
        </is>
      </c>
      <c r="L556" t="inlineStr">
        <is>
          <t>0</t>
        </is>
      </c>
      <c r="M556" t="inlineStr">
        <is>
          <t>Knights, L. C. (Lionel Charles), 1906-1997.</t>
        </is>
      </c>
      <c r="N556" t="inlineStr">
        <is>
          <t>Stanford, Calif. : Stanford University Press, 1961 [c1960]</t>
        </is>
      </c>
      <c r="O556" t="inlineStr">
        <is>
          <t>1961</t>
        </is>
      </c>
      <c r="Q556" t="inlineStr">
        <is>
          <t>eng</t>
        </is>
      </c>
      <c r="R556" t="inlineStr">
        <is>
          <t>cau</t>
        </is>
      </c>
      <c r="T556" t="inlineStr">
        <is>
          <t xml:space="preserve">PR </t>
        </is>
      </c>
      <c r="U556" t="n">
        <v>21</v>
      </c>
      <c r="V556" t="n">
        <v>21</v>
      </c>
      <c r="W556" t="inlineStr">
        <is>
          <t>2004-10-05</t>
        </is>
      </c>
      <c r="X556" t="inlineStr">
        <is>
          <t>2004-10-05</t>
        </is>
      </c>
      <c r="Y556" t="inlineStr">
        <is>
          <t>1991-12-13</t>
        </is>
      </c>
      <c r="Z556" t="inlineStr">
        <is>
          <t>1991-12-13</t>
        </is>
      </c>
      <c r="AA556" t="n">
        <v>455</v>
      </c>
      <c r="AB556" t="n">
        <v>441</v>
      </c>
      <c r="AC556" t="n">
        <v>587</v>
      </c>
      <c r="AD556" t="n">
        <v>7</v>
      </c>
      <c r="AE556" t="n">
        <v>7</v>
      </c>
      <c r="AF556" t="n">
        <v>25</v>
      </c>
      <c r="AG556" t="n">
        <v>31</v>
      </c>
      <c r="AH556" t="n">
        <v>10</v>
      </c>
      <c r="AI556" t="n">
        <v>13</v>
      </c>
      <c r="AJ556" t="n">
        <v>3</v>
      </c>
      <c r="AK556" t="n">
        <v>5</v>
      </c>
      <c r="AL556" t="n">
        <v>12</v>
      </c>
      <c r="AM556" t="n">
        <v>16</v>
      </c>
      <c r="AN556" t="n">
        <v>6</v>
      </c>
      <c r="AO556" t="n">
        <v>6</v>
      </c>
      <c r="AP556" t="n">
        <v>0</v>
      </c>
      <c r="AQ556" t="n">
        <v>0</v>
      </c>
      <c r="AR556" t="inlineStr">
        <is>
          <t>No</t>
        </is>
      </c>
      <c r="AS556" t="inlineStr">
        <is>
          <t>Yes</t>
        </is>
      </c>
      <c r="AT556">
        <f>HYPERLINK("http://catalog.hathitrust.org/Record/001004379","HathiTrust Record")</f>
        <v/>
      </c>
      <c r="AU556">
        <f>HYPERLINK("https://creighton-primo.hosted.exlibrisgroup.com/primo-explore/search?tab=default_tab&amp;search_scope=EVERYTHING&amp;vid=01CRU&amp;lang=en_US&amp;offset=0&amp;query=any,contains,991002269599702656","Catalog Record")</f>
        <v/>
      </c>
      <c r="AV556">
        <f>HYPERLINK("http://www.worldcat.org/oclc/307809","WorldCat Record")</f>
        <v/>
      </c>
      <c r="AW556" t="inlineStr">
        <is>
          <t>1362204:eng</t>
        </is>
      </c>
      <c r="AX556" t="inlineStr">
        <is>
          <t>307809</t>
        </is>
      </c>
      <c r="AY556" t="inlineStr">
        <is>
          <t>991002269599702656</t>
        </is>
      </c>
      <c r="AZ556" t="inlineStr">
        <is>
          <t>991002269599702656</t>
        </is>
      </c>
      <c r="BA556" t="inlineStr">
        <is>
          <t>2264487840002656</t>
        </is>
      </c>
      <c r="BB556" t="inlineStr">
        <is>
          <t>BOOK</t>
        </is>
      </c>
      <c r="BE556" t="inlineStr">
        <is>
          <t>32285000876960</t>
        </is>
      </c>
      <c r="BF556" t="inlineStr">
        <is>
          <t>893439971</t>
        </is>
      </c>
    </row>
    <row r="557">
      <c r="A557" t="inlineStr">
        <is>
          <t>No</t>
        </is>
      </c>
      <c r="B557" t="inlineStr">
        <is>
          <t>CURAL</t>
        </is>
      </c>
      <c r="C557" t="inlineStr">
        <is>
          <t>SHELVES</t>
        </is>
      </c>
      <c r="D557" t="inlineStr">
        <is>
          <t>PR2807 .L84 1984</t>
        </is>
      </c>
      <c r="E557" t="inlineStr">
        <is>
          <t>0                      PR 2807000L  84          1984</t>
        </is>
      </c>
      <c r="F557" t="inlineStr">
        <is>
          <t>Hamlet and man's being : the phenomenology of nausea / Robert W. Luyster.</t>
        </is>
      </c>
      <c r="H557" t="inlineStr">
        <is>
          <t>No</t>
        </is>
      </c>
      <c r="I557" t="inlineStr">
        <is>
          <t>1</t>
        </is>
      </c>
      <c r="J557" t="inlineStr">
        <is>
          <t>No</t>
        </is>
      </c>
      <c r="K557" t="inlineStr">
        <is>
          <t>No</t>
        </is>
      </c>
      <c r="L557" t="inlineStr">
        <is>
          <t>0</t>
        </is>
      </c>
      <c r="M557" t="inlineStr">
        <is>
          <t>Luyster, Robert W., 1936-</t>
        </is>
      </c>
      <c r="N557" t="inlineStr">
        <is>
          <t>Lanham, Md. : University Press of America, c1984.</t>
        </is>
      </c>
      <c r="O557" t="inlineStr">
        <is>
          <t>1984</t>
        </is>
      </c>
      <c r="Q557" t="inlineStr">
        <is>
          <t>eng</t>
        </is>
      </c>
      <c r="R557" t="inlineStr">
        <is>
          <t>mdu</t>
        </is>
      </c>
      <c r="T557" t="inlineStr">
        <is>
          <t xml:space="preserve">PR </t>
        </is>
      </c>
      <c r="U557" t="n">
        <v>21</v>
      </c>
      <c r="V557" t="n">
        <v>21</v>
      </c>
      <c r="W557" t="inlineStr">
        <is>
          <t>2000-12-04</t>
        </is>
      </c>
      <c r="X557" t="inlineStr">
        <is>
          <t>2000-12-04</t>
        </is>
      </c>
      <c r="Y557" t="inlineStr">
        <is>
          <t>1991-10-10</t>
        </is>
      </c>
      <c r="Z557" t="inlineStr">
        <is>
          <t>1991-10-10</t>
        </is>
      </c>
      <c r="AA557" t="n">
        <v>194</v>
      </c>
      <c r="AB557" t="n">
        <v>153</v>
      </c>
      <c r="AC557" t="n">
        <v>154</v>
      </c>
      <c r="AD557" t="n">
        <v>2</v>
      </c>
      <c r="AE557" t="n">
        <v>2</v>
      </c>
      <c r="AF557" t="n">
        <v>6</v>
      </c>
      <c r="AG557" t="n">
        <v>6</v>
      </c>
      <c r="AH557" t="n">
        <v>0</v>
      </c>
      <c r="AI557" t="n">
        <v>0</v>
      </c>
      <c r="AJ557" t="n">
        <v>3</v>
      </c>
      <c r="AK557" t="n">
        <v>3</v>
      </c>
      <c r="AL557" t="n">
        <v>4</v>
      </c>
      <c r="AM557" t="n">
        <v>4</v>
      </c>
      <c r="AN557" t="n">
        <v>1</v>
      </c>
      <c r="AO557" t="n">
        <v>1</v>
      </c>
      <c r="AP557" t="n">
        <v>0</v>
      </c>
      <c r="AQ557" t="n">
        <v>0</v>
      </c>
      <c r="AR557" t="inlineStr">
        <is>
          <t>No</t>
        </is>
      </c>
      <c r="AS557" t="inlineStr">
        <is>
          <t>Yes</t>
        </is>
      </c>
      <c r="AT557">
        <f>HYPERLINK("http://catalog.hathitrust.org/Record/009512488","HathiTrust Record")</f>
        <v/>
      </c>
      <c r="AU557">
        <f>HYPERLINK("https://creighton-primo.hosted.exlibrisgroup.com/primo-explore/search?tab=default_tab&amp;search_scope=EVERYTHING&amp;vid=01CRU&amp;lang=en_US&amp;offset=0&amp;query=any,contains,991000332279702656","Catalog Record")</f>
        <v/>
      </c>
      <c r="AV557">
        <f>HYPERLINK("http://www.worldcat.org/oclc/10207923","WorldCat Record")</f>
        <v/>
      </c>
      <c r="AW557" t="inlineStr">
        <is>
          <t>2885301:eng</t>
        </is>
      </c>
      <c r="AX557" t="inlineStr">
        <is>
          <t>10207923</t>
        </is>
      </c>
      <c r="AY557" t="inlineStr">
        <is>
          <t>991000332279702656</t>
        </is>
      </c>
      <c r="AZ557" t="inlineStr">
        <is>
          <t>991000332279702656</t>
        </is>
      </c>
      <c r="BA557" t="inlineStr">
        <is>
          <t>2265045700002656</t>
        </is>
      </c>
      <c r="BB557" t="inlineStr">
        <is>
          <t>BOOK</t>
        </is>
      </c>
      <c r="BD557" t="inlineStr">
        <is>
          <t>9780819137814</t>
        </is>
      </c>
      <c r="BE557" t="inlineStr">
        <is>
          <t>32285000774702</t>
        </is>
      </c>
      <c r="BF557" t="inlineStr">
        <is>
          <t>893790419</t>
        </is>
      </c>
    </row>
    <row r="558">
      <c r="A558" t="inlineStr">
        <is>
          <t>No</t>
        </is>
      </c>
      <c r="B558" t="inlineStr">
        <is>
          <t>CURAL</t>
        </is>
      </c>
      <c r="C558" t="inlineStr">
        <is>
          <t>SHELVES</t>
        </is>
      </c>
      <c r="D558" t="inlineStr">
        <is>
          <t>PR2807 .M33</t>
        </is>
      </c>
      <c r="E558" t="inlineStr">
        <is>
          <t>0                      PR 2807000M  33</t>
        </is>
      </c>
      <c r="F558" t="inlineStr">
        <is>
          <t>Shakespeare's influence on the drama of his age, studied in Hamlet, by Donald Joseph McGinn.</t>
        </is>
      </c>
      <c r="H558" t="inlineStr">
        <is>
          <t>No</t>
        </is>
      </c>
      <c r="I558" t="inlineStr">
        <is>
          <t>1</t>
        </is>
      </c>
      <c r="J558" t="inlineStr">
        <is>
          <t>No</t>
        </is>
      </c>
      <c r="K558" t="inlineStr">
        <is>
          <t>No</t>
        </is>
      </c>
      <c r="L558" t="inlineStr">
        <is>
          <t>0</t>
        </is>
      </c>
      <c r="M558" t="inlineStr">
        <is>
          <t>McGinn, Donald Joseph.</t>
        </is>
      </c>
      <c r="N558" t="inlineStr">
        <is>
          <t>New Brunswick, Rutgers university press, 1938.</t>
        </is>
      </c>
      <c r="O558" t="inlineStr">
        <is>
          <t>1938</t>
        </is>
      </c>
      <c r="Q558" t="inlineStr">
        <is>
          <t>eng</t>
        </is>
      </c>
      <c r="R558" t="inlineStr">
        <is>
          <t xml:space="preserve">xx </t>
        </is>
      </c>
      <c r="S558" t="inlineStr">
        <is>
          <t>Rutgers University studies in English ; no. 1</t>
        </is>
      </c>
      <c r="T558" t="inlineStr">
        <is>
          <t xml:space="preserve">PR </t>
        </is>
      </c>
      <c r="U558" t="n">
        <v>2</v>
      </c>
      <c r="V558" t="n">
        <v>2</v>
      </c>
      <c r="W558" t="inlineStr">
        <is>
          <t>2000-12-01</t>
        </is>
      </c>
      <c r="X558" t="inlineStr">
        <is>
          <t>2000-12-01</t>
        </is>
      </c>
      <c r="Y558" t="inlineStr">
        <is>
          <t>1997-07-31</t>
        </is>
      </c>
      <c r="Z558" t="inlineStr">
        <is>
          <t>1997-07-31</t>
        </is>
      </c>
      <c r="AA558" t="n">
        <v>316</v>
      </c>
      <c r="AB558" t="n">
        <v>284</v>
      </c>
      <c r="AC558" t="n">
        <v>643</v>
      </c>
      <c r="AD558" t="n">
        <v>3</v>
      </c>
      <c r="AE558" t="n">
        <v>6</v>
      </c>
      <c r="AF558" t="n">
        <v>21</v>
      </c>
      <c r="AG558" t="n">
        <v>35</v>
      </c>
      <c r="AH558" t="n">
        <v>11</v>
      </c>
      <c r="AI558" t="n">
        <v>16</v>
      </c>
      <c r="AJ558" t="n">
        <v>1</v>
      </c>
      <c r="AK558" t="n">
        <v>4</v>
      </c>
      <c r="AL558" t="n">
        <v>11</v>
      </c>
      <c r="AM558" t="n">
        <v>18</v>
      </c>
      <c r="AN558" t="n">
        <v>2</v>
      </c>
      <c r="AO558" t="n">
        <v>5</v>
      </c>
      <c r="AP558" t="n">
        <v>0</v>
      </c>
      <c r="AQ558" t="n">
        <v>0</v>
      </c>
      <c r="AR558" t="inlineStr">
        <is>
          <t>No</t>
        </is>
      </c>
      <c r="AS558" t="inlineStr">
        <is>
          <t>Yes</t>
        </is>
      </c>
      <c r="AT558">
        <f>HYPERLINK("http://catalog.hathitrust.org/Record/001004380","HathiTrust Record")</f>
        <v/>
      </c>
      <c r="AU558">
        <f>HYPERLINK("https://creighton-primo.hosted.exlibrisgroup.com/primo-explore/search?tab=default_tab&amp;search_scope=EVERYTHING&amp;vid=01CRU&amp;lang=en_US&amp;offset=0&amp;query=any,contains,991003876529702656","Catalog Record")</f>
        <v/>
      </c>
      <c r="AV558">
        <f>HYPERLINK("http://www.worldcat.org/oclc/1707824","WorldCat Record")</f>
        <v/>
      </c>
      <c r="AW558" t="inlineStr">
        <is>
          <t>1399829:eng</t>
        </is>
      </c>
      <c r="AX558" t="inlineStr">
        <is>
          <t>1707824</t>
        </is>
      </c>
      <c r="AY558" t="inlineStr">
        <is>
          <t>991003876529702656</t>
        </is>
      </c>
      <c r="AZ558" t="inlineStr">
        <is>
          <t>991003876529702656</t>
        </is>
      </c>
      <c r="BA558" t="inlineStr">
        <is>
          <t>2268728700002656</t>
        </is>
      </c>
      <c r="BB558" t="inlineStr">
        <is>
          <t>BOOK</t>
        </is>
      </c>
      <c r="BE558" t="inlineStr">
        <is>
          <t>32285002996337</t>
        </is>
      </c>
      <c r="BF558" t="inlineStr">
        <is>
          <t>893228585</t>
        </is>
      </c>
    </row>
    <row r="559">
      <c r="A559" t="inlineStr">
        <is>
          <t>No</t>
        </is>
      </c>
      <c r="B559" t="inlineStr">
        <is>
          <t>CURAL</t>
        </is>
      </c>
      <c r="C559" t="inlineStr">
        <is>
          <t>SHELVES</t>
        </is>
      </c>
      <c r="D559" t="inlineStr">
        <is>
          <t>PR2807 .S4 1946</t>
        </is>
      </c>
      <c r="E559" t="inlineStr">
        <is>
          <t>0                      PR 2807000S  4           1946</t>
        </is>
      </c>
      <c r="F559" t="inlineStr">
        <is>
          <t>Hamlet without tears / by I. J. Semper.</t>
        </is>
      </c>
      <c r="H559" t="inlineStr">
        <is>
          <t>No</t>
        </is>
      </c>
      <c r="I559" t="inlineStr">
        <is>
          <t>1</t>
        </is>
      </c>
      <c r="J559" t="inlineStr">
        <is>
          <t>No</t>
        </is>
      </c>
      <c r="K559" t="inlineStr">
        <is>
          <t>No</t>
        </is>
      </c>
      <c r="L559" t="inlineStr">
        <is>
          <t>0</t>
        </is>
      </c>
      <c r="M559" t="inlineStr">
        <is>
          <t>Semper, I. J. (Isidore Joseph), 1883-</t>
        </is>
      </c>
      <c r="N559" t="inlineStr">
        <is>
          <t>Dubuque, Ia. : The Loras college press, 1946.</t>
        </is>
      </c>
      <c r="O559" t="inlineStr">
        <is>
          <t>1946</t>
        </is>
      </c>
      <c r="Q559" t="inlineStr">
        <is>
          <t>eng</t>
        </is>
      </c>
      <c r="R559" t="inlineStr">
        <is>
          <t>iau</t>
        </is>
      </c>
      <c r="T559" t="inlineStr">
        <is>
          <t xml:space="preserve">PR </t>
        </is>
      </c>
      <c r="U559" t="n">
        <v>3</v>
      </c>
      <c r="V559" t="n">
        <v>3</v>
      </c>
      <c r="W559" t="inlineStr">
        <is>
          <t>2000-12-01</t>
        </is>
      </c>
      <c r="X559" t="inlineStr">
        <is>
          <t>2000-12-01</t>
        </is>
      </c>
      <c r="Y559" t="inlineStr">
        <is>
          <t>1998-10-08</t>
        </is>
      </c>
      <c r="Z559" t="inlineStr">
        <is>
          <t>1998-10-08</t>
        </is>
      </c>
      <c r="AA559" t="n">
        <v>87</v>
      </c>
      <c r="AB559" t="n">
        <v>81</v>
      </c>
      <c r="AC559" t="n">
        <v>95</v>
      </c>
      <c r="AD559" t="n">
        <v>1</v>
      </c>
      <c r="AE559" t="n">
        <v>1</v>
      </c>
      <c r="AF559" t="n">
        <v>16</v>
      </c>
      <c r="AG559" t="n">
        <v>16</v>
      </c>
      <c r="AH559" t="n">
        <v>5</v>
      </c>
      <c r="AI559" t="n">
        <v>5</v>
      </c>
      <c r="AJ559" t="n">
        <v>4</v>
      </c>
      <c r="AK559" t="n">
        <v>4</v>
      </c>
      <c r="AL559" t="n">
        <v>13</v>
      </c>
      <c r="AM559" t="n">
        <v>13</v>
      </c>
      <c r="AN559" t="n">
        <v>0</v>
      </c>
      <c r="AO559" t="n">
        <v>0</v>
      </c>
      <c r="AP559" t="n">
        <v>0</v>
      </c>
      <c r="AQ559" t="n">
        <v>0</v>
      </c>
      <c r="AR559" t="inlineStr">
        <is>
          <t>Yes</t>
        </is>
      </c>
      <c r="AS559" t="inlineStr">
        <is>
          <t>No</t>
        </is>
      </c>
      <c r="AT559">
        <f>HYPERLINK("http://catalog.hathitrust.org/Record/001004382","HathiTrust Record")</f>
        <v/>
      </c>
      <c r="AU559">
        <f>HYPERLINK("https://creighton-primo.hosted.exlibrisgroup.com/primo-explore/search?tab=default_tab&amp;search_scope=EVERYTHING&amp;vid=01CRU&amp;lang=en_US&amp;offset=0&amp;query=any,contains,991004416559702656","Catalog Record")</f>
        <v/>
      </c>
      <c r="AV559">
        <f>HYPERLINK("http://www.worldcat.org/oclc/3364807","WorldCat Record")</f>
        <v/>
      </c>
      <c r="AW559" t="inlineStr">
        <is>
          <t>5674133:eng</t>
        </is>
      </c>
      <c r="AX559" t="inlineStr">
        <is>
          <t>3364807</t>
        </is>
      </c>
      <c r="AY559" t="inlineStr">
        <is>
          <t>991004416559702656</t>
        </is>
      </c>
      <c r="AZ559" t="inlineStr">
        <is>
          <t>991004416559702656</t>
        </is>
      </c>
      <c r="BA559" t="inlineStr">
        <is>
          <t>2256436140002656</t>
        </is>
      </c>
      <c r="BB559" t="inlineStr">
        <is>
          <t>BOOK</t>
        </is>
      </c>
      <c r="BE559" t="inlineStr">
        <is>
          <t>32285003474227</t>
        </is>
      </c>
      <c r="BF559" t="inlineStr">
        <is>
          <t>893446201</t>
        </is>
      </c>
    </row>
    <row r="560">
      <c r="A560" t="inlineStr">
        <is>
          <t>No</t>
        </is>
      </c>
      <c r="B560" t="inlineStr">
        <is>
          <t>CURAL</t>
        </is>
      </c>
      <c r="C560" t="inlineStr">
        <is>
          <t>SHELVES</t>
        </is>
      </c>
      <c r="D560" t="inlineStr">
        <is>
          <t>PR2807 .W29</t>
        </is>
      </c>
      <c r="E560" t="inlineStr">
        <is>
          <t>0                      PR 2807000W  29</t>
        </is>
      </c>
      <c r="F560" t="inlineStr">
        <is>
          <t>Hamlet, by Ronald Watkins and Jeremy Lemmon.</t>
        </is>
      </c>
      <c r="H560" t="inlineStr">
        <is>
          <t>No</t>
        </is>
      </c>
      <c r="I560" t="inlineStr">
        <is>
          <t>1</t>
        </is>
      </c>
      <c r="J560" t="inlineStr">
        <is>
          <t>No</t>
        </is>
      </c>
      <c r="K560" t="inlineStr">
        <is>
          <t>No</t>
        </is>
      </c>
      <c r="L560" t="inlineStr">
        <is>
          <t>0</t>
        </is>
      </c>
      <c r="M560" t="inlineStr">
        <is>
          <t>Watkins, Ronald.</t>
        </is>
      </c>
      <c r="N560" t="inlineStr">
        <is>
          <t>Newton Abbot, David &amp; Charles [1974]</t>
        </is>
      </c>
      <c r="O560" t="inlineStr">
        <is>
          <t>1974</t>
        </is>
      </c>
      <c r="Q560" t="inlineStr">
        <is>
          <t>eng</t>
        </is>
      </c>
      <c r="R560" t="inlineStr">
        <is>
          <t>enk</t>
        </is>
      </c>
      <c r="S560" t="inlineStr">
        <is>
          <t>Their In Shakespeare's playhouse</t>
        </is>
      </c>
      <c r="T560" t="inlineStr">
        <is>
          <t xml:space="preserve">PR </t>
        </is>
      </c>
      <c r="U560" t="n">
        <v>7</v>
      </c>
      <c r="V560" t="n">
        <v>7</v>
      </c>
      <c r="W560" t="inlineStr">
        <is>
          <t>2000-10-07</t>
        </is>
      </c>
      <c r="X560" t="inlineStr">
        <is>
          <t>2000-10-07</t>
        </is>
      </c>
      <c r="Y560" t="inlineStr">
        <is>
          <t>1991-10-10</t>
        </is>
      </c>
      <c r="Z560" t="inlineStr">
        <is>
          <t>1991-10-10</t>
        </is>
      </c>
      <c r="AA560" t="n">
        <v>187</v>
      </c>
      <c r="AB560" t="n">
        <v>89</v>
      </c>
      <c r="AC560" t="n">
        <v>353</v>
      </c>
      <c r="AD560" t="n">
        <v>1</v>
      </c>
      <c r="AE560" t="n">
        <v>5</v>
      </c>
      <c r="AF560" t="n">
        <v>4</v>
      </c>
      <c r="AG560" t="n">
        <v>25</v>
      </c>
      <c r="AH560" t="n">
        <v>2</v>
      </c>
      <c r="AI560" t="n">
        <v>7</v>
      </c>
      <c r="AJ560" t="n">
        <v>0</v>
      </c>
      <c r="AK560" t="n">
        <v>4</v>
      </c>
      <c r="AL560" t="n">
        <v>2</v>
      </c>
      <c r="AM560" t="n">
        <v>14</v>
      </c>
      <c r="AN560" t="n">
        <v>0</v>
      </c>
      <c r="AO560" t="n">
        <v>4</v>
      </c>
      <c r="AP560" t="n">
        <v>0</v>
      </c>
      <c r="AQ560" t="n">
        <v>0</v>
      </c>
      <c r="AR560" t="inlineStr">
        <is>
          <t>No</t>
        </is>
      </c>
      <c r="AS560" t="inlineStr">
        <is>
          <t>No</t>
        </is>
      </c>
      <c r="AU560">
        <f>HYPERLINK("https://creighton-primo.hosted.exlibrisgroup.com/primo-explore/search?tab=default_tab&amp;search_scope=EVERYTHING&amp;vid=01CRU&amp;lang=en_US&amp;offset=0&amp;query=any,contains,991003716919702656","Catalog Record")</f>
        <v/>
      </c>
      <c r="AV560">
        <f>HYPERLINK("http://www.worldcat.org/oclc/1362587","WorldCat Record")</f>
        <v/>
      </c>
      <c r="AW560" t="inlineStr">
        <is>
          <t>1373779193:eng</t>
        </is>
      </c>
      <c r="AX560" t="inlineStr">
        <is>
          <t>1362587</t>
        </is>
      </c>
      <c r="AY560" t="inlineStr">
        <is>
          <t>991003716919702656</t>
        </is>
      </c>
      <c r="AZ560" t="inlineStr">
        <is>
          <t>991003716919702656</t>
        </is>
      </c>
      <c r="BA560" t="inlineStr">
        <is>
          <t>2258862400002656</t>
        </is>
      </c>
      <c r="BB560" t="inlineStr">
        <is>
          <t>BOOK</t>
        </is>
      </c>
      <c r="BD560" t="inlineStr">
        <is>
          <t>9780715364635</t>
        </is>
      </c>
      <c r="BE560" t="inlineStr">
        <is>
          <t>32285000774751</t>
        </is>
      </c>
      <c r="BF560" t="inlineStr">
        <is>
          <t>893900272</t>
        </is>
      </c>
    </row>
    <row r="561">
      <c r="A561" t="inlineStr">
        <is>
          <t>No</t>
        </is>
      </c>
      <c r="B561" t="inlineStr">
        <is>
          <t>CURAL</t>
        </is>
      </c>
      <c r="C561" t="inlineStr">
        <is>
          <t>SHELVES</t>
        </is>
      </c>
      <c r="D561" t="inlineStr">
        <is>
          <t>PR2807 .W55</t>
        </is>
      </c>
      <c r="E561" t="inlineStr">
        <is>
          <t>0                      PR 2807000W  55</t>
        </is>
      </c>
      <c r="F561" t="inlineStr">
        <is>
          <t>Hamlet and the Scottish succession; being an examination of the relations of the play of Hamlet to the Scottish succession and the Essex conspiracy, by Lilian Winstanley.</t>
        </is>
      </c>
      <c r="H561" t="inlineStr">
        <is>
          <t>No</t>
        </is>
      </c>
      <c r="I561" t="inlineStr">
        <is>
          <t>1</t>
        </is>
      </c>
      <c r="J561" t="inlineStr">
        <is>
          <t>No</t>
        </is>
      </c>
      <c r="K561" t="inlineStr">
        <is>
          <t>No</t>
        </is>
      </c>
      <c r="L561" t="inlineStr">
        <is>
          <t>0</t>
        </is>
      </c>
      <c r="M561" t="inlineStr">
        <is>
          <t>Winstanley, Lilian, 1875-</t>
        </is>
      </c>
      <c r="N561" t="inlineStr">
        <is>
          <t>Cambridge, The University press, 1921.</t>
        </is>
      </c>
      <c r="O561" t="inlineStr">
        <is>
          <t>1921</t>
        </is>
      </c>
      <c r="Q561" t="inlineStr">
        <is>
          <t>eng</t>
        </is>
      </c>
      <c r="R561" t="inlineStr">
        <is>
          <t>mau</t>
        </is>
      </c>
      <c r="T561" t="inlineStr">
        <is>
          <t xml:space="preserve">PR </t>
        </is>
      </c>
      <c r="U561" t="n">
        <v>2</v>
      </c>
      <c r="V561" t="n">
        <v>2</v>
      </c>
      <c r="W561" t="inlineStr">
        <is>
          <t>2006-06-21</t>
        </is>
      </c>
      <c r="X561" t="inlineStr">
        <is>
          <t>2006-06-21</t>
        </is>
      </c>
      <c r="Y561" t="inlineStr">
        <is>
          <t>1997-07-31</t>
        </is>
      </c>
      <c r="Z561" t="inlineStr">
        <is>
          <t>1997-07-31</t>
        </is>
      </c>
      <c r="AA561" t="n">
        <v>187</v>
      </c>
      <c r="AB561" t="n">
        <v>159</v>
      </c>
      <c r="AC561" t="n">
        <v>451</v>
      </c>
      <c r="AD561" t="n">
        <v>2</v>
      </c>
      <c r="AE561" t="n">
        <v>4</v>
      </c>
      <c r="AF561" t="n">
        <v>9</v>
      </c>
      <c r="AG561" t="n">
        <v>21</v>
      </c>
      <c r="AH561" t="n">
        <v>1</v>
      </c>
      <c r="AI561" t="n">
        <v>7</v>
      </c>
      <c r="AJ561" t="n">
        <v>2</v>
      </c>
      <c r="AK561" t="n">
        <v>4</v>
      </c>
      <c r="AL561" t="n">
        <v>6</v>
      </c>
      <c r="AM561" t="n">
        <v>10</v>
      </c>
      <c r="AN561" t="n">
        <v>1</v>
      </c>
      <c r="AO561" t="n">
        <v>3</v>
      </c>
      <c r="AP561" t="n">
        <v>0</v>
      </c>
      <c r="AQ561" t="n">
        <v>0</v>
      </c>
      <c r="AR561" t="inlineStr">
        <is>
          <t>Yes</t>
        </is>
      </c>
      <c r="AS561" t="inlineStr">
        <is>
          <t>No</t>
        </is>
      </c>
      <c r="AT561">
        <f>HYPERLINK("http://catalog.hathitrust.org/Record/001017802","HathiTrust Record")</f>
        <v/>
      </c>
      <c r="AU561">
        <f>HYPERLINK("https://creighton-primo.hosted.exlibrisgroup.com/primo-explore/search?tab=default_tab&amp;search_scope=EVERYTHING&amp;vid=01CRU&amp;lang=en_US&amp;offset=0&amp;query=any,contains,991004043349702656","Catalog Record")</f>
        <v/>
      </c>
      <c r="AV561">
        <f>HYPERLINK("http://www.worldcat.org/oclc/2192202","WorldCat Record")</f>
        <v/>
      </c>
      <c r="AW561" t="inlineStr">
        <is>
          <t>1238534:eng</t>
        </is>
      </c>
      <c r="AX561" t="inlineStr">
        <is>
          <t>2192202</t>
        </is>
      </c>
      <c r="AY561" t="inlineStr">
        <is>
          <t>991004043349702656</t>
        </is>
      </c>
      <c r="AZ561" t="inlineStr">
        <is>
          <t>991004043349702656</t>
        </is>
      </c>
      <c r="BA561" t="inlineStr">
        <is>
          <t>2263888000002656</t>
        </is>
      </c>
      <c r="BB561" t="inlineStr">
        <is>
          <t>BOOK</t>
        </is>
      </c>
      <c r="BE561" t="inlineStr">
        <is>
          <t>32285002996360</t>
        </is>
      </c>
      <c r="BF561" t="inlineStr">
        <is>
          <t>893435827</t>
        </is>
      </c>
    </row>
    <row r="562">
      <c r="A562" t="inlineStr">
        <is>
          <t>No</t>
        </is>
      </c>
      <c r="B562" t="inlineStr">
        <is>
          <t>CURAL</t>
        </is>
      </c>
      <c r="C562" t="inlineStr">
        <is>
          <t>SHELVES</t>
        </is>
      </c>
      <c r="D562" t="inlineStr">
        <is>
          <t>PR2808 .W54 1992</t>
        </is>
      </c>
      <c r="E562" t="inlineStr">
        <is>
          <t>0                      PR 2808000W  54          1992</t>
        </is>
      </c>
      <c r="F562" t="inlineStr">
        <is>
          <t>William Shakespeare, Julius Caesar / Richard Wilson.</t>
        </is>
      </c>
      <c r="H562" t="inlineStr">
        <is>
          <t>No</t>
        </is>
      </c>
      <c r="I562" t="inlineStr">
        <is>
          <t>1</t>
        </is>
      </c>
      <c r="J562" t="inlineStr">
        <is>
          <t>No</t>
        </is>
      </c>
      <c r="K562" t="inlineStr">
        <is>
          <t>No</t>
        </is>
      </c>
      <c r="L562" t="inlineStr">
        <is>
          <t>0</t>
        </is>
      </c>
      <c r="M562" t="inlineStr">
        <is>
          <t>Wilson, Richard, 1950-</t>
        </is>
      </c>
      <c r="N562" t="inlineStr">
        <is>
          <t>London ; New York : Penguin Books, 1992.</t>
        </is>
      </c>
      <c r="O562" t="inlineStr">
        <is>
          <t>1992</t>
        </is>
      </c>
      <c r="Q562" t="inlineStr">
        <is>
          <t>eng</t>
        </is>
      </c>
      <c r="R562" t="inlineStr">
        <is>
          <t>enk</t>
        </is>
      </c>
      <c r="S562" t="inlineStr">
        <is>
          <t>Penguin critical studies</t>
        </is>
      </c>
      <c r="T562" t="inlineStr">
        <is>
          <t xml:space="preserve">PR </t>
        </is>
      </c>
      <c r="U562" t="n">
        <v>5</v>
      </c>
      <c r="V562" t="n">
        <v>5</v>
      </c>
      <c r="W562" t="inlineStr">
        <is>
          <t>2008-12-01</t>
        </is>
      </c>
      <c r="X562" t="inlineStr">
        <is>
          <t>2008-12-01</t>
        </is>
      </c>
      <c r="Y562" t="inlineStr">
        <is>
          <t>1993-03-25</t>
        </is>
      </c>
      <c r="Z562" t="inlineStr">
        <is>
          <t>1993-03-25</t>
        </is>
      </c>
      <c r="AA562" t="n">
        <v>151</v>
      </c>
      <c r="AB562" t="n">
        <v>89</v>
      </c>
      <c r="AC562" t="n">
        <v>89</v>
      </c>
      <c r="AD562" t="n">
        <v>1</v>
      </c>
      <c r="AE562" t="n">
        <v>1</v>
      </c>
      <c r="AF562" t="n">
        <v>5</v>
      </c>
      <c r="AG562" t="n">
        <v>5</v>
      </c>
      <c r="AH562" t="n">
        <v>2</v>
      </c>
      <c r="AI562" t="n">
        <v>2</v>
      </c>
      <c r="AJ562" t="n">
        <v>2</v>
      </c>
      <c r="AK562" t="n">
        <v>2</v>
      </c>
      <c r="AL562" t="n">
        <v>4</v>
      </c>
      <c r="AM562" t="n">
        <v>4</v>
      </c>
      <c r="AN562" t="n">
        <v>0</v>
      </c>
      <c r="AO562" t="n">
        <v>0</v>
      </c>
      <c r="AP562" t="n">
        <v>0</v>
      </c>
      <c r="AQ562" t="n">
        <v>0</v>
      </c>
      <c r="AR562" t="inlineStr">
        <is>
          <t>No</t>
        </is>
      </c>
      <c r="AS562" t="inlineStr">
        <is>
          <t>No</t>
        </is>
      </c>
      <c r="AU562">
        <f>HYPERLINK("https://creighton-primo.hosted.exlibrisgroup.com/primo-explore/search?tab=default_tab&amp;search_scope=EVERYTHING&amp;vid=01CRU&amp;lang=en_US&amp;offset=0&amp;query=any,contains,991002116429702656","Catalog Record")</f>
        <v/>
      </c>
      <c r="AV562">
        <f>HYPERLINK("http://www.worldcat.org/oclc/27117222","WorldCat Record")</f>
        <v/>
      </c>
      <c r="AW562" t="inlineStr">
        <is>
          <t>29471542:eng</t>
        </is>
      </c>
      <c r="AX562" t="inlineStr">
        <is>
          <t>27117222</t>
        </is>
      </c>
      <c r="AY562" t="inlineStr">
        <is>
          <t>991002116429702656</t>
        </is>
      </c>
      <c r="AZ562" t="inlineStr">
        <is>
          <t>991002116429702656</t>
        </is>
      </c>
      <c r="BA562" t="inlineStr">
        <is>
          <t>2258257580002656</t>
        </is>
      </c>
      <c r="BB562" t="inlineStr">
        <is>
          <t>BOOK</t>
        </is>
      </c>
      <c r="BD562" t="inlineStr">
        <is>
          <t>9780140772654</t>
        </is>
      </c>
      <c r="BE562" t="inlineStr">
        <is>
          <t>32285001498723</t>
        </is>
      </c>
      <c r="BF562" t="inlineStr">
        <is>
          <t>893603213</t>
        </is>
      </c>
    </row>
    <row r="563">
      <c r="A563" t="inlineStr">
        <is>
          <t>No</t>
        </is>
      </c>
      <c r="B563" t="inlineStr">
        <is>
          <t>CURAL</t>
        </is>
      </c>
      <c r="C563" t="inlineStr">
        <is>
          <t>SHELVES</t>
        </is>
      </c>
      <c r="D563" t="inlineStr">
        <is>
          <t>PR2809 .H46 1986</t>
        </is>
      </c>
      <c r="E563" t="inlineStr">
        <is>
          <t>0                      PR 2809000H  46          1986</t>
        </is>
      </c>
      <c r="F563" t="inlineStr">
        <is>
          <t>Henry the Fourth, parts I and II : critical essays / [edited by] David Bevington.</t>
        </is>
      </c>
      <c r="H563" t="inlineStr">
        <is>
          <t>No</t>
        </is>
      </c>
      <c r="I563" t="inlineStr">
        <is>
          <t>1</t>
        </is>
      </c>
      <c r="J563" t="inlineStr">
        <is>
          <t>No</t>
        </is>
      </c>
      <c r="K563" t="inlineStr">
        <is>
          <t>No</t>
        </is>
      </c>
      <c r="L563" t="inlineStr">
        <is>
          <t>0</t>
        </is>
      </c>
      <c r="N563" t="inlineStr">
        <is>
          <t>New York : Garland Pub., 1986.</t>
        </is>
      </c>
      <c r="O563" t="inlineStr">
        <is>
          <t>1986</t>
        </is>
      </c>
      <c r="Q563" t="inlineStr">
        <is>
          <t>eng</t>
        </is>
      </c>
      <c r="R563" t="inlineStr">
        <is>
          <t>nyu</t>
        </is>
      </c>
      <c r="S563" t="inlineStr">
        <is>
          <t>Shakespearean criticism ; vol. 5</t>
        </is>
      </c>
      <c r="T563" t="inlineStr">
        <is>
          <t xml:space="preserve">PR </t>
        </is>
      </c>
      <c r="U563" t="n">
        <v>8</v>
      </c>
      <c r="V563" t="n">
        <v>8</v>
      </c>
      <c r="W563" t="inlineStr">
        <is>
          <t>2000-03-02</t>
        </is>
      </c>
      <c r="X563" t="inlineStr">
        <is>
          <t>2000-03-02</t>
        </is>
      </c>
      <c r="Y563" t="inlineStr">
        <is>
          <t>1990-03-13</t>
        </is>
      </c>
      <c r="Z563" t="inlineStr">
        <is>
          <t>1990-03-13</t>
        </is>
      </c>
      <c r="AA563" t="n">
        <v>325</v>
      </c>
      <c r="AB563" t="n">
        <v>262</v>
      </c>
      <c r="AC563" t="n">
        <v>280</v>
      </c>
      <c r="AD563" t="n">
        <v>4</v>
      </c>
      <c r="AE563" t="n">
        <v>4</v>
      </c>
      <c r="AF563" t="n">
        <v>20</v>
      </c>
      <c r="AG563" t="n">
        <v>20</v>
      </c>
      <c r="AH563" t="n">
        <v>7</v>
      </c>
      <c r="AI563" t="n">
        <v>7</v>
      </c>
      <c r="AJ563" t="n">
        <v>4</v>
      </c>
      <c r="AK563" t="n">
        <v>4</v>
      </c>
      <c r="AL563" t="n">
        <v>11</v>
      </c>
      <c r="AM563" t="n">
        <v>11</v>
      </c>
      <c r="AN563" t="n">
        <v>3</v>
      </c>
      <c r="AO563" t="n">
        <v>3</v>
      </c>
      <c r="AP563" t="n">
        <v>0</v>
      </c>
      <c r="AQ563" t="n">
        <v>0</v>
      </c>
      <c r="AR563" t="inlineStr">
        <is>
          <t>No</t>
        </is>
      </c>
      <c r="AS563" t="inlineStr">
        <is>
          <t>Yes</t>
        </is>
      </c>
      <c r="AT563">
        <f>HYPERLINK("http://catalog.hathitrust.org/Record/000445270","HathiTrust Record")</f>
        <v/>
      </c>
      <c r="AU563">
        <f>HYPERLINK("https://creighton-primo.hosted.exlibrisgroup.com/primo-explore/search?tab=default_tab&amp;search_scope=EVERYTHING&amp;vid=01CRU&amp;lang=en_US&amp;offset=0&amp;query=any,contains,991000670499702656","Catalog Record")</f>
        <v/>
      </c>
      <c r="AV563">
        <f>HYPERLINK("http://www.worldcat.org/oclc/12314295","WorldCat Record")</f>
        <v/>
      </c>
      <c r="AW563" t="inlineStr">
        <is>
          <t>4394592033:eng</t>
        </is>
      </c>
      <c r="AX563" t="inlineStr">
        <is>
          <t>12314295</t>
        </is>
      </c>
      <c r="AY563" t="inlineStr">
        <is>
          <t>991000670499702656</t>
        </is>
      </c>
      <c r="AZ563" t="inlineStr">
        <is>
          <t>991000670499702656</t>
        </is>
      </c>
      <c r="BA563" t="inlineStr">
        <is>
          <t>2271527570002656</t>
        </is>
      </c>
      <c r="BB563" t="inlineStr">
        <is>
          <t>BOOK</t>
        </is>
      </c>
      <c r="BD563" t="inlineStr">
        <is>
          <t>9780824087067</t>
        </is>
      </c>
      <c r="BE563" t="inlineStr">
        <is>
          <t>32285000083302</t>
        </is>
      </c>
      <c r="BF563" t="inlineStr">
        <is>
          <t>893589655</t>
        </is>
      </c>
    </row>
    <row r="564">
      <c r="A564" t="inlineStr">
        <is>
          <t>No</t>
        </is>
      </c>
      <c r="B564" t="inlineStr">
        <is>
          <t>CURAL</t>
        </is>
      </c>
      <c r="C564" t="inlineStr">
        <is>
          <t>SHELVES</t>
        </is>
      </c>
      <c r="D564" t="inlineStr">
        <is>
          <t>PR2809 .K56 1992</t>
        </is>
      </c>
      <c r="E564" t="inlineStr">
        <is>
          <t>0                      PR 2809000K  56          1992</t>
        </is>
      </c>
      <c r="F564" t="inlineStr">
        <is>
          <t>Henry IV, Parts I &amp; II / Ronald Knowles.</t>
        </is>
      </c>
      <c r="H564" t="inlineStr">
        <is>
          <t>No</t>
        </is>
      </c>
      <c r="I564" t="inlineStr">
        <is>
          <t>1</t>
        </is>
      </c>
      <c r="J564" t="inlineStr">
        <is>
          <t>No</t>
        </is>
      </c>
      <c r="K564" t="inlineStr">
        <is>
          <t>No</t>
        </is>
      </c>
      <c r="L564" t="inlineStr">
        <is>
          <t>0</t>
        </is>
      </c>
      <c r="M564" t="inlineStr">
        <is>
          <t>Knowles, Ronald, 1940-</t>
        </is>
      </c>
      <c r="N564" t="inlineStr">
        <is>
          <t>Basingstoke : Macmillan, 1992.</t>
        </is>
      </c>
      <c r="O564" t="inlineStr">
        <is>
          <t>1992</t>
        </is>
      </c>
      <c r="Q564" t="inlineStr">
        <is>
          <t>eng</t>
        </is>
      </c>
      <c r="R564" t="inlineStr">
        <is>
          <t>enk</t>
        </is>
      </c>
      <c r="S564" t="inlineStr">
        <is>
          <t>The Critics debate</t>
        </is>
      </c>
      <c r="T564" t="inlineStr">
        <is>
          <t xml:space="preserve">PR </t>
        </is>
      </c>
      <c r="U564" t="n">
        <v>8</v>
      </c>
      <c r="V564" t="n">
        <v>8</v>
      </c>
      <c r="W564" t="inlineStr">
        <is>
          <t>2002-12-08</t>
        </is>
      </c>
      <c r="X564" t="inlineStr">
        <is>
          <t>2002-12-08</t>
        </is>
      </c>
      <c r="Y564" t="inlineStr">
        <is>
          <t>1993-11-01</t>
        </is>
      </c>
      <c r="Z564" t="inlineStr">
        <is>
          <t>1993-11-01</t>
        </is>
      </c>
      <c r="AA564" t="n">
        <v>105</v>
      </c>
      <c r="AB564" t="n">
        <v>52</v>
      </c>
      <c r="AC564" t="n">
        <v>59</v>
      </c>
      <c r="AD564" t="n">
        <v>1</v>
      </c>
      <c r="AE564" t="n">
        <v>1</v>
      </c>
      <c r="AF564" t="n">
        <v>2</v>
      </c>
      <c r="AG564" t="n">
        <v>2</v>
      </c>
      <c r="AH564" t="n">
        <v>0</v>
      </c>
      <c r="AI564" t="n">
        <v>0</v>
      </c>
      <c r="AJ564" t="n">
        <v>0</v>
      </c>
      <c r="AK564" t="n">
        <v>0</v>
      </c>
      <c r="AL564" t="n">
        <v>2</v>
      </c>
      <c r="AM564" t="n">
        <v>2</v>
      </c>
      <c r="AN564" t="n">
        <v>0</v>
      </c>
      <c r="AO564" t="n">
        <v>0</v>
      </c>
      <c r="AP564" t="n">
        <v>0</v>
      </c>
      <c r="AQ564" t="n">
        <v>0</v>
      </c>
      <c r="AR564" t="inlineStr">
        <is>
          <t>No</t>
        </is>
      </c>
      <c r="AS564" t="inlineStr">
        <is>
          <t>No</t>
        </is>
      </c>
      <c r="AU564">
        <f>HYPERLINK("https://creighton-primo.hosted.exlibrisgroup.com/primo-explore/search?tab=default_tab&amp;search_scope=EVERYTHING&amp;vid=01CRU&amp;lang=en_US&amp;offset=0&amp;query=any,contains,991002045609702656","Catalog Record")</f>
        <v/>
      </c>
      <c r="AV564">
        <f>HYPERLINK("http://www.worldcat.org/oclc/26112726","WorldCat Record")</f>
        <v/>
      </c>
      <c r="AW564" t="inlineStr">
        <is>
          <t>28527829:eng</t>
        </is>
      </c>
      <c r="AX564" t="inlineStr">
        <is>
          <t>26112726</t>
        </is>
      </c>
      <c r="AY564" t="inlineStr">
        <is>
          <t>991002045609702656</t>
        </is>
      </c>
      <c r="AZ564" t="inlineStr">
        <is>
          <t>991002045609702656</t>
        </is>
      </c>
      <c r="BA564" t="inlineStr">
        <is>
          <t>2259341380002656</t>
        </is>
      </c>
      <c r="BB564" t="inlineStr">
        <is>
          <t>BOOK</t>
        </is>
      </c>
      <c r="BD564" t="inlineStr">
        <is>
          <t>9780333525791</t>
        </is>
      </c>
      <c r="BE564" t="inlineStr">
        <is>
          <t>32285001789394</t>
        </is>
      </c>
      <c r="BF564" t="inlineStr">
        <is>
          <t>893516830</t>
        </is>
      </c>
    </row>
    <row r="565">
      <c r="A565" t="inlineStr">
        <is>
          <t>No</t>
        </is>
      </c>
      <c r="B565" t="inlineStr">
        <is>
          <t>CURAL</t>
        </is>
      </c>
      <c r="C565" t="inlineStr">
        <is>
          <t>SHELVES</t>
        </is>
      </c>
      <c r="D565" t="inlineStr">
        <is>
          <t>PR2809 .M6 1974</t>
        </is>
      </c>
      <c r="E565" t="inlineStr">
        <is>
          <t>0                      PR 2809000M  6           1974</t>
        </is>
      </c>
      <c r="F565" t="inlineStr">
        <is>
          <t>Some problems of Shakespeare's "Henry the Fourth" / by A. E. Morgan.</t>
        </is>
      </c>
      <c r="H565" t="inlineStr">
        <is>
          <t>No</t>
        </is>
      </c>
      <c r="I565" t="inlineStr">
        <is>
          <t>1</t>
        </is>
      </c>
      <c r="J565" t="inlineStr">
        <is>
          <t>No</t>
        </is>
      </c>
      <c r="K565" t="inlineStr">
        <is>
          <t>No</t>
        </is>
      </c>
      <c r="L565" t="inlineStr">
        <is>
          <t>0</t>
        </is>
      </c>
      <c r="M565" t="inlineStr">
        <is>
          <t>Morgan, A. E. (Arthur Eustace), 1886-1972.</t>
        </is>
      </c>
      <c r="N565" t="inlineStr">
        <is>
          <t>[Folcroft, Pa.] : Folcroft Library Editions, 1974.</t>
        </is>
      </c>
      <c r="O565" t="inlineStr">
        <is>
          <t>1974</t>
        </is>
      </c>
      <c r="Q565" t="inlineStr">
        <is>
          <t>eng</t>
        </is>
      </c>
      <c r="R565" t="inlineStr">
        <is>
          <t>pau</t>
        </is>
      </c>
      <c r="T565" t="inlineStr">
        <is>
          <t xml:space="preserve">PR </t>
        </is>
      </c>
      <c r="U565" t="n">
        <v>6</v>
      </c>
      <c r="V565" t="n">
        <v>6</v>
      </c>
      <c r="W565" t="inlineStr">
        <is>
          <t>2002-12-08</t>
        </is>
      </c>
      <c r="X565" t="inlineStr">
        <is>
          <t>2002-12-08</t>
        </is>
      </c>
      <c r="Y565" t="inlineStr">
        <is>
          <t>1991-02-22</t>
        </is>
      </c>
      <c r="Z565" t="inlineStr">
        <is>
          <t>1991-02-22</t>
        </is>
      </c>
      <c r="AA565" t="n">
        <v>28</v>
      </c>
      <c r="AB565" t="n">
        <v>24</v>
      </c>
      <c r="AC565" t="n">
        <v>26</v>
      </c>
      <c r="AD565" t="n">
        <v>1</v>
      </c>
      <c r="AE565" t="n">
        <v>1</v>
      </c>
      <c r="AF565" t="n">
        <v>2</v>
      </c>
      <c r="AG565" t="n">
        <v>2</v>
      </c>
      <c r="AH565" t="n">
        <v>0</v>
      </c>
      <c r="AI565" t="n">
        <v>0</v>
      </c>
      <c r="AJ565" t="n">
        <v>2</v>
      </c>
      <c r="AK565" t="n">
        <v>2</v>
      </c>
      <c r="AL565" t="n">
        <v>1</v>
      </c>
      <c r="AM565" t="n">
        <v>1</v>
      </c>
      <c r="AN565" t="n">
        <v>0</v>
      </c>
      <c r="AO565" t="n">
        <v>0</v>
      </c>
      <c r="AP565" t="n">
        <v>0</v>
      </c>
      <c r="AQ565" t="n">
        <v>0</v>
      </c>
      <c r="AR565" t="inlineStr">
        <is>
          <t>No</t>
        </is>
      </c>
      <c r="AS565" t="inlineStr">
        <is>
          <t>No</t>
        </is>
      </c>
      <c r="AU565">
        <f>HYPERLINK("https://creighton-primo.hosted.exlibrisgroup.com/primo-explore/search?tab=default_tab&amp;search_scope=EVERYTHING&amp;vid=01CRU&amp;lang=en_US&amp;offset=0&amp;query=any,contains,991003156669702656","Catalog Record")</f>
        <v/>
      </c>
      <c r="AV565">
        <f>HYPERLINK("http://www.worldcat.org/oclc/695705","WorldCat Record")</f>
        <v/>
      </c>
      <c r="AW565" t="inlineStr">
        <is>
          <t>10681786137:eng</t>
        </is>
      </c>
      <c r="AX565" t="inlineStr">
        <is>
          <t>695705</t>
        </is>
      </c>
      <c r="AY565" t="inlineStr">
        <is>
          <t>991003156669702656</t>
        </is>
      </c>
      <c r="AZ565" t="inlineStr">
        <is>
          <t>991003156669702656</t>
        </is>
      </c>
      <c r="BA565" t="inlineStr">
        <is>
          <t>2267877660002656</t>
        </is>
      </c>
      <c r="BB565" t="inlineStr">
        <is>
          <t>BOOK</t>
        </is>
      </c>
      <c r="BD565" t="inlineStr">
        <is>
          <t>9780841460102</t>
        </is>
      </c>
      <c r="BE565" t="inlineStr">
        <is>
          <t>32285000499540</t>
        </is>
      </c>
      <c r="BF565" t="inlineStr">
        <is>
          <t>893874479</t>
        </is>
      </c>
    </row>
    <row r="566">
      <c r="A566" t="inlineStr">
        <is>
          <t>No</t>
        </is>
      </c>
      <c r="B566" t="inlineStr">
        <is>
          <t>CURAL</t>
        </is>
      </c>
      <c r="C566" t="inlineStr">
        <is>
          <t>SHELVES</t>
        </is>
      </c>
      <c r="D566" t="inlineStr">
        <is>
          <t>PR281 .M34 1986</t>
        </is>
      </c>
      <c r="E566" t="inlineStr">
        <is>
          <t>0                      PR 0281000M  34          1986</t>
        </is>
      </c>
      <c r="F566" t="inlineStr">
        <is>
          <t>Medieval literature : criticism, ideology &amp; history / edited by David Aers.</t>
        </is>
      </c>
      <c r="H566" t="inlineStr">
        <is>
          <t>No</t>
        </is>
      </c>
      <c r="I566" t="inlineStr">
        <is>
          <t>1</t>
        </is>
      </c>
      <c r="J566" t="inlineStr">
        <is>
          <t>No</t>
        </is>
      </c>
      <c r="K566" t="inlineStr">
        <is>
          <t>No</t>
        </is>
      </c>
      <c r="L566" t="inlineStr">
        <is>
          <t>0</t>
        </is>
      </c>
      <c r="N566" t="inlineStr">
        <is>
          <t>Brighton : Harvester, 1986.</t>
        </is>
      </c>
      <c r="O566" t="inlineStr">
        <is>
          <t>1986</t>
        </is>
      </c>
      <c r="Q566" t="inlineStr">
        <is>
          <t>eng</t>
        </is>
      </c>
      <c r="R566" t="inlineStr">
        <is>
          <t>enk</t>
        </is>
      </c>
      <c r="T566" t="inlineStr">
        <is>
          <t xml:space="preserve">PR </t>
        </is>
      </c>
      <c r="U566" t="n">
        <v>12</v>
      </c>
      <c r="V566" t="n">
        <v>12</v>
      </c>
      <c r="W566" t="inlineStr">
        <is>
          <t>2006-09-20</t>
        </is>
      </c>
      <c r="X566" t="inlineStr">
        <is>
          <t>2006-09-20</t>
        </is>
      </c>
      <c r="Y566" t="inlineStr">
        <is>
          <t>1991-08-28</t>
        </is>
      </c>
      <c r="Z566" t="inlineStr">
        <is>
          <t>1991-08-28</t>
        </is>
      </c>
      <c r="AA566" t="n">
        <v>182</v>
      </c>
      <c r="AB566" t="n">
        <v>77</v>
      </c>
      <c r="AC566" t="n">
        <v>443</v>
      </c>
      <c r="AD566" t="n">
        <v>2</v>
      </c>
      <c r="AE566" t="n">
        <v>4</v>
      </c>
      <c r="AF566" t="n">
        <v>5</v>
      </c>
      <c r="AG566" t="n">
        <v>29</v>
      </c>
      <c r="AH566" t="n">
        <v>1</v>
      </c>
      <c r="AI566" t="n">
        <v>15</v>
      </c>
      <c r="AJ566" t="n">
        <v>1</v>
      </c>
      <c r="AK566" t="n">
        <v>6</v>
      </c>
      <c r="AL566" t="n">
        <v>4</v>
      </c>
      <c r="AM566" t="n">
        <v>16</v>
      </c>
      <c r="AN566" t="n">
        <v>1</v>
      </c>
      <c r="AO566" t="n">
        <v>3</v>
      </c>
      <c r="AP566" t="n">
        <v>0</v>
      </c>
      <c r="AQ566" t="n">
        <v>0</v>
      </c>
      <c r="AR566" t="inlineStr">
        <is>
          <t>No</t>
        </is>
      </c>
      <c r="AS566" t="inlineStr">
        <is>
          <t>Yes</t>
        </is>
      </c>
      <c r="AT566">
        <f>HYPERLINK("http://catalog.hathitrust.org/Record/000590460","HathiTrust Record")</f>
        <v/>
      </c>
      <c r="AU566">
        <f>HYPERLINK("https://creighton-primo.hosted.exlibrisgroup.com/primo-explore/search?tab=default_tab&amp;search_scope=EVERYTHING&amp;vid=01CRU&amp;lang=en_US&amp;offset=0&amp;query=any,contains,991000822339702656","Catalog Record")</f>
        <v/>
      </c>
      <c r="AV566">
        <f>HYPERLINK("http://www.worldcat.org/oclc/14587659","WorldCat Record")</f>
        <v/>
      </c>
      <c r="AW566" t="inlineStr">
        <is>
          <t>836680513:eng</t>
        </is>
      </c>
      <c r="AX566" t="inlineStr">
        <is>
          <t>14587659</t>
        </is>
      </c>
      <c r="AY566" t="inlineStr">
        <is>
          <t>991000822339702656</t>
        </is>
      </c>
      <c r="AZ566" t="inlineStr">
        <is>
          <t>991000822339702656</t>
        </is>
      </c>
      <c r="BA566" t="inlineStr">
        <is>
          <t>2262025150002656</t>
        </is>
      </c>
      <c r="BB566" t="inlineStr">
        <is>
          <t>BOOK</t>
        </is>
      </c>
      <c r="BD566" t="inlineStr">
        <is>
          <t>9780710810212</t>
        </is>
      </c>
      <c r="BE566" t="inlineStr">
        <is>
          <t>32285000730589</t>
        </is>
      </c>
      <c r="BF566" t="inlineStr">
        <is>
          <t>893797019</t>
        </is>
      </c>
    </row>
    <row r="567">
      <c r="A567" t="inlineStr">
        <is>
          <t>No</t>
        </is>
      </c>
      <c r="B567" t="inlineStr">
        <is>
          <t>CURAL</t>
        </is>
      </c>
      <c r="C567" t="inlineStr">
        <is>
          <t>SHELVES</t>
        </is>
      </c>
      <c r="D567" t="inlineStr">
        <is>
          <t>PR281 .M53 1989</t>
        </is>
      </c>
      <c r="E567" t="inlineStr">
        <is>
          <t>0                      PR 0281000M  53          1989</t>
        </is>
      </c>
      <c r="F567" t="inlineStr">
        <is>
          <t>Middle English literature : British Academy Gollancz lectures / selected and introduced by J.A. Burrow.</t>
        </is>
      </c>
      <c r="H567" t="inlineStr">
        <is>
          <t>No</t>
        </is>
      </c>
      <c r="I567" t="inlineStr">
        <is>
          <t>1</t>
        </is>
      </c>
      <c r="J567" t="inlineStr">
        <is>
          <t>No</t>
        </is>
      </c>
      <c r="K567" t="inlineStr">
        <is>
          <t>No</t>
        </is>
      </c>
      <c r="L567" t="inlineStr">
        <is>
          <t>0</t>
        </is>
      </c>
      <c r="N567" t="inlineStr">
        <is>
          <t>Oxford : Published for the British Academy by the Oxford University Press, 1989.</t>
        </is>
      </c>
      <c r="O567" t="inlineStr">
        <is>
          <t>1989</t>
        </is>
      </c>
      <c r="Q567" t="inlineStr">
        <is>
          <t>eng</t>
        </is>
      </c>
      <c r="R567" t="inlineStr">
        <is>
          <t>enk</t>
        </is>
      </c>
      <c r="T567" t="inlineStr">
        <is>
          <t xml:space="preserve">PR </t>
        </is>
      </c>
      <c r="U567" t="n">
        <v>2</v>
      </c>
      <c r="V567" t="n">
        <v>2</v>
      </c>
      <c r="W567" t="inlineStr">
        <is>
          <t>1998-11-06</t>
        </is>
      </c>
      <c r="X567" t="inlineStr">
        <is>
          <t>1998-11-06</t>
        </is>
      </c>
      <c r="Y567" t="inlineStr">
        <is>
          <t>1990-08-15</t>
        </is>
      </c>
      <c r="Z567" t="inlineStr">
        <is>
          <t>1990-08-15</t>
        </is>
      </c>
      <c r="AA567" t="n">
        <v>274</v>
      </c>
      <c r="AB567" t="n">
        <v>200</v>
      </c>
      <c r="AC567" t="n">
        <v>208</v>
      </c>
      <c r="AD567" t="n">
        <v>2</v>
      </c>
      <c r="AE567" t="n">
        <v>2</v>
      </c>
      <c r="AF567" t="n">
        <v>10</v>
      </c>
      <c r="AG567" t="n">
        <v>10</v>
      </c>
      <c r="AH567" t="n">
        <v>2</v>
      </c>
      <c r="AI567" t="n">
        <v>2</v>
      </c>
      <c r="AJ567" t="n">
        <v>3</v>
      </c>
      <c r="AK567" t="n">
        <v>3</v>
      </c>
      <c r="AL567" t="n">
        <v>7</v>
      </c>
      <c r="AM567" t="n">
        <v>7</v>
      </c>
      <c r="AN567" t="n">
        <v>1</v>
      </c>
      <c r="AO567" t="n">
        <v>1</v>
      </c>
      <c r="AP567" t="n">
        <v>0</v>
      </c>
      <c r="AQ567" t="n">
        <v>0</v>
      </c>
      <c r="AR567" t="inlineStr">
        <is>
          <t>No</t>
        </is>
      </c>
      <c r="AS567" t="inlineStr">
        <is>
          <t>Yes</t>
        </is>
      </c>
      <c r="AT567">
        <f>HYPERLINK("http://catalog.hathitrust.org/Record/001834137","HathiTrust Record")</f>
        <v/>
      </c>
      <c r="AU567">
        <f>HYPERLINK("https://creighton-primo.hosted.exlibrisgroup.com/primo-explore/search?tab=default_tab&amp;search_scope=EVERYTHING&amp;vid=01CRU&amp;lang=en_US&amp;offset=0&amp;query=any,contains,991001486899702656","Catalog Record")</f>
        <v/>
      </c>
      <c r="AV567">
        <f>HYPERLINK("http://www.worldcat.org/oclc/19670355","WorldCat Record")</f>
        <v/>
      </c>
      <c r="AW567" t="inlineStr">
        <is>
          <t>836899435:eng</t>
        </is>
      </c>
      <c r="AX567" t="inlineStr">
        <is>
          <t>19670355</t>
        </is>
      </c>
      <c r="AY567" t="inlineStr">
        <is>
          <t>991001486899702656</t>
        </is>
      </c>
      <c r="AZ567" t="inlineStr">
        <is>
          <t>991001486899702656</t>
        </is>
      </c>
      <c r="BA567" t="inlineStr">
        <is>
          <t>2266280430002656</t>
        </is>
      </c>
      <c r="BB567" t="inlineStr">
        <is>
          <t>BOOK</t>
        </is>
      </c>
      <c r="BD567" t="inlineStr">
        <is>
          <t>9780197260852</t>
        </is>
      </c>
      <c r="BE567" t="inlineStr">
        <is>
          <t>32285000243898</t>
        </is>
      </c>
      <c r="BF567" t="inlineStr">
        <is>
          <t>893615160</t>
        </is>
      </c>
    </row>
    <row r="568">
      <c r="A568" t="inlineStr">
        <is>
          <t>No</t>
        </is>
      </c>
      <c r="B568" t="inlineStr">
        <is>
          <t>CURAL</t>
        </is>
      </c>
      <c r="C568" t="inlineStr">
        <is>
          <t>SHELVES</t>
        </is>
      </c>
      <c r="D568" t="inlineStr">
        <is>
          <t>PR2811 .Y6</t>
        </is>
      </c>
      <c r="E568" t="inlineStr">
        <is>
          <t>0                      PR 2811000Y  6</t>
        </is>
      </c>
      <c r="F568" t="inlineStr">
        <is>
          <t>Twentieth century interpretations of Henry IV, part two : a collection of critical essays / edited by David P. Young.</t>
        </is>
      </c>
      <c r="H568" t="inlineStr">
        <is>
          <t>No</t>
        </is>
      </c>
      <c r="I568" t="inlineStr">
        <is>
          <t>1</t>
        </is>
      </c>
      <c r="J568" t="inlineStr">
        <is>
          <t>No</t>
        </is>
      </c>
      <c r="K568" t="inlineStr">
        <is>
          <t>No</t>
        </is>
      </c>
      <c r="L568" t="inlineStr">
        <is>
          <t>0</t>
        </is>
      </c>
      <c r="N568" t="inlineStr">
        <is>
          <t>Englewood Cliffs, N.J. : Prentice-Hall, [1968]</t>
        </is>
      </c>
      <c r="O568" t="inlineStr">
        <is>
          <t>1968</t>
        </is>
      </c>
      <c r="Q568" t="inlineStr">
        <is>
          <t>eng</t>
        </is>
      </c>
      <c r="R568" t="inlineStr">
        <is>
          <t>nju</t>
        </is>
      </c>
      <c r="S568" t="inlineStr">
        <is>
          <t>A Spectrum book.</t>
        </is>
      </c>
      <c r="T568" t="inlineStr">
        <is>
          <t xml:space="preserve">PR </t>
        </is>
      </c>
      <c r="U568" t="n">
        <v>1</v>
      </c>
      <c r="V568" t="n">
        <v>1</v>
      </c>
      <c r="W568" t="inlineStr">
        <is>
          <t>1992-10-14</t>
        </is>
      </c>
      <c r="X568" t="inlineStr">
        <is>
          <t>1992-10-14</t>
        </is>
      </c>
      <c r="Y568" t="inlineStr">
        <is>
          <t>1990-03-14</t>
        </is>
      </c>
      <c r="Z568" t="inlineStr">
        <is>
          <t>1990-03-14</t>
        </is>
      </c>
      <c r="AA568" t="n">
        <v>1524</v>
      </c>
      <c r="AB568" t="n">
        <v>1385</v>
      </c>
      <c r="AC568" t="n">
        <v>1397</v>
      </c>
      <c r="AD568" t="n">
        <v>11</v>
      </c>
      <c r="AE568" t="n">
        <v>11</v>
      </c>
      <c r="AF568" t="n">
        <v>53</v>
      </c>
      <c r="AG568" t="n">
        <v>54</v>
      </c>
      <c r="AH568" t="n">
        <v>21</v>
      </c>
      <c r="AI568" t="n">
        <v>22</v>
      </c>
      <c r="AJ568" t="n">
        <v>10</v>
      </c>
      <c r="AK568" t="n">
        <v>10</v>
      </c>
      <c r="AL568" t="n">
        <v>24</v>
      </c>
      <c r="AM568" t="n">
        <v>24</v>
      </c>
      <c r="AN568" t="n">
        <v>9</v>
      </c>
      <c r="AO568" t="n">
        <v>9</v>
      </c>
      <c r="AP568" t="n">
        <v>0</v>
      </c>
      <c r="AQ568" t="n">
        <v>0</v>
      </c>
      <c r="AR568" t="inlineStr">
        <is>
          <t>No</t>
        </is>
      </c>
      <c r="AS568" t="inlineStr">
        <is>
          <t>Yes</t>
        </is>
      </c>
      <c r="AT568">
        <f>HYPERLINK("http://catalog.hathitrust.org/Record/001017823","HathiTrust Record")</f>
        <v/>
      </c>
      <c r="AU568">
        <f>HYPERLINK("https://creighton-primo.hosted.exlibrisgroup.com/primo-explore/search?tab=default_tab&amp;search_scope=EVERYTHING&amp;vid=01CRU&amp;lang=en_US&amp;offset=0&amp;query=any,contains,991000991819702656","Catalog Record")</f>
        <v/>
      </c>
      <c r="AV568">
        <f>HYPERLINK("http://www.worldcat.org/oclc/171226","WorldCat Record")</f>
        <v/>
      </c>
      <c r="AW568" t="inlineStr">
        <is>
          <t>9622182625:eng</t>
        </is>
      </c>
      <c r="AX568" t="inlineStr">
        <is>
          <t>171226</t>
        </is>
      </c>
      <c r="AY568" t="inlineStr">
        <is>
          <t>991000991819702656</t>
        </is>
      </c>
      <c r="AZ568" t="inlineStr">
        <is>
          <t>991000991819702656</t>
        </is>
      </c>
      <c r="BA568" t="inlineStr">
        <is>
          <t>2267343920002656</t>
        </is>
      </c>
      <c r="BB568" t="inlineStr">
        <is>
          <t>BOOK</t>
        </is>
      </c>
      <c r="BE568" t="inlineStr">
        <is>
          <t>32285000083294</t>
        </is>
      </c>
      <c r="BF568" t="inlineStr">
        <is>
          <t>893690229</t>
        </is>
      </c>
    </row>
    <row r="569">
      <c r="A569" t="inlineStr">
        <is>
          <t>No</t>
        </is>
      </c>
      <c r="B569" t="inlineStr">
        <is>
          <t>CURAL</t>
        </is>
      </c>
      <c r="C569" t="inlineStr">
        <is>
          <t>SHELVES</t>
        </is>
      </c>
      <c r="D569" t="inlineStr">
        <is>
          <t>PR2813 .H46 2001</t>
        </is>
      </c>
      <c r="E569" t="inlineStr">
        <is>
          <t>0                      PR 2813000H  46          2001</t>
        </is>
      </c>
      <c r="F569" t="inlineStr">
        <is>
          <t>Henry VI : critical essays / edited by Thomas A. Pendleton.</t>
        </is>
      </c>
      <c r="H569" t="inlineStr">
        <is>
          <t>No</t>
        </is>
      </c>
      <c r="I569" t="inlineStr">
        <is>
          <t>1</t>
        </is>
      </c>
      <c r="J569" t="inlineStr">
        <is>
          <t>No</t>
        </is>
      </c>
      <c r="K569" t="inlineStr">
        <is>
          <t>No</t>
        </is>
      </c>
      <c r="L569" t="inlineStr">
        <is>
          <t>0</t>
        </is>
      </c>
      <c r="N569" t="inlineStr">
        <is>
          <t>New York : Routledge, 2001.</t>
        </is>
      </c>
      <c r="O569" t="inlineStr">
        <is>
          <t>2001</t>
        </is>
      </c>
      <c r="Q569" t="inlineStr">
        <is>
          <t>eng</t>
        </is>
      </c>
      <c r="R569" t="inlineStr">
        <is>
          <t>nyu</t>
        </is>
      </c>
      <c r="S569" t="inlineStr">
        <is>
          <t>Shakespeare criticism</t>
        </is>
      </c>
      <c r="T569" t="inlineStr">
        <is>
          <t xml:space="preserve">PR </t>
        </is>
      </c>
      <c r="U569" t="n">
        <v>2</v>
      </c>
      <c r="V569" t="n">
        <v>2</v>
      </c>
      <c r="W569" t="inlineStr">
        <is>
          <t>2009-03-20</t>
        </is>
      </c>
      <c r="X569" t="inlineStr">
        <is>
          <t>2009-03-20</t>
        </is>
      </c>
      <c r="Y569" t="inlineStr">
        <is>
          <t>2001-07-19</t>
        </is>
      </c>
      <c r="Z569" t="inlineStr">
        <is>
          <t>2001-07-19</t>
        </is>
      </c>
      <c r="AA569" t="n">
        <v>257</v>
      </c>
      <c r="AB569" t="n">
        <v>224</v>
      </c>
      <c r="AC569" t="n">
        <v>263</v>
      </c>
      <c r="AD569" t="n">
        <v>2</v>
      </c>
      <c r="AE569" t="n">
        <v>2</v>
      </c>
      <c r="AF569" t="n">
        <v>13</v>
      </c>
      <c r="AG569" t="n">
        <v>15</v>
      </c>
      <c r="AH569" t="n">
        <v>5</v>
      </c>
      <c r="AI569" t="n">
        <v>5</v>
      </c>
      <c r="AJ569" t="n">
        <v>3</v>
      </c>
      <c r="AK569" t="n">
        <v>5</v>
      </c>
      <c r="AL569" t="n">
        <v>9</v>
      </c>
      <c r="AM569" t="n">
        <v>10</v>
      </c>
      <c r="AN569" t="n">
        <v>1</v>
      </c>
      <c r="AO569" t="n">
        <v>1</v>
      </c>
      <c r="AP569" t="n">
        <v>0</v>
      </c>
      <c r="AQ569" t="n">
        <v>0</v>
      </c>
      <c r="AR569" t="inlineStr">
        <is>
          <t>No</t>
        </is>
      </c>
      <c r="AS569" t="inlineStr">
        <is>
          <t>No</t>
        </is>
      </c>
      <c r="AU569">
        <f>HYPERLINK("https://creighton-primo.hosted.exlibrisgroup.com/primo-explore/search?tab=default_tab&amp;search_scope=EVERYTHING&amp;vid=01CRU&amp;lang=en_US&amp;offset=0&amp;query=any,contains,991003566229702656","Catalog Record")</f>
        <v/>
      </c>
      <c r="AV569">
        <f>HYPERLINK("http://www.worldcat.org/oclc/54065716","WorldCat Record")</f>
        <v/>
      </c>
      <c r="AW569" t="inlineStr">
        <is>
          <t>2287333138:eng</t>
        </is>
      </c>
      <c r="AX569" t="inlineStr">
        <is>
          <t>54065716</t>
        </is>
      </c>
      <c r="AY569" t="inlineStr">
        <is>
          <t>991003566229702656</t>
        </is>
      </c>
      <c r="AZ569" t="inlineStr">
        <is>
          <t>991003566229702656</t>
        </is>
      </c>
      <c r="BA569" t="inlineStr">
        <is>
          <t>2258760090002656</t>
        </is>
      </c>
      <c r="BB569" t="inlineStr">
        <is>
          <t>BOOK</t>
        </is>
      </c>
      <c r="BD569" t="inlineStr">
        <is>
          <t>9780815333012</t>
        </is>
      </c>
      <c r="BE569" t="inlineStr">
        <is>
          <t>32285004333737</t>
        </is>
      </c>
      <c r="BF569" t="inlineStr">
        <is>
          <t>893692848</t>
        </is>
      </c>
    </row>
    <row r="570">
      <c r="A570" t="inlineStr">
        <is>
          <t>No</t>
        </is>
      </c>
      <c r="B570" t="inlineStr">
        <is>
          <t>CURAL</t>
        </is>
      </c>
      <c r="C570" t="inlineStr">
        <is>
          <t>SHELVES</t>
        </is>
      </c>
      <c r="D570" t="inlineStr">
        <is>
          <t>PR2813 .R49 1971</t>
        </is>
      </c>
      <c r="E570" t="inlineStr">
        <is>
          <t>0                      PR 2813000R  49          1971</t>
        </is>
      </c>
      <c r="F570" t="inlineStr">
        <is>
          <t>Shakespeare's heroical histories : Henry VI and its literary tradition.</t>
        </is>
      </c>
      <c r="H570" t="inlineStr">
        <is>
          <t>No</t>
        </is>
      </c>
      <c r="I570" t="inlineStr">
        <is>
          <t>1</t>
        </is>
      </c>
      <c r="J570" t="inlineStr">
        <is>
          <t>No</t>
        </is>
      </c>
      <c r="K570" t="inlineStr">
        <is>
          <t>No</t>
        </is>
      </c>
      <c r="L570" t="inlineStr">
        <is>
          <t>0</t>
        </is>
      </c>
      <c r="M570" t="inlineStr">
        <is>
          <t>Riggs, David.</t>
        </is>
      </c>
      <c r="N570" t="inlineStr">
        <is>
          <t>Cambridge, Mass. : Harvard University Press, 1971.</t>
        </is>
      </c>
      <c r="O570" t="inlineStr">
        <is>
          <t>1971</t>
        </is>
      </c>
      <c r="Q570" t="inlineStr">
        <is>
          <t>eng</t>
        </is>
      </c>
      <c r="R570" t="inlineStr">
        <is>
          <t>mau</t>
        </is>
      </c>
      <c r="T570" t="inlineStr">
        <is>
          <t xml:space="preserve">PR </t>
        </is>
      </c>
      <c r="U570" t="n">
        <v>7</v>
      </c>
      <c r="V570" t="n">
        <v>7</v>
      </c>
      <c r="W570" t="inlineStr">
        <is>
          <t>1997-05-01</t>
        </is>
      </c>
      <c r="X570" t="inlineStr">
        <is>
          <t>1997-05-01</t>
        </is>
      </c>
      <c r="Y570" t="inlineStr">
        <is>
          <t>1990-10-04</t>
        </is>
      </c>
      <c r="Z570" t="inlineStr">
        <is>
          <t>1990-10-04</t>
        </is>
      </c>
      <c r="AA570" t="n">
        <v>595</v>
      </c>
      <c r="AB570" t="n">
        <v>480</v>
      </c>
      <c r="AC570" t="n">
        <v>485</v>
      </c>
      <c r="AD570" t="n">
        <v>4</v>
      </c>
      <c r="AE570" t="n">
        <v>4</v>
      </c>
      <c r="AF570" t="n">
        <v>22</v>
      </c>
      <c r="AG570" t="n">
        <v>22</v>
      </c>
      <c r="AH570" t="n">
        <v>6</v>
      </c>
      <c r="AI570" t="n">
        <v>6</v>
      </c>
      <c r="AJ570" t="n">
        <v>5</v>
      </c>
      <c r="AK570" t="n">
        <v>5</v>
      </c>
      <c r="AL570" t="n">
        <v>14</v>
      </c>
      <c r="AM570" t="n">
        <v>14</v>
      </c>
      <c r="AN570" t="n">
        <v>3</v>
      </c>
      <c r="AO570" t="n">
        <v>3</v>
      </c>
      <c r="AP570" t="n">
        <v>0</v>
      </c>
      <c r="AQ570" t="n">
        <v>0</v>
      </c>
      <c r="AR570" t="inlineStr">
        <is>
          <t>No</t>
        </is>
      </c>
      <c r="AS570" t="inlineStr">
        <is>
          <t>Yes</t>
        </is>
      </c>
      <c r="AT570">
        <f>HYPERLINK("http://catalog.hathitrust.org/Record/001017835","HathiTrust Record")</f>
        <v/>
      </c>
      <c r="AU570">
        <f>HYPERLINK("https://creighton-primo.hosted.exlibrisgroup.com/primo-explore/search?tab=default_tab&amp;search_scope=EVERYTHING&amp;vid=01CRU&amp;lang=en_US&amp;offset=0&amp;query=any,contains,991000923079702656","Catalog Record")</f>
        <v/>
      </c>
      <c r="AV570">
        <f>HYPERLINK("http://www.worldcat.org/oclc/162340","WorldCat Record")</f>
        <v/>
      </c>
      <c r="AW570" t="inlineStr">
        <is>
          <t>203278609:eng</t>
        </is>
      </c>
      <c r="AX570" t="inlineStr">
        <is>
          <t>162340</t>
        </is>
      </c>
      <c r="AY570" t="inlineStr">
        <is>
          <t>991000923079702656</t>
        </is>
      </c>
      <c r="AZ570" t="inlineStr">
        <is>
          <t>991000923079702656</t>
        </is>
      </c>
      <c r="BA570" t="inlineStr">
        <is>
          <t>2269031190002656</t>
        </is>
      </c>
      <c r="BB570" t="inlineStr">
        <is>
          <t>BOOK</t>
        </is>
      </c>
      <c r="BD570" t="inlineStr">
        <is>
          <t>9780674804005</t>
        </is>
      </c>
      <c r="BE570" t="inlineStr">
        <is>
          <t>32285000332097</t>
        </is>
      </c>
      <c r="BF570" t="inlineStr">
        <is>
          <t>893315364</t>
        </is>
      </c>
    </row>
    <row r="571">
      <c r="A571" t="inlineStr">
        <is>
          <t>No</t>
        </is>
      </c>
      <c r="B571" t="inlineStr">
        <is>
          <t>CURAL</t>
        </is>
      </c>
      <c r="C571" t="inlineStr">
        <is>
          <t>SHELVES</t>
        </is>
      </c>
      <c r="D571" t="inlineStr">
        <is>
          <t>PR2818 .K56 1989</t>
        </is>
      </c>
      <c r="E571" t="inlineStr">
        <is>
          <t>0                      PR 2818000K  56          1989</t>
        </is>
      </c>
      <c r="F571" t="inlineStr">
        <is>
          <t>King John : new perspectives / edited by Deborah T. Curren-Aquino.</t>
        </is>
      </c>
      <c r="H571" t="inlineStr">
        <is>
          <t>No</t>
        </is>
      </c>
      <c r="I571" t="inlineStr">
        <is>
          <t>1</t>
        </is>
      </c>
      <c r="J571" t="inlineStr">
        <is>
          <t>No</t>
        </is>
      </c>
      <c r="K571" t="inlineStr">
        <is>
          <t>No</t>
        </is>
      </c>
      <c r="L571" t="inlineStr">
        <is>
          <t>0</t>
        </is>
      </c>
      <c r="N571" t="inlineStr">
        <is>
          <t>Newark : University of Delaware Press ; London ; Cranbury NJ : Associated University Presses, c1989.</t>
        </is>
      </c>
      <c r="O571" t="inlineStr">
        <is>
          <t>1989</t>
        </is>
      </c>
      <c r="Q571" t="inlineStr">
        <is>
          <t>eng</t>
        </is>
      </c>
      <c r="R571" t="inlineStr">
        <is>
          <t>nju</t>
        </is>
      </c>
      <c r="T571" t="inlineStr">
        <is>
          <t xml:space="preserve">PR </t>
        </is>
      </c>
      <c r="U571" t="n">
        <v>1</v>
      </c>
      <c r="V571" t="n">
        <v>1</v>
      </c>
      <c r="W571" t="inlineStr">
        <is>
          <t>1993-02-14</t>
        </is>
      </c>
      <c r="X571" t="inlineStr">
        <is>
          <t>1993-02-14</t>
        </is>
      </c>
      <c r="Y571" t="inlineStr">
        <is>
          <t>1991-10-23</t>
        </is>
      </c>
      <c r="Z571" t="inlineStr">
        <is>
          <t>1991-10-23</t>
        </is>
      </c>
      <c r="AA571" t="n">
        <v>370</v>
      </c>
      <c r="AB571" t="n">
        <v>299</v>
      </c>
      <c r="AC571" t="n">
        <v>308</v>
      </c>
      <c r="AD571" t="n">
        <v>3</v>
      </c>
      <c r="AE571" t="n">
        <v>3</v>
      </c>
      <c r="AF571" t="n">
        <v>17</v>
      </c>
      <c r="AG571" t="n">
        <v>17</v>
      </c>
      <c r="AH571" t="n">
        <v>2</v>
      </c>
      <c r="AI571" t="n">
        <v>2</v>
      </c>
      <c r="AJ571" t="n">
        <v>5</v>
      </c>
      <c r="AK571" t="n">
        <v>5</v>
      </c>
      <c r="AL571" t="n">
        <v>11</v>
      </c>
      <c r="AM571" t="n">
        <v>11</v>
      </c>
      <c r="AN571" t="n">
        <v>2</v>
      </c>
      <c r="AO571" t="n">
        <v>2</v>
      </c>
      <c r="AP571" t="n">
        <v>0</v>
      </c>
      <c r="AQ571" t="n">
        <v>0</v>
      </c>
      <c r="AR571" t="inlineStr">
        <is>
          <t>No</t>
        </is>
      </c>
      <c r="AS571" t="inlineStr">
        <is>
          <t>Yes</t>
        </is>
      </c>
      <c r="AT571">
        <f>HYPERLINK("http://catalog.hathitrust.org/Record/001082797","HathiTrust Record")</f>
        <v/>
      </c>
      <c r="AU571">
        <f>HYPERLINK("https://creighton-primo.hosted.exlibrisgroup.com/primo-explore/search?tab=default_tab&amp;search_scope=EVERYTHING&amp;vid=01CRU&amp;lang=en_US&amp;offset=0&amp;query=any,contains,991001452139702656","Catalog Record")</f>
        <v/>
      </c>
      <c r="AV571">
        <f>HYPERLINK("http://www.worldcat.org/oclc/19095264","WorldCat Record")</f>
        <v/>
      </c>
      <c r="AW571" t="inlineStr">
        <is>
          <t>19397570:eng</t>
        </is>
      </c>
      <c r="AX571" t="inlineStr">
        <is>
          <t>19095264</t>
        </is>
      </c>
      <c r="AY571" t="inlineStr">
        <is>
          <t>991001452139702656</t>
        </is>
      </c>
      <c r="AZ571" t="inlineStr">
        <is>
          <t>991001452139702656</t>
        </is>
      </c>
      <c r="BA571" t="inlineStr">
        <is>
          <t>2265071870002656</t>
        </is>
      </c>
      <c r="BB571" t="inlineStr">
        <is>
          <t>BOOK</t>
        </is>
      </c>
      <c r="BD571" t="inlineStr">
        <is>
          <t>9780874133370</t>
        </is>
      </c>
      <c r="BE571" t="inlineStr">
        <is>
          <t>32285000778422</t>
        </is>
      </c>
      <c r="BF571" t="inlineStr">
        <is>
          <t>893590373</t>
        </is>
      </c>
    </row>
    <row r="572">
      <c r="A572" t="inlineStr">
        <is>
          <t>No</t>
        </is>
      </c>
      <c r="B572" t="inlineStr">
        <is>
          <t>CURAL</t>
        </is>
      </c>
      <c r="C572" t="inlineStr">
        <is>
          <t>SHELVES</t>
        </is>
      </c>
      <c r="D572" t="inlineStr">
        <is>
          <t>PR2819 .A95 1986</t>
        </is>
      </c>
      <c r="E572" t="inlineStr">
        <is>
          <t>0                      PR 2819000A  95          1986</t>
        </is>
      </c>
      <c r="F572" t="inlineStr">
        <is>
          <t>Approaches to teaching Shakespeare's King Lear / edited by Robert H. Ray.</t>
        </is>
      </c>
      <c r="H572" t="inlineStr">
        <is>
          <t>No</t>
        </is>
      </c>
      <c r="I572" t="inlineStr">
        <is>
          <t>1</t>
        </is>
      </c>
      <c r="J572" t="inlineStr">
        <is>
          <t>No</t>
        </is>
      </c>
      <c r="K572" t="inlineStr">
        <is>
          <t>No</t>
        </is>
      </c>
      <c r="L572" t="inlineStr">
        <is>
          <t>0</t>
        </is>
      </c>
      <c r="N572" t="inlineStr">
        <is>
          <t>New York : Modern Language Association of America, 1986.</t>
        </is>
      </c>
      <c r="O572" t="inlineStr">
        <is>
          <t>1986</t>
        </is>
      </c>
      <c r="Q572" t="inlineStr">
        <is>
          <t>eng</t>
        </is>
      </c>
      <c r="R572" t="inlineStr">
        <is>
          <t>nyu</t>
        </is>
      </c>
      <c r="S572" t="inlineStr">
        <is>
          <t>Approaches to teaching world literature ; 12</t>
        </is>
      </c>
      <c r="T572" t="inlineStr">
        <is>
          <t xml:space="preserve">PR </t>
        </is>
      </c>
      <c r="U572" t="n">
        <v>3</v>
      </c>
      <c r="V572" t="n">
        <v>3</v>
      </c>
      <c r="W572" t="inlineStr">
        <is>
          <t>2006-11-16</t>
        </is>
      </c>
      <c r="X572" t="inlineStr">
        <is>
          <t>2006-11-16</t>
        </is>
      </c>
      <c r="Y572" t="inlineStr">
        <is>
          <t>1991-10-23</t>
        </is>
      </c>
      <c r="Z572" t="inlineStr">
        <is>
          <t>1991-10-23</t>
        </is>
      </c>
      <c r="AA572" t="n">
        <v>779</v>
      </c>
      <c r="AB572" t="n">
        <v>691</v>
      </c>
      <c r="AC572" t="n">
        <v>692</v>
      </c>
      <c r="AD572" t="n">
        <v>7</v>
      </c>
      <c r="AE572" t="n">
        <v>7</v>
      </c>
      <c r="AF572" t="n">
        <v>35</v>
      </c>
      <c r="AG572" t="n">
        <v>35</v>
      </c>
      <c r="AH572" t="n">
        <v>13</v>
      </c>
      <c r="AI572" t="n">
        <v>13</v>
      </c>
      <c r="AJ572" t="n">
        <v>7</v>
      </c>
      <c r="AK572" t="n">
        <v>7</v>
      </c>
      <c r="AL572" t="n">
        <v>15</v>
      </c>
      <c r="AM572" t="n">
        <v>15</v>
      </c>
      <c r="AN572" t="n">
        <v>6</v>
      </c>
      <c r="AO572" t="n">
        <v>6</v>
      </c>
      <c r="AP572" t="n">
        <v>0</v>
      </c>
      <c r="AQ572" t="n">
        <v>0</v>
      </c>
      <c r="AR572" t="inlineStr">
        <is>
          <t>No</t>
        </is>
      </c>
      <c r="AS572" t="inlineStr">
        <is>
          <t>No</t>
        </is>
      </c>
      <c r="AU572">
        <f>HYPERLINK("https://creighton-primo.hosted.exlibrisgroup.com/primo-explore/search?tab=default_tab&amp;search_scope=EVERYTHING&amp;vid=01CRU&amp;lang=en_US&amp;offset=0&amp;query=any,contains,991000867509702656","Catalog Record")</f>
        <v/>
      </c>
      <c r="AV572">
        <f>HYPERLINK("http://www.worldcat.org/oclc/13760764","WorldCat Record")</f>
        <v/>
      </c>
      <c r="AW572" t="inlineStr">
        <is>
          <t>7030216:eng</t>
        </is>
      </c>
      <c r="AX572" t="inlineStr">
        <is>
          <t>13760764</t>
        </is>
      </c>
      <c r="AY572" t="inlineStr">
        <is>
          <t>991000867509702656</t>
        </is>
      </c>
      <c r="AZ572" t="inlineStr">
        <is>
          <t>991000867509702656</t>
        </is>
      </c>
      <c r="BA572" t="inlineStr">
        <is>
          <t>2266194560002656</t>
        </is>
      </c>
      <c r="BB572" t="inlineStr">
        <is>
          <t>BOOK</t>
        </is>
      </c>
      <c r="BD572" t="inlineStr">
        <is>
          <t>9780873524988</t>
        </is>
      </c>
      <c r="BE572" t="inlineStr">
        <is>
          <t>32285000778448</t>
        </is>
      </c>
      <c r="BF572" t="inlineStr">
        <is>
          <t>893327656</t>
        </is>
      </c>
    </row>
    <row r="573">
      <c r="A573" t="inlineStr">
        <is>
          <t>No</t>
        </is>
      </c>
      <c r="B573" t="inlineStr">
        <is>
          <t>CURAL</t>
        </is>
      </c>
      <c r="C573" t="inlineStr">
        <is>
          <t>SHELVES</t>
        </is>
      </c>
      <c r="D573" t="inlineStr">
        <is>
          <t>PR2819 .B65</t>
        </is>
      </c>
      <c r="E573" t="inlineStr">
        <is>
          <t>0                      PR 2819000B  65</t>
        </is>
      </c>
      <c r="F573" t="inlineStr">
        <is>
          <t>The King Lear perplex.</t>
        </is>
      </c>
      <c r="H573" t="inlineStr">
        <is>
          <t>No</t>
        </is>
      </c>
      <c r="I573" t="inlineStr">
        <is>
          <t>1</t>
        </is>
      </c>
      <c r="J573" t="inlineStr">
        <is>
          <t>No</t>
        </is>
      </c>
      <c r="K573" t="inlineStr">
        <is>
          <t>No</t>
        </is>
      </c>
      <c r="L573" t="inlineStr">
        <is>
          <t>0</t>
        </is>
      </c>
      <c r="M573" t="inlineStr">
        <is>
          <t>Bonheim, Helmut, 1930-2012 editor.</t>
        </is>
      </c>
      <c r="N573" t="inlineStr">
        <is>
          <t>Belmont, Calif. : Wadsworth Pub. Co., [1960]</t>
        </is>
      </c>
      <c r="O573" t="inlineStr">
        <is>
          <t>1960</t>
        </is>
      </c>
      <c r="Q573" t="inlineStr">
        <is>
          <t>eng</t>
        </is>
      </c>
      <c r="R573" t="inlineStr">
        <is>
          <t>cau</t>
        </is>
      </c>
      <c r="S573" t="inlineStr">
        <is>
          <t>Wadsworth guides to literary study</t>
        </is>
      </c>
      <c r="T573" t="inlineStr">
        <is>
          <t xml:space="preserve">PR </t>
        </is>
      </c>
      <c r="U573" t="n">
        <v>5</v>
      </c>
      <c r="V573" t="n">
        <v>5</v>
      </c>
      <c r="W573" t="inlineStr">
        <is>
          <t>2006-11-16</t>
        </is>
      </c>
      <c r="X573" t="inlineStr">
        <is>
          <t>2006-11-16</t>
        </is>
      </c>
      <c r="Y573" t="inlineStr">
        <is>
          <t>1993-10-25</t>
        </is>
      </c>
      <c r="Z573" t="inlineStr">
        <is>
          <t>1993-10-25</t>
        </is>
      </c>
      <c r="AA573" t="n">
        <v>651</v>
      </c>
      <c r="AB573" t="n">
        <v>590</v>
      </c>
      <c r="AC573" t="n">
        <v>679</v>
      </c>
      <c r="AD573" t="n">
        <v>5</v>
      </c>
      <c r="AE573" t="n">
        <v>6</v>
      </c>
      <c r="AF573" t="n">
        <v>27</v>
      </c>
      <c r="AG573" t="n">
        <v>30</v>
      </c>
      <c r="AH573" t="n">
        <v>10</v>
      </c>
      <c r="AI573" t="n">
        <v>11</v>
      </c>
      <c r="AJ573" t="n">
        <v>5</v>
      </c>
      <c r="AK573" t="n">
        <v>6</v>
      </c>
      <c r="AL573" t="n">
        <v>16</v>
      </c>
      <c r="AM573" t="n">
        <v>17</v>
      </c>
      <c r="AN573" t="n">
        <v>4</v>
      </c>
      <c r="AO573" t="n">
        <v>5</v>
      </c>
      <c r="AP573" t="n">
        <v>0</v>
      </c>
      <c r="AQ573" t="n">
        <v>0</v>
      </c>
      <c r="AR573" t="inlineStr">
        <is>
          <t>No</t>
        </is>
      </c>
      <c r="AS573" t="inlineStr">
        <is>
          <t>Yes</t>
        </is>
      </c>
      <c r="AT573">
        <f>HYPERLINK("http://catalog.hathitrust.org/Record/006057035","HathiTrust Record")</f>
        <v/>
      </c>
      <c r="AU573">
        <f>HYPERLINK("https://creighton-primo.hosted.exlibrisgroup.com/primo-explore/search?tab=default_tab&amp;search_scope=EVERYTHING&amp;vid=01CRU&amp;lang=en_US&amp;offset=0&amp;query=any,contains,991002128779702656","Catalog Record")</f>
        <v/>
      </c>
      <c r="AV573">
        <f>HYPERLINK("http://www.worldcat.org/oclc/269562","WorldCat Record")</f>
        <v/>
      </c>
      <c r="AW573" t="inlineStr">
        <is>
          <t>1395235:eng</t>
        </is>
      </c>
      <c r="AX573" t="inlineStr">
        <is>
          <t>269562</t>
        </is>
      </c>
      <c r="AY573" t="inlineStr">
        <is>
          <t>991002128779702656</t>
        </is>
      </c>
      <c r="AZ573" t="inlineStr">
        <is>
          <t>991002128779702656</t>
        </is>
      </c>
      <c r="BA573" t="inlineStr">
        <is>
          <t>2267473500002656</t>
        </is>
      </c>
      <c r="BB573" t="inlineStr">
        <is>
          <t>BOOK</t>
        </is>
      </c>
      <c r="BE573" t="inlineStr">
        <is>
          <t>32285001789303</t>
        </is>
      </c>
      <c r="BF573" t="inlineStr">
        <is>
          <t>893709897</t>
        </is>
      </c>
    </row>
    <row r="574">
      <c r="A574" t="inlineStr">
        <is>
          <t>No</t>
        </is>
      </c>
      <c r="B574" t="inlineStr">
        <is>
          <t>CURAL</t>
        </is>
      </c>
      <c r="C574" t="inlineStr">
        <is>
          <t>SHELVES</t>
        </is>
      </c>
      <c r="D574" t="inlineStr">
        <is>
          <t>PR2819 .D33</t>
        </is>
      </c>
      <c r="E574" t="inlineStr">
        <is>
          <t>0                      PR 2819000D  33</t>
        </is>
      </c>
      <c r="F574" t="inlineStr">
        <is>
          <t>Shakespeare's doctrine of nature; a study of King Lear.</t>
        </is>
      </c>
      <c r="H574" t="inlineStr">
        <is>
          <t>No</t>
        </is>
      </c>
      <c r="I574" t="inlineStr">
        <is>
          <t>1</t>
        </is>
      </c>
      <c r="J574" t="inlineStr">
        <is>
          <t>No</t>
        </is>
      </c>
      <c r="K574" t="inlineStr">
        <is>
          <t>No</t>
        </is>
      </c>
      <c r="L574" t="inlineStr">
        <is>
          <t>0</t>
        </is>
      </c>
      <c r="M574" t="inlineStr">
        <is>
          <t>Danby, John F. (John Francis)</t>
        </is>
      </c>
      <c r="N574" t="inlineStr">
        <is>
          <t>London, Faber and Faber [1949]</t>
        </is>
      </c>
      <c r="O574" t="inlineStr">
        <is>
          <t>1949</t>
        </is>
      </c>
      <c r="Q574" t="inlineStr">
        <is>
          <t>eng</t>
        </is>
      </c>
      <c r="R574" t="inlineStr">
        <is>
          <t>enk</t>
        </is>
      </c>
      <c r="T574" t="inlineStr">
        <is>
          <t xml:space="preserve">PR </t>
        </is>
      </c>
      <c r="U574" t="n">
        <v>1</v>
      </c>
      <c r="V574" t="n">
        <v>1</v>
      </c>
      <c r="W574" t="inlineStr">
        <is>
          <t>2003-05-01</t>
        </is>
      </c>
      <c r="X574" t="inlineStr">
        <is>
          <t>2003-05-01</t>
        </is>
      </c>
      <c r="Y574" t="inlineStr">
        <is>
          <t>1997-07-31</t>
        </is>
      </c>
      <c r="Z574" t="inlineStr">
        <is>
          <t>1997-07-31</t>
        </is>
      </c>
      <c r="AA574" t="n">
        <v>856</v>
      </c>
      <c r="AB574" t="n">
        <v>669</v>
      </c>
      <c r="AC574" t="n">
        <v>792</v>
      </c>
      <c r="AD574" t="n">
        <v>5</v>
      </c>
      <c r="AE574" t="n">
        <v>6</v>
      </c>
      <c r="AF574" t="n">
        <v>37</v>
      </c>
      <c r="AG574" t="n">
        <v>44</v>
      </c>
      <c r="AH574" t="n">
        <v>18</v>
      </c>
      <c r="AI574" t="n">
        <v>20</v>
      </c>
      <c r="AJ574" t="n">
        <v>6</v>
      </c>
      <c r="AK574" t="n">
        <v>9</v>
      </c>
      <c r="AL574" t="n">
        <v>21</v>
      </c>
      <c r="AM574" t="n">
        <v>24</v>
      </c>
      <c r="AN574" t="n">
        <v>3</v>
      </c>
      <c r="AO574" t="n">
        <v>4</v>
      </c>
      <c r="AP574" t="n">
        <v>0</v>
      </c>
      <c r="AQ574" t="n">
        <v>0</v>
      </c>
      <c r="AR574" t="inlineStr">
        <is>
          <t>No</t>
        </is>
      </c>
      <c r="AS574" t="inlineStr">
        <is>
          <t>No</t>
        </is>
      </c>
      <c r="AU574">
        <f>HYPERLINK("https://creighton-primo.hosted.exlibrisgroup.com/primo-explore/search?tab=default_tab&amp;search_scope=EVERYTHING&amp;vid=01CRU&amp;lang=en_US&amp;offset=0&amp;query=any,contains,991003456579702656","Catalog Record")</f>
        <v/>
      </c>
      <c r="AV574">
        <f>HYPERLINK("http://www.worldcat.org/oclc/996363","WorldCat Record")</f>
        <v/>
      </c>
      <c r="AW574" t="inlineStr">
        <is>
          <t>1990514:eng</t>
        </is>
      </c>
      <c r="AX574" t="inlineStr">
        <is>
          <t>996363</t>
        </is>
      </c>
      <c r="AY574" t="inlineStr">
        <is>
          <t>991003456579702656</t>
        </is>
      </c>
      <c r="AZ574" t="inlineStr">
        <is>
          <t>991003456579702656</t>
        </is>
      </c>
      <c r="BA574" t="inlineStr">
        <is>
          <t>2271021630002656</t>
        </is>
      </c>
      <c r="BB574" t="inlineStr">
        <is>
          <t>BOOK</t>
        </is>
      </c>
      <c r="BE574" t="inlineStr">
        <is>
          <t>32285002996733</t>
        </is>
      </c>
      <c r="BF574" t="inlineStr">
        <is>
          <t>893781028</t>
        </is>
      </c>
    </row>
    <row r="575">
      <c r="A575" t="inlineStr">
        <is>
          <t>No</t>
        </is>
      </c>
      <c r="B575" t="inlineStr">
        <is>
          <t>CURAL</t>
        </is>
      </c>
      <c r="C575" t="inlineStr">
        <is>
          <t>SHELVES</t>
        </is>
      </c>
      <c r="D575" t="inlineStr">
        <is>
          <t>PR2819 .D55 1986</t>
        </is>
      </c>
      <c r="E575" t="inlineStr">
        <is>
          <t>0                      PR 2819000D  55          1986</t>
        </is>
      </c>
      <c r="F575" t="inlineStr">
        <is>
          <t>The Division of the kingdoms : Shakespeare's two versions of King Lear / edited by Gary Taylor and Michael Warren.</t>
        </is>
      </c>
      <c r="H575" t="inlineStr">
        <is>
          <t>No</t>
        </is>
      </c>
      <c r="I575" t="inlineStr">
        <is>
          <t>1</t>
        </is>
      </c>
      <c r="J575" t="inlineStr">
        <is>
          <t>No</t>
        </is>
      </c>
      <c r="K575" t="inlineStr">
        <is>
          <t>No</t>
        </is>
      </c>
      <c r="L575" t="inlineStr">
        <is>
          <t>0</t>
        </is>
      </c>
      <c r="N575" t="inlineStr">
        <is>
          <t>Oxford [Oxfordshire] : Clarendon Press ; New York : Oxford University Press, 1986, c1983.</t>
        </is>
      </c>
      <c r="O575" t="inlineStr">
        <is>
          <t>1986</t>
        </is>
      </c>
      <c r="Q575" t="inlineStr">
        <is>
          <t>eng</t>
        </is>
      </c>
      <c r="R575" t="inlineStr">
        <is>
          <t>enk</t>
        </is>
      </c>
      <c r="S575" t="inlineStr">
        <is>
          <t>Oxford Shakespeare studies</t>
        </is>
      </c>
      <c r="T575" t="inlineStr">
        <is>
          <t xml:space="preserve">PR </t>
        </is>
      </c>
      <c r="U575" t="n">
        <v>2</v>
      </c>
      <c r="V575" t="n">
        <v>2</v>
      </c>
      <c r="W575" t="inlineStr">
        <is>
          <t>2005-10-18</t>
        </is>
      </c>
      <c r="X575" t="inlineStr">
        <is>
          <t>2005-10-18</t>
        </is>
      </c>
      <c r="Y575" t="inlineStr">
        <is>
          <t>1991-10-23</t>
        </is>
      </c>
      <c r="Z575" t="inlineStr">
        <is>
          <t>1991-10-23</t>
        </is>
      </c>
      <c r="AA575" t="n">
        <v>120</v>
      </c>
      <c r="AB575" t="n">
        <v>90</v>
      </c>
      <c r="AC575" t="n">
        <v>420</v>
      </c>
      <c r="AD575" t="n">
        <v>1</v>
      </c>
      <c r="AE575" t="n">
        <v>3</v>
      </c>
      <c r="AF575" t="n">
        <v>8</v>
      </c>
      <c r="AG575" t="n">
        <v>24</v>
      </c>
      <c r="AH575" t="n">
        <v>4</v>
      </c>
      <c r="AI575" t="n">
        <v>8</v>
      </c>
      <c r="AJ575" t="n">
        <v>2</v>
      </c>
      <c r="AK575" t="n">
        <v>6</v>
      </c>
      <c r="AL575" t="n">
        <v>3</v>
      </c>
      <c r="AM575" t="n">
        <v>13</v>
      </c>
      <c r="AN575" t="n">
        <v>0</v>
      </c>
      <c r="AO575" t="n">
        <v>2</v>
      </c>
      <c r="AP575" t="n">
        <v>0</v>
      </c>
      <c r="AQ575" t="n">
        <v>0</v>
      </c>
      <c r="AR575" t="inlineStr">
        <is>
          <t>No</t>
        </is>
      </c>
      <c r="AS575" t="inlineStr">
        <is>
          <t>No</t>
        </is>
      </c>
      <c r="AU575">
        <f>HYPERLINK("https://creighton-primo.hosted.exlibrisgroup.com/primo-explore/search?tab=default_tab&amp;search_scope=EVERYTHING&amp;vid=01CRU&amp;lang=en_US&amp;offset=0&amp;query=any,contains,991000816699702656","Catalog Record")</f>
        <v/>
      </c>
      <c r="AV575">
        <f>HYPERLINK("http://www.worldcat.org/oclc/13358752","WorldCat Record")</f>
        <v/>
      </c>
      <c r="AW575" t="inlineStr">
        <is>
          <t>863764179:eng</t>
        </is>
      </c>
      <c r="AX575" t="inlineStr">
        <is>
          <t>13358752</t>
        </is>
      </c>
      <c r="AY575" t="inlineStr">
        <is>
          <t>991000816699702656</t>
        </is>
      </c>
      <c r="AZ575" t="inlineStr">
        <is>
          <t>991000816699702656</t>
        </is>
      </c>
      <c r="BA575" t="inlineStr">
        <is>
          <t>2267824200002656</t>
        </is>
      </c>
      <c r="BB575" t="inlineStr">
        <is>
          <t>BOOK</t>
        </is>
      </c>
      <c r="BD575" t="inlineStr">
        <is>
          <t>9780198129509</t>
        </is>
      </c>
      <c r="BE575" t="inlineStr">
        <is>
          <t>32285000778471</t>
        </is>
      </c>
      <c r="BF575" t="inlineStr">
        <is>
          <t>893534317</t>
        </is>
      </c>
    </row>
    <row r="576">
      <c r="A576" t="inlineStr">
        <is>
          <t>No</t>
        </is>
      </c>
      <c r="B576" t="inlineStr">
        <is>
          <t>CURAL</t>
        </is>
      </c>
      <c r="C576" t="inlineStr">
        <is>
          <t>SHELVES</t>
        </is>
      </c>
      <c r="D576" t="inlineStr">
        <is>
          <t>PR2819 .F7</t>
        </is>
      </c>
      <c r="E576" t="inlineStr">
        <is>
          <t>0                      PR 2819000F  7</t>
        </is>
      </c>
      <c r="F576" t="inlineStr">
        <is>
          <t>Shakespeare's poetics in relation to King Lear.</t>
        </is>
      </c>
      <c r="H576" t="inlineStr">
        <is>
          <t>No</t>
        </is>
      </c>
      <c r="I576" t="inlineStr">
        <is>
          <t>1</t>
        </is>
      </c>
      <c r="J576" t="inlineStr">
        <is>
          <t>No</t>
        </is>
      </c>
      <c r="K576" t="inlineStr">
        <is>
          <t>No</t>
        </is>
      </c>
      <c r="L576" t="inlineStr">
        <is>
          <t>0</t>
        </is>
      </c>
      <c r="M576" t="inlineStr">
        <is>
          <t>Fraser, Russell A.</t>
        </is>
      </c>
      <c r="N576" t="inlineStr">
        <is>
          <t>London : Routledge &amp; Paul, [1962]</t>
        </is>
      </c>
      <c r="O576" t="inlineStr">
        <is>
          <t>1962</t>
        </is>
      </c>
      <c r="Q576" t="inlineStr">
        <is>
          <t>eng</t>
        </is>
      </c>
      <c r="R576" t="inlineStr">
        <is>
          <t>enk</t>
        </is>
      </c>
      <c r="T576" t="inlineStr">
        <is>
          <t xml:space="preserve">PR </t>
        </is>
      </c>
      <c r="U576" t="n">
        <v>2</v>
      </c>
      <c r="V576" t="n">
        <v>2</v>
      </c>
      <c r="W576" t="inlineStr">
        <is>
          <t>1997-11-19</t>
        </is>
      </c>
      <c r="X576" t="inlineStr">
        <is>
          <t>1997-11-19</t>
        </is>
      </c>
      <c r="Y576" t="inlineStr">
        <is>
          <t>1994-05-06</t>
        </is>
      </c>
      <c r="Z576" t="inlineStr">
        <is>
          <t>1994-05-06</t>
        </is>
      </c>
      <c r="AA576" t="n">
        <v>612</v>
      </c>
      <c r="AB576" t="n">
        <v>478</v>
      </c>
      <c r="AC576" t="n">
        <v>503</v>
      </c>
      <c r="AD576" t="n">
        <v>4</v>
      </c>
      <c r="AE576" t="n">
        <v>4</v>
      </c>
      <c r="AF576" t="n">
        <v>34</v>
      </c>
      <c r="AG576" t="n">
        <v>34</v>
      </c>
      <c r="AH576" t="n">
        <v>13</v>
      </c>
      <c r="AI576" t="n">
        <v>13</v>
      </c>
      <c r="AJ576" t="n">
        <v>8</v>
      </c>
      <c r="AK576" t="n">
        <v>8</v>
      </c>
      <c r="AL576" t="n">
        <v>20</v>
      </c>
      <c r="AM576" t="n">
        <v>20</v>
      </c>
      <c r="AN576" t="n">
        <v>3</v>
      </c>
      <c r="AO576" t="n">
        <v>3</v>
      </c>
      <c r="AP576" t="n">
        <v>0</v>
      </c>
      <c r="AQ576" t="n">
        <v>0</v>
      </c>
      <c r="AR576" t="inlineStr">
        <is>
          <t>No</t>
        </is>
      </c>
      <c r="AS576" t="inlineStr">
        <is>
          <t>No</t>
        </is>
      </c>
      <c r="AU576">
        <f>HYPERLINK("https://creighton-primo.hosted.exlibrisgroup.com/primo-explore/search?tab=default_tab&amp;search_scope=EVERYTHING&amp;vid=01CRU&amp;lang=en_US&amp;offset=0&amp;query=any,contains,991002269809702656","Catalog Record")</f>
        <v/>
      </c>
      <c r="AV576">
        <f>HYPERLINK("http://www.worldcat.org/oclc/307865","WorldCat Record")</f>
        <v/>
      </c>
      <c r="AW576" t="inlineStr">
        <is>
          <t>1362333:eng</t>
        </is>
      </c>
      <c r="AX576" t="inlineStr">
        <is>
          <t>307865</t>
        </is>
      </c>
      <c r="AY576" t="inlineStr">
        <is>
          <t>991002269809702656</t>
        </is>
      </c>
      <c r="AZ576" t="inlineStr">
        <is>
          <t>991002269809702656</t>
        </is>
      </c>
      <c r="BA576" t="inlineStr">
        <is>
          <t>2264527270002656</t>
        </is>
      </c>
      <c r="BB576" t="inlineStr">
        <is>
          <t>BOOK</t>
        </is>
      </c>
      <c r="BE576" t="inlineStr">
        <is>
          <t>32285001907368</t>
        </is>
      </c>
      <c r="BF576" t="inlineStr">
        <is>
          <t>893886055</t>
        </is>
      </c>
    </row>
    <row r="577">
      <c r="A577" t="inlineStr">
        <is>
          <t>No</t>
        </is>
      </c>
      <c r="B577" t="inlineStr">
        <is>
          <t>CURAL</t>
        </is>
      </c>
      <c r="C577" t="inlineStr">
        <is>
          <t>SHELVES</t>
        </is>
      </c>
      <c r="D577" t="inlineStr">
        <is>
          <t>PR2819 .G6 1974</t>
        </is>
      </c>
      <c r="E577" t="inlineStr">
        <is>
          <t>0                      PR 2819000G  6           1974</t>
        </is>
      </c>
      <c r="F577" t="inlineStr">
        <is>
          <t>An essay on King Lear / [by] S. L. Goldberg.</t>
        </is>
      </c>
      <c r="H577" t="inlineStr">
        <is>
          <t>No</t>
        </is>
      </c>
      <c r="I577" t="inlineStr">
        <is>
          <t>1</t>
        </is>
      </c>
      <c r="J577" t="inlineStr">
        <is>
          <t>No</t>
        </is>
      </c>
      <c r="K577" t="inlineStr">
        <is>
          <t>No</t>
        </is>
      </c>
      <c r="L577" t="inlineStr">
        <is>
          <t>0</t>
        </is>
      </c>
      <c r="M577" t="inlineStr">
        <is>
          <t>Goldberg, S. L. (Samuel Louis), 1926-</t>
        </is>
      </c>
      <c r="N577" t="inlineStr">
        <is>
          <t>[London ; New York] : Cambridge University Press, [1974]</t>
        </is>
      </c>
      <c r="O577" t="inlineStr">
        <is>
          <t>1974</t>
        </is>
      </c>
      <c r="Q577" t="inlineStr">
        <is>
          <t>eng</t>
        </is>
      </c>
      <c r="R577" t="inlineStr">
        <is>
          <t>enk</t>
        </is>
      </c>
      <c r="T577" t="inlineStr">
        <is>
          <t xml:space="preserve">PR </t>
        </is>
      </c>
      <c r="U577" t="n">
        <v>5</v>
      </c>
      <c r="V577" t="n">
        <v>5</v>
      </c>
      <c r="W577" t="inlineStr">
        <is>
          <t>2006-11-17</t>
        </is>
      </c>
      <c r="X577" t="inlineStr">
        <is>
          <t>2006-11-17</t>
        </is>
      </c>
      <c r="Y577" t="inlineStr">
        <is>
          <t>1990-07-12</t>
        </is>
      </c>
      <c r="Z577" t="inlineStr">
        <is>
          <t>1990-07-12</t>
        </is>
      </c>
      <c r="AA577" t="n">
        <v>708</v>
      </c>
      <c r="AB577" t="n">
        <v>482</v>
      </c>
      <c r="AC577" t="n">
        <v>489</v>
      </c>
      <c r="AD577" t="n">
        <v>5</v>
      </c>
      <c r="AE577" t="n">
        <v>5</v>
      </c>
      <c r="AF577" t="n">
        <v>26</v>
      </c>
      <c r="AG577" t="n">
        <v>26</v>
      </c>
      <c r="AH577" t="n">
        <v>10</v>
      </c>
      <c r="AI577" t="n">
        <v>10</v>
      </c>
      <c r="AJ577" t="n">
        <v>7</v>
      </c>
      <c r="AK577" t="n">
        <v>7</v>
      </c>
      <c r="AL577" t="n">
        <v>12</v>
      </c>
      <c r="AM577" t="n">
        <v>12</v>
      </c>
      <c r="AN577" t="n">
        <v>4</v>
      </c>
      <c r="AO577" t="n">
        <v>4</v>
      </c>
      <c r="AP577" t="n">
        <v>0</v>
      </c>
      <c r="AQ577" t="n">
        <v>0</v>
      </c>
      <c r="AR577" t="inlineStr">
        <is>
          <t>No</t>
        </is>
      </c>
      <c r="AS577" t="inlineStr">
        <is>
          <t>No</t>
        </is>
      </c>
      <c r="AU577">
        <f>HYPERLINK("https://creighton-primo.hosted.exlibrisgroup.com/primo-explore/search?tab=default_tab&amp;search_scope=EVERYTHING&amp;vid=01CRU&amp;lang=en_US&amp;offset=0&amp;query=any,contains,991003378089702656","Catalog Record")</f>
        <v/>
      </c>
      <c r="AV577">
        <f>HYPERLINK("http://www.worldcat.org/oclc/914596","WorldCat Record")</f>
        <v/>
      </c>
      <c r="AW577" t="inlineStr">
        <is>
          <t>503250:eng</t>
        </is>
      </c>
      <c r="AX577" t="inlineStr">
        <is>
          <t>914596</t>
        </is>
      </c>
      <c r="AY577" t="inlineStr">
        <is>
          <t>991003378089702656</t>
        </is>
      </c>
      <c r="AZ577" t="inlineStr">
        <is>
          <t>991003378089702656</t>
        </is>
      </c>
      <c r="BA577" t="inlineStr">
        <is>
          <t>2262726140002656</t>
        </is>
      </c>
      <c r="BB577" t="inlineStr">
        <is>
          <t>BOOK</t>
        </is>
      </c>
      <c r="BD577" t="inlineStr">
        <is>
          <t>9780521202008</t>
        </is>
      </c>
      <c r="BE577" t="inlineStr">
        <is>
          <t>32285000230333</t>
        </is>
      </c>
      <c r="BF577" t="inlineStr">
        <is>
          <t>893422522</t>
        </is>
      </c>
    </row>
    <row r="578">
      <c r="A578" t="inlineStr">
        <is>
          <t>No</t>
        </is>
      </c>
      <c r="B578" t="inlineStr">
        <is>
          <t>CURAL</t>
        </is>
      </c>
      <c r="C578" t="inlineStr">
        <is>
          <t>SHELVES</t>
        </is>
      </c>
      <c r="D578" t="inlineStr">
        <is>
          <t>PR2819 .H4 1963</t>
        </is>
      </c>
      <c r="E578" t="inlineStr">
        <is>
          <t>0                      PR 2819000H  4           1963</t>
        </is>
      </c>
      <c r="F578" t="inlineStr">
        <is>
          <t>This great stage : image and structure in King Lear / by Robert Bechtold Heilman.</t>
        </is>
      </c>
      <c r="H578" t="inlineStr">
        <is>
          <t>No</t>
        </is>
      </c>
      <c r="I578" t="inlineStr">
        <is>
          <t>1</t>
        </is>
      </c>
      <c r="J578" t="inlineStr">
        <is>
          <t>No</t>
        </is>
      </c>
      <c r="K578" t="inlineStr">
        <is>
          <t>No</t>
        </is>
      </c>
      <c r="L578" t="inlineStr">
        <is>
          <t>0</t>
        </is>
      </c>
      <c r="M578" t="inlineStr">
        <is>
          <t>Heilman, Robert Bechtold, 1906-2004.</t>
        </is>
      </c>
      <c r="N578" t="inlineStr">
        <is>
          <t>[Seattle] : University of Washington Press, [1963]</t>
        </is>
      </c>
      <c r="O578" t="inlineStr">
        <is>
          <t>1963</t>
        </is>
      </c>
      <c r="Q578" t="inlineStr">
        <is>
          <t>eng</t>
        </is>
      </c>
      <c r="R578" t="inlineStr">
        <is>
          <t>wau</t>
        </is>
      </c>
      <c r="T578" t="inlineStr">
        <is>
          <t xml:space="preserve">PR </t>
        </is>
      </c>
      <c r="U578" t="n">
        <v>1</v>
      </c>
      <c r="V578" t="n">
        <v>1</v>
      </c>
      <c r="W578" t="inlineStr">
        <is>
          <t>2002-04-22</t>
        </is>
      </c>
      <c r="X578" t="inlineStr">
        <is>
          <t>2002-04-22</t>
        </is>
      </c>
      <c r="Y578" t="inlineStr">
        <is>
          <t>2002-04-08</t>
        </is>
      </c>
      <c r="Z578" t="inlineStr">
        <is>
          <t>2002-04-08</t>
        </is>
      </c>
      <c r="AA578" t="n">
        <v>817</v>
      </c>
      <c r="AB578" t="n">
        <v>678</v>
      </c>
      <c r="AC578" t="n">
        <v>1076</v>
      </c>
      <c r="AD578" t="n">
        <v>7</v>
      </c>
      <c r="AE578" t="n">
        <v>12</v>
      </c>
      <c r="AF578" t="n">
        <v>30</v>
      </c>
      <c r="AG578" t="n">
        <v>51</v>
      </c>
      <c r="AH578" t="n">
        <v>10</v>
      </c>
      <c r="AI578" t="n">
        <v>21</v>
      </c>
      <c r="AJ578" t="n">
        <v>7</v>
      </c>
      <c r="AK578" t="n">
        <v>10</v>
      </c>
      <c r="AL578" t="n">
        <v>15</v>
      </c>
      <c r="AM578" t="n">
        <v>24</v>
      </c>
      <c r="AN578" t="n">
        <v>6</v>
      </c>
      <c r="AO578" t="n">
        <v>10</v>
      </c>
      <c r="AP578" t="n">
        <v>0</v>
      </c>
      <c r="AQ578" t="n">
        <v>0</v>
      </c>
      <c r="AR578" t="inlineStr">
        <is>
          <t>No</t>
        </is>
      </c>
      <c r="AS578" t="inlineStr">
        <is>
          <t>Yes</t>
        </is>
      </c>
      <c r="AT578">
        <f>HYPERLINK("http://catalog.hathitrust.org/Record/001112013","HathiTrust Record")</f>
        <v/>
      </c>
      <c r="AU578">
        <f>HYPERLINK("https://creighton-primo.hosted.exlibrisgroup.com/primo-explore/search?tab=default_tab&amp;search_scope=EVERYTHING&amp;vid=01CRU&amp;lang=en_US&amp;offset=0&amp;query=any,contains,991003791079702656","Catalog Record")</f>
        <v/>
      </c>
      <c r="AV578">
        <f>HYPERLINK("http://www.worldcat.org/oclc/2360201","WorldCat Record")</f>
        <v/>
      </c>
      <c r="AW578" t="inlineStr">
        <is>
          <t>233537659:eng</t>
        </is>
      </c>
      <c r="AX578" t="inlineStr">
        <is>
          <t>2360201</t>
        </is>
      </c>
      <c r="AY578" t="inlineStr">
        <is>
          <t>991003791079702656</t>
        </is>
      </c>
      <c r="AZ578" t="inlineStr">
        <is>
          <t>991003791079702656</t>
        </is>
      </c>
      <c r="BA578" t="inlineStr">
        <is>
          <t>2272818530002656</t>
        </is>
      </c>
      <c r="BB578" t="inlineStr">
        <is>
          <t>BOOK</t>
        </is>
      </c>
      <c r="BE578" t="inlineStr">
        <is>
          <t>32285004478045</t>
        </is>
      </c>
      <c r="BF578" t="inlineStr">
        <is>
          <t>893499711</t>
        </is>
      </c>
    </row>
    <row r="579">
      <c r="A579" t="inlineStr">
        <is>
          <t>No</t>
        </is>
      </c>
      <c r="B579" t="inlineStr">
        <is>
          <t>CURAL</t>
        </is>
      </c>
      <c r="C579" t="inlineStr">
        <is>
          <t>SHELVES</t>
        </is>
      </c>
      <c r="D579" t="inlineStr">
        <is>
          <t>PR2819 .L4 1988</t>
        </is>
      </c>
      <c r="E579" t="inlineStr">
        <is>
          <t>0                      PR 2819000L  4           1988</t>
        </is>
      </c>
      <c r="F579" t="inlineStr">
        <is>
          <t>King Lear / Alexander Leggatt.</t>
        </is>
      </c>
      <c r="H579" t="inlineStr">
        <is>
          <t>No</t>
        </is>
      </c>
      <c r="I579" t="inlineStr">
        <is>
          <t>1</t>
        </is>
      </c>
      <c r="J579" t="inlineStr">
        <is>
          <t>No</t>
        </is>
      </c>
      <c r="K579" t="inlineStr">
        <is>
          <t>No</t>
        </is>
      </c>
      <c r="L579" t="inlineStr">
        <is>
          <t>0</t>
        </is>
      </c>
      <c r="M579" t="inlineStr">
        <is>
          <t>Leggatt, Alexander.</t>
        </is>
      </c>
      <c r="N579" t="inlineStr">
        <is>
          <t>Boston : Twayne Publishers, 1988.</t>
        </is>
      </c>
      <c r="O579" t="inlineStr">
        <is>
          <t>1988</t>
        </is>
      </c>
      <c r="Q579" t="inlineStr">
        <is>
          <t>eng</t>
        </is>
      </c>
      <c r="R579" t="inlineStr">
        <is>
          <t>mau</t>
        </is>
      </c>
      <c r="S579" t="inlineStr">
        <is>
          <t>Twayne's new critical introductions to Shakespeare</t>
        </is>
      </c>
      <c r="T579" t="inlineStr">
        <is>
          <t xml:space="preserve">PR </t>
        </is>
      </c>
      <c r="U579" t="n">
        <v>7</v>
      </c>
      <c r="V579" t="n">
        <v>7</v>
      </c>
      <c r="W579" t="inlineStr">
        <is>
          <t>2006-11-16</t>
        </is>
      </c>
      <c r="X579" t="inlineStr">
        <is>
          <t>2006-11-16</t>
        </is>
      </c>
      <c r="Y579" t="inlineStr">
        <is>
          <t>1991-10-23</t>
        </is>
      </c>
      <c r="Z579" t="inlineStr">
        <is>
          <t>1991-10-23</t>
        </is>
      </c>
      <c r="AA579" t="n">
        <v>840</v>
      </c>
      <c r="AB579" t="n">
        <v>782</v>
      </c>
      <c r="AC579" t="n">
        <v>961</v>
      </c>
      <c r="AD579" t="n">
        <v>7</v>
      </c>
      <c r="AE579" t="n">
        <v>8</v>
      </c>
      <c r="AF579" t="n">
        <v>19</v>
      </c>
      <c r="AG579" t="n">
        <v>33</v>
      </c>
      <c r="AH579" t="n">
        <v>9</v>
      </c>
      <c r="AI579" t="n">
        <v>14</v>
      </c>
      <c r="AJ579" t="n">
        <v>2</v>
      </c>
      <c r="AK579" t="n">
        <v>6</v>
      </c>
      <c r="AL579" t="n">
        <v>8</v>
      </c>
      <c r="AM579" t="n">
        <v>16</v>
      </c>
      <c r="AN579" t="n">
        <v>5</v>
      </c>
      <c r="AO579" t="n">
        <v>6</v>
      </c>
      <c r="AP579" t="n">
        <v>0</v>
      </c>
      <c r="AQ579" t="n">
        <v>0</v>
      </c>
      <c r="AR579" t="inlineStr">
        <is>
          <t>No</t>
        </is>
      </c>
      <c r="AS579" t="inlineStr">
        <is>
          <t>Yes</t>
        </is>
      </c>
      <c r="AT579">
        <f>HYPERLINK("http://catalog.hathitrust.org/Record/008321981","HathiTrust Record")</f>
        <v/>
      </c>
      <c r="AU579">
        <f>HYPERLINK("https://creighton-primo.hosted.exlibrisgroup.com/primo-explore/search?tab=default_tab&amp;search_scope=EVERYTHING&amp;vid=01CRU&amp;lang=en_US&amp;offset=0&amp;query=any,contains,991001292449702656","Catalog Record")</f>
        <v/>
      </c>
      <c r="AV579">
        <f>HYPERLINK("http://www.worldcat.org/oclc/18013958","WorldCat Record")</f>
        <v/>
      </c>
      <c r="AW579" t="inlineStr">
        <is>
          <t>4776397711:eng</t>
        </is>
      </c>
      <c r="AX579" t="inlineStr">
        <is>
          <t>18013958</t>
        </is>
      </c>
      <c r="AY579" t="inlineStr">
        <is>
          <t>991001292449702656</t>
        </is>
      </c>
      <c r="AZ579" t="inlineStr">
        <is>
          <t>991001292449702656</t>
        </is>
      </c>
      <c r="BA579" t="inlineStr">
        <is>
          <t>2267174710002656</t>
        </is>
      </c>
      <c r="BB579" t="inlineStr">
        <is>
          <t>BOOK</t>
        </is>
      </c>
      <c r="BD579" t="inlineStr">
        <is>
          <t>9780805787115</t>
        </is>
      </c>
      <c r="BE579" t="inlineStr">
        <is>
          <t>32285000778489</t>
        </is>
      </c>
      <c r="BF579" t="inlineStr">
        <is>
          <t>893872441</t>
        </is>
      </c>
    </row>
    <row r="580">
      <c r="A580" t="inlineStr">
        <is>
          <t>No</t>
        </is>
      </c>
      <c r="B580" t="inlineStr">
        <is>
          <t>CURAL</t>
        </is>
      </c>
      <c r="C580" t="inlineStr">
        <is>
          <t>SHELVES</t>
        </is>
      </c>
      <c r="D580" t="inlineStr">
        <is>
          <t>PR2819 .M3</t>
        </is>
      </c>
      <c r="E580" t="inlineStr">
        <is>
          <t>0                      PR 2819000M  3</t>
        </is>
      </c>
      <c r="F580" t="inlineStr">
        <is>
          <t>King Lear in our time.</t>
        </is>
      </c>
      <c r="H580" t="inlineStr">
        <is>
          <t>No</t>
        </is>
      </c>
      <c r="I580" t="inlineStr">
        <is>
          <t>1</t>
        </is>
      </c>
      <c r="J580" t="inlineStr">
        <is>
          <t>No</t>
        </is>
      </c>
      <c r="K580" t="inlineStr">
        <is>
          <t>No</t>
        </is>
      </c>
      <c r="L580" t="inlineStr">
        <is>
          <t>0</t>
        </is>
      </c>
      <c r="M580" t="inlineStr">
        <is>
          <t>Mack, Maynard, 1909-2001.</t>
        </is>
      </c>
      <c r="N580" t="inlineStr">
        <is>
          <t>Berkeley, University of California Press, 1965.</t>
        </is>
      </c>
      <c r="O580" t="inlineStr">
        <is>
          <t>1965</t>
        </is>
      </c>
      <c r="Q580" t="inlineStr">
        <is>
          <t>eng</t>
        </is>
      </c>
      <c r="R580" t="inlineStr">
        <is>
          <t>cau</t>
        </is>
      </c>
      <c r="T580" t="inlineStr">
        <is>
          <t xml:space="preserve">PR </t>
        </is>
      </c>
      <c r="U580" t="n">
        <v>4</v>
      </c>
      <c r="V580" t="n">
        <v>4</v>
      </c>
      <c r="W580" t="inlineStr">
        <is>
          <t>2006-11-26</t>
        </is>
      </c>
      <c r="X580" t="inlineStr">
        <is>
          <t>2006-11-26</t>
        </is>
      </c>
      <c r="Y580" t="inlineStr">
        <is>
          <t>1997-07-31</t>
        </is>
      </c>
      <c r="Z580" t="inlineStr">
        <is>
          <t>1997-07-31</t>
        </is>
      </c>
      <c r="AA580" t="n">
        <v>998</v>
      </c>
      <c r="AB580" t="n">
        <v>906</v>
      </c>
      <c r="AC580" t="n">
        <v>1054</v>
      </c>
      <c r="AD580" t="n">
        <v>5</v>
      </c>
      <c r="AE580" t="n">
        <v>5</v>
      </c>
      <c r="AF580" t="n">
        <v>35</v>
      </c>
      <c r="AG580" t="n">
        <v>42</v>
      </c>
      <c r="AH580" t="n">
        <v>15</v>
      </c>
      <c r="AI580" t="n">
        <v>20</v>
      </c>
      <c r="AJ580" t="n">
        <v>5</v>
      </c>
      <c r="AK580" t="n">
        <v>8</v>
      </c>
      <c r="AL580" t="n">
        <v>20</v>
      </c>
      <c r="AM580" t="n">
        <v>20</v>
      </c>
      <c r="AN580" t="n">
        <v>4</v>
      </c>
      <c r="AO580" t="n">
        <v>4</v>
      </c>
      <c r="AP580" t="n">
        <v>0</v>
      </c>
      <c r="AQ580" t="n">
        <v>0</v>
      </c>
      <c r="AR580" t="inlineStr">
        <is>
          <t>No</t>
        </is>
      </c>
      <c r="AS580" t="inlineStr">
        <is>
          <t>Yes</t>
        </is>
      </c>
      <c r="AT580">
        <f>HYPERLINK("http://catalog.hathitrust.org/Record/001112014","HathiTrust Record")</f>
        <v/>
      </c>
      <c r="AU580">
        <f>HYPERLINK("https://creighton-primo.hosted.exlibrisgroup.com/primo-explore/search?tab=default_tab&amp;search_scope=EVERYTHING&amp;vid=01CRU&amp;lang=en_US&amp;offset=0&amp;query=any,contains,991002262819702656","Catalog Record")</f>
        <v/>
      </c>
      <c r="AV580">
        <f>HYPERLINK("http://www.worldcat.org/oclc/305263","WorldCat Record")</f>
        <v/>
      </c>
      <c r="AW580" t="inlineStr">
        <is>
          <t>883196:eng</t>
        </is>
      </c>
      <c r="AX580" t="inlineStr">
        <is>
          <t>305263</t>
        </is>
      </c>
      <c r="AY580" t="inlineStr">
        <is>
          <t>991002262819702656</t>
        </is>
      </c>
      <c r="AZ580" t="inlineStr">
        <is>
          <t>991002262819702656</t>
        </is>
      </c>
      <c r="BA580" t="inlineStr">
        <is>
          <t>2265620350002656</t>
        </is>
      </c>
      <c r="BB580" t="inlineStr">
        <is>
          <t>BOOK</t>
        </is>
      </c>
      <c r="BE580" t="inlineStr">
        <is>
          <t>32285002996782</t>
        </is>
      </c>
      <c r="BF580" t="inlineStr">
        <is>
          <t>893879685</t>
        </is>
      </c>
    </row>
    <row r="581">
      <c r="A581" t="inlineStr">
        <is>
          <t>No</t>
        </is>
      </c>
      <c r="B581" t="inlineStr">
        <is>
          <t>CURAL</t>
        </is>
      </c>
      <c r="C581" t="inlineStr">
        <is>
          <t>SHELVES</t>
        </is>
      </c>
      <c r="D581" t="inlineStr">
        <is>
          <t>PR2819 .M37 1987</t>
        </is>
      </c>
      <c r="E581" t="inlineStr">
        <is>
          <t>0                      PR 2819000M  37          1987</t>
        </is>
      </c>
      <c r="F581" t="inlineStr">
        <is>
          <t>The indissoluble knot : King Lear as ironic drama / William F. Martin.</t>
        </is>
      </c>
      <c r="H581" t="inlineStr">
        <is>
          <t>No</t>
        </is>
      </c>
      <c r="I581" t="inlineStr">
        <is>
          <t>1</t>
        </is>
      </c>
      <c r="J581" t="inlineStr">
        <is>
          <t>No</t>
        </is>
      </c>
      <c r="K581" t="inlineStr">
        <is>
          <t>No</t>
        </is>
      </c>
      <c r="L581" t="inlineStr">
        <is>
          <t>0</t>
        </is>
      </c>
      <c r="M581" t="inlineStr">
        <is>
          <t>Martin, William F., 1933-</t>
        </is>
      </c>
      <c r="N581" t="inlineStr">
        <is>
          <t>Lanham, MD : University Press of America, c1987.</t>
        </is>
      </c>
      <c r="O581" t="inlineStr">
        <is>
          <t>1987</t>
        </is>
      </c>
      <c r="Q581" t="inlineStr">
        <is>
          <t>eng</t>
        </is>
      </c>
      <c r="R581" t="inlineStr">
        <is>
          <t>mdu</t>
        </is>
      </c>
      <c r="T581" t="inlineStr">
        <is>
          <t xml:space="preserve">PR </t>
        </is>
      </c>
      <c r="U581" t="n">
        <v>2</v>
      </c>
      <c r="V581" t="n">
        <v>2</v>
      </c>
      <c r="W581" t="inlineStr">
        <is>
          <t>1997-11-19</t>
        </is>
      </c>
      <c r="X581" t="inlineStr">
        <is>
          <t>1997-11-19</t>
        </is>
      </c>
      <c r="Y581" t="inlineStr">
        <is>
          <t>1991-10-23</t>
        </is>
      </c>
      <c r="Z581" t="inlineStr">
        <is>
          <t>1991-10-23</t>
        </is>
      </c>
      <c r="AA581" t="n">
        <v>294</v>
      </c>
      <c r="AB581" t="n">
        <v>235</v>
      </c>
      <c r="AC581" t="n">
        <v>242</v>
      </c>
      <c r="AD581" t="n">
        <v>3</v>
      </c>
      <c r="AE581" t="n">
        <v>3</v>
      </c>
      <c r="AF581" t="n">
        <v>11</v>
      </c>
      <c r="AG581" t="n">
        <v>11</v>
      </c>
      <c r="AH581" t="n">
        <v>2</v>
      </c>
      <c r="AI581" t="n">
        <v>2</v>
      </c>
      <c r="AJ581" t="n">
        <v>4</v>
      </c>
      <c r="AK581" t="n">
        <v>4</v>
      </c>
      <c r="AL581" t="n">
        <v>8</v>
      </c>
      <c r="AM581" t="n">
        <v>8</v>
      </c>
      <c r="AN581" t="n">
        <v>2</v>
      </c>
      <c r="AO581" t="n">
        <v>2</v>
      </c>
      <c r="AP581" t="n">
        <v>0</v>
      </c>
      <c r="AQ581" t="n">
        <v>0</v>
      </c>
      <c r="AR581" t="inlineStr">
        <is>
          <t>No</t>
        </is>
      </c>
      <c r="AS581" t="inlineStr">
        <is>
          <t>Yes</t>
        </is>
      </c>
      <c r="AT581">
        <f>HYPERLINK("http://catalog.hathitrust.org/Record/000857138","HathiTrust Record")</f>
        <v/>
      </c>
      <c r="AU581">
        <f>HYPERLINK("https://creighton-primo.hosted.exlibrisgroup.com/primo-explore/search?tab=default_tab&amp;search_scope=EVERYTHING&amp;vid=01CRU&amp;lang=en_US&amp;offset=0&amp;query=any,contains,991001092309702656","Catalog Record")</f>
        <v/>
      </c>
      <c r="AV581">
        <f>HYPERLINK("http://www.worldcat.org/oclc/16225759","WorldCat Record")</f>
        <v/>
      </c>
      <c r="AW581" t="inlineStr">
        <is>
          <t>12235154:eng</t>
        </is>
      </c>
      <c r="AX581" t="inlineStr">
        <is>
          <t>16225759</t>
        </is>
      </c>
      <c r="AY581" t="inlineStr">
        <is>
          <t>991001092309702656</t>
        </is>
      </c>
      <c r="AZ581" t="inlineStr">
        <is>
          <t>991001092309702656</t>
        </is>
      </c>
      <c r="BA581" t="inlineStr">
        <is>
          <t>2264487310002656</t>
        </is>
      </c>
      <c r="BB581" t="inlineStr">
        <is>
          <t>BOOK</t>
        </is>
      </c>
      <c r="BD581" t="inlineStr">
        <is>
          <t>9780819166043</t>
        </is>
      </c>
      <c r="BE581" t="inlineStr">
        <is>
          <t>32285000778497</t>
        </is>
      </c>
      <c r="BF581" t="inlineStr">
        <is>
          <t>893534428</t>
        </is>
      </c>
    </row>
    <row r="582">
      <c r="A582" t="inlineStr">
        <is>
          <t>No</t>
        </is>
      </c>
      <c r="B582" t="inlineStr">
        <is>
          <t>CURAL</t>
        </is>
      </c>
      <c r="C582" t="inlineStr">
        <is>
          <t>SHELVES</t>
        </is>
      </c>
      <c r="D582" t="inlineStr">
        <is>
          <t>PR2819 .S25 1987</t>
        </is>
      </c>
      <c r="E582" t="inlineStr">
        <is>
          <t>0                      PR 2819000S  25          1987</t>
        </is>
      </c>
      <c r="F582" t="inlineStr">
        <is>
          <t>King Lear / Gāmini Salgādo.</t>
        </is>
      </c>
      <c r="H582" t="inlineStr">
        <is>
          <t>No</t>
        </is>
      </c>
      <c r="I582" t="inlineStr">
        <is>
          <t>1</t>
        </is>
      </c>
      <c r="J582" t="inlineStr">
        <is>
          <t>No</t>
        </is>
      </c>
      <c r="K582" t="inlineStr">
        <is>
          <t>No</t>
        </is>
      </c>
      <c r="L582" t="inlineStr">
        <is>
          <t>0</t>
        </is>
      </c>
      <c r="M582" t="inlineStr">
        <is>
          <t>Salgādo, Gāmini, 1929-1985.</t>
        </is>
      </c>
      <c r="N582" t="inlineStr">
        <is>
          <t>Atlantic Highlands, NJ : Humanities Press International, 1987, c1984.</t>
        </is>
      </c>
      <c r="O582" t="inlineStr">
        <is>
          <t>1987</t>
        </is>
      </c>
      <c r="P582" t="inlineStr">
        <is>
          <t>2nd ed.</t>
        </is>
      </c>
      <c r="Q582" t="inlineStr">
        <is>
          <t>eng</t>
        </is>
      </c>
      <c r="R582" t="inlineStr">
        <is>
          <t>nju</t>
        </is>
      </c>
      <c r="S582" t="inlineStr">
        <is>
          <t>Text and performance</t>
        </is>
      </c>
      <c r="T582" t="inlineStr">
        <is>
          <t xml:space="preserve">PR </t>
        </is>
      </c>
      <c r="U582" t="n">
        <v>2</v>
      </c>
      <c r="V582" t="n">
        <v>2</v>
      </c>
      <c r="W582" t="inlineStr">
        <is>
          <t>2006-04-23</t>
        </is>
      </c>
      <c r="X582" t="inlineStr">
        <is>
          <t>2006-04-23</t>
        </is>
      </c>
      <c r="Y582" t="inlineStr">
        <is>
          <t>1990-02-07</t>
        </is>
      </c>
      <c r="Z582" t="inlineStr">
        <is>
          <t>1990-02-07</t>
        </is>
      </c>
      <c r="AA582" t="n">
        <v>178</v>
      </c>
      <c r="AB582" t="n">
        <v>169</v>
      </c>
      <c r="AC582" t="n">
        <v>624</v>
      </c>
      <c r="AD582" t="n">
        <v>3</v>
      </c>
      <c r="AE582" t="n">
        <v>8</v>
      </c>
      <c r="AF582" t="n">
        <v>8</v>
      </c>
      <c r="AG582" t="n">
        <v>34</v>
      </c>
      <c r="AH582" t="n">
        <v>3</v>
      </c>
      <c r="AI582" t="n">
        <v>15</v>
      </c>
      <c r="AJ582" t="n">
        <v>0</v>
      </c>
      <c r="AK582" t="n">
        <v>5</v>
      </c>
      <c r="AL582" t="n">
        <v>5</v>
      </c>
      <c r="AM582" t="n">
        <v>15</v>
      </c>
      <c r="AN582" t="n">
        <v>2</v>
      </c>
      <c r="AO582" t="n">
        <v>7</v>
      </c>
      <c r="AP582" t="n">
        <v>0</v>
      </c>
      <c r="AQ582" t="n">
        <v>0</v>
      </c>
      <c r="AR582" t="inlineStr">
        <is>
          <t>No</t>
        </is>
      </c>
      <c r="AS582" t="inlineStr">
        <is>
          <t>Yes</t>
        </is>
      </c>
      <c r="AT582">
        <f>HYPERLINK("http://catalog.hathitrust.org/Record/001088888","HathiTrust Record")</f>
        <v/>
      </c>
      <c r="AU582">
        <f>HYPERLINK("https://creighton-primo.hosted.exlibrisgroup.com/primo-explore/search?tab=default_tab&amp;search_scope=EVERYTHING&amp;vid=01CRU&amp;lang=en_US&amp;offset=0&amp;query=any,contains,991000915849702656","Catalog Record")</f>
        <v/>
      </c>
      <c r="AV582">
        <f>HYPERLINK("http://www.worldcat.org/oclc/14168006","WorldCat Record")</f>
        <v/>
      </c>
      <c r="AW582" t="inlineStr">
        <is>
          <t>4903070:eng</t>
        </is>
      </c>
      <c r="AX582" t="inlineStr">
        <is>
          <t>14168006</t>
        </is>
      </c>
      <c r="AY582" t="inlineStr">
        <is>
          <t>991000915849702656</t>
        </is>
      </c>
      <c r="AZ582" t="inlineStr">
        <is>
          <t>991000915849702656</t>
        </is>
      </c>
      <c r="BA582" t="inlineStr">
        <is>
          <t>2271451620002656</t>
        </is>
      </c>
      <c r="BB582" t="inlineStr">
        <is>
          <t>BOOK</t>
        </is>
      </c>
      <c r="BD582" t="inlineStr">
        <is>
          <t>9780391034938</t>
        </is>
      </c>
      <c r="BE582" t="inlineStr">
        <is>
          <t>32285000036854</t>
        </is>
      </c>
      <c r="BF582" t="inlineStr">
        <is>
          <t>893346090</t>
        </is>
      </c>
    </row>
    <row r="583">
      <c r="A583" t="inlineStr">
        <is>
          <t>No</t>
        </is>
      </c>
      <c r="B583" t="inlineStr">
        <is>
          <t>CURAL</t>
        </is>
      </c>
      <c r="C583" t="inlineStr">
        <is>
          <t>SHELVES</t>
        </is>
      </c>
      <c r="D583" t="inlineStr">
        <is>
          <t>PR2819 .S73 1980</t>
        </is>
      </c>
      <c r="E583" t="inlineStr">
        <is>
          <t>0                      PR 2819000S  73          1980</t>
        </is>
      </c>
      <c r="F583" t="inlineStr">
        <is>
          <t>The textual history of King Lear / P.W.K. Stone.</t>
        </is>
      </c>
      <c r="H583" t="inlineStr">
        <is>
          <t>No</t>
        </is>
      </c>
      <c r="I583" t="inlineStr">
        <is>
          <t>1</t>
        </is>
      </c>
      <c r="J583" t="inlineStr">
        <is>
          <t>No</t>
        </is>
      </c>
      <c r="K583" t="inlineStr">
        <is>
          <t>No</t>
        </is>
      </c>
      <c r="L583" t="inlineStr">
        <is>
          <t>0</t>
        </is>
      </c>
      <c r="M583" t="inlineStr">
        <is>
          <t>Stone, P. W. K.</t>
        </is>
      </c>
      <c r="N583" t="inlineStr">
        <is>
          <t>London : Scolar Press, c1980.</t>
        </is>
      </c>
      <c r="O583" t="inlineStr">
        <is>
          <t>1980</t>
        </is>
      </c>
      <c r="Q583" t="inlineStr">
        <is>
          <t>eng</t>
        </is>
      </c>
      <c r="R583" t="inlineStr">
        <is>
          <t>enk</t>
        </is>
      </c>
      <c r="T583" t="inlineStr">
        <is>
          <t xml:space="preserve">PR </t>
        </is>
      </c>
      <c r="U583" t="n">
        <v>1</v>
      </c>
      <c r="V583" t="n">
        <v>1</v>
      </c>
      <c r="W583" t="inlineStr">
        <is>
          <t>2006-11-17</t>
        </is>
      </c>
      <c r="X583" t="inlineStr">
        <is>
          <t>2006-11-17</t>
        </is>
      </c>
      <c r="Y583" t="inlineStr">
        <is>
          <t>1991-10-23</t>
        </is>
      </c>
      <c r="Z583" t="inlineStr">
        <is>
          <t>1991-10-23</t>
        </is>
      </c>
      <c r="AA583" t="n">
        <v>338</v>
      </c>
      <c r="AB583" t="n">
        <v>199</v>
      </c>
      <c r="AC583" t="n">
        <v>205</v>
      </c>
      <c r="AD583" t="n">
        <v>3</v>
      </c>
      <c r="AE583" t="n">
        <v>3</v>
      </c>
      <c r="AF583" t="n">
        <v>8</v>
      </c>
      <c r="AG583" t="n">
        <v>8</v>
      </c>
      <c r="AH583" t="n">
        <v>2</v>
      </c>
      <c r="AI583" t="n">
        <v>2</v>
      </c>
      <c r="AJ583" t="n">
        <v>2</v>
      </c>
      <c r="AK583" t="n">
        <v>2</v>
      </c>
      <c r="AL583" t="n">
        <v>5</v>
      </c>
      <c r="AM583" t="n">
        <v>5</v>
      </c>
      <c r="AN583" t="n">
        <v>2</v>
      </c>
      <c r="AO583" t="n">
        <v>2</v>
      </c>
      <c r="AP583" t="n">
        <v>0</v>
      </c>
      <c r="AQ583" t="n">
        <v>0</v>
      </c>
      <c r="AR583" t="inlineStr">
        <is>
          <t>No</t>
        </is>
      </c>
      <c r="AS583" t="inlineStr">
        <is>
          <t>No</t>
        </is>
      </c>
      <c r="AU583">
        <f>HYPERLINK("https://creighton-primo.hosted.exlibrisgroup.com/primo-explore/search?tab=default_tab&amp;search_scope=EVERYTHING&amp;vid=01CRU&amp;lang=en_US&amp;offset=0&amp;query=any,contains,991005042539702656","Catalog Record")</f>
        <v/>
      </c>
      <c r="AV583">
        <f>HYPERLINK("http://www.worldcat.org/oclc/6809186","WorldCat Record")</f>
        <v/>
      </c>
      <c r="AW583" t="inlineStr">
        <is>
          <t>23800475:eng</t>
        </is>
      </c>
      <c r="AX583" t="inlineStr">
        <is>
          <t>6809186</t>
        </is>
      </c>
      <c r="AY583" t="inlineStr">
        <is>
          <t>991005042539702656</t>
        </is>
      </c>
      <c r="AZ583" t="inlineStr">
        <is>
          <t>991005042539702656</t>
        </is>
      </c>
      <c r="BA583" t="inlineStr">
        <is>
          <t>2263169400002656</t>
        </is>
      </c>
      <c r="BB583" t="inlineStr">
        <is>
          <t>BOOK</t>
        </is>
      </c>
      <c r="BD583" t="inlineStr">
        <is>
          <t>9780859675369</t>
        </is>
      </c>
      <c r="BE583" t="inlineStr">
        <is>
          <t>32285000778521</t>
        </is>
      </c>
      <c r="BF583" t="inlineStr">
        <is>
          <t>893600527</t>
        </is>
      </c>
    </row>
    <row r="584">
      <c r="A584" t="inlineStr">
        <is>
          <t>No</t>
        </is>
      </c>
      <c r="B584" t="inlineStr">
        <is>
          <t>CURAL</t>
        </is>
      </c>
      <c r="C584" t="inlineStr">
        <is>
          <t>SHELVES</t>
        </is>
      </c>
      <c r="D584" t="inlineStr">
        <is>
          <t>PR2819 .T48 1988</t>
        </is>
      </c>
      <c r="E584" t="inlineStr">
        <is>
          <t>0                      PR 2819000T  48          1988</t>
        </is>
      </c>
      <c r="F584" t="inlineStr">
        <is>
          <t>King Lear / Ann Thompson.</t>
        </is>
      </c>
      <c r="H584" t="inlineStr">
        <is>
          <t>No</t>
        </is>
      </c>
      <c r="I584" t="inlineStr">
        <is>
          <t>1</t>
        </is>
      </c>
      <c r="J584" t="inlineStr">
        <is>
          <t>No</t>
        </is>
      </c>
      <c r="K584" t="inlineStr">
        <is>
          <t>No</t>
        </is>
      </c>
      <c r="L584" t="inlineStr">
        <is>
          <t>0</t>
        </is>
      </c>
      <c r="M584" t="inlineStr">
        <is>
          <t>Thompson, Ann, 1947-</t>
        </is>
      </c>
      <c r="N584" t="inlineStr">
        <is>
          <t>Atlantic Highlands, NJ : Humanities Press International, 1988.</t>
        </is>
      </c>
      <c r="O584" t="inlineStr">
        <is>
          <t>1988</t>
        </is>
      </c>
      <c r="Q584" t="inlineStr">
        <is>
          <t>eng</t>
        </is>
      </c>
      <c r="R584" t="inlineStr">
        <is>
          <t>nju</t>
        </is>
      </c>
      <c r="S584" t="inlineStr">
        <is>
          <t>The Critics debate</t>
        </is>
      </c>
      <c r="T584" t="inlineStr">
        <is>
          <t xml:space="preserve">PR </t>
        </is>
      </c>
      <c r="U584" t="n">
        <v>4</v>
      </c>
      <c r="V584" t="n">
        <v>4</v>
      </c>
      <c r="W584" t="inlineStr">
        <is>
          <t>2009-06-18</t>
        </is>
      </c>
      <c r="X584" t="inlineStr">
        <is>
          <t>2009-06-18</t>
        </is>
      </c>
      <c r="Y584" t="inlineStr">
        <is>
          <t>1990-03-16</t>
        </is>
      </c>
      <c r="Z584" t="inlineStr">
        <is>
          <t>1990-03-16</t>
        </is>
      </c>
      <c r="AA584" t="n">
        <v>231</v>
      </c>
      <c r="AB584" t="n">
        <v>205</v>
      </c>
      <c r="AC584" t="n">
        <v>255</v>
      </c>
      <c r="AD584" t="n">
        <v>2</v>
      </c>
      <c r="AE584" t="n">
        <v>3</v>
      </c>
      <c r="AF584" t="n">
        <v>8</v>
      </c>
      <c r="AG584" t="n">
        <v>13</v>
      </c>
      <c r="AH584" t="n">
        <v>4</v>
      </c>
      <c r="AI584" t="n">
        <v>5</v>
      </c>
      <c r="AJ584" t="n">
        <v>0</v>
      </c>
      <c r="AK584" t="n">
        <v>1</v>
      </c>
      <c r="AL584" t="n">
        <v>5</v>
      </c>
      <c r="AM584" t="n">
        <v>9</v>
      </c>
      <c r="AN584" t="n">
        <v>1</v>
      </c>
      <c r="AO584" t="n">
        <v>2</v>
      </c>
      <c r="AP584" t="n">
        <v>0</v>
      </c>
      <c r="AQ584" t="n">
        <v>0</v>
      </c>
      <c r="AR584" t="inlineStr">
        <is>
          <t>No</t>
        </is>
      </c>
      <c r="AS584" t="inlineStr">
        <is>
          <t>No</t>
        </is>
      </c>
      <c r="AU584">
        <f>HYPERLINK("https://creighton-primo.hosted.exlibrisgroup.com/primo-explore/search?tab=default_tab&amp;search_scope=EVERYTHING&amp;vid=01CRU&amp;lang=en_US&amp;offset=0&amp;query=any,contains,991001060769702656","Catalog Record")</f>
        <v/>
      </c>
      <c r="AV584">
        <f>HYPERLINK("http://www.worldcat.org/oclc/15789722","WorldCat Record")</f>
        <v/>
      </c>
      <c r="AW584" t="inlineStr">
        <is>
          <t>4535546172:eng</t>
        </is>
      </c>
      <c r="AX584" t="inlineStr">
        <is>
          <t>15789722</t>
        </is>
      </c>
      <c r="AY584" t="inlineStr">
        <is>
          <t>991001060769702656</t>
        </is>
      </c>
      <c r="AZ584" t="inlineStr">
        <is>
          <t>991001060769702656</t>
        </is>
      </c>
      <c r="BA584" t="inlineStr">
        <is>
          <t>2260324550002656</t>
        </is>
      </c>
      <c r="BB584" t="inlineStr">
        <is>
          <t>BOOK</t>
        </is>
      </c>
      <c r="BD584" t="inlineStr">
        <is>
          <t>9780391033672</t>
        </is>
      </c>
      <c r="BE584" t="inlineStr">
        <is>
          <t>32285000064161</t>
        </is>
      </c>
      <c r="BF584" t="inlineStr">
        <is>
          <t>893778524</t>
        </is>
      </c>
    </row>
    <row r="585">
      <c r="A585" t="inlineStr">
        <is>
          <t>No</t>
        </is>
      </c>
      <c r="B585" t="inlineStr">
        <is>
          <t>CURAL</t>
        </is>
      </c>
      <c r="C585" t="inlineStr">
        <is>
          <t>SHELVES</t>
        </is>
      </c>
      <c r="D585" t="inlineStr">
        <is>
          <t>PR2819 .T9</t>
        </is>
      </c>
      <c r="E585" t="inlineStr">
        <is>
          <t>0                      PR 2819000T  9</t>
        </is>
      </c>
      <c r="F585" t="inlineStr">
        <is>
          <t>Twentieth century interpretations of King Lear : a collection of critical essays / edited by Janet Adelman.</t>
        </is>
      </c>
      <c r="H585" t="inlineStr">
        <is>
          <t>No</t>
        </is>
      </c>
      <c r="I585" t="inlineStr">
        <is>
          <t>1</t>
        </is>
      </c>
      <c r="J585" t="inlineStr">
        <is>
          <t>No</t>
        </is>
      </c>
      <c r="K585" t="inlineStr">
        <is>
          <t>No</t>
        </is>
      </c>
      <c r="L585" t="inlineStr">
        <is>
          <t>0</t>
        </is>
      </c>
      <c r="N585" t="inlineStr">
        <is>
          <t>Englewood Cliffs, N.J. : Prentice-Hall, c1978.</t>
        </is>
      </c>
      <c r="O585" t="inlineStr">
        <is>
          <t>1978</t>
        </is>
      </c>
      <c r="Q585" t="inlineStr">
        <is>
          <t>eng</t>
        </is>
      </c>
      <c r="R585" t="inlineStr">
        <is>
          <t>nju</t>
        </is>
      </c>
      <c r="S585" t="inlineStr">
        <is>
          <t>A Spectrum book</t>
        </is>
      </c>
      <c r="T585" t="inlineStr">
        <is>
          <t xml:space="preserve">PR </t>
        </is>
      </c>
      <c r="U585" t="n">
        <v>7</v>
      </c>
      <c r="V585" t="n">
        <v>7</v>
      </c>
      <c r="W585" t="inlineStr">
        <is>
          <t>2009-06-18</t>
        </is>
      </c>
      <c r="X585" t="inlineStr">
        <is>
          <t>2009-06-18</t>
        </is>
      </c>
      <c r="Y585" t="inlineStr">
        <is>
          <t>1990-10-04</t>
        </is>
      </c>
      <c r="Z585" t="inlineStr">
        <is>
          <t>1990-10-04</t>
        </is>
      </c>
      <c r="AA585" t="n">
        <v>1473</v>
      </c>
      <c r="AB585" t="n">
        <v>1308</v>
      </c>
      <c r="AC585" t="n">
        <v>1314</v>
      </c>
      <c r="AD585" t="n">
        <v>15</v>
      </c>
      <c r="AE585" t="n">
        <v>15</v>
      </c>
      <c r="AF585" t="n">
        <v>50</v>
      </c>
      <c r="AG585" t="n">
        <v>50</v>
      </c>
      <c r="AH585" t="n">
        <v>18</v>
      </c>
      <c r="AI585" t="n">
        <v>18</v>
      </c>
      <c r="AJ585" t="n">
        <v>9</v>
      </c>
      <c r="AK585" t="n">
        <v>9</v>
      </c>
      <c r="AL585" t="n">
        <v>20</v>
      </c>
      <c r="AM585" t="n">
        <v>20</v>
      </c>
      <c r="AN585" t="n">
        <v>12</v>
      </c>
      <c r="AO585" t="n">
        <v>12</v>
      </c>
      <c r="AP585" t="n">
        <v>0</v>
      </c>
      <c r="AQ585" t="n">
        <v>0</v>
      </c>
      <c r="AR585" t="inlineStr">
        <is>
          <t>No</t>
        </is>
      </c>
      <c r="AS585" t="inlineStr">
        <is>
          <t>Yes</t>
        </is>
      </c>
      <c r="AT585">
        <f>HYPERLINK("http://catalog.hathitrust.org/Record/000701837","HathiTrust Record")</f>
        <v/>
      </c>
      <c r="AU585">
        <f>HYPERLINK("https://creighton-primo.hosted.exlibrisgroup.com/primo-explore/search?tab=default_tab&amp;search_scope=EVERYTHING&amp;vid=01CRU&amp;lang=en_US&amp;offset=0&amp;query=any,contains,991004393529702656","Catalog Record")</f>
        <v/>
      </c>
      <c r="AV585">
        <f>HYPERLINK("http://www.worldcat.org/oclc/3273892","WorldCat Record")</f>
        <v/>
      </c>
      <c r="AW585" t="inlineStr">
        <is>
          <t>803186767:eng</t>
        </is>
      </c>
      <c r="AX585" t="inlineStr">
        <is>
          <t>3273892</t>
        </is>
      </c>
      <c r="AY585" t="inlineStr">
        <is>
          <t>991004393529702656</t>
        </is>
      </c>
      <c r="AZ585" t="inlineStr">
        <is>
          <t>991004393529702656</t>
        </is>
      </c>
      <c r="BA585" t="inlineStr">
        <is>
          <t>2263088720002656</t>
        </is>
      </c>
      <c r="BB585" t="inlineStr">
        <is>
          <t>BOOK</t>
        </is>
      </c>
      <c r="BD585" t="inlineStr">
        <is>
          <t>9780135161951</t>
        </is>
      </c>
      <c r="BE585" t="inlineStr">
        <is>
          <t>32285000332113</t>
        </is>
      </c>
      <c r="BF585" t="inlineStr">
        <is>
          <t>893259673</t>
        </is>
      </c>
    </row>
    <row r="586">
      <c r="A586" t="inlineStr">
        <is>
          <t>No</t>
        </is>
      </c>
      <c r="B586" t="inlineStr">
        <is>
          <t>CURAL</t>
        </is>
      </c>
      <c r="C586" t="inlineStr">
        <is>
          <t>SHELVES</t>
        </is>
      </c>
      <c r="D586" t="inlineStr">
        <is>
          <t>PR2819 .Z28 1984</t>
        </is>
      </c>
      <c r="E586" t="inlineStr">
        <is>
          <t>0                      PR 2819000Z  28          1984</t>
        </is>
      </c>
      <c r="F586" t="inlineStr">
        <is>
          <t>Sovereign shame : a study of King Lear / William F. Zak.</t>
        </is>
      </c>
      <c r="H586" t="inlineStr">
        <is>
          <t>No</t>
        </is>
      </c>
      <c r="I586" t="inlineStr">
        <is>
          <t>1</t>
        </is>
      </c>
      <c r="J586" t="inlineStr">
        <is>
          <t>No</t>
        </is>
      </c>
      <c r="K586" t="inlineStr">
        <is>
          <t>No</t>
        </is>
      </c>
      <c r="L586" t="inlineStr">
        <is>
          <t>0</t>
        </is>
      </c>
      <c r="M586" t="inlineStr">
        <is>
          <t>Zak, William F., 1945-</t>
        </is>
      </c>
      <c r="N586" t="inlineStr">
        <is>
          <t>Lewisburg [Pa.] : Bucknell University Press ; Cranberry, NJ : Associated University Presses, c1984.</t>
        </is>
      </c>
      <c r="O586" t="inlineStr">
        <is>
          <t>1984</t>
        </is>
      </c>
      <c r="Q586" t="inlineStr">
        <is>
          <t>eng</t>
        </is>
      </c>
      <c r="R586" t="inlineStr">
        <is>
          <t>pau</t>
        </is>
      </c>
      <c r="T586" t="inlineStr">
        <is>
          <t xml:space="preserve">PR </t>
        </is>
      </c>
      <c r="U586" t="n">
        <v>1</v>
      </c>
      <c r="V586" t="n">
        <v>1</v>
      </c>
      <c r="W586" t="inlineStr">
        <is>
          <t>2006-11-17</t>
        </is>
      </c>
      <c r="X586" t="inlineStr">
        <is>
          <t>2006-11-17</t>
        </is>
      </c>
      <c r="Y586" t="inlineStr">
        <is>
          <t>1991-10-23</t>
        </is>
      </c>
      <c r="Z586" t="inlineStr">
        <is>
          <t>1991-10-23</t>
        </is>
      </c>
      <c r="AA586" t="n">
        <v>390</v>
      </c>
      <c r="AB586" t="n">
        <v>323</v>
      </c>
      <c r="AC586" t="n">
        <v>325</v>
      </c>
      <c r="AD586" t="n">
        <v>3</v>
      </c>
      <c r="AE586" t="n">
        <v>3</v>
      </c>
      <c r="AF586" t="n">
        <v>18</v>
      </c>
      <c r="AG586" t="n">
        <v>18</v>
      </c>
      <c r="AH586" t="n">
        <v>7</v>
      </c>
      <c r="AI586" t="n">
        <v>7</v>
      </c>
      <c r="AJ586" t="n">
        <v>4</v>
      </c>
      <c r="AK586" t="n">
        <v>4</v>
      </c>
      <c r="AL586" t="n">
        <v>12</v>
      </c>
      <c r="AM586" t="n">
        <v>12</v>
      </c>
      <c r="AN586" t="n">
        <v>2</v>
      </c>
      <c r="AO586" t="n">
        <v>2</v>
      </c>
      <c r="AP586" t="n">
        <v>0</v>
      </c>
      <c r="AQ586" t="n">
        <v>0</v>
      </c>
      <c r="AR586" t="inlineStr">
        <is>
          <t>No</t>
        </is>
      </c>
      <c r="AS586" t="inlineStr">
        <is>
          <t>Yes</t>
        </is>
      </c>
      <c r="AT586">
        <f>HYPERLINK("http://catalog.hathitrust.org/Record/000780308","HathiTrust Record")</f>
        <v/>
      </c>
      <c r="AU586">
        <f>HYPERLINK("https://creighton-primo.hosted.exlibrisgroup.com/primo-explore/search?tab=default_tab&amp;search_scope=EVERYTHING&amp;vid=01CRU&amp;lang=en_US&amp;offset=0&amp;query=any,contains,991000291319702656","Catalog Record")</f>
        <v/>
      </c>
      <c r="AV586">
        <f>HYPERLINK("http://www.worldcat.org/oclc/9969791","WorldCat Record")</f>
        <v/>
      </c>
      <c r="AW586" t="inlineStr">
        <is>
          <t>367702024:eng</t>
        </is>
      </c>
      <c r="AX586" t="inlineStr">
        <is>
          <t>9969791</t>
        </is>
      </c>
      <c r="AY586" t="inlineStr">
        <is>
          <t>991000291319702656</t>
        </is>
      </c>
      <c r="AZ586" t="inlineStr">
        <is>
          <t>991000291319702656</t>
        </is>
      </c>
      <c r="BA586" t="inlineStr">
        <is>
          <t>2265704080002656</t>
        </is>
      </c>
      <c r="BB586" t="inlineStr">
        <is>
          <t>BOOK</t>
        </is>
      </c>
      <c r="BD586" t="inlineStr">
        <is>
          <t>9780838750568</t>
        </is>
      </c>
      <c r="BE586" t="inlineStr">
        <is>
          <t>32285000778554</t>
        </is>
      </c>
      <c r="BF586" t="inlineStr">
        <is>
          <t>893871553</t>
        </is>
      </c>
    </row>
    <row r="587">
      <c r="A587" t="inlineStr">
        <is>
          <t>No</t>
        </is>
      </c>
      <c r="B587" t="inlineStr">
        <is>
          <t>CURAL</t>
        </is>
      </c>
      <c r="C587" t="inlineStr">
        <is>
          <t>SHELVES</t>
        </is>
      </c>
      <c r="D587" t="inlineStr">
        <is>
          <t>PR2819.A2 H8 1911</t>
        </is>
      </c>
      <c r="E587" t="inlineStr">
        <is>
          <t>0                      PR 2819000A  2                  H  8           1911</t>
        </is>
      </c>
      <c r="F587" t="inlineStr">
        <is>
          <t>...The tragedy of King Lear, introduction and notes by Henry Norman Hudson,LL. D., ed. and rev. by Ebenezer Charlton Black...</t>
        </is>
      </c>
      <c r="H587" t="inlineStr">
        <is>
          <t>No</t>
        </is>
      </c>
      <c r="I587" t="inlineStr">
        <is>
          <t>1</t>
        </is>
      </c>
      <c r="J587" t="inlineStr">
        <is>
          <t>No</t>
        </is>
      </c>
      <c r="K587" t="inlineStr">
        <is>
          <t>Yes</t>
        </is>
      </c>
      <c r="L587" t="inlineStr">
        <is>
          <t>0</t>
        </is>
      </c>
      <c r="M587" t="inlineStr">
        <is>
          <t>Shakespeare, William, 1564-1616.</t>
        </is>
      </c>
      <c r="N587" t="inlineStr">
        <is>
          <t>[Boston] Ginn and company [c1911]</t>
        </is>
      </c>
      <c r="O587" t="inlineStr">
        <is>
          <t>1911</t>
        </is>
      </c>
      <c r="P587" t="inlineStr">
        <is>
          <t>School ed.</t>
        </is>
      </c>
      <c r="Q587" t="inlineStr">
        <is>
          <t>eng</t>
        </is>
      </c>
      <c r="R587" t="inlineStr">
        <is>
          <t xml:space="preserve">xx </t>
        </is>
      </c>
      <c r="T587" t="inlineStr">
        <is>
          <t xml:space="preserve">PR </t>
        </is>
      </c>
      <c r="U587" t="n">
        <v>2</v>
      </c>
      <c r="V587" t="n">
        <v>2</v>
      </c>
      <c r="W587" t="inlineStr">
        <is>
          <t>2006-04-12</t>
        </is>
      </c>
      <c r="X587" t="inlineStr">
        <is>
          <t>2006-04-12</t>
        </is>
      </c>
      <c r="Y587" t="inlineStr">
        <is>
          <t>1997-07-31</t>
        </is>
      </c>
      <c r="Z587" t="inlineStr">
        <is>
          <t>1997-07-31</t>
        </is>
      </c>
      <c r="AA587" t="n">
        <v>200</v>
      </c>
      <c r="AB587" t="n">
        <v>192</v>
      </c>
      <c r="AC587" t="n">
        <v>3862</v>
      </c>
      <c r="AD587" t="n">
        <v>3</v>
      </c>
      <c r="AE587" t="n">
        <v>34</v>
      </c>
      <c r="AF587" t="n">
        <v>9</v>
      </c>
      <c r="AG587" t="n">
        <v>70</v>
      </c>
      <c r="AH587" t="n">
        <v>5</v>
      </c>
      <c r="AI587" t="n">
        <v>27</v>
      </c>
      <c r="AJ587" t="n">
        <v>1</v>
      </c>
      <c r="AK587" t="n">
        <v>11</v>
      </c>
      <c r="AL587" t="n">
        <v>5</v>
      </c>
      <c r="AM587" t="n">
        <v>25</v>
      </c>
      <c r="AN587" t="n">
        <v>1</v>
      </c>
      <c r="AO587" t="n">
        <v>18</v>
      </c>
      <c r="AP587" t="n">
        <v>0</v>
      </c>
      <c r="AQ587" t="n">
        <v>1</v>
      </c>
      <c r="AR587" t="inlineStr">
        <is>
          <t>Yes</t>
        </is>
      </c>
      <c r="AS587" t="inlineStr">
        <is>
          <t>No</t>
        </is>
      </c>
      <c r="AT587">
        <f>HYPERLINK("http://catalog.hathitrust.org/Record/001398200","HathiTrust Record")</f>
        <v/>
      </c>
      <c r="AU587">
        <f>HYPERLINK("https://creighton-primo.hosted.exlibrisgroup.com/primo-explore/search?tab=default_tab&amp;search_scope=EVERYTHING&amp;vid=01CRU&amp;lang=en_US&amp;offset=0&amp;query=any,contains,991002274509702656","Catalog Record")</f>
        <v/>
      </c>
      <c r="AV587">
        <f>HYPERLINK("http://www.worldcat.org/oclc/306228","WorldCat Record")</f>
        <v/>
      </c>
      <c r="AW587" t="inlineStr">
        <is>
          <t>4918587559:eng</t>
        </is>
      </c>
      <c r="AX587" t="inlineStr">
        <is>
          <t>306228</t>
        </is>
      </c>
      <c r="AY587" t="inlineStr">
        <is>
          <t>991002274509702656</t>
        </is>
      </c>
      <c r="AZ587" t="inlineStr">
        <is>
          <t>991002274509702656</t>
        </is>
      </c>
      <c r="BA587" t="inlineStr">
        <is>
          <t>2264570820002656</t>
        </is>
      </c>
      <c r="BB587" t="inlineStr">
        <is>
          <t>BOOK</t>
        </is>
      </c>
      <c r="BE587" t="inlineStr">
        <is>
          <t>32285002996709</t>
        </is>
      </c>
      <c r="BF587" t="inlineStr">
        <is>
          <t>893534938</t>
        </is>
      </c>
    </row>
    <row r="588">
      <c r="A588" t="inlineStr">
        <is>
          <t>No</t>
        </is>
      </c>
      <c r="B588" t="inlineStr">
        <is>
          <t>CURAL</t>
        </is>
      </c>
      <c r="C588" t="inlineStr">
        <is>
          <t>SHELVES</t>
        </is>
      </c>
      <c r="D588" t="inlineStr">
        <is>
          <t>PR2820 .C8</t>
        </is>
      </c>
      <c r="E588" t="inlineStr">
        <is>
          <t>0                      PR 2820000C  8</t>
        </is>
      </c>
      <c r="F588" t="inlineStr">
        <is>
          <t>Twentieth century interpretations of Richard II : a collection of critical essays / edited by Paul M. Cubeta.</t>
        </is>
      </c>
      <c r="H588" t="inlineStr">
        <is>
          <t>No</t>
        </is>
      </c>
      <c r="I588" t="inlineStr">
        <is>
          <t>1</t>
        </is>
      </c>
      <c r="J588" t="inlineStr">
        <is>
          <t>No</t>
        </is>
      </c>
      <c r="K588" t="inlineStr">
        <is>
          <t>No</t>
        </is>
      </c>
      <c r="L588" t="inlineStr">
        <is>
          <t>0</t>
        </is>
      </c>
      <c r="M588" t="inlineStr">
        <is>
          <t>Cubeta, Paul M. compiler.</t>
        </is>
      </c>
      <c r="N588" t="inlineStr">
        <is>
          <t>Englewood Cliffs, N.J. : Prentice-Hall, [1971]</t>
        </is>
      </c>
      <c r="O588" t="inlineStr">
        <is>
          <t>1971</t>
        </is>
      </c>
      <c r="Q588" t="inlineStr">
        <is>
          <t>eng</t>
        </is>
      </c>
      <c r="R588" t="inlineStr">
        <is>
          <t>nju</t>
        </is>
      </c>
      <c r="S588" t="inlineStr">
        <is>
          <t>A Spectrum book</t>
        </is>
      </c>
      <c r="T588" t="inlineStr">
        <is>
          <t xml:space="preserve">PR </t>
        </is>
      </c>
      <c r="U588" t="n">
        <v>2</v>
      </c>
      <c r="V588" t="n">
        <v>2</v>
      </c>
      <c r="W588" t="inlineStr">
        <is>
          <t>1994-10-30</t>
        </is>
      </c>
      <c r="X588" t="inlineStr">
        <is>
          <t>1994-10-30</t>
        </is>
      </c>
      <c r="Y588" t="inlineStr">
        <is>
          <t>1990-10-04</t>
        </is>
      </c>
      <c r="Z588" t="inlineStr">
        <is>
          <t>1990-10-04</t>
        </is>
      </c>
      <c r="AA588" t="n">
        <v>1489</v>
      </c>
      <c r="AB588" t="n">
        <v>1333</v>
      </c>
      <c r="AC588" t="n">
        <v>1338</v>
      </c>
      <c r="AD588" t="n">
        <v>15</v>
      </c>
      <c r="AE588" t="n">
        <v>15</v>
      </c>
      <c r="AF588" t="n">
        <v>48</v>
      </c>
      <c r="AG588" t="n">
        <v>48</v>
      </c>
      <c r="AH588" t="n">
        <v>16</v>
      </c>
      <c r="AI588" t="n">
        <v>16</v>
      </c>
      <c r="AJ588" t="n">
        <v>8</v>
      </c>
      <c r="AK588" t="n">
        <v>8</v>
      </c>
      <c r="AL588" t="n">
        <v>19</v>
      </c>
      <c r="AM588" t="n">
        <v>19</v>
      </c>
      <c r="AN588" t="n">
        <v>13</v>
      </c>
      <c r="AO588" t="n">
        <v>13</v>
      </c>
      <c r="AP588" t="n">
        <v>0</v>
      </c>
      <c r="AQ588" t="n">
        <v>0</v>
      </c>
      <c r="AR588" t="inlineStr">
        <is>
          <t>No</t>
        </is>
      </c>
      <c r="AS588" t="inlineStr">
        <is>
          <t>Yes</t>
        </is>
      </c>
      <c r="AT588">
        <f>HYPERLINK("http://catalog.hathitrust.org/Record/001017871","HathiTrust Record")</f>
        <v/>
      </c>
      <c r="AU588">
        <f>HYPERLINK("https://creighton-primo.hosted.exlibrisgroup.com/primo-explore/search?tab=default_tab&amp;search_scope=EVERYTHING&amp;vid=01CRU&amp;lang=en_US&amp;offset=0&amp;query=any,contains,991001287049702656","Catalog Record")</f>
        <v/>
      </c>
      <c r="AV588">
        <f>HYPERLINK("http://www.worldcat.org/oclc/216652","WorldCat Record")</f>
        <v/>
      </c>
      <c r="AW588" t="inlineStr">
        <is>
          <t>906434519:eng</t>
        </is>
      </c>
      <c r="AX588" t="inlineStr">
        <is>
          <t>216652</t>
        </is>
      </c>
      <c r="AY588" t="inlineStr">
        <is>
          <t>991001287049702656</t>
        </is>
      </c>
      <c r="AZ588" t="inlineStr">
        <is>
          <t>991001287049702656</t>
        </is>
      </c>
      <c r="BA588" t="inlineStr">
        <is>
          <t>2257038810002656</t>
        </is>
      </c>
      <c r="BB588" t="inlineStr">
        <is>
          <t>BOOK</t>
        </is>
      </c>
      <c r="BD588" t="inlineStr">
        <is>
          <t>9780137808748</t>
        </is>
      </c>
      <c r="BE588" t="inlineStr">
        <is>
          <t>32285000332121</t>
        </is>
      </c>
      <c r="BF588" t="inlineStr">
        <is>
          <t>893608742</t>
        </is>
      </c>
    </row>
    <row r="589">
      <c r="A589" t="inlineStr">
        <is>
          <t>No</t>
        </is>
      </c>
      <c r="B589" t="inlineStr">
        <is>
          <t>CURAL</t>
        </is>
      </c>
      <c r="C589" t="inlineStr">
        <is>
          <t>SHELVES</t>
        </is>
      </c>
      <c r="D589" t="inlineStr">
        <is>
          <t>PR2820 .P3 1987</t>
        </is>
      </c>
      <c r="E589" t="inlineStr">
        <is>
          <t>0                      PR 2820000P  3           1987</t>
        </is>
      </c>
      <c r="F589" t="inlineStr">
        <is>
          <t>Richard II / Malcolm Page.</t>
        </is>
      </c>
      <c r="H589" t="inlineStr">
        <is>
          <t>No</t>
        </is>
      </c>
      <c r="I589" t="inlineStr">
        <is>
          <t>1</t>
        </is>
      </c>
      <c r="J589" t="inlineStr">
        <is>
          <t>No</t>
        </is>
      </c>
      <c r="K589" t="inlineStr">
        <is>
          <t>No</t>
        </is>
      </c>
      <c r="L589" t="inlineStr">
        <is>
          <t>0</t>
        </is>
      </c>
      <c r="M589" t="inlineStr">
        <is>
          <t>Page, Malcolm.</t>
        </is>
      </c>
      <c r="N589" t="inlineStr">
        <is>
          <t>Atlantic Highlands, NJ : Humanities Press International, 1987.</t>
        </is>
      </c>
      <c r="O589" t="inlineStr">
        <is>
          <t>1987</t>
        </is>
      </c>
      <c r="Q589" t="inlineStr">
        <is>
          <t>eng</t>
        </is>
      </c>
      <c r="R589" t="inlineStr">
        <is>
          <t>nju</t>
        </is>
      </c>
      <c r="S589" t="inlineStr">
        <is>
          <t>Text and performance</t>
        </is>
      </c>
      <c r="T589" t="inlineStr">
        <is>
          <t xml:space="preserve">PR </t>
        </is>
      </c>
      <c r="U589" t="n">
        <v>6</v>
      </c>
      <c r="V589" t="n">
        <v>6</v>
      </c>
      <c r="W589" t="inlineStr">
        <is>
          <t>2000-02-23</t>
        </is>
      </c>
      <c r="X589" t="inlineStr">
        <is>
          <t>2000-02-23</t>
        </is>
      </c>
      <c r="Y589" t="inlineStr">
        <is>
          <t>1990-01-14</t>
        </is>
      </c>
      <c r="Z589" t="inlineStr">
        <is>
          <t>1990-01-14</t>
        </is>
      </c>
      <c r="AA589" t="n">
        <v>168</v>
      </c>
      <c r="AB589" t="n">
        <v>152</v>
      </c>
      <c r="AC589" t="n">
        <v>220</v>
      </c>
      <c r="AD589" t="n">
        <v>3</v>
      </c>
      <c r="AE589" t="n">
        <v>4</v>
      </c>
      <c r="AF589" t="n">
        <v>7</v>
      </c>
      <c r="AG589" t="n">
        <v>14</v>
      </c>
      <c r="AH589" t="n">
        <v>1</v>
      </c>
      <c r="AI589" t="n">
        <v>3</v>
      </c>
      <c r="AJ589" t="n">
        <v>1</v>
      </c>
      <c r="AK589" t="n">
        <v>3</v>
      </c>
      <c r="AL589" t="n">
        <v>4</v>
      </c>
      <c r="AM589" t="n">
        <v>8</v>
      </c>
      <c r="AN589" t="n">
        <v>2</v>
      </c>
      <c r="AO589" t="n">
        <v>3</v>
      </c>
      <c r="AP589" t="n">
        <v>0</v>
      </c>
      <c r="AQ589" t="n">
        <v>0</v>
      </c>
      <c r="AR589" t="inlineStr">
        <is>
          <t>No</t>
        </is>
      </c>
      <c r="AS589" t="inlineStr">
        <is>
          <t>No</t>
        </is>
      </c>
      <c r="AU589">
        <f>HYPERLINK("https://creighton-primo.hosted.exlibrisgroup.com/primo-explore/search?tab=default_tab&amp;search_scope=EVERYTHING&amp;vid=01CRU&amp;lang=en_US&amp;offset=0&amp;query=any,contains,991000888289702656","Catalog Record")</f>
        <v/>
      </c>
      <c r="AV589">
        <f>HYPERLINK("http://www.worldcat.org/oclc/13902647","WorldCat Record")</f>
        <v/>
      </c>
      <c r="AW589" t="inlineStr">
        <is>
          <t>6848723:eng</t>
        </is>
      </c>
      <c r="AX589" t="inlineStr">
        <is>
          <t>13902647</t>
        </is>
      </c>
      <c r="AY589" t="inlineStr">
        <is>
          <t>991000888289702656</t>
        </is>
      </c>
      <c r="AZ589" t="inlineStr">
        <is>
          <t>991000888289702656</t>
        </is>
      </c>
      <c r="BA589" t="inlineStr">
        <is>
          <t>2268560200002656</t>
        </is>
      </c>
      <c r="BB589" t="inlineStr">
        <is>
          <t>BOOK</t>
        </is>
      </c>
      <c r="BD589" t="inlineStr">
        <is>
          <t>9780391034662</t>
        </is>
      </c>
      <c r="BE589" t="inlineStr">
        <is>
          <t>32285000027085</t>
        </is>
      </c>
      <c r="BF589" t="inlineStr">
        <is>
          <t>893683835</t>
        </is>
      </c>
    </row>
    <row r="590">
      <c r="A590" t="inlineStr">
        <is>
          <t>No</t>
        </is>
      </c>
      <c r="B590" t="inlineStr">
        <is>
          <t>CURAL</t>
        </is>
      </c>
      <c r="C590" t="inlineStr">
        <is>
          <t>SHELVES</t>
        </is>
      </c>
      <c r="D590" t="inlineStr">
        <is>
          <t>PR2820 .R5 1984</t>
        </is>
      </c>
      <c r="E590" t="inlineStr">
        <is>
          <t>0                      PR 2820000R  5           1984</t>
        </is>
      </c>
      <c r="F590" t="inlineStr">
        <is>
          <t>Richard II : critical essays / [edited by] Jeanne F. Newlin.</t>
        </is>
      </c>
      <c r="H590" t="inlineStr">
        <is>
          <t>No</t>
        </is>
      </c>
      <c r="I590" t="inlineStr">
        <is>
          <t>1</t>
        </is>
      </c>
      <c r="J590" t="inlineStr">
        <is>
          <t>No</t>
        </is>
      </c>
      <c r="K590" t="inlineStr">
        <is>
          <t>No</t>
        </is>
      </c>
      <c r="L590" t="inlineStr">
        <is>
          <t>0</t>
        </is>
      </c>
      <c r="N590" t="inlineStr">
        <is>
          <t>New York : Garland Pub., c1984.</t>
        </is>
      </c>
      <c r="O590" t="inlineStr">
        <is>
          <t>1984</t>
        </is>
      </c>
      <c r="Q590" t="inlineStr">
        <is>
          <t>eng</t>
        </is>
      </c>
      <c r="R590" t="inlineStr">
        <is>
          <t>nyu</t>
        </is>
      </c>
      <c r="S590" t="inlineStr">
        <is>
          <t>Shakespearean criticism ; vol. 2</t>
        </is>
      </c>
      <c r="T590" t="inlineStr">
        <is>
          <t xml:space="preserve">PR </t>
        </is>
      </c>
      <c r="U590" t="n">
        <v>5</v>
      </c>
      <c r="V590" t="n">
        <v>5</v>
      </c>
      <c r="W590" t="inlineStr">
        <is>
          <t>1992-11-18</t>
        </is>
      </c>
      <c r="X590" t="inlineStr">
        <is>
          <t>1992-11-18</t>
        </is>
      </c>
      <c r="Y590" t="inlineStr">
        <is>
          <t>1991-10-23</t>
        </is>
      </c>
      <c r="Z590" t="inlineStr">
        <is>
          <t>1991-10-23</t>
        </is>
      </c>
      <c r="AA590" t="n">
        <v>408</v>
      </c>
      <c r="AB590" t="n">
        <v>339</v>
      </c>
      <c r="AC590" t="n">
        <v>384</v>
      </c>
      <c r="AD590" t="n">
        <v>4</v>
      </c>
      <c r="AE590" t="n">
        <v>4</v>
      </c>
      <c r="AF590" t="n">
        <v>20</v>
      </c>
      <c r="AG590" t="n">
        <v>20</v>
      </c>
      <c r="AH590" t="n">
        <v>6</v>
      </c>
      <c r="AI590" t="n">
        <v>6</v>
      </c>
      <c r="AJ590" t="n">
        <v>3</v>
      </c>
      <c r="AK590" t="n">
        <v>3</v>
      </c>
      <c r="AL590" t="n">
        <v>12</v>
      </c>
      <c r="AM590" t="n">
        <v>12</v>
      </c>
      <c r="AN590" t="n">
        <v>3</v>
      </c>
      <c r="AO590" t="n">
        <v>3</v>
      </c>
      <c r="AP590" t="n">
        <v>0</v>
      </c>
      <c r="AQ590" t="n">
        <v>0</v>
      </c>
      <c r="AR590" t="inlineStr">
        <is>
          <t>No</t>
        </is>
      </c>
      <c r="AS590" t="inlineStr">
        <is>
          <t>Yes</t>
        </is>
      </c>
      <c r="AT590">
        <f>HYPERLINK("http://catalog.hathitrust.org/Record/000573491","HathiTrust Record")</f>
        <v/>
      </c>
      <c r="AU590">
        <f>HYPERLINK("https://creighton-primo.hosted.exlibrisgroup.com/primo-explore/search?tab=default_tab&amp;search_scope=EVERYTHING&amp;vid=01CRU&amp;lang=en_US&amp;offset=0&amp;query=any,contains,991000195629702656","Catalog Record")</f>
        <v/>
      </c>
      <c r="AV590">
        <f>HYPERLINK("http://www.worldcat.org/oclc/9441138","WorldCat Record")</f>
        <v/>
      </c>
      <c r="AW590" t="inlineStr">
        <is>
          <t>836721842:eng</t>
        </is>
      </c>
      <c r="AX590" t="inlineStr">
        <is>
          <t>9441138</t>
        </is>
      </c>
      <c r="AY590" t="inlineStr">
        <is>
          <t>991000195629702656</t>
        </is>
      </c>
      <c r="AZ590" t="inlineStr">
        <is>
          <t>991000195629702656</t>
        </is>
      </c>
      <c r="BA590" t="inlineStr">
        <is>
          <t>2264905300002656</t>
        </is>
      </c>
      <c r="BB590" t="inlineStr">
        <is>
          <t>BOOK</t>
        </is>
      </c>
      <c r="BD590" t="inlineStr">
        <is>
          <t>9780824092382</t>
        </is>
      </c>
      <c r="BE590" t="inlineStr">
        <is>
          <t>32285000778562</t>
        </is>
      </c>
      <c r="BF590" t="inlineStr">
        <is>
          <t>893802586</t>
        </is>
      </c>
    </row>
    <row r="591">
      <c r="A591" t="inlineStr">
        <is>
          <t>No</t>
        </is>
      </c>
      <c r="B591" t="inlineStr">
        <is>
          <t>CURAL</t>
        </is>
      </c>
      <c r="C591" t="inlineStr">
        <is>
          <t>SHELVES</t>
        </is>
      </c>
      <c r="D591" t="inlineStr">
        <is>
          <t>PR2821 .C65 1992</t>
        </is>
      </c>
      <c r="E591" t="inlineStr">
        <is>
          <t>0                      PR 2821000C  65          1992</t>
        </is>
      </c>
      <c r="F591" t="inlineStr">
        <is>
          <t>Richard's himself again : a stage history of Richard III / Scott Colley.</t>
        </is>
      </c>
      <c r="H591" t="inlineStr">
        <is>
          <t>No</t>
        </is>
      </c>
      <c r="I591" t="inlineStr">
        <is>
          <t>1</t>
        </is>
      </c>
      <c r="J591" t="inlineStr">
        <is>
          <t>No</t>
        </is>
      </c>
      <c r="K591" t="inlineStr">
        <is>
          <t>No</t>
        </is>
      </c>
      <c r="L591" t="inlineStr">
        <is>
          <t>0</t>
        </is>
      </c>
      <c r="M591" t="inlineStr">
        <is>
          <t>Colley, John Scott.</t>
        </is>
      </c>
      <c r="N591" t="inlineStr">
        <is>
          <t>New York : Greenwood Press, 1992.</t>
        </is>
      </c>
      <c r="O591" t="inlineStr">
        <is>
          <t>1992</t>
        </is>
      </c>
      <c r="Q591" t="inlineStr">
        <is>
          <t>eng</t>
        </is>
      </c>
      <c r="R591" t="inlineStr">
        <is>
          <t>nyu</t>
        </is>
      </c>
      <c r="S591" t="inlineStr">
        <is>
          <t>Contributions in drama and theatre studies, 0163-3821 ; no. 46</t>
        </is>
      </c>
      <c r="T591" t="inlineStr">
        <is>
          <t xml:space="preserve">PR </t>
        </is>
      </c>
      <c r="U591" t="n">
        <v>4</v>
      </c>
      <c r="V591" t="n">
        <v>4</v>
      </c>
      <c r="W591" t="inlineStr">
        <is>
          <t>2005-12-02</t>
        </is>
      </c>
      <c r="X591" t="inlineStr">
        <is>
          <t>2005-12-02</t>
        </is>
      </c>
      <c r="Y591" t="inlineStr">
        <is>
          <t>1992-11-19</t>
        </is>
      </c>
      <c r="Z591" t="inlineStr">
        <is>
          <t>1992-11-19</t>
        </is>
      </c>
      <c r="AA591" t="n">
        <v>385</v>
      </c>
      <c r="AB591" t="n">
        <v>318</v>
      </c>
      <c r="AC591" t="n">
        <v>320</v>
      </c>
      <c r="AD591" t="n">
        <v>4</v>
      </c>
      <c r="AE591" t="n">
        <v>4</v>
      </c>
      <c r="AF591" t="n">
        <v>20</v>
      </c>
      <c r="AG591" t="n">
        <v>20</v>
      </c>
      <c r="AH591" t="n">
        <v>8</v>
      </c>
      <c r="AI591" t="n">
        <v>8</v>
      </c>
      <c r="AJ591" t="n">
        <v>6</v>
      </c>
      <c r="AK591" t="n">
        <v>6</v>
      </c>
      <c r="AL591" t="n">
        <v>8</v>
      </c>
      <c r="AM591" t="n">
        <v>8</v>
      </c>
      <c r="AN591" t="n">
        <v>3</v>
      </c>
      <c r="AO591" t="n">
        <v>3</v>
      </c>
      <c r="AP591" t="n">
        <v>0</v>
      </c>
      <c r="AQ591" t="n">
        <v>0</v>
      </c>
      <c r="AR591" t="inlineStr">
        <is>
          <t>No</t>
        </is>
      </c>
      <c r="AS591" t="inlineStr">
        <is>
          <t>Yes</t>
        </is>
      </c>
      <c r="AT591">
        <f>HYPERLINK("http://catalog.hathitrust.org/Record/002582664","HathiTrust Record")</f>
        <v/>
      </c>
      <c r="AU591">
        <f>HYPERLINK("https://creighton-primo.hosted.exlibrisgroup.com/primo-explore/search?tab=default_tab&amp;search_scope=EVERYTHING&amp;vid=01CRU&amp;lang=en_US&amp;offset=0&amp;query=any,contains,991001943709702656","Catalog Record")</f>
        <v/>
      </c>
      <c r="AV591">
        <f>HYPERLINK("http://www.worldcat.org/oclc/24546394","WorldCat Record")</f>
        <v/>
      </c>
      <c r="AW591" t="inlineStr">
        <is>
          <t>2616826:eng</t>
        </is>
      </c>
      <c r="AX591" t="inlineStr">
        <is>
          <t>24546394</t>
        </is>
      </c>
      <c r="AY591" t="inlineStr">
        <is>
          <t>991001943709702656</t>
        </is>
      </c>
      <c r="AZ591" t="inlineStr">
        <is>
          <t>991001943709702656</t>
        </is>
      </c>
      <c r="BA591" t="inlineStr">
        <is>
          <t>2266330840002656</t>
        </is>
      </c>
      <c r="BB591" t="inlineStr">
        <is>
          <t>BOOK</t>
        </is>
      </c>
      <c r="BD591" t="inlineStr">
        <is>
          <t>9780313262937</t>
        </is>
      </c>
      <c r="BE591" t="inlineStr">
        <is>
          <t>32285001363752</t>
        </is>
      </c>
      <c r="BF591" t="inlineStr">
        <is>
          <t>893322382</t>
        </is>
      </c>
    </row>
    <row r="592">
      <c r="A592" t="inlineStr">
        <is>
          <t>No</t>
        </is>
      </c>
      <c r="B592" t="inlineStr">
        <is>
          <t>CURAL</t>
        </is>
      </c>
      <c r="C592" t="inlineStr">
        <is>
          <t>SHELVES</t>
        </is>
      </c>
      <c r="D592" t="inlineStr">
        <is>
          <t>PR2823 .P3</t>
        </is>
      </c>
      <c r="E592" t="inlineStr">
        <is>
          <t>0                      PR 2823000P  3</t>
        </is>
      </c>
      <c r="F592" t="inlineStr">
        <is>
          <t>The royal play of Macbeth : when, why, and how it was written by Shakespeare.</t>
        </is>
      </c>
      <c r="H592" t="inlineStr">
        <is>
          <t>No</t>
        </is>
      </c>
      <c r="I592" t="inlineStr">
        <is>
          <t>1</t>
        </is>
      </c>
      <c r="J592" t="inlineStr">
        <is>
          <t>No</t>
        </is>
      </c>
      <c r="K592" t="inlineStr">
        <is>
          <t>No</t>
        </is>
      </c>
      <c r="L592" t="inlineStr">
        <is>
          <t>0</t>
        </is>
      </c>
      <c r="M592" t="inlineStr">
        <is>
          <t>Paul, Henry Neill, 1863-1954.</t>
        </is>
      </c>
      <c r="N592" t="inlineStr">
        <is>
          <t>New York : Macmillan, 1950.</t>
        </is>
      </c>
      <c r="O592" t="inlineStr">
        <is>
          <t>1950</t>
        </is>
      </c>
      <c r="Q592" t="inlineStr">
        <is>
          <t>eng</t>
        </is>
      </c>
      <c r="R592" t="inlineStr">
        <is>
          <t>nyu</t>
        </is>
      </c>
      <c r="T592" t="inlineStr">
        <is>
          <t xml:space="preserve">PR </t>
        </is>
      </c>
      <c r="U592" t="n">
        <v>4</v>
      </c>
      <c r="V592" t="n">
        <v>4</v>
      </c>
      <c r="W592" t="inlineStr">
        <is>
          <t>2010-11-28</t>
        </is>
      </c>
      <c r="X592" t="inlineStr">
        <is>
          <t>2010-11-28</t>
        </is>
      </c>
      <c r="Y592" t="inlineStr">
        <is>
          <t>1995-05-04</t>
        </is>
      </c>
      <c r="Z592" t="inlineStr">
        <is>
          <t>1995-05-04</t>
        </is>
      </c>
      <c r="AA592" t="n">
        <v>509</v>
      </c>
      <c r="AB592" t="n">
        <v>456</v>
      </c>
      <c r="AC592" t="n">
        <v>761</v>
      </c>
      <c r="AD592" t="n">
        <v>6</v>
      </c>
      <c r="AE592" t="n">
        <v>9</v>
      </c>
      <c r="AF592" t="n">
        <v>29</v>
      </c>
      <c r="AG592" t="n">
        <v>40</v>
      </c>
      <c r="AH592" t="n">
        <v>14</v>
      </c>
      <c r="AI592" t="n">
        <v>17</v>
      </c>
      <c r="AJ592" t="n">
        <v>4</v>
      </c>
      <c r="AK592" t="n">
        <v>7</v>
      </c>
      <c r="AL592" t="n">
        <v>13</v>
      </c>
      <c r="AM592" t="n">
        <v>18</v>
      </c>
      <c r="AN592" t="n">
        <v>4</v>
      </c>
      <c r="AO592" t="n">
        <v>7</v>
      </c>
      <c r="AP592" t="n">
        <v>0</v>
      </c>
      <c r="AQ592" t="n">
        <v>0</v>
      </c>
      <c r="AR592" t="inlineStr">
        <is>
          <t>Yes</t>
        </is>
      </c>
      <c r="AS592" t="inlineStr">
        <is>
          <t>No</t>
        </is>
      </c>
      <c r="AT592">
        <f>HYPERLINK("http://catalog.hathitrust.org/Record/001017896","HathiTrust Record")</f>
        <v/>
      </c>
      <c r="AU592">
        <f>HYPERLINK("https://creighton-primo.hosted.exlibrisgroup.com/primo-explore/search?tab=default_tab&amp;search_scope=EVERYTHING&amp;vid=01CRU&amp;lang=en_US&amp;offset=0&amp;query=any,contains,991002269619702656","Catalog Record")</f>
        <v/>
      </c>
      <c r="AV592">
        <f>HYPERLINK("http://www.worldcat.org/oclc/307817","WorldCat Record")</f>
        <v/>
      </c>
      <c r="AW592" t="inlineStr">
        <is>
          <t>572557:eng</t>
        </is>
      </c>
      <c r="AX592" t="inlineStr">
        <is>
          <t>307817</t>
        </is>
      </c>
      <c r="AY592" t="inlineStr">
        <is>
          <t>991002269619702656</t>
        </is>
      </c>
      <c r="AZ592" t="inlineStr">
        <is>
          <t>991002269619702656</t>
        </is>
      </c>
      <c r="BA592" t="inlineStr">
        <is>
          <t>2264500610002656</t>
        </is>
      </c>
      <c r="BB592" t="inlineStr">
        <is>
          <t>BOOK</t>
        </is>
      </c>
      <c r="BE592" t="inlineStr">
        <is>
          <t>32285002031952</t>
        </is>
      </c>
      <c r="BF592" t="inlineStr">
        <is>
          <t>893873310</t>
        </is>
      </c>
    </row>
    <row r="593">
      <c r="A593" t="inlineStr">
        <is>
          <t>No</t>
        </is>
      </c>
      <c r="B593" t="inlineStr">
        <is>
          <t>CURAL</t>
        </is>
      </c>
      <c r="C593" t="inlineStr">
        <is>
          <t>SHELVES</t>
        </is>
      </c>
      <c r="D593" t="inlineStr">
        <is>
          <t>PR2823 .R67</t>
        </is>
      </c>
      <c r="E593" t="inlineStr">
        <is>
          <t>0                      PR 2823000R  67</t>
        </is>
      </c>
      <c r="F593" t="inlineStr">
        <is>
          <t>The masks of Macbeth / by Marvin Rosenberg.</t>
        </is>
      </c>
      <c r="H593" t="inlineStr">
        <is>
          <t>No</t>
        </is>
      </c>
      <c r="I593" t="inlineStr">
        <is>
          <t>1</t>
        </is>
      </c>
      <c r="J593" t="inlineStr">
        <is>
          <t>No</t>
        </is>
      </c>
      <c r="K593" t="inlineStr">
        <is>
          <t>No</t>
        </is>
      </c>
      <c r="L593" t="inlineStr">
        <is>
          <t>0</t>
        </is>
      </c>
      <c r="M593" t="inlineStr">
        <is>
          <t>Rosenberg, Marvin.</t>
        </is>
      </c>
      <c r="N593" t="inlineStr">
        <is>
          <t>Berkeley : University of California Press, c1978.</t>
        </is>
      </c>
      <c r="O593" t="inlineStr">
        <is>
          <t>1978</t>
        </is>
      </c>
      <c r="Q593" t="inlineStr">
        <is>
          <t>eng</t>
        </is>
      </c>
      <c r="R593" t="inlineStr">
        <is>
          <t>cau</t>
        </is>
      </c>
      <c r="T593" t="inlineStr">
        <is>
          <t xml:space="preserve">PR </t>
        </is>
      </c>
      <c r="U593" t="n">
        <v>2</v>
      </c>
      <c r="V593" t="n">
        <v>2</v>
      </c>
      <c r="W593" t="inlineStr">
        <is>
          <t>1994-10-26</t>
        </is>
      </c>
      <c r="X593" t="inlineStr">
        <is>
          <t>1994-10-26</t>
        </is>
      </c>
      <c r="Y593" t="inlineStr">
        <is>
          <t>1994-04-29</t>
        </is>
      </c>
      <c r="Z593" t="inlineStr">
        <is>
          <t>1994-04-29</t>
        </is>
      </c>
      <c r="AA593" t="n">
        <v>659</v>
      </c>
      <c r="AB593" t="n">
        <v>509</v>
      </c>
      <c r="AC593" t="n">
        <v>580</v>
      </c>
      <c r="AD593" t="n">
        <v>6</v>
      </c>
      <c r="AE593" t="n">
        <v>6</v>
      </c>
      <c r="AF593" t="n">
        <v>28</v>
      </c>
      <c r="AG593" t="n">
        <v>31</v>
      </c>
      <c r="AH593" t="n">
        <v>10</v>
      </c>
      <c r="AI593" t="n">
        <v>13</v>
      </c>
      <c r="AJ593" t="n">
        <v>4</v>
      </c>
      <c r="AK593" t="n">
        <v>4</v>
      </c>
      <c r="AL593" t="n">
        <v>14</v>
      </c>
      <c r="AM593" t="n">
        <v>15</v>
      </c>
      <c r="AN593" t="n">
        <v>5</v>
      </c>
      <c r="AO593" t="n">
        <v>5</v>
      </c>
      <c r="AP593" t="n">
        <v>0</v>
      </c>
      <c r="AQ593" t="n">
        <v>0</v>
      </c>
      <c r="AR593" t="inlineStr">
        <is>
          <t>No</t>
        </is>
      </c>
      <c r="AS593" t="inlineStr">
        <is>
          <t>No</t>
        </is>
      </c>
      <c r="AU593">
        <f>HYPERLINK("https://creighton-primo.hosted.exlibrisgroup.com/primo-explore/search?tab=default_tab&amp;search_scope=EVERYTHING&amp;vid=01CRU&amp;lang=en_US&amp;offset=0&amp;query=any,contains,991004522249702656","Catalog Record")</f>
        <v/>
      </c>
      <c r="AV593">
        <f>HYPERLINK("http://www.worldcat.org/oclc/3826665","WorldCat Record")</f>
        <v/>
      </c>
      <c r="AW593" t="inlineStr">
        <is>
          <t>12936327:eng</t>
        </is>
      </c>
      <c r="AX593" t="inlineStr">
        <is>
          <t>3826665</t>
        </is>
      </c>
      <c r="AY593" t="inlineStr">
        <is>
          <t>991004522249702656</t>
        </is>
      </c>
      <c r="AZ593" t="inlineStr">
        <is>
          <t>991004522249702656</t>
        </is>
      </c>
      <c r="BA593" t="inlineStr">
        <is>
          <t>2259474460002656</t>
        </is>
      </c>
      <c r="BB593" t="inlineStr">
        <is>
          <t>BOOK</t>
        </is>
      </c>
      <c r="BD593" t="inlineStr">
        <is>
          <t>9780520032620</t>
        </is>
      </c>
      <c r="BE593" t="inlineStr">
        <is>
          <t>32285001894731</t>
        </is>
      </c>
      <c r="BF593" t="inlineStr">
        <is>
          <t>893417730</t>
        </is>
      </c>
    </row>
    <row r="594">
      <c r="A594" t="inlineStr">
        <is>
          <t>No</t>
        </is>
      </c>
      <c r="B594" t="inlineStr">
        <is>
          <t>CURAL</t>
        </is>
      </c>
      <c r="C594" t="inlineStr">
        <is>
          <t>SHELVES</t>
        </is>
      </c>
      <c r="D594" t="inlineStr">
        <is>
          <t>PR2823 .W35 1974</t>
        </is>
      </c>
      <c r="E594" t="inlineStr">
        <is>
          <t>0                      PR 2823000W  35          1974</t>
        </is>
      </c>
      <c r="F594" t="inlineStr">
        <is>
          <t>Macbeth, by Ronald Watkins and Jeremy Lemmon.</t>
        </is>
      </c>
      <c r="H594" t="inlineStr">
        <is>
          <t>No</t>
        </is>
      </c>
      <c r="I594" t="inlineStr">
        <is>
          <t>1</t>
        </is>
      </c>
      <c r="J594" t="inlineStr">
        <is>
          <t>No</t>
        </is>
      </c>
      <c r="K594" t="inlineStr">
        <is>
          <t>No</t>
        </is>
      </c>
      <c r="L594" t="inlineStr">
        <is>
          <t>0</t>
        </is>
      </c>
      <c r="M594" t="inlineStr">
        <is>
          <t>Watkins, Ronald.</t>
        </is>
      </c>
      <c r="N594" t="inlineStr">
        <is>
          <t>Newton Abbot, North Pomfret, Vt., David &amp; Charles [1974]</t>
        </is>
      </c>
      <c r="O594" t="inlineStr">
        <is>
          <t>1974</t>
        </is>
      </c>
      <c r="Q594" t="inlineStr">
        <is>
          <t>eng</t>
        </is>
      </c>
      <c r="R594" t="inlineStr">
        <is>
          <t>enk</t>
        </is>
      </c>
      <c r="S594" t="inlineStr">
        <is>
          <t>Their In Shakespeare's playhouse</t>
        </is>
      </c>
      <c r="T594" t="inlineStr">
        <is>
          <t xml:space="preserve">PR </t>
        </is>
      </c>
      <c r="U594" t="n">
        <v>6</v>
      </c>
      <c r="V594" t="n">
        <v>6</v>
      </c>
      <c r="W594" t="inlineStr">
        <is>
          <t>2006-07-06</t>
        </is>
      </c>
      <c r="X594" t="inlineStr">
        <is>
          <t>2006-07-06</t>
        </is>
      </c>
      <c r="Y594" t="inlineStr">
        <is>
          <t>1991-10-23</t>
        </is>
      </c>
      <c r="Z594" t="inlineStr">
        <is>
          <t>1991-10-23</t>
        </is>
      </c>
      <c r="AA594" t="n">
        <v>192</v>
      </c>
      <c r="AB594" t="n">
        <v>95</v>
      </c>
      <c r="AC594" t="n">
        <v>304</v>
      </c>
      <c r="AD594" t="n">
        <v>1</v>
      </c>
      <c r="AE594" t="n">
        <v>5</v>
      </c>
      <c r="AF594" t="n">
        <v>4</v>
      </c>
      <c r="AG594" t="n">
        <v>11</v>
      </c>
      <c r="AH594" t="n">
        <v>2</v>
      </c>
      <c r="AI594" t="n">
        <v>4</v>
      </c>
      <c r="AJ594" t="n">
        <v>0</v>
      </c>
      <c r="AK594" t="n">
        <v>0</v>
      </c>
      <c r="AL594" t="n">
        <v>3</v>
      </c>
      <c r="AM594" t="n">
        <v>4</v>
      </c>
      <c r="AN594" t="n">
        <v>0</v>
      </c>
      <c r="AO594" t="n">
        <v>4</v>
      </c>
      <c r="AP594" t="n">
        <v>0</v>
      </c>
      <c r="AQ594" t="n">
        <v>0</v>
      </c>
      <c r="AR594" t="inlineStr">
        <is>
          <t>No</t>
        </is>
      </c>
      <c r="AS594" t="inlineStr">
        <is>
          <t>No</t>
        </is>
      </c>
      <c r="AU594">
        <f>HYPERLINK("https://creighton-primo.hosted.exlibrisgroup.com/primo-explore/search?tab=default_tab&amp;search_scope=EVERYTHING&amp;vid=01CRU&amp;lang=en_US&amp;offset=0&amp;query=any,contains,991003443889702656","Catalog Record")</f>
        <v/>
      </c>
      <c r="AV594">
        <f>HYPERLINK("http://www.worldcat.org/oclc/979745","WorldCat Record")</f>
        <v/>
      </c>
      <c r="AW594" t="inlineStr">
        <is>
          <t>1943312:eng</t>
        </is>
      </c>
      <c r="AX594" t="inlineStr">
        <is>
          <t>979745</t>
        </is>
      </c>
      <c r="AY594" t="inlineStr">
        <is>
          <t>991003443889702656</t>
        </is>
      </c>
      <c r="AZ594" t="inlineStr">
        <is>
          <t>991003443889702656</t>
        </is>
      </c>
      <c r="BA594" t="inlineStr">
        <is>
          <t>2259949940002656</t>
        </is>
      </c>
      <c r="BB594" t="inlineStr">
        <is>
          <t>BOOK</t>
        </is>
      </c>
      <c r="BD594" t="inlineStr">
        <is>
          <t>9780715364628</t>
        </is>
      </c>
      <c r="BE594" t="inlineStr">
        <is>
          <t>32285000778646</t>
        </is>
      </c>
      <c r="BF594" t="inlineStr">
        <is>
          <t>893505574</t>
        </is>
      </c>
    </row>
    <row r="595">
      <c r="A595" t="inlineStr">
        <is>
          <t>No</t>
        </is>
      </c>
      <c r="B595" t="inlineStr">
        <is>
          <t>CURAL</t>
        </is>
      </c>
      <c r="C595" t="inlineStr">
        <is>
          <t>SHELVES</t>
        </is>
      </c>
      <c r="D595" t="inlineStr">
        <is>
          <t>PR2823 .W44 1990</t>
        </is>
      </c>
      <c r="E595" t="inlineStr">
        <is>
          <t>0                      PR 2823000W  44          1990</t>
        </is>
      </c>
      <c r="F595" t="inlineStr">
        <is>
          <t>Macbeth, an annotated bibliography / Thomas Wheeler.</t>
        </is>
      </c>
      <c r="H595" t="inlineStr">
        <is>
          <t>No</t>
        </is>
      </c>
      <c r="I595" t="inlineStr">
        <is>
          <t>1</t>
        </is>
      </c>
      <c r="J595" t="inlineStr">
        <is>
          <t>No</t>
        </is>
      </c>
      <c r="K595" t="inlineStr">
        <is>
          <t>No</t>
        </is>
      </c>
      <c r="L595" t="inlineStr">
        <is>
          <t>0</t>
        </is>
      </c>
      <c r="M595" t="inlineStr">
        <is>
          <t>Wheeler, Thomas, 1926-2015.</t>
        </is>
      </c>
      <c r="N595" t="inlineStr">
        <is>
          <t>New York : Garland Pub., 1990.</t>
        </is>
      </c>
      <c r="O595" t="inlineStr">
        <is>
          <t>1990</t>
        </is>
      </c>
      <c r="Q595" t="inlineStr">
        <is>
          <t>eng</t>
        </is>
      </c>
      <c r="R595" t="inlineStr">
        <is>
          <t>nyu</t>
        </is>
      </c>
      <c r="S595" t="inlineStr">
        <is>
          <t>The Garland Shakespeare bibliographies ; no. 22</t>
        </is>
      </c>
      <c r="T595" t="inlineStr">
        <is>
          <t xml:space="preserve">PR </t>
        </is>
      </c>
      <c r="U595" t="n">
        <v>8</v>
      </c>
      <c r="V595" t="n">
        <v>8</v>
      </c>
      <c r="W595" t="inlineStr">
        <is>
          <t>2006-07-06</t>
        </is>
      </c>
      <c r="X595" t="inlineStr">
        <is>
          <t>2006-07-06</t>
        </is>
      </c>
      <c r="Y595" t="inlineStr">
        <is>
          <t>1991-03-08</t>
        </is>
      </c>
      <c r="Z595" t="inlineStr">
        <is>
          <t>1991-03-08</t>
        </is>
      </c>
      <c r="AA595" t="n">
        <v>341</v>
      </c>
      <c r="AB595" t="n">
        <v>271</v>
      </c>
      <c r="AC595" t="n">
        <v>271</v>
      </c>
      <c r="AD595" t="n">
        <v>2</v>
      </c>
      <c r="AE595" t="n">
        <v>2</v>
      </c>
      <c r="AF595" t="n">
        <v>14</v>
      </c>
      <c r="AG595" t="n">
        <v>14</v>
      </c>
      <c r="AH595" t="n">
        <v>5</v>
      </c>
      <c r="AI595" t="n">
        <v>5</v>
      </c>
      <c r="AJ595" t="n">
        <v>4</v>
      </c>
      <c r="AK595" t="n">
        <v>4</v>
      </c>
      <c r="AL595" t="n">
        <v>10</v>
      </c>
      <c r="AM595" t="n">
        <v>10</v>
      </c>
      <c r="AN595" t="n">
        <v>1</v>
      </c>
      <c r="AO595" t="n">
        <v>1</v>
      </c>
      <c r="AP595" t="n">
        <v>0</v>
      </c>
      <c r="AQ595" t="n">
        <v>0</v>
      </c>
      <c r="AR595" t="inlineStr">
        <is>
          <t>No</t>
        </is>
      </c>
      <c r="AS595" t="inlineStr">
        <is>
          <t>No</t>
        </is>
      </c>
      <c r="AU595">
        <f>HYPERLINK("https://creighton-primo.hosted.exlibrisgroup.com/primo-explore/search?tab=default_tab&amp;search_scope=EVERYTHING&amp;vid=01CRU&amp;lang=en_US&amp;offset=0&amp;query=any,contains,991001626169702656","Catalog Record")</f>
        <v/>
      </c>
      <c r="AV595">
        <f>HYPERLINK("http://www.worldcat.org/oclc/20852781","WorldCat Record")</f>
        <v/>
      </c>
      <c r="AW595" t="inlineStr">
        <is>
          <t>5614365402:eng</t>
        </is>
      </c>
      <c r="AX595" t="inlineStr">
        <is>
          <t>20852781</t>
        </is>
      </c>
      <c r="AY595" t="inlineStr">
        <is>
          <t>991001626169702656</t>
        </is>
      </c>
      <c r="AZ595" t="inlineStr">
        <is>
          <t>991001626169702656</t>
        </is>
      </c>
      <c r="BA595" t="inlineStr">
        <is>
          <t>2264960770002656</t>
        </is>
      </c>
      <c r="BB595" t="inlineStr">
        <is>
          <t>BOOK</t>
        </is>
      </c>
      <c r="BD595" t="inlineStr">
        <is>
          <t>9780824088934</t>
        </is>
      </c>
      <c r="BE595" t="inlineStr">
        <is>
          <t>32285000494376</t>
        </is>
      </c>
      <c r="BF595" t="inlineStr">
        <is>
          <t>893772708</t>
        </is>
      </c>
    </row>
    <row r="596">
      <c r="A596" t="inlineStr">
        <is>
          <t>No</t>
        </is>
      </c>
      <c r="B596" t="inlineStr">
        <is>
          <t>CURAL</t>
        </is>
      </c>
      <c r="C596" t="inlineStr">
        <is>
          <t>SHELVES</t>
        </is>
      </c>
      <c r="D596" t="inlineStr">
        <is>
          <t>PR2823 .W5</t>
        </is>
      </c>
      <c r="E596" t="inlineStr">
        <is>
          <t>0                      PR 2823000W  5</t>
        </is>
      </c>
      <c r="F596" t="inlineStr">
        <is>
          <t>Macbeth, King Lear &amp; contemporary history; being a study of the relations of the play of Macbeth to the personal history of James I, the Darnley murder and the St. Bartholomew massacre and also of King Lear as symbolic mythology, by Lilian Winstanley ...</t>
        </is>
      </c>
      <c r="H596" t="inlineStr">
        <is>
          <t>No</t>
        </is>
      </c>
      <c r="I596" t="inlineStr">
        <is>
          <t>1</t>
        </is>
      </c>
      <c r="J596" t="inlineStr">
        <is>
          <t>No</t>
        </is>
      </c>
      <c r="K596" t="inlineStr">
        <is>
          <t>No</t>
        </is>
      </c>
      <c r="L596" t="inlineStr">
        <is>
          <t>0</t>
        </is>
      </c>
      <c r="M596" t="inlineStr">
        <is>
          <t>Winstanley, Lilian, 1875-</t>
        </is>
      </c>
      <c r="N596" t="inlineStr">
        <is>
          <t>Cambridge [Eng.] The University Press, 1922.</t>
        </is>
      </c>
      <c r="O596" t="inlineStr">
        <is>
          <t>1922</t>
        </is>
      </c>
      <c r="Q596" t="inlineStr">
        <is>
          <t>eng</t>
        </is>
      </c>
      <c r="R596" t="inlineStr">
        <is>
          <t>enk</t>
        </is>
      </c>
      <c r="T596" t="inlineStr">
        <is>
          <t xml:space="preserve">PR </t>
        </is>
      </c>
      <c r="U596" t="n">
        <v>1</v>
      </c>
      <c r="V596" t="n">
        <v>1</v>
      </c>
      <c r="W596" t="inlineStr">
        <is>
          <t>2006-06-21</t>
        </is>
      </c>
      <c r="X596" t="inlineStr">
        <is>
          <t>2006-06-21</t>
        </is>
      </c>
      <c r="Y596" t="inlineStr">
        <is>
          <t>1997-07-31</t>
        </is>
      </c>
      <c r="Z596" t="inlineStr">
        <is>
          <t>1997-07-31</t>
        </is>
      </c>
      <c r="AA596" t="n">
        <v>160</v>
      </c>
      <c r="AB596" t="n">
        <v>133</v>
      </c>
      <c r="AC596" t="n">
        <v>208</v>
      </c>
      <c r="AD596" t="n">
        <v>2</v>
      </c>
      <c r="AE596" t="n">
        <v>2</v>
      </c>
      <c r="AF596" t="n">
        <v>5</v>
      </c>
      <c r="AG596" t="n">
        <v>6</v>
      </c>
      <c r="AH596" t="n">
        <v>1</v>
      </c>
      <c r="AI596" t="n">
        <v>1</v>
      </c>
      <c r="AJ596" t="n">
        <v>2</v>
      </c>
      <c r="AK596" t="n">
        <v>2</v>
      </c>
      <c r="AL596" t="n">
        <v>2</v>
      </c>
      <c r="AM596" t="n">
        <v>3</v>
      </c>
      <c r="AN596" t="n">
        <v>1</v>
      </c>
      <c r="AO596" t="n">
        <v>1</v>
      </c>
      <c r="AP596" t="n">
        <v>0</v>
      </c>
      <c r="AQ596" t="n">
        <v>0</v>
      </c>
      <c r="AR596" t="inlineStr">
        <is>
          <t>Yes</t>
        </is>
      </c>
      <c r="AS596" t="inlineStr">
        <is>
          <t>No</t>
        </is>
      </c>
      <c r="AT596">
        <f>HYPERLINK("http://catalog.hathitrust.org/Record/001373647","HathiTrust Record")</f>
        <v/>
      </c>
      <c r="AU596">
        <f>HYPERLINK("https://creighton-primo.hosted.exlibrisgroup.com/primo-explore/search?tab=default_tab&amp;search_scope=EVERYTHING&amp;vid=01CRU&amp;lang=en_US&amp;offset=0&amp;query=any,contains,991003405529702656","Catalog Record")</f>
        <v/>
      </c>
      <c r="AV596">
        <f>HYPERLINK("http://www.worldcat.org/oclc/945364","WorldCat Record")</f>
        <v/>
      </c>
      <c r="AW596" t="inlineStr">
        <is>
          <t>1905980:eng</t>
        </is>
      </c>
      <c r="AX596" t="inlineStr">
        <is>
          <t>945364</t>
        </is>
      </c>
      <c r="AY596" t="inlineStr">
        <is>
          <t>991003405529702656</t>
        </is>
      </c>
      <c r="AZ596" t="inlineStr">
        <is>
          <t>991003405529702656</t>
        </is>
      </c>
      <c r="BA596" t="inlineStr">
        <is>
          <t>2268005770002656</t>
        </is>
      </c>
      <c r="BB596" t="inlineStr">
        <is>
          <t>BOOK</t>
        </is>
      </c>
      <c r="BE596" t="inlineStr">
        <is>
          <t>32285002996923</t>
        </is>
      </c>
      <c r="BF596" t="inlineStr">
        <is>
          <t>893336462</t>
        </is>
      </c>
    </row>
    <row r="597">
      <c r="A597" t="inlineStr">
        <is>
          <t>No</t>
        </is>
      </c>
      <c r="B597" t="inlineStr">
        <is>
          <t>CURAL</t>
        </is>
      </c>
      <c r="C597" t="inlineStr">
        <is>
          <t>SHELVES</t>
        </is>
      </c>
      <c r="D597" t="inlineStr">
        <is>
          <t>PR2825 .B3</t>
        </is>
      </c>
      <c r="E597" t="inlineStr">
        <is>
          <t>0                      PR 2825000B  3</t>
        </is>
      </c>
      <c r="F597" t="inlineStr">
        <is>
          <t>Twentieth century interpretations of the Merchant of Venice : a collection of critical essays.</t>
        </is>
      </c>
      <c r="H597" t="inlineStr">
        <is>
          <t>No</t>
        </is>
      </c>
      <c r="I597" t="inlineStr">
        <is>
          <t>1</t>
        </is>
      </c>
      <c r="J597" t="inlineStr">
        <is>
          <t>No</t>
        </is>
      </c>
      <c r="K597" t="inlineStr">
        <is>
          <t>No</t>
        </is>
      </c>
      <c r="L597" t="inlineStr">
        <is>
          <t>0</t>
        </is>
      </c>
      <c r="M597" t="inlineStr">
        <is>
          <t>Barnet, Sylvan compiler.</t>
        </is>
      </c>
      <c r="N597" t="inlineStr">
        <is>
          <t>Englewood Cliffs, N.J. : Prentice-Hall, [1970]</t>
        </is>
      </c>
      <c r="O597" t="inlineStr">
        <is>
          <t>1970</t>
        </is>
      </c>
      <c r="Q597" t="inlineStr">
        <is>
          <t>eng</t>
        </is>
      </c>
      <c r="R597" t="inlineStr">
        <is>
          <t>nju</t>
        </is>
      </c>
      <c r="S597" t="inlineStr">
        <is>
          <t>Twentieth century interpretations</t>
        </is>
      </c>
      <c r="T597" t="inlineStr">
        <is>
          <t xml:space="preserve">PR </t>
        </is>
      </c>
      <c r="U597" t="n">
        <v>6</v>
      </c>
      <c r="V597" t="n">
        <v>6</v>
      </c>
      <c r="W597" t="inlineStr">
        <is>
          <t>2008-12-01</t>
        </is>
      </c>
      <c r="X597" t="inlineStr">
        <is>
          <t>2008-12-01</t>
        </is>
      </c>
      <c r="Y597" t="inlineStr">
        <is>
          <t>1992-11-02</t>
        </is>
      </c>
      <c r="Z597" t="inlineStr">
        <is>
          <t>1992-11-02</t>
        </is>
      </c>
      <c r="AA597" t="n">
        <v>1470</v>
      </c>
      <c r="AB597" t="n">
        <v>1357</v>
      </c>
      <c r="AC597" t="n">
        <v>1371</v>
      </c>
      <c r="AD597" t="n">
        <v>15</v>
      </c>
      <c r="AE597" t="n">
        <v>15</v>
      </c>
      <c r="AF597" t="n">
        <v>51</v>
      </c>
      <c r="AG597" t="n">
        <v>52</v>
      </c>
      <c r="AH597" t="n">
        <v>21</v>
      </c>
      <c r="AI597" t="n">
        <v>22</v>
      </c>
      <c r="AJ597" t="n">
        <v>8</v>
      </c>
      <c r="AK597" t="n">
        <v>8</v>
      </c>
      <c r="AL597" t="n">
        <v>21</v>
      </c>
      <c r="AM597" t="n">
        <v>21</v>
      </c>
      <c r="AN597" t="n">
        <v>12</v>
      </c>
      <c r="AO597" t="n">
        <v>12</v>
      </c>
      <c r="AP597" t="n">
        <v>0</v>
      </c>
      <c r="AQ597" t="n">
        <v>0</v>
      </c>
      <c r="AR597" t="inlineStr">
        <is>
          <t>No</t>
        </is>
      </c>
      <c r="AS597" t="inlineStr">
        <is>
          <t>Yes</t>
        </is>
      </c>
      <c r="AT597">
        <f>HYPERLINK("http://catalog.hathitrust.org/Record/001004409","HathiTrust Record")</f>
        <v/>
      </c>
      <c r="AU597">
        <f>HYPERLINK("https://creighton-primo.hosted.exlibrisgroup.com/primo-explore/search?tab=default_tab&amp;search_scope=EVERYTHING&amp;vid=01CRU&amp;lang=en_US&amp;offset=0&amp;query=any,contains,991000216419702656","Catalog Record")</f>
        <v/>
      </c>
      <c r="AV597">
        <f>HYPERLINK("http://www.worldcat.org/oclc/66975","WorldCat Record")</f>
        <v/>
      </c>
      <c r="AW597" t="inlineStr">
        <is>
          <t>2928804348:eng</t>
        </is>
      </c>
      <c r="AX597" t="inlineStr">
        <is>
          <t>66975</t>
        </is>
      </c>
      <c r="AY597" t="inlineStr">
        <is>
          <t>991000216419702656</t>
        </is>
      </c>
      <c r="AZ597" t="inlineStr">
        <is>
          <t>991000216419702656</t>
        </is>
      </c>
      <c r="BA597" t="inlineStr">
        <is>
          <t>2258621920002656</t>
        </is>
      </c>
      <c r="BB597" t="inlineStr">
        <is>
          <t>BOOK</t>
        </is>
      </c>
      <c r="BD597" t="inlineStr">
        <is>
          <t>9780135771556</t>
        </is>
      </c>
      <c r="BE597" t="inlineStr">
        <is>
          <t>32285001379873</t>
        </is>
      </c>
      <c r="BF597" t="inlineStr">
        <is>
          <t>893496054</t>
        </is>
      </c>
    </row>
    <row r="598">
      <c r="A598" t="inlineStr">
        <is>
          <t>No</t>
        </is>
      </c>
      <c r="B598" t="inlineStr">
        <is>
          <t>CURAL</t>
        </is>
      </c>
      <c r="C598" t="inlineStr">
        <is>
          <t>SHELVES</t>
        </is>
      </c>
      <c r="D598" t="inlineStr">
        <is>
          <t>PR2825 .D3</t>
        </is>
      </c>
      <c r="E598" t="inlineStr">
        <is>
          <t>0                      PR 2825000D  3</t>
        </is>
      </c>
      <c r="F598" t="inlineStr">
        <is>
          <t>The harmonies of The merchant of Venice / Lawrence Danson.</t>
        </is>
      </c>
      <c r="H598" t="inlineStr">
        <is>
          <t>No</t>
        </is>
      </c>
      <c r="I598" t="inlineStr">
        <is>
          <t>1</t>
        </is>
      </c>
      <c r="J598" t="inlineStr">
        <is>
          <t>No</t>
        </is>
      </c>
      <c r="K598" t="inlineStr">
        <is>
          <t>No</t>
        </is>
      </c>
      <c r="L598" t="inlineStr">
        <is>
          <t>0</t>
        </is>
      </c>
      <c r="M598" t="inlineStr">
        <is>
          <t>Danson, Lawrence.</t>
        </is>
      </c>
      <c r="N598" t="inlineStr">
        <is>
          <t>New Haven : Yale University Press, 1978.</t>
        </is>
      </c>
      <c r="O598" t="inlineStr">
        <is>
          <t>1978</t>
        </is>
      </c>
      <c r="Q598" t="inlineStr">
        <is>
          <t>eng</t>
        </is>
      </c>
      <c r="R598" t="inlineStr">
        <is>
          <t>ctu</t>
        </is>
      </c>
      <c r="T598" t="inlineStr">
        <is>
          <t xml:space="preserve">PR </t>
        </is>
      </c>
      <c r="U598" t="n">
        <v>1</v>
      </c>
      <c r="V598" t="n">
        <v>1</v>
      </c>
      <c r="W598" t="inlineStr">
        <is>
          <t>2008-12-01</t>
        </is>
      </c>
      <c r="X598" t="inlineStr">
        <is>
          <t>2008-12-01</t>
        </is>
      </c>
      <c r="Y598" t="inlineStr">
        <is>
          <t>1997-09-17</t>
        </is>
      </c>
      <c r="Z598" t="inlineStr">
        <is>
          <t>1997-09-17</t>
        </is>
      </c>
      <c r="AA598" t="n">
        <v>755</v>
      </c>
      <c r="AB598" t="n">
        <v>619</v>
      </c>
      <c r="AC598" t="n">
        <v>619</v>
      </c>
      <c r="AD598" t="n">
        <v>3</v>
      </c>
      <c r="AE598" t="n">
        <v>3</v>
      </c>
      <c r="AF598" t="n">
        <v>29</v>
      </c>
      <c r="AG598" t="n">
        <v>29</v>
      </c>
      <c r="AH598" t="n">
        <v>12</v>
      </c>
      <c r="AI598" t="n">
        <v>12</v>
      </c>
      <c r="AJ598" t="n">
        <v>7</v>
      </c>
      <c r="AK598" t="n">
        <v>7</v>
      </c>
      <c r="AL598" t="n">
        <v>16</v>
      </c>
      <c r="AM598" t="n">
        <v>16</v>
      </c>
      <c r="AN598" t="n">
        <v>2</v>
      </c>
      <c r="AO598" t="n">
        <v>2</v>
      </c>
      <c r="AP598" t="n">
        <v>0</v>
      </c>
      <c r="AQ598" t="n">
        <v>0</v>
      </c>
      <c r="AR598" t="inlineStr">
        <is>
          <t>No</t>
        </is>
      </c>
      <c r="AS598" t="inlineStr">
        <is>
          <t>No</t>
        </is>
      </c>
      <c r="AU598">
        <f>HYPERLINK("https://creighton-primo.hosted.exlibrisgroup.com/primo-explore/search?tab=default_tab&amp;search_scope=EVERYTHING&amp;vid=01CRU&amp;lang=en_US&amp;offset=0&amp;query=any,contains,991004381749702656","Catalog Record")</f>
        <v/>
      </c>
      <c r="AV598">
        <f>HYPERLINK("http://www.worldcat.org/oclc/3223704","WorldCat Record")</f>
        <v/>
      </c>
      <c r="AW598" t="inlineStr">
        <is>
          <t>9037653:eng</t>
        </is>
      </c>
      <c r="AX598" t="inlineStr">
        <is>
          <t>3223704</t>
        </is>
      </c>
      <c r="AY598" t="inlineStr">
        <is>
          <t>991004381749702656</t>
        </is>
      </c>
      <c r="AZ598" t="inlineStr">
        <is>
          <t>991004381749702656</t>
        </is>
      </c>
      <c r="BA598" t="inlineStr">
        <is>
          <t>2259013910002656</t>
        </is>
      </c>
      <c r="BB598" t="inlineStr">
        <is>
          <t>BOOK</t>
        </is>
      </c>
      <c r="BD598" t="inlineStr">
        <is>
          <t>9780300021677</t>
        </is>
      </c>
      <c r="BE598" t="inlineStr">
        <is>
          <t>32285003173589</t>
        </is>
      </c>
      <c r="BF598" t="inlineStr">
        <is>
          <t>893519582</t>
        </is>
      </c>
    </row>
    <row r="599">
      <c r="A599" t="inlineStr">
        <is>
          <t>No</t>
        </is>
      </c>
      <c r="B599" t="inlineStr">
        <is>
          <t>CURAL</t>
        </is>
      </c>
      <c r="C599" t="inlineStr">
        <is>
          <t>SHELVES</t>
        </is>
      </c>
      <c r="D599" t="inlineStr">
        <is>
          <t>PR2825 .G67</t>
        </is>
      </c>
      <c r="E599" t="inlineStr">
        <is>
          <t>0                      PR 2825000G  67</t>
        </is>
      </c>
      <c r="F599" t="inlineStr">
        <is>
          <t>The truth about Shylock.</t>
        </is>
      </c>
      <c r="H599" t="inlineStr">
        <is>
          <t>No</t>
        </is>
      </c>
      <c r="I599" t="inlineStr">
        <is>
          <t>1</t>
        </is>
      </c>
      <c r="J599" t="inlineStr">
        <is>
          <t>No</t>
        </is>
      </c>
      <c r="K599" t="inlineStr">
        <is>
          <t>No</t>
        </is>
      </c>
      <c r="L599" t="inlineStr">
        <is>
          <t>0</t>
        </is>
      </c>
      <c r="M599" t="inlineStr">
        <is>
          <t>Grebanier, Bernard D. N., 1903-1977.</t>
        </is>
      </c>
      <c r="N599" t="inlineStr">
        <is>
          <t>New York : Random House, [1962]</t>
        </is>
      </c>
      <c r="O599" t="inlineStr">
        <is>
          <t>1962</t>
        </is>
      </c>
      <c r="Q599" t="inlineStr">
        <is>
          <t>eng</t>
        </is>
      </c>
      <c r="R599" t="inlineStr">
        <is>
          <t>nyu</t>
        </is>
      </c>
      <c r="T599" t="inlineStr">
        <is>
          <t xml:space="preserve">PR </t>
        </is>
      </c>
      <c r="U599" t="n">
        <v>6</v>
      </c>
      <c r="V599" t="n">
        <v>6</v>
      </c>
      <c r="W599" t="inlineStr">
        <is>
          <t>2008-12-01</t>
        </is>
      </c>
      <c r="X599" t="inlineStr">
        <is>
          <t>2008-12-01</t>
        </is>
      </c>
      <c r="Y599" t="inlineStr">
        <is>
          <t>1993-10-12</t>
        </is>
      </c>
      <c r="Z599" t="inlineStr">
        <is>
          <t>1993-10-12</t>
        </is>
      </c>
      <c r="AA599" t="n">
        <v>734</v>
      </c>
      <c r="AB599" t="n">
        <v>670</v>
      </c>
      <c r="AC599" t="n">
        <v>678</v>
      </c>
      <c r="AD599" t="n">
        <v>7</v>
      </c>
      <c r="AE599" t="n">
        <v>7</v>
      </c>
      <c r="AF599" t="n">
        <v>38</v>
      </c>
      <c r="AG599" t="n">
        <v>38</v>
      </c>
      <c r="AH599" t="n">
        <v>16</v>
      </c>
      <c r="AI599" t="n">
        <v>16</v>
      </c>
      <c r="AJ599" t="n">
        <v>7</v>
      </c>
      <c r="AK599" t="n">
        <v>7</v>
      </c>
      <c r="AL599" t="n">
        <v>18</v>
      </c>
      <c r="AM599" t="n">
        <v>18</v>
      </c>
      <c r="AN599" t="n">
        <v>6</v>
      </c>
      <c r="AO599" t="n">
        <v>6</v>
      </c>
      <c r="AP599" t="n">
        <v>0</v>
      </c>
      <c r="AQ599" t="n">
        <v>0</v>
      </c>
      <c r="AR599" t="inlineStr">
        <is>
          <t>Yes</t>
        </is>
      </c>
      <c r="AS599" t="inlineStr">
        <is>
          <t>No</t>
        </is>
      </c>
      <c r="AT599">
        <f>HYPERLINK("http://catalog.hathitrust.org/Record/001017918","HathiTrust Record")</f>
        <v/>
      </c>
      <c r="AU599">
        <f>HYPERLINK("https://creighton-primo.hosted.exlibrisgroup.com/primo-explore/search?tab=default_tab&amp;search_scope=EVERYTHING&amp;vid=01CRU&amp;lang=en_US&amp;offset=0&amp;query=any,contains,991003405639702656","Catalog Record")</f>
        <v/>
      </c>
      <c r="AV599">
        <f>HYPERLINK("http://www.worldcat.org/oclc/945511","WorldCat Record")</f>
        <v/>
      </c>
      <c r="AW599" t="inlineStr">
        <is>
          <t>104322744:eng</t>
        </is>
      </c>
      <c r="AX599" t="inlineStr">
        <is>
          <t>945511</t>
        </is>
      </c>
      <c r="AY599" t="inlineStr">
        <is>
          <t>991003405639702656</t>
        </is>
      </c>
      <c r="AZ599" t="inlineStr">
        <is>
          <t>991003405639702656</t>
        </is>
      </c>
      <c r="BA599" t="inlineStr">
        <is>
          <t>2267934190002656</t>
        </is>
      </c>
      <c r="BB599" t="inlineStr">
        <is>
          <t>BOOK</t>
        </is>
      </c>
      <c r="BE599" t="inlineStr">
        <is>
          <t>32285001790616</t>
        </is>
      </c>
      <c r="BF599" t="inlineStr">
        <is>
          <t>893422543</t>
        </is>
      </c>
    </row>
    <row r="600">
      <c r="A600" t="inlineStr">
        <is>
          <t>No</t>
        </is>
      </c>
      <c r="B600" t="inlineStr">
        <is>
          <t>CURAL</t>
        </is>
      </c>
      <c r="C600" t="inlineStr">
        <is>
          <t>SHELVES</t>
        </is>
      </c>
      <c r="D600" t="inlineStr">
        <is>
          <t>PR2825 .O9 1987</t>
        </is>
      </c>
      <c r="E600" t="inlineStr">
        <is>
          <t>0                      PR 2825000O  9           1987</t>
        </is>
      </c>
      <c r="F600" t="inlineStr">
        <is>
          <t>The merchant of Venice / Bill Overton.</t>
        </is>
      </c>
      <c r="H600" t="inlineStr">
        <is>
          <t>No</t>
        </is>
      </c>
      <c r="I600" t="inlineStr">
        <is>
          <t>1</t>
        </is>
      </c>
      <c r="J600" t="inlineStr">
        <is>
          <t>No</t>
        </is>
      </c>
      <c r="K600" t="inlineStr">
        <is>
          <t>No</t>
        </is>
      </c>
      <c r="L600" t="inlineStr">
        <is>
          <t>0</t>
        </is>
      </c>
      <c r="M600" t="inlineStr">
        <is>
          <t>Overton, Bill.</t>
        </is>
      </c>
      <c r="N600" t="inlineStr">
        <is>
          <t>Atlantic Highlands, NJ : Humanities Press International, 1987.</t>
        </is>
      </c>
      <c r="O600" t="inlineStr">
        <is>
          <t>1987</t>
        </is>
      </c>
      <c r="Q600" t="inlineStr">
        <is>
          <t>eng</t>
        </is>
      </c>
      <c r="R600" t="inlineStr">
        <is>
          <t>nju</t>
        </is>
      </c>
      <c r="S600" t="inlineStr">
        <is>
          <t>Text and performance</t>
        </is>
      </c>
      <c r="T600" t="inlineStr">
        <is>
          <t xml:space="preserve">PR </t>
        </is>
      </c>
      <c r="U600" t="n">
        <v>6</v>
      </c>
      <c r="V600" t="n">
        <v>6</v>
      </c>
      <c r="W600" t="inlineStr">
        <is>
          <t>2006-11-19</t>
        </is>
      </c>
      <c r="X600" t="inlineStr">
        <is>
          <t>2006-11-19</t>
        </is>
      </c>
      <c r="Y600" t="inlineStr">
        <is>
          <t>1990-03-16</t>
        </is>
      </c>
      <c r="Z600" t="inlineStr">
        <is>
          <t>1990-03-16</t>
        </is>
      </c>
      <c r="AA600" t="n">
        <v>166</v>
      </c>
      <c r="AB600" t="n">
        <v>150</v>
      </c>
      <c r="AC600" t="n">
        <v>183</v>
      </c>
      <c r="AD600" t="n">
        <v>3</v>
      </c>
      <c r="AE600" t="n">
        <v>3</v>
      </c>
      <c r="AF600" t="n">
        <v>8</v>
      </c>
      <c r="AG600" t="n">
        <v>11</v>
      </c>
      <c r="AH600" t="n">
        <v>1</v>
      </c>
      <c r="AI600" t="n">
        <v>2</v>
      </c>
      <c r="AJ600" t="n">
        <v>1</v>
      </c>
      <c r="AK600" t="n">
        <v>1</v>
      </c>
      <c r="AL600" t="n">
        <v>5</v>
      </c>
      <c r="AM600" t="n">
        <v>8</v>
      </c>
      <c r="AN600" t="n">
        <v>2</v>
      </c>
      <c r="AO600" t="n">
        <v>2</v>
      </c>
      <c r="AP600" t="n">
        <v>0</v>
      </c>
      <c r="AQ600" t="n">
        <v>0</v>
      </c>
      <c r="AR600" t="inlineStr">
        <is>
          <t>No</t>
        </is>
      </c>
      <c r="AS600" t="inlineStr">
        <is>
          <t>Yes</t>
        </is>
      </c>
      <c r="AT600">
        <f>HYPERLINK("http://catalog.hathitrust.org/Record/001083445","HathiTrust Record")</f>
        <v/>
      </c>
      <c r="AU600">
        <f>HYPERLINK("https://creighton-primo.hosted.exlibrisgroup.com/primo-explore/search?tab=default_tab&amp;search_scope=EVERYTHING&amp;vid=01CRU&amp;lang=en_US&amp;offset=0&amp;query=any,contains,991000894059702656","Catalog Record")</f>
        <v/>
      </c>
      <c r="AV600">
        <f>HYPERLINK("http://www.worldcat.org/oclc/13947543","WorldCat Record")</f>
        <v/>
      </c>
      <c r="AW600" t="inlineStr">
        <is>
          <t>7140023:eng</t>
        </is>
      </c>
      <c r="AX600" t="inlineStr">
        <is>
          <t>13947543</t>
        </is>
      </c>
      <c r="AY600" t="inlineStr">
        <is>
          <t>991000894059702656</t>
        </is>
      </c>
      <c r="AZ600" t="inlineStr">
        <is>
          <t>991000894059702656</t>
        </is>
      </c>
      <c r="BA600" t="inlineStr">
        <is>
          <t>2255621330002656</t>
        </is>
      </c>
      <c r="BB600" t="inlineStr">
        <is>
          <t>BOOK</t>
        </is>
      </c>
      <c r="BD600" t="inlineStr">
        <is>
          <t>9780391034693</t>
        </is>
      </c>
      <c r="BE600" t="inlineStr">
        <is>
          <t>32285000064138</t>
        </is>
      </c>
      <c r="BF600" t="inlineStr">
        <is>
          <t>893790958</t>
        </is>
      </c>
    </row>
    <row r="601">
      <c r="A601" t="inlineStr">
        <is>
          <t>No</t>
        </is>
      </c>
      <c r="B601" t="inlineStr">
        <is>
          <t>CURAL</t>
        </is>
      </c>
      <c r="C601" t="inlineStr">
        <is>
          <t>SHELVES</t>
        </is>
      </c>
      <c r="D601" t="inlineStr">
        <is>
          <t>PR2825 .S68 1988</t>
        </is>
      </c>
      <c r="E601" t="inlineStr">
        <is>
          <t>0                      PR 2825000S  68          1988</t>
        </is>
      </c>
      <c r="F601" t="inlineStr">
        <is>
          <t>The genesis of Shakespeare's Merchant of Venice / Christopher Spencer.</t>
        </is>
      </c>
      <c r="H601" t="inlineStr">
        <is>
          <t>No</t>
        </is>
      </c>
      <c r="I601" t="inlineStr">
        <is>
          <t>1</t>
        </is>
      </c>
      <c r="J601" t="inlineStr">
        <is>
          <t>No</t>
        </is>
      </c>
      <c r="K601" t="inlineStr">
        <is>
          <t>No</t>
        </is>
      </c>
      <c r="L601" t="inlineStr">
        <is>
          <t>0</t>
        </is>
      </c>
      <c r="M601" t="inlineStr">
        <is>
          <t>Spencer, Christopher, 1930-</t>
        </is>
      </c>
      <c r="N601" t="inlineStr">
        <is>
          <t>Lewiston, N.Y., USA : E. Mellen Press, c1988.</t>
        </is>
      </c>
      <c r="O601" t="inlineStr">
        <is>
          <t>1988</t>
        </is>
      </c>
      <c r="Q601" t="inlineStr">
        <is>
          <t>eng</t>
        </is>
      </c>
      <c r="R601" t="inlineStr">
        <is>
          <t>nyu</t>
        </is>
      </c>
      <c r="S601" t="inlineStr">
        <is>
          <t>Studies in British literature ; v. 3</t>
        </is>
      </c>
      <c r="T601" t="inlineStr">
        <is>
          <t xml:space="preserve">PR </t>
        </is>
      </c>
      <c r="U601" t="n">
        <v>4</v>
      </c>
      <c r="V601" t="n">
        <v>4</v>
      </c>
      <c r="W601" t="inlineStr">
        <is>
          <t>2006-11-19</t>
        </is>
      </c>
      <c r="X601" t="inlineStr">
        <is>
          <t>2006-11-19</t>
        </is>
      </c>
      <c r="Y601" t="inlineStr">
        <is>
          <t>1991-10-23</t>
        </is>
      </c>
      <c r="Z601" t="inlineStr">
        <is>
          <t>1991-10-23</t>
        </is>
      </c>
      <c r="AA601" t="n">
        <v>372</v>
      </c>
      <c r="AB601" t="n">
        <v>319</v>
      </c>
      <c r="AC601" t="n">
        <v>319</v>
      </c>
      <c r="AD601" t="n">
        <v>4</v>
      </c>
      <c r="AE601" t="n">
        <v>4</v>
      </c>
      <c r="AF601" t="n">
        <v>18</v>
      </c>
      <c r="AG601" t="n">
        <v>18</v>
      </c>
      <c r="AH601" t="n">
        <v>4</v>
      </c>
      <c r="AI601" t="n">
        <v>4</v>
      </c>
      <c r="AJ601" t="n">
        <v>4</v>
      </c>
      <c r="AK601" t="n">
        <v>4</v>
      </c>
      <c r="AL601" t="n">
        <v>12</v>
      </c>
      <c r="AM601" t="n">
        <v>12</v>
      </c>
      <c r="AN601" t="n">
        <v>3</v>
      </c>
      <c r="AO601" t="n">
        <v>3</v>
      </c>
      <c r="AP601" t="n">
        <v>0</v>
      </c>
      <c r="AQ601" t="n">
        <v>0</v>
      </c>
      <c r="AR601" t="inlineStr">
        <is>
          <t>No</t>
        </is>
      </c>
      <c r="AS601" t="inlineStr">
        <is>
          <t>No</t>
        </is>
      </c>
      <c r="AU601">
        <f>HYPERLINK("https://creighton-primo.hosted.exlibrisgroup.com/primo-explore/search?tab=default_tab&amp;search_scope=EVERYTHING&amp;vid=01CRU&amp;lang=en_US&amp;offset=0&amp;query=any,contains,991001270239702656","Catalog Record")</f>
        <v/>
      </c>
      <c r="AV601">
        <f>HYPERLINK("http://www.worldcat.org/oclc/17841012","WorldCat Record")</f>
        <v/>
      </c>
      <c r="AW601" t="inlineStr">
        <is>
          <t>143946690:eng</t>
        </is>
      </c>
      <c r="AX601" t="inlineStr">
        <is>
          <t>17841012</t>
        </is>
      </c>
      <c r="AY601" t="inlineStr">
        <is>
          <t>991001270239702656</t>
        </is>
      </c>
      <c r="AZ601" t="inlineStr">
        <is>
          <t>991001270239702656</t>
        </is>
      </c>
      <c r="BA601" t="inlineStr">
        <is>
          <t>2268852860002656</t>
        </is>
      </c>
      <c r="BB601" t="inlineStr">
        <is>
          <t>BOOK</t>
        </is>
      </c>
      <c r="BD601" t="inlineStr">
        <is>
          <t>9780889469303</t>
        </is>
      </c>
      <c r="BE601" t="inlineStr">
        <is>
          <t>32285000778737</t>
        </is>
      </c>
      <c r="BF601" t="inlineStr">
        <is>
          <t>893784985</t>
        </is>
      </c>
    </row>
    <row r="602">
      <c r="A602" t="inlineStr">
        <is>
          <t>No</t>
        </is>
      </c>
      <c r="B602" t="inlineStr">
        <is>
          <t>CURAL</t>
        </is>
      </c>
      <c r="C602" t="inlineStr">
        <is>
          <t>SHELVES</t>
        </is>
      </c>
      <c r="D602" t="inlineStr">
        <is>
          <t>PR2827 .Y6</t>
        </is>
      </c>
      <c r="E602" t="inlineStr">
        <is>
          <t>0                      PR 2827000Y  6</t>
        </is>
      </c>
      <c r="F602" t="inlineStr">
        <is>
          <t>Something of great constancy : the art of A midsummer night's dream / by David P. Young.</t>
        </is>
      </c>
      <c r="H602" t="inlineStr">
        <is>
          <t>No</t>
        </is>
      </c>
      <c r="I602" t="inlineStr">
        <is>
          <t>1</t>
        </is>
      </c>
      <c r="J602" t="inlineStr">
        <is>
          <t>No</t>
        </is>
      </c>
      <c r="K602" t="inlineStr">
        <is>
          <t>No</t>
        </is>
      </c>
      <c r="L602" t="inlineStr">
        <is>
          <t>0</t>
        </is>
      </c>
      <c r="M602" t="inlineStr">
        <is>
          <t>Young, David, 1936-</t>
        </is>
      </c>
      <c r="N602" t="inlineStr">
        <is>
          <t>New Haven : Yale University Press, 1966.</t>
        </is>
      </c>
      <c r="O602" t="inlineStr">
        <is>
          <t>1966</t>
        </is>
      </c>
      <c r="Q602" t="inlineStr">
        <is>
          <t>eng</t>
        </is>
      </c>
      <c r="R602" t="inlineStr">
        <is>
          <t>ctu</t>
        </is>
      </c>
      <c r="S602" t="inlineStr">
        <is>
          <t>Yale studies in English ; v. 164</t>
        </is>
      </c>
      <c r="T602" t="inlineStr">
        <is>
          <t xml:space="preserve">PR </t>
        </is>
      </c>
      <c r="U602" t="n">
        <v>5</v>
      </c>
      <c r="V602" t="n">
        <v>5</v>
      </c>
      <c r="W602" t="inlineStr">
        <is>
          <t>2000-03-30</t>
        </is>
      </c>
      <c r="X602" t="inlineStr">
        <is>
          <t>2000-03-30</t>
        </is>
      </c>
      <c r="Y602" t="inlineStr">
        <is>
          <t>1993-11-23</t>
        </is>
      </c>
      <c r="Z602" t="inlineStr">
        <is>
          <t>1993-11-23</t>
        </is>
      </c>
      <c r="AA602" t="n">
        <v>701</v>
      </c>
      <c r="AB602" t="n">
        <v>577</v>
      </c>
      <c r="AC602" t="n">
        <v>589</v>
      </c>
      <c r="AD602" t="n">
        <v>6</v>
      </c>
      <c r="AE602" t="n">
        <v>6</v>
      </c>
      <c r="AF602" t="n">
        <v>34</v>
      </c>
      <c r="AG602" t="n">
        <v>35</v>
      </c>
      <c r="AH602" t="n">
        <v>12</v>
      </c>
      <c r="AI602" t="n">
        <v>12</v>
      </c>
      <c r="AJ602" t="n">
        <v>8</v>
      </c>
      <c r="AK602" t="n">
        <v>8</v>
      </c>
      <c r="AL602" t="n">
        <v>18</v>
      </c>
      <c r="AM602" t="n">
        <v>19</v>
      </c>
      <c r="AN602" t="n">
        <v>5</v>
      </c>
      <c r="AO602" t="n">
        <v>5</v>
      </c>
      <c r="AP602" t="n">
        <v>0</v>
      </c>
      <c r="AQ602" t="n">
        <v>0</v>
      </c>
      <c r="AR602" t="inlineStr">
        <is>
          <t>No</t>
        </is>
      </c>
      <c r="AS602" t="inlineStr">
        <is>
          <t>Yes</t>
        </is>
      </c>
      <c r="AT602">
        <f>HYPERLINK("http://catalog.hathitrust.org/Record/001112024","HathiTrust Record")</f>
        <v/>
      </c>
      <c r="AU602">
        <f>HYPERLINK("https://creighton-primo.hosted.exlibrisgroup.com/primo-explore/search?tab=default_tab&amp;search_scope=EVERYTHING&amp;vid=01CRU&amp;lang=en_US&amp;offset=0&amp;query=any,contains,991002183479702656","Catalog Record")</f>
        <v/>
      </c>
      <c r="AV602">
        <f>HYPERLINK("http://www.worldcat.org/oclc/279476","WorldCat Record")</f>
        <v/>
      </c>
      <c r="AW602" t="inlineStr">
        <is>
          <t>198081406:eng</t>
        </is>
      </c>
      <c r="AX602" t="inlineStr">
        <is>
          <t>279476</t>
        </is>
      </c>
      <c r="AY602" t="inlineStr">
        <is>
          <t>991002183479702656</t>
        </is>
      </c>
      <c r="AZ602" t="inlineStr">
        <is>
          <t>991002183479702656</t>
        </is>
      </c>
      <c r="BA602" t="inlineStr">
        <is>
          <t>2261751710002656</t>
        </is>
      </c>
      <c r="BB602" t="inlineStr">
        <is>
          <t>BOOK</t>
        </is>
      </c>
      <c r="BE602" t="inlineStr">
        <is>
          <t>32285001688117</t>
        </is>
      </c>
      <c r="BF602" t="inlineStr">
        <is>
          <t>893347202</t>
        </is>
      </c>
    </row>
    <row r="603">
      <c r="A603" t="inlineStr">
        <is>
          <t>No</t>
        </is>
      </c>
      <c r="B603" t="inlineStr">
        <is>
          <t>CURAL</t>
        </is>
      </c>
      <c r="C603" t="inlineStr">
        <is>
          <t>SHELVES</t>
        </is>
      </c>
      <c r="D603" t="inlineStr">
        <is>
          <t>PR2828 .P7</t>
        </is>
      </c>
      <c r="E603" t="inlineStr">
        <is>
          <t>0                      PR 2828000P  7</t>
        </is>
      </c>
      <c r="F603" t="inlineStr">
        <is>
          <t>The sources of Much ado about nothing : a critical study, together with the text of Peter Beverley's Ariodanto and Ieneura.</t>
        </is>
      </c>
      <c r="H603" t="inlineStr">
        <is>
          <t>No</t>
        </is>
      </c>
      <c r="I603" t="inlineStr">
        <is>
          <t>1</t>
        </is>
      </c>
      <c r="J603" t="inlineStr">
        <is>
          <t>No</t>
        </is>
      </c>
      <c r="K603" t="inlineStr">
        <is>
          <t>No</t>
        </is>
      </c>
      <c r="L603" t="inlineStr">
        <is>
          <t>0</t>
        </is>
      </c>
      <c r="M603" t="inlineStr">
        <is>
          <t>Prouty, Charles Tyler.</t>
        </is>
      </c>
      <c r="N603" t="inlineStr">
        <is>
          <t>New Haven : Yale University Press, 1950.</t>
        </is>
      </c>
      <c r="O603" t="inlineStr">
        <is>
          <t>1950</t>
        </is>
      </c>
      <c r="Q603" t="inlineStr">
        <is>
          <t>eng</t>
        </is>
      </c>
      <c r="R603" t="inlineStr">
        <is>
          <t>ctu</t>
        </is>
      </c>
      <c r="T603" t="inlineStr">
        <is>
          <t xml:space="preserve">PR </t>
        </is>
      </c>
      <c r="U603" t="n">
        <v>4</v>
      </c>
      <c r="V603" t="n">
        <v>4</v>
      </c>
      <c r="W603" t="inlineStr">
        <is>
          <t>2005-12-10</t>
        </is>
      </c>
      <c r="X603" t="inlineStr">
        <is>
          <t>2005-12-10</t>
        </is>
      </c>
      <c r="Y603" t="inlineStr">
        <is>
          <t>1993-09-03</t>
        </is>
      </c>
      <c r="Z603" t="inlineStr">
        <is>
          <t>1993-09-03</t>
        </is>
      </c>
      <c r="AA603" t="n">
        <v>325</v>
      </c>
      <c r="AB603" t="n">
        <v>278</v>
      </c>
      <c r="AC603" t="n">
        <v>426</v>
      </c>
      <c r="AD603" t="n">
        <v>4</v>
      </c>
      <c r="AE603" t="n">
        <v>4</v>
      </c>
      <c r="AF603" t="n">
        <v>22</v>
      </c>
      <c r="AG603" t="n">
        <v>30</v>
      </c>
      <c r="AH603" t="n">
        <v>10</v>
      </c>
      <c r="AI603" t="n">
        <v>12</v>
      </c>
      <c r="AJ603" t="n">
        <v>4</v>
      </c>
      <c r="AK603" t="n">
        <v>7</v>
      </c>
      <c r="AL603" t="n">
        <v>12</v>
      </c>
      <c r="AM603" t="n">
        <v>18</v>
      </c>
      <c r="AN603" t="n">
        <v>3</v>
      </c>
      <c r="AO603" t="n">
        <v>3</v>
      </c>
      <c r="AP603" t="n">
        <v>0</v>
      </c>
      <c r="AQ603" t="n">
        <v>0</v>
      </c>
      <c r="AR603" t="inlineStr">
        <is>
          <t>No</t>
        </is>
      </c>
      <c r="AS603" t="inlineStr">
        <is>
          <t>Yes</t>
        </is>
      </c>
      <c r="AT603">
        <f>HYPERLINK("http://catalog.hathitrust.org/Record/001017943","HathiTrust Record")</f>
        <v/>
      </c>
      <c r="AU603">
        <f>HYPERLINK("https://creighton-primo.hosted.exlibrisgroup.com/primo-explore/search?tab=default_tab&amp;search_scope=EVERYTHING&amp;vid=01CRU&amp;lang=en_US&amp;offset=0&amp;query=any,contains,991004338739702656","Catalog Record")</f>
        <v/>
      </c>
      <c r="AV603">
        <f>HYPERLINK("http://www.worldcat.org/oclc/3081563","WorldCat Record")</f>
        <v/>
      </c>
      <c r="AW603" t="inlineStr">
        <is>
          <t>1331670:eng</t>
        </is>
      </c>
      <c r="AX603" t="inlineStr">
        <is>
          <t>3081563</t>
        </is>
      </c>
      <c r="AY603" t="inlineStr">
        <is>
          <t>991004338739702656</t>
        </is>
      </c>
      <c r="AZ603" t="inlineStr">
        <is>
          <t>991004338739702656</t>
        </is>
      </c>
      <c r="BA603" t="inlineStr">
        <is>
          <t>2260090640002656</t>
        </is>
      </c>
      <c r="BB603" t="inlineStr">
        <is>
          <t>BOOK</t>
        </is>
      </c>
      <c r="BE603" t="inlineStr">
        <is>
          <t>32285001763159</t>
        </is>
      </c>
      <c r="BF603" t="inlineStr">
        <is>
          <t>893411408</t>
        </is>
      </c>
    </row>
    <row r="604">
      <c r="A604" t="inlineStr">
        <is>
          <t>No</t>
        </is>
      </c>
      <c r="B604" t="inlineStr">
        <is>
          <t>CURAL</t>
        </is>
      </c>
      <c r="C604" t="inlineStr">
        <is>
          <t>SHELVES</t>
        </is>
      </c>
      <c r="D604" t="inlineStr">
        <is>
          <t>PR2829 .C29 1989</t>
        </is>
      </c>
      <c r="E604" t="inlineStr">
        <is>
          <t>0                      PR 2829000C  29          1989</t>
        </is>
      </c>
      <c r="F604" t="inlineStr">
        <is>
          <t>The properties of Othello / James L. Calderwood.</t>
        </is>
      </c>
      <c r="H604" t="inlineStr">
        <is>
          <t>No</t>
        </is>
      </c>
      <c r="I604" t="inlineStr">
        <is>
          <t>1</t>
        </is>
      </c>
      <c r="J604" t="inlineStr">
        <is>
          <t>No</t>
        </is>
      </c>
      <c r="K604" t="inlineStr">
        <is>
          <t>No</t>
        </is>
      </c>
      <c r="L604" t="inlineStr">
        <is>
          <t>0</t>
        </is>
      </c>
      <c r="M604" t="inlineStr">
        <is>
          <t>Calderwood, James L.</t>
        </is>
      </c>
      <c r="N604" t="inlineStr">
        <is>
          <t>Amherst : University of Massachusetts Press, 1989.</t>
        </is>
      </c>
      <c r="O604" t="inlineStr">
        <is>
          <t>1989</t>
        </is>
      </c>
      <c r="Q604" t="inlineStr">
        <is>
          <t>eng</t>
        </is>
      </c>
      <c r="R604" t="inlineStr">
        <is>
          <t>mau</t>
        </is>
      </c>
      <c r="T604" t="inlineStr">
        <is>
          <t xml:space="preserve">PR </t>
        </is>
      </c>
      <c r="U604" t="n">
        <v>7</v>
      </c>
      <c r="V604" t="n">
        <v>7</v>
      </c>
      <c r="W604" t="inlineStr">
        <is>
          <t>2010-11-05</t>
        </is>
      </c>
      <c r="X604" t="inlineStr">
        <is>
          <t>2010-11-05</t>
        </is>
      </c>
      <c r="Y604" t="inlineStr">
        <is>
          <t>1989-11-07</t>
        </is>
      </c>
      <c r="Z604" t="inlineStr">
        <is>
          <t>1989-11-07</t>
        </is>
      </c>
      <c r="AA604" t="n">
        <v>572</v>
      </c>
      <c r="AB604" t="n">
        <v>470</v>
      </c>
      <c r="AC604" t="n">
        <v>1052</v>
      </c>
      <c r="AD604" t="n">
        <v>3</v>
      </c>
      <c r="AE604" t="n">
        <v>6</v>
      </c>
      <c r="AF604" t="n">
        <v>21</v>
      </c>
      <c r="AG604" t="n">
        <v>29</v>
      </c>
      <c r="AH604" t="n">
        <v>7</v>
      </c>
      <c r="AI604" t="n">
        <v>11</v>
      </c>
      <c r="AJ604" t="n">
        <v>3</v>
      </c>
      <c r="AK604" t="n">
        <v>6</v>
      </c>
      <c r="AL604" t="n">
        <v>13</v>
      </c>
      <c r="AM604" t="n">
        <v>17</v>
      </c>
      <c r="AN604" t="n">
        <v>2</v>
      </c>
      <c r="AO604" t="n">
        <v>4</v>
      </c>
      <c r="AP604" t="n">
        <v>0</v>
      </c>
      <c r="AQ604" t="n">
        <v>0</v>
      </c>
      <c r="AR604" t="inlineStr">
        <is>
          <t>No</t>
        </is>
      </c>
      <c r="AS604" t="inlineStr">
        <is>
          <t>Yes</t>
        </is>
      </c>
      <c r="AT604">
        <f>HYPERLINK("http://catalog.hathitrust.org/Record/001533462","HathiTrust Record")</f>
        <v/>
      </c>
      <c r="AU604">
        <f>HYPERLINK("https://creighton-primo.hosted.exlibrisgroup.com/primo-explore/search?tab=default_tab&amp;search_scope=EVERYTHING&amp;vid=01CRU&amp;lang=en_US&amp;offset=0&amp;query=any,contains,991001360439702656","Catalog Record")</f>
        <v/>
      </c>
      <c r="AV604">
        <f>HYPERLINK("http://www.worldcat.org/oclc/18520913","WorldCat Record")</f>
        <v/>
      </c>
      <c r="AW604" t="inlineStr">
        <is>
          <t>1031234:eng</t>
        </is>
      </c>
      <c r="AX604" t="inlineStr">
        <is>
          <t>18520913</t>
        </is>
      </c>
      <c r="AY604" t="inlineStr">
        <is>
          <t>991001360439702656</t>
        </is>
      </c>
      <c r="AZ604" t="inlineStr">
        <is>
          <t>991001360439702656</t>
        </is>
      </c>
      <c r="BA604" t="inlineStr">
        <is>
          <t>2268393240002656</t>
        </is>
      </c>
      <c r="BB604" t="inlineStr">
        <is>
          <t>BOOK</t>
        </is>
      </c>
      <c r="BD604" t="inlineStr">
        <is>
          <t>9780870236662</t>
        </is>
      </c>
      <c r="BE604" t="inlineStr">
        <is>
          <t>32285000012053</t>
        </is>
      </c>
      <c r="BF604" t="inlineStr">
        <is>
          <t>893596418</t>
        </is>
      </c>
    </row>
    <row r="605">
      <c r="A605" t="inlineStr">
        <is>
          <t>No</t>
        </is>
      </c>
      <c r="B605" t="inlineStr">
        <is>
          <t>CURAL</t>
        </is>
      </c>
      <c r="C605" t="inlineStr">
        <is>
          <t>SHELVES</t>
        </is>
      </c>
      <c r="D605" t="inlineStr">
        <is>
          <t>PR2829 .D4 1961</t>
        </is>
      </c>
      <c r="E605" t="inlineStr">
        <is>
          <t>0                      PR 2829000D  4           1961</t>
        </is>
      </c>
      <c r="F605" t="inlineStr">
        <is>
          <t>A casebook on Othello / edited by Leonard F. Dean.</t>
        </is>
      </c>
      <c r="H605" t="inlineStr">
        <is>
          <t>No</t>
        </is>
      </c>
      <c r="I605" t="inlineStr">
        <is>
          <t>1</t>
        </is>
      </c>
      <c r="J605" t="inlineStr">
        <is>
          <t>No</t>
        </is>
      </c>
      <c r="K605" t="inlineStr">
        <is>
          <t>No</t>
        </is>
      </c>
      <c r="L605" t="inlineStr">
        <is>
          <t>0</t>
        </is>
      </c>
      <c r="M605" t="inlineStr">
        <is>
          <t>Dean, Leonard F. (Leonard Fellows), 1909-1999, editor.</t>
        </is>
      </c>
      <c r="N605" t="inlineStr">
        <is>
          <t>New York : Crowell, c1961.</t>
        </is>
      </c>
      <c r="O605" t="inlineStr">
        <is>
          <t>1961</t>
        </is>
      </c>
      <c r="Q605" t="inlineStr">
        <is>
          <t>eng</t>
        </is>
      </c>
      <c r="R605" t="inlineStr">
        <is>
          <t>nyu</t>
        </is>
      </c>
      <c r="S605" t="inlineStr">
        <is>
          <t>Crowell literary casebooks</t>
        </is>
      </c>
      <c r="T605" t="inlineStr">
        <is>
          <t xml:space="preserve">PR </t>
        </is>
      </c>
      <c r="U605" t="n">
        <v>6</v>
      </c>
      <c r="V605" t="n">
        <v>6</v>
      </c>
      <c r="W605" t="inlineStr">
        <is>
          <t>2009-11-22</t>
        </is>
      </c>
      <c r="X605" t="inlineStr">
        <is>
          <t>2009-11-22</t>
        </is>
      </c>
      <c r="Y605" t="inlineStr">
        <is>
          <t>2001-07-12</t>
        </is>
      </c>
      <c r="Z605" t="inlineStr">
        <is>
          <t>2001-07-12</t>
        </is>
      </c>
      <c r="AA605" t="n">
        <v>554</v>
      </c>
      <c r="AB605" t="n">
        <v>504</v>
      </c>
      <c r="AC605" t="n">
        <v>571</v>
      </c>
      <c r="AD605" t="n">
        <v>6</v>
      </c>
      <c r="AE605" t="n">
        <v>7</v>
      </c>
      <c r="AF605" t="n">
        <v>27</v>
      </c>
      <c r="AG605" t="n">
        <v>30</v>
      </c>
      <c r="AH605" t="n">
        <v>10</v>
      </c>
      <c r="AI605" t="n">
        <v>11</v>
      </c>
      <c r="AJ605" t="n">
        <v>4</v>
      </c>
      <c r="AK605" t="n">
        <v>6</v>
      </c>
      <c r="AL605" t="n">
        <v>14</v>
      </c>
      <c r="AM605" t="n">
        <v>15</v>
      </c>
      <c r="AN605" t="n">
        <v>5</v>
      </c>
      <c r="AO605" t="n">
        <v>6</v>
      </c>
      <c r="AP605" t="n">
        <v>0</v>
      </c>
      <c r="AQ605" t="n">
        <v>0</v>
      </c>
      <c r="AR605" t="inlineStr">
        <is>
          <t>No</t>
        </is>
      </c>
      <c r="AS605" t="inlineStr">
        <is>
          <t>No</t>
        </is>
      </c>
      <c r="AU605">
        <f>HYPERLINK("https://creighton-primo.hosted.exlibrisgroup.com/primo-explore/search?tab=default_tab&amp;search_scope=EVERYTHING&amp;vid=01CRU&amp;lang=en_US&amp;offset=0&amp;query=any,contains,991003568079702656","Catalog Record")</f>
        <v/>
      </c>
      <c r="AV605">
        <f>HYPERLINK("http://www.worldcat.org/oclc/352776","WorldCat Record")</f>
        <v/>
      </c>
      <c r="AW605" t="inlineStr">
        <is>
          <t>763660712:eng</t>
        </is>
      </c>
      <c r="AX605" t="inlineStr">
        <is>
          <t>352776</t>
        </is>
      </c>
      <c r="AY605" t="inlineStr">
        <is>
          <t>991003568079702656</t>
        </is>
      </c>
      <c r="AZ605" t="inlineStr">
        <is>
          <t>991003568079702656</t>
        </is>
      </c>
      <c r="BA605" t="inlineStr">
        <is>
          <t>2265180160002656</t>
        </is>
      </c>
      <c r="BB605" t="inlineStr">
        <is>
          <t>BOOK</t>
        </is>
      </c>
      <c r="BE605" t="inlineStr">
        <is>
          <t>32285004332234</t>
        </is>
      </c>
      <c r="BF605" t="inlineStr">
        <is>
          <t>893330447</t>
        </is>
      </c>
    </row>
    <row r="606">
      <c r="A606" t="inlineStr">
        <is>
          <t>No</t>
        </is>
      </c>
      <c r="B606" t="inlineStr">
        <is>
          <t>CURAL</t>
        </is>
      </c>
      <c r="C606" t="inlineStr">
        <is>
          <t>SHELVES</t>
        </is>
      </c>
      <c r="D606" t="inlineStr">
        <is>
          <t>PR2829 .E6</t>
        </is>
      </c>
      <c r="E606" t="inlineStr">
        <is>
          <t>0                      PR 2829000E  6</t>
        </is>
      </c>
      <c r="F606" t="inlineStr">
        <is>
          <t>Flaming minister : a study of Othello as tragedy of love and hate.</t>
        </is>
      </c>
      <c r="H606" t="inlineStr">
        <is>
          <t>No</t>
        </is>
      </c>
      <c r="I606" t="inlineStr">
        <is>
          <t>1</t>
        </is>
      </c>
      <c r="J606" t="inlineStr">
        <is>
          <t>No</t>
        </is>
      </c>
      <c r="K606" t="inlineStr">
        <is>
          <t>Yes</t>
        </is>
      </c>
      <c r="L606" t="inlineStr">
        <is>
          <t>0</t>
        </is>
      </c>
      <c r="M606" t="inlineStr">
        <is>
          <t>Elliott, George Roy, 1883-1963.</t>
        </is>
      </c>
      <c r="N606" t="inlineStr">
        <is>
          <t>Durham, N.C. : Duke University Press, 1953.</t>
        </is>
      </c>
      <c r="O606" t="inlineStr">
        <is>
          <t>1953</t>
        </is>
      </c>
      <c r="Q606" t="inlineStr">
        <is>
          <t>eng</t>
        </is>
      </c>
      <c r="R606" t="inlineStr">
        <is>
          <t>ncu</t>
        </is>
      </c>
      <c r="T606" t="inlineStr">
        <is>
          <t xml:space="preserve">PR </t>
        </is>
      </c>
      <c r="U606" t="n">
        <v>3</v>
      </c>
      <c r="V606" t="n">
        <v>3</v>
      </c>
      <c r="W606" t="inlineStr">
        <is>
          <t>2003-11-24</t>
        </is>
      </c>
      <c r="X606" t="inlineStr">
        <is>
          <t>2003-11-24</t>
        </is>
      </c>
      <c r="Y606" t="inlineStr">
        <is>
          <t>1994-03-24</t>
        </is>
      </c>
      <c r="Z606" t="inlineStr">
        <is>
          <t>1994-03-24</t>
        </is>
      </c>
      <c r="AA606" t="n">
        <v>483</v>
      </c>
      <c r="AB606" t="n">
        <v>420</v>
      </c>
      <c r="AC606" t="n">
        <v>746</v>
      </c>
      <c r="AD606" t="n">
        <v>4</v>
      </c>
      <c r="AE606" t="n">
        <v>6</v>
      </c>
      <c r="AF606" t="n">
        <v>25</v>
      </c>
      <c r="AG606" t="n">
        <v>38</v>
      </c>
      <c r="AH606" t="n">
        <v>11</v>
      </c>
      <c r="AI606" t="n">
        <v>18</v>
      </c>
      <c r="AJ606" t="n">
        <v>4</v>
      </c>
      <c r="AK606" t="n">
        <v>6</v>
      </c>
      <c r="AL606" t="n">
        <v>14</v>
      </c>
      <c r="AM606" t="n">
        <v>18</v>
      </c>
      <c r="AN606" t="n">
        <v>3</v>
      </c>
      <c r="AO606" t="n">
        <v>5</v>
      </c>
      <c r="AP606" t="n">
        <v>0</v>
      </c>
      <c r="AQ606" t="n">
        <v>0</v>
      </c>
      <c r="AR606" t="inlineStr">
        <is>
          <t>Yes</t>
        </is>
      </c>
      <c r="AS606" t="inlineStr">
        <is>
          <t>No</t>
        </is>
      </c>
      <c r="AT606">
        <f>HYPERLINK("http://catalog.hathitrust.org/Record/001017951","HathiTrust Record")</f>
        <v/>
      </c>
      <c r="AU606">
        <f>HYPERLINK("https://creighton-primo.hosted.exlibrisgroup.com/primo-explore/search?tab=default_tab&amp;search_scope=EVERYTHING&amp;vid=01CRU&amp;lang=en_US&amp;offset=0&amp;query=any,contains,991004569359702656","Catalog Record")</f>
        <v/>
      </c>
      <c r="AV606">
        <f>HYPERLINK("http://www.worldcat.org/oclc/4012823","WorldCat Record")</f>
        <v/>
      </c>
      <c r="AW606" t="inlineStr">
        <is>
          <t>474462:eng</t>
        </is>
      </c>
      <c r="AX606" t="inlineStr">
        <is>
          <t>4012823</t>
        </is>
      </c>
      <c r="AY606" t="inlineStr">
        <is>
          <t>991004569359702656</t>
        </is>
      </c>
      <c r="AZ606" t="inlineStr">
        <is>
          <t>991004569359702656</t>
        </is>
      </c>
      <c r="BA606" t="inlineStr">
        <is>
          <t>2269483870002656</t>
        </is>
      </c>
      <c r="BB606" t="inlineStr">
        <is>
          <t>BOOK</t>
        </is>
      </c>
      <c r="BE606" t="inlineStr">
        <is>
          <t>32285001871705</t>
        </is>
      </c>
      <c r="BF606" t="inlineStr">
        <is>
          <t>893876259</t>
        </is>
      </c>
    </row>
    <row r="607">
      <c r="A607" t="inlineStr">
        <is>
          <t>No</t>
        </is>
      </c>
      <c r="B607" t="inlineStr">
        <is>
          <t>CURAL</t>
        </is>
      </c>
      <c r="C607" t="inlineStr">
        <is>
          <t>SHELVES</t>
        </is>
      </c>
      <c r="D607" t="inlineStr">
        <is>
          <t>PR2829 .E64 1988</t>
        </is>
      </c>
      <c r="E607" t="inlineStr">
        <is>
          <t>0                      PR 2829000E  64          1988</t>
        </is>
      </c>
      <c r="F607" t="inlineStr">
        <is>
          <t>Shakespeare's invention of Othello : a study in early modern English / Martin Elliott.</t>
        </is>
      </c>
      <c r="H607" t="inlineStr">
        <is>
          <t>No</t>
        </is>
      </c>
      <c r="I607" t="inlineStr">
        <is>
          <t>1</t>
        </is>
      </c>
      <c r="J607" t="inlineStr">
        <is>
          <t>No</t>
        </is>
      </c>
      <c r="K607" t="inlineStr">
        <is>
          <t>No</t>
        </is>
      </c>
      <c r="L607" t="inlineStr">
        <is>
          <t>0</t>
        </is>
      </c>
      <c r="M607" t="inlineStr">
        <is>
          <t>Elliott, Martin, 1943-</t>
        </is>
      </c>
      <c r="N607" t="inlineStr">
        <is>
          <t>New York : St. Martin's Press, 1988.</t>
        </is>
      </c>
      <c r="O607" t="inlineStr">
        <is>
          <t>1988</t>
        </is>
      </c>
      <c r="Q607" t="inlineStr">
        <is>
          <t>eng</t>
        </is>
      </c>
      <c r="R607" t="inlineStr">
        <is>
          <t>nyu</t>
        </is>
      </c>
      <c r="S607" t="inlineStr">
        <is>
          <t>Contemporary interpretations of Shakespeare</t>
        </is>
      </c>
      <c r="T607" t="inlineStr">
        <is>
          <t xml:space="preserve">PR </t>
        </is>
      </c>
      <c r="U607" t="n">
        <v>3</v>
      </c>
      <c r="V607" t="n">
        <v>3</v>
      </c>
      <c r="W607" t="inlineStr">
        <is>
          <t>2004-10-28</t>
        </is>
      </c>
      <c r="X607" t="inlineStr">
        <is>
          <t>2004-10-28</t>
        </is>
      </c>
      <c r="Y607" t="inlineStr">
        <is>
          <t>1991-10-23</t>
        </is>
      </c>
      <c r="Z607" t="inlineStr">
        <is>
          <t>1991-10-23</t>
        </is>
      </c>
      <c r="AA607" t="n">
        <v>229</v>
      </c>
      <c r="AB607" t="n">
        <v>201</v>
      </c>
      <c r="AC607" t="n">
        <v>251</v>
      </c>
      <c r="AD607" t="n">
        <v>1</v>
      </c>
      <c r="AE607" t="n">
        <v>3</v>
      </c>
      <c r="AF607" t="n">
        <v>10</v>
      </c>
      <c r="AG607" t="n">
        <v>14</v>
      </c>
      <c r="AH607" t="n">
        <v>3</v>
      </c>
      <c r="AI607" t="n">
        <v>3</v>
      </c>
      <c r="AJ607" t="n">
        <v>2</v>
      </c>
      <c r="AK607" t="n">
        <v>4</v>
      </c>
      <c r="AL607" t="n">
        <v>9</v>
      </c>
      <c r="AM607" t="n">
        <v>11</v>
      </c>
      <c r="AN607" t="n">
        <v>0</v>
      </c>
      <c r="AO607" t="n">
        <v>2</v>
      </c>
      <c r="AP607" t="n">
        <v>0</v>
      </c>
      <c r="AQ607" t="n">
        <v>0</v>
      </c>
      <c r="AR607" t="inlineStr">
        <is>
          <t>No</t>
        </is>
      </c>
      <c r="AS607" t="inlineStr">
        <is>
          <t>No</t>
        </is>
      </c>
      <c r="AU607">
        <f>HYPERLINK("https://creighton-primo.hosted.exlibrisgroup.com/primo-explore/search?tab=default_tab&amp;search_scope=EVERYTHING&amp;vid=01CRU&amp;lang=en_US&amp;offset=0&amp;query=any,contains,991001157219702656","Catalog Record")</f>
        <v/>
      </c>
      <c r="AV607">
        <f>HYPERLINK("http://www.worldcat.org/oclc/16867930","WorldCat Record")</f>
        <v/>
      </c>
      <c r="AW607" t="inlineStr">
        <is>
          <t>198919261:eng</t>
        </is>
      </c>
      <c r="AX607" t="inlineStr">
        <is>
          <t>16867930</t>
        </is>
      </c>
      <c r="AY607" t="inlineStr">
        <is>
          <t>991001157219702656</t>
        </is>
      </c>
      <c r="AZ607" t="inlineStr">
        <is>
          <t>991001157219702656</t>
        </is>
      </c>
      <c r="BA607" t="inlineStr">
        <is>
          <t>2256022000002656</t>
        </is>
      </c>
      <c r="BB607" t="inlineStr">
        <is>
          <t>BOOK</t>
        </is>
      </c>
      <c r="BD607" t="inlineStr">
        <is>
          <t>9780312016227</t>
        </is>
      </c>
      <c r="BE607" t="inlineStr">
        <is>
          <t>32285000778844</t>
        </is>
      </c>
      <c r="BF607" t="inlineStr">
        <is>
          <t>893237915</t>
        </is>
      </c>
    </row>
    <row r="608">
      <c r="A608" t="inlineStr">
        <is>
          <t>No</t>
        </is>
      </c>
      <c r="B608" t="inlineStr">
        <is>
          <t>CURAL</t>
        </is>
      </c>
      <c r="C608" t="inlineStr">
        <is>
          <t>SHELVES</t>
        </is>
      </c>
      <c r="D608" t="inlineStr">
        <is>
          <t>PR2829 .G37</t>
        </is>
      </c>
      <c r="E608" t="inlineStr">
        <is>
          <t>0                      PR 2829000G  37</t>
        </is>
      </c>
      <c r="F608" t="inlineStr">
        <is>
          <t>The principles and practice of criticism : Othello, The merry wives, Hamlet ; [lectures]</t>
        </is>
      </c>
      <c r="H608" t="inlineStr">
        <is>
          <t>No</t>
        </is>
      </c>
      <c r="I608" t="inlineStr">
        <is>
          <t>1</t>
        </is>
      </c>
      <c r="J608" t="inlineStr">
        <is>
          <t>No</t>
        </is>
      </c>
      <c r="K608" t="inlineStr">
        <is>
          <t>No</t>
        </is>
      </c>
      <c r="L608" t="inlineStr">
        <is>
          <t>0</t>
        </is>
      </c>
      <c r="M608" t="inlineStr">
        <is>
          <t>Gilbert, Allan H., 1888-1987.</t>
        </is>
      </c>
      <c r="N608" t="inlineStr">
        <is>
          <t>Detroit : Wayne State University Press, 1959.</t>
        </is>
      </c>
      <c r="O608" t="inlineStr">
        <is>
          <t>1959</t>
        </is>
      </c>
      <c r="Q608" t="inlineStr">
        <is>
          <t>eng</t>
        </is>
      </c>
      <c r="R608" t="inlineStr">
        <is>
          <t>miu</t>
        </is>
      </c>
      <c r="T608" t="inlineStr">
        <is>
          <t xml:space="preserve">PR </t>
        </is>
      </c>
      <c r="U608" t="n">
        <v>4</v>
      </c>
      <c r="V608" t="n">
        <v>4</v>
      </c>
      <c r="W608" t="inlineStr">
        <is>
          <t>2004-11-09</t>
        </is>
      </c>
      <c r="X608" t="inlineStr">
        <is>
          <t>2004-11-09</t>
        </is>
      </c>
      <c r="Y608" t="inlineStr">
        <is>
          <t>1993-11-02</t>
        </is>
      </c>
      <c r="Z608" t="inlineStr">
        <is>
          <t>1993-11-02</t>
        </is>
      </c>
      <c r="AA608" t="n">
        <v>518</v>
      </c>
      <c r="AB608" t="n">
        <v>493</v>
      </c>
      <c r="AC608" t="n">
        <v>575</v>
      </c>
      <c r="AD608" t="n">
        <v>8</v>
      </c>
      <c r="AE608" t="n">
        <v>8</v>
      </c>
      <c r="AF608" t="n">
        <v>32</v>
      </c>
      <c r="AG608" t="n">
        <v>34</v>
      </c>
      <c r="AH608" t="n">
        <v>8</v>
      </c>
      <c r="AI608" t="n">
        <v>8</v>
      </c>
      <c r="AJ608" t="n">
        <v>7</v>
      </c>
      <c r="AK608" t="n">
        <v>8</v>
      </c>
      <c r="AL608" t="n">
        <v>15</v>
      </c>
      <c r="AM608" t="n">
        <v>16</v>
      </c>
      <c r="AN608" t="n">
        <v>7</v>
      </c>
      <c r="AO608" t="n">
        <v>7</v>
      </c>
      <c r="AP608" t="n">
        <v>0</v>
      </c>
      <c r="AQ608" t="n">
        <v>0</v>
      </c>
      <c r="AR608" t="inlineStr">
        <is>
          <t>No</t>
        </is>
      </c>
      <c r="AS608" t="inlineStr">
        <is>
          <t>Yes</t>
        </is>
      </c>
      <c r="AT608">
        <f>HYPERLINK("http://catalog.hathitrust.org/Record/001017954","HathiTrust Record")</f>
        <v/>
      </c>
      <c r="AU608">
        <f>HYPERLINK("https://creighton-primo.hosted.exlibrisgroup.com/primo-explore/search?tab=default_tab&amp;search_scope=EVERYTHING&amp;vid=01CRU&amp;lang=en_US&amp;offset=0&amp;query=any,contains,991003859769702656","Catalog Record")</f>
        <v/>
      </c>
      <c r="AV608">
        <f>HYPERLINK("http://www.worldcat.org/oclc/1663116","WorldCat Record")</f>
        <v/>
      </c>
      <c r="AW608" t="inlineStr">
        <is>
          <t>474508:eng</t>
        </is>
      </c>
      <c r="AX608" t="inlineStr">
        <is>
          <t>1663116</t>
        </is>
      </c>
      <c r="AY608" t="inlineStr">
        <is>
          <t>991003859769702656</t>
        </is>
      </c>
      <c r="AZ608" t="inlineStr">
        <is>
          <t>991003859769702656</t>
        </is>
      </c>
      <c r="BA608" t="inlineStr">
        <is>
          <t>2270097660002656</t>
        </is>
      </c>
      <c r="BB608" t="inlineStr">
        <is>
          <t>BOOK</t>
        </is>
      </c>
      <c r="BE608" t="inlineStr">
        <is>
          <t>32285001795862</t>
        </is>
      </c>
      <c r="BF608" t="inlineStr">
        <is>
          <t>893722127</t>
        </is>
      </c>
    </row>
    <row r="609">
      <c r="A609" t="inlineStr">
        <is>
          <t>No</t>
        </is>
      </c>
      <c r="B609" t="inlineStr">
        <is>
          <t>CURAL</t>
        </is>
      </c>
      <c r="C609" t="inlineStr">
        <is>
          <t>SHELVES</t>
        </is>
      </c>
      <c r="D609" t="inlineStr">
        <is>
          <t>PR2829 .H35 1999</t>
        </is>
      </c>
      <c r="E609" t="inlineStr">
        <is>
          <t>0                      PR 2829000H  35          1999</t>
        </is>
      </c>
      <c r="F609" t="inlineStr">
        <is>
          <t>Othello : a guide to the play / Joan Lord Hall.</t>
        </is>
      </c>
      <c r="H609" t="inlineStr">
        <is>
          <t>No</t>
        </is>
      </c>
      <c r="I609" t="inlineStr">
        <is>
          <t>1</t>
        </is>
      </c>
      <c r="J609" t="inlineStr">
        <is>
          <t>No</t>
        </is>
      </c>
      <c r="K609" t="inlineStr">
        <is>
          <t>No</t>
        </is>
      </c>
      <c r="L609" t="inlineStr">
        <is>
          <t>0</t>
        </is>
      </c>
      <c r="M609" t="inlineStr">
        <is>
          <t>Hall, Joan Lord.</t>
        </is>
      </c>
      <c r="N609" t="inlineStr">
        <is>
          <t>Westport, Conn. : Greenwood Press, 1999.</t>
        </is>
      </c>
      <c r="O609" t="inlineStr">
        <is>
          <t>1999</t>
        </is>
      </c>
      <c r="Q609" t="inlineStr">
        <is>
          <t>eng</t>
        </is>
      </c>
      <c r="R609" t="inlineStr">
        <is>
          <t>ctu</t>
        </is>
      </c>
      <c r="S609" t="inlineStr">
        <is>
          <t>Greenwood guides to Shakespeare</t>
        </is>
      </c>
      <c r="T609" t="inlineStr">
        <is>
          <t xml:space="preserve">PR </t>
        </is>
      </c>
      <c r="U609" t="n">
        <v>4</v>
      </c>
      <c r="V609" t="n">
        <v>4</v>
      </c>
      <c r="W609" t="inlineStr">
        <is>
          <t>2004-10-28</t>
        </is>
      </c>
      <c r="X609" t="inlineStr">
        <is>
          <t>2004-10-28</t>
        </is>
      </c>
      <c r="Y609" t="inlineStr">
        <is>
          <t>2000-07-20</t>
        </is>
      </c>
      <c r="Z609" t="inlineStr">
        <is>
          <t>2000-07-20</t>
        </is>
      </c>
      <c r="AA609" t="n">
        <v>795</v>
      </c>
      <c r="AB609" t="n">
        <v>716</v>
      </c>
      <c r="AC609" t="n">
        <v>718</v>
      </c>
      <c r="AD609" t="n">
        <v>4</v>
      </c>
      <c r="AE609" t="n">
        <v>4</v>
      </c>
      <c r="AF609" t="n">
        <v>32</v>
      </c>
      <c r="AG609" t="n">
        <v>32</v>
      </c>
      <c r="AH609" t="n">
        <v>15</v>
      </c>
      <c r="AI609" t="n">
        <v>15</v>
      </c>
      <c r="AJ609" t="n">
        <v>8</v>
      </c>
      <c r="AK609" t="n">
        <v>8</v>
      </c>
      <c r="AL609" t="n">
        <v>16</v>
      </c>
      <c r="AM609" t="n">
        <v>16</v>
      </c>
      <c r="AN609" t="n">
        <v>3</v>
      </c>
      <c r="AO609" t="n">
        <v>3</v>
      </c>
      <c r="AP609" t="n">
        <v>0</v>
      </c>
      <c r="AQ609" t="n">
        <v>0</v>
      </c>
      <c r="AR609" t="inlineStr">
        <is>
          <t>No</t>
        </is>
      </c>
      <c r="AS609" t="inlineStr">
        <is>
          <t>Yes</t>
        </is>
      </c>
      <c r="AT609">
        <f>HYPERLINK("http://catalog.hathitrust.org/Record/004041228","HathiTrust Record")</f>
        <v/>
      </c>
      <c r="AU609">
        <f>HYPERLINK("https://creighton-primo.hosted.exlibrisgroup.com/primo-explore/search?tab=default_tab&amp;search_scope=EVERYTHING&amp;vid=01CRU&amp;lang=en_US&amp;offset=0&amp;query=any,contains,991003209109702656","Catalog Record")</f>
        <v/>
      </c>
      <c r="AV609">
        <f>HYPERLINK("http://www.worldcat.org/oclc/40158944","WorldCat Record")</f>
        <v/>
      </c>
      <c r="AW609" t="inlineStr">
        <is>
          <t>366078683:eng</t>
        </is>
      </c>
      <c r="AX609" t="inlineStr">
        <is>
          <t>40158944</t>
        </is>
      </c>
      <c r="AY609" t="inlineStr">
        <is>
          <t>991003209109702656</t>
        </is>
      </c>
      <c r="AZ609" t="inlineStr">
        <is>
          <t>991003209109702656</t>
        </is>
      </c>
      <c r="BA609" t="inlineStr">
        <is>
          <t>2261760050002656</t>
        </is>
      </c>
      <c r="BB609" t="inlineStr">
        <is>
          <t>BOOK</t>
        </is>
      </c>
      <c r="BD609" t="inlineStr">
        <is>
          <t>9780313302633</t>
        </is>
      </c>
      <c r="BE609" t="inlineStr">
        <is>
          <t>32285003712436</t>
        </is>
      </c>
      <c r="BF609" t="inlineStr">
        <is>
          <t>893717417</t>
        </is>
      </c>
    </row>
    <row r="610">
      <c r="A610" t="inlineStr">
        <is>
          <t>No</t>
        </is>
      </c>
      <c r="B610" t="inlineStr">
        <is>
          <t>CURAL</t>
        </is>
      </c>
      <c r="C610" t="inlineStr">
        <is>
          <t>SHELVES</t>
        </is>
      </c>
      <c r="D610" t="inlineStr">
        <is>
          <t>PR2829 .R8 1993</t>
        </is>
      </c>
      <c r="E610" t="inlineStr">
        <is>
          <t>0                      PR 2829000R  8           1993</t>
        </is>
      </c>
      <c r="F610" t="inlineStr">
        <is>
          <t>Pragmatic approaches to Shakespeare : essays on Othello, Coriolanus, and Timon of Athens / Juhani Rudanko.</t>
        </is>
      </c>
      <c r="H610" t="inlineStr">
        <is>
          <t>No</t>
        </is>
      </c>
      <c r="I610" t="inlineStr">
        <is>
          <t>1</t>
        </is>
      </c>
      <c r="J610" t="inlineStr">
        <is>
          <t>No</t>
        </is>
      </c>
      <c r="K610" t="inlineStr">
        <is>
          <t>No</t>
        </is>
      </c>
      <c r="L610" t="inlineStr">
        <is>
          <t>0</t>
        </is>
      </c>
      <c r="M610" t="inlineStr">
        <is>
          <t>Rudanko, Martti Juhani.</t>
        </is>
      </c>
      <c r="N610" t="inlineStr">
        <is>
          <t>Lanham : University Press of America, c1993.</t>
        </is>
      </c>
      <c r="O610" t="inlineStr">
        <is>
          <t>1993</t>
        </is>
      </c>
      <c r="Q610" t="inlineStr">
        <is>
          <t>eng</t>
        </is>
      </c>
      <c r="R610" t="inlineStr">
        <is>
          <t>mdu</t>
        </is>
      </c>
      <c r="T610" t="inlineStr">
        <is>
          <t xml:space="preserve">PR </t>
        </is>
      </c>
      <c r="U610" t="n">
        <v>6</v>
      </c>
      <c r="V610" t="n">
        <v>6</v>
      </c>
      <c r="W610" t="inlineStr">
        <is>
          <t>2004-10-28</t>
        </is>
      </c>
      <c r="X610" t="inlineStr">
        <is>
          <t>2004-10-28</t>
        </is>
      </c>
      <c r="Y610" t="inlineStr">
        <is>
          <t>1996-12-18</t>
        </is>
      </c>
      <c r="Z610" t="inlineStr">
        <is>
          <t>1996-12-18</t>
        </is>
      </c>
      <c r="AA610" t="n">
        <v>179</v>
      </c>
      <c r="AB610" t="n">
        <v>128</v>
      </c>
      <c r="AC610" t="n">
        <v>128</v>
      </c>
      <c r="AD610" t="n">
        <v>3</v>
      </c>
      <c r="AE610" t="n">
        <v>3</v>
      </c>
      <c r="AF610" t="n">
        <v>8</v>
      </c>
      <c r="AG610" t="n">
        <v>8</v>
      </c>
      <c r="AH610" t="n">
        <v>2</v>
      </c>
      <c r="AI610" t="n">
        <v>2</v>
      </c>
      <c r="AJ610" t="n">
        <v>1</v>
      </c>
      <c r="AK610" t="n">
        <v>1</v>
      </c>
      <c r="AL610" t="n">
        <v>6</v>
      </c>
      <c r="AM610" t="n">
        <v>6</v>
      </c>
      <c r="AN610" t="n">
        <v>2</v>
      </c>
      <c r="AO610" t="n">
        <v>2</v>
      </c>
      <c r="AP610" t="n">
        <v>0</v>
      </c>
      <c r="AQ610" t="n">
        <v>0</v>
      </c>
      <c r="AR610" t="inlineStr">
        <is>
          <t>No</t>
        </is>
      </c>
      <c r="AS610" t="inlineStr">
        <is>
          <t>No</t>
        </is>
      </c>
      <c r="AU610">
        <f>HYPERLINK("https://creighton-primo.hosted.exlibrisgroup.com/primo-explore/search?tab=default_tab&amp;search_scope=EVERYTHING&amp;vid=01CRU&amp;lang=en_US&amp;offset=0&amp;query=any,contains,991002158139702656","Catalog Record")</f>
        <v/>
      </c>
      <c r="AV610">
        <f>HYPERLINK("http://www.worldcat.org/oclc/27810947","WorldCat Record")</f>
        <v/>
      </c>
      <c r="AW610" t="inlineStr">
        <is>
          <t>865278913:eng</t>
        </is>
      </c>
      <c r="AX610" t="inlineStr">
        <is>
          <t>27810947</t>
        </is>
      </c>
      <c r="AY610" t="inlineStr">
        <is>
          <t>991002158139702656</t>
        </is>
      </c>
      <c r="AZ610" t="inlineStr">
        <is>
          <t>991002158139702656</t>
        </is>
      </c>
      <c r="BA610" t="inlineStr">
        <is>
          <t>2259297790002656</t>
        </is>
      </c>
      <c r="BB610" t="inlineStr">
        <is>
          <t>BOOK</t>
        </is>
      </c>
      <c r="BD610" t="inlineStr">
        <is>
          <t>9780819191076</t>
        </is>
      </c>
      <c r="BE610" t="inlineStr">
        <is>
          <t>32285002400207</t>
        </is>
      </c>
      <c r="BF610" t="inlineStr">
        <is>
          <t>893534879</t>
        </is>
      </c>
    </row>
    <row r="611">
      <c r="A611" t="inlineStr">
        <is>
          <t>No</t>
        </is>
      </c>
      <c r="B611" t="inlineStr">
        <is>
          <t>CURAL</t>
        </is>
      </c>
      <c r="C611" t="inlineStr">
        <is>
          <t>SHELVES</t>
        </is>
      </c>
      <c r="D611" t="inlineStr">
        <is>
          <t>PR2829 .S75 1967</t>
        </is>
      </c>
      <c r="E611" t="inlineStr">
        <is>
          <t>0                      PR 2829000S  75          1967</t>
        </is>
      </c>
      <c r="F611" t="inlineStr">
        <is>
          <t>Othello : an historical and comparative study.</t>
        </is>
      </c>
      <c r="H611" t="inlineStr">
        <is>
          <t>No</t>
        </is>
      </c>
      <c r="I611" t="inlineStr">
        <is>
          <t>1</t>
        </is>
      </c>
      <c r="J611" t="inlineStr">
        <is>
          <t>No</t>
        </is>
      </c>
      <c r="K611" t="inlineStr">
        <is>
          <t>No</t>
        </is>
      </c>
      <c r="L611" t="inlineStr">
        <is>
          <t>0</t>
        </is>
      </c>
      <c r="M611" t="inlineStr">
        <is>
          <t>Stoll, Elmer Edgar, 1874-1959.</t>
        </is>
      </c>
      <c r="N611" t="inlineStr">
        <is>
          <t>New York : Gordian Press, 1967.</t>
        </is>
      </c>
      <c r="O611" t="inlineStr">
        <is>
          <t>1967</t>
        </is>
      </c>
      <c r="Q611" t="inlineStr">
        <is>
          <t>eng</t>
        </is>
      </c>
      <c r="R611" t="inlineStr">
        <is>
          <t>nyu</t>
        </is>
      </c>
      <c r="T611" t="inlineStr">
        <is>
          <t xml:space="preserve">PR </t>
        </is>
      </c>
      <c r="U611" t="n">
        <v>6</v>
      </c>
      <c r="V611" t="n">
        <v>6</v>
      </c>
      <c r="W611" t="inlineStr">
        <is>
          <t>2003-11-24</t>
        </is>
      </c>
      <c r="X611" t="inlineStr">
        <is>
          <t>2003-11-24</t>
        </is>
      </c>
      <c r="Y611" t="inlineStr">
        <is>
          <t>1991-12-04</t>
        </is>
      </c>
      <c r="Z611" t="inlineStr">
        <is>
          <t>1991-12-04</t>
        </is>
      </c>
      <c r="AA611" t="n">
        <v>399</v>
      </c>
      <c r="AB611" t="n">
        <v>365</v>
      </c>
      <c r="AC611" t="n">
        <v>754</v>
      </c>
      <c r="AD611" t="n">
        <v>5</v>
      </c>
      <c r="AE611" t="n">
        <v>8</v>
      </c>
      <c r="AF611" t="n">
        <v>15</v>
      </c>
      <c r="AG611" t="n">
        <v>39</v>
      </c>
      <c r="AH611" t="n">
        <v>4</v>
      </c>
      <c r="AI611" t="n">
        <v>15</v>
      </c>
      <c r="AJ611" t="n">
        <v>4</v>
      </c>
      <c r="AK611" t="n">
        <v>7</v>
      </c>
      <c r="AL611" t="n">
        <v>6</v>
      </c>
      <c r="AM611" t="n">
        <v>17</v>
      </c>
      <c r="AN611" t="n">
        <v>4</v>
      </c>
      <c r="AO611" t="n">
        <v>7</v>
      </c>
      <c r="AP611" t="n">
        <v>0</v>
      </c>
      <c r="AQ611" t="n">
        <v>0</v>
      </c>
      <c r="AR611" t="inlineStr">
        <is>
          <t>No</t>
        </is>
      </c>
      <c r="AS611" t="inlineStr">
        <is>
          <t>Yes</t>
        </is>
      </c>
      <c r="AT611">
        <f>HYPERLINK("http://catalog.hathitrust.org/Record/001112027","HathiTrust Record")</f>
        <v/>
      </c>
      <c r="AU611">
        <f>HYPERLINK("https://creighton-primo.hosted.exlibrisgroup.com/primo-explore/search?tab=default_tab&amp;search_scope=EVERYTHING&amp;vid=01CRU&amp;lang=en_US&amp;offset=0&amp;query=any,contains,991002450569702656","Catalog Record")</f>
        <v/>
      </c>
      <c r="AV611">
        <f>HYPERLINK("http://www.worldcat.org/oclc/352786","WorldCat Record")</f>
        <v/>
      </c>
      <c r="AW611" t="inlineStr">
        <is>
          <t>583178:eng</t>
        </is>
      </c>
      <c r="AX611" t="inlineStr">
        <is>
          <t>352786</t>
        </is>
      </c>
      <c r="AY611" t="inlineStr">
        <is>
          <t>991002450569702656</t>
        </is>
      </c>
      <c r="AZ611" t="inlineStr">
        <is>
          <t>991002450569702656</t>
        </is>
      </c>
      <c r="BA611" t="inlineStr">
        <is>
          <t>2265199890002656</t>
        </is>
      </c>
      <c r="BB611" t="inlineStr">
        <is>
          <t>BOOK</t>
        </is>
      </c>
      <c r="BE611" t="inlineStr">
        <is>
          <t>32285000844588</t>
        </is>
      </c>
      <c r="BF611" t="inlineStr">
        <is>
          <t>893886295</t>
        </is>
      </c>
    </row>
    <row r="612">
      <c r="A612" t="inlineStr">
        <is>
          <t>No</t>
        </is>
      </c>
      <c r="B612" t="inlineStr">
        <is>
          <t>CURAL</t>
        </is>
      </c>
      <c r="C612" t="inlineStr">
        <is>
          <t>SHELVES</t>
        </is>
      </c>
      <c r="D612" t="inlineStr">
        <is>
          <t>PR2829.E4 F5 1965</t>
        </is>
      </c>
      <c r="E612" t="inlineStr">
        <is>
          <t>0                      PR 2829000E  4                  F  5           1965</t>
        </is>
      </c>
      <c r="F612" t="inlineStr">
        <is>
          <t>Flaming minister : a study of Othello as tragedy of love and hate.</t>
        </is>
      </c>
      <c r="H612" t="inlineStr">
        <is>
          <t>No</t>
        </is>
      </c>
      <c r="I612" t="inlineStr">
        <is>
          <t>1</t>
        </is>
      </c>
      <c r="J612" t="inlineStr">
        <is>
          <t>No</t>
        </is>
      </c>
      <c r="K612" t="inlineStr">
        <is>
          <t>Yes</t>
        </is>
      </c>
      <c r="L612" t="inlineStr">
        <is>
          <t>0</t>
        </is>
      </c>
      <c r="M612" t="inlineStr">
        <is>
          <t>Elliott, George Roy, 1883-1963.</t>
        </is>
      </c>
      <c r="N612" t="inlineStr">
        <is>
          <t>New York : AMS Press, 1965.</t>
        </is>
      </c>
      <c r="O612" t="inlineStr">
        <is>
          <t>1965</t>
        </is>
      </c>
      <c r="Q612" t="inlineStr">
        <is>
          <t>eng</t>
        </is>
      </c>
      <c r="R612" t="inlineStr">
        <is>
          <t>nyu</t>
        </is>
      </c>
      <c r="T612" t="inlineStr">
        <is>
          <t xml:space="preserve">PR </t>
        </is>
      </c>
      <c r="U612" t="n">
        <v>1</v>
      </c>
      <c r="V612" t="n">
        <v>1</v>
      </c>
      <c r="W612" t="inlineStr">
        <is>
          <t>2003-11-24</t>
        </is>
      </c>
      <c r="X612" t="inlineStr">
        <is>
          <t>2003-11-24</t>
        </is>
      </c>
      <c r="Y612" t="inlineStr">
        <is>
          <t>1990-12-28</t>
        </is>
      </c>
      <c r="Z612" t="inlineStr">
        <is>
          <t>1990-12-28</t>
        </is>
      </c>
      <c r="AA612" t="n">
        <v>407</v>
      </c>
      <c r="AB612" t="n">
        <v>353</v>
      </c>
      <c r="AC612" t="n">
        <v>746</v>
      </c>
      <c r="AD612" t="n">
        <v>3</v>
      </c>
      <c r="AE612" t="n">
        <v>6</v>
      </c>
      <c r="AF612" t="n">
        <v>15</v>
      </c>
      <c r="AG612" t="n">
        <v>38</v>
      </c>
      <c r="AH612" t="n">
        <v>8</v>
      </c>
      <c r="AI612" t="n">
        <v>18</v>
      </c>
      <c r="AJ612" t="n">
        <v>2</v>
      </c>
      <c r="AK612" t="n">
        <v>6</v>
      </c>
      <c r="AL612" t="n">
        <v>5</v>
      </c>
      <c r="AM612" t="n">
        <v>18</v>
      </c>
      <c r="AN612" t="n">
        <v>2</v>
      </c>
      <c r="AO612" t="n">
        <v>5</v>
      </c>
      <c r="AP612" t="n">
        <v>0</v>
      </c>
      <c r="AQ612" t="n">
        <v>0</v>
      </c>
      <c r="AR612" t="inlineStr">
        <is>
          <t>No</t>
        </is>
      </c>
      <c r="AS612" t="inlineStr">
        <is>
          <t>Yes</t>
        </is>
      </c>
      <c r="AT612">
        <f>HYPERLINK("http://catalog.hathitrust.org/Record/009913518","HathiTrust Record")</f>
        <v/>
      </c>
      <c r="AU612">
        <f>HYPERLINK("https://creighton-primo.hosted.exlibrisgroup.com/primo-explore/search?tab=default_tab&amp;search_scope=EVERYTHING&amp;vid=01CRU&amp;lang=en_US&amp;offset=0&amp;query=any,contains,991000881489702656","Catalog Record")</f>
        <v/>
      </c>
      <c r="AV612">
        <f>HYPERLINK("http://www.worldcat.org/oclc/13834740","WorldCat Record")</f>
        <v/>
      </c>
      <c r="AW612" t="inlineStr">
        <is>
          <t>474462:eng</t>
        </is>
      </c>
      <c r="AX612" t="inlineStr">
        <is>
          <t>13834740</t>
        </is>
      </c>
      <c r="AY612" t="inlineStr">
        <is>
          <t>991000881489702656</t>
        </is>
      </c>
      <c r="AZ612" t="inlineStr">
        <is>
          <t>991000881489702656</t>
        </is>
      </c>
      <c r="BA612" t="inlineStr">
        <is>
          <t>2265178420002656</t>
        </is>
      </c>
      <c r="BB612" t="inlineStr">
        <is>
          <t>BOOK</t>
        </is>
      </c>
      <c r="BE612" t="inlineStr">
        <is>
          <t>32285000426428</t>
        </is>
      </c>
      <c r="BF612" t="inlineStr">
        <is>
          <t>893602138</t>
        </is>
      </c>
    </row>
    <row r="613">
      <c r="A613" t="inlineStr">
        <is>
          <t>No</t>
        </is>
      </c>
      <c r="B613" t="inlineStr">
        <is>
          <t>CURAL</t>
        </is>
      </c>
      <c r="C613" t="inlineStr">
        <is>
          <t>SHELVES</t>
        </is>
      </c>
      <c r="D613" t="inlineStr">
        <is>
          <t>PR2831 .S44</t>
        </is>
      </c>
      <c r="E613" t="inlineStr">
        <is>
          <t>0                      PR 2831000S  44</t>
        </is>
      </c>
      <c r="F613" t="inlineStr">
        <is>
          <t>Tragic vision in Romeo and Juliet / [by] James H. Seward.</t>
        </is>
      </c>
      <c r="H613" t="inlineStr">
        <is>
          <t>No</t>
        </is>
      </c>
      <c r="I613" t="inlineStr">
        <is>
          <t>1</t>
        </is>
      </c>
      <c r="J613" t="inlineStr">
        <is>
          <t>No</t>
        </is>
      </c>
      <c r="K613" t="inlineStr">
        <is>
          <t>No</t>
        </is>
      </c>
      <c r="L613" t="inlineStr">
        <is>
          <t>0</t>
        </is>
      </c>
      <c r="M613" t="inlineStr">
        <is>
          <t>Seward, James H.</t>
        </is>
      </c>
      <c r="N613" t="inlineStr">
        <is>
          <t>Washington : Consortium Press, 1973.</t>
        </is>
      </c>
      <c r="O613" t="inlineStr">
        <is>
          <t>1973</t>
        </is>
      </c>
      <c r="Q613" t="inlineStr">
        <is>
          <t>eng</t>
        </is>
      </c>
      <c r="R613" t="inlineStr">
        <is>
          <t>dcu</t>
        </is>
      </c>
      <c r="T613" t="inlineStr">
        <is>
          <t xml:space="preserve">PR </t>
        </is>
      </c>
      <c r="U613" t="n">
        <v>4</v>
      </c>
      <c r="V613" t="n">
        <v>4</v>
      </c>
      <c r="W613" t="inlineStr">
        <is>
          <t>2005-11-18</t>
        </is>
      </c>
      <c r="X613" t="inlineStr">
        <is>
          <t>2005-11-18</t>
        </is>
      </c>
      <c r="Y613" t="inlineStr">
        <is>
          <t>1994-05-10</t>
        </is>
      </c>
      <c r="Z613" t="inlineStr">
        <is>
          <t>1994-05-10</t>
        </is>
      </c>
      <c r="AA613" t="n">
        <v>188</v>
      </c>
      <c r="AB613" t="n">
        <v>146</v>
      </c>
      <c r="AC613" t="n">
        <v>148</v>
      </c>
      <c r="AD613" t="n">
        <v>2</v>
      </c>
      <c r="AE613" t="n">
        <v>2</v>
      </c>
      <c r="AF613" t="n">
        <v>8</v>
      </c>
      <c r="AG613" t="n">
        <v>8</v>
      </c>
      <c r="AH613" t="n">
        <v>1</v>
      </c>
      <c r="AI613" t="n">
        <v>1</v>
      </c>
      <c r="AJ613" t="n">
        <v>3</v>
      </c>
      <c r="AK613" t="n">
        <v>3</v>
      </c>
      <c r="AL613" t="n">
        <v>6</v>
      </c>
      <c r="AM613" t="n">
        <v>6</v>
      </c>
      <c r="AN613" t="n">
        <v>1</v>
      </c>
      <c r="AO613" t="n">
        <v>1</v>
      </c>
      <c r="AP613" t="n">
        <v>0</v>
      </c>
      <c r="AQ613" t="n">
        <v>0</v>
      </c>
      <c r="AR613" t="inlineStr">
        <is>
          <t>No</t>
        </is>
      </c>
      <c r="AS613" t="inlineStr">
        <is>
          <t>Yes</t>
        </is>
      </c>
      <c r="AT613">
        <f>HYPERLINK("http://catalog.hathitrust.org/Record/000015928","HathiTrust Record")</f>
        <v/>
      </c>
      <c r="AU613">
        <f>HYPERLINK("https://creighton-primo.hosted.exlibrisgroup.com/primo-explore/search?tab=default_tab&amp;search_scope=EVERYTHING&amp;vid=01CRU&amp;lang=en_US&amp;offset=0&amp;query=any,contains,991003445639702656","Catalog Record")</f>
        <v/>
      </c>
      <c r="AV613">
        <f>HYPERLINK("http://www.worldcat.org/oclc/980892","WorldCat Record")</f>
        <v/>
      </c>
      <c r="AW613" t="inlineStr">
        <is>
          <t>1945900:eng</t>
        </is>
      </c>
      <c r="AX613" t="inlineStr">
        <is>
          <t>980892</t>
        </is>
      </c>
      <c r="AY613" t="inlineStr">
        <is>
          <t>991003445639702656</t>
        </is>
      </c>
      <c r="AZ613" t="inlineStr">
        <is>
          <t>991003445639702656</t>
        </is>
      </c>
      <c r="BA613" t="inlineStr">
        <is>
          <t>2271066480002656</t>
        </is>
      </c>
      <c r="BB613" t="inlineStr">
        <is>
          <t>BOOK</t>
        </is>
      </c>
      <c r="BE613" t="inlineStr">
        <is>
          <t>32285001909661</t>
        </is>
      </c>
      <c r="BF613" t="inlineStr">
        <is>
          <t>893881163</t>
        </is>
      </c>
    </row>
    <row r="614">
      <c r="A614" t="inlineStr">
        <is>
          <t>No</t>
        </is>
      </c>
      <c r="B614" t="inlineStr">
        <is>
          <t>CURAL</t>
        </is>
      </c>
      <c r="C614" t="inlineStr">
        <is>
          <t>SHELVES</t>
        </is>
      </c>
      <c r="D614" t="inlineStr">
        <is>
          <t>PR2832 .O94</t>
        </is>
      </c>
      <c r="E614" t="inlineStr">
        <is>
          <t>0                      PR 2832000O  94</t>
        </is>
      </c>
      <c r="F614" t="inlineStr">
        <is>
          <t>The Taming of the shrew : a concordance to the text of the first folio.</t>
        </is>
      </c>
      <c r="H614" t="inlineStr">
        <is>
          <t>No</t>
        </is>
      </c>
      <c r="I614" t="inlineStr">
        <is>
          <t>1</t>
        </is>
      </c>
      <c r="J614" t="inlineStr">
        <is>
          <t>No</t>
        </is>
      </c>
      <c r="K614" t="inlineStr">
        <is>
          <t>No</t>
        </is>
      </c>
      <c r="L614" t="inlineStr">
        <is>
          <t>0</t>
        </is>
      </c>
      <c r="N614" t="inlineStr">
        <is>
          <t>Oxford : Clarendon Press, 1969.</t>
        </is>
      </c>
      <c r="O614" t="inlineStr">
        <is>
          <t>1969</t>
        </is>
      </c>
      <c r="Q614" t="inlineStr">
        <is>
          <t>eng</t>
        </is>
      </c>
      <c r="R614" t="inlineStr">
        <is>
          <t>enk</t>
        </is>
      </c>
      <c r="S614" t="inlineStr">
        <is>
          <t>Oxford Shakespeare concordances</t>
        </is>
      </c>
      <c r="T614" t="inlineStr">
        <is>
          <t xml:space="preserve">PR </t>
        </is>
      </c>
      <c r="U614" t="n">
        <v>4</v>
      </c>
      <c r="V614" t="n">
        <v>4</v>
      </c>
      <c r="W614" t="inlineStr">
        <is>
          <t>2004-11-17</t>
        </is>
      </c>
      <c r="X614" t="inlineStr">
        <is>
          <t>2004-11-17</t>
        </is>
      </c>
      <c r="Y614" t="inlineStr">
        <is>
          <t>1990-10-04</t>
        </is>
      </c>
      <c r="Z614" t="inlineStr">
        <is>
          <t>1990-10-04</t>
        </is>
      </c>
      <c r="AA614" t="n">
        <v>302</v>
      </c>
      <c r="AB614" t="n">
        <v>215</v>
      </c>
      <c r="AC614" t="n">
        <v>222</v>
      </c>
      <c r="AD614" t="n">
        <v>3</v>
      </c>
      <c r="AE614" t="n">
        <v>3</v>
      </c>
      <c r="AF614" t="n">
        <v>16</v>
      </c>
      <c r="AG614" t="n">
        <v>16</v>
      </c>
      <c r="AH614" t="n">
        <v>2</v>
      </c>
      <c r="AI614" t="n">
        <v>2</v>
      </c>
      <c r="AJ614" t="n">
        <v>5</v>
      </c>
      <c r="AK614" t="n">
        <v>5</v>
      </c>
      <c r="AL614" t="n">
        <v>9</v>
      </c>
      <c r="AM614" t="n">
        <v>9</v>
      </c>
      <c r="AN614" t="n">
        <v>2</v>
      </c>
      <c r="AO614" t="n">
        <v>2</v>
      </c>
      <c r="AP614" t="n">
        <v>0</v>
      </c>
      <c r="AQ614" t="n">
        <v>0</v>
      </c>
      <c r="AR614" t="inlineStr">
        <is>
          <t>No</t>
        </is>
      </c>
      <c r="AS614" t="inlineStr">
        <is>
          <t>Yes</t>
        </is>
      </c>
      <c r="AT614">
        <f>HYPERLINK("http://catalog.hathitrust.org/Record/001017982","HathiTrust Record")</f>
        <v/>
      </c>
      <c r="AU614">
        <f>HYPERLINK("https://creighton-primo.hosted.exlibrisgroup.com/primo-explore/search?tab=default_tab&amp;search_scope=EVERYTHING&amp;vid=01CRU&amp;lang=en_US&amp;offset=0&amp;query=any,contains,991000427879702656","Catalog Record")</f>
        <v/>
      </c>
      <c r="AV614">
        <f>HYPERLINK("http://www.worldcat.org/oclc/75445","WorldCat Record")</f>
        <v/>
      </c>
      <c r="AW614" t="inlineStr">
        <is>
          <t>5618768543:eng</t>
        </is>
      </c>
      <c r="AX614" t="inlineStr">
        <is>
          <t>75445</t>
        </is>
      </c>
      <c r="AY614" t="inlineStr">
        <is>
          <t>991000427879702656</t>
        </is>
      </c>
      <c r="AZ614" t="inlineStr">
        <is>
          <t>991000427879702656</t>
        </is>
      </c>
      <c r="BA614" t="inlineStr">
        <is>
          <t>2255750370002656</t>
        </is>
      </c>
      <c r="BB614" t="inlineStr">
        <is>
          <t>BOOK</t>
        </is>
      </c>
      <c r="BD614" t="inlineStr">
        <is>
          <t>9780198111337</t>
        </is>
      </c>
      <c r="BE614" t="inlineStr">
        <is>
          <t>32285000332204</t>
        </is>
      </c>
      <c r="BF614" t="inlineStr">
        <is>
          <t>893620474</t>
        </is>
      </c>
    </row>
    <row r="615">
      <c r="A615" t="inlineStr">
        <is>
          <t>No</t>
        </is>
      </c>
      <c r="B615" t="inlineStr">
        <is>
          <t>CURAL</t>
        </is>
      </c>
      <c r="C615" t="inlineStr">
        <is>
          <t>SHELVES</t>
        </is>
      </c>
      <c r="D615" t="inlineStr">
        <is>
          <t>PR2833 .J3</t>
        </is>
      </c>
      <c r="E615" t="inlineStr">
        <is>
          <t>0                      PR 2833000J  3</t>
        </is>
      </c>
      <c r="F615" t="inlineStr">
        <is>
          <t>The dream of Prospero [by] D. G. James.</t>
        </is>
      </c>
      <c r="H615" t="inlineStr">
        <is>
          <t>No</t>
        </is>
      </c>
      <c r="I615" t="inlineStr">
        <is>
          <t>1</t>
        </is>
      </c>
      <c r="J615" t="inlineStr">
        <is>
          <t>No</t>
        </is>
      </c>
      <c r="K615" t="inlineStr">
        <is>
          <t>No</t>
        </is>
      </c>
      <c r="L615" t="inlineStr">
        <is>
          <t>0</t>
        </is>
      </c>
      <c r="M615" t="inlineStr">
        <is>
          <t>James, D. G. (David Gwilym), 1905-1968.</t>
        </is>
      </c>
      <c r="N615" t="inlineStr">
        <is>
          <t>Oxford, Clarendon P., 1967.</t>
        </is>
      </c>
      <c r="O615" t="inlineStr">
        <is>
          <t>1967</t>
        </is>
      </c>
      <c r="Q615" t="inlineStr">
        <is>
          <t>eng</t>
        </is>
      </c>
      <c r="R615" t="inlineStr">
        <is>
          <t>enk</t>
        </is>
      </c>
      <c r="T615" t="inlineStr">
        <is>
          <t xml:space="preserve">PR </t>
        </is>
      </c>
      <c r="U615" t="n">
        <v>10</v>
      </c>
      <c r="V615" t="n">
        <v>10</v>
      </c>
      <c r="W615" t="inlineStr">
        <is>
          <t>2009-12-12</t>
        </is>
      </c>
      <c r="X615" t="inlineStr">
        <is>
          <t>2009-12-12</t>
        </is>
      </c>
      <c r="Y615" t="inlineStr">
        <is>
          <t>1992-06-11</t>
        </is>
      </c>
      <c r="Z615" t="inlineStr">
        <is>
          <t>1992-06-11</t>
        </is>
      </c>
      <c r="AA615" t="n">
        <v>586</v>
      </c>
      <c r="AB615" t="n">
        <v>455</v>
      </c>
      <c r="AC615" t="n">
        <v>457</v>
      </c>
      <c r="AD615" t="n">
        <v>4</v>
      </c>
      <c r="AE615" t="n">
        <v>4</v>
      </c>
      <c r="AF615" t="n">
        <v>30</v>
      </c>
      <c r="AG615" t="n">
        <v>30</v>
      </c>
      <c r="AH615" t="n">
        <v>11</v>
      </c>
      <c r="AI615" t="n">
        <v>11</v>
      </c>
      <c r="AJ615" t="n">
        <v>8</v>
      </c>
      <c r="AK615" t="n">
        <v>8</v>
      </c>
      <c r="AL615" t="n">
        <v>17</v>
      </c>
      <c r="AM615" t="n">
        <v>17</v>
      </c>
      <c r="AN615" t="n">
        <v>3</v>
      </c>
      <c r="AO615" t="n">
        <v>3</v>
      </c>
      <c r="AP615" t="n">
        <v>0</v>
      </c>
      <c r="AQ615" t="n">
        <v>0</v>
      </c>
      <c r="AR615" t="inlineStr">
        <is>
          <t>No</t>
        </is>
      </c>
      <c r="AS615" t="inlineStr">
        <is>
          <t>Yes</t>
        </is>
      </c>
      <c r="AT615">
        <f>HYPERLINK("http://catalog.hathitrust.org/Record/001112028","HathiTrust Record")</f>
        <v/>
      </c>
      <c r="AU615">
        <f>HYPERLINK("https://creighton-primo.hosted.exlibrisgroup.com/primo-explore/search?tab=default_tab&amp;search_scope=EVERYTHING&amp;vid=01CRU&amp;lang=en_US&amp;offset=0&amp;query=any,contains,991001857879702656","Catalog Record")</f>
        <v/>
      </c>
      <c r="AV615">
        <f>HYPERLINK("http://www.worldcat.org/oclc/237887","WorldCat Record")</f>
        <v/>
      </c>
      <c r="AW615" t="inlineStr">
        <is>
          <t>325201705:eng</t>
        </is>
      </c>
      <c r="AX615" t="inlineStr">
        <is>
          <t>237887</t>
        </is>
      </c>
      <c r="AY615" t="inlineStr">
        <is>
          <t>991001857879702656</t>
        </is>
      </c>
      <c r="AZ615" t="inlineStr">
        <is>
          <t>991001857879702656</t>
        </is>
      </c>
      <c r="BA615" t="inlineStr">
        <is>
          <t>2254840530002656</t>
        </is>
      </c>
      <c r="BB615" t="inlineStr">
        <is>
          <t>BOOK</t>
        </is>
      </c>
      <c r="BE615" t="inlineStr">
        <is>
          <t>32285001099356</t>
        </is>
      </c>
      <c r="BF615" t="inlineStr">
        <is>
          <t>893516628</t>
        </is>
      </c>
    </row>
    <row r="616">
      <c r="A616" t="inlineStr">
        <is>
          <t>No</t>
        </is>
      </c>
      <c r="B616" t="inlineStr">
        <is>
          <t>CURAL</t>
        </is>
      </c>
      <c r="C616" t="inlineStr">
        <is>
          <t>SHELVES</t>
        </is>
      </c>
      <c r="D616" t="inlineStr">
        <is>
          <t>PR2833 .N8 1967b</t>
        </is>
      </c>
      <c r="E616" t="inlineStr">
        <is>
          <t>0                      PR 2833000N  8           1967b</t>
        </is>
      </c>
      <c r="F616" t="inlineStr">
        <is>
          <t>Two concepts of allegory : a study of Shakespeare's The tempest and the logic of allegorical expression / [by] A. D. Nuttall.</t>
        </is>
      </c>
      <c r="H616" t="inlineStr">
        <is>
          <t>No</t>
        </is>
      </c>
      <c r="I616" t="inlineStr">
        <is>
          <t>1</t>
        </is>
      </c>
      <c r="J616" t="inlineStr">
        <is>
          <t>No</t>
        </is>
      </c>
      <c r="K616" t="inlineStr">
        <is>
          <t>No</t>
        </is>
      </c>
      <c r="L616" t="inlineStr">
        <is>
          <t>0</t>
        </is>
      </c>
      <c r="M616" t="inlineStr">
        <is>
          <t>Nuttall, A. D. (Anthony David)</t>
        </is>
      </c>
      <c r="N616" t="inlineStr">
        <is>
          <t>New York : Barnes &amp; Noble, [1967]</t>
        </is>
      </c>
      <c r="O616" t="inlineStr">
        <is>
          <t>1967</t>
        </is>
      </c>
      <c r="Q616" t="inlineStr">
        <is>
          <t>eng</t>
        </is>
      </c>
      <c r="R616" t="inlineStr">
        <is>
          <t>nyu</t>
        </is>
      </c>
      <c r="T616" t="inlineStr">
        <is>
          <t xml:space="preserve">PR </t>
        </is>
      </c>
      <c r="U616" t="n">
        <v>7</v>
      </c>
      <c r="V616" t="n">
        <v>7</v>
      </c>
      <c r="W616" t="inlineStr">
        <is>
          <t>2009-12-12</t>
        </is>
      </c>
      <c r="X616" t="inlineStr">
        <is>
          <t>2009-12-12</t>
        </is>
      </c>
      <c r="Y616" t="inlineStr">
        <is>
          <t>1990-10-04</t>
        </is>
      </c>
      <c r="Z616" t="inlineStr">
        <is>
          <t>1990-10-04</t>
        </is>
      </c>
      <c r="AA616" t="n">
        <v>460</v>
      </c>
      <c r="AB616" t="n">
        <v>424</v>
      </c>
      <c r="AC616" t="n">
        <v>600</v>
      </c>
      <c r="AD616" t="n">
        <v>5</v>
      </c>
      <c r="AE616" t="n">
        <v>6</v>
      </c>
      <c r="AF616" t="n">
        <v>15</v>
      </c>
      <c r="AG616" t="n">
        <v>36</v>
      </c>
      <c r="AH616" t="n">
        <v>6</v>
      </c>
      <c r="AI616" t="n">
        <v>13</v>
      </c>
      <c r="AJ616" t="n">
        <v>2</v>
      </c>
      <c r="AK616" t="n">
        <v>9</v>
      </c>
      <c r="AL616" t="n">
        <v>8</v>
      </c>
      <c r="AM616" t="n">
        <v>19</v>
      </c>
      <c r="AN616" t="n">
        <v>4</v>
      </c>
      <c r="AO616" t="n">
        <v>5</v>
      </c>
      <c r="AP616" t="n">
        <v>0</v>
      </c>
      <c r="AQ616" t="n">
        <v>0</v>
      </c>
      <c r="AR616" t="inlineStr">
        <is>
          <t>No</t>
        </is>
      </c>
      <c r="AS616" t="inlineStr">
        <is>
          <t>Yes</t>
        </is>
      </c>
      <c r="AT616">
        <f>HYPERLINK("http://catalog.hathitrust.org/Record/001017997","HathiTrust Record")</f>
        <v/>
      </c>
      <c r="AU616">
        <f>HYPERLINK("https://creighton-primo.hosted.exlibrisgroup.com/primo-explore/search?tab=default_tab&amp;search_scope=EVERYTHING&amp;vid=01CRU&amp;lang=en_US&amp;offset=0&amp;query=any,contains,991002274479702656","Catalog Record")</f>
        <v/>
      </c>
      <c r="AV616">
        <f>HYPERLINK("http://www.worldcat.org/oclc/309860","WorldCat Record")</f>
        <v/>
      </c>
      <c r="AW616" t="inlineStr">
        <is>
          <t>1368769:eng</t>
        </is>
      </c>
      <c r="AX616" t="inlineStr">
        <is>
          <t>309860</t>
        </is>
      </c>
      <c r="AY616" t="inlineStr">
        <is>
          <t>991002274479702656</t>
        </is>
      </c>
      <c r="AZ616" t="inlineStr">
        <is>
          <t>991002274479702656</t>
        </is>
      </c>
      <c r="BA616" t="inlineStr">
        <is>
          <t>2264579680002656</t>
        </is>
      </c>
      <c r="BB616" t="inlineStr">
        <is>
          <t>BOOK</t>
        </is>
      </c>
      <c r="BE616" t="inlineStr">
        <is>
          <t>32285000332212</t>
        </is>
      </c>
      <c r="BF616" t="inlineStr">
        <is>
          <t>893352229</t>
        </is>
      </c>
    </row>
    <row r="617">
      <c r="A617" t="inlineStr">
        <is>
          <t>No</t>
        </is>
      </c>
      <c r="B617" t="inlineStr">
        <is>
          <t>CURAL</t>
        </is>
      </c>
      <c r="C617" t="inlineStr">
        <is>
          <t>SHELVES</t>
        </is>
      </c>
      <c r="D617" t="inlineStr">
        <is>
          <t>PR2833 .S6</t>
        </is>
      </c>
      <c r="E617" t="inlineStr">
        <is>
          <t>0                      PR 2833000S  6</t>
        </is>
      </c>
      <c r="F617" t="inlineStr">
        <is>
          <t>Twentieth century interpretations of The tempest : a collection of critical essays / edited by Hallett Smith.</t>
        </is>
      </c>
      <c r="H617" t="inlineStr">
        <is>
          <t>No</t>
        </is>
      </c>
      <c r="I617" t="inlineStr">
        <is>
          <t>1</t>
        </is>
      </c>
      <c r="J617" t="inlineStr">
        <is>
          <t>No</t>
        </is>
      </c>
      <c r="K617" t="inlineStr">
        <is>
          <t>No</t>
        </is>
      </c>
      <c r="L617" t="inlineStr">
        <is>
          <t>0</t>
        </is>
      </c>
      <c r="N617" t="inlineStr">
        <is>
          <t>Englewood Cliffs, N.J. : Prentice-Hall, [1969]</t>
        </is>
      </c>
      <c r="O617" t="inlineStr">
        <is>
          <t>1969</t>
        </is>
      </c>
      <c r="Q617" t="inlineStr">
        <is>
          <t>eng</t>
        </is>
      </c>
      <c r="R617" t="inlineStr">
        <is>
          <t>nju</t>
        </is>
      </c>
      <c r="S617" t="inlineStr">
        <is>
          <t>A Spectrum book.</t>
        </is>
      </c>
      <c r="T617" t="inlineStr">
        <is>
          <t xml:space="preserve">PR </t>
        </is>
      </c>
      <c r="U617" t="n">
        <v>15</v>
      </c>
      <c r="V617" t="n">
        <v>15</v>
      </c>
      <c r="W617" t="inlineStr">
        <is>
          <t>2009-03-20</t>
        </is>
      </c>
      <c r="X617" t="inlineStr">
        <is>
          <t>2009-03-20</t>
        </is>
      </c>
      <c r="Y617" t="inlineStr">
        <is>
          <t>1990-10-04</t>
        </is>
      </c>
      <c r="Z617" t="inlineStr">
        <is>
          <t>1990-10-04</t>
        </is>
      </c>
      <c r="AA617" t="n">
        <v>1552</v>
      </c>
      <c r="AB617" t="n">
        <v>1399</v>
      </c>
      <c r="AC617" t="n">
        <v>1404</v>
      </c>
      <c r="AD617" t="n">
        <v>13</v>
      </c>
      <c r="AE617" t="n">
        <v>13</v>
      </c>
      <c r="AF617" t="n">
        <v>48</v>
      </c>
      <c r="AG617" t="n">
        <v>48</v>
      </c>
      <c r="AH617" t="n">
        <v>20</v>
      </c>
      <c r="AI617" t="n">
        <v>20</v>
      </c>
      <c r="AJ617" t="n">
        <v>7</v>
      </c>
      <c r="AK617" t="n">
        <v>7</v>
      </c>
      <c r="AL617" t="n">
        <v>20</v>
      </c>
      <c r="AM617" t="n">
        <v>20</v>
      </c>
      <c r="AN617" t="n">
        <v>10</v>
      </c>
      <c r="AO617" t="n">
        <v>10</v>
      </c>
      <c r="AP617" t="n">
        <v>0</v>
      </c>
      <c r="AQ617" t="n">
        <v>0</v>
      </c>
      <c r="AR617" t="inlineStr">
        <is>
          <t>No</t>
        </is>
      </c>
      <c r="AS617" t="inlineStr">
        <is>
          <t>No</t>
        </is>
      </c>
      <c r="AU617">
        <f>HYPERLINK("https://creighton-primo.hosted.exlibrisgroup.com/primo-explore/search?tab=default_tab&amp;search_scope=EVERYTHING&amp;vid=01CRU&amp;lang=en_US&amp;offset=0&amp;query=any,contains,991005437389702656","Catalog Record")</f>
        <v/>
      </c>
      <c r="AV617">
        <f>HYPERLINK("http://www.worldcat.org/oclc/5310","WorldCat Record")</f>
        <v/>
      </c>
      <c r="AW617" t="inlineStr">
        <is>
          <t>918614842:eng</t>
        </is>
      </c>
      <c r="AX617" t="inlineStr">
        <is>
          <t>5310</t>
        </is>
      </c>
      <c r="AY617" t="inlineStr">
        <is>
          <t>991005437389702656</t>
        </is>
      </c>
      <c r="AZ617" t="inlineStr">
        <is>
          <t>991005437389702656</t>
        </is>
      </c>
      <c r="BA617" t="inlineStr">
        <is>
          <t>2264533830002656</t>
        </is>
      </c>
      <c r="BB617" t="inlineStr">
        <is>
          <t>BOOK</t>
        </is>
      </c>
      <c r="BE617" t="inlineStr">
        <is>
          <t>32285000332220</t>
        </is>
      </c>
      <c r="BF617" t="inlineStr">
        <is>
          <t>893790026</t>
        </is>
      </c>
    </row>
    <row r="618">
      <c r="A618" t="inlineStr">
        <is>
          <t>No</t>
        </is>
      </c>
      <c r="B618" t="inlineStr">
        <is>
          <t>CURAL</t>
        </is>
      </c>
      <c r="C618" t="inlineStr">
        <is>
          <t>SHELVES</t>
        </is>
      </c>
      <c r="D618" t="inlineStr">
        <is>
          <t>PR2833 .T463 2000</t>
        </is>
      </c>
      <c r="E618" t="inlineStr">
        <is>
          <t>0                      PR 2833000T  463         2000</t>
        </is>
      </c>
      <c r="F618" t="inlineStr">
        <is>
          <t>"The tempest" and its travels / edited by Peter Hulme and William H. Sherman.</t>
        </is>
      </c>
      <c r="H618" t="inlineStr">
        <is>
          <t>No</t>
        </is>
      </c>
      <c r="I618" t="inlineStr">
        <is>
          <t>1</t>
        </is>
      </c>
      <c r="J618" t="inlineStr">
        <is>
          <t>No</t>
        </is>
      </c>
      <c r="K618" t="inlineStr">
        <is>
          <t>No</t>
        </is>
      </c>
      <c r="L618" t="inlineStr">
        <is>
          <t>0</t>
        </is>
      </c>
      <c r="N618" t="inlineStr">
        <is>
          <t>Philadelphia : University of Pennsylvania Press, 2000.</t>
        </is>
      </c>
      <c r="O618" t="inlineStr">
        <is>
          <t>2000</t>
        </is>
      </c>
      <c r="Q618" t="inlineStr">
        <is>
          <t>eng</t>
        </is>
      </c>
      <c r="R618" t="inlineStr">
        <is>
          <t>pau</t>
        </is>
      </c>
      <c r="T618" t="inlineStr">
        <is>
          <t xml:space="preserve">PR </t>
        </is>
      </c>
      <c r="U618" t="n">
        <v>6</v>
      </c>
      <c r="V618" t="n">
        <v>6</v>
      </c>
      <c r="W618" t="inlineStr">
        <is>
          <t>2009-11-08</t>
        </is>
      </c>
      <c r="X618" t="inlineStr">
        <is>
          <t>2009-11-08</t>
        </is>
      </c>
      <c r="Y618" t="inlineStr">
        <is>
          <t>2001-10-23</t>
        </is>
      </c>
      <c r="Z618" t="inlineStr">
        <is>
          <t>2001-10-23</t>
        </is>
      </c>
      <c r="AA618" t="n">
        <v>532</v>
      </c>
      <c r="AB618" t="n">
        <v>472</v>
      </c>
      <c r="AC618" t="n">
        <v>542</v>
      </c>
      <c r="AD618" t="n">
        <v>4</v>
      </c>
      <c r="AE618" t="n">
        <v>4</v>
      </c>
      <c r="AF618" t="n">
        <v>25</v>
      </c>
      <c r="AG618" t="n">
        <v>27</v>
      </c>
      <c r="AH618" t="n">
        <v>11</v>
      </c>
      <c r="AI618" t="n">
        <v>12</v>
      </c>
      <c r="AJ618" t="n">
        <v>6</v>
      </c>
      <c r="AK618" t="n">
        <v>8</v>
      </c>
      <c r="AL618" t="n">
        <v>12</v>
      </c>
      <c r="AM618" t="n">
        <v>13</v>
      </c>
      <c r="AN618" t="n">
        <v>3</v>
      </c>
      <c r="AO618" t="n">
        <v>3</v>
      </c>
      <c r="AP618" t="n">
        <v>0</v>
      </c>
      <c r="AQ618" t="n">
        <v>0</v>
      </c>
      <c r="AR618" t="inlineStr">
        <is>
          <t>No</t>
        </is>
      </c>
      <c r="AS618" t="inlineStr">
        <is>
          <t>No</t>
        </is>
      </c>
      <c r="AU618">
        <f>HYPERLINK("https://creighton-primo.hosted.exlibrisgroup.com/primo-explore/search?tab=default_tab&amp;search_scope=EVERYTHING&amp;vid=01CRU&amp;lang=en_US&amp;offset=0&amp;query=any,contains,991003635769702656","Catalog Record")</f>
        <v/>
      </c>
      <c r="AV618">
        <f>HYPERLINK("http://www.worldcat.org/oclc/44541806","WorldCat Record")</f>
        <v/>
      </c>
      <c r="AW618" t="inlineStr">
        <is>
          <t>766779604:eng</t>
        </is>
      </c>
      <c r="AX618" t="inlineStr">
        <is>
          <t>44541806</t>
        </is>
      </c>
      <c r="AY618" t="inlineStr">
        <is>
          <t>991003635769702656</t>
        </is>
      </c>
      <c r="AZ618" t="inlineStr">
        <is>
          <t>991003635769702656</t>
        </is>
      </c>
      <c r="BA618" t="inlineStr">
        <is>
          <t>2257600640002656</t>
        </is>
      </c>
      <c r="BB618" t="inlineStr">
        <is>
          <t>BOOK</t>
        </is>
      </c>
      <c r="BD618" t="inlineStr">
        <is>
          <t>9780812217537</t>
        </is>
      </c>
      <c r="BE618" t="inlineStr">
        <is>
          <t>32285004399308</t>
        </is>
      </c>
      <c r="BF618" t="inlineStr">
        <is>
          <t>893705444</t>
        </is>
      </c>
    </row>
    <row r="619">
      <c r="A619" t="inlineStr">
        <is>
          <t>No</t>
        </is>
      </c>
      <c r="B619" t="inlineStr">
        <is>
          <t>CURAL</t>
        </is>
      </c>
      <c r="C619" t="inlineStr">
        <is>
          <t>SHELVES</t>
        </is>
      </c>
      <c r="D619" t="inlineStr">
        <is>
          <t>PR2835 .R7 1970b</t>
        </is>
      </c>
      <c r="E619" t="inlineStr">
        <is>
          <t>0                      PR 2835000R  7           1970b</t>
        </is>
      </c>
      <c r="F619" t="inlineStr">
        <is>
          <t>An introduction to the study of the Shakespeare canon; proceeding on the problem of "Titus Andronicus".</t>
        </is>
      </c>
      <c r="H619" t="inlineStr">
        <is>
          <t>No</t>
        </is>
      </c>
      <c r="I619" t="inlineStr">
        <is>
          <t>1</t>
        </is>
      </c>
      <c r="J619" t="inlineStr">
        <is>
          <t>No</t>
        </is>
      </c>
      <c r="K619" t="inlineStr">
        <is>
          <t>No</t>
        </is>
      </c>
      <c r="L619" t="inlineStr">
        <is>
          <t>0</t>
        </is>
      </c>
      <c r="M619" t="inlineStr">
        <is>
          <t>Robertson, J. M. (John Mackinnon), 1856-1933.</t>
        </is>
      </c>
      <c r="N619" t="inlineStr">
        <is>
          <t>Westport, Conn., Greenwood Press [1970]</t>
        </is>
      </c>
      <c r="O619" t="inlineStr">
        <is>
          <t>1970</t>
        </is>
      </c>
      <c r="Q619" t="inlineStr">
        <is>
          <t>eng</t>
        </is>
      </c>
      <c r="R619" t="inlineStr">
        <is>
          <t>ctu</t>
        </is>
      </c>
      <c r="T619" t="inlineStr">
        <is>
          <t xml:space="preserve">PR </t>
        </is>
      </c>
      <c r="U619" t="n">
        <v>1</v>
      </c>
      <c r="V619" t="n">
        <v>1</v>
      </c>
      <c r="W619" t="inlineStr">
        <is>
          <t>2006-11-17</t>
        </is>
      </c>
      <c r="X619" t="inlineStr">
        <is>
          <t>2006-11-17</t>
        </is>
      </c>
      <c r="Y619" t="inlineStr">
        <is>
          <t>1997-07-31</t>
        </is>
      </c>
      <c r="Z619" t="inlineStr">
        <is>
          <t>1997-07-31</t>
        </is>
      </c>
      <c r="AA619" t="n">
        <v>167</v>
      </c>
      <c r="AB619" t="n">
        <v>150</v>
      </c>
      <c r="AC619" t="n">
        <v>426</v>
      </c>
      <c r="AD619" t="n">
        <v>2</v>
      </c>
      <c r="AE619" t="n">
        <v>5</v>
      </c>
      <c r="AF619" t="n">
        <v>5</v>
      </c>
      <c r="AG619" t="n">
        <v>28</v>
      </c>
      <c r="AH619" t="n">
        <v>1</v>
      </c>
      <c r="AI619" t="n">
        <v>8</v>
      </c>
      <c r="AJ619" t="n">
        <v>3</v>
      </c>
      <c r="AK619" t="n">
        <v>8</v>
      </c>
      <c r="AL619" t="n">
        <v>2</v>
      </c>
      <c r="AM619" t="n">
        <v>16</v>
      </c>
      <c r="AN619" t="n">
        <v>1</v>
      </c>
      <c r="AO619" t="n">
        <v>4</v>
      </c>
      <c r="AP619" t="n">
        <v>0</v>
      </c>
      <c r="AQ619" t="n">
        <v>0</v>
      </c>
      <c r="AR619" t="inlineStr">
        <is>
          <t>No</t>
        </is>
      </c>
      <c r="AS619" t="inlineStr">
        <is>
          <t>No</t>
        </is>
      </c>
      <c r="AU619">
        <f>HYPERLINK("https://creighton-primo.hosted.exlibrisgroup.com/primo-explore/search?tab=default_tab&amp;search_scope=EVERYTHING&amp;vid=01CRU&amp;lang=en_US&amp;offset=0&amp;query=any,contains,991000456659702656","Catalog Record")</f>
        <v/>
      </c>
      <c r="AV619">
        <f>HYPERLINK("http://www.worldcat.org/oclc/78271","WorldCat Record")</f>
        <v/>
      </c>
      <c r="AW619" t="inlineStr">
        <is>
          <t>499925:eng</t>
        </is>
      </c>
      <c r="AX619" t="inlineStr">
        <is>
          <t>78271</t>
        </is>
      </c>
      <c r="AY619" t="inlineStr">
        <is>
          <t>991000456659702656</t>
        </is>
      </c>
      <c r="AZ619" t="inlineStr">
        <is>
          <t>991000456659702656</t>
        </is>
      </c>
      <c r="BA619" t="inlineStr">
        <is>
          <t>2255223610002656</t>
        </is>
      </c>
      <c r="BB619" t="inlineStr">
        <is>
          <t>BOOK</t>
        </is>
      </c>
      <c r="BD619" t="inlineStr">
        <is>
          <t>9780837137445</t>
        </is>
      </c>
      <c r="BE619" t="inlineStr">
        <is>
          <t>32285002997293</t>
        </is>
      </c>
      <c r="BF619" t="inlineStr">
        <is>
          <t>893796658</t>
        </is>
      </c>
    </row>
    <row r="620">
      <c r="A620" t="inlineStr">
        <is>
          <t>No</t>
        </is>
      </c>
      <c r="B620" t="inlineStr">
        <is>
          <t>CURAL</t>
        </is>
      </c>
      <c r="C620" t="inlineStr">
        <is>
          <t>SHELVES</t>
        </is>
      </c>
      <c r="D620" t="inlineStr">
        <is>
          <t>PR2839 .O94 1989</t>
        </is>
      </c>
      <c r="E620" t="inlineStr">
        <is>
          <t>0                      PR 2839000O  94          1989</t>
        </is>
      </c>
      <c r="F620" t="inlineStr">
        <is>
          <t>The winter's tale / Bill Overton.</t>
        </is>
      </c>
      <c r="H620" t="inlineStr">
        <is>
          <t>No</t>
        </is>
      </c>
      <c r="I620" t="inlineStr">
        <is>
          <t>1</t>
        </is>
      </c>
      <c r="J620" t="inlineStr">
        <is>
          <t>No</t>
        </is>
      </c>
      <c r="K620" t="inlineStr">
        <is>
          <t>No</t>
        </is>
      </c>
      <c r="L620" t="inlineStr">
        <is>
          <t>0</t>
        </is>
      </c>
      <c r="M620" t="inlineStr">
        <is>
          <t>Overton, Bill.</t>
        </is>
      </c>
      <c r="N620" t="inlineStr">
        <is>
          <t>Atlantic Highlands, NJ : Humanities Press International, 1989.</t>
        </is>
      </c>
      <c r="O620" t="inlineStr">
        <is>
          <t>1989</t>
        </is>
      </c>
      <c r="Q620" t="inlineStr">
        <is>
          <t>eng</t>
        </is>
      </c>
      <c r="R620" t="inlineStr">
        <is>
          <t>nju</t>
        </is>
      </c>
      <c r="S620" t="inlineStr">
        <is>
          <t>The Critics debate</t>
        </is>
      </c>
      <c r="T620" t="inlineStr">
        <is>
          <t xml:space="preserve">PR </t>
        </is>
      </c>
      <c r="U620" t="n">
        <v>8</v>
      </c>
      <c r="V620" t="n">
        <v>8</v>
      </c>
      <c r="W620" t="inlineStr">
        <is>
          <t>2007-09-01</t>
        </is>
      </c>
      <c r="X620" t="inlineStr">
        <is>
          <t>2007-09-01</t>
        </is>
      </c>
      <c r="Y620" t="inlineStr">
        <is>
          <t>1990-02-07</t>
        </is>
      </c>
      <c r="Z620" t="inlineStr">
        <is>
          <t>1990-02-07</t>
        </is>
      </c>
      <c r="AA620" t="n">
        <v>204</v>
      </c>
      <c r="AB620" t="n">
        <v>169</v>
      </c>
      <c r="AC620" t="n">
        <v>214</v>
      </c>
      <c r="AD620" t="n">
        <v>1</v>
      </c>
      <c r="AE620" t="n">
        <v>2</v>
      </c>
      <c r="AF620" t="n">
        <v>8</v>
      </c>
      <c r="AG620" t="n">
        <v>10</v>
      </c>
      <c r="AH620" t="n">
        <v>2</v>
      </c>
      <c r="AI620" t="n">
        <v>2</v>
      </c>
      <c r="AJ620" t="n">
        <v>1</v>
      </c>
      <c r="AK620" t="n">
        <v>2</v>
      </c>
      <c r="AL620" t="n">
        <v>7</v>
      </c>
      <c r="AM620" t="n">
        <v>8</v>
      </c>
      <c r="AN620" t="n">
        <v>0</v>
      </c>
      <c r="AO620" t="n">
        <v>1</v>
      </c>
      <c r="AP620" t="n">
        <v>0</v>
      </c>
      <c r="AQ620" t="n">
        <v>0</v>
      </c>
      <c r="AR620" t="inlineStr">
        <is>
          <t>No</t>
        </is>
      </c>
      <c r="AS620" t="inlineStr">
        <is>
          <t>No</t>
        </is>
      </c>
      <c r="AU620">
        <f>HYPERLINK("https://creighton-primo.hosted.exlibrisgroup.com/primo-explore/search?tab=default_tab&amp;search_scope=EVERYTHING&amp;vid=01CRU&amp;lang=en_US&amp;offset=0&amp;query=any,contains,991001347149702656","Catalog Record")</f>
        <v/>
      </c>
      <c r="AV620">
        <f>HYPERLINK("http://www.worldcat.org/oclc/18415362","WorldCat Record")</f>
        <v/>
      </c>
      <c r="AW620" t="inlineStr">
        <is>
          <t>3372488855:eng</t>
        </is>
      </c>
      <c r="AX620" t="inlineStr">
        <is>
          <t>18415362</t>
        </is>
      </c>
      <c r="AY620" t="inlineStr">
        <is>
          <t>991001347149702656</t>
        </is>
      </c>
      <c r="AZ620" t="inlineStr">
        <is>
          <t>991001347149702656</t>
        </is>
      </c>
      <c r="BA620" t="inlineStr">
        <is>
          <t>2258769890002656</t>
        </is>
      </c>
      <c r="BB620" t="inlineStr">
        <is>
          <t>BOOK</t>
        </is>
      </c>
      <c r="BD620" t="inlineStr">
        <is>
          <t>9780391036147</t>
        </is>
      </c>
      <c r="BE620" t="inlineStr">
        <is>
          <t>32285000036862</t>
        </is>
      </c>
      <c r="BF620" t="inlineStr">
        <is>
          <t>893897721</t>
        </is>
      </c>
    </row>
    <row r="621">
      <c r="A621" t="inlineStr">
        <is>
          <t>No</t>
        </is>
      </c>
      <c r="B621" t="inlineStr">
        <is>
          <t>CURAL</t>
        </is>
      </c>
      <c r="C621" t="inlineStr">
        <is>
          <t>SHELVES</t>
        </is>
      </c>
      <c r="D621" t="inlineStr">
        <is>
          <t>PR2845 .V46 1997</t>
        </is>
      </c>
      <c r="E621" t="inlineStr">
        <is>
          <t>0                      PR 2845000V  46          1997</t>
        </is>
      </c>
      <c r="F621" t="inlineStr">
        <is>
          <t>Venus and Adonis : critical essays / edited by Philip C. Kolin.</t>
        </is>
      </c>
      <c r="H621" t="inlineStr">
        <is>
          <t>No</t>
        </is>
      </c>
      <c r="I621" t="inlineStr">
        <is>
          <t>1</t>
        </is>
      </c>
      <c r="J621" t="inlineStr">
        <is>
          <t>No</t>
        </is>
      </c>
      <c r="K621" t="inlineStr">
        <is>
          <t>No</t>
        </is>
      </c>
      <c r="L621" t="inlineStr">
        <is>
          <t>0</t>
        </is>
      </c>
      <c r="N621" t="inlineStr">
        <is>
          <t>New York : Garland, 1997.</t>
        </is>
      </c>
      <c r="O621" t="inlineStr">
        <is>
          <t>1997</t>
        </is>
      </c>
      <c r="Q621" t="inlineStr">
        <is>
          <t>eng</t>
        </is>
      </c>
      <c r="R621" t="inlineStr">
        <is>
          <t>nyu</t>
        </is>
      </c>
      <c r="S621" t="inlineStr">
        <is>
          <t>Garland reference library of the humanities ; vol. 1949</t>
        </is>
      </c>
      <c r="T621" t="inlineStr">
        <is>
          <t xml:space="preserve">PR </t>
        </is>
      </c>
      <c r="U621" t="n">
        <v>2</v>
      </c>
      <c r="V621" t="n">
        <v>2</v>
      </c>
      <c r="W621" t="inlineStr">
        <is>
          <t>2006-02-02</t>
        </is>
      </c>
      <c r="X621" t="inlineStr">
        <is>
          <t>2006-02-02</t>
        </is>
      </c>
      <c r="Y621" t="inlineStr">
        <is>
          <t>1997-03-21</t>
        </is>
      </c>
      <c r="Z621" t="inlineStr">
        <is>
          <t>1997-03-21</t>
        </is>
      </c>
      <c r="AA621" t="n">
        <v>381</v>
      </c>
      <c r="AB621" t="n">
        <v>310</v>
      </c>
      <c r="AC621" t="n">
        <v>329</v>
      </c>
      <c r="AD621" t="n">
        <v>3</v>
      </c>
      <c r="AE621" t="n">
        <v>3</v>
      </c>
      <c r="AF621" t="n">
        <v>26</v>
      </c>
      <c r="AG621" t="n">
        <v>26</v>
      </c>
      <c r="AH621" t="n">
        <v>11</v>
      </c>
      <c r="AI621" t="n">
        <v>11</v>
      </c>
      <c r="AJ621" t="n">
        <v>5</v>
      </c>
      <c r="AK621" t="n">
        <v>5</v>
      </c>
      <c r="AL621" t="n">
        <v>17</v>
      </c>
      <c r="AM621" t="n">
        <v>17</v>
      </c>
      <c r="AN621" t="n">
        <v>2</v>
      </c>
      <c r="AO621" t="n">
        <v>2</v>
      </c>
      <c r="AP621" t="n">
        <v>0</v>
      </c>
      <c r="AQ621" t="n">
        <v>0</v>
      </c>
      <c r="AR621" t="inlineStr">
        <is>
          <t>No</t>
        </is>
      </c>
      <c r="AS621" t="inlineStr">
        <is>
          <t>No</t>
        </is>
      </c>
      <c r="AU621">
        <f>HYPERLINK("https://creighton-primo.hosted.exlibrisgroup.com/primo-explore/search?tab=default_tab&amp;search_scope=EVERYTHING&amp;vid=01CRU&amp;lang=en_US&amp;offset=0&amp;query=any,contains,991002740339702656","Catalog Record")</f>
        <v/>
      </c>
      <c r="AV621">
        <f>HYPERLINK("http://www.worldcat.org/oclc/35990176","WorldCat Record")</f>
        <v/>
      </c>
      <c r="AW621" t="inlineStr">
        <is>
          <t>10596766248:eng</t>
        </is>
      </c>
      <c r="AX621" t="inlineStr">
        <is>
          <t>35990176</t>
        </is>
      </c>
      <c r="AY621" t="inlineStr">
        <is>
          <t>991002740339702656</t>
        </is>
      </c>
      <c r="AZ621" t="inlineStr">
        <is>
          <t>991002740339702656</t>
        </is>
      </c>
      <c r="BA621" t="inlineStr">
        <is>
          <t>2264454560002656</t>
        </is>
      </c>
      <c r="BB621" t="inlineStr">
        <is>
          <t>BOOK</t>
        </is>
      </c>
      <c r="BD621" t="inlineStr">
        <is>
          <t>9780815321491</t>
        </is>
      </c>
      <c r="BE621" t="inlineStr">
        <is>
          <t>32285002475340</t>
        </is>
      </c>
      <c r="BF621" t="inlineStr">
        <is>
          <t>893335655</t>
        </is>
      </c>
    </row>
    <row r="622">
      <c r="A622" t="inlineStr">
        <is>
          <t>No</t>
        </is>
      </c>
      <c r="B622" t="inlineStr">
        <is>
          <t>CURAL</t>
        </is>
      </c>
      <c r="C622" t="inlineStr">
        <is>
          <t>SHELVES</t>
        </is>
      </c>
      <c r="D622" t="inlineStr">
        <is>
          <t>PR2848 .A88</t>
        </is>
      </c>
      <c r="E622" t="inlineStr">
        <is>
          <t>0                      PR 2848000A  88</t>
        </is>
      </c>
      <c r="F622" t="inlineStr">
        <is>
          <t>Shakespeare's sonnet story 1592-1598 : restoring the sonnets written to the Earl of Southampton to their original books and correlating them with personal phases of the plays of the sonnet period : with documentary evidence identifying Mistress Davenant as the Dark Lady / by Arthur Acheson. With an appendix including a monograph on the Crosse Inn and the Tavern of Oxford, by E. Thurlow Leeds, F.S.A.</t>
        </is>
      </c>
      <c r="H622" t="inlineStr">
        <is>
          <t>No</t>
        </is>
      </c>
      <c r="I622" t="inlineStr">
        <is>
          <t>1</t>
        </is>
      </c>
      <c r="J622" t="inlineStr">
        <is>
          <t>No</t>
        </is>
      </c>
      <c r="K622" t="inlineStr">
        <is>
          <t>No</t>
        </is>
      </c>
      <c r="L622" t="inlineStr">
        <is>
          <t>0</t>
        </is>
      </c>
      <c r="M622" t="inlineStr">
        <is>
          <t>Acheson, Arthur, 1864-1930.</t>
        </is>
      </c>
      <c r="N622" t="inlineStr">
        <is>
          <t>London : B. Quaritch, 1922.</t>
        </is>
      </c>
      <c r="O622" t="inlineStr">
        <is>
          <t>1922</t>
        </is>
      </c>
      <c r="Q622" t="inlineStr">
        <is>
          <t>eng</t>
        </is>
      </c>
      <c r="R622" t="inlineStr">
        <is>
          <t>enk</t>
        </is>
      </c>
      <c r="T622" t="inlineStr">
        <is>
          <t xml:space="preserve">PR </t>
        </is>
      </c>
      <c r="U622" t="n">
        <v>10</v>
      </c>
      <c r="V622" t="n">
        <v>10</v>
      </c>
      <c r="W622" t="inlineStr">
        <is>
          <t>2001-03-25</t>
        </is>
      </c>
      <c r="X622" t="inlineStr">
        <is>
          <t>2001-03-25</t>
        </is>
      </c>
      <c r="Y622" t="inlineStr">
        <is>
          <t>1990-09-06</t>
        </is>
      </c>
      <c r="Z622" t="inlineStr">
        <is>
          <t>1990-09-06</t>
        </is>
      </c>
      <c r="AA622" t="n">
        <v>195</v>
      </c>
      <c r="AB622" t="n">
        <v>170</v>
      </c>
      <c r="AC622" t="n">
        <v>282</v>
      </c>
      <c r="AD622" t="n">
        <v>4</v>
      </c>
      <c r="AE622" t="n">
        <v>4</v>
      </c>
      <c r="AF622" t="n">
        <v>11</v>
      </c>
      <c r="AG622" t="n">
        <v>17</v>
      </c>
      <c r="AH622" t="n">
        <v>4</v>
      </c>
      <c r="AI622" t="n">
        <v>5</v>
      </c>
      <c r="AJ622" t="n">
        <v>3</v>
      </c>
      <c r="AK622" t="n">
        <v>5</v>
      </c>
      <c r="AL622" t="n">
        <v>5</v>
      </c>
      <c r="AM622" t="n">
        <v>8</v>
      </c>
      <c r="AN622" t="n">
        <v>3</v>
      </c>
      <c r="AO622" t="n">
        <v>3</v>
      </c>
      <c r="AP622" t="n">
        <v>0</v>
      </c>
      <c r="AQ622" t="n">
        <v>0</v>
      </c>
      <c r="AR622" t="inlineStr">
        <is>
          <t>Yes</t>
        </is>
      </c>
      <c r="AS622" t="inlineStr">
        <is>
          <t>No</t>
        </is>
      </c>
      <c r="AT622">
        <f>HYPERLINK("http://catalog.hathitrust.org/Record/001018047","HathiTrust Record")</f>
        <v/>
      </c>
      <c r="AU622">
        <f>HYPERLINK("https://creighton-primo.hosted.exlibrisgroup.com/primo-explore/search?tab=default_tab&amp;search_scope=EVERYTHING&amp;vid=01CRU&amp;lang=en_US&amp;offset=0&amp;query=any,contains,991003975169702656","Catalog Record")</f>
        <v/>
      </c>
      <c r="AV622">
        <f>HYPERLINK("http://www.worldcat.org/oclc/2002050","WorldCat Record")</f>
        <v/>
      </c>
      <c r="AW622" t="inlineStr">
        <is>
          <t>502806:eng</t>
        </is>
      </c>
      <c r="AX622" t="inlineStr">
        <is>
          <t>2002050</t>
        </is>
      </c>
      <c r="AY622" t="inlineStr">
        <is>
          <t>991003975169702656</t>
        </is>
      </c>
      <c r="AZ622" t="inlineStr">
        <is>
          <t>991003975169702656</t>
        </is>
      </c>
      <c r="BA622" t="inlineStr">
        <is>
          <t>2259829010002656</t>
        </is>
      </c>
      <c r="BB622" t="inlineStr">
        <is>
          <t>BOOK</t>
        </is>
      </c>
      <c r="BE622" t="inlineStr">
        <is>
          <t>32285000300649</t>
        </is>
      </c>
      <c r="BF622" t="inlineStr">
        <is>
          <t>893423230</t>
        </is>
      </c>
    </row>
    <row r="623">
      <c r="A623" t="inlineStr">
        <is>
          <t>No</t>
        </is>
      </c>
      <c r="B623" t="inlineStr">
        <is>
          <t>CURAL</t>
        </is>
      </c>
      <c r="C623" t="inlineStr">
        <is>
          <t>SHELVES</t>
        </is>
      </c>
      <c r="D623" t="inlineStr">
        <is>
          <t>PR2848 .G57 1982</t>
        </is>
      </c>
      <c r="E623" t="inlineStr">
        <is>
          <t>0                      PR 2848000G  57          1982</t>
        </is>
      </c>
      <c r="F623" t="inlineStr">
        <is>
          <t>The book known as Q : a consideration of Shakespeare's sonnets / Robert Giroux.</t>
        </is>
      </c>
      <c r="H623" t="inlineStr">
        <is>
          <t>No</t>
        </is>
      </c>
      <c r="I623" t="inlineStr">
        <is>
          <t>1</t>
        </is>
      </c>
      <c r="J623" t="inlineStr">
        <is>
          <t>No</t>
        </is>
      </c>
      <c r="K623" t="inlineStr">
        <is>
          <t>No</t>
        </is>
      </c>
      <c r="L623" t="inlineStr">
        <is>
          <t>0</t>
        </is>
      </c>
      <c r="M623" t="inlineStr">
        <is>
          <t>Giroux, Robert.</t>
        </is>
      </c>
      <c r="N623" t="inlineStr">
        <is>
          <t>New York : Atheneum, 1982.</t>
        </is>
      </c>
      <c r="O623" t="inlineStr">
        <is>
          <t>1982</t>
        </is>
      </c>
      <c r="P623" t="inlineStr">
        <is>
          <t>1st ed.</t>
        </is>
      </c>
      <c r="Q623" t="inlineStr">
        <is>
          <t>eng</t>
        </is>
      </c>
      <c r="R623" t="inlineStr">
        <is>
          <t>nyu</t>
        </is>
      </c>
      <c r="T623" t="inlineStr">
        <is>
          <t xml:space="preserve">PR </t>
        </is>
      </c>
      <c r="U623" t="n">
        <v>2</v>
      </c>
      <c r="V623" t="n">
        <v>2</v>
      </c>
      <c r="W623" t="inlineStr">
        <is>
          <t>1997-12-08</t>
        </is>
      </c>
      <c r="X623" t="inlineStr">
        <is>
          <t>1997-12-08</t>
        </is>
      </c>
      <c r="Y623" t="inlineStr">
        <is>
          <t>1991-10-23</t>
        </is>
      </c>
      <c r="Z623" t="inlineStr">
        <is>
          <t>1991-10-23</t>
        </is>
      </c>
      <c r="AA623" t="n">
        <v>753</v>
      </c>
      <c r="AB623" t="n">
        <v>677</v>
      </c>
      <c r="AC623" t="n">
        <v>736</v>
      </c>
      <c r="AD623" t="n">
        <v>4</v>
      </c>
      <c r="AE623" t="n">
        <v>4</v>
      </c>
      <c r="AF623" t="n">
        <v>24</v>
      </c>
      <c r="AG623" t="n">
        <v>28</v>
      </c>
      <c r="AH623" t="n">
        <v>10</v>
      </c>
      <c r="AI623" t="n">
        <v>12</v>
      </c>
      <c r="AJ623" t="n">
        <v>7</v>
      </c>
      <c r="AK623" t="n">
        <v>8</v>
      </c>
      <c r="AL623" t="n">
        <v>13</v>
      </c>
      <c r="AM623" t="n">
        <v>16</v>
      </c>
      <c r="AN623" t="n">
        <v>3</v>
      </c>
      <c r="AO623" t="n">
        <v>3</v>
      </c>
      <c r="AP623" t="n">
        <v>0</v>
      </c>
      <c r="AQ623" t="n">
        <v>0</v>
      </c>
      <c r="AR623" t="inlineStr">
        <is>
          <t>No</t>
        </is>
      </c>
      <c r="AS623" t="inlineStr">
        <is>
          <t>Yes</t>
        </is>
      </c>
      <c r="AT623">
        <f>HYPERLINK("http://catalog.hathitrust.org/Record/000145594","HathiTrust Record")</f>
        <v/>
      </c>
      <c r="AU623">
        <f>HYPERLINK("https://creighton-primo.hosted.exlibrisgroup.com/primo-explore/search?tab=default_tab&amp;search_scope=EVERYTHING&amp;vid=01CRU&amp;lang=en_US&amp;offset=0&amp;query=any,contains,991005214559702656","Catalog Record")</f>
        <v/>
      </c>
      <c r="AV623">
        <f>HYPERLINK("http://www.worldcat.org/oclc/8176657","WorldCat Record")</f>
        <v/>
      </c>
      <c r="AW623" t="inlineStr">
        <is>
          <t>437757:eng</t>
        </is>
      </c>
      <c r="AX623" t="inlineStr">
        <is>
          <t>8176657</t>
        </is>
      </c>
      <c r="AY623" t="inlineStr">
        <is>
          <t>991005214559702656</t>
        </is>
      </c>
      <c r="AZ623" t="inlineStr">
        <is>
          <t>991005214559702656</t>
        </is>
      </c>
      <c r="BA623" t="inlineStr">
        <is>
          <t>2259552590002656</t>
        </is>
      </c>
      <c r="BB623" t="inlineStr">
        <is>
          <t>BOOK</t>
        </is>
      </c>
      <c r="BD623" t="inlineStr">
        <is>
          <t>9780689112607</t>
        </is>
      </c>
      <c r="BE623" t="inlineStr">
        <is>
          <t>32285000779115</t>
        </is>
      </c>
      <c r="BF623" t="inlineStr">
        <is>
          <t>893344852</t>
        </is>
      </c>
    </row>
    <row r="624">
      <c r="A624" t="inlineStr">
        <is>
          <t>No</t>
        </is>
      </c>
      <c r="B624" t="inlineStr">
        <is>
          <t>CURAL</t>
        </is>
      </c>
      <c r="C624" t="inlineStr">
        <is>
          <t>SHELVES</t>
        </is>
      </c>
      <c r="D624" t="inlineStr">
        <is>
          <t>PR2848 .H3 1981</t>
        </is>
      </c>
      <c r="E624" t="inlineStr">
        <is>
          <t>0                      PR 2848000H  3           1981</t>
        </is>
      </c>
      <c r="F624" t="inlineStr">
        <is>
          <t>The reader and Shakespeare's young man sonnets / Gerald Hammond.</t>
        </is>
      </c>
      <c r="H624" t="inlineStr">
        <is>
          <t>No</t>
        </is>
      </c>
      <c r="I624" t="inlineStr">
        <is>
          <t>1</t>
        </is>
      </c>
      <c r="J624" t="inlineStr">
        <is>
          <t>No</t>
        </is>
      </c>
      <c r="K624" t="inlineStr">
        <is>
          <t>No</t>
        </is>
      </c>
      <c r="L624" t="inlineStr">
        <is>
          <t>0</t>
        </is>
      </c>
      <c r="M624" t="inlineStr">
        <is>
          <t>Hammond, Gerald.</t>
        </is>
      </c>
      <c r="N624" t="inlineStr">
        <is>
          <t>Totowa, N.J. : Barnes &amp; Noble, 1981.</t>
        </is>
      </c>
      <c r="O624" t="inlineStr">
        <is>
          <t>1981</t>
        </is>
      </c>
      <c r="Q624" t="inlineStr">
        <is>
          <t>eng</t>
        </is>
      </c>
      <c r="R624" t="inlineStr">
        <is>
          <t>nju</t>
        </is>
      </c>
      <c r="T624" t="inlineStr">
        <is>
          <t xml:space="preserve">PR </t>
        </is>
      </c>
      <c r="U624" t="n">
        <v>11</v>
      </c>
      <c r="V624" t="n">
        <v>11</v>
      </c>
      <c r="W624" t="inlineStr">
        <is>
          <t>2005-03-01</t>
        </is>
      </c>
      <c r="X624" t="inlineStr">
        <is>
          <t>2005-03-01</t>
        </is>
      </c>
      <c r="Y624" t="inlineStr">
        <is>
          <t>1991-10-23</t>
        </is>
      </c>
      <c r="Z624" t="inlineStr">
        <is>
          <t>1991-10-23</t>
        </is>
      </c>
      <c r="AA624" t="n">
        <v>466</v>
      </c>
      <c r="AB624" t="n">
        <v>429</v>
      </c>
      <c r="AC624" t="n">
        <v>478</v>
      </c>
      <c r="AD624" t="n">
        <v>4</v>
      </c>
      <c r="AE624" t="n">
        <v>6</v>
      </c>
      <c r="AF624" t="n">
        <v>25</v>
      </c>
      <c r="AG624" t="n">
        <v>31</v>
      </c>
      <c r="AH624" t="n">
        <v>14</v>
      </c>
      <c r="AI624" t="n">
        <v>15</v>
      </c>
      <c r="AJ624" t="n">
        <v>5</v>
      </c>
      <c r="AK624" t="n">
        <v>6</v>
      </c>
      <c r="AL624" t="n">
        <v>10</v>
      </c>
      <c r="AM624" t="n">
        <v>14</v>
      </c>
      <c r="AN624" t="n">
        <v>3</v>
      </c>
      <c r="AO624" t="n">
        <v>5</v>
      </c>
      <c r="AP624" t="n">
        <v>0</v>
      </c>
      <c r="AQ624" t="n">
        <v>0</v>
      </c>
      <c r="AR624" t="inlineStr">
        <is>
          <t>No</t>
        </is>
      </c>
      <c r="AS624" t="inlineStr">
        <is>
          <t>Yes</t>
        </is>
      </c>
      <c r="AT624">
        <f>HYPERLINK("http://catalog.hathitrust.org/Record/000186258","HathiTrust Record")</f>
        <v/>
      </c>
      <c r="AU624">
        <f>HYPERLINK("https://creighton-primo.hosted.exlibrisgroup.com/primo-explore/search?tab=default_tab&amp;search_scope=EVERYTHING&amp;vid=01CRU&amp;lang=en_US&amp;offset=0&amp;query=any,contains,991005108579702656","Catalog Record")</f>
        <v/>
      </c>
      <c r="AV624">
        <f>HYPERLINK("http://www.worldcat.org/oclc/7380307","WorldCat Record")</f>
        <v/>
      </c>
      <c r="AW624" t="inlineStr">
        <is>
          <t>25461459:eng</t>
        </is>
      </c>
      <c r="AX624" t="inlineStr">
        <is>
          <t>7380307</t>
        </is>
      </c>
      <c r="AY624" t="inlineStr">
        <is>
          <t>991005108579702656</t>
        </is>
      </c>
      <c r="AZ624" t="inlineStr">
        <is>
          <t>991005108579702656</t>
        </is>
      </c>
      <c r="BA624" t="inlineStr">
        <is>
          <t>2260878230002656</t>
        </is>
      </c>
      <c r="BB624" t="inlineStr">
        <is>
          <t>BOOK</t>
        </is>
      </c>
      <c r="BD624" t="inlineStr">
        <is>
          <t>9780389200468</t>
        </is>
      </c>
      <c r="BE624" t="inlineStr">
        <is>
          <t>32285000779123</t>
        </is>
      </c>
      <c r="BF624" t="inlineStr">
        <is>
          <t>893344657</t>
        </is>
      </c>
    </row>
    <row r="625">
      <c r="A625" t="inlineStr">
        <is>
          <t>No</t>
        </is>
      </c>
      <c r="B625" t="inlineStr">
        <is>
          <t>CURAL</t>
        </is>
      </c>
      <c r="C625" t="inlineStr">
        <is>
          <t>SHELVES</t>
        </is>
      </c>
      <c r="D625" t="inlineStr">
        <is>
          <t>PR2848 .N44 1976</t>
        </is>
      </c>
      <c r="E625" t="inlineStr">
        <is>
          <t>0                      PR 2848000N  44          1976</t>
        </is>
      </c>
      <c r="F625" t="inlineStr">
        <is>
          <t>New essays on Shakespeare's sonnets / edited by Hilton Landry.</t>
        </is>
      </c>
      <c r="H625" t="inlineStr">
        <is>
          <t>No</t>
        </is>
      </c>
      <c r="I625" t="inlineStr">
        <is>
          <t>1</t>
        </is>
      </c>
      <c r="J625" t="inlineStr">
        <is>
          <t>No</t>
        </is>
      </c>
      <c r="K625" t="inlineStr">
        <is>
          <t>No</t>
        </is>
      </c>
      <c r="L625" t="inlineStr">
        <is>
          <t>0</t>
        </is>
      </c>
      <c r="N625" t="inlineStr">
        <is>
          <t>New York : AMS Press, 1976.</t>
        </is>
      </c>
      <c r="O625" t="inlineStr">
        <is>
          <t>1976</t>
        </is>
      </c>
      <c r="P625" t="inlineStr">
        <is>
          <t>1st AMS Press ed.</t>
        </is>
      </c>
      <c r="Q625" t="inlineStr">
        <is>
          <t>eng</t>
        </is>
      </c>
      <c r="R625" t="inlineStr">
        <is>
          <t>nyu</t>
        </is>
      </c>
      <c r="T625" t="inlineStr">
        <is>
          <t xml:space="preserve">PR </t>
        </is>
      </c>
      <c r="U625" t="n">
        <v>10</v>
      </c>
      <c r="V625" t="n">
        <v>10</v>
      </c>
      <c r="W625" t="inlineStr">
        <is>
          <t>2000-12-03</t>
        </is>
      </c>
      <c r="X625" t="inlineStr">
        <is>
          <t>2000-12-03</t>
        </is>
      </c>
      <c r="Y625" t="inlineStr">
        <is>
          <t>1991-10-23</t>
        </is>
      </c>
      <c r="Z625" t="inlineStr">
        <is>
          <t>1991-10-23</t>
        </is>
      </c>
      <c r="AA625" t="n">
        <v>664</v>
      </c>
      <c r="AB625" t="n">
        <v>523</v>
      </c>
      <c r="AC625" t="n">
        <v>528</v>
      </c>
      <c r="AD625" t="n">
        <v>6</v>
      </c>
      <c r="AE625" t="n">
        <v>6</v>
      </c>
      <c r="AF625" t="n">
        <v>26</v>
      </c>
      <c r="AG625" t="n">
        <v>26</v>
      </c>
      <c r="AH625" t="n">
        <v>8</v>
      </c>
      <c r="AI625" t="n">
        <v>8</v>
      </c>
      <c r="AJ625" t="n">
        <v>6</v>
      </c>
      <c r="AK625" t="n">
        <v>6</v>
      </c>
      <c r="AL625" t="n">
        <v>13</v>
      </c>
      <c r="AM625" t="n">
        <v>13</v>
      </c>
      <c r="AN625" t="n">
        <v>5</v>
      </c>
      <c r="AO625" t="n">
        <v>5</v>
      </c>
      <c r="AP625" t="n">
        <v>0</v>
      </c>
      <c r="AQ625" t="n">
        <v>0</v>
      </c>
      <c r="AR625" t="inlineStr">
        <is>
          <t>No</t>
        </is>
      </c>
      <c r="AS625" t="inlineStr">
        <is>
          <t>No</t>
        </is>
      </c>
      <c r="AU625">
        <f>HYPERLINK("https://creighton-primo.hosted.exlibrisgroup.com/primo-explore/search?tab=default_tab&amp;search_scope=EVERYTHING&amp;vid=01CRU&amp;lang=en_US&amp;offset=0&amp;query=any,contains,991004045889702656","Catalog Record")</f>
        <v/>
      </c>
      <c r="AV625">
        <f>HYPERLINK("http://www.worldcat.org/oclc/2201798","WorldCat Record")</f>
        <v/>
      </c>
      <c r="AW625" t="inlineStr">
        <is>
          <t>474963:eng</t>
        </is>
      </c>
      <c r="AX625" t="inlineStr">
        <is>
          <t>2201798</t>
        </is>
      </c>
      <c r="AY625" t="inlineStr">
        <is>
          <t>991004045889702656</t>
        </is>
      </c>
      <c r="AZ625" t="inlineStr">
        <is>
          <t>991004045889702656</t>
        </is>
      </c>
      <c r="BA625" t="inlineStr">
        <is>
          <t>2255934330002656</t>
        </is>
      </c>
      <c r="BB625" t="inlineStr">
        <is>
          <t>BOOK</t>
        </is>
      </c>
      <c r="BD625" t="inlineStr">
        <is>
          <t>9780404090289</t>
        </is>
      </c>
      <c r="BE625" t="inlineStr">
        <is>
          <t>32285000779156</t>
        </is>
      </c>
      <c r="BF625" t="inlineStr">
        <is>
          <t>893775537</t>
        </is>
      </c>
    </row>
    <row r="626">
      <c r="A626" t="inlineStr">
        <is>
          <t>No</t>
        </is>
      </c>
      <c r="B626" t="inlineStr">
        <is>
          <t>CURAL</t>
        </is>
      </c>
      <c r="C626" t="inlineStr">
        <is>
          <t>SHELVES</t>
        </is>
      </c>
      <c r="D626" t="inlineStr">
        <is>
          <t>PR2848 .P46 1985</t>
        </is>
      </c>
      <c r="E626" t="inlineStr">
        <is>
          <t>0                      PR 2848000P  46          1985</t>
        </is>
      </c>
      <c r="F626" t="inlineStr">
        <is>
          <t>Such is my love : a study of Shakespeare's sonnets / Joseph Pequigney.</t>
        </is>
      </c>
      <c r="H626" t="inlineStr">
        <is>
          <t>No</t>
        </is>
      </c>
      <c r="I626" t="inlineStr">
        <is>
          <t>1</t>
        </is>
      </c>
      <c r="J626" t="inlineStr">
        <is>
          <t>No</t>
        </is>
      </c>
      <c r="K626" t="inlineStr">
        <is>
          <t>No</t>
        </is>
      </c>
      <c r="L626" t="inlineStr">
        <is>
          <t>0</t>
        </is>
      </c>
      <c r="M626" t="inlineStr">
        <is>
          <t>Pequigney, Joseph.</t>
        </is>
      </c>
      <c r="N626" t="inlineStr">
        <is>
          <t>Chicago : University of Chicago Press, 1985.</t>
        </is>
      </c>
      <c r="O626" t="inlineStr">
        <is>
          <t>1985</t>
        </is>
      </c>
      <c r="Q626" t="inlineStr">
        <is>
          <t>eng</t>
        </is>
      </c>
      <c r="R626" t="inlineStr">
        <is>
          <t>ilu</t>
        </is>
      </c>
      <c r="T626" t="inlineStr">
        <is>
          <t xml:space="preserve">PR </t>
        </is>
      </c>
      <c r="U626" t="n">
        <v>13</v>
      </c>
      <c r="V626" t="n">
        <v>13</v>
      </c>
      <c r="W626" t="inlineStr">
        <is>
          <t>2005-05-01</t>
        </is>
      </c>
      <c r="X626" t="inlineStr">
        <is>
          <t>2005-05-01</t>
        </is>
      </c>
      <c r="Y626" t="inlineStr">
        <is>
          <t>1991-10-23</t>
        </is>
      </c>
      <c r="Z626" t="inlineStr">
        <is>
          <t>1991-10-23</t>
        </is>
      </c>
      <c r="AA626" t="n">
        <v>791</v>
      </c>
      <c r="AB626" t="n">
        <v>653</v>
      </c>
      <c r="AC626" t="n">
        <v>661</v>
      </c>
      <c r="AD626" t="n">
        <v>4</v>
      </c>
      <c r="AE626" t="n">
        <v>4</v>
      </c>
      <c r="AF626" t="n">
        <v>28</v>
      </c>
      <c r="AG626" t="n">
        <v>28</v>
      </c>
      <c r="AH626" t="n">
        <v>12</v>
      </c>
      <c r="AI626" t="n">
        <v>12</v>
      </c>
      <c r="AJ626" t="n">
        <v>6</v>
      </c>
      <c r="AK626" t="n">
        <v>6</v>
      </c>
      <c r="AL626" t="n">
        <v>16</v>
      </c>
      <c r="AM626" t="n">
        <v>16</v>
      </c>
      <c r="AN626" t="n">
        <v>3</v>
      </c>
      <c r="AO626" t="n">
        <v>3</v>
      </c>
      <c r="AP626" t="n">
        <v>0</v>
      </c>
      <c r="AQ626" t="n">
        <v>0</v>
      </c>
      <c r="AR626" t="inlineStr">
        <is>
          <t>No</t>
        </is>
      </c>
      <c r="AS626" t="inlineStr">
        <is>
          <t>No</t>
        </is>
      </c>
      <c r="AU626">
        <f>HYPERLINK("https://creighton-primo.hosted.exlibrisgroup.com/primo-explore/search?tab=default_tab&amp;search_scope=EVERYTHING&amp;vid=01CRU&amp;lang=en_US&amp;offset=0&amp;query=any,contains,991000571339702656","Catalog Record")</f>
        <v/>
      </c>
      <c r="AV626">
        <f>HYPERLINK("http://www.worldcat.org/oclc/11650519","WorldCat Record")</f>
        <v/>
      </c>
      <c r="AW626" t="inlineStr">
        <is>
          <t>287506372:eng</t>
        </is>
      </c>
      <c r="AX626" t="inlineStr">
        <is>
          <t>11650519</t>
        </is>
      </c>
      <c r="AY626" t="inlineStr">
        <is>
          <t>991000571339702656</t>
        </is>
      </c>
      <c r="AZ626" t="inlineStr">
        <is>
          <t>991000571339702656</t>
        </is>
      </c>
      <c r="BA626" t="inlineStr">
        <is>
          <t>2269788770002656</t>
        </is>
      </c>
      <c r="BB626" t="inlineStr">
        <is>
          <t>BOOK</t>
        </is>
      </c>
      <c r="BD626" t="inlineStr">
        <is>
          <t>9780226655635</t>
        </is>
      </c>
      <c r="BE626" t="inlineStr">
        <is>
          <t>32285000779172</t>
        </is>
      </c>
      <c r="BF626" t="inlineStr">
        <is>
          <t>893689822</t>
        </is>
      </c>
    </row>
    <row r="627">
      <c r="A627" t="inlineStr">
        <is>
          <t>No</t>
        </is>
      </c>
      <c r="B627" t="inlineStr">
        <is>
          <t>CURAL</t>
        </is>
      </c>
      <c r="C627" t="inlineStr">
        <is>
          <t>SHELVES</t>
        </is>
      </c>
      <c r="D627" t="inlineStr">
        <is>
          <t>PR2848 .R35</t>
        </is>
      </c>
      <c r="E627" t="inlineStr">
        <is>
          <t>0                      PR 2848000R  35</t>
        </is>
      </c>
      <c r="F627" t="inlineStr">
        <is>
          <t>The fickle glass : a study of Shakespeare's sonnets / by Paul Ramsey.</t>
        </is>
      </c>
      <c r="H627" t="inlineStr">
        <is>
          <t>No</t>
        </is>
      </c>
      <c r="I627" t="inlineStr">
        <is>
          <t>1</t>
        </is>
      </c>
      <c r="J627" t="inlineStr">
        <is>
          <t>No</t>
        </is>
      </c>
      <c r="K627" t="inlineStr">
        <is>
          <t>No</t>
        </is>
      </c>
      <c r="L627" t="inlineStr">
        <is>
          <t>0</t>
        </is>
      </c>
      <c r="M627" t="inlineStr">
        <is>
          <t>Ramsey, Paul, 1924-1994.</t>
        </is>
      </c>
      <c r="N627" t="inlineStr">
        <is>
          <t>New York : AMS Press, c1979.</t>
        </is>
      </c>
      <c r="O627" t="inlineStr">
        <is>
          <t>1979</t>
        </is>
      </c>
      <c r="Q627" t="inlineStr">
        <is>
          <t>eng</t>
        </is>
      </c>
      <c r="R627" t="inlineStr">
        <is>
          <t>nyu</t>
        </is>
      </c>
      <c r="S627" t="inlineStr">
        <is>
          <t>AMS studies in the Renaissance ; no. 4</t>
        </is>
      </c>
      <c r="T627" t="inlineStr">
        <is>
          <t xml:space="preserve">PR </t>
        </is>
      </c>
      <c r="U627" t="n">
        <v>8</v>
      </c>
      <c r="V627" t="n">
        <v>8</v>
      </c>
      <c r="W627" t="inlineStr">
        <is>
          <t>1998-02-09</t>
        </is>
      </c>
      <c r="X627" t="inlineStr">
        <is>
          <t>1998-02-09</t>
        </is>
      </c>
      <c r="Y627" t="inlineStr">
        <is>
          <t>1991-10-23</t>
        </is>
      </c>
      <c r="Z627" t="inlineStr">
        <is>
          <t>1991-10-23</t>
        </is>
      </c>
      <c r="AA627" t="n">
        <v>677</v>
      </c>
      <c r="AB627" t="n">
        <v>556</v>
      </c>
      <c r="AC627" t="n">
        <v>561</v>
      </c>
      <c r="AD627" t="n">
        <v>4</v>
      </c>
      <c r="AE627" t="n">
        <v>4</v>
      </c>
      <c r="AF627" t="n">
        <v>23</v>
      </c>
      <c r="AG627" t="n">
        <v>23</v>
      </c>
      <c r="AH627" t="n">
        <v>8</v>
      </c>
      <c r="AI627" t="n">
        <v>8</v>
      </c>
      <c r="AJ627" t="n">
        <v>6</v>
      </c>
      <c r="AK627" t="n">
        <v>6</v>
      </c>
      <c r="AL627" t="n">
        <v>13</v>
      </c>
      <c r="AM627" t="n">
        <v>13</v>
      </c>
      <c r="AN627" t="n">
        <v>3</v>
      </c>
      <c r="AO627" t="n">
        <v>3</v>
      </c>
      <c r="AP627" t="n">
        <v>0</v>
      </c>
      <c r="AQ627" t="n">
        <v>0</v>
      </c>
      <c r="AR627" t="inlineStr">
        <is>
          <t>No</t>
        </is>
      </c>
      <c r="AS627" t="inlineStr">
        <is>
          <t>No</t>
        </is>
      </c>
      <c r="AU627">
        <f>HYPERLINK("https://creighton-primo.hosted.exlibrisgroup.com/primo-explore/search?tab=default_tab&amp;search_scope=EVERYTHING&amp;vid=01CRU&amp;lang=en_US&amp;offset=0&amp;query=any,contains,991004688759702656","Catalog Record")</f>
        <v/>
      </c>
      <c r="AV627">
        <f>HYPERLINK("http://www.worldcat.org/oclc/4593774","WorldCat Record")</f>
        <v/>
      </c>
      <c r="AW627" t="inlineStr">
        <is>
          <t>365362154:eng</t>
        </is>
      </c>
      <c r="AX627" t="inlineStr">
        <is>
          <t>4593774</t>
        </is>
      </c>
      <c r="AY627" t="inlineStr">
        <is>
          <t>991004688759702656</t>
        </is>
      </c>
      <c r="AZ627" t="inlineStr">
        <is>
          <t>991004688759702656</t>
        </is>
      </c>
      <c r="BA627" t="inlineStr">
        <is>
          <t>2271323980002656</t>
        </is>
      </c>
      <c r="BB627" t="inlineStr">
        <is>
          <t>BOOK</t>
        </is>
      </c>
      <c r="BD627" t="inlineStr">
        <is>
          <t>9780404160326</t>
        </is>
      </c>
      <c r="BE627" t="inlineStr">
        <is>
          <t>32285000779180</t>
        </is>
      </c>
      <c r="BF627" t="inlineStr">
        <is>
          <t>893235820</t>
        </is>
      </c>
    </row>
    <row r="628">
      <c r="A628" t="inlineStr">
        <is>
          <t>No</t>
        </is>
      </c>
      <c r="B628" t="inlineStr">
        <is>
          <t>CURAL</t>
        </is>
      </c>
      <c r="C628" t="inlineStr">
        <is>
          <t>SHELVES</t>
        </is>
      </c>
      <c r="D628" t="inlineStr">
        <is>
          <t>PR2848 .S6</t>
        </is>
      </c>
      <c r="E628" t="inlineStr">
        <is>
          <t>0                      PR 2848000S  6</t>
        </is>
      </c>
      <c r="F628" t="inlineStr">
        <is>
          <t>The tension of the lyre : poetry in Shakespeare's sonnets / by Hallet Smith.</t>
        </is>
      </c>
      <c r="H628" t="inlineStr">
        <is>
          <t>No</t>
        </is>
      </c>
      <c r="I628" t="inlineStr">
        <is>
          <t>1</t>
        </is>
      </c>
      <c r="J628" t="inlineStr">
        <is>
          <t>No</t>
        </is>
      </c>
      <c r="K628" t="inlineStr">
        <is>
          <t>No</t>
        </is>
      </c>
      <c r="L628" t="inlineStr">
        <is>
          <t>0</t>
        </is>
      </c>
      <c r="M628" t="inlineStr">
        <is>
          <t>Smith, Hallett, 1907-1996.</t>
        </is>
      </c>
      <c r="N628" t="inlineStr">
        <is>
          <t>San Marino, Calif. : Huntington Library, 1981.</t>
        </is>
      </c>
      <c r="O628" t="inlineStr">
        <is>
          <t>1980</t>
        </is>
      </c>
      <c r="Q628" t="inlineStr">
        <is>
          <t>eng</t>
        </is>
      </c>
      <c r="R628" t="inlineStr">
        <is>
          <t>cau</t>
        </is>
      </c>
      <c r="T628" t="inlineStr">
        <is>
          <t xml:space="preserve">PR </t>
        </is>
      </c>
      <c r="U628" t="n">
        <v>3</v>
      </c>
      <c r="V628" t="n">
        <v>3</v>
      </c>
      <c r="W628" t="inlineStr">
        <is>
          <t>1992-03-10</t>
        </is>
      </c>
      <c r="X628" t="inlineStr">
        <is>
          <t>1992-03-10</t>
        </is>
      </c>
      <c r="Y628" t="inlineStr">
        <is>
          <t>1991-10-23</t>
        </is>
      </c>
      <c r="Z628" t="inlineStr">
        <is>
          <t>1991-10-23</t>
        </is>
      </c>
      <c r="AA628" t="n">
        <v>397</v>
      </c>
      <c r="AB628" t="n">
        <v>326</v>
      </c>
      <c r="AC628" t="n">
        <v>334</v>
      </c>
      <c r="AD628" t="n">
        <v>3</v>
      </c>
      <c r="AE628" t="n">
        <v>3</v>
      </c>
      <c r="AF628" t="n">
        <v>19</v>
      </c>
      <c r="AG628" t="n">
        <v>19</v>
      </c>
      <c r="AH628" t="n">
        <v>6</v>
      </c>
      <c r="AI628" t="n">
        <v>6</v>
      </c>
      <c r="AJ628" t="n">
        <v>6</v>
      </c>
      <c r="AK628" t="n">
        <v>6</v>
      </c>
      <c r="AL628" t="n">
        <v>11</v>
      </c>
      <c r="AM628" t="n">
        <v>11</v>
      </c>
      <c r="AN628" t="n">
        <v>2</v>
      </c>
      <c r="AO628" t="n">
        <v>2</v>
      </c>
      <c r="AP628" t="n">
        <v>0</v>
      </c>
      <c r="AQ628" t="n">
        <v>0</v>
      </c>
      <c r="AR628" t="inlineStr">
        <is>
          <t>No</t>
        </is>
      </c>
      <c r="AS628" t="inlineStr">
        <is>
          <t>Yes</t>
        </is>
      </c>
      <c r="AT628">
        <f>HYPERLINK("http://catalog.hathitrust.org/Record/000226805","HathiTrust Record")</f>
        <v/>
      </c>
      <c r="AU628">
        <f>HYPERLINK("https://creighton-primo.hosted.exlibrisgroup.com/primo-explore/search?tab=default_tab&amp;search_scope=EVERYTHING&amp;vid=01CRU&amp;lang=en_US&amp;offset=0&amp;query=any,contains,991005084589702656","Catalog Record")</f>
        <v/>
      </c>
      <c r="AV628">
        <f>HYPERLINK("http://www.worldcat.org/oclc/7179529","WorldCat Record")</f>
        <v/>
      </c>
      <c r="AW628" t="inlineStr">
        <is>
          <t>520605:eng</t>
        </is>
      </c>
      <c r="AX628" t="inlineStr">
        <is>
          <t>7179529</t>
        </is>
      </c>
      <c r="AY628" t="inlineStr">
        <is>
          <t>991005084589702656</t>
        </is>
      </c>
      <c r="AZ628" t="inlineStr">
        <is>
          <t>991005084589702656</t>
        </is>
      </c>
      <c r="BA628" t="inlineStr">
        <is>
          <t>2267207690002656</t>
        </is>
      </c>
      <c r="BB628" t="inlineStr">
        <is>
          <t>BOOK</t>
        </is>
      </c>
      <c r="BD628" t="inlineStr">
        <is>
          <t>9780873281140</t>
        </is>
      </c>
      <c r="BE628" t="inlineStr">
        <is>
          <t>32285000779198</t>
        </is>
      </c>
      <c r="BF628" t="inlineStr">
        <is>
          <t>893707225</t>
        </is>
      </c>
    </row>
    <row r="629">
      <c r="A629" t="inlineStr">
        <is>
          <t>No</t>
        </is>
      </c>
      <c r="B629" t="inlineStr">
        <is>
          <t>CURAL</t>
        </is>
      </c>
      <c r="C629" t="inlineStr">
        <is>
          <t>SHELVES</t>
        </is>
      </c>
      <c r="D629" t="inlineStr">
        <is>
          <t>PR2848 .W25 1972</t>
        </is>
      </c>
      <c r="E629" t="inlineStr">
        <is>
          <t>0                      PR 2848000W  25          1972</t>
        </is>
      </c>
      <c r="F629" t="inlineStr">
        <is>
          <t>The background to Shakespeare's sonnets / by R. J. C. Wait.</t>
        </is>
      </c>
      <c r="H629" t="inlineStr">
        <is>
          <t>No</t>
        </is>
      </c>
      <c r="I629" t="inlineStr">
        <is>
          <t>1</t>
        </is>
      </c>
      <c r="J629" t="inlineStr">
        <is>
          <t>No</t>
        </is>
      </c>
      <c r="K629" t="inlineStr">
        <is>
          <t>No</t>
        </is>
      </c>
      <c r="L629" t="inlineStr">
        <is>
          <t>0</t>
        </is>
      </c>
      <c r="M629" t="inlineStr">
        <is>
          <t>Wait, R. J. C.</t>
        </is>
      </c>
      <c r="N629" t="inlineStr">
        <is>
          <t>London : Chatto and Windus, 1972.</t>
        </is>
      </c>
      <c r="O629" t="inlineStr">
        <is>
          <t>1972</t>
        </is>
      </c>
      <c r="Q629" t="inlineStr">
        <is>
          <t>eng</t>
        </is>
      </c>
      <c r="R629" t="inlineStr">
        <is>
          <t>enk</t>
        </is>
      </c>
      <c r="T629" t="inlineStr">
        <is>
          <t xml:space="preserve">PR </t>
        </is>
      </c>
      <c r="U629" t="n">
        <v>7</v>
      </c>
      <c r="V629" t="n">
        <v>7</v>
      </c>
      <c r="W629" t="inlineStr">
        <is>
          <t>1997-12-08</t>
        </is>
      </c>
      <c r="X629" t="inlineStr">
        <is>
          <t>1997-12-08</t>
        </is>
      </c>
      <c r="Y629" t="inlineStr">
        <is>
          <t>1990-10-04</t>
        </is>
      </c>
      <c r="Z629" t="inlineStr">
        <is>
          <t>1990-10-04</t>
        </is>
      </c>
      <c r="AA629" t="n">
        <v>293</v>
      </c>
      <c r="AB629" t="n">
        <v>119</v>
      </c>
      <c r="AC629" t="n">
        <v>523</v>
      </c>
      <c r="AD629" t="n">
        <v>2</v>
      </c>
      <c r="AE629" t="n">
        <v>5</v>
      </c>
      <c r="AF629" t="n">
        <v>7</v>
      </c>
      <c r="AG629" t="n">
        <v>24</v>
      </c>
      <c r="AH629" t="n">
        <v>2</v>
      </c>
      <c r="AI629" t="n">
        <v>9</v>
      </c>
      <c r="AJ629" t="n">
        <v>2</v>
      </c>
      <c r="AK629" t="n">
        <v>5</v>
      </c>
      <c r="AL629" t="n">
        <v>5</v>
      </c>
      <c r="AM629" t="n">
        <v>14</v>
      </c>
      <c r="AN629" t="n">
        <v>1</v>
      </c>
      <c r="AO629" t="n">
        <v>4</v>
      </c>
      <c r="AP629" t="n">
        <v>0</v>
      </c>
      <c r="AQ629" t="n">
        <v>0</v>
      </c>
      <c r="AR629" t="inlineStr">
        <is>
          <t>No</t>
        </is>
      </c>
      <c r="AS629" t="inlineStr">
        <is>
          <t>Yes</t>
        </is>
      </c>
      <c r="AT629">
        <f>HYPERLINK("http://catalog.hathitrust.org/Record/001018069","HathiTrust Record")</f>
        <v/>
      </c>
      <c r="AU629">
        <f>HYPERLINK("https://creighton-primo.hosted.exlibrisgroup.com/primo-explore/search?tab=default_tab&amp;search_scope=EVERYTHING&amp;vid=01CRU&amp;lang=en_US&amp;offset=0&amp;query=any,contains,991002962339702656","Catalog Record")</f>
        <v/>
      </c>
      <c r="AV629">
        <f>HYPERLINK("http://www.worldcat.org/oclc/544567","WorldCat Record")</f>
        <v/>
      </c>
      <c r="AW629" t="inlineStr">
        <is>
          <t>1565720:eng</t>
        </is>
      </c>
      <c r="AX629" t="inlineStr">
        <is>
          <t>544567</t>
        </is>
      </c>
      <c r="AY629" t="inlineStr">
        <is>
          <t>991002962339702656</t>
        </is>
      </c>
      <c r="AZ629" t="inlineStr">
        <is>
          <t>991002962339702656</t>
        </is>
      </c>
      <c r="BA629" t="inlineStr">
        <is>
          <t>2268088820002656</t>
        </is>
      </c>
      <c r="BB629" t="inlineStr">
        <is>
          <t>BOOK</t>
        </is>
      </c>
      <c r="BD629" t="inlineStr">
        <is>
          <t>9780701115869</t>
        </is>
      </c>
      <c r="BE629" t="inlineStr">
        <is>
          <t>32285000332279</t>
        </is>
      </c>
      <c r="BF629" t="inlineStr">
        <is>
          <t>893604280</t>
        </is>
      </c>
    </row>
    <row r="630">
      <c r="A630" t="inlineStr">
        <is>
          <t>No</t>
        </is>
      </c>
      <c r="B630" t="inlineStr">
        <is>
          <t>CURAL</t>
        </is>
      </c>
      <c r="C630" t="inlineStr">
        <is>
          <t>SHELVES</t>
        </is>
      </c>
      <c r="D630" t="inlineStr">
        <is>
          <t>PR2848 .W5 1964</t>
        </is>
      </c>
      <c r="E630" t="inlineStr">
        <is>
          <t>0                      PR 2848000W  5           1964</t>
        </is>
      </c>
      <c r="F630" t="inlineStr">
        <is>
          <t>An introduction to the sonnets of Shakespeare for the use of historians and others.</t>
        </is>
      </c>
      <c r="H630" t="inlineStr">
        <is>
          <t>No</t>
        </is>
      </c>
      <c r="I630" t="inlineStr">
        <is>
          <t>1</t>
        </is>
      </c>
      <c r="J630" t="inlineStr">
        <is>
          <t>No</t>
        </is>
      </c>
      <c r="K630" t="inlineStr">
        <is>
          <t>No</t>
        </is>
      </c>
      <c r="L630" t="inlineStr">
        <is>
          <t>0</t>
        </is>
      </c>
      <c r="M630" t="inlineStr">
        <is>
          <t>Wilson, John Dover, 1881-1969.</t>
        </is>
      </c>
      <c r="N630" t="inlineStr">
        <is>
          <t>New York, Cambridge University Press, 1964 [c1963]</t>
        </is>
      </c>
      <c r="O630" t="inlineStr">
        <is>
          <t>1964</t>
        </is>
      </c>
      <c r="Q630" t="inlineStr">
        <is>
          <t>eng</t>
        </is>
      </c>
      <c r="R630" t="inlineStr">
        <is>
          <t>nyu</t>
        </is>
      </c>
      <c r="T630" t="inlineStr">
        <is>
          <t xml:space="preserve">PR </t>
        </is>
      </c>
      <c r="U630" t="n">
        <v>1</v>
      </c>
      <c r="V630" t="n">
        <v>1</v>
      </c>
      <c r="W630" t="inlineStr">
        <is>
          <t>2009-11-05</t>
        </is>
      </c>
      <c r="X630" t="inlineStr">
        <is>
          <t>2009-11-05</t>
        </is>
      </c>
      <c r="Y630" t="inlineStr">
        <is>
          <t>1997-07-31</t>
        </is>
      </c>
      <c r="Z630" t="inlineStr">
        <is>
          <t>1997-07-31</t>
        </is>
      </c>
      <c r="AA630" t="n">
        <v>908</v>
      </c>
      <c r="AB630" t="n">
        <v>867</v>
      </c>
      <c r="AC630" t="n">
        <v>961</v>
      </c>
      <c r="AD630" t="n">
        <v>12</v>
      </c>
      <c r="AE630" t="n">
        <v>12</v>
      </c>
      <c r="AF630" t="n">
        <v>40</v>
      </c>
      <c r="AG630" t="n">
        <v>43</v>
      </c>
      <c r="AH630" t="n">
        <v>17</v>
      </c>
      <c r="AI630" t="n">
        <v>17</v>
      </c>
      <c r="AJ630" t="n">
        <v>5</v>
      </c>
      <c r="AK630" t="n">
        <v>6</v>
      </c>
      <c r="AL630" t="n">
        <v>16</v>
      </c>
      <c r="AM630" t="n">
        <v>19</v>
      </c>
      <c r="AN630" t="n">
        <v>10</v>
      </c>
      <c r="AO630" t="n">
        <v>10</v>
      </c>
      <c r="AP630" t="n">
        <v>0</v>
      </c>
      <c r="AQ630" t="n">
        <v>0</v>
      </c>
      <c r="AR630" t="inlineStr">
        <is>
          <t>No</t>
        </is>
      </c>
      <c r="AS630" t="inlineStr">
        <is>
          <t>Yes</t>
        </is>
      </c>
      <c r="AT630">
        <f>HYPERLINK("http://catalog.hathitrust.org/Record/001366799","HathiTrust Record")</f>
        <v/>
      </c>
      <c r="AU630">
        <f>HYPERLINK("https://creighton-primo.hosted.exlibrisgroup.com/primo-explore/search?tab=default_tab&amp;search_scope=EVERYTHING&amp;vid=01CRU&amp;lang=en_US&amp;offset=0&amp;query=any,contains,991002269479702656","Catalog Record")</f>
        <v/>
      </c>
      <c r="AV630">
        <f>HYPERLINK("http://www.worldcat.org/oclc/307780","WorldCat Record")</f>
        <v/>
      </c>
      <c r="AW630" t="inlineStr">
        <is>
          <t>1362122:eng</t>
        </is>
      </c>
      <c r="AX630" t="inlineStr">
        <is>
          <t>307780</t>
        </is>
      </c>
      <c r="AY630" t="inlineStr">
        <is>
          <t>991002269479702656</t>
        </is>
      </c>
      <c r="AZ630" t="inlineStr">
        <is>
          <t>991002269479702656</t>
        </is>
      </c>
      <c r="BA630" t="inlineStr">
        <is>
          <t>2264546290002656</t>
        </is>
      </c>
      <c r="BB630" t="inlineStr">
        <is>
          <t>BOOK</t>
        </is>
      </c>
      <c r="BE630" t="inlineStr">
        <is>
          <t>32285002997491</t>
        </is>
      </c>
      <c r="BF630" t="inlineStr">
        <is>
          <t>893328880</t>
        </is>
      </c>
    </row>
    <row r="631">
      <c r="A631" t="inlineStr">
        <is>
          <t>No</t>
        </is>
      </c>
      <c r="B631" t="inlineStr">
        <is>
          <t>CURAL</t>
        </is>
      </c>
      <c r="C631" t="inlineStr">
        <is>
          <t>SHELVES</t>
        </is>
      </c>
      <c r="D631" t="inlineStr">
        <is>
          <t>PR2870.A2 W35 1989</t>
        </is>
      </c>
      <c r="E631" t="inlineStr">
        <is>
          <t>0                      PR 2870000A  2                  W  35          1989</t>
        </is>
      </c>
      <c r="F631" t="inlineStr">
        <is>
          <t>The two noble kinsmen / by William Shakespeare and John Fletcher ; edited by Eugene M. Waith.</t>
        </is>
      </c>
      <c r="H631" t="inlineStr">
        <is>
          <t>No</t>
        </is>
      </c>
      <c r="I631" t="inlineStr">
        <is>
          <t>1</t>
        </is>
      </c>
      <c r="J631" t="inlineStr">
        <is>
          <t>No</t>
        </is>
      </c>
      <c r="K631" t="inlineStr">
        <is>
          <t>Yes</t>
        </is>
      </c>
      <c r="L631" t="inlineStr">
        <is>
          <t>0</t>
        </is>
      </c>
      <c r="M631" t="inlineStr">
        <is>
          <t>Fletcher, John, 1579-1625.</t>
        </is>
      </c>
      <c r="N631" t="inlineStr">
        <is>
          <t>Oxford [Oxfordshire] : Clarendon Press ; New York : Oxford University Press, 1989.</t>
        </is>
      </c>
      <c r="O631" t="inlineStr">
        <is>
          <t>1989</t>
        </is>
      </c>
      <c r="Q631" t="inlineStr">
        <is>
          <t>eng</t>
        </is>
      </c>
      <c r="R631" t="inlineStr">
        <is>
          <t>enk</t>
        </is>
      </c>
      <c r="S631" t="inlineStr">
        <is>
          <t>The Oxford Shakespeare</t>
        </is>
      </c>
      <c r="T631" t="inlineStr">
        <is>
          <t xml:space="preserve">PR </t>
        </is>
      </c>
      <c r="U631" t="n">
        <v>1</v>
      </c>
      <c r="V631" t="n">
        <v>1</v>
      </c>
      <c r="W631" t="inlineStr">
        <is>
          <t>1993-02-20</t>
        </is>
      </c>
      <c r="X631" t="inlineStr">
        <is>
          <t>1993-02-20</t>
        </is>
      </c>
      <c r="Y631" t="inlineStr">
        <is>
          <t>1991-10-18</t>
        </is>
      </c>
      <c r="Z631" t="inlineStr">
        <is>
          <t>1991-10-18</t>
        </is>
      </c>
      <c r="AA631" t="n">
        <v>600</v>
      </c>
      <c r="AB631" t="n">
        <v>468</v>
      </c>
      <c r="AC631" t="n">
        <v>2305</v>
      </c>
      <c r="AD631" t="n">
        <v>5</v>
      </c>
      <c r="AE631" t="n">
        <v>23</v>
      </c>
      <c r="AF631" t="n">
        <v>28</v>
      </c>
      <c r="AG631" t="n">
        <v>66</v>
      </c>
      <c r="AH631" t="n">
        <v>11</v>
      </c>
      <c r="AI631" t="n">
        <v>27</v>
      </c>
      <c r="AJ631" t="n">
        <v>6</v>
      </c>
      <c r="AK631" t="n">
        <v>11</v>
      </c>
      <c r="AL631" t="n">
        <v>17</v>
      </c>
      <c r="AM631" t="n">
        <v>27</v>
      </c>
      <c r="AN631" t="n">
        <v>4</v>
      </c>
      <c r="AO631" t="n">
        <v>15</v>
      </c>
      <c r="AP631" t="n">
        <v>0</v>
      </c>
      <c r="AQ631" t="n">
        <v>0</v>
      </c>
      <c r="AR631" t="inlineStr">
        <is>
          <t>No</t>
        </is>
      </c>
      <c r="AS631" t="inlineStr">
        <is>
          <t>Yes</t>
        </is>
      </c>
      <c r="AT631">
        <f>HYPERLINK("http://catalog.hathitrust.org/Record/001538437","HathiTrust Record")</f>
        <v/>
      </c>
      <c r="AU631">
        <f>HYPERLINK("https://creighton-primo.hosted.exlibrisgroup.com/primo-explore/search?tab=default_tab&amp;search_scope=EVERYTHING&amp;vid=01CRU&amp;lang=en_US&amp;offset=0&amp;query=any,contains,991001250639702656","Catalog Record")</f>
        <v/>
      </c>
      <c r="AV631">
        <f>HYPERLINK("http://www.worldcat.org/oclc/17675785","WorldCat Record")</f>
        <v/>
      </c>
      <c r="AW631" t="inlineStr">
        <is>
          <t>1815176880:eng</t>
        </is>
      </c>
      <c r="AX631" t="inlineStr">
        <is>
          <t>17675785</t>
        </is>
      </c>
      <c r="AY631" t="inlineStr">
        <is>
          <t>991001250639702656</t>
        </is>
      </c>
      <c r="AZ631" t="inlineStr">
        <is>
          <t>991001250639702656</t>
        </is>
      </c>
      <c r="BA631" t="inlineStr">
        <is>
          <t>2259969800002656</t>
        </is>
      </c>
      <c r="BB631" t="inlineStr">
        <is>
          <t>BOOK</t>
        </is>
      </c>
      <c r="BD631" t="inlineStr">
        <is>
          <t>9780192814586</t>
        </is>
      </c>
      <c r="BE631" t="inlineStr">
        <is>
          <t>32285000775428</t>
        </is>
      </c>
      <c r="BF631" t="inlineStr">
        <is>
          <t>893702875</t>
        </is>
      </c>
    </row>
    <row r="632">
      <c r="A632" t="inlineStr">
        <is>
          <t>No</t>
        </is>
      </c>
      <c r="B632" t="inlineStr">
        <is>
          <t>CURAL</t>
        </is>
      </c>
      <c r="C632" t="inlineStr">
        <is>
          <t>SHELVES</t>
        </is>
      </c>
      <c r="D632" t="inlineStr">
        <is>
          <t>PR2877 .L3 1942</t>
        </is>
      </c>
      <c r="E632" t="inlineStr">
        <is>
          <t>0                      PR 2877000L  3           1942</t>
        </is>
      </c>
      <c r="F632" t="inlineStr">
        <is>
          <t>Tales from Shakspeare / by Charles &amp; Mary Lamb, illustrated by Elinore Blaisdell.</t>
        </is>
      </c>
      <c r="H632" t="inlineStr">
        <is>
          <t>No</t>
        </is>
      </c>
      <c r="I632" t="inlineStr">
        <is>
          <t>1</t>
        </is>
      </c>
      <c r="J632" t="inlineStr">
        <is>
          <t>No</t>
        </is>
      </c>
      <c r="K632" t="inlineStr">
        <is>
          <t>Yes</t>
        </is>
      </c>
      <c r="L632" t="inlineStr">
        <is>
          <t>0</t>
        </is>
      </c>
      <c r="M632" t="inlineStr">
        <is>
          <t>Lamb, Charles, 1775-1834.</t>
        </is>
      </c>
      <c r="N632" t="inlineStr">
        <is>
          <t>New York : Thomas Y. Crowell company, 1942.</t>
        </is>
      </c>
      <c r="O632" t="inlineStr">
        <is>
          <t>1942</t>
        </is>
      </c>
      <c r="Q632" t="inlineStr">
        <is>
          <t>eng</t>
        </is>
      </c>
      <c r="R632" t="inlineStr">
        <is>
          <t>nyu</t>
        </is>
      </c>
      <c r="T632" t="inlineStr">
        <is>
          <t xml:space="preserve">PR </t>
        </is>
      </c>
      <c r="U632" t="n">
        <v>1</v>
      </c>
      <c r="V632" t="n">
        <v>1</v>
      </c>
      <c r="W632" t="inlineStr">
        <is>
          <t>2005-10-12</t>
        </is>
      </c>
      <c r="X632" t="inlineStr">
        <is>
          <t>2005-10-12</t>
        </is>
      </c>
      <c r="Y632" t="inlineStr">
        <is>
          <t>1991-03-11</t>
        </is>
      </c>
      <c r="Z632" t="inlineStr">
        <is>
          <t>1991-03-11</t>
        </is>
      </c>
      <c r="AA632" t="n">
        <v>331</v>
      </c>
      <c r="AB632" t="n">
        <v>316</v>
      </c>
      <c r="AC632" t="n">
        <v>4299</v>
      </c>
      <c r="AD632" t="n">
        <v>3</v>
      </c>
      <c r="AE632" t="n">
        <v>52</v>
      </c>
      <c r="AF632" t="n">
        <v>7</v>
      </c>
      <c r="AG632" t="n">
        <v>71</v>
      </c>
      <c r="AH632" t="n">
        <v>2</v>
      </c>
      <c r="AI632" t="n">
        <v>27</v>
      </c>
      <c r="AJ632" t="n">
        <v>2</v>
      </c>
      <c r="AK632" t="n">
        <v>11</v>
      </c>
      <c r="AL632" t="n">
        <v>3</v>
      </c>
      <c r="AM632" t="n">
        <v>28</v>
      </c>
      <c r="AN632" t="n">
        <v>1</v>
      </c>
      <c r="AO632" t="n">
        <v>18</v>
      </c>
      <c r="AP632" t="n">
        <v>0</v>
      </c>
      <c r="AQ632" t="n">
        <v>1</v>
      </c>
      <c r="AR632" t="inlineStr">
        <is>
          <t>No</t>
        </is>
      </c>
      <c r="AS632" t="inlineStr">
        <is>
          <t>Yes</t>
        </is>
      </c>
      <c r="AT632">
        <f>HYPERLINK("http://catalog.hathitrust.org/Record/004439647","HathiTrust Record")</f>
        <v/>
      </c>
      <c r="AU632">
        <f>HYPERLINK("https://creighton-primo.hosted.exlibrisgroup.com/primo-explore/search?tab=default_tab&amp;search_scope=EVERYTHING&amp;vid=01CRU&amp;lang=en_US&amp;offset=0&amp;query=any,contains,991003737049702656","Catalog Record")</f>
        <v/>
      </c>
      <c r="AV632">
        <f>HYPERLINK("http://www.worldcat.org/oclc/1394809","WorldCat Record")</f>
        <v/>
      </c>
      <c r="AW632" t="inlineStr">
        <is>
          <t>373635:eng</t>
        </is>
      </c>
      <c r="AX632" t="inlineStr">
        <is>
          <t>1394809</t>
        </is>
      </c>
      <c r="AY632" t="inlineStr">
        <is>
          <t>991003737049702656</t>
        </is>
      </c>
      <c r="AZ632" t="inlineStr">
        <is>
          <t>991003737049702656</t>
        </is>
      </c>
      <c r="BA632" t="inlineStr">
        <is>
          <t>2261673900002656</t>
        </is>
      </c>
      <c r="BB632" t="inlineStr">
        <is>
          <t>BOOK</t>
        </is>
      </c>
      <c r="BE632" t="inlineStr">
        <is>
          <t>32285000545888</t>
        </is>
      </c>
      <c r="BF632" t="inlineStr">
        <is>
          <t>893775089</t>
        </is>
      </c>
    </row>
    <row r="633">
      <c r="A633" t="inlineStr">
        <is>
          <t>No</t>
        </is>
      </c>
      <c r="B633" t="inlineStr">
        <is>
          <t>CURAL</t>
        </is>
      </c>
      <c r="C633" t="inlineStr">
        <is>
          <t>SHELVES</t>
        </is>
      </c>
      <c r="D633" t="inlineStr">
        <is>
          <t>PR2890 .A4 1964</t>
        </is>
      </c>
      <c r="E633" t="inlineStr">
        <is>
          <t>0                      PR 2890000A  4           1964</t>
        </is>
      </c>
      <c r="F633" t="inlineStr">
        <is>
          <t>Studies in Shakespeare / British Academy lectures by H.S. Bennett ... [et al.]. Selected and introduced by Peter Alexander.</t>
        </is>
      </c>
      <c r="H633" t="inlineStr">
        <is>
          <t>No</t>
        </is>
      </c>
      <c r="I633" t="inlineStr">
        <is>
          <t>1</t>
        </is>
      </c>
      <c r="J633" t="inlineStr">
        <is>
          <t>No</t>
        </is>
      </c>
      <c r="K633" t="inlineStr">
        <is>
          <t>No</t>
        </is>
      </c>
      <c r="L633" t="inlineStr">
        <is>
          <t>0</t>
        </is>
      </c>
      <c r="M633" t="inlineStr">
        <is>
          <t>Alexander, Peter, 1893-1969 editor.</t>
        </is>
      </c>
      <c r="N633" t="inlineStr">
        <is>
          <t>London ; New York : Oxford University Press, 1964.</t>
        </is>
      </c>
      <c r="O633" t="inlineStr">
        <is>
          <t>1964</t>
        </is>
      </c>
      <c r="Q633" t="inlineStr">
        <is>
          <t>eng</t>
        </is>
      </c>
      <c r="R633" t="inlineStr">
        <is>
          <t>enk</t>
        </is>
      </c>
      <c r="S633" t="inlineStr">
        <is>
          <t>Oxford paperbacks ; no. 81</t>
        </is>
      </c>
      <c r="T633" t="inlineStr">
        <is>
          <t xml:space="preserve">PR </t>
        </is>
      </c>
      <c r="U633" t="n">
        <v>1</v>
      </c>
      <c r="V633" t="n">
        <v>1</v>
      </c>
      <c r="W633" t="inlineStr">
        <is>
          <t>2001-07-12</t>
        </is>
      </c>
      <c r="X633" t="inlineStr">
        <is>
          <t>2001-07-12</t>
        </is>
      </c>
      <c r="Y633" t="inlineStr">
        <is>
          <t>2001-07-12</t>
        </is>
      </c>
      <c r="Z633" t="inlineStr">
        <is>
          <t>2001-07-12</t>
        </is>
      </c>
      <c r="AA633" t="n">
        <v>846</v>
      </c>
      <c r="AB633" t="n">
        <v>712</v>
      </c>
      <c r="AC633" t="n">
        <v>726</v>
      </c>
      <c r="AD633" t="n">
        <v>9</v>
      </c>
      <c r="AE633" t="n">
        <v>9</v>
      </c>
      <c r="AF633" t="n">
        <v>35</v>
      </c>
      <c r="AG633" t="n">
        <v>35</v>
      </c>
      <c r="AH633" t="n">
        <v>12</v>
      </c>
      <c r="AI633" t="n">
        <v>12</v>
      </c>
      <c r="AJ633" t="n">
        <v>5</v>
      </c>
      <c r="AK633" t="n">
        <v>5</v>
      </c>
      <c r="AL633" t="n">
        <v>18</v>
      </c>
      <c r="AM633" t="n">
        <v>18</v>
      </c>
      <c r="AN633" t="n">
        <v>8</v>
      </c>
      <c r="AO633" t="n">
        <v>8</v>
      </c>
      <c r="AP633" t="n">
        <v>0</v>
      </c>
      <c r="AQ633" t="n">
        <v>0</v>
      </c>
      <c r="AR633" t="inlineStr">
        <is>
          <t>No</t>
        </is>
      </c>
      <c r="AS633" t="inlineStr">
        <is>
          <t>Yes</t>
        </is>
      </c>
      <c r="AT633">
        <f>HYPERLINK("http://catalog.hathitrust.org/Record/001018203","HathiTrust Record")</f>
        <v/>
      </c>
      <c r="AU633">
        <f>HYPERLINK("https://creighton-primo.hosted.exlibrisgroup.com/primo-explore/search?tab=default_tab&amp;search_scope=EVERYTHING&amp;vid=01CRU&amp;lang=en_US&amp;offset=0&amp;query=any,contains,991003567689702656","Catalog Record")</f>
        <v/>
      </c>
      <c r="AV633">
        <f>HYPERLINK("http://www.worldcat.org/oclc/352341","WorldCat Record")</f>
        <v/>
      </c>
      <c r="AW633" t="inlineStr">
        <is>
          <t>891889245:eng</t>
        </is>
      </c>
      <c r="AX633" t="inlineStr">
        <is>
          <t>352341</t>
        </is>
      </c>
      <c r="AY633" t="inlineStr">
        <is>
          <t>991003567689702656</t>
        </is>
      </c>
      <c r="AZ633" t="inlineStr">
        <is>
          <t>991003567689702656</t>
        </is>
      </c>
      <c r="BA633" t="inlineStr">
        <is>
          <t>2265268940002656</t>
        </is>
      </c>
      <c r="BB633" t="inlineStr">
        <is>
          <t>BOOK</t>
        </is>
      </c>
      <c r="BE633" t="inlineStr">
        <is>
          <t>32285004332168</t>
        </is>
      </c>
      <c r="BF633" t="inlineStr">
        <is>
          <t>893499437</t>
        </is>
      </c>
    </row>
    <row r="634">
      <c r="A634" t="inlineStr">
        <is>
          <t>No</t>
        </is>
      </c>
      <c r="B634" t="inlineStr">
        <is>
          <t>CURAL</t>
        </is>
      </c>
      <c r="C634" t="inlineStr">
        <is>
          <t>SHELVES</t>
        </is>
      </c>
      <c r="D634" t="inlineStr">
        <is>
          <t>PR2890 .B7</t>
        </is>
      </c>
      <c r="E634" t="inlineStr">
        <is>
          <t>0                      PR 2890000B  7</t>
        </is>
      </c>
      <c r="F634" t="inlineStr">
        <is>
          <t>Essays on Shakespeare and other Elizabethans.</t>
        </is>
      </c>
      <c r="H634" t="inlineStr">
        <is>
          <t>No</t>
        </is>
      </c>
      <c r="I634" t="inlineStr">
        <is>
          <t>1</t>
        </is>
      </c>
      <c r="J634" t="inlineStr">
        <is>
          <t>No</t>
        </is>
      </c>
      <c r="K634" t="inlineStr">
        <is>
          <t>No</t>
        </is>
      </c>
      <c r="L634" t="inlineStr">
        <is>
          <t>0</t>
        </is>
      </c>
      <c r="M634" t="inlineStr">
        <is>
          <t>Brooke, Tucker, 1883-1946.</t>
        </is>
      </c>
      <c r="N634" t="inlineStr">
        <is>
          <t>New Haven : Yale University Press, c1948.</t>
        </is>
      </c>
      <c r="O634" t="inlineStr">
        <is>
          <t>1948</t>
        </is>
      </c>
      <c r="Q634" t="inlineStr">
        <is>
          <t>eng</t>
        </is>
      </c>
      <c r="R634" t="inlineStr">
        <is>
          <t>ctu</t>
        </is>
      </c>
      <c r="T634" t="inlineStr">
        <is>
          <t xml:space="preserve">PR </t>
        </is>
      </c>
      <c r="U634" t="n">
        <v>5</v>
      </c>
      <c r="V634" t="n">
        <v>5</v>
      </c>
      <c r="W634" t="inlineStr">
        <is>
          <t>2006-09-18</t>
        </is>
      </c>
      <c r="X634" t="inlineStr">
        <is>
          <t>2006-09-18</t>
        </is>
      </c>
      <c r="Y634" t="inlineStr">
        <is>
          <t>1990-05-22</t>
        </is>
      </c>
      <c r="Z634" t="inlineStr">
        <is>
          <t>1990-05-22</t>
        </is>
      </c>
      <c r="AA634" t="n">
        <v>766</v>
      </c>
      <c r="AB634" t="n">
        <v>696</v>
      </c>
      <c r="AC634" t="n">
        <v>950</v>
      </c>
      <c r="AD634" t="n">
        <v>9</v>
      </c>
      <c r="AE634" t="n">
        <v>10</v>
      </c>
      <c r="AF634" t="n">
        <v>41</v>
      </c>
      <c r="AG634" t="n">
        <v>49</v>
      </c>
      <c r="AH634" t="n">
        <v>18</v>
      </c>
      <c r="AI634" t="n">
        <v>22</v>
      </c>
      <c r="AJ634" t="n">
        <v>7</v>
      </c>
      <c r="AK634" t="n">
        <v>8</v>
      </c>
      <c r="AL634" t="n">
        <v>19</v>
      </c>
      <c r="AM634" t="n">
        <v>23</v>
      </c>
      <c r="AN634" t="n">
        <v>8</v>
      </c>
      <c r="AO634" t="n">
        <v>9</v>
      </c>
      <c r="AP634" t="n">
        <v>0</v>
      </c>
      <c r="AQ634" t="n">
        <v>0</v>
      </c>
      <c r="AR634" t="inlineStr">
        <is>
          <t>No</t>
        </is>
      </c>
      <c r="AS634" t="inlineStr">
        <is>
          <t>No</t>
        </is>
      </c>
      <c r="AU634">
        <f>HYPERLINK("https://creighton-primo.hosted.exlibrisgroup.com/primo-explore/search?tab=default_tab&amp;search_scope=EVERYTHING&amp;vid=01CRU&amp;lang=en_US&amp;offset=0&amp;query=any,contains,991001790729702656","Catalog Record")</f>
        <v/>
      </c>
      <c r="AV634">
        <f>HYPERLINK("http://www.worldcat.org/oclc/236709","WorldCat Record")</f>
        <v/>
      </c>
      <c r="AW634" t="inlineStr">
        <is>
          <t>1198910:eng</t>
        </is>
      </c>
      <c r="AX634" t="inlineStr">
        <is>
          <t>236709</t>
        </is>
      </c>
      <c r="AY634" t="inlineStr">
        <is>
          <t>991001790729702656</t>
        </is>
      </c>
      <c r="AZ634" t="inlineStr">
        <is>
          <t>991001790729702656</t>
        </is>
      </c>
      <c r="BA634" t="inlineStr">
        <is>
          <t>2255047730002656</t>
        </is>
      </c>
      <c r="BB634" t="inlineStr">
        <is>
          <t>BOOK</t>
        </is>
      </c>
      <c r="BD634" t="inlineStr">
        <is>
          <t>9780208006134</t>
        </is>
      </c>
      <c r="BE634" t="inlineStr">
        <is>
          <t>32285000157494</t>
        </is>
      </c>
      <c r="BF634" t="inlineStr">
        <is>
          <t>893803902</t>
        </is>
      </c>
    </row>
    <row r="635">
      <c r="A635" t="inlineStr">
        <is>
          <t>No</t>
        </is>
      </c>
      <c r="B635" t="inlineStr">
        <is>
          <t>CURAL</t>
        </is>
      </c>
      <c r="C635" t="inlineStr">
        <is>
          <t>SHELVES</t>
        </is>
      </c>
      <c r="D635" t="inlineStr">
        <is>
          <t>PR2890 .E2</t>
        </is>
      </c>
      <c r="E635" t="inlineStr">
        <is>
          <t>0                      PR 2890000E  2</t>
        </is>
      </c>
      <c r="F635" t="inlineStr">
        <is>
          <t>Shakespeare's critics, from Jonson to Auden : a medley of judgments / edited by A. M. Eastman and G. B. Harrison.</t>
        </is>
      </c>
      <c r="H635" t="inlineStr">
        <is>
          <t>No</t>
        </is>
      </c>
      <c r="I635" t="inlineStr">
        <is>
          <t>1</t>
        </is>
      </c>
      <c r="J635" t="inlineStr">
        <is>
          <t>No</t>
        </is>
      </c>
      <c r="K635" t="inlineStr">
        <is>
          <t>No</t>
        </is>
      </c>
      <c r="L635" t="inlineStr">
        <is>
          <t>0</t>
        </is>
      </c>
      <c r="M635" t="inlineStr">
        <is>
          <t>Eastman, Arthur M., 1918-, editor.</t>
        </is>
      </c>
      <c r="N635" t="inlineStr">
        <is>
          <t>Ann Arbor : University of Michigan Press, [1964]</t>
        </is>
      </c>
      <c r="O635" t="inlineStr">
        <is>
          <t>1964</t>
        </is>
      </c>
      <c r="Q635" t="inlineStr">
        <is>
          <t>eng</t>
        </is>
      </c>
      <c r="R635" t="inlineStr">
        <is>
          <t>miu</t>
        </is>
      </c>
      <c r="T635" t="inlineStr">
        <is>
          <t xml:space="preserve">PR </t>
        </is>
      </c>
      <c r="U635" t="n">
        <v>1</v>
      </c>
      <c r="V635" t="n">
        <v>1</v>
      </c>
      <c r="W635" t="inlineStr">
        <is>
          <t>2006-04-11</t>
        </is>
      </c>
      <c r="X635" t="inlineStr">
        <is>
          <t>2006-04-11</t>
        </is>
      </c>
      <c r="Y635" t="inlineStr">
        <is>
          <t>1990-12-28</t>
        </is>
      </c>
      <c r="Z635" t="inlineStr">
        <is>
          <t>1990-12-28</t>
        </is>
      </c>
      <c r="AA635" t="n">
        <v>1126</v>
      </c>
      <c r="AB635" t="n">
        <v>1017</v>
      </c>
      <c r="AC635" t="n">
        <v>1034</v>
      </c>
      <c r="AD635" t="n">
        <v>10</v>
      </c>
      <c r="AE635" t="n">
        <v>10</v>
      </c>
      <c r="AF635" t="n">
        <v>39</v>
      </c>
      <c r="AG635" t="n">
        <v>40</v>
      </c>
      <c r="AH635" t="n">
        <v>16</v>
      </c>
      <c r="AI635" t="n">
        <v>17</v>
      </c>
      <c r="AJ635" t="n">
        <v>8</v>
      </c>
      <c r="AK635" t="n">
        <v>8</v>
      </c>
      <c r="AL635" t="n">
        <v>18</v>
      </c>
      <c r="AM635" t="n">
        <v>18</v>
      </c>
      <c r="AN635" t="n">
        <v>7</v>
      </c>
      <c r="AO635" t="n">
        <v>7</v>
      </c>
      <c r="AP635" t="n">
        <v>0</v>
      </c>
      <c r="AQ635" t="n">
        <v>0</v>
      </c>
      <c r="AR635" t="inlineStr">
        <is>
          <t>No</t>
        </is>
      </c>
      <c r="AS635" t="inlineStr">
        <is>
          <t>Yes</t>
        </is>
      </c>
      <c r="AT635">
        <f>HYPERLINK("http://catalog.hathitrust.org/Record/001110882","HathiTrust Record")</f>
        <v/>
      </c>
      <c r="AU635">
        <f>HYPERLINK("https://creighton-primo.hosted.exlibrisgroup.com/primo-explore/search?tab=default_tab&amp;search_scope=EVERYTHING&amp;vid=01CRU&amp;lang=en_US&amp;offset=0&amp;query=any,contains,991003140709702656","Catalog Record")</f>
        <v/>
      </c>
      <c r="AV635">
        <f>HYPERLINK("http://www.worldcat.org/oclc/682264","WorldCat Record")</f>
        <v/>
      </c>
      <c r="AW635" t="inlineStr">
        <is>
          <t>170711:eng</t>
        </is>
      </c>
      <c r="AX635" t="inlineStr">
        <is>
          <t>682264</t>
        </is>
      </c>
      <c r="AY635" t="inlineStr">
        <is>
          <t>991003140709702656</t>
        </is>
      </c>
      <c r="AZ635" t="inlineStr">
        <is>
          <t>991003140709702656</t>
        </is>
      </c>
      <c r="BA635" t="inlineStr">
        <is>
          <t>2266822320002656</t>
        </is>
      </c>
      <c r="BB635" t="inlineStr">
        <is>
          <t>BOOK</t>
        </is>
      </c>
      <c r="BE635" t="inlineStr">
        <is>
          <t>32285000426436</t>
        </is>
      </c>
      <c r="BF635" t="inlineStr">
        <is>
          <t>893227731</t>
        </is>
      </c>
    </row>
    <row r="636">
      <c r="A636" t="inlineStr">
        <is>
          <t>No</t>
        </is>
      </c>
      <c r="B636" t="inlineStr">
        <is>
          <t>CURAL</t>
        </is>
      </c>
      <c r="C636" t="inlineStr">
        <is>
          <t>SHELVES</t>
        </is>
      </c>
      <c r="D636" t="inlineStr">
        <is>
          <t>PR2890 .H63 1970</t>
        </is>
      </c>
      <c r="E636" t="inlineStr">
        <is>
          <t>0                      PR 2890000H  63          1970</t>
        </is>
      </c>
      <c r="F636" t="inlineStr">
        <is>
          <t>The tiger's heart : eight essays on Shakespeare / by Herbert Howarth.</t>
        </is>
      </c>
      <c r="H636" t="inlineStr">
        <is>
          <t>No</t>
        </is>
      </c>
      <c r="I636" t="inlineStr">
        <is>
          <t>1</t>
        </is>
      </c>
      <c r="J636" t="inlineStr">
        <is>
          <t>No</t>
        </is>
      </c>
      <c r="K636" t="inlineStr">
        <is>
          <t>No</t>
        </is>
      </c>
      <c r="L636" t="inlineStr">
        <is>
          <t>0</t>
        </is>
      </c>
      <c r="M636" t="inlineStr">
        <is>
          <t>Howarth, Herbert, 1900-</t>
        </is>
      </c>
      <c r="N636" t="inlineStr">
        <is>
          <t>New York : Oxford University Press, 1970.</t>
        </is>
      </c>
      <c r="O636" t="inlineStr">
        <is>
          <t>1970</t>
        </is>
      </c>
      <c r="Q636" t="inlineStr">
        <is>
          <t>eng</t>
        </is>
      </c>
      <c r="R636" t="inlineStr">
        <is>
          <t>nyu</t>
        </is>
      </c>
      <c r="T636" t="inlineStr">
        <is>
          <t xml:space="preserve">PR </t>
        </is>
      </c>
      <c r="U636" t="n">
        <v>1</v>
      </c>
      <c r="V636" t="n">
        <v>1</v>
      </c>
      <c r="W636" t="inlineStr">
        <is>
          <t>1992-12-05</t>
        </is>
      </c>
      <c r="X636" t="inlineStr">
        <is>
          <t>1992-12-05</t>
        </is>
      </c>
      <c r="Y636" t="inlineStr">
        <is>
          <t>1991-10-18</t>
        </is>
      </c>
      <c r="Z636" t="inlineStr">
        <is>
          <t>1991-10-18</t>
        </is>
      </c>
      <c r="AA636" t="n">
        <v>535</v>
      </c>
      <c r="AB636" t="n">
        <v>507</v>
      </c>
      <c r="AC636" t="n">
        <v>576</v>
      </c>
      <c r="AD636" t="n">
        <v>5</v>
      </c>
      <c r="AE636" t="n">
        <v>5</v>
      </c>
      <c r="AF636" t="n">
        <v>25</v>
      </c>
      <c r="AG636" t="n">
        <v>28</v>
      </c>
      <c r="AH636" t="n">
        <v>9</v>
      </c>
      <c r="AI636" t="n">
        <v>10</v>
      </c>
      <c r="AJ636" t="n">
        <v>6</v>
      </c>
      <c r="AK636" t="n">
        <v>7</v>
      </c>
      <c r="AL636" t="n">
        <v>12</v>
      </c>
      <c r="AM636" t="n">
        <v>14</v>
      </c>
      <c r="AN636" t="n">
        <v>4</v>
      </c>
      <c r="AO636" t="n">
        <v>4</v>
      </c>
      <c r="AP636" t="n">
        <v>0</v>
      </c>
      <c r="AQ636" t="n">
        <v>0</v>
      </c>
      <c r="AR636" t="inlineStr">
        <is>
          <t>No</t>
        </is>
      </c>
      <c r="AS636" t="inlineStr">
        <is>
          <t>Yes</t>
        </is>
      </c>
      <c r="AT636">
        <f>HYPERLINK("http://catalog.hathitrust.org/Record/009495264","HathiTrust Record")</f>
        <v/>
      </c>
      <c r="AU636">
        <f>HYPERLINK("https://creighton-primo.hosted.exlibrisgroup.com/primo-explore/search?tab=default_tab&amp;search_scope=EVERYTHING&amp;vid=01CRU&amp;lang=en_US&amp;offset=0&amp;query=any,contains,991000189339702656","Catalog Record")</f>
        <v/>
      </c>
      <c r="AV636">
        <f>HYPERLINK("http://www.worldcat.org/oclc/63438","WorldCat Record")</f>
        <v/>
      </c>
      <c r="AW636" t="inlineStr">
        <is>
          <t>1226709:eng</t>
        </is>
      </c>
      <c r="AX636" t="inlineStr">
        <is>
          <t>63438</t>
        </is>
      </c>
      <c r="AY636" t="inlineStr">
        <is>
          <t>991000189339702656</t>
        </is>
      </c>
      <c r="AZ636" t="inlineStr">
        <is>
          <t>991000189339702656</t>
        </is>
      </c>
      <c r="BA636" t="inlineStr">
        <is>
          <t>2255992170002656</t>
        </is>
      </c>
      <c r="BB636" t="inlineStr">
        <is>
          <t>BOOK</t>
        </is>
      </c>
      <c r="BE636" t="inlineStr">
        <is>
          <t>32285000775857</t>
        </is>
      </c>
      <c r="BF636" t="inlineStr">
        <is>
          <t>893255256</t>
        </is>
      </c>
    </row>
    <row r="637">
      <c r="A637" t="inlineStr">
        <is>
          <t>No</t>
        </is>
      </c>
      <c r="B637" t="inlineStr">
        <is>
          <t>CURAL</t>
        </is>
      </c>
      <c r="C637" t="inlineStr">
        <is>
          <t>SHELVES</t>
        </is>
      </c>
      <c r="D637" t="inlineStr">
        <is>
          <t>PR2890 .S26</t>
        </is>
      </c>
      <c r="E637" t="inlineStr">
        <is>
          <t>0                      PR 2890000S  26</t>
        </is>
      </c>
      <c r="F637" t="inlineStr">
        <is>
          <t>Shakespeare biography and other papers, chiefly Elizabethan, by Felix E. Schelling.</t>
        </is>
      </c>
      <c r="H637" t="inlineStr">
        <is>
          <t>No</t>
        </is>
      </c>
      <c r="I637" t="inlineStr">
        <is>
          <t>1</t>
        </is>
      </c>
      <c r="J637" t="inlineStr">
        <is>
          <t>No</t>
        </is>
      </c>
      <c r="K637" t="inlineStr">
        <is>
          <t>No</t>
        </is>
      </c>
      <c r="L637" t="inlineStr">
        <is>
          <t>0</t>
        </is>
      </c>
      <c r="M637" t="inlineStr">
        <is>
          <t>Schelling, Felix Emmanuel, 1858-1945.</t>
        </is>
      </c>
      <c r="N637" t="inlineStr">
        <is>
          <t>Philadelphia, University of Pennsylvania Press, 1937.</t>
        </is>
      </c>
      <c r="O637" t="inlineStr">
        <is>
          <t>1937</t>
        </is>
      </c>
      <c r="Q637" t="inlineStr">
        <is>
          <t>eng</t>
        </is>
      </c>
      <c r="R637" t="inlineStr">
        <is>
          <t xml:space="preserve">xx </t>
        </is>
      </c>
      <c r="T637" t="inlineStr">
        <is>
          <t xml:space="preserve">PR </t>
        </is>
      </c>
      <c r="U637" t="n">
        <v>2</v>
      </c>
      <c r="V637" t="n">
        <v>2</v>
      </c>
      <c r="W637" t="inlineStr">
        <is>
          <t>2006-09-18</t>
        </is>
      </c>
      <c r="X637" t="inlineStr">
        <is>
          <t>2006-09-18</t>
        </is>
      </c>
      <c r="Y637" t="inlineStr">
        <is>
          <t>1997-07-31</t>
        </is>
      </c>
      <c r="Z637" t="inlineStr">
        <is>
          <t>1997-07-31</t>
        </is>
      </c>
      <c r="AA637" t="n">
        <v>179</v>
      </c>
      <c r="AB637" t="n">
        <v>163</v>
      </c>
      <c r="AC637" t="n">
        <v>635</v>
      </c>
      <c r="AD637" t="n">
        <v>2</v>
      </c>
      <c r="AE637" t="n">
        <v>2</v>
      </c>
      <c r="AF637" t="n">
        <v>12</v>
      </c>
      <c r="AG637" t="n">
        <v>29</v>
      </c>
      <c r="AH637" t="n">
        <v>3</v>
      </c>
      <c r="AI637" t="n">
        <v>13</v>
      </c>
      <c r="AJ637" t="n">
        <v>2</v>
      </c>
      <c r="AK637" t="n">
        <v>6</v>
      </c>
      <c r="AL637" t="n">
        <v>11</v>
      </c>
      <c r="AM637" t="n">
        <v>18</v>
      </c>
      <c r="AN637" t="n">
        <v>1</v>
      </c>
      <c r="AO637" t="n">
        <v>1</v>
      </c>
      <c r="AP637" t="n">
        <v>0</v>
      </c>
      <c r="AQ637" t="n">
        <v>0</v>
      </c>
      <c r="AR637" t="inlineStr">
        <is>
          <t>No</t>
        </is>
      </c>
      <c r="AS637" t="inlineStr">
        <is>
          <t>No</t>
        </is>
      </c>
      <c r="AT637">
        <f>HYPERLINK("http://catalog.hathitrust.org/Record/001018214","HathiTrust Record")</f>
        <v/>
      </c>
      <c r="AU637">
        <f>HYPERLINK("https://creighton-primo.hosted.exlibrisgroup.com/primo-explore/search?tab=default_tab&amp;search_scope=EVERYTHING&amp;vid=01CRU&amp;lang=en_US&amp;offset=0&amp;query=any,contains,991003862199702656","Catalog Record")</f>
        <v/>
      </c>
      <c r="AV637">
        <f>HYPERLINK("http://www.worldcat.org/oclc/1669034","WorldCat Record")</f>
        <v/>
      </c>
      <c r="AW637" t="inlineStr">
        <is>
          <t>498239:eng</t>
        </is>
      </c>
      <c r="AX637" t="inlineStr">
        <is>
          <t>1669034</t>
        </is>
      </c>
      <c r="AY637" t="inlineStr">
        <is>
          <t>991003862199702656</t>
        </is>
      </c>
      <c r="AZ637" t="inlineStr">
        <is>
          <t>991003862199702656</t>
        </is>
      </c>
      <c r="BA637" t="inlineStr">
        <is>
          <t>2271590920002656</t>
        </is>
      </c>
      <c r="BB637" t="inlineStr">
        <is>
          <t>BOOK</t>
        </is>
      </c>
      <c r="BE637" t="inlineStr">
        <is>
          <t>32285002997780</t>
        </is>
      </c>
      <c r="BF637" t="inlineStr">
        <is>
          <t>893592983</t>
        </is>
      </c>
    </row>
    <row r="638">
      <c r="A638" t="inlineStr">
        <is>
          <t>No</t>
        </is>
      </c>
      <c r="B638" t="inlineStr">
        <is>
          <t>CURAL</t>
        </is>
      </c>
      <c r="C638" t="inlineStr">
        <is>
          <t>SHELVES</t>
        </is>
      </c>
      <c r="D638" t="inlineStr">
        <is>
          <t>PR2890 .S46 1976</t>
        </is>
      </c>
      <c r="E638" t="inlineStr">
        <is>
          <t>0                      PR 2890000S  46          1976</t>
        </is>
      </c>
      <c r="F638" t="inlineStr">
        <is>
          <t>Shakespeare and English history : interdisciplinary perspectives / edited, with an introduction by Ronald G. Shafer.</t>
        </is>
      </c>
      <c r="H638" t="inlineStr">
        <is>
          <t>No</t>
        </is>
      </c>
      <c r="I638" t="inlineStr">
        <is>
          <t>1</t>
        </is>
      </c>
      <c r="J638" t="inlineStr">
        <is>
          <t>No</t>
        </is>
      </c>
      <c r="K638" t="inlineStr">
        <is>
          <t>No</t>
        </is>
      </c>
      <c r="L638" t="inlineStr">
        <is>
          <t>0</t>
        </is>
      </c>
      <c r="N638" t="inlineStr">
        <is>
          <t>[Indiana] : Indiana University of Pennsylvania, c1976.</t>
        </is>
      </c>
      <c r="O638" t="inlineStr">
        <is>
          <t>1976</t>
        </is>
      </c>
      <c r="Q638" t="inlineStr">
        <is>
          <t>eng</t>
        </is>
      </c>
      <c r="R638" t="inlineStr">
        <is>
          <t>inu</t>
        </is>
      </c>
      <c r="S638" t="inlineStr">
        <is>
          <t>Lecture series (Indiana University of Pennsylvania)</t>
        </is>
      </c>
      <c r="T638" t="inlineStr">
        <is>
          <t xml:space="preserve">PR </t>
        </is>
      </c>
      <c r="U638" t="n">
        <v>1</v>
      </c>
      <c r="V638" t="n">
        <v>1</v>
      </c>
      <c r="W638" t="inlineStr">
        <is>
          <t>2002-04-22</t>
        </is>
      </c>
      <c r="X638" t="inlineStr">
        <is>
          <t>2002-04-22</t>
        </is>
      </c>
      <c r="Y638" t="inlineStr">
        <is>
          <t>2002-04-08</t>
        </is>
      </c>
      <c r="Z638" t="inlineStr">
        <is>
          <t>2002-04-08</t>
        </is>
      </c>
      <c r="AA638" t="n">
        <v>58</v>
      </c>
      <c r="AB638" t="n">
        <v>49</v>
      </c>
      <c r="AC638" t="n">
        <v>51</v>
      </c>
      <c r="AD638" t="n">
        <v>2</v>
      </c>
      <c r="AE638" t="n">
        <v>2</v>
      </c>
      <c r="AF638" t="n">
        <v>5</v>
      </c>
      <c r="AG638" t="n">
        <v>5</v>
      </c>
      <c r="AH638" t="n">
        <v>0</v>
      </c>
      <c r="AI638" t="n">
        <v>0</v>
      </c>
      <c r="AJ638" t="n">
        <v>2</v>
      </c>
      <c r="AK638" t="n">
        <v>2</v>
      </c>
      <c r="AL638" t="n">
        <v>4</v>
      </c>
      <c r="AM638" t="n">
        <v>4</v>
      </c>
      <c r="AN638" t="n">
        <v>1</v>
      </c>
      <c r="AO638" t="n">
        <v>1</v>
      </c>
      <c r="AP638" t="n">
        <v>0</v>
      </c>
      <c r="AQ638" t="n">
        <v>0</v>
      </c>
      <c r="AR638" t="inlineStr">
        <is>
          <t>No</t>
        </is>
      </c>
      <c r="AS638" t="inlineStr">
        <is>
          <t>Yes</t>
        </is>
      </c>
      <c r="AT638">
        <f>HYPERLINK("http://catalog.hathitrust.org/Record/009919769","HathiTrust Record")</f>
        <v/>
      </c>
      <c r="AU638">
        <f>HYPERLINK("https://creighton-primo.hosted.exlibrisgroup.com/primo-explore/search?tab=default_tab&amp;search_scope=EVERYTHING&amp;vid=01CRU&amp;lang=en_US&amp;offset=0&amp;query=any,contains,991003790609702656","Catalog Record")</f>
        <v/>
      </c>
      <c r="AV638">
        <f>HYPERLINK("http://www.worldcat.org/oclc/2689890","WorldCat Record")</f>
        <v/>
      </c>
      <c r="AW638" t="inlineStr">
        <is>
          <t>977353130:eng</t>
        </is>
      </c>
      <c r="AX638" t="inlineStr">
        <is>
          <t>2689890</t>
        </is>
      </c>
      <c r="AY638" t="inlineStr">
        <is>
          <t>991003790609702656</t>
        </is>
      </c>
      <c r="AZ638" t="inlineStr">
        <is>
          <t>991003790609702656</t>
        </is>
      </c>
      <c r="BA638" t="inlineStr">
        <is>
          <t>2259889290002656</t>
        </is>
      </c>
      <c r="BB638" t="inlineStr">
        <is>
          <t>BOOK</t>
        </is>
      </c>
      <c r="BE638" t="inlineStr">
        <is>
          <t>32285004478201</t>
        </is>
      </c>
      <c r="BF638" t="inlineStr">
        <is>
          <t>893228477</t>
        </is>
      </c>
    </row>
    <row r="639">
      <c r="A639" t="inlineStr">
        <is>
          <t>No</t>
        </is>
      </c>
      <c r="B639" t="inlineStr">
        <is>
          <t>CURAL</t>
        </is>
      </c>
      <c r="C639" t="inlineStr">
        <is>
          <t>SHELVES</t>
        </is>
      </c>
      <c r="D639" t="inlineStr">
        <is>
          <t>PR2890 .W6</t>
        </is>
      </c>
      <c r="E639" t="inlineStr">
        <is>
          <t>0                      PR 2890000W  6</t>
        </is>
      </c>
      <c r="F639" t="inlineStr">
        <is>
          <t>Shakespeare studies, by members of the Department of English of the University of Wisconsin, to commemorate the three-hundredth anniversary of the death of William Shakespeare, April 23, 1616.</t>
        </is>
      </c>
      <c r="H639" t="inlineStr">
        <is>
          <t>No</t>
        </is>
      </c>
      <c r="I639" t="inlineStr">
        <is>
          <t>1</t>
        </is>
      </c>
      <c r="J639" t="inlineStr">
        <is>
          <t>No</t>
        </is>
      </c>
      <c r="K639" t="inlineStr">
        <is>
          <t>No</t>
        </is>
      </c>
      <c r="L639" t="inlineStr">
        <is>
          <t>0</t>
        </is>
      </c>
      <c r="M639" t="inlineStr">
        <is>
          <t>University of Wisconsin--Madison.</t>
        </is>
      </c>
      <c r="N639" t="inlineStr">
        <is>
          <t>Madison, The University, 1916.</t>
        </is>
      </c>
      <c r="O639" t="inlineStr">
        <is>
          <t>1916</t>
        </is>
      </c>
      <c r="Q639" t="inlineStr">
        <is>
          <t>eng</t>
        </is>
      </c>
      <c r="R639" t="inlineStr">
        <is>
          <t>wiu</t>
        </is>
      </c>
      <c r="T639" t="inlineStr">
        <is>
          <t xml:space="preserve">PR </t>
        </is>
      </c>
      <c r="U639" t="n">
        <v>3</v>
      </c>
      <c r="V639" t="n">
        <v>3</v>
      </c>
      <c r="W639" t="inlineStr">
        <is>
          <t>2000-12-03</t>
        </is>
      </c>
      <c r="X639" t="inlineStr">
        <is>
          <t>2000-12-03</t>
        </is>
      </c>
      <c r="Y639" t="inlineStr">
        <is>
          <t>1997-07-31</t>
        </is>
      </c>
      <c r="Z639" t="inlineStr">
        <is>
          <t>1997-07-31</t>
        </is>
      </c>
      <c r="AA639" t="n">
        <v>11</v>
      </c>
      <c r="AB639" t="n">
        <v>10</v>
      </c>
      <c r="AC639" t="n">
        <v>30</v>
      </c>
      <c r="AD639" t="n">
        <v>1</v>
      </c>
      <c r="AE639" t="n">
        <v>2</v>
      </c>
      <c r="AF639" t="n">
        <v>0</v>
      </c>
      <c r="AG639" t="n">
        <v>2</v>
      </c>
      <c r="AH639" t="n">
        <v>0</v>
      </c>
      <c r="AI639" t="n">
        <v>0</v>
      </c>
      <c r="AJ639" t="n">
        <v>0</v>
      </c>
      <c r="AK639" t="n">
        <v>1</v>
      </c>
      <c r="AL639" t="n">
        <v>0</v>
      </c>
      <c r="AM639" t="n">
        <v>0</v>
      </c>
      <c r="AN639" t="n">
        <v>0</v>
      </c>
      <c r="AO639" t="n">
        <v>1</v>
      </c>
      <c r="AP639" t="n">
        <v>0</v>
      </c>
      <c r="AQ639" t="n">
        <v>0</v>
      </c>
      <c r="AR639" t="inlineStr">
        <is>
          <t>Yes</t>
        </is>
      </c>
      <c r="AS639" t="inlineStr">
        <is>
          <t>No</t>
        </is>
      </c>
      <c r="AT639">
        <f>HYPERLINK("http://catalog.hathitrust.org/Record/011256570","HathiTrust Record")</f>
        <v/>
      </c>
      <c r="AU639">
        <f>HYPERLINK("https://creighton-primo.hosted.exlibrisgroup.com/primo-explore/search?tab=default_tab&amp;search_scope=EVERYTHING&amp;vid=01CRU&amp;lang=en_US&amp;offset=0&amp;query=any,contains,991001363519702656","Catalog Record")</f>
        <v/>
      </c>
      <c r="AV639">
        <f>HYPERLINK("http://www.worldcat.org/oclc/18546778","WorldCat Record")</f>
        <v/>
      </c>
      <c r="AW639" t="inlineStr">
        <is>
          <t>9621713879:eng</t>
        </is>
      </c>
      <c r="AX639" t="inlineStr">
        <is>
          <t>18546778</t>
        </is>
      </c>
      <c r="AY639" t="inlineStr">
        <is>
          <t>991001363519702656</t>
        </is>
      </c>
      <c r="AZ639" t="inlineStr">
        <is>
          <t>991001363519702656</t>
        </is>
      </c>
      <c r="BA639" t="inlineStr">
        <is>
          <t>2262033600002656</t>
        </is>
      </c>
      <c r="BB639" t="inlineStr">
        <is>
          <t>BOOK</t>
        </is>
      </c>
      <c r="BE639" t="inlineStr">
        <is>
          <t>32285002997822</t>
        </is>
      </c>
      <c r="BF639" t="inlineStr">
        <is>
          <t>893791393</t>
        </is>
      </c>
    </row>
    <row r="640">
      <c r="A640" t="inlineStr">
        <is>
          <t>No</t>
        </is>
      </c>
      <c r="B640" t="inlineStr">
        <is>
          <t>CURAL</t>
        </is>
      </c>
      <c r="C640" t="inlineStr">
        <is>
          <t>SHELVES</t>
        </is>
      </c>
      <c r="D640" t="inlineStr">
        <is>
          <t>PR2892 .C4</t>
        </is>
      </c>
      <c r="E640" t="inlineStr">
        <is>
          <t>0                      PR 2892000C  4</t>
        </is>
      </c>
      <c r="F640" t="inlineStr">
        <is>
          <t>The new Century Shakespeare handbook / edited by Sandra Clark. Prepared by T. H. Long.</t>
        </is>
      </c>
      <c r="H640" t="inlineStr">
        <is>
          <t>No</t>
        </is>
      </c>
      <c r="I640" t="inlineStr">
        <is>
          <t>1</t>
        </is>
      </c>
      <c r="J640" t="inlineStr">
        <is>
          <t>No</t>
        </is>
      </c>
      <c r="K640" t="inlineStr">
        <is>
          <t>No</t>
        </is>
      </c>
      <c r="L640" t="inlineStr">
        <is>
          <t>0</t>
        </is>
      </c>
      <c r="M640" t="inlineStr">
        <is>
          <t>Clark, Sandra, 1941-</t>
        </is>
      </c>
      <c r="N640" t="inlineStr">
        <is>
          <t>Englewood Cliffs, N.J. : Prentice-Hall, [1974]</t>
        </is>
      </c>
      <c r="O640" t="inlineStr">
        <is>
          <t>1974</t>
        </is>
      </c>
      <c r="Q640" t="inlineStr">
        <is>
          <t>eng</t>
        </is>
      </c>
      <c r="R640" t="inlineStr">
        <is>
          <t>nju</t>
        </is>
      </c>
      <c r="T640" t="inlineStr">
        <is>
          <t xml:space="preserve">PR </t>
        </is>
      </c>
      <c r="U640" t="n">
        <v>2</v>
      </c>
      <c r="V640" t="n">
        <v>2</v>
      </c>
      <c r="W640" t="inlineStr">
        <is>
          <t>1998-12-06</t>
        </is>
      </c>
      <c r="X640" t="inlineStr">
        <is>
          <t>1998-12-06</t>
        </is>
      </c>
      <c r="Y640" t="inlineStr">
        <is>
          <t>1990-10-04</t>
        </is>
      </c>
      <c r="Z640" t="inlineStr">
        <is>
          <t>1990-10-04</t>
        </is>
      </c>
      <c r="AA640" t="n">
        <v>455</v>
      </c>
      <c r="AB640" t="n">
        <v>385</v>
      </c>
      <c r="AC640" t="n">
        <v>392</v>
      </c>
      <c r="AD640" t="n">
        <v>3</v>
      </c>
      <c r="AE640" t="n">
        <v>3</v>
      </c>
      <c r="AF640" t="n">
        <v>14</v>
      </c>
      <c r="AG640" t="n">
        <v>14</v>
      </c>
      <c r="AH640" t="n">
        <v>2</v>
      </c>
      <c r="AI640" t="n">
        <v>2</v>
      </c>
      <c r="AJ640" t="n">
        <v>5</v>
      </c>
      <c r="AK640" t="n">
        <v>5</v>
      </c>
      <c r="AL640" t="n">
        <v>9</v>
      </c>
      <c r="AM640" t="n">
        <v>9</v>
      </c>
      <c r="AN640" t="n">
        <v>2</v>
      </c>
      <c r="AO640" t="n">
        <v>2</v>
      </c>
      <c r="AP640" t="n">
        <v>0</v>
      </c>
      <c r="AQ640" t="n">
        <v>0</v>
      </c>
      <c r="AR640" t="inlineStr">
        <is>
          <t>No</t>
        </is>
      </c>
      <c r="AS640" t="inlineStr">
        <is>
          <t>Yes</t>
        </is>
      </c>
      <c r="AT640">
        <f>HYPERLINK("http://catalog.hathitrust.org/Record/001018223","HathiTrust Record")</f>
        <v/>
      </c>
      <c r="AU640">
        <f>HYPERLINK("https://creighton-primo.hosted.exlibrisgroup.com/primo-explore/search?tab=default_tab&amp;search_scope=EVERYTHING&amp;vid=01CRU&amp;lang=en_US&amp;offset=0&amp;query=any,contains,991003214949702656","Catalog Record")</f>
        <v/>
      </c>
      <c r="AV640">
        <f>HYPERLINK("http://www.worldcat.org/oclc/741006","WorldCat Record")</f>
        <v/>
      </c>
      <c r="AW640" t="inlineStr">
        <is>
          <t>411660:eng</t>
        </is>
      </c>
      <c r="AX640" t="inlineStr">
        <is>
          <t>741006</t>
        </is>
      </c>
      <c r="AY640" t="inlineStr">
        <is>
          <t>991003214949702656</t>
        </is>
      </c>
      <c r="AZ640" t="inlineStr">
        <is>
          <t>991003214949702656</t>
        </is>
      </c>
      <c r="BA640" t="inlineStr">
        <is>
          <t>2270873020002656</t>
        </is>
      </c>
      <c r="BB640" t="inlineStr">
        <is>
          <t>BOOK</t>
        </is>
      </c>
      <c r="BD640" t="inlineStr">
        <is>
          <t>9780136120933</t>
        </is>
      </c>
      <c r="BE640" t="inlineStr">
        <is>
          <t>32285000331818</t>
        </is>
      </c>
      <c r="BF640" t="inlineStr">
        <is>
          <t>893774515</t>
        </is>
      </c>
    </row>
    <row r="641">
      <c r="A641" t="inlineStr">
        <is>
          <t>No</t>
        </is>
      </c>
      <c r="B641" t="inlineStr">
        <is>
          <t>CURAL</t>
        </is>
      </c>
      <c r="C641" t="inlineStr">
        <is>
          <t>SHELVES</t>
        </is>
      </c>
      <c r="D641" t="inlineStr">
        <is>
          <t>PR2892 .P27 1948</t>
        </is>
      </c>
      <c r="E641" t="inlineStr">
        <is>
          <t>0                      PR 2892000P  27          1948</t>
        </is>
      </c>
      <c r="F641" t="inlineStr">
        <is>
          <t>Shakespeare's bawdy; a literary &amp; psychological essay and a comprehensive glossary / Eric Partridge. --</t>
        </is>
      </c>
      <c r="H641" t="inlineStr">
        <is>
          <t>No</t>
        </is>
      </c>
      <c r="I641" t="inlineStr">
        <is>
          <t>1</t>
        </is>
      </c>
      <c r="J641" t="inlineStr">
        <is>
          <t>No</t>
        </is>
      </c>
      <c r="K641" t="inlineStr">
        <is>
          <t>No</t>
        </is>
      </c>
      <c r="L641" t="inlineStr">
        <is>
          <t>0</t>
        </is>
      </c>
      <c r="M641" t="inlineStr">
        <is>
          <t>Partridge, Eric, 1894-1979.</t>
        </is>
      </c>
      <c r="N641" t="inlineStr">
        <is>
          <t>New York : E. P. Dutton, 1948.</t>
        </is>
      </c>
      <c r="O641" t="inlineStr">
        <is>
          <t>1948</t>
        </is>
      </c>
      <c r="Q641" t="inlineStr">
        <is>
          <t>eng</t>
        </is>
      </c>
      <c r="R641" t="inlineStr">
        <is>
          <t>nyu</t>
        </is>
      </c>
      <c r="T641" t="inlineStr">
        <is>
          <t xml:space="preserve">PR </t>
        </is>
      </c>
      <c r="U641" t="n">
        <v>6</v>
      </c>
      <c r="V641" t="n">
        <v>6</v>
      </c>
      <c r="W641" t="inlineStr">
        <is>
          <t>1999-12-01</t>
        </is>
      </c>
      <c r="X641" t="inlineStr">
        <is>
          <t>1999-12-01</t>
        </is>
      </c>
      <c r="Y641" t="inlineStr">
        <is>
          <t>1991-10-18</t>
        </is>
      </c>
      <c r="Z641" t="inlineStr">
        <is>
          <t>1991-10-18</t>
        </is>
      </c>
      <c r="AA641" t="n">
        <v>211</v>
      </c>
      <c r="AB641" t="n">
        <v>203</v>
      </c>
      <c r="AC641" t="n">
        <v>983</v>
      </c>
      <c r="AD641" t="n">
        <v>2</v>
      </c>
      <c r="AE641" t="n">
        <v>6</v>
      </c>
      <c r="AF641" t="n">
        <v>11</v>
      </c>
      <c r="AG641" t="n">
        <v>40</v>
      </c>
      <c r="AH641" t="n">
        <v>3</v>
      </c>
      <c r="AI641" t="n">
        <v>14</v>
      </c>
      <c r="AJ641" t="n">
        <v>3</v>
      </c>
      <c r="AK641" t="n">
        <v>10</v>
      </c>
      <c r="AL641" t="n">
        <v>7</v>
      </c>
      <c r="AM641" t="n">
        <v>19</v>
      </c>
      <c r="AN641" t="n">
        <v>1</v>
      </c>
      <c r="AO641" t="n">
        <v>5</v>
      </c>
      <c r="AP641" t="n">
        <v>0</v>
      </c>
      <c r="AQ641" t="n">
        <v>0</v>
      </c>
      <c r="AR641" t="inlineStr">
        <is>
          <t>No</t>
        </is>
      </c>
      <c r="AS641" t="inlineStr">
        <is>
          <t>Yes</t>
        </is>
      </c>
      <c r="AT641">
        <f>HYPERLINK("http://catalog.hathitrust.org/Record/000763679","HathiTrust Record")</f>
        <v/>
      </c>
      <c r="AU641">
        <f>HYPERLINK("https://creighton-primo.hosted.exlibrisgroup.com/primo-explore/search?tab=default_tab&amp;search_scope=EVERYTHING&amp;vid=01CRU&amp;lang=en_US&amp;offset=0&amp;query=any,contains,991003859219702656","Catalog Record")</f>
        <v/>
      </c>
      <c r="AV641">
        <f>HYPERLINK("http://www.worldcat.org/oclc/1661799","WorldCat Record")</f>
        <v/>
      </c>
      <c r="AW641" t="inlineStr">
        <is>
          <t>1207215:eng</t>
        </is>
      </c>
      <c r="AX641" t="inlineStr">
        <is>
          <t>1661799</t>
        </is>
      </c>
      <c r="AY641" t="inlineStr">
        <is>
          <t>991003859219702656</t>
        </is>
      </c>
      <c r="AZ641" t="inlineStr">
        <is>
          <t>991003859219702656</t>
        </is>
      </c>
      <c r="BA641" t="inlineStr">
        <is>
          <t>2268482970002656</t>
        </is>
      </c>
      <c r="BB641" t="inlineStr">
        <is>
          <t>BOOK</t>
        </is>
      </c>
      <c r="BE641" t="inlineStr">
        <is>
          <t>32285000775972</t>
        </is>
      </c>
      <c r="BF641" t="inlineStr">
        <is>
          <t>893699508</t>
        </is>
      </c>
    </row>
    <row r="642">
      <c r="A642" t="inlineStr">
        <is>
          <t>No</t>
        </is>
      </c>
      <c r="B642" t="inlineStr">
        <is>
          <t>CURAL</t>
        </is>
      </c>
      <c r="C642" t="inlineStr">
        <is>
          <t>SHELVES</t>
        </is>
      </c>
      <c r="D642" t="inlineStr">
        <is>
          <t>PR2893 .B8</t>
        </is>
      </c>
      <c r="E642" t="inlineStr">
        <is>
          <t>0                      PR 2893000B  8</t>
        </is>
      </c>
      <c r="F642" t="inlineStr">
        <is>
          <t>Materials for the life of Shakespeare / compiled by Pierce Butler.</t>
        </is>
      </c>
      <c r="H642" t="inlineStr">
        <is>
          <t>No</t>
        </is>
      </c>
      <c r="I642" t="inlineStr">
        <is>
          <t>1</t>
        </is>
      </c>
      <c r="J642" t="inlineStr">
        <is>
          <t>No</t>
        </is>
      </c>
      <c r="K642" t="inlineStr">
        <is>
          <t>No</t>
        </is>
      </c>
      <c r="L642" t="inlineStr">
        <is>
          <t>0</t>
        </is>
      </c>
      <c r="M642" t="inlineStr">
        <is>
          <t>Butler, Pierce, 1873-1955, compiler.</t>
        </is>
      </c>
      <c r="N642" t="inlineStr">
        <is>
          <t>Chapel Hill : University of North Carolina Press, 1930.</t>
        </is>
      </c>
      <c r="O642" t="inlineStr">
        <is>
          <t>1930</t>
        </is>
      </c>
      <c r="Q642" t="inlineStr">
        <is>
          <t>eng</t>
        </is>
      </c>
      <c r="R642" t="inlineStr">
        <is>
          <t>ncu</t>
        </is>
      </c>
      <c r="T642" t="inlineStr">
        <is>
          <t xml:space="preserve">PR </t>
        </is>
      </c>
      <c r="U642" t="n">
        <v>1</v>
      </c>
      <c r="V642" t="n">
        <v>1</v>
      </c>
      <c r="W642" t="inlineStr">
        <is>
          <t>2006-03-21</t>
        </is>
      </c>
      <c r="X642" t="inlineStr">
        <is>
          <t>2006-03-21</t>
        </is>
      </c>
      <c r="Y642" t="inlineStr">
        <is>
          <t>1992-11-05</t>
        </is>
      </c>
      <c r="Z642" t="inlineStr">
        <is>
          <t>1992-11-05</t>
        </is>
      </c>
      <c r="AA642" t="n">
        <v>234</v>
      </c>
      <c r="AB642" t="n">
        <v>209</v>
      </c>
      <c r="AC642" t="n">
        <v>278</v>
      </c>
      <c r="AD642" t="n">
        <v>4</v>
      </c>
      <c r="AE642" t="n">
        <v>4</v>
      </c>
      <c r="AF642" t="n">
        <v>12</v>
      </c>
      <c r="AG642" t="n">
        <v>15</v>
      </c>
      <c r="AH642" t="n">
        <v>4</v>
      </c>
      <c r="AI642" t="n">
        <v>5</v>
      </c>
      <c r="AJ642" t="n">
        <v>1</v>
      </c>
      <c r="AK642" t="n">
        <v>2</v>
      </c>
      <c r="AL642" t="n">
        <v>6</v>
      </c>
      <c r="AM642" t="n">
        <v>8</v>
      </c>
      <c r="AN642" t="n">
        <v>3</v>
      </c>
      <c r="AO642" t="n">
        <v>3</v>
      </c>
      <c r="AP642" t="n">
        <v>0</v>
      </c>
      <c r="AQ642" t="n">
        <v>0</v>
      </c>
      <c r="AR642" t="inlineStr">
        <is>
          <t>No</t>
        </is>
      </c>
      <c r="AS642" t="inlineStr">
        <is>
          <t>No</t>
        </is>
      </c>
      <c r="AT642">
        <f>HYPERLINK("http://catalog.hathitrust.org/Record/006516613","HathiTrust Record")</f>
        <v/>
      </c>
      <c r="AU642">
        <f>HYPERLINK("https://creighton-primo.hosted.exlibrisgroup.com/primo-explore/search?tab=default_tab&amp;search_scope=EVERYTHING&amp;vid=01CRU&amp;lang=en_US&amp;offset=0&amp;query=any,contains,991004098289702656","Catalog Record")</f>
        <v/>
      </c>
      <c r="AV642">
        <f>HYPERLINK("http://www.worldcat.org/oclc/2364348","WorldCat Record")</f>
        <v/>
      </c>
      <c r="AW642" t="inlineStr">
        <is>
          <t>198496038:eng</t>
        </is>
      </c>
      <c r="AX642" t="inlineStr">
        <is>
          <t>2364348</t>
        </is>
      </c>
      <c r="AY642" t="inlineStr">
        <is>
          <t>991004098289702656</t>
        </is>
      </c>
      <c r="AZ642" t="inlineStr">
        <is>
          <t>991004098289702656</t>
        </is>
      </c>
      <c r="BA642" t="inlineStr">
        <is>
          <t>2264458860002656</t>
        </is>
      </c>
      <c r="BB642" t="inlineStr">
        <is>
          <t>BOOK</t>
        </is>
      </c>
      <c r="BE642" t="inlineStr">
        <is>
          <t>32285001381242</t>
        </is>
      </c>
      <c r="BF642" t="inlineStr">
        <is>
          <t>893718462</t>
        </is>
      </c>
    </row>
    <row r="643">
      <c r="A643" t="inlineStr">
        <is>
          <t>No</t>
        </is>
      </c>
      <c r="B643" t="inlineStr">
        <is>
          <t>CURAL</t>
        </is>
      </c>
      <c r="C643" t="inlineStr">
        <is>
          <t>SHELVES</t>
        </is>
      </c>
      <c r="D643" t="inlineStr">
        <is>
          <t>PR2894 .A3</t>
        </is>
      </c>
      <c r="E643" t="inlineStr">
        <is>
          <t>0                      PR 2894000A  3</t>
        </is>
      </c>
      <c r="F643" t="inlineStr">
        <is>
          <t>A life of William Shakespeare / by Joseph Quincy Adams.</t>
        </is>
      </c>
      <c r="H643" t="inlineStr">
        <is>
          <t>No</t>
        </is>
      </c>
      <c r="I643" t="inlineStr">
        <is>
          <t>1</t>
        </is>
      </c>
      <c r="J643" t="inlineStr">
        <is>
          <t>No</t>
        </is>
      </c>
      <c r="K643" t="inlineStr">
        <is>
          <t>No</t>
        </is>
      </c>
      <c r="L643" t="inlineStr">
        <is>
          <t>0</t>
        </is>
      </c>
      <c r="M643" t="inlineStr">
        <is>
          <t>Adams, Joseph Quincy, 1881-1946.</t>
        </is>
      </c>
      <c r="N643" t="inlineStr">
        <is>
          <t>Boston ; New York : Houghton Mifflin Company, 1923.</t>
        </is>
      </c>
      <c r="O643" t="inlineStr">
        <is>
          <t>1923</t>
        </is>
      </c>
      <c r="Q643" t="inlineStr">
        <is>
          <t>eng</t>
        </is>
      </c>
      <c r="R643" t="inlineStr">
        <is>
          <t>mau</t>
        </is>
      </c>
      <c r="T643" t="inlineStr">
        <is>
          <t xml:space="preserve">PR </t>
        </is>
      </c>
      <c r="U643" t="n">
        <v>4</v>
      </c>
      <c r="V643" t="n">
        <v>4</v>
      </c>
      <c r="W643" t="inlineStr">
        <is>
          <t>2008-10-11</t>
        </is>
      </c>
      <c r="X643" t="inlineStr">
        <is>
          <t>2008-10-11</t>
        </is>
      </c>
      <c r="Y643" t="inlineStr">
        <is>
          <t>1992-11-05</t>
        </is>
      </c>
      <c r="Z643" t="inlineStr">
        <is>
          <t>1992-11-05</t>
        </is>
      </c>
      <c r="AA643" t="n">
        <v>697</v>
      </c>
      <c r="AB643" t="n">
        <v>655</v>
      </c>
      <c r="AC643" t="n">
        <v>1220</v>
      </c>
      <c r="AD643" t="n">
        <v>7</v>
      </c>
      <c r="AE643" t="n">
        <v>12</v>
      </c>
      <c r="AF643" t="n">
        <v>28</v>
      </c>
      <c r="AG643" t="n">
        <v>51</v>
      </c>
      <c r="AH643" t="n">
        <v>9</v>
      </c>
      <c r="AI643" t="n">
        <v>23</v>
      </c>
      <c r="AJ643" t="n">
        <v>4</v>
      </c>
      <c r="AK643" t="n">
        <v>7</v>
      </c>
      <c r="AL643" t="n">
        <v>15</v>
      </c>
      <c r="AM643" t="n">
        <v>21</v>
      </c>
      <c r="AN643" t="n">
        <v>6</v>
      </c>
      <c r="AO643" t="n">
        <v>10</v>
      </c>
      <c r="AP643" t="n">
        <v>0</v>
      </c>
      <c r="AQ643" t="n">
        <v>0</v>
      </c>
      <c r="AR643" t="inlineStr">
        <is>
          <t>No</t>
        </is>
      </c>
      <c r="AS643" t="inlineStr">
        <is>
          <t>No</t>
        </is>
      </c>
      <c r="AU643">
        <f>HYPERLINK("https://creighton-primo.hosted.exlibrisgroup.com/primo-explore/search?tab=default_tab&amp;search_scope=EVERYTHING&amp;vid=01CRU&amp;lang=en_US&amp;offset=0&amp;query=any,contains,991003514009702656","Catalog Record")</f>
        <v/>
      </c>
      <c r="AV643">
        <f>HYPERLINK("http://www.worldcat.org/oclc/1070329","WorldCat Record")</f>
        <v/>
      </c>
      <c r="AW643" t="inlineStr">
        <is>
          <t>1410199:eng</t>
        </is>
      </c>
      <c r="AX643" t="inlineStr">
        <is>
          <t>1070329</t>
        </is>
      </c>
      <c r="AY643" t="inlineStr">
        <is>
          <t>991003514009702656</t>
        </is>
      </c>
      <c r="AZ643" t="inlineStr">
        <is>
          <t>991003514009702656</t>
        </is>
      </c>
      <c r="BA643" t="inlineStr">
        <is>
          <t>2255851140002656</t>
        </is>
      </c>
      <c r="BB643" t="inlineStr">
        <is>
          <t>BOOK</t>
        </is>
      </c>
      <c r="BE643" t="inlineStr">
        <is>
          <t>32285001381234</t>
        </is>
      </c>
      <c r="BF643" t="inlineStr">
        <is>
          <t>893416460</t>
        </is>
      </c>
    </row>
    <row r="644">
      <c r="A644" t="inlineStr">
        <is>
          <t>No</t>
        </is>
      </c>
      <c r="B644" t="inlineStr">
        <is>
          <t>CURAL</t>
        </is>
      </c>
      <c r="C644" t="inlineStr">
        <is>
          <t>SHELVES</t>
        </is>
      </c>
      <c r="D644" t="inlineStr">
        <is>
          <t>PR2894 .B4</t>
        </is>
      </c>
      <c r="E644" t="inlineStr">
        <is>
          <t>0                      PR 2894000B  4</t>
        </is>
      </c>
      <c r="F644" t="inlineStr">
        <is>
          <t>Shakespeare : a biographical handbook.</t>
        </is>
      </c>
      <c r="H644" t="inlineStr">
        <is>
          <t>No</t>
        </is>
      </c>
      <c r="I644" t="inlineStr">
        <is>
          <t>1</t>
        </is>
      </c>
      <c r="J644" t="inlineStr">
        <is>
          <t>No</t>
        </is>
      </c>
      <c r="K644" t="inlineStr">
        <is>
          <t>No</t>
        </is>
      </c>
      <c r="L644" t="inlineStr">
        <is>
          <t>0</t>
        </is>
      </c>
      <c r="M644" t="inlineStr">
        <is>
          <t>Bentley, Gerald Eades, 1901-1994.</t>
        </is>
      </c>
      <c r="N644" t="inlineStr">
        <is>
          <t>New Haven : Yale University Press, 1961.</t>
        </is>
      </c>
      <c r="O644" t="inlineStr">
        <is>
          <t>1961</t>
        </is>
      </c>
      <c r="Q644" t="inlineStr">
        <is>
          <t>eng</t>
        </is>
      </c>
      <c r="R644" t="inlineStr">
        <is>
          <t>ctu</t>
        </is>
      </c>
      <c r="S644" t="inlineStr">
        <is>
          <t>Yale Shakespeare supplements</t>
        </is>
      </c>
      <c r="T644" t="inlineStr">
        <is>
          <t xml:space="preserve">PR </t>
        </is>
      </c>
      <c r="U644" t="n">
        <v>2</v>
      </c>
      <c r="V644" t="n">
        <v>2</v>
      </c>
      <c r="W644" t="inlineStr">
        <is>
          <t>2008-10-09</t>
        </is>
      </c>
      <c r="X644" t="inlineStr">
        <is>
          <t>2008-10-09</t>
        </is>
      </c>
      <c r="Y644" t="inlineStr">
        <is>
          <t>1990-10-04</t>
        </is>
      </c>
      <c r="Z644" t="inlineStr">
        <is>
          <t>1990-10-04</t>
        </is>
      </c>
      <c r="AA644" t="n">
        <v>1239</v>
      </c>
      <c r="AB644" t="n">
        <v>1080</v>
      </c>
      <c r="AC644" t="n">
        <v>1147</v>
      </c>
      <c r="AD644" t="n">
        <v>8</v>
      </c>
      <c r="AE644" t="n">
        <v>9</v>
      </c>
      <c r="AF644" t="n">
        <v>49</v>
      </c>
      <c r="AG644" t="n">
        <v>50</v>
      </c>
      <c r="AH644" t="n">
        <v>21</v>
      </c>
      <c r="AI644" t="n">
        <v>21</v>
      </c>
      <c r="AJ644" t="n">
        <v>10</v>
      </c>
      <c r="AK644" t="n">
        <v>10</v>
      </c>
      <c r="AL644" t="n">
        <v>23</v>
      </c>
      <c r="AM644" t="n">
        <v>23</v>
      </c>
      <c r="AN644" t="n">
        <v>7</v>
      </c>
      <c r="AO644" t="n">
        <v>8</v>
      </c>
      <c r="AP644" t="n">
        <v>0</v>
      </c>
      <c r="AQ644" t="n">
        <v>0</v>
      </c>
      <c r="AR644" t="inlineStr">
        <is>
          <t>No</t>
        </is>
      </c>
      <c r="AS644" t="inlineStr">
        <is>
          <t>No</t>
        </is>
      </c>
      <c r="AU644">
        <f>HYPERLINK("https://creighton-primo.hosted.exlibrisgroup.com/primo-explore/search?tab=default_tab&amp;search_scope=EVERYTHING&amp;vid=01CRU&amp;lang=en_US&amp;offset=0&amp;query=any,contains,991002462459702656","Catalog Record")</f>
        <v/>
      </c>
      <c r="AV644">
        <f>HYPERLINK("http://www.worldcat.org/oclc/356416","WorldCat Record")</f>
        <v/>
      </c>
      <c r="AW644" t="inlineStr">
        <is>
          <t>3768567442:eng</t>
        </is>
      </c>
      <c r="AX644" t="inlineStr">
        <is>
          <t>356416</t>
        </is>
      </c>
      <c r="AY644" t="inlineStr">
        <is>
          <t>991002462459702656</t>
        </is>
      </c>
      <c r="AZ644" t="inlineStr">
        <is>
          <t>991002462459702656</t>
        </is>
      </c>
      <c r="BA644" t="inlineStr">
        <is>
          <t>2262759150002656</t>
        </is>
      </c>
      <c r="BB644" t="inlineStr">
        <is>
          <t>BOOK</t>
        </is>
      </c>
      <c r="BE644" t="inlineStr">
        <is>
          <t>32285000331834</t>
        </is>
      </c>
      <c r="BF644" t="inlineStr">
        <is>
          <t>893347521</t>
        </is>
      </c>
    </row>
    <row r="645">
      <c r="A645" t="inlineStr">
        <is>
          <t>No</t>
        </is>
      </c>
      <c r="B645" t="inlineStr">
        <is>
          <t>CURAL</t>
        </is>
      </c>
      <c r="C645" t="inlineStr">
        <is>
          <t>SHELVES</t>
        </is>
      </c>
      <c r="D645" t="inlineStr">
        <is>
          <t>PR2894 .C443</t>
        </is>
      </c>
      <c r="E645" t="inlineStr">
        <is>
          <t>0                      PR 2894000C  443</t>
        </is>
      </c>
      <c r="F645" t="inlineStr">
        <is>
          <t>A short life of Shakespeare : with the sources, abridged by Charles Williams from Sir Edmund Chamber's William Shakespeare: a study of facts and problems.</t>
        </is>
      </c>
      <c r="H645" t="inlineStr">
        <is>
          <t>No</t>
        </is>
      </c>
      <c r="I645" t="inlineStr">
        <is>
          <t>1</t>
        </is>
      </c>
      <c r="J645" t="inlineStr">
        <is>
          <t>No</t>
        </is>
      </c>
      <c r="K645" t="inlineStr">
        <is>
          <t>Yes</t>
        </is>
      </c>
      <c r="L645" t="inlineStr">
        <is>
          <t>0</t>
        </is>
      </c>
      <c r="M645" t="inlineStr">
        <is>
          <t>Chambers, E. K. (Edmund Kerchever), 1866-1954.</t>
        </is>
      </c>
      <c r="N645" t="inlineStr">
        <is>
          <t>Oxford : The Clarendon Press, 1933.</t>
        </is>
      </c>
      <c r="O645" t="inlineStr">
        <is>
          <t>1933</t>
        </is>
      </c>
      <c r="Q645" t="inlineStr">
        <is>
          <t>eng</t>
        </is>
      </c>
      <c r="R645" t="inlineStr">
        <is>
          <t>enk</t>
        </is>
      </c>
      <c r="T645" t="inlineStr">
        <is>
          <t xml:space="preserve">PR </t>
        </is>
      </c>
      <c r="U645" t="n">
        <v>5</v>
      </c>
      <c r="V645" t="n">
        <v>5</v>
      </c>
      <c r="W645" t="inlineStr">
        <is>
          <t>2009-12-03</t>
        </is>
      </c>
      <c r="X645" t="inlineStr">
        <is>
          <t>2009-12-03</t>
        </is>
      </c>
      <c r="Y645" t="inlineStr">
        <is>
          <t>1995-09-28</t>
        </is>
      </c>
      <c r="Z645" t="inlineStr">
        <is>
          <t>1995-09-28</t>
        </is>
      </c>
      <c r="AA645" t="n">
        <v>665</v>
      </c>
      <c r="AB645" t="n">
        <v>562</v>
      </c>
      <c r="AC645" t="n">
        <v>644</v>
      </c>
      <c r="AD645" t="n">
        <v>6</v>
      </c>
      <c r="AE645" t="n">
        <v>7</v>
      </c>
      <c r="AF645" t="n">
        <v>32</v>
      </c>
      <c r="AG645" t="n">
        <v>36</v>
      </c>
      <c r="AH645" t="n">
        <v>12</v>
      </c>
      <c r="AI645" t="n">
        <v>14</v>
      </c>
      <c r="AJ645" t="n">
        <v>8</v>
      </c>
      <c r="AK645" t="n">
        <v>8</v>
      </c>
      <c r="AL645" t="n">
        <v>17</v>
      </c>
      <c r="AM645" t="n">
        <v>19</v>
      </c>
      <c r="AN645" t="n">
        <v>3</v>
      </c>
      <c r="AO645" t="n">
        <v>4</v>
      </c>
      <c r="AP645" t="n">
        <v>0</v>
      </c>
      <c r="AQ645" t="n">
        <v>0</v>
      </c>
      <c r="AR645" t="inlineStr">
        <is>
          <t>No</t>
        </is>
      </c>
      <c r="AS645" t="inlineStr">
        <is>
          <t>Yes</t>
        </is>
      </c>
      <c r="AT645">
        <f>HYPERLINK("http://catalog.hathitrust.org/Record/001018273","HathiTrust Record")</f>
        <v/>
      </c>
      <c r="AU645">
        <f>HYPERLINK("https://creighton-primo.hosted.exlibrisgroup.com/primo-explore/search?tab=default_tab&amp;search_scope=EVERYTHING&amp;vid=01CRU&amp;lang=en_US&amp;offset=0&amp;query=any,contains,991003893259702656","Catalog Record")</f>
        <v/>
      </c>
      <c r="AV645">
        <f>HYPERLINK("http://www.worldcat.org/oclc/352602","WorldCat Record")</f>
        <v/>
      </c>
      <c r="AW645" t="inlineStr">
        <is>
          <t>3855256405:eng</t>
        </is>
      </c>
      <c r="AX645" t="inlineStr">
        <is>
          <t>352602</t>
        </is>
      </c>
      <c r="AY645" t="inlineStr">
        <is>
          <t>991003893259702656</t>
        </is>
      </c>
      <c r="AZ645" t="inlineStr">
        <is>
          <t>991003893259702656</t>
        </is>
      </c>
      <c r="BA645" t="inlineStr">
        <is>
          <t>2269110000002656</t>
        </is>
      </c>
      <c r="BB645" t="inlineStr">
        <is>
          <t>BOOK</t>
        </is>
      </c>
      <c r="BE645" t="inlineStr">
        <is>
          <t>32285002066933</t>
        </is>
      </c>
      <c r="BF645" t="inlineStr">
        <is>
          <t>893605365</t>
        </is>
      </c>
    </row>
    <row r="646">
      <c r="A646" t="inlineStr">
        <is>
          <t>No</t>
        </is>
      </c>
      <c r="B646" t="inlineStr">
        <is>
          <t>CURAL</t>
        </is>
      </c>
      <c r="C646" t="inlineStr">
        <is>
          <t>SHELVES</t>
        </is>
      </c>
      <c r="D646" t="inlineStr">
        <is>
          <t>PR2894 .C443 1950</t>
        </is>
      </c>
      <c r="E646" t="inlineStr">
        <is>
          <t>0                      PR 2894000C  443         1950</t>
        </is>
      </c>
      <c r="F646" t="inlineStr">
        <is>
          <t>A short life of Shakespeare, with the sources / abridged by Charles Williams from Sir Edmund Chambers' William Shakespeare: a study of facts and problems.</t>
        </is>
      </c>
      <c r="H646" t="inlineStr">
        <is>
          <t>No</t>
        </is>
      </c>
      <c r="I646" t="inlineStr">
        <is>
          <t>1</t>
        </is>
      </c>
      <c r="J646" t="inlineStr">
        <is>
          <t>No</t>
        </is>
      </c>
      <c r="K646" t="inlineStr">
        <is>
          <t>Yes</t>
        </is>
      </c>
      <c r="L646" t="inlineStr">
        <is>
          <t>0</t>
        </is>
      </c>
      <c r="M646" t="inlineStr">
        <is>
          <t>Chambers, E. K. (Edmund Kerchever), 1866-1954.</t>
        </is>
      </c>
      <c r="N646" t="inlineStr">
        <is>
          <t>Oxford : The Clarendon press, [1950, c1933]</t>
        </is>
      </c>
      <c r="O646" t="inlineStr">
        <is>
          <t>1950</t>
        </is>
      </c>
      <c r="Q646" t="inlineStr">
        <is>
          <t>eng</t>
        </is>
      </c>
      <c r="R646" t="inlineStr">
        <is>
          <t>enk</t>
        </is>
      </c>
      <c r="T646" t="inlineStr">
        <is>
          <t xml:space="preserve">PR </t>
        </is>
      </c>
      <c r="U646" t="n">
        <v>2</v>
      </c>
      <c r="V646" t="n">
        <v>2</v>
      </c>
      <c r="W646" t="inlineStr">
        <is>
          <t>1996-12-13</t>
        </is>
      </c>
      <c r="X646" t="inlineStr">
        <is>
          <t>1996-12-13</t>
        </is>
      </c>
      <c r="Y646" t="inlineStr">
        <is>
          <t>1991-10-18</t>
        </is>
      </c>
      <c r="Z646" t="inlineStr">
        <is>
          <t>1991-10-18</t>
        </is>
      </c>
      <c r="AA646" t="n">
        <v>36</v>
      </c>
      <c r="AB646" t="n">
        <v>28</v>
      </c>
      <c r="AC646" t="n">
        <v>644</v>
      </c>
      <c r="AD646" t="n">
        <v>2</v>
      </c>
      <c r="AE646" t="n">
        <v>7</v>
      </c>
      <c r="AF646" t="n">
        <v>2</v>
      </c>
      <c r="AG646" t="n">
        <v>36</v>
      </c>
      <c r="AH646" t="n">
        <v>1</v>
      </c>
      <c r="AI646" t="n">
        <v>14</v>
      </c>
      <c r="AJ646" t="n">
        <v>0</v>
      </c>
      <c r="AK646" t="n">
        <v>8</v>
      </c>
      <c r="AL646" t="n">
        <v>0</v>
      </c>
      <c r="AM646" t="n">
        <v>19</v>
      </c>
      <c r="AN646" t="n">
        <v>1</v>
      </c>
      <c r="AO646" t="n">
        <v>4</v>
      </c>
      <c r="AP646" t="n">
        <v>0</v>
      </c>
      <c r="AQ646" t="n">
        <v>0</v>
      </c>
      <c r="AR646" t="inlineStr">
        <is>
          <t>No</t>
        </is>
      </c>
      <c r="AS646" t="inlineStr">
        <is>
          <t>No</t>
        </is>
      </c>
      <c r="AU646">
        <f>HYPERLINK("https://creighton-primo.hosted.exlibrisgroup.com/primo-explore/search?tab=default_tab&amp;search_scope=EVERYTHING&amp;vid=01CRU&amp;lang=en_US&amp;offset=0&amp;query=any,contains,991002387439702656","Catalog Record")</f>
        <v/>
      </c>
      <c r="AV646">
        <f>HYPERLINK("http://www.worldcat.org/oclc/330845","WorldCat Record")</f>
        <v/>
      </c>
      <c r="AW646" t="inlineStr">
        <is>
          <t>3855256405:eng</t>
        </is>
      </c>
      <c r="AX646" t="inlineStr">
        <is>
          <t>330845</t>
        </is>
      </c>
      <c r="AY646" t="inlineStr">
        <is>
          <t>991002387439702656</t>
        </is>
      </c>
      <c r="AZ646" t="inlineStr">
        <is>
          <t>991002387439702656</t>
        </is>
      </c>
      <c r="BA646" t="inlineStr">
        <is>
          <t>2258911470002656</t>
        </is>
      </c>
      <c r="BB646" t="inlineStr">
        <is>
          <t>BOOK</t>
        </is>
      </c>
      <c r="BE646" t="inlineStr">
        <is>
          <t>32285000776004</t>
        </is>
      </c>
      <c r="BF646" t="inlineStr">
        <is>
          <t>893517224</t>
        </is>
      </c>
    </row>
    <row r="647">
      <c r="A647" t="inlineStr">
        <is>
          <t>No</t>
        </is>
      </c>
      <c r="B647" t="inlineStr">
        <is>
          <t>CURAL</t>
        </is>
      </c>
      <c r="C647" t="inlineStr">
        <is>
          <t>SHELVES</t>
        </is>
      </c>
      <c r="D647" t="inlineStr">
        <is>
          <t>PR2894 .D83 2001</t>
        </is>
      </c>
      <c r="E647" t="inlineStr">
        <is>
          <t>0                      PR 2894000D  83          2001</t>
        </is>
      </c>
      <c r="F647" t="inlineStr">
        <is>
          <t>Ungentle Shakespeare : scenes from his life / Katherine Duncan-Jones.</t>
        </is>
      </c>
      <c r="H647" t="inlineStr">
        <is>
          <t>No</t>
        </is>
      </c>
      <c r="I647" t="inlineStr">
        <is>
          <t>1</t>
        </is>
      </c>
      <c r="J647" t="inlineStr">
        <is>
          <t>No</t>
        </is>
      </c>
      <c r="K647" t="inlineStr">
        <is>
          <t>No</t>
        </is>
      </c>
      <c r="L647" t="inlineStr">
        <is>
          <t>0</t>
        </is>
      </c>
      <c r="M647" t="inlineStr">
        <is>
          <t>Duncan-Jones, Katherine.</t>
        </is>
      </c>
      <c r="N647" t="inlineStr">
        <is>
          <t>London : Arden Shakespeare, c2001.</t>
        </is>
      </c>
      <c r="O647" t="inlineStr">
        <is>
          <t>2001</t>
        </is>
      </c>
      <c r="Q647" t="inlineStr">
        <is>
          <t>eng</t>
        </is>
      </c>
      <c r="R647" t="inlineStr">
        <is>
          <t>enk</t>
        </is>
      </c>
      <c r="S647" t="inlineStr">
        <is>
          <t>Arden Shakespeare</t>
        </is>
      </c>
      <c r="T647" t="inlineStr">
        <is>
          <t xml:space="preserve">PR </t>
        </is>
      </c>
      <c r="U647" t="n">
        <v>4</v>
      </c>
      <c r="V647" t="n">
        <v>4</v>
      </c>
      <c r="W647" t="inlineStr">
        <is>
          <t>2007-03-20</t>
        </is>
      </c>
      <c r="X647" t="inlineStr">
        <is>
          <t>2007-03-20</t>
        </is>
      </c>
      <c r="Y647" t="inlineStr">
        <is>
          <t>2001-06-21</t>
        </is>
      </c>
      <c r="Z647" t="inlineStr">
        <is>
          <t>2001-06-21</t>
        </is>
      </c>
      <c r="AA647" t="n">
        <v>451</v>
      </c>
      <c r="AB647" t="n">
        <v>302</v>
      </c>
      <c r="AC647" t="n">
        <v>309</v>
      </c>
      <c r="AD647" t="n">
        <v>2</v>
      </c>
      <c r="AE647" t="n">
        <v>2</v>
      </c>
      <c r="AF647" t="n">
        <v>16</v>
      </c>
      <c r="AG647" t="n">
        <v>16</v>
      </c>
      <c r="AH647" t="n">
        <v>8</v>
      </c>
      <c r="AI647" t="n">
        <v>8</v>
      </c>
      <c r="AJ647" t="n">
        <v>5</v>
      </c>
      <c r="AK647" t="n">
        <v>5</v>
      </c>
      <c r="AL647" t="n">
        <v>7</v>
      </c>
      <c r="AM647" t="n">
        <v>7</v>
      </c>
      <c r="AN647" t="n">
        <v>1</v>
      </c>
      <c r="AO647" t="n">
        <v>1</v>
      </c>
      <c r="AP647" t="n">
        <v>0</v>
      </c>
      <c r="AQ647" t="n">
        <v>0</v>
      </c>
      <c r="AR647" t="inlineStr">
        <is>
          <t>No</t>
        </is>
      </c>
      <c r="AS647" t="inlineStr">
        <is>
          <t>No</t>
        </is>
      </c>
      <c r="AU647">
        <f>HYPERLINK("https://creighton-primo.hosted.exlibrisgroup.com/primo-explore/search?tab=default_tab&amp;search_scope=EVERYTHING&amp;vid=01CRU&amp;lang=en_US&amp;offset=0&amp;query=any,contains,991003553059702656","Catalog Record")</f>
        <v/>
      </c>
      <c r="AV647">
        <f>HYPERLINK("http://www.worldcat.org/oclc/51683239","WorldCat Record")</f>
        <v/>
      </c>
      <c r="AW647" t="inlineStr">
        <is>
          <t>796366507:eng</t>
        </is>
      </c>
      <c r="AX647" t="inlineStr">
        <is>
          <t>51683239</t>
        </is>
      </c>
      <c r="AY647" t="inlineStr">
        <is>
          <t>991003553059702656</t>
        </is>
      </c>
      <c r="AZ647" t="inlineStr">
        <is>
          <t>991003553059702656</t>
        </is>
      </c>
      <c r="BA647" t="inlineStr">
        <is>
          <t>2269026020002656</t>
        </is>
      </c>
      <c r="BB647" t="inlineStr">
        <is>
          <t>BOOK</t>
        </is>
      </c>
      <c r="BD647" t="inlineStr">
        <is>
          <t>9781903436264</t>
        </is>
      </c>
      <c r="BE647" t="inlineStr">
        <is>
          <t>32285004328901</t>
        </is>
      </c>
      <c r="BF647" t="inlineStr">
        <is>
          <t>893793728</t>
        </is>
      </c>
    </row>
    <row r="648">
      <c r="A648" t="inlineStr">
        <is>
          <t>No</t>
        </is>
      </c>
      <c r="B648" t="inlineStr">
        <is>
          <t>CURAL</t>
        </is>
      </c>
      <c r="C648" t="inlineStr">
        <is>
          <t>SHELVES</t>
        </is>
      </c>
      <c r="D648" t="inlineStr">
        <is>
          <t>PR2894 .F74 1982</t>
        </is>
      </c>
      <c r="E648" t="inlineStr">
        <is>
          <t>0                      PR 2894000F  74          1982</t>
        </is>
      </c>
      <c r="F648" t="inlineStr">
        <is>
          <t>Shakespeare, the art of the dramatist / Roland Mushat Frye.</t>
        </is>
      </c>
      <c r="H648" t="inlineStr">
        <is>
          <t>No</t>
        </is>
      </c>
      <c r="I648" t="inlineStr">
        <is>
          <t>1</t>
        </is>
      </c>
      <c r="J648" t="inlineStr">
        <is>
          <t>No</t>
        </is>
      </c>
      <c r="K648" t="inlineStr">
        <is>
          <t>No</t>
        </is>
      </c>
      <c r="L648" t="inlineStr">
        <is>
          <t>0</t>
        </is>
      </c>
      <c r="M648" t="inlineStr">
        <is>
          <t>Frye, Roland Mushat.</t>
        </is>
      </c>
      <c r="N648" t="inlineStr">
        <is>
          <t>London ; Boston : Allen &amp; Unwin, 1982.</t>
        </is>
      </c>
      <c r="O648" t="inlineStr">
        <is>
          <t>1982</t>
        </is>
      </c>
      <c r="P648" t="inlineStr">
        <is>
          <t>Rev. ed.</t>
        </is>
      </c>
      <c r="Q648" t="inlineStr">
        <is>
          <t>eng</t>
        </is>
      </c>
      <c r="R648" t="inlineStr">
        <is>
          <t>enk</t>
        </is>
      </c>
      <c r="T648" t="inlineStr">
        <is>
          <t xml:space="preserve">PR </t>
        </is>
      </c>
      <c r="U648" t="n">
        <v>1</v>
      </c>
      <c r="V648" t="n">
        <v>1</v>
      </c>
      <c r="W648" t="inlineStr">
        <is>
          <t>2001-07-12</t>
        </is>
      </c>
      <c r="X648" t="inlineStr">
        <is>
          <t>2001-07-12</t>
        </is>
      </c>
      <c r="Y648" t="inlineStr">
        <is>
          <t>2001-07-12</t>
        </is>
      </c>
      <c r="Z648" t="inlineStr">
        <is>
          <t>2001-07-12</t>
        </is>
      </c>
      <c r="AA648" t="n">
        <v>314</v>
      </c>
      <c r="AB648" t="n">
        <v>206</v>
      </c>
      <c r="AC648" t="n">
        <v>209</v>
      </c>
      <c r="AD648" t="n">
        <v>4</v>
      </c>
      <c r="AE648" t="n">
        <v>4</v>
      </c>
      <c r="AF648" t="n">
        <v>6</v>
      </c>
      <c r="AG648" t="n">
        <v>6</v>
      </c>
      <c r="AH648" t="n">
        <v>2</v>
      </c>
      <c r="AI648" t="n">
        <v>2</v>
      </c>
      <c r="AJ648" t="n">
        <v>0</v>
      </c>
      <c r="AK648" t="n">
        <v>0</v>
      </c>
      <c r="AL648" t="n">
        <v>2</v>
      </c>
      <c r="AM648" t="n">
        <v>2</v>
      </c>
      <c r="AN648" t="n">
        <v>3</v>
      </c>
      <c r="AO648" t="n">
        <v>3</v>
      </c>
      <c r="AP648" t="n">
        <v>0</v>
      </c>
      <c r="AQ648" t="n">
        <v>0</v>
      </c>
      <c r="AR648" t="inlineStr">
        <is>
          <t>No</t>
        </is>
      </c>
      <c r="AS648" t="inlineStr">
        <is>
          <t>No</t>
        </is>
      </c>
      <c r="AU648">
        <f>HYPERLINK("https://creighton-primo.hosted.exlibrisgroup.com/primo-explore/search?tab=default_tab&amp;search_scope=EVERYTHING&amp;vid=01CRU&amp;lang=en_US&amp;offset=0&amp;query=any,contains,991003568109702656","Catalog Record")</f>
        <v/>
      </c>
      <c r="AV648">
        <f>HYPERLINK("http://www.worldcat.org/oclc/8409717","WorldCat Record")</f>
        <v/>
      </c>
      <c r="AW648" t="inlineStr">
        <is>
          <t>1228565:eng</t>
        </is>
      </c>
      <c r="AX648" t="inlineStr">
        <is>
          <t>8409717</t>
        </is>
      </c>
      <c r="AY648" t="inlineStr">
        <is>
          <t>991003568109702656</t>
        </is>
      </c>
      <c r="AZ648" t="inlineStr">
        <is>
          <t>991003568109702656</t>
        </is>
      </c>
      <c r="BA648" t="inlineStr">
        <is>
          <t>2271198370002656</t>
        </is>
      </c>
      <c r="BB648" t="inlineStr">
        <is>
          <t>BOOK</t>
        </is>
      </c>
      <c r="BD648" t="inlineStr">
        <is>
          <t>9780048220431</t>
        </is>
      </c>
      <c r="BE648" t="inlineStr">
        <is>
          <t>32285004332226</t>
        </is>
      </c>
      <c r="BF648" t="inlineStr">
        <is>
          <t>893441434</t>
        </is>
      </c>
    </row>
    <row r="649">
      <c r="A649" t="inlineStr">
        <is>
          <t>No</t>
        </is>
      </c>
      <c r="B649" t="inlineStr">
        <is>
          <t>CURAL</t>
        </is>
      </c>
      <c r="C649" t="inlineStr">
        <is>
          <t>SHELVES</t>
        </is>
      </c>
      <c r="D649" t="inlineStr">
        <is>
          <t>PR2894 .H26 1963</t>
        </is>
      </c>
      <c r="E649" t="inlineStr">
        <is>
          <t>0                      PR 2894000H  26          1963</t>
        </is>
      </c>
      <c r="F649" t="inlineStr">
        <is>
          <t>Shakespeare and his critics / F.E. Halliday.</t>
        </is>
      </c>
      <c r="H649" t="inlineStr">
        <is>
          <t>No</t>
        </is>
      </c>
      <c r="I649" t="inlineStr">
        <is>
          <t>1</t>
        </is>
      </c>
      <c r="J649" t="inlineStr">
        <is>
          <t>No</t>
        </is>
      </c>
      <c r="K649" t="inlineStr">
        <is>
          <t>No</t>
        </is>
      </c>
      <c r="L649" t="inlineStr">
        <is>
          <t>0</t>
        </is>
      </c>
      <c r="M649" t="inlineStr">
        <is>
          <t>Halliday, F. E. (Frank Ernest), 1903-1982.</t>
        </is>
      </c>
      <c r="N649" t="inlineStr">
        <is>
          <t>New York : Schocken Books, [1965, c1958]</t>
        </is>
      </c>
      <c r="O649" t="inlineStr">
        <is>
          <t>1963</t>
        </is>
      </c>
      <c r="P649" t="inlineStr">
        <is>
          <t>1st Schocken pbk. ed.</t>
        </is>
      </c>
      <c r="Q649" t="inlineStr">
        <is>
          <t>eng</t>
        </is>
      </c>
      <c r="R649" t="inlineStr">
        <is>
          <t>nyu</t>
        </is>
      </c>
      <c r="S649" t="inlineStr">
        <is>
          <t>Schocken paperbacks ; SB41</t>
        </is>
      </c>
      <c r="T649" t="inlineStr">
        <is>
          <t xml:space="preserve">PR </t>
        </is>
      </c>
      <c r="U649" t="n">
        <v>1</v>
      </c>
      <c r="V649" t="n">
        <v>1</v>
      </c>
      <c r="W649" t="inlineStr">
        <is>
          <t>2002-04-22</t>
        </is>
      </c>
      <c r="X649" t="inlineStr">
        <is>
          <t>2002-04-22</t>
        </is>
      </c>
      <c r="Y649" t="inlineStr">
        <is>
          <t>2002-04-08</t>
        </is>
      </c>
      <c r="Z649" t="inlineStr">
        <is>
          <t>2002-04-08</t>
        </is>
      </c>
      <c r="AA649" t="n">
        <v>190</v>
      </c>
      <c r="AB649" t="n">
        <v>186</v>
      </c>
      <c r="AC649" t="n">
        <v>768</v>
      </c>
      <c r="AD649" t="n">
        <v>2</v>
      </c>
      <c r="AE649" t="n">
        <v>5</v>
      </c>
      <c r="AF649" t="n">
        <v>12</v>
      </c>
      <c r="AG649" t="n">
        <v>42</v>
      </c>
      <c r="AH649" t="n">
        <v>6</v>
      </c>
      <c r="AI649" t="n">
        <v>20</v>
      </c>
      <c r="AJ649" t="n">
        <v>0</v>
      </c>
      <c r="AK649" t="n">
        <v>9</v>
      </c>
      <c r="AL649" t="n">
        <v>6</v>
      </c>
      <c r="AM649" t="n">
        <v>21</v>
      </c>
      <c r="AN649" t="n">
        <v>1</v>
      </c>
      <c r="AO649" t="n">
        <v>4</v>
      </c>
      <c r="AP649" t="n">
        <v>0</v>
      </c>
      <c r="AQ649" t="n">
        <v>0</v>
      </c>
      <c r="AR649" t="inlineStr">
        <is>
          <t>No</t>
        </is>
      </c>
      <c r="AS649" t="inlineStr">
        <is>
          <t>No</t>
        </is>
      </c>
      <c r="AU649">
        <f>HYPERLINK("https://creighton-primo.hosted.exlibrisgroup.com/primo-explore/search?tab=default_tab&amp;search_scope=EVERYTHING&amp;vid=01CRU&amp;lang=en_US&amp;offset=0&amp;query=any,contains,991003790659702656","Catalog Record")</f>
        <v/>
      </c>
      <c r="AV649">
        <f>HYPERLINK("http://www.worldcat.org/oclc/351894","WorldCat Record")</f>
        <v/>
      </c>
      <c r="AW649" t="inlineStr">
        <is>
          <t>1387437:eng</t>
        </is>
      </c>
      <c r="AX649" t="inlineStr">
        <is>
          <t>351894</t>
        </is>
      </c>
      <c r="AY649" t="inlineStr">
        <is>
          <t>991003790659702656</t>
        </is>
      </c>
      <c r="AZ649" t="inlineStr">
        <is>
          <t>991003790659702656</t>
        </is>
      </c>
      <c r="BA649" t="inlineStr">
        <is>
          <t>2266903240002656</t>
        </is>
      </c>
      <c r="BB649" t="inlineStr">
        <is>
          <t>BOOK</t>
        </is>
      </c>
      <c r="BE649" t="inlineStr">
        <is>
          <t>32285004478227</t>
        </is>
      </c>
      <c r="BF649" t="inlineStr">
        <is>
          <t>893900363</t>
        </is>
      </c>
    </row>
    <row r="650">
      <c r="A650" t="inlineStr">
        <is>
          <t>No</t>
        </is>
      </c>
      <c r="B650" t="inlineStr">
        <is>
          <t>CURAL</t>
        </is>
      </c>
      <c r="C650" t="inlineStr">
        <is>
          <t>SHELVES</t>
        </is>
      </c>
      <c r="D650" t="inlineStr">
        <is>
          <t>PR2894 .H3 1907</t>
        </is>
      </c>
      <c r="E650" t="inlineStr">
        <is>
          <t>0                      PR 2894000H  3           1907</t>
        </is>
      </c>
      <c r="F650" t="inlineStr">
        <is>
          <t>Outlines of the life of Shakespeare, By J.O. Halliwell-Phillips.</t>
        </is>
      </c>
      <c r="G650" t="inlineStr">
        <is>
          <t>V.2</t>
        </is>
      </c>
      <c r="H650" t="inlineStr">
        <is>
          <t>Yes</t>
        </is>
      </c>
      <c r="I650" t="inlineStr">
        <is>
          <t>1</t>
        </is>
      </c>
      <c r="J650" t="inlineStr">
        <is>
          <t>No</t>
        </is>
      </c>
      <c r="K650" t="inlineStr">
        <is>
          <t>No</t>
        </is>
      </c>
      <c r="L650" t="inlineStr">
        <is>
          <t>0</t>
        </is>
      </c>
      <c r="M650" t="inlineStr">
        <is>
          <t>Halliwell-Phillipps, J. O. (James Orchard), 1820-1889.</t>
        </is>
      </c>
      <c r="N650" t="inlineStr">
        <is>
          <t>London, Longmans, Green, and co, 1907.</t>
        </is>
      </c>
      <c r="O650" t="inlineStr">
        <is>
          <t>1907</t>
        </is>
      </c>
      <c r="P650" t="inlineStr">
        <is>
          <t>(11th impression)</t>
        </is>
      </c>
      <c r="Q650" t="inlineStr">
        <is>
          <t>eng</t>
        </is>
      </c>
      <c r="R650" t="inlineStr">
        <is>
          <t>enk</t>
        </is>
      </c>
      <c r="T650" t="inlineStr">
        <is>
          <t xml:space="preserve">PR </t>
        </is>
      </c>
      <c r="U650" t="n">
        <v>0</v>
      </c>
      <c r="V650" t="n">
        <v>3</v>
      </c>
      <c r="X650" t="inlineStr">
        <is>
          <t>1999-09-15</t>
        </is>
      </c>
      <c r="Y650" t="inlineStr">
        <is>
          <t>1997-07-31</t>
        </is>
      </c>
      <c r="Z650" t="inlineStr">
        <is>
          <t>1997-07-31</t>
        </is>
      </c>
      <c r="AA650" t="n">
        <v>21</v>
      </c>
      <c r="AB650" t="n">
        <v>16</v>
      </c>
      <c r="AC650" t="n">
        <v>428</v>
      </c>
      <c r="AD650" t="n">
        <v>1</v>
      </c>
      <c r="AE650" t="n">
        <v>4</v>
      </c>
      <c r="AF650" t="n">
        <v>1</v>
      </c>
      <c r="AG650" t="n">
        <v>26</v>
      </c>
      <c r="AH650" t="n">
        <v>1</v>
      </c>
      <c r="AI650" t="n">
        <v>8</v>
      </c>
      <c r="AJ650" t="n">
        <v>0</v>
      </c>
      <c r="AK650" t="n">
        <v>7</v>
      </c>
      <c r="AL650" t="n">
        <v>0</v>
      </c>
      <c r="AM650" t="n">
        <v>15</v>
      </c>
      <c r="AN650" t="n">
        <v>0</v>
      </c>
      <c r="AO650" t="n">
        <v>3</v>
      </c>
      <c r="AP650" t="n">
        <v>0</v>
      </c>
      <c r="AQ650" t="n">
        <v>0</v>
      </c>
      <c r="AR650" t="inlineStr">
        <is>
          <t>Yes</t>
        </is>
      </c>
      <c r="AS650" t="inlineStr">
        <is>
          <t>No</t>
        </is>
      </c>
      <c r="AT650">
        <f>HYPERLINK("http://catalog.hathitrust.org/Record/008683411","HathiTrust Record")</f>
        <v/>
      </c>
      <c r="AU650">
        <f>HYPERLINK("https://creighton-primo.hosted.exlibrisgroup.com/primo-explore/search?tab=default_tab&amp;search_scope=EVERYTHING&amp;vid=01CRU&amp;lang=en_US&amp;offset=0&amp;query=any,contains,991001674479702656","Catalog Record")</f>
        <v/>
      </c>
      <c r="AV650">
        <f>HYPERLINK("http://www.worldcat.org/oclc/21314696","WorldCat Record")</f>
        <v/>
      </c>
      <c r="AW650" t="inlineStr">
        <is>
          <t>4928569894:eng</t>
        </is>
      </c>
      <c r="AX650" t="inlineStr">
        <is>
          <t>21314696</t>
        </is>
      </c>
      <c r="AY650" t="inlineStr">
        <is>
          <t>991001674479702656</t>
        </is>
      </c>
      <c r="AZ650" t="inlineStr">
        <is>
          <t>991001674479702656</t>
        </is>
      </c>
      <c r="BA650" t="inlineStr">
        <is>
          <t>2264297050002656</t>
        </is>
      </c>
      <c r="BB650" t="inlineStr">
        <is>
          <t>BOOK</t>
        </is>
      </c>
      <c r="BE650" t="inlineStr">
        <is>
          <t>32285002998226</t>
        </is>
      </c>
      <c r="BF650" t="inlineStr">
        <is>
          <t>893433026</t>
        </is>
      </c>
    </row>
    <row r="651">
      <c r="A651" t="inlineStr">
        <is>
          <t>No</t>
        </is>
      </c>
      <c r="B651" t="inlineStr">
        <is>
          <t>CURAL</t>
        </is>
      </c>
      <c r="C651" t="inlineStr">
        <is>
          <t>SHELVES</t>
        </is>
      </c>
      <c r="D651" t="inlineStr">
        <is>
          <t>PR2894 .H3 1907</t>
        </is>
      </c>
      <c r="E651" t="inlineStr">
        <is>
          <t>0                      PR 2894000H  3           1907</t>
        </is>
      </c>
      <c r="F651" t="inlineStr">
        <is>
          <t>Outlines of the life of Shakespeare, By J.O. Halliwell-Phillips.</t>
        </is>
      </c>
      <c r="G651" t="inlineStr">
        <is>
          <t>V.1</t>
        </is>
      </c>
      <c r="H651" t="inlineStr">
        <is>
          <t>Yes</t>
        </is>
      </c>
      <c r="I651" t="inlineStr">
        <is>
          <t>1</t>
        </is>
      </c>
      <c r="J651" t="inlineStr">
        <is>
          <t>No</t>
        </is>
      </c>
      <c r="K651" t="inlineStr">
        <is>
          <t>No</t>
        </is>
      </c>
      <c r="L651" t="inlineStr">
        <is>
          <t>0</t>
        </is>
      </c>
      <c r="M651" t="inlineStr">
        <is>
          <t>Halliwell-Phillipps, J. O. (James Orchard), 1820-1889.</t>
        </is>
      </c>
      <c r="N651" t="inlineStr">
        <is>
          <t>London, Longmans, Green, and co, 1907.</t>
        </is>
      </c>
      <c r="O651" t="inlineStr">
        <is>
          <t>1907</t>
        </is>
      </c>
      <c r="P651" t="inlineStr">
        <is>
          <t>(11th impression)</t>
        </is>
      </c>
      <c r="Q651" t="inlineStr">
        <is>
          <t>eng</t>
        </is>
      </c>
      <c r="R651" t="inlineStr">
        <is>
          <t>enk</t>
        </is>
      </c>
      <c r="T651" t="inlineStr">
        <is>
          <t xml:space="preserve">PR </t>
        </is>
      </c>
      <c r="U651" t="n">
        <v>3</v>
      </c>
      <c r="V651" t="n">
        <v>3</v>
      </c>
      <c r="W651" t="inlineStr">
        <is>
          <t>1999-09-15</t>
        </is>
      </c>
      <c r="X651" t="inlineStr">
        <is>
          <t>1999-09-15</t>
        </is>
      </c>
      <c r="Y651" t="inlineStr">
        <is>
          <t>1997-07-31</t>
        </is>
      </c>
      <c r="Z651" t="inlineStr">
        <is>
          <t>1997-07-31</t>
        </is>
      </c>
      <c r="AA651" t="n">
        <v>21</v>
      </c>
      <c r="AB651" t="n">
        <v>16</v>
      </c>
      <c r="AC651" t="n">
        <v>428</v>
      </c>
      <c r="AD651" t="n">
        <v>1</v>
      </c>
      <c r="AE651" t="n">
        <v>4</v>
      </c>
      <c r="AF651" t="n">
        <v>1</v>
      </c>
      <c r="AG651" t="n">
        <v>26</v>
      </c>
      <c r="AH651" t="n">
        <v>1</v>
      </c>
      <c r="AI651" t="n">
        <v>8</v>
      </c>
      <c r="AJ651" t="n">
        <v>0</v>
      </c>
      <c r="AK651" t="n">
        <v>7</v>
      </c>
      <c r="AL651" t="n">
        <v>0</v>
      </c>
      <c r="AM651" t="n">
        <v>15</v>
      </c>
      <c r="AN651" t="n">
        <v>0</v>
      </c>
      <c r="AO651" t="n">
        <v>3</v>
      </c>
      <c r="AP651" t="n">
        <v>0</v>
      </c>
      <c r="AQ651" t="n">
        <v>0</v>
      </c>
      <c r="AR651" t="inlineStr">
        <is>
          <t>Yes</t>
        </is>
      </c>
      <c r="AS651" t="inlineStr">
        <is>
          <t>No</t>
        </is>
      </c>
      <c r="AT651">
        <f>HYPERLINK("http://catalog.hathitrust.org/Record/008683411","HathiTrust Record")</f>
        <v/>
      </c>
      <c r="AU651">
        <f>HYPERLINK("https://creighton-primo.hosted.exlibrisgroup.com/primo-explore/search?tab=default_tab&amp;search_scope=EVERYTHING&amp;vid=01CRU&amp;lang=en_US&amp;offset=0&amp;query=any,contains,991001674479702656","Catalog Record")</f>
        <v/>
      </c>
      <c r="AV651">
        <f>HYPERLINK("http://www.worldcat.org/oclc/21314696","WorldCat Record")</f>
        <v/>
      </c>
      <c r="AW651" t="inlineStr">
        <is>
          <t>4928569894:eng</t>
        </is>
      </c>
      <c r="AX651" t="inlineStr">
        <is>
          <t>21314696</t>
        </is>
      </c>
      <c r="AY651" t="inlineStr">
        <is>
          <t>991001674479702656</t>
        </is>
      </c>
      <c r="AZ651" t="inlineStr">
        <is>
          <t>991001674479702656</t>
        </is>
      </c>
      <c r="BA651" t="inlineStr">
        <is>
          <t>2264297050002656</t>
        </is>
      </c>
      <c r="BB651" t="inlineStr">
        <is>
          <t>BOOK</t>
        </is>
      </c>
      <c r="BE651" t="inlineStr">
        <is>
          <t>32285002998218</t>
        </is>
      </c>
      <c r="BF651" t="inlineStr">
        <is>
          <t>893420510</t>
        </is>
      </c>
    </row>
    <row r="652">
      <c r="A652" t="inlineStr">
        <is>
          <t>No</t>
        </is>
      </c>
      <c r="B652" t="inlineStr">
        <is>
          <t>CURAL</t>
        </is>
      </c>
      <c r="C652" t="inlineStr">
        <is>
          <t>SHELVES</t>
        </is>
      </c>
      <c r="D652" t="inlineStr">
        <is>
          <t>PR2894 .K34 1992b</t>
        </is>
      </c>
      <c r="E652" t="inlineStr">
        <is>
          <t>0                      PR 2894000K  34          1992b</t>
        </is>
      </c>
      <c r="F652" t="inlineStr">
        <is>
          <t>Shakespeare : his life, work and era / Dennis Kay.</t>
        </is>
      </c>
      <c r="H652" t="inlineStr">
        <is>
          <t>No</t>
        </is>
      </c>
      <c r="I652" t="inlineStr">
        <is>
          <t>1</t>
        </is>
      </c>
      <c r="J652" t="inlineStr">
        <is>
          <t>No</t>
        </is>
      </c>
      <c r="K652" t="inlineStr">
        <is>
          <t>No</t>
        </is>
      </c>
      <c r="L652" t="inlineStr">
        <is>
          <t>0</t>
        </is>
      </c>
      <c r="M652" t="inlineStr">
        <is>
          <t>Kay, Dennis.</t>
        </is>
      </c>
      <c r="N652" t="inlineStr">
        <is>
          <t>London : Sidgwick &amp; Jackson, 1992.</t>
        </is>
      </c>
      <c r="O652" t="inlineStr">
        <is>
          <t>1992</t>
        </is>
      </c>
      <c r="Q652" t="inlineStr">
        <is>
          <t>eng</t>
        </is>
      </c>
      <c r="R652" t="inlineStr">
        <is>
          <t>enk</t>
        </is>
      </c>
      <c r="T652" t="inlineStr">
        <is>
          <t xml:space="preserve">PR </t>
        </is>
      </c>
      <c r="U652" t="n">
        <v>3</v>
      </c>
      <c r="V652" t="n">
        <v>3</v>
      </c>
      <c r="W652" t="inlineStr">
        <is>
          <t>2007-11-25</t>
        </is>
      </c>
      <c r="X652" t="inlineStr">
        <is>
          <t>2007-11-25</t>
        </is>
      </c>
      <c r="Y652" t="inlineStr">
        <is>
          <t>1993-01-04</t>
        </is>
      </c>
      <c r="Z652" t="inlineStr">
        <is>
          <t>1993-01-04</t>
        </is>
      </c>
      <c r="AA652" t="n">
        <v>158</v>
      </c>
      <c r="AB652" t="n">
        <v>51</v>
      </c>
      <c r="AC652" t="n">
        <v>917</v>
      </c>
      <c r="AD652" t="n">
        <v>1</v>
      </c>
      <c r="AE652" t="n">
        <v>8</v>
      </c>
      <c r="AF652" t="n">
        <v>1</v>
      </c>
      <c r="AG652" t="n">
        <v>27</v>
      </c>
      <c r="AH652" t="n">
        <v>0</v>
      </c>
      <c r="AI652" t="n">
        <v>10</v>
      </c>
      <c r="AJ652" t="n">
        <v>0</v>
      </c>
      <c r="AK652" t="n">
        <v>4</v>
      </c>
      <c r="AL652" t="n">
        <v>1</v>
      </c>
      <c r="AM652" t="n">
        <v>14</v>
      </c>
      <c r="AN652" t="n">
        <v>0</v>
      </c>
      <c r="AO652" t="n">
        <v>5</v>
      </c>
      <c r="AP652" t="n">
        <v>0</v>
      </c>
      <c r="AQ652" t="n">
        <v>0</v>
      </c>
      <c r="AR652" t="inlineStr">
        <is>
          <t>No</t>
        </is>
      </c>
      <c r="AS652" t="inlineStr">
        <is>
          <t>Yes</t>
        </is>
      </c>
      <c r="AT652">
        <f>HYPERLINK("http://catalog.hathitrust.org/Record/002566853","HathiTrust Record")</f>
        <v/>
      </c>
      <c r="AU652">
        <f>HYPERLINK("https://creighton-primo.hosted.exlibrisgroup.com/primo-explore/search?tab=default_tab&amp;search_scope=EVERYTHING&amp;vid=01CRU&amp;lang=en_US&amp;offset=0&amp;query=any,contains,991002031049702656","Catalog Record")</f>
        <v/>
      </c>
      <c r="AV652">
        <f>HYPERLINK("http://www.worldcat.org/oclc/25853670","WorldCat Record")</f>
        <v/>
      </c>
      <c r="AW652" t="inlineStr">
        <is>
          <t>28450954:eng</t>
        </is>
      </c>
      <c r="AX652" t="inlineStr">
        <is>
          <t>25853670</t>
        </is>
      </c>
      <c r="AY652" t="inlineStr">
        <is>
          <t>991002031049702656</t>
        </is>
      </c>
      <c r="AZ652" t="inlineStr">
        <is>
          <t>991002031049702656</t>
        </is>
      </c>
      <c r="BA652" t="inlineStr">
        <is>
          <t>2256926830002656</t>
        </is>
      </c>
      <c r="BB652" t="inlineStr">
        <is>
          <t>BOOK</t>
        </is>
      </c>
      <c r="BD652" t="inlineStr">
        <is>
          <t>9780283998782</t>
        </is>
      </c>
      <c r="BE652" t="inlineStr">
        <is>
          <t>32285001403962</t>
        </is>
      </c>
      <c r="BF652" t="inlineStr">
        <is>
          <t>893697265</t>
        </is>
      </c>
    </row>
    <row r="653">
      <c r="A653" t="inlineStr">
        <is>
          <t>No</t>
        </is>
      </c>
      <c r="B653" t="inlineStr">
        <is>
          <t>CURAL</t>
        </is>
      </c>
      <c r="C653" t="inlineStr">
        <is>
          <t>SHELVES</t>
        </is>
      </c>
      <c r="D653" t="inlineStr">
        <is>
          <t>PR2894 .R5 1969</t>
        </is>
      </c>
      <c r="E653" t="inlineStr">
        <is>
          <t>0                      PR 2894000R  5           1969</t>
        </is>
      </c>
      <c r="F653" t="inlineStr">
        <is>
          <t>William Shakespeare : an introduction to his life, times, and theatre / Irving Ribner.</t>
        </is>
      </c>
      <c r="H653" t="inlineStr">
        <is>
          <t>No</t>
        </is>
      </c>
      <c r="I653" t="inlineStr">
        <is>
          <t>1</t>
        </is>
      </c>
      <c r="J653" t="inlineStr">
        <is>
          <t>No</t>
        </is>
      </c>
      <c r="K653" t="inlineStr">
        <is>
          <t>No</t>
        </is>
      </c>
      <c r="L653" t="inlineStr">
        <is>
          <t>0</t>
        </is>
      </c>
      <c r="M653" t="inlineStr">
        <is>
          <t>Ribner, Irving.</t>
        </is>
      </c>
      <c r="N653" t="inlineStr">
        <is>
          <t>Waltham, Mass. : Blaisdell Pub. Co., [1969]</t>
        </is>
      </c>
      <c r="O653" t="inlineStr">
        <is>
          <t>1969</t>
        </is>
      </c>
      <c r="Q653" t="inlineStr">
        <is>
          <t>eng</t>
        </is>
      </c>
      <c r="R653" t="inlineStr">
        <is>
          <t>mau</t>
        </is>
      </c>
      <c r="S653" t="inlineStr">
        <is>
          <t>A Blaisdell book in the humanities</t>
        </is>
      </c>
      <c r="T653" t="inlineStr">
        <is>
          <t xml:space="preserve">PR </t>
        </is>
      </c>
      <c r="U653" t="n">
        <v>1</v>
      </c>
      <c r="V653" t="n">
        <v>1</v>
      </c>
      <c r="W653" t="inlineStr">
        <is>
          <t>2004-12-15</t>
        </is>
      </c>
      <c r="X653" t="inlineStr">
        <is>
          <t>2004-12-15</t>
        </is>
      </c>
      <c r="Y653" t="inlineStr">
        <is>
          <t>2004-12-15</t>
        </is>
      </c>
      <c r="Z653" t="inlineStr">
        <is>
          <t>2004-12-15</t>
        </is>
      </c>
      <c r="AA653" t="n">
        <v>345</v>
      </c>
      <c r="AB653" t="n">
        <v>300</v>
      </c>
      <c r="AC653" t="n">
        <v>300</v>
      </c>
      <c r="AD653" t="n">
        <v>3</v>
      </c>
      <c r="AE653" t="n">
        <v>3</v>
      </c>
      <c r="AF653" t="n">
        <v>13</v>
      </c>
      <c r="AG653" t="n">
        <v>13</v>
      </c>
      <c r="AH653" t="n">
        <v>5</v>
      </c>
      <c r="AI653" t="n">
        <v>5</v>
      </c>
      <c r="AJ653" t="n">
        <v>3</v>
      </c>
      <c r="AK653" t="n">
        <v>3</v>
      </c>
      <c r="AL653" t="n">
        <v>8</v>
      </c>
      <c r="AM653" t="n">
        <v>8</v>
      </c>
      <c r="AN653" t="n">
        <v>2</v>
      </c>
      <c r="AO653" t="n">
        <v>2</v>
      </c>
      <c r="AP653" t="n">
        <v>0</v>
      </c>
      <c r="AQ653" t="n">
        <v>0</v>
      </c>
      <c r="AR653" t="inlineStr">
        <is>
          <t>No</t>
        </is>
      </c>
      <c r="AS653" t="inlineStr">
        <is>
          <t>No</t>
        </is>
      </c>
      <c r="AU653">
        <f>HYPERLINK("https://creighton-primo.hosted.exlibrisgroup.com/primo-explore/search?tab=default_tab&amp;search_scope=EVERYTHING&amp;vid=01CRU&amp;lang=en_US&amp;offset=0&amp;query=any,contains,991004438269702656","Catalog Record")</f>
        <v/>
      </c>
      <c r="AV653">
        <f>HYPERLINK("http://www.worldcat.org/oclc/4028","WorldCat Record")</f>
        <v/>
      </c>
      <c r="AW653" t="inlineStr">
        <is>
          <t>1127531:eng</t>
        </is>
      </c>
      <c r="AX653" t="inlineStr">
        <is>
          <t>4028</t>
        </is>
      </c>
      <c r="AY653" t="inlineStr">
        <is>
          <t>991004438269702656</t>
        </is>
      </c>
      <c r="AZ653" t="inlineStr">
        <is>
          <t>991004438269702656</t>
        </is>
      </c>
      <c r="BA653" t="inlineStr">
        <is>
          <t>2266248920002656</t>
        </is>
      </c>
      <c r="BB653" t="inlineStr">
        <is>
          <t>BOOK</t>
        </is>
      </c>
      <c r="BE653" t="inlineStr">
        <is>
          <t>32285005017818</t>
        </is>
      </c>
      <c r="BF653" t="inlineStr">
        <is>
          <t>893500570</t>
        </is>
      </c>
    </row>
    <row r="654">
      <c r="A654" t="inlineStr">
        <is>
          <t>No</t>
        </is>
      </c>
      <c r="B654" t="inlineStr">
        <is>
          <t>CURAL</t>
        </is>
      </c>
      <c r="C654" t="inlineStr">
        <is>
          <t>SHELVES</t>
        </is>
      </c>
      <c r="D654" t="inlineStr">
        <is>
          <t>PR2894 .S33 1977</t>
        </is>
      </c>
      <c r="E654" t="inlineStr">
        <is>
          <t>0                      PR 2894000S  33          1977</t>
        </is>
      </c>
      <c r="F654" t="inlineStr">
        <is>
          <t>William Shakespeare : a compact documentary life / S. Schoenbaum.</t>
        </is>
      </c>
      <c r="H654" t="inlineStr">
        <is>
          <t>No</t>
        </is>
      </c>
      <c r="I654" t="inlineStr">
        <is>
          <t>1</t>
        </is>
      </c>
      <c r="J654" t="inlineStr">
        <is>
          <t>No</t>
        </is>
      </c>
      <c r="K654" t="inlineStr">
        <is>
          <t>No</t>
        </is>
      </c>
      <c r="L654" t="inlineStr">
        <is>
          <t>0</t>
        </is>
      </c>
      <c r="M654" t="inlineStr">
        <is>
          <t>Schoenbaum, S. (Samuel), 1927-1996.</t>
        </is>
      </c>
      <c r="N654" t="inlineStr">
        <is>
          <t>New York : Oxford University Press, 1977.</t>
        </is>
      </c>
      <c r="O654" t="inlineStr">
        <is>
          <t>1977</t>
        </is>
      </c>
      <c r="Q654" t="inlineStr">
        <is>
          <t>eng</t>
        </is>
      </c>
      <c r="R654" t="inlineStr">
        <is>
          <t>nyu</t>
        </is>
      </c>
      <c r="T654" t="inlineStr">
        <is>
          <t xml:space="preserve">PR </t>
        </is>
      </c>
      <c r="U654" t="n">
        <v>3</v>
      </c>
      <c r="V654" t="n">
        <v>3</v>
      </c>
      <c r="W654" t="inlineStr">
        <is>
          <t>2002-11-08</t>
        </is>
      </c>
      <c r="X654" t="inlineStr">
        <is>
          <t>2002-11-08</t>
        </is>
      </c>
      <c r="Y654" t="inlineStr">
        <is>
          <t>1997-07-31</t>
        </is>
      </c>
      <c r="Z654" t="inlineStr">
        <is>
          <t>1997-07-31</t>
        </is>
      </c>
      <c r="AA654" t="n">
        <v>1289</v>
      </c>
      <c r="AB654" t="n">
        <v>1154</v>
      </c>
      <c r="AC654" t="n">
        <v>1831</v>
      </c>
      <c r="AD654" t="n">
        <v>8</v>
      </c>
      <c r="AE654" t="n">
        <v>12</v>
      </c>
      <c r="AF654" t="n">
        <v>45</v>
      </c>
      <c r="AG654" t="n">
        <v>59</v>
      </c>
      <c r="AH654" t="n">
        <v>22</v>
      </c>
      <c r="AI654" t="n">
        <v>27</v>
      </c>
      <c r="AJ654" t="n">
        <v>10</v>
      </c>
      <c r="AK654" t="n">
        <v>11</v>
      </c>
      <c r="AL654" t="n">
        <v>19</v>
      </c>
      <c r="AM654" t="n">
        <v>27</v>
      </c>
      <c r="AN654" t="n">
        <v>6</v>
      </c>
      <c r="AO654" t="n">
        <v>8</v>
      </c>
      <c r="AP654" t="n">
        <v>0</v>
      </c>
      <c r="AQ654" t="n">
        <v>0</v>
      </c>
      <c r="AR654" t="inlineStr">
        <is>
          <t>No</t>
        </is>
      </c>
      <c r="AS654" t="inlineStr">
        <is>
          <t>No</t>
        </is>
      </c>
      <c r="AU654">
        <f>HYPERLINK("https://creighton-primo.hosted.exlibrisgroup.com/primo-explore/search?tab=default_tab&amp;search_scope=EVERYTHING&amp;vid=01CRU&amp;lang=en_US&amp;offset=0&amp;query=any,contains,991004273809702656","Catalog Record")</f>
        <v/>
      </c>
      <c r="AV654">
        <f>HYPERLINK("http://www.worldcat.org/oclc/2887377","WorldCat Record")</f>
        <v/>
      </c>
      <c r="AW654" t="inlineStr">
        <is>
          <t>16286:eng</t>
        </is>
      </c>
      <c r="AX654" t="inlineStr">
        <is>
          <t>2887377</t>
        </is>
      </c>
      <c r="AY654" t="inlineStr">
        <is>
          <t>991004273809702656</t>
        </is>
      </c>
      <c r="AZ654" t="inlineStr">
        <is>
          <t>991004273809702656</t>
        </is>
      </c>
      <c r="BA654" t="inlineStr">
        <is>
          <t>2259696330002656</t>
        </is>
      </c>
      <c r="BB654" t="inlineStr">
        <is>
          <t>BOOK</t>
        </is>
      </c>
      <c r="BD654" t="inlineStr">
        <is>
          <t>9780195022117</t>
        </is>
      </c>
      <c r="BE654" t="inlineStr">
        <is>
          <t>32285002998424</t>
        </is>
      </c>
      <c r="BF654" t="inlineStr">
        <is>
          <t>893593487</t>
        </is>
      </c>
    </row>
    <row r="655">
      <c r="A655" t="inlineStr">
        <is>
          <t>No</t>
        </is>
      </c>
      <c r="B655" t="inlineStr">
        <is>
          <t>CURAL</t>
        </is>
      </c>
      <c r="C655" t="inlineStr">
        <is>
          <t>SHELVES</t>
        </is>
      </c>
      <c r="D655" t="inlineStr">
        <is>
          <t>PR2894 .W4</t>
        </is>
      </c>
      <c r="E655" t="inlineStr">
        <is>
          <t>0                      PR 2894000W  4</t>
        </is>
      </c>
      <c r="F655" t="inlineStr">
        <is>
          <t>William Shakspere, a study in Elizabethan literature, by Barrett Wendell.</t>
        </is>
      </c>
      <c r="H655" t="inlineStr">
        <is>
          <t>No</t>
        </is>
      </c>
      <c r="I655" t="inlineStr">
        <is>
          <t>1</t>
        </is>
      </c>
      <c r="J655" t="inlineStr">
        <is>
          <t>No</t>
        </is>
      </c>
      <c r="K655" t="inlineStr">
        <is>
          <t>No</t>
        </is>
      </c>
      <c r="L655" t="inlineStr">
        <is>
          <t>0</t>
        </is>
      </c>
      <c r="M655" t="inlineStr">
        <is>
          <t>Wendell, Barrett, 1855-1921.</t>
        </is>
      </c>
      <c r="N655" t="inlineStr">
        <is>
          <t>New York, C. Scribner's sons, 1894.</t>
        </is>
      </c>
      <c r="O655" t="inlineStr">
        <is>
          <t>1894</t>
        </is>
      </c>
      <c r="Q655" t="inlineStr">
        <is>
          <t>eng</t>
        </is>
      </c>
      <c r="R655" t="inlineStr">
        <is>
          <t>nyu</t>
        </is>
      </c>
      <c r="T655" t="inlineStr">
        <is>
          <t xml:space="preserve">PR </t>
        </is>
      </c>
      <c r="U655" t="n">
        <v>1</v>
      </c>
      <c r="V655" t="n">
        <v>1</v>
      </c>
      <c r="W655" t="inlineStr">
        <is>
          <t>2006-11-03</t>
        </is>
      </c>
      <c r="X655" t="inlineStr">
        <is>
          <t>2006-11-03</t>
        </is>
      </c>
      <c r="Y655" t="inlineStr">
        <is>
          <t>1997-07-31</t>
        </is>
      </c>
      <c r="Z655" t="inlineStr">
        <is>
          <t>1997-07-31</t>
        </is>
      </c>
      <c r="AA655" t="n">
        <v>212</v>
      </c>
      <c r="AB655" t="n">
        <v>205</v>
      </c>
      <c r="AC655" t="n">
        <v>450</v>
      </c>
      <c r="AD655" t="n">
        <v>2</v>
      </c>
      <c r="AE655" t="n">
        <v>5</v>
      </c>
      <c r="AF655" t="n">
        <v>10</v>
      </c>
      <c r="AG655" t="n">
        <v>24</v>
      </c>
      <c r="AH655" t="n">
        <v>5</v>
      </c>
      <c r="AI655" t="n">
        <v>10</v>
      </c>
      <c r="AJ655" t="n">
        <v>1</v>
      </c>
      <c r="AK655" t="n">
        <v>5</v>
      </c>
      <c r="AL655" t="n">
        <v>7</v>
      </c>
      <c r="AM655" t="n">
        <v>11</v>
      </c>
      <c r="AN655" t="n">
        <v>1</v>
      </c>
      <c r="AO655" t="n">
        <v>4</v>
      </c>
      <c r="AP655" t="n">
        <v>0</v>
      </c>
      <c r="AQ655" t="n">
        <v>0</v>
      </c>
      <c r="AR655" t="inlineStr">
        <is>
          <t>Yes</t>
        </is>
      </c>
      <c r="AS655" t="inlineStr">
        <is>
          <t>No</t>
        </is>
      </c>
      <c r="AT655">
        <f>HYPERLINK("http://catalog.hathitrust.org/Record/000556833","HathiTrust Record")</f>
        <v/>
      </c>
      <c r="AU655">
        <f>HYPERLINK("https://creighton-primo.hosted.exlibrisgroup.com/primo-explore/search?tab=default_tab&amp;search_scope=EVERYTHING&amp;vid=01CRU&amp;lang=en_US&amp;offset=0&amp;query=any,contains,991002451169702656","Catalog Record")</f>
        <v/>
      </c>
      <c r="AV655">
        <f>HYPERLINK("http://www.worldcat.org/oclc/352854","WorldCat Record")</f>
        <v/>
      </c>
      <c r="AW655" t="inlineStr">
        <is>
          <t>474877:eng</t>
        </is>
      </c>
      <c r="AX655" t="inlineStr">
        <is>
          <t>352854</t>
        </is>
      </c>
      <c r="AY655" t="inlineStr">
        <is>
          <t>991002451169702656</t>
        </is>
      </c>
      <c r="AZ655" t="inlineStr">
        <is>
          <t>991002451169702656</t>
        </is>
      </c>
      <c r="BA655" t="inlineStr">
        <is>
          <t>2267785800002656</t>
        </is>
      </c>
      <c r="BB655" t="inlineStr">
        <is>
          <t>BOOK</t>
        </is>
      </c>
      <c r="BE655" t="inlineStr">
        <is>
          <t>32285002998473</t>
        </is>
      </c>
      <c r="BF655" t="inlineStr">
        <is>
          <t>893239062</t>
        </is>
      </c>
    </row>
    <row r="656">
      <c r="A656" t="inlineStr">
        <is>
          <t>No</t>
        </is>
      </c>
      <c r="B656" t="inlineStr">
        <is>
          <t>CURAL</t>
        </is>
      </c>
      <c r="C656" t="inlineStr">
        <is>
          <t>SHELVES</t>
        </is>
      </c>
      <c r="D656" t="inlineStr">
        <is>
          <t>PR2894 .W569 1994</t>
        </is>
      </c>
      <c r="E656" t="inlineStr">
        <is>
          <t>0                      PR 2894000W  569         1994</t>
        </is>
      </c>
      <c r="F656" t="inlineStr">
        <is>
          <t>Shakespeare, the evidence : unlocking the mysteries of the man and his work / Ian Wilson.</t>
        </is>
      </c>
      <c r="H656" t="inlineStr">
        <is>
          <t>No</t>
        </is>
      </c>
      <c r="I656" t="inlineStr">
        <is>
          <t>1</t>
        </is>
      </c>
      <c r="J656" t="inlineStr">
        <is>
          <t>No</t>
        </is>
      </c>
      <c r="K656" t="inlineStr">
        <is>
          <t>No</t>
        </is>
      </c>
      <c r="L656" t="inlineStr">
        <is>
          <t>0</t>
        </is>
      </c>
      <c r="M656" t="inlineStr">
        <is>
          <t>Wilson, Ian, 1941-</t>
        </is>
      </c>
      <c r="N656" t="inlineStr">
        <is>
          <t>New York : St. Martin's Press, 1994, c1993.</t>
        </is>
      </c>
      <c r="O656" t="inlineStr">
        <is>
          <t>1994</t>
        </is>
      </c>
      <c r="P656" t="inlineStr">
        <is>
          <t>1st U.S. ed.</t>
        </is>
      </c>
      <c r="Q656" t="inlineStr">
        <is>
          <t>eng</t>
        </is>
      </c>
      <c r="R656" t="inlineStr">
        <is>
          <t>nyu</t>
        </is>
      </c>
      <c r="T656" t="inlineStr">
        <is>
          <t xml:space="preserve">PR </t>
        </is>
      </c>
      <c r="U656" t="n">
        <v>3</v>
      </c>
      <c r="V656" t="n">
        <v>3</v>
      </c>
      <c r="W656" t="inlineStr">
        <is>
          <t>2010-09-02</t>
        </is>
      </c>
      <c r="X656" t="inlineStr">
        <is>
          <t>2010-09-02</t>
        </is>
      </c>
      <c r="Y656" t="inlineStr">
        <is>
          <t>1995-05-31</t>
        </is>
      </c>
      <c r="Z656" t="inlineStr">
        <is>
          <t>1995-05-31</t>
        </is>
      </c>
      <c r="AA656" t="n">
        <v>545</v>
      </c>
      <c r="AB656" t="n">
        <v>535</v>
      </c>
      <c r="AC656" t="n">
        <v>652</v>
      </c>
      <c r="AD656" t="n">
        <v>5</v>
      </c>
      <c r="AE656" t="n">
        <v>5</v>
      </c>
      <c r="AF656" t="n">
        <v>17</v>
      </c>
      <c r="AG656" t="n">
        <v>22</v>
      </c>
      <c r="AH656" t="n">
        <v>7</v>
      </c>
      <c r="AI656" t="n">
        <v>8</v>
      </c>
      <c r="AJ656" t="n">
        <v>4</v>
      </c>
      <c r="AK656" t="n">
        <v>5</v>
      </c>
      <c r="AL656" t="n">
        <v>9</v>
      </c>
      <c r="AM656" t="n">
        <v>12</v>
      </c>
      <c r="AN656" t="n">
        <v>2</v>
      </c>
      <c r="AO656" t="n">
        <v>2</v>
      </c>
      <c r="AP656" t="n">
        <v>0</v>
      </c>
      <c r="AQ656" t="n">
        <v>0</v>
      </c>
      <c r="AR656" t="inlineStr">
        <is>
          <t>No</t>
        </is>
      </c>
      <c r="AS656" t="inlineStr">
        <is>
          <t>No</t>
        </is>
      </c>
      <c r="AU656">
        <f>HYPERLINK("https://creighton-primo.hosted.exlibrisgroup.com/primo-explore/search?tab=default_tab&amp;search_scope=EVERYTHING&amp;vid=01CRU&amp;lang=en_US&amp;offset=0&amp;query=any,contains,991002390109702656","Catalog Record")</f>
        <v/>
      </c>
      <c r="AV656">
        <f>HYPERLINK("http://www.worldcat.org/oclc/31045518","WorldCat Record")</f>
        <v/>
      </c>
      <c r="AW656" t="inlineStr">
        <is>
          <t>23683694:eng</t>
        </is>
      </c>
      <c r="AX656" t="inlineStr">
        <is>
          <t>31045518</t>
        </is>
      </c>
      <c r="AY656" t="inlineStr">
        <is>
          <t>991002390109702656</t>
        </is>
      </c>
      <c r="AZ656" t="inlineStr">
        <is>
          <t>991002390109702656</t>
        </is>
      </c>
      <c r="BA656" t="inlineStr">
        <is>
          <t>2264234590002656</t>
        </is>
      </c>
      <c r="BB656" t="inlineStr">
        <is>
          <t>BOOK</t>
        </is>
      </c>
      <c r="BD656" t="inlineStr">
        <is>
          <t>9780312113353</t>
        </is>
      </c>
      <c r="BE656" t="inlineStr">
        <is>
          <t>32285002048675</t>
        </is>
      </c>
      <c r="BF656" t="inlineStr">
        <is>
          <t>893440100</t>
        </is>
      </c>
    </row>
    <row r="657">
      <c r="A657" t="inlineStr">
        <is>
          <t>No</t>
        </is>
      </c>
      <c r="B657" t="inlineStr">
        <is>
          <t>CURAL</t>
        </is>
      </c>
      <c r="C657" t="inlineStr">
        <is>
          <t>SHELVES</t>
        </is>
      </c>
      <c r="D657" t="inlineStr">
        <is>
          <t>PR2894 .W57 1960</t>
        </is>
      </c>
      <c r="E657" t="inlineStr">
        <is>
          <t>0                      PR 2894000W  57          1960</t>
        </is>
      </c>
      <c r="F657" t="inlineStr">
        <is>
          <t>The essential Shakespeare : a biographical adventure / by J. Dover Wilson.</t>
        </is>
      </c>
      <c r="H657" t="inlineStr">
        <is>
          <t>No</t>
        </is>
      </c>
      <c r="I657" t="inlineStr">
        <is>
          <t>1</t>
        </is>
      </c>
      <c r="J657" t="inlineStr">
        <is>
          <t>No</t>
        </is>
      </c>
      <c r="K657" t="inlineStr">
        <is>
          <t>No</t>
        </is>
      </c>
      <c r="L657" t="inlineStr">
        <is>
          <t>0</t>
        </is>
      </c>
      <c r="M657" t="inlineStr">
        <is>
          <t>Wilson, John Dover, 1881-1969.</t>
        </is>
      </c>
      <c r="N657" t="inlineStr">
        <is>
          <t>Cambridge, [Eng.] : University Press, 1960.</t>
        </is>
      </c>
      <c r="O657" t="inlineStr">
        <is>
          <t>1960</t>
        </is>
      </c>
      <c r="P657" t="inlineStr">
        <is>
          <t>1st pbk. ed.</t>
        </is>
      </c>
      <c r="Q657" t="inlineStr">
        <is>
          <t>eng</t>
        </is>
      </c>
      <c r="R657" t="inlineStr">
        <is>
          <t>enk</t>
        </is>
      </c>
      <c r="T657" t="inlineStr">
        <is>
          <t xml:space="preserve">PR </t>
        </is>
      </c>
      <c r="U657" t="n">
        <v>1</v>
      </c>
      <c r="V657" t="n">
        <v>1</v>
      </c>
      <c r="W657" t="inlineStr">
        <is>
          <t>2001-07-12</t>
        </is>
      </c>
      <c r="X657" t="inlineStr">
        <is>
          <t>2001-07-12</t>
        </is>
      </c>
      <c r="Y657" t="inlineStr">
        <is>
          <t>2001-07-12</t>
        </is>
      </c>
      <c r="Z657" t="inlineStr">
        <is>
          <t>2001-07-12</t>
        </is>
      </c>
      <c r="AA657" t="n">
        <v>180</v>
      </c>
      <c r="AB657" t="n">
        <v>145</v>
      </c>
      <c r="AC657" t="n">
        <v>1122</v>
      </c>
      <c r="AD657" t="n">
        <v>3</v>
      </c>
      <c r="AE657" t="n">
        <v>9</v>
      </c>
      <c r="AF657" t="n">
        <v>11</v>
      </c>
      <c r="AG657" t="n">
        <v>48</v>
      </c>
      <c r="AH657" t="n">
        <v>3</v>
      </c>
      <c r="AI657" t="n">
        <v>17</v>
      </c>
      <c r="AJ657" t="n">
        <v>2</v>
      </c>
      <c r="AK657" t="n">
        <v>11</v>
      </c>
      <c r="AL657" t="n">
        <v>7</v>
      </c>
      <c r="AM657" t="n">
        <v>23</v>
      </c>
      <c r="AN657" t="n">
        <v>2</v>
      </c>
      <c r="AO657" t="n">
        <v>8</v>
      </c>
      <c r="AP657" t="n">
        <v>0</v>
      </c>
      <c r="AQ657" t="n">
        <v>0</v>
      </c>
      <c r="AR657" t="inlineStr">
        <is>
          <t>No</t>
        </is>
      </c>
      <c r="AS657" t="inlineStr">
        <is>
          <t>No</t>
        </is>
      </c>
      <c r="AU657">
        <f>HYPERLINK("https://creighton-primo.hosted.exlibrisgroup.com/primo-explore/search?tab=default_tab&amp;search_scope=EVERYTHING&amp;vid=01CRU&amp;lang=en_US&amp;offset=0&amp;query=any,contains,991003568259702656","Catalog Record")</f>
        <v/>
      </c>
      <c r="AV657">
        <f>HYPERLINK("http://www.worldcat.org/oclc/1073648","WorldCat Record")</f>
        <v/>
      </c>
      <c r="AW657" t="inlineStr">
        <is>
          <t>1802526:eng</t>
        </is>
      </c>
      <c r="AX657" t="inlineStr">
        <is>
          <t>1073648</t>
        </is>
      </c>
      <c r="AY657" t="inlineStr">
        <is>
          <t>991003568259702656</t>
        </is>
      </c>
      <c r="AZ657" t="inlineStr">
        <is>
          <t>991003568259702656</t>
        </is>
      </c>
      <c r="BA657" t="inlineStr">
        <is>
          <t>2254983660002656</t>
        </is>
      </c>
      <c r="BB657" t="inlineStr">
        <is>
          <t>BOOK</t>
        </is>
      </c>
      <c r="BE657" t="inlineStr">
        <is>
          <t>32285004332309</t>
        </is>
      </c>
      <c r="BF657" t="inlineStr">
        <is>
          <t>893531310</t>
        </is>
      </c>
    </row>
    <row r="658">
      <c r="A658" t="inlineStr">
        <is>
          <t>No</t>
        </is>
      </c>
      <c r="B658" t="inlineStr">
        <is>
          <t>CURAL</t>
        </is>
      </c>
      <c r="C658" t="inlineStr">
        <is>
          <t>SHELVES</t>
        </is>
      </c>
      <c r="D658" t="inlineStr">
        <is>
          <t>PR2896 .F58 1956</t>
        </is>
      </c>
      <c r="E658" t="inlineStr">
        <is>
          <t>0                      PR 2896000F  58          1956</t>
        </is>
      </c>
      <c r="F658" t="inlineStr">
        <is>
          <t>Shakespeare and the Elizabethans / by Henri Fluchere ; translated by Guy Hamilton ; with a foreword by T. S. Eliot.</t>
        </is>
      </c>
      <c r="H658" t="inlineStr">
        <is>
          <t>No</t>
        </is>
      </c>
      <c r="I658" t="inlineStr">
        <is>
          <t>1</t>
        </is>
      </c>
      <c r="J658" t="inlineStr">
        <is>
          <t>No</t>
        </is>
      </c>
      <c r="K658" t="inlineStr">
        <is>
          <t>No</t>
        </is>
      </c>
      <c r="L658" t="inlineStr">
        <is>
          <t>0</t>
        </is>
      </c>
      <c r="M658" t="inlineStr">
        <is>
          <t>Fluchère, Henri.</t>
        </is>
      </c>
      <c r="N658" t="inlineStr">
        <is>
          <t>New York, Hill and Wang, 1956.</t>
        </is>
      </c>
      <c r="O658" t="inlineStr">
        <is>
          <t>1956</t>
        </is>
      </c>
      <c r="Q658" t="inlineStr">
        <is>
          <t>eng</t>
        </is>
      </c>
      <c r="R658" t="inlineStr">
        <is>
          <t>nyu</t>
        </is>
      </c>
      <c r="S658" t="inlineStr">
        <is>
          <t>Dramabooks, D1</t>
        </is>
      </c>
      <c r="T658" t="inlineStr">
        <is>
          <t xml:space="preserve">PR </t>
        </is>
      </c>
      <c r="U658" t="n">
        <v>1</v>
      </c>
      <c r="V658" t="n">
        <v>1</v>
      </c>
      <c r="W658" t="inlineStr">
        <is>
          <t>2001-07-12</t>
        </is>
      </c>
      <c r="X658" t="inlineStr">
        <is>
          <t>2001-07-12</t>
        </is>
      </c>
      <c r="Y658" t="inlineStr">
        <is>
          <t>2001-07-12</t>
        </is>
      </c>
      <c r="Z658" t="inlineStr">
        <is>
          <t>2001-07-12</t>
        </is>
      </c>
      <c r="AA658" t="n">
        <v>709</v>
      </c>
      <c r="AB658" t="n">
        <v>618</v>
      </c>
      <c r="AC658" t="n">
        <v>650</v>
      </c>
      <c r="AD658" t="n">
        <v>4</v>
      </c>
      <c r="AE658" t="n">
        <v>4</v>
      </c>
      <c r="AF658" t="n">
        <v>28</v>
      </c>
      <c r="AG658" t="n">
        <v>29</v>
      </c>
      <c r="AH658" t="n">
        <v>12</v>
      </c>
      <c r="AI658" t="n">
        <v>13</v>
      </c>
      <c r="AJ658" t="n">
        <v>6</v>
      </c>
      <c r="AK658" t="n">
        <v>6</v>
      </c>
      <c r="AL658" t="n">
        <v>15</v>
      </c>
      <c r="AM658" t="n">
        <v>16</v>
      </c>
      <c r="AN658" t="n">
        <v>2</v>
      </c>
      <c r="AO658" t="n">
        <v>2</v>
      </c>
      <c r="AP658" t="n">
        <v>0</v>
      </c>
      <c r="AQ658" t="n">
        <v>0</v>
      </c>
      <c r="AR658" t="inlineStr">
        <is>
          <t>No</t>
        </is>
      </c>
      <c r="AS658" t="inlineStr">
        <is>
          <t>No</t>
        </is>
      </c>
      <c r="AT658">
        <f>HYPERLINK("http://catalog.hathitrust.org/Record/001112094","HathiTrust Record")</f>
        <v/>
      </c>
      <c r="AU658">
        <f>HYPERLINK("https://creighton-primo.hosted.exlibrisgroup.com/primo-explore/search?tab=default_tab&amp;search_scope=EVERYTHING&amp;vid=01CRU&amp;lang=en_US&amp;offset=0&amp;query=any,contains,991003568229702656","Catalog Record")</f>
        <v/>
      </c>
      <c r="AV658">
        <f>HYPERLINK("http://www.worldcat.org/oclc/952091","WorldCat Record")</f>
        <v/>
      </c>
      <c r="AW658" t="inlineStr">
        <is>
          <t>8847656146:eng</t>
        </is>
      </c>
      <c r="AX658" t="inlineStr">
        <is>
          <t>952091</t>
        </is>
      </c>
      <c r="AY658" t="inlineStr">
        <is>
          <t>991003568229702656</t>
        </is>
      </c>
      <c r="AZ658" t="inlineStr">
        <is>
          <t>991003568229702656</t>
        </is>
      </c>
      <c r="BA658" t="inlineStr">
        <is>
          <t>2261651870002656</t>
        </is>
      </c>
      <c r="BB658" t="inlineStr">
        <is>
          <t>BOOK</t>
        </is>
      </c>
      <c r="BE658" t="inlineStr">
        <is>
          <t>32285004332275</t>
        </is>
      </c>
      <c r="BF658" t="inlineStr">
        <is>
          <t>893324200</t>
        </is>
      </c>
    </row>
    <row r="659">
      <c r="A659" t="inlineStr">
        <is>
          <t>No</t>
        </is>
      </c>
      <c r="B659" t="inlineStr">
        <is>
          <t>CURAL</t>
        </is>
      </c>
      <c r="C659" t="inlineStr">
        <is>
          <t>SHELVES</t>
        </is>
      </c>
      <c r="D659" t="inlineStr">
        <is>
          <t>PR2901 .H35</t>
        </is>
      </c>
      <c r="E659" t="inlineStr">
        <is>
          <t>0                      PR 2901000H  35</t>
        </is>
      </c>
      <c r="F659" t="inlineStr">
        <is>
          <t>The name of William Shakespeare; a study in orthography, by John Louis Haney.</t>
        </is>
      </c>
      <c r="H659" t="inlineStr">
        <is>
          <t>No</t>
        </is>
      </c>
      <c r="I659" t="inlineStr">
        <is>
          <t>1</t>
        </is>
      </c>
      <c r="J659" t="inlineStr">
        <is>
          <t>No</t>
        </is>
      </c>
      <c r="K659" t="inlineStr">
        <is>
          <t>No</t>
        </is>
      </c>
      <c r="L659" t="inlineStr">
        <is>
          <t>0</t>
        </is>
      </c>
      <c r="M659" t="inlineStr">
        <is>
          <t>Haney, John Louis, 1877-1960.</t>
        </is>
      </c>
      <c r="N659" t="inlineStr">
        <is>
          <t>Philadelphia, The Egerton press, 1906.</t>
        </is>
      </c>
      <c r="O659" t="inlineStr">
        <is>
          <t>1906</t>
        </is>
      </c>
      <c r="Q659" t="inlineStr">
        <is>
          <t>eng</t>
        </is>
      </c>
      <c r="R659" t="inlineStr">
        <is>
          <t>pau</t>
        </is>
      </c>
      <c r="T659" t="inlineStr">
        <is>
          <t xml:space="preserve">PR </t>
        </is>
      </c>
      <c r="U659" t="n">
        <v>1</v>
      </c>
      <c r="V659" t="n">
        <v>1</v>
      </c>
      <c r="W659" t="inlineStr">
        <is>
          <t>2010-04-25</t>
        </is>
      </c>
      <c r="X659" t="inlineStr">
        <is>
          <t>2010-04-25</t>
        </is>
      </c>
      <c r="Y659" t="inlineStr">
        <is>
          <t>1997-08-05</t>
        </is>
      </c>
      <c r="Z659" t="inlineStr">
        <is>
          <t>1997-08-05</t>
        </is>
      </c>
      <c r="AA659" t="n">
        <v>87</v>
      </c>
      <c r="AB659" t="n">
        <v>73</v>
      </c>
      <c r="AC659" t="n">
        <v>134</v>
      </c>
      <c r="AD659" t="n">
        <v>2</v>
      </c>
      <c r="AE659" t="n">
        <v>2</v>
      </c>
      <c r="AF659" t="n">
        <v>4</v>
      </c>
      <c r="AG659" t="n">
        <v>6</v>
      </c>
      <c r="AH659" t="n">
        <v>2</v>
      </c>
      <c r="AI659" t="n">
        <v>2</v>
      </c>
      <c r="AJ659" t="n">
        <v>0</v>
      </c>
      <c r="AK659" t="n">
        <v>1</v>
      </c>
      <c r="AL659" t="n">
        <v>2</v>
      </c>
      <c r="AM659" t="n">
        <v>3</v>
      </c>
      <c r="AN659" t="n">
        <v>1</v>
      </c>
      <c r="AO659" t="n">
        <v>1</v>
      </c>
      <c r="AP659" t="n">
        <v>0</v>
      </c>
      <c r="AQ659" t="n">
        <v>0</v>
      </c>
      <c r="AR659" t="inlineStr">
        <is>
          <t>Yes</t>
        </is>
      </c>
      <c r="AS659" t="inlineStr">
        <is>
          <t>No</t>
        </is>
      </c>
      <c r="AT659">
        <f>HYPERLINK("http://catalog.hathitrust.org/Record/001360034","HathiTrust Record")</f>
        <v/>
      </c>
      <c r="AU659">
        <f>HYPERLINK("https://creighton-primo.hosted.exlibrisgroup.com/primo-explore/search?tab=default_tab&amp;search_scope=EVERYTHING&amp;vid=01CRU&amp;lang=en_US&amp;offset=0&amp;query=any,contains,991004345149702656","Catalog Record")</f>
        <v/>
      </c>
      <c r="AV659">
        <f>HYPERLINK("http://www.worldcat.org/oclc/3100154","WorldCat Record")</f>
        <v/>
      </c>
      <c r="AW659" t="inlineStr">
        <is>
          <t>1577546:eng</t>
        </is>
      </c>
      <c r="AX659" t="inlineStr">
        <is>
          <t>3100154</t>
        </is>
      </c>
      <c r="AY659" t="inlineStr">
        <is>
          <t>991004345149702656</t>
        </is>
      </c>
      <c r="AZ659" t="inlineStr">
        <is>
          <t>991004345149702656</t>
        </is>
      </c>
      <c r="BA659" t="inlineStr">
        <is>
          <t>2264721080002656</t>
        </is>
      </c>
      <c r="BB659" t="inlineStr">
        <is>
          <t>BOOK</t>
        </is>
      </c>
      <c r="BE659" t="inlineStr">
        <is>
          <t>32285002998820</t>
        </is>
      </c>
      <c r="BF659" t="inlineStr">
        <is>
          <t>893500443</t>
        </is>
      </c>
    </row>
    <row r="660">
      <c r="A660" t="inlineStr">
        <is>
          <t>No</t>
        </is>
      </c>
      <c r="B660" t="inlineStr">
        <is>
          <t>CURAL</t>
        </is>
      </c>
      <c r="C660" t="inlineStr">
        <is>
          <t>SHELVES</t>
        </is>
      </c>
      <c r="D660" t="inlineStr">
        <is>
          <t>PR2903 .B3</t>
        </is>
      </c>
      <c r="E660" t="inlineStr">
        <is>
          <t>0                      PR 2903000B  3</t>
        </is>
      </c>
      <c r="F660" t="inlineStr">
        <is>
          <t>William Shakspere's petty school, by T. W. Baldwin.</t>
        </is>
      </c>
      <c r="H660" t="inlineStr">
        <is>
          <t>No</t>
        </is>
      </c>
      <c r="I660" t="inlineStr">
        <is>
          <t>1</t>
        </is>
      </c>
      <c r="J660" t="inlineStr">
        <is>
          <t>No</t>
        </is>
      </c>
      <c r="K660" t="inlineStr">
        <is>
          <t>No</t>
        </is>
      </c>
      <c r="L660" t="inlineStr">
        <is>
          <t>0</t>
        </is>
      </c>
      <c r="M660" t="inlineStr">
        <is>
          <t>Baldwin, T. W. (Thomas Whitfield), 1890-1984.</t>
        </is>
      </c>
      <c r="N660" t="inlineStr">
        <is>
          <t>Urbana, The University of Illinois Press, 1943.</t>
        </is>
      </c>
      <c r="O660" t="inlineStr">
        <is>
          <t>1943</t>
        </is>
      </c>
      <c r="Q660" t="inlineStr">
        <is>
          <t>eng</t>
        </is>
      </c>
      <c r="R660" t="inlineStr">
        <is>
          <t>ilu</t>
        </is>
      </c>
      <c r="T660" t="inlineStr">
        <is>
          <t xml:space="preserve">PR </t>
        </is>
      </c>
      <c r="U660" t="n">
        <v>4</v>
      </c>
      <c r="V660" t="n">
        <v>4</v>
      </c>
      <c r="W660" t="inlineStr">
        <is>
          <t>1998-04-05</t>
        </is>
      </c>
      <c r="X660" t="inlineStr">
        <is>
          <t>1998-04-05</t>
        </is>
      </c>
      <c r="Y660" t="inlineStr">
        <is>
          <t>1997-08-05</t>
        </is>
      </c>
      <c r="Z660" t="inlineStr">
        <is>
          <t>1997-08-05</t>
        </is>
      </c>
      <c r="AA660" t="n">
        <v>278</v>
      </c>
      <c r="AB660" t="n">
        <v>224</v>
      </c>
      <c r="AC660" t="n">
        <v>243</v>
      </c>
      <c r="AD660" t="n">
        <v>2</v>
      </c>
      <c r="AE660" t="n">
        <v>2</v>
      </c>
      <c r="AF660" t="n">
        <v>12</v>
      </c>
      <c r="AG660" t="n">
        <v>13</v>
      </c>
      <c r="AH660" t="n">
        <v>5</v>
      </c>
      <c r="AI660" t="n">
        <v>6</v>
      </c>
      <c r="AJ660" t="n">
        <v>3</v>
      </c>
      <c r="AK660" t="n">
        <v>4</v>
      </c>
      <c r="AL660" t="n">
        <v>7</v>
      </c>
      <c r="AM660" t="n">
        <v>7</v>
      </c>
      <c r="AN660" t="n">
        <v>1</v>
      </c>
      <c r="AO660" t="n">
        <v>1</v>
      </c>
      <c r="AP660" t="n">
        <v>0</v>
      </c>
      <c r="AQ660" t="n">
        <v>0</v>
      </c>
      <c r="AR660" t="inlineStr">
        <is>
          <t>Yes</t>
        </is>
      </c>
      <c r="AS660" t="inlineStr">
        <is>
          <t>No</t>
        </is>
      </c>
      <c r="AT660">
        <f>HYPERLINK("http://catalog.hathitrust.org/Record/001018387","HathiTrust Record")</f>
        <v/>
      </c>
      <c r="AU660">
        <f>HYPERLINK("https://creighton-primo.hosted.exlibrisgroup.com/primo-explore/search?tab=default_tab&amp;search_scope=EVERYTHING&amp;vid=01CRU&amp;lang=en_US&amp;offset=0&amp;query=any,contains,991003646979702656","Catalog Record")</f>
        <v/>
      </c>
      <c r="AV660">
        <f>HYPERLINK("http://www.worldcat.org/oclc/1248979","WorldCat Record")</f>
        <v/>
      </c>
      <c r="AW660" t="inlineStr">
        <is>
          <t>1639246:eng</t>
        </is>
      </c>
      <c r="AX660" t="inlineStr">
        <is>
          <t>1248979</t>
        </is>
      </c>
      <c r="AY660" t="inlineStr">
        <is>
          <t>991003646979702656</t>
        </is>
      </c>
      <c r="AZ660" t="inlineStr">
        <is>
          <t>991003646979702656</t>
        </is>
      </c>
      <c r="BA660" t="inlineStr">
        <is>
          <t>2264135380002656</t>
        </is>
      </c>
      <c r="BB660" t="inlineStr">
        <is>
          <t>BOOK</t>
        </is>
      </c>
      <c r="BE660" t="inlineStr">
        <is>
          <t>32285002998838</t>
        </is>
      </c>
      <c r="BF660" t="inlineStr">
        <is>
          <t>893422790</t>
        </is>
      </c>
    </row>
    <row r="661">
      <c r="A661" t="inlineStr">
        <is>
          <t>No</t>
        </is>
      </c>
      <c r="B661" t="inlineStr">
        <is>
          <t>CURAL</t>
        </is>
      </c>
      <c r="C661" t="inlineStr">
        <is>
          <t>SHELVES</t>
        </is>
      </c>
      <c r="D661" t="inlineStr">
        <is>
          <t>PR2903 .B33</t>
        </is>
      </c>
      <c r="E661" t="inlineStr">
        <is>
          <t>0                      PR 2903000B  33</t>
        </is>
      </c>
      <c r="F661" t="inlineStr">
        <is>
          <t>William Shakspere's small Latine &amp; lesse Greeke ... By T.W. Baldwin.</t>
        </is>
      </c>
      <c r="G661" t="inlineStr">
        <is>
          <t>V.1</t>
        </is>
      </c>
      <c r="H661" t="inlineStr">
        <is>
          <t>Yes</t>
        </is>
      </c>
      <c r="I661" t="inlineStr">
        <is>
          <t>1</t>
        </is>
      </c>
      <c r="J661" t="inlineStr">
        <is>
          <t>No</t>
        </is>
      </c>
      <c r="K661" t="inlineStr">
        <is>
          <t>No</t>
        </is>
      </c>
      <c r="L661" t="inlineStr">
        <is>
          <t>0</t>
        </is>
      </c>
      <c r="M661" t="inlineStr">
        <is>
          <t>Baldwin, T. W. (Thomas Whitfield), 1890-1984.</t>
        </is>
      </c>
      <c r="N661" t="inlineStr">
        <is>
          <t>Urbana, University of Illinois Press, 1944.</t>
        </is>
      </c>
      <c r="O661" t="inlineStr">
        <is>
          <t>1944</t>
        </is>
      </c>
      <c r="Q661" t="inlineStr">
        <is>
          <t>eng</t>
        </is>
      </c>
      <c r="R661" t="inlineStr">
        <is>
          <t>ilu</t>
        </is>
      </c>
      <c r="T661" t="inlineStr">
        <is>
          <t xml:space="preserve">PR </t>
        </is>
      </c>
      <c r="U661" t="n">
        <v>4</v>
      </c>
      <c r="V661" t="n">
        <v>4</v>
      </c>
      <c r="W661" t="inlineStr">
        <is>
          <t>1998-04-05</t>
        </is>
      </c>
      <c r="X661" t="inlineStr">
        <is>
          <t>1998-04-05</t>
        </is>
      </c>
      <c r="Y661" t="inlineStr">
        <is>
          <t>1997-08-05</t>
        </is>
      </c>
      <c r="Z661" t="inlineStr">
        <is>
          <t>1997-08-05</t>
        </is>
      </c>
      <c r="AA661" t="n">
        <v>732</v>
      </c>
      <c r="AB661" t="n">
        <v>656</v>
      </c>
      <c r="AC661" t="n">
        <v>708</v>
      </c>
      <c r="AD661" t="n">
        <v>5</v>
      </c>
      <c r="AE661" t="n">
        <v>5</v>
      </c>
      <c r="AF661" t="n">
        <v>37</v>
      </c>
      <c r="AG661" t="n">
        <v>39</v>
      </c>
      <c r="AH661" t="n">
        <v>13</v>
      </c>
      <c r="AI661" t="n">
        <v>14</v>
      </c>
      <c r="AJ661" t="n">
        <v>9</v>
      </c>
      <c r="AK661" t="n">
        <v>9</v>
      </c>
      <c r="AL661" t="n">
        <v>20</v>
      </c>
      <c r="AM661" t="n">
        <v>22</v>
      </c>
      <c r="AN661" t="n">
        <v>4</v>
      </c>
      <c r="AO661" t="n">
        <v>4</v>
      </c>
      <c r="AP661" t="n">
        <v>0</v>
      </c>
      <c r="AQ661" t="n">
        <v>0</v>
      </c>
      <c r="AR661" t="inlineStr">
        <is>
          <t>Yes</t>
        </is>
      </c>
      <c r="AS661" t="inlineStr">
        <is>
          <t>No</t>
        </is>
      </c>
      <c r="AT661">
        <f>HYPERLINK("http://catalog.hathitrust.org/Record/001112103","HathiTrust Record")</f>
        <v/>
      </c>
      <c r="AU661">
        <f>HYPERLINK("https://creighton-primo.hosted.exlibrisgroup.com/primo-explore/search?tab=default_tab&amp;search_scope=EVERYTHING&amp;vid=01CRU&amp;lang=en_US&amp;offset=0&amp;query=any,contains,991002477569702656","Catalog Record")</f>
        <v/>
      </c>
      <c r="AV661">
        <f>HYPERLINK("http://www.worldcat.org/oclc/359037","WorldCat Record")</f>
        <v/>
      </c>
      <c r="AW661" t="inlineStr">
        <is>
          <t>1408084:eng</t>
        </is>
      </c>
      <c r="AX661" t="inlineStr">
        <is>
          <t>359037</t>
        </is>
      </c>
      <c r="AY661" t="inlineStr">
        <is>
          <t>991002477569702656</t>
        </is>
      </c>
      <c r="AZ661" t="inlineStr">
        <is>
          <t>991002477569702656</t>
        </is>
      </c>
      <c r="BA661" t="inlineStr">
        <is>
          <t>2272580550002656</t>
        </is>
      </c>
      <c r="BB661" t="inlineStr">
        <is>
          <t>BOOK</t>
        </is>
      </c>
      <c r="BE661" t="inlineStr">
        <is>
          <t>32285002998846</t>
        </is>
      </c>
      <c r="BF661" t="inlineStr">
        <is>
          <t>893685393</t>
        </is>
      </c>
    </row>
    <row r="662">
      <c r="A662" t="inlineStr">
        <is>
          <t>No</t>
        </is>
      </c>
      <c r="B662" t="inlineStr">
        <is>
          <t>CURAL</t>
        </is>
      </c>
      <c r="C662" t="inlineStr">
        <is>
          <t>SHELVES</t>
        </is>
      </c>
      <c r="D662" t="inlineStr">
        <is>
          <t>PR2903 .B33</t>
        </is>
      </c>
      <c r="E662" t="inlineStr">
        <is>
          <t>0                      PR 2903000B  33</t>
        </is>
      </c>
      <c r="F662" t="inlineStr">
        <is>
          <t>William Shakspere's small Latine &amp; lesse Greeke ... By T.W. Baldwin.</t>
        </is>
      </c>
      <c r="G662" t="inlineStr">
        <is>
          <t>V.2</t>
        </is>
      </c>
      <c r="H662" t="inlineStr">
        <is>
          <t>Yes</t>
        </is>
      </c>
      <c r="I662" t="inlineStr">
        <is>
          <t>1</t>
        </is>
      </c>
      <c r="J662" t="inlineStr">
        <is>
          <t>No</t>
        </is>
      </c>
      <c r="K662" t="inlineStr">
        <is>
          <t>No</t>
        </is>
      </c>
      <c r="L662" t="inlineStr">
        <is>
          <t>0</t>
        </is>
      </c>
      <c r="M662" t="inlineStr">
        <is>
          <t>Baldwin, T. W. (Thomas Whitfield), 1890-1984.</t>
        </is>
      </c>
      <c r="N662" t="inlineStr">
        <is>
          <t>Urbana, University of Illinois Press, 1944.</t>
        </is>
      </c>
      <c r="O662" t="inlineStr">
        <is>
          <t>1944</t>
        </is>
      </c>
      <c r="Q662" t="inlineStr">
        <is>
          <t>eng</t>
        </is>
      </c>
      <c r="R662" t="inlineStr">
        <is>
          <t>ilu</t>
        </is>
      </c>
      <c r="T662" t="inlineStr">
        <is>
          <t xml:space="preserve">PR </t>
        </is>
      </c>
      <c r="U662" t="n">
        <v>0</v>
      </c>
      <c r="V662" t="n">
        <v>4</v>
      </c>
      <c r="X662" t="inlineStr">
        <is>
          <t>1998-04-05</t>
        </is>
      </c>
      <c r="Y662" t="inlineStr">
        <is>
          <t>1997-08-05</t>
        </is>
      </c>
      <c r="Z662" t="inlineStr">
        <is>
          <t>1997-08-05</t>
        </is>
      </c>
      <c r="AA662" t="n">
        <v>732</v>
      </c>
      <c r="AB662" t="n">
        <v>656</v>
      </c>
      <c r="AC662" t="n">
        <v>708</v>
      </c>
      <c r="AD662" t="n">
        <v>5</v>
      </c>
      <c r="AE662" t="n">
        <v>5</v>
      </c>
      <c r="AF662" t="n">
        <v>37</v>
      </c>
      <c r="AG662" t="n">
        <v>39</v>
      </c>
      <c r="AH662" t="n">
        <v>13</v>
      </c>
      <c r="AI662" t="n">
        <v>14</v>
      </c>
      <c r="AJ662" t="n">
        <v>9</v>
      </c>
      <c r="AK662" t="n">
        <v>9</v>
      </c>
      <c r="AL662" t="n">
        <v>20</v>
      </c>
      <c r="AM662" t="n">
        <v>22</v>
      </c>
      <c r="AN662" t="n">
        <v>4</v>
      </c>
      <c r="AO662" t="n">
        <v>4</v>
      </c>
      <c r="AP662" t="n">
        <v>0</v>
      </c>
      <c r="AQ662" t="n">
        <v>0</v>
      </c>
      <c r="AR662" t="inlineStr">
        <is>
          <t>Yes</t>
        </is>
      </c>
      <c r="AS662" t="inlineStr">
        <is>
          <t>No</t>
        </is>
      </c>
      <c r="AT662">
        <f>HYPERLINK("http://catalog.hathitrust.org/Record/001112103","HathiTrust Record")</f>
        <v/>
      </c>
      <c r="AU662">
        <f>HYPERLINK("https://creighton-primo.hosted.exlibrisgroup.com/primo-explore/search?tab=default_tab&amp;search_scope=EVERYTHING&amp;vid=01CRU&amp;lang=en_US&amp;offset=0&amp;query=any,contains,991002477569702656","Catalog Record")</f>
        <v/>
      </c>
      <c r="AV662">
        <f>HYPERLINK("http://www.worldcat.org/oclc/359037","WorldCat Record")</f>
        <v/>
      </c>
      <c r="AW662" t="inlineStr">
        <is>
          <t>1408084:eng</t>
        </is>
      </c>
      <c r="AX662" t="inlineStr">
        <is>
          <t>359037</t>
        </is>
      </c>
      <c r="AY662" t="inlineStr">
        <is>
          <t>991002477569702656</t>
        </is>
      </c>
      <c r="AZ662" t="inlineStr">
        <is>
          <t>991002477569702656</t>
        </is>
      </c>
      <c r="BA662" t="inlineStr">
        <is>
          <t>2272580550002656</t>
        </is>
      </c>
      <c r="BB662" t="inlineStr">
        <is>
          <t>BOOK</t>
        </is>
      </c>
      <c r="BE662" t="inlineStr">
        <is>
          <t>32285002998853</t>
        </is>
      </c>
      <c r="BF662" t="inlineStr">
        <is>
          <t>893697842</t>
        </is>
      </c>
    </row>
    <row r="663">
      <c r="A663" t="inlineStr">
        <is>
          <t>No</t>
        </is>
      </c>
      <c r="B663" t="inlineStr">
        <is>
          <t>CURAL</t>
        </is>
      </c>
      <c r="C663" t="inlineStr">
        <is>
          <t>SHELVES</t>
        </is>
      </c>
      <c r="D663" t="inlineStr">
        <is>
          <t>PR2903 .F7 1988</t>
        </is>
      </c>
      <c r="E663" t="inlineStr">
        <is>
          <t>0                      PR 2903000F  7           1988</t>
        </is>
      </c>
      <c r="F663" t="inlineStr">
        <is>
          <t>Young Shakespeare / Russell Fraser.</t>
        </is>
      </c>
      <c r="H663" t="inlineStr">
        <is>
          <t>No</t>
        </is>
      </c>
      <c r="I663" t="inlineStr">
        <is>
          <t>1</t>
        </is>
      </c>
      <c r="J663" t="inlineStr">
        <is>
          <t>No</t>
        </is>
      </c>
      <c r="K663" t="inlineStr">
        <is>
          <t>No</t>
        </is>
      </c>
      <c r="L663" t="inlineStr">
        <is>
          <t>0</t>
        </is>
      </c>
      <c r="M663" t="inlineStr">
        <is>
          <t>Fraser, Russell A.</t>
        </is>
      </c>
      <c r="N663" t="inlineStr">
        <is>
          <t>New York : Columbia University Press, c1988.</t>
        </is>
      </c>
      <c r="O663" t="inlineStr">
        <is>
          <t>1988</t>
        </is>
      </c>
      <c r="Q663" t="inlineStr">
        <is>
          <t>eng</t>
        </is>
      </c>
      <c r="R663" t="inlineStr">
        <is>
          <t>nyu</t>
        </is>
      </c>
      <c r="T663" t="inlineStr">
        <is>
          <t xml:space="preserve">PR </t>
        </is>
      </c>
      <c r="U663" t="n">
        <v>6</v>
      </c>
      <c r="V663" t="n">
        <v>6</v>
      </c>
      <c r="W663" t="inlineStr">
        <is>
          <t>1998-04-05</t>
        </is>
      </c>
      <c r="X663" t="inlineStr">
        <is>
          <t>1998-04-05</t>
        </is>
      </c>
      <c r="Y663" t="inlineStr">
        <is>
          <t>1991-10-18</t>
        </is>
      </c>
      <c r="Z663" t="inlineStr">
        <is>
          <t>1991-10-18</t>
        </is>
      </c>
      <c r="AA663" t="n">
        <v>1051</v>
      </c>
      <c r="AB663" t="n">
        <v>922</v>
      </c>
      <c r="AC663" t="n">
        <v>929</v>
      </c>
      <c r="AD663" t="n">
        <v>8</v>
      </c>
      <c r="AE663" t="n">
        <v>8</v>
      </c>
      <c r="AF663" t="n">
        <v>41</v>
      </c>
      <c r="AG663" t="n">
        <v>41</v>
      </c>
      <c r="AH663" t="n">
        <v>17</v>
      </c>
      <c r="AI663" t="n">
        <v>17</v>
      </c>
      <c r="AJ663" t="n">
        <v>8</v>
      </c>
      <c r="AK663" t="n">
        <v>8</v>
      </c>
      <c r="AL663" t="n">
        <v>22</v>
      </c>
      <c r="AM663" t="n">
        <v>22</v>
      </c>
      <c r="AN663" t="n">
        <v>6</v>
      </c>
      <c r="AO663" t="n">
        <v>6</v>
      </c>
      <c r="AP663" t="n">
        <v>0</v>
      </c>
      <c r="AQ663" t="n">
        <v>0</v>
      </c>
      <c r="AR663" t="inlineStr">
        <is>
          <t>No</t>
        </is>
      </c>
      <c r="AS663" t="inlineStr">
        <is>
          <t>No</t>
        </is>
      </c>
      <c r="AU663">
        <f>HYPERLINK("https://creighton-primo.hosted.exlibrisgroup.com/primo-explore/search?tab=default_tab&amp;search_scope=EVERYTHING&amp;vid=01CRU&amp;lang=en_US&amp;offset=0&amp;query=any,contains,991001230049702656","Catalog Record")</f>
        <v/>
      </c>
      <c r="AV663">
        <f>HYPERLINK("http://www.worldcat.org/oclc/17546165","WorldCat Record")</f>
        <v/>
      </c>
      <c r="AW663" t="inlineStr">
        <is>
          <t>3901194154:eng</t>
        </is>
      </c>
      <c r="AX663" t="inlineStr">
        <is>
          <t>17546165</t>
        </is>
      </c>
      <c r="AY663" t="inlineStr">
        <is>
          <t>991001230049702656</t>
        </is>
      </c>
      <c r="AZ663" t="inlineStr">
        <is>
          <t>991001230049702656</t>
        </is>
      </c>
      <c r="BA663" t="inlineStr">
        <is>
          <t>2267989510002656</t>
        </is>
      </c>
      <c r="BB663" t="inlineStr">
        <is>
          <t>BOOK</t>
        </is>
      </c>
      <c r="BD663" t="inlineStr">
        <is>
          <t>9780231067645</t>
        </is>
      </c>
      <c r="BE663" t="inlineStr">
        <is>
          <t>32285000776244</t>
        </is>
      </c>
      <c r="BF663" t="inlineStr">
        <is>
          <t>893626616</t>
        </is>
      </c>
    </row>
    <row r="664">
      <c r="A664" t="inlineStr">
        <is>
          <t>No</t>
        </is>
      </c>
      <c r="B664" t="inlineStr">
        <is>
          <t>CURAL</t>
        </is>
      </c>
      <c r="C664" t="inlineStr">
        <is>
          <t>SHELVES</t>
        </is>
      </c>
      <c r="D664" t="inlineStr">
        <is>
          <t>PR2903 .H6 1985b</t>
        </is>
      </c>
      <c r="E664" t="inlineStr">
        <is>
          <t>0                      PR 2903000H  6           1985b</t>
        </is>
      </c>
      <c r="F664" t="inlineStr">
        <is>
          <t>Shakespeare, the lost years / E.A.J. Honigmann.</t>
        </is>
      </c>
      <c r="H664" t="inlineStr">
        <is>
          <t>No</t>
        </is>
      </c>
      <c r="I664" t="inlineStr">
        <is>
          <t>1</t>
        </is>
      </c>
      <c r="J664" t="inlineStr">
        <is>
          <t>No</t>
        </is>
      </c>
      <c r="K664" t="inlineStr">
        <is>
          <t>No</t>
        </is>
      </c>
      <c r="L664" t="inlineStr">
        <is>
          <t>0</t>
        </is>
      </c>
      <c r="M664" t="inlineStr">
        <is>
          <t>Honigmann, E. A. J.</t>
        </is>
      </c>
      <c r="N664" t="inlineStr">
        <is>
          <t>Totowa, N.J. : Barnes &amp; Noble Books, 1985.</t>
        </is>
      </c>
      <c r="O664" t="inlineStr">
        <is>
          <t>1985</t>
        </is>
      </c>
      <c r="Q664" t="inlineStr">
        <is>
          <t>eng</t>
        </is>
      </c>
      <c r="R664" t="inlineStr">
        <is>
          <t>nju</t>
        </is>
      </c>
      <c r="T664" t="inlineStr">
        <is>
          <t xml:space="preserve">PR </t>
        </is>
      </c>
      <c r="U664" t="n">
        <v>2</v>
      </c>
      <c r="V664" t="n">
        <v>2</v>
      </c>
      <c r="W664" t="inlineStr">
        <is>
          <t>1997-11-22</t>
        </is>
      </c>
      <c r="X664" t="inlineStr">
        <is>
          <t>1997-11-22</t>
        </is>
      </c>
      <c r="Y664" t="inlineStr">
        <is>
          <t>1991-10-18</t>
        </is>
      </c>
      <c r="Z664" t="inlineStr">
        <is>
          <t>1991-10-18</t>
        </is>
      </c>
      <c r="AA664" t="n">
        <v>355</v>
      </c>
      <c r="AB664" t="n">
        <v>330</v>
      </c>
      <c r="AC664" t="n">
        <v>523</v>
      </c>
      <c r="AD664" t="n">
        <v>2</v>
      </c>
      <c r="AE664" t="n">
        <v>4</v>
      </c>
      <c r="AF664" t="n">
        <v>19</v>
      </c>
      <c r="AG664" t="n">
        <v>30</v>
      </c>
      <c r="AH664" t="n">
        <v>10</v>
      </c>
      <c r="AI664" t="n">
        <v>13</v>
      </c>
      <c r="AJ664" t="n">
        <v>4</v>
      </c>
      <c r="AK664" t="n">
        <v>7</v>
      </c>
      <c r="AL664" t="n">
        <v>10</v>
      </c>
      <c r="AM664" t="n">
        <v>16</v>
      </c>
      <c r="AN664" t="n">
        <v>1</v>
      </c>
      <c r="AO664" t="n">
        <v>3</v>
      </c>
      <c r="AP664" t="n">
        <v>0</v>
      </c>
      <c r="AQ664" t="n">
        <v>0</v>
      </c>
      <c r="AR664" t="inlineStr">
        <is>
          <t>No</t>
        </is>
      </c>
      <c r="AS664" t="inlineStr">
        <is>
          <t>No</t>
        </is>
      </c>
      <c r="AU664">
        <f>HYPERLINK("https://creighton-primo.hosted.exlibrisgroup.com/primo-explore/search?tab=default_tab&amp;search_scope=EVERYTHING&amp;vid=01CRU&amp;lang=en_US&amp;offset=0&amp;query=any,contains,991000535229702656","Catalog Record")</f>
        <v/>
      </c>
      <c r="AV664">
        <f>HYPERLINK("http://www.worldcat.org/oclc/11444147","WorldCat Record")</f>
        <v/>
      </c>
      <c r="AW664" t="inlineStr">
        <is>
          <t>3372115946:eng</t>
        </is>
      </c>
      <c r="AX664" t="inlineStr">
        <is>
          <t>11444147</t>
        </is>
      </c>
      <c r="AY664" t="inlineStr">
        <is>
          <t>991000535229702656</t>
        </is>
      </c>
      <c r="AZ664" t="inlineStr">
        <is>
          <t>991000535229702656</t>
        </is>
      </c>
      <c r="BA664" t="inlineStr">
        <is>
          <t>2260144490002656</t>
        </is>
      </c>
      <c r="BB664" t="inlineStr">
        <is>
          <t>BOOK</t>
        </is>
      </c>
      <c r="BE664" t="inlineStr">
        <is>
          <t>32285000776251</t>
        </is>
      </c>
      <c r="BF664" t="inlineStr">
        <is>
          <t>893237394</t>
        </is>
      </c>
    </row>
    <row r="665">
      <c r="A665" t="inlineStr">
        <is>
          <t>No</t>
        </is>
      </c>
      <c r="B665" t="inlineStr">
        <is>
          <t>CURAL</t>
        </is>
      </c>
      <c r="C665" t="inlineStr">
        <is>
          <t>SHELVES</t>
        </is>
      </c>
      <c r="D665" t="inlineStr">
        <is>
          <t>PR2903 .P6</t>
        </is>
      </c>
      <c r="E665" t="inlineStr">
        <is>
          <t>0                      PR 2903000P  6</t>
        </is>
      </c>
      <c r="F665" t="inlineStr">
        <is>
          <t>The education of Shakespeare illustrated from the schoolbooks in use in his time.</t>
        </is>
      </c>
      <c r="H665" t="inlineStr">
        <is>
          <t>No</t>
        </is>
      </c>
      <c r="I665" t="inlineStr">
        <is>
          <t>1</t>
        </is>
      </c>
      <c r="J665" t="inlineStr">
        <is>
          <t>No</t>
        </is>
      </c>
      <c r="K665" t="inlineStr">
        <is>
          <t>No</t>
        </is>
      </c>
      <c r="L665" t="inlineStr">
        <is>
          <t>0</t>
        </is>
      </c>
      <c r="M665" t="inlineStr">
        <is>
          <t>Plimpton, George A. (George Arthur), 1855-1936.</t>
        </is>
      </c>
      <c r="N665" t="inlineStr">
        <is>
          <t>London, New York, Oxford University Press, 1933.</t>
        </is>
      </c>
      <c r="O665" t="inlineStr">
        <is>
          <t>1933</t>
        </is>
      </c>
      <c r="Q665" t="inlineStr">
        <is>
          <t>eng</t>
        </is>
      </c>
      <c r="R665" t="inlineStr">
        <is>
          <t xml:space="preserve">xx </t>
        </is>
      </c>
      <c r="T665" t="inlineStr">
        <is>
          <t xml:space="preserve">PR </t>
        </is>
      </c>
      <c r="U665" t="n">
        <v>5</v>
      </c>
      <c r="V665" t="n">
        <v>5</v>
      </c>
      <c r="W665" t="inlineStr">
        <is>
          <t>1998-04-05</t>
        </is>
      </c>
      <c r="X665" t="inlineStr">
        <is>
          <t>1998-04-05</t>
        </is>
      </c>
      <c r="Y665" t="inlineStr">
        <is>
          <t>1997-08-05</t>
        </is>
      </c>
      <c r="Z665" t="inlineStr">
        <is>
          <t>1997-08-05</t>
        </is>
      </c>
      <c r="AA665" t="n">
        <v>878</v>
      </c>
      <c r="AB665" t="n">
        <v>818</v>
      </c>
      <c r="AC665" t="n">
        <v>904</v>
      </c>
      <c r="AD665" t="n">
        <v>12</v>
      </c>
      <c r="AE665" t="n">
        <v>12</v>
      </c>
      <c r="AF665" t="n">
        <v>50</v>
      </c>
      <c r="AG665" t="n">
        <v>50</v>
      </c>
      <c r="AH665" t="n">
        <v>21</v>
      </c>
      <c r="AI665" t="n">
        <v>21</v>
      </c>
      <c r="AJ665" t="n">
        <v>8</v>
      </c>
      <c r="AK665" t="n">
        <v>8</v>
      </c>
      <c r="AL665" t="n">
        <v>22</v>
      </c>
      <c r="AM665" t="n">
        <v>22</v>
      </c>
      <c r="AN665" t="n">
        <v>10</v>
      </c>
      <c r="AO665" t="n">
        <v>10</v>
      </c>
      <c r="AP665" t="n">
        <v>0</v>
      </c>
      <c r="AQ665" t="n">
        <v>0</v>
      </c>
      <c r="AR665" t="inlineStr">
        <is>
          <t>No</t>
        </is>
      </c>
      <c r="AS665" t="inlineStr">
        <is>
          <t>No</t>
        </is>
      </c>
      <c r="AT665">
        <f>HYPERLINK("http://catalog.hathitrust.org/Record/001112104","HathiTrust Record")</f>
        <v/>
      </c>
      <c r="AU665">
        <f>HYPERLINK("https://creighton-primo.hosted.exlibrisgroup.com/primo-explore/search?tab=default_tab&amp;search_scope=EVERYTHING&amp;vid=01CRU&amp;lang=en_US&amp;offset=0&amp;query=any,contains,991003413569702656","Catalog Record")</f>
        <v/>
      </c>
      <c r="AV665">
        <f>HYPERLINK("http://www.worldcat.org/oclc/952182","WorldCat Record")</f>
        <v/>
      </c>
      <c r="AW665" t="inlineStr">
        <is>
          <t>3856197706:eng</t>
        </is>
      </c>
      <c r="AX665" t="inlineStr">
        <is>
          <t>952182</t>
        </is>
      </c>
      <c r="AY665" t="inlineStr">
        <is>
          <t>991003413569702656</t>
        </is>
      </c>
      <c r="AZ665" t="inlineStr">
        <is>
          <t>991003413569702656</t>
        </is>
      </c>
      <c r="BA665" t="inlineStr">
        <is>
          <t>2261588340002656</t>
        </is>
      </c>
      <c r="BB665" t="inlineStr">
        <is>
          <t>BOOK</t>
        </is>
      </c>
      <c r="BE665" t="inlineStr">
        <is>
          <t>32285002998887</t>
        </is>
      </c>
      <c r="BF665" t="inlineStr">
        <is>
          <t>893787301</t>
        </is>
      </c>
    </row>
    <row r="666">
      <c r="A666" t="inlineStr">
        <is>
          <t>No</t>
        </is>
      </c>
      <c r="B666" t="inlineStr">
        <is>
          <t>CURAL</t>
        </is>
      </c>
      <c r="C666" t="inlineStr">
        <is>
          <t>SHELVES</t>
        </is>
      </c>
      <c r="D666" t="inlineStr">
        <is>
          <t>PR2903 .S26 1995</t>
        </is>
      </c>
      <c r="E666" t="inlineStr">
        <is>
          <t>0                      PR 2903000S  26          1995</t>
        </is>
      </c>
      <c r="F666" t="inlineStr">
        <is>
          <t>The real Shakespeare : retrieving the early years, 1564-1594 / Eric Sams.</t>
        </is>
      </c>
      <c r="H666" t="inlineStr">
        <is>
          <t>No</t>
        </is>
      </c>
      <c r="I666" t="inlineStr">
        <is>
          <t>1</t>
        </is>
      </c>
      <c r="J666" t="inlineStr">
        <is>
          <t>No</t>
        </is>
      </c>
      <c r="K666" t="inlineStr">
        <is>
          <t>No</t>
        </is>
      </c>
      <c r="L666" t="inlineStr">
        <is>
          <t>0</t>
        </is>
      </c>
      <c r="M666" t="inlineStr">
        <is>
          <t>Sams, Eric.</t>
        </is>
      </c>
      <c r="N666" t="inlineStr">
        <is>
          <t>New Haven [Conn.] : Yale University Press, 1995.</t>
        </is>
      </c>
      <c r="O666" t="inlineStr">
        <is>
          <t>1995</t>
        </is>
      </c>
      <c r="Q666" t="inlineStr">
        <is>
          <t>eng</t>
        </is>
      </c>
      <c r="R666" t="inlineStr">
        <is>
          <t>ctu</t>
        </is>
      </c>
      <c r="T666" t="inlineStr">
        <is>
          <t xml:space="preserve">PR </t>
        </is>
      </c>
      <c r="U666" t="n">
        <v>11</v>
      </c>
      <c r="V666" t="n">
        <v>11</v>
      </c>
      <c r="W666" t="inlineStr">
        <is>
          <t>2009-12-03</t>
        </is>
      </c>
      <c r="X666" t="inlineStr">
        <is>
          <t>2009-12-03</t>
        </is>
      </c>
      <c r="Y666" t="inlineStr">
        <is>
          <t>1995-07-05</t>
        </is>
      </c>
      <c r="Z666" t="inlineStr">
        <is>
          <t>1995-07-05</t>
        </is>
      </c>
      <c r="AA666" t="n">
        <v>715</v>
      </c>
      <c r="AB666" t="n">
        <v>566</v>
      </c>
      <c r="AC666" t="n">
        <v>576</v>
      </c>
      <c r="AD666" t="n">
        <v>6</v>
      </c>
      <c r="AE666" t="n">
        <v>6</v>
      </c>
      <c r="AF666" t="n">
        <v>28</v>
      </c>
      <c r="AG666" t="n">
        <v>28</v>
      </c>
      <c r="AH666" t="n">
        <v>11</v>
      </c>
      <c r="AI666" t="n">
        <v>11</v>
      </c>
      <c r="AJ666" t="n">
        <v>4</v>
      </c>
      <c r="AK666" t="n">
        <v>4</v>
      </c>
      <c r="AL666" t="n">
        <v>14</v>
      </c>
      <c r="AM666" t="n">
        <v>14</v>
      </c>
      <c r="AN666" t="n">
        <v>5</v>
      </c>
      <c r="AO666" t="n">
        <v>5</v>
      </c>
      <c r="AP666" t="n">
        <v>0</v>
      </c>
      <c r="AQ666" t="n">
        <v>0</v>
      </c>
      <c r="AR666" t="inlineStr">
        <is>
          <t>No</t>
        </is>
      </c>
      <c r="AS666" t="inlineStr">
        <is>
          <t>No</t>
        </is>
      </c>
      <c r="AU666">
        <f>HYPERLINK("https://creighton-primo.hosted.exlibrisgroup.com/primo-explore/search?tab=default_tab&amp;search_scope=EVERYTHING&amp;vid=01CRU&amp;lang=en_US&amp;offset=0&amp;query=any,contains,991002370689702656","Catalog Record")</f>
        <v/>
      </c>
      <c r="AV666">
        <f>HYPERLINK("http://www.worldcat.org/oclc/30812030","WorldCat Record")</f>
        <v/>
      </c>
      <c r="AW666" t="inlineStr">
        <is>
          <t>638853:eng</t>
        </is>
      </c>
      <c r="AX666" t="inlineStr">
        <is>
          <t>30812030</t>
        </is>
      </c>
      <c r="AY666" t="inlineStr">
        <is>
          <t>991002370689702656</t>
        </is>
      </c>
      <c r="AZ666" t="inlineStr">
        <is>
          <t>991002370689702656</t>
        </is>
      </c>
      <c r="BA666" t="inlineStr">
        <is>
          <t>2267798340002656</t>
        </is>
      </c>
      <c r="BB666" t="inlineStr">
        <is>
          <t>BOOK</t>
        </is>
      </c>
      <c r="BD666" t="inlineStr">
        <is>
          <t>9780300061291</t>
        </is>
      </c>
      <c r="BE666" t="inlineStr">
        <is>
          <t>32285002053089</t>
        </is>
      </c>
      <c r="BF666" t="inlineStr">
        <is>
          <t>893792378</t>
        </is>
      </c>
    </row>
    <row r="667">
      <c r="A667" t="inlineStr">
        <is>
          <t>No</t>
        </is>
      </c>
      <c r="B667" t="inlineStr">
        <is>
          <t>CURAL</t>
        </is>
      </c>
      <c r="C667" t="inlineStr">
        <is>
          <t>SHELVES</t>
        </is>
      </c>
      <c r="D667" t="inlineStr">
        <is>
          <t>PR2907 .H3 1958</t>
        </is>
      </c>
      <c r="E667" t="inlineStr">
        <is>
          <t>0                      PR 2907000H  3           1958</t>
        </is>
      </c>
      <c r="F667" t="inlineStr">
        <is>
          <t>Shakespeare at work, 1592-1603 / by G.B. Harrison ; with a new preface by the author.</t>
        </is>
      </c>
      <c r="H667" t="inlineStr">
        <is>
          <t>No</t>
        </is>
      </c>
      <c r="I667" t="inlineStr">
        <is>
          <t>1</t>
        </is>
      </c>
      <c r="J667" t="inlineStr">
        <is>
          <t>No</t>
        </is>
      </c>
      <c r="K667" t="inlineStr">
        <is>
          <t>No</t>
        </is>
      </c>
      <c r="L667" t="inlineStr">
        <is>
          <t>0</t>
        </is>
      </c>
      <c r="M667" t="inlineStr">
        <is>
          <t>Harrison, G. B. (George Bagshawe), 1894-1991.</t>
        </is>
      </c>
      <c r="N667" t="inlineStr">
        <is>
          <t>[Ann Arbor] : University of Michigan Press, c1958.</t>
        </is>
      </c>
      <c r="O667" t="inlineStr">
        <is>
          <t>1958</t>
        </is>
      </c>
      <c r="Q667" t="inlineStr">
        <is>
          <t>eng</t>
        </is>
      </c>
      <c r="R667" t="inlineStr">
        <is>
          <t>miu</t>
        </is>
      </c>
      <c r="S667" t="inlineStr">
        <is>
          <t>Ann Arbor paperbacks ; AA16</t>
        </is>
      </c>
      <c r="T667" t="inlineStr">
        <is>
          <t xml:space="preserve">PR </t>
        </is>
      </c>
      <c r="U667" t="n">
        <v>1</v>
      </c>
      <c r="V667" t="n">
        <v>1</v>
      </c>
      <c r="W667" t="inlineStr">
        <is>
          <t>2001-07-12</t>
        </is>
      </c>
      <c r="X667" t="inlineStr">
        <is>
          <t>2001-07-12</t>
        </is>
      </c>
      <c r="Y667" t="inlineStr">
        <is>
          <t>2001-07-12</t>
        </is>
      </c>
      <c r="Z667" t="inlineStr">
        <is>
          <t>2001-07-12</t>
        </is>
      </c>
      <c r="AA667" t="n">
        <v>754</v>
      </c>
      <c r="AB667" t="n">
        <v>678</v>
      </c>
      <c r="AC667" t="n">
        <v>871</v>
      </c>
      <c r="AD667" t="n">
        <v>6</v>
      </c>
      <c r="AE667" t="n">
        <v>6</v>
      </c>
      <c r="AF667" t="n">
        <v>32</v>
      </c>
      <c r="AG667" t="n">
        <v>37</v>
      </c>
      <c r="AH667" t="n">
        <v>13</v>
      </c>
      <c r="AI667" t="n">
        <v>14</v>
      </c>
      <c r="AJ667" t="n">
        <v>6</v>
      </c>
      <c r="AK667" t="n">
        <v>8</v>
      </c>
      <c r="AL667" t="n">
        <v>17</v>
      </c>
      <c r="AM667" t="n">
        <v>20</v>
      </c>
      <c r="AN667" t="n">
        <v>5</v>
      </c>
      <c r="AO667" t="n">
        <v>5</v>
      </c>
      <c r="AP667" t="n">
        <v>0</v>
      </c>
      <c r="AQ667" t="n">
        <v>0</v>
      </c>
      <c r="AR667" t="inlineStr">
        <is>
          <t>No</t>
        </is>
      </c>
      <c r="AS667" t="inlineStr">
        <is>
          <t>Yes</t>
        </is>
      </c>
      <c r="AT667">
        <f>HYPERLINK("http://catalog.hathitrust.org/Record/001018392","HathiTrust Record")</f>
        <v/>
      </c>
      <c r="AU667">
        <f>HYPERLINK("https://creighton-primo.hosted.exlibrisgroup.com/primo-explore/search?tab=default_tab&amp;search_scope=EVERYTHING&amp;vid=01CRU&amp;lang=en_US&amp;offset=0&amp;query=any,contains,991003567959702656","Catalog Record")</f>
        <v/>
      </c>
      <c r="AV667">
        <f>HYPERLINK("http://www.worldcat.org/oclc/5036128","WorldCat Record")</f>
        <v/>
      </c>
      <c r="AW667" t="inlineStr">
        <is>
          <t>57857308:eng</t>
        </is>
      </c>
      <c r="AX667" t="inlineStr">
        <is>
          <t>5036128</t>
        </is>
      </c>
      <c r="AY667" t="inlineStr">
        <is>
          <t>991003567959702656</t>
        </is>
      </c>
      <c r="AZ667" t="inlineStr">
        <is>
          <t>991003567959702656</t>
        </is>
      </c>
      <c r="BA667" t="inlineStr">
        <is>
          <t>2259330290002656</t>
        </is>
      </c>
      <c r="BB667" t="inlineStr">
        <is>
          <t>BOOK</t>
        </is>
      </c>
      <c r="BE667" t="inlineStr">
        <is>
          <t>32285004332184</t>
        </is>
      </c>
      <c r="BF667" t="inlineStr">
        <is>
          <t>893441433</t>
        </is>
      </c>
    </row>
    <row r="668">
      <c r="A668" t="inlineStr">
        <is>
          <t>No</t>
        </is>
      </c>
      <c r="B668" t="inlineStr">
        <is>
          <t>CURAL</t>
        </is>
      </c>
      <c r="C668" t="inlineStr">
        <is>
          <t>SHELVES</t>
        </is>
      </c>
      <c r="D668" t="inlineStr">
        <is>
          <t>PR2909 .H3</t>
        </is>
      </c>
      <c r="E668" t="inlineStr">
        <is>
          <t>0                      PR 2909000H  3</t>
        </is>
      </c>
      <c r="F668" t="inlineStr">
        <is>
          <t>The man Shakespeare and his tragic life-story / by Frank Harris.</t>
        </is>
      </c>
      <c r="H668" t="inlineStr">
        <is>
          <t>No</t>
        </is>
      </c>
      <c r="I668" t="inlineStr">
        <is>
          <t>1</t>
        </is>
      </c>
      <c r="J668" t="inlineStr">
        <is>
          <t>No</t>
        </is>
      </c>
      <c r="K668" t="inlineStr">
        <is>
          <t>No</t>
        </is>
      </c>
      <c r="L668" t="inlineStr">
        <is>
          <t>0</t>
        </is>
      </c>
      <c r="M668" t="inlineStr">
        <is>
          <t>Harris, Frank, 1856-1931.</t>
        </is>
      </c>
      <c r="N668" t="inlineStr">
        <is>
          <t>New York : Mitchell Kennerley, 1909.</t>
        </is>
      </c>
      <c r="O668" t="inlineStr">
        <is>
          <t>1909</t>
        </is>
      </c>
      <c r="P668" t="inlineStr">
        <is>
          <t>[1st ed.]</t>
        </is>
      </c>
      <c r="Q668" t="inlineStr">
        <is>
          <t>eng</t>
        </is>
      </c>
      <c r="R668" t="inlineStr">
        <is>
          <t>nyu</t>
        </is>
      </c>
      <c r="T668" t="inlineStr">
        <is>
          <t xml:space="preserve">PR </t>
        </is>
      </c>
      <c r="U668" t="n">
        <v>2</v>
      </c>
      <c r="V668" t="n">
        <v>2</v>
      </c>
      <c r="W668" t="inlineStr">
        <is>
          <t>2000-11-02</t>
        </is>
      </c>
      <c r="X668" t="inlineStr">
        <is>
          <t>2000-11-02</t>
        </is>
      </c>
      <c r="Y668" t="inlineStr">
        <is>
          <t>1997-08-05</t>
        </is>
      </c>
      <c r="Z668" t="inlineStr">
        <is>
          <t>1997-08-05</t>
        </is>
      </c>
      <c r="AA668" t="n">
        <v>314</v>
      </c>
      <c r="AB668" t="n">
        <v>292</v>
      </c>
      <c r="AC668" t="n">
        <v>606</v>
      </c>
      <c r="AD668" t="n">
        <v>3</v>
      </c>
      <c r="AE668" t="n">
        <v>3</v>
      </c>
      <c r="AF668" t="n">
        <v>14</v>
      </c>
      <c r="AG668" t="n">
        <v>26</v>
      </c>
      <c r="AH668" t="n">
        <v>3</v>
      </c>
      <c r="AI668" t="n">
        <v>10</v>
      </c>
      <c r="AJ668" t="n">
        <v>3</v>
      </c>
      <c r="AK668" t="n">
        <v>5</v>
      </c>
      <c r="AL668" t="n">
        <v>10</v>
      </c>
      <c r="AM668" t="n">
        <v>16</v>
      </c>
      <c r="AN668" t="n">
        <v>2</v>
      </c>
      <c r="AO668" t="n">
        <v>2</v>
      </c>
      <c r="AP668" t="n">
        <v>0</v>
      </c>
      <c r="AQ668" t="n">
        <v>0</v>
      </c>
      <c r="AR668" t="inlineStr">
        <is>
          <t>Yes</t>
        </is>
      </c>
      <c r="AS668" t="inlineStr">
        <is>
          <t>No</t>
        </is>
      </c>
      <c r="AT668">
        <f>HYPERLINK("http://catalog.hathitrust.org/Record/001360470","HathiTrust Record")</f>
        <v/>
      </c>
      <c r="AU668">
        <f>HYPERLINK("https://creighton-primo.hosted.exlibrisgroup.com/primo-explore/search?tab=default_tab&amp;search_scope=EVERYTHING&amp;vid=01CRU&amp;lang=en_US&amp;offset=0&amp;query=any,contains,991002458039702656","Catalog Record")</f>
        <v/>
      </c>
      <c r="AV668">
        <f>HYPERLINK("http://www.worldcat.org/oclc/32044340","WorldCat Record")</f>
        <v/>
      </c>
      <c r="AW668" t="inlineStr">
        <is>
          <t>1194166:eng</t>
        </is>
      </c>
      <c r="AX668" t="inlineStr">
        <is>
          <t>32044340</t>
        </is>
      </c>
      <c r="AY668" t="inlineStr">
        <is>
          <t>991002458039702656</t>
        </is>
      </c>
      <c r="AZ668" t="inlineStr">
        <is>
          <t>991002458039702656</t>
        </is>
      </c>
      <c r="BA668" t="inlineStr">
        <is>
          <t>2266123830002656</t>
        </is>
      </c>
      <c r="BB668" t="inlineStr">
        <is>
          <t>BOOK</t>
        </is>
      </c>
      <c r="BE668" t="inlineStr">
        <is>
          <t>32285002998937</t>
        </is>
      </c>
      <c r="BF668" t="inlineStr">
        <is>
          <t>893523640</t>
        </is>
      </c>
    </row>
    <row r="669">
      <c r="A669" t="inlineStr">
        <is>
          <t>No</t>
        </is>
      </c>
      <c r="B669" t="inlineStr">
        <is>
          <t>CURAL</t>
        </is>
      </c>
      <c r="C669" t="inlineStr">
        <is>
          <t>SHELVES</t>
        </is>
      </c>
      <c r="D669" t="inlineStr">
        <is>
          <t>PR2909 .W3 1972</t>
        </is>
      </c>
      <c r="E669" t="inlineStr">
        <is>
          <t>0                      PR 2909000W  3           1972</t>
        </is>
      </c>
      <c r="F669" t="inlineStr">
        <is>
          <t>The personality of Shakespeare / [by] Edward Wagenknecht.</t>
        </is>
      </c>
      <c r="H669" t="inlineStr">
        <is>
          <t>No</t>
        </is>
      </c>
      <c r="I669" t="inlineStr">
        <is>
          <t>1</t>
        </is>
      </c>
      <c r="J669" t="inlineStr">
        <is>
          <t>No</t>
        </is>
      </c>
      <c r="K669" t="inlineStr">
        <is>
          <t>No</t>
        </is>
      </c>
      <c r="L669" t="inlineStr">
        <is>
          <t>0</t>
        </is>
      </c>
      <c r="M669" t="inlineStr">
        <is>
          <t>Wagenknecht, Edward, 1900-2004.</t>
        </is>
      </c>
      <c r="N669" t="inlineStr">
        <is>
          <t>Norman : University of Oklahoma Press, [1972]</t>
        </is>
      </c>
      <c r="O669" t="inlineStr">
        <is>
          <t>1972</t>
        </is>
      </c>
      <c r="P669" t="inlineStr">
        <is>
          <t>[1st ed.]</t>
        </is>
      </c>
      <c r="Q669" t="inlineStr">
        <is>
          <t>eng</t>
        </is>
      </c>
      <c r="R669" t="inlineStr">
        <is>
          <t>oku</t>
        </is>
      </c>
      <c r="T669" t="inlineStr">
        <is>
          <t xml:space="preserve">PR </t>
        </is>
      </c>
      <c r="U669" t="n">
        <v>3</v>
      </c>
      <c r="V669" t="n">
        <v>3</v>
      </c>
      <c r="W669" t="inlineStr">
        <is>
          <t>1994-11-27</t>
        </is>
      </c>
      <c r="X669" t="inlineStr">
        <is>
          <t>1994-11-27</t>
        </is>
      </c>
      <c r="Y669" t="inlineStr">
        <is>
          <t>1991-10-18</t>
        </is>
      </c>
      <c r="Z669" t="inlineStr">
        <is>
          <t>1991-10-18</t>
        </is>
      </c>
      <c r="AA669" t="n">
        <v>730</v>
      </c>
      <c r="AB669" t="n">
        <v>638</v>
      </c>
      <c r="AC669" t="n">
        <v>641</v>
      </c>
      <c r="AD669" t="n">
        <v>4</v>
      </c>
      <c r="AE669" t="n">
        <v>4</v>
      </c>
      <c r="AF669" t="n">
        <v>25</v>
      </c>
      <c r="AG669" t="n">
        <v>25</v>
      </c>
      <c r="AH669" t="n">
        <v>10</v>
      </c>
      <c r="AI669" t="n">
        <v>10</v>
      </c>
      <c r="AJ669" t="n">
        <v>6</v>
      </c>
      <c r="AK669" t="n">
        <v>6</v>
      </c>
      <c r="AL669" t="n">
        <v>13</v>
      </c>
      <c r="AM669" t="n">
        <v>13</v>
      </c>
      <c r="AN669" t="n">
        <v>3</v>
      </c>
      <c r="AO669" t="n">
        <v>3</v>
      </c>
      <c r="AP669" t="n">
        <v>1</v>
      </c>
      <c r="AQ669" t="n">
        <v>1</v>
      </c>
      <c r="AR669" t="inlineStr">
        <is>
          <t>No</t>
        </is>
      </c>
      <c r="AS669" t="inlineStr">
        <is>
          <t>No</t>
        </is>
      </c>
      <c r="AU669">
        <f>HYPERLINK("https://creighton-primo.hosted.exlibrisgroup.com/primo-explore/search?tab=default_tab&amp;search_scope=EVERYTHING&amp;vid=01CRU&amp;lang=en_US&amp;offset=0&amp;query=any,contains,991002797999702656","Catalog Record")</f>
        <v/>
      </c>
      <c r="AV669">
        <f>HYPERLINK("http://www.worldcat.org/oclc/446005","WorldCat Record")</f>
        <v/>
      </c>
      <c r="AW669" t="inlineStr">
        <is>
          <t>579091:eng</t>
        </is>
      </c>
      <c r="AX669" t="inlineStr">
        <is>
          <t>446005</t>
        </is>
      </c>
      <c r="AY669" t="inlineStr">
        <is>
          <t>991002797999702656</t>
        </is>
      </c>
      <c r="AZ669" t="inlineStr">
        <is>
          <t>991002797999702656</t>
        </is>
      </c>
      <c r="BA669" t="inlineStr">
        <is>
          <t>2265668240002656</t>
        </is>
      </c>
      <c r="BB669" t="inlineStr">
        <is>
          <t>BOOK</t>
        </is>
      </c>
      <c r="BD669" t="inlineStr">
        <is>
          <t>9780806110288</t>
        </is>
      </c>
      <c r="BE669" t="inlineStr">
        <is>
          <t>32285000776269</t>
        </is>
      </c>
      <c r="BF669" t="inlineStr">
        <is>
          <t>893604047</t>
        </is>
      </c>
    </row>
    <row r="670">
      <c r="A670" t="inlineStr">
        <is>
          <t>No</t>
        </is>
      </c>
      <c r="B670" t="inlineStr">
        <is>
          <t>CURAL</t>
        </is>
      </c>
      <c r="C670" t="inlineStr">
        <is>
          <t>SHELVES</t>
        </is>
      </c>
      <c r="D670" t="inlineStr">
        <is>
          <t>PR2910 .B6 1984</t>
        </is>
      </c>
      <c r="E670" t="inlineStr">
        <is>
          <t>0                      PR 2910000B  6           1984</t>
        </is>
      </c>
      <c r="F670" t="inlineStr">
        <is>
          <t>Shakespeare &amp; Elizabethan culture : an anthropological view / Philip K. Bock.</t>
        </is>
      </c>
      <c r="H670" t="inlineStr">
        <is>
          <t>No</t>
        </is>
      </c>
      <c r="I670" t="inlineStr">
        <is>
          <t>1</t>
        </is>
      </c>
      <c r="J670" t="inlineStr">
        <is>
          <t>No</t>
        </is>
      </c>
      <c r="K670" t="inlineStr">
        <is>
          <t>No</t>
        </is>
      </c>
      <c r="L670" t="inlineStr">
        <is>
          <t>0</t>
        </is>
      </c>
      <c r="M670" t="inlineStr">
        <is>
          <t>Bock, Philip K.</t>
        </is>
      </c>
      <c r="N670" t="inlineStr">
        <is>
          <t>New York, NY : Schocken Books, c1984.</t>
        </is>
      </c>
      <c r="O670" t="inlineStr">
        <is>
          <t>1984</t>
        </is>
      </c>
      <c r="Q670" t="inlineStr">
        <is>
          <t>eng</t>
        </is>
      </c>
      <c r="R670" t="inlineStr">
        <is>
          <t>nyu</t>
        </is>
      </c>
      <c r="T670" t="inlineStr">
        <is>
          <t xml:space="preserve">PR </t>
        </is>
      </c>
      <c r="U670" t="n">
        <v>10</v>
      </c>
      <c r="V670" t="n">
        <v>10</v>
      </c>
      <c r="W670" t="inlineStr">
        <is>
          <t>2004-12-06</t>
        </is>
      </c>
      <c r="X670" t="inlineStr">
        <is>
          <t>2004-12-06</t>
        </is>
      </c>
      <c r="Y670" t="inlineStr">
        <is>
          <t>1991-10-18</t>
        </is>
      </c>
      <c r="Z670" t="inlineStr">
        <is>
          <t>1991-10-18</t>
        </is>
      </c>
      <c r="AA670" t="n">
        <v>263</v>
      </c>
      <c r="AB670" t="n">
        <v>221</v>
      </c>
      <c r="AC670" t="n">
        <v>223</v>
      </c>
      <c r="AD670" t="n">
        <v>3</v>
      </c>
      <c r="AE670" t="n">
        <v>3</v>
      </c>
      <c r="AF670" t="n">
        <v>7</v>
      </c>
      <c r="AG670" t="n">
        <v>7</v>
      </c>
      <c r="AH670" t="n">
        <v>3</v>
      </c>
      <c r="AI670" t="n">
        <v>3</v>
      </c>
      <c r="AJ670" t="n">
        <v>2</v>
      </c>
      <c r="AK670" t="n">
        <v>2</v>
      </c>
      <c r="AL670" t="n">
        <v>4</v>
      </c>
      <c r="AM670" t="n">
        <v>4</v>
      </c>
      <c r="AN670" t="n">
        <v>2</v>
      </c>
      <c r="AO670" t="n">
        <v>2</v>
      </c>
      <c r="AP670" t="n">
        <v>0</v>
      </c>
      <c r="AQ670" t="n">
        <v>0</v>
      </c>
      <c r="AR670" t="inlineStr">
        <is>
          <t>No</t>
        </is>
      </c>
      <c r="AS670" t="inlineStr">
        <is>
          <t>Yes</t>
        </is>
      </c>
      <c r="AT670">
        <f>HYPERLINK("http://catalog.hathitrust.org/Record/000328086","HathiTrust Record")</f>
        <v/>
      </c>
      <c r="AU670">
        <f>HYPERLINK("https://creighton-primo.hosted.exlibrisgroup.com/primo-explore/search?tab=default_tab&amp;search_scope=EVERYTHING&amp;vid=01CRU&amp;lang=en_US&amp;offset=0&amp;query=any,contains,991000319809702656","Catalog Record")</f>
        <v/>
      </c>
      <c r="AV670">
        <f>HYPERLINK("http://www.worldcat.org/oclc/10146023","WorldCat Record")</f>
        <v/>
      </c>
      <c r="AW670" t="inlineStr">
        <is>
          <t>3577407:eng</t>
        </is>
      </c>
      <c r="AX670" t="inlineStr">
        <is>
          <t>10146023</t>
        </is>
      </c>
      <c r="AY670" t="inlineStr">
        <is>
          <t>991000319809702656</t>
        </is>
      </c>
      <c r="AZ670" t="inlineStr">
        <is>
          <t>991000319809702656</t>
        </is>
      </c>
      <c r="BA670" t="inlineStr">
        <is>
          <t>2255731170002656</t>
        </is>
      </c>
      <c r="BB670" t="inlineStr">
        <is>
          <t>BOOK</t>
        </is>
      </c>
      <c r="BD670" t="inlineStr">
        <is>
          <t>9780805239027</t>
        </is>
      </c>
      <c r="BE670" t="inlineStr">
        <is>
          <t>32285000776277</t>
        </is>
      </c>
      <c r="BF670" t="inlineStr">
        <is>
          <t>893314828</t>
        </is>
      </c>
    </row>
    <row r="671">
      <c r="A671" t="inlineStr">
        <is>
          <t>No</t>
        </is>
      </c>
      <c r="B671" t="inlineStr">
        <is>
          <t>CURAL</t>
        </is>
      </c>
      <c r="C671" t="inlineStr">
        <is>
          <t>SHELVES</t>
        </is>
      </c>
      <c r="D671" t="inlineStr">
        <is>
          <t>PR2910 .B76</t>
        </is>
      </c>
      <c r="E671" t="inlineStr">
        <is>
          <t>0                      PR 2910000B  76</t>
        </is>
      </c>
      <c r="F671" t="inlineStr">
        <is>
          <t>Shakespeare in his time.</t>
        </is>
      </c>
      <c r="H671" t="inlineStr">
        <is>
          <t>No</t>
        </is>
      </c>
      <c r="I671" t="inlineStr">
        <is>
          <t>1</t>
        </is>
      </c>
      <c r="J671" t="inlineStr">
        <is>
          <t>No</t>
        </is>
      </c>
      <c r="K671" t="inlineStr">
        <is>
          <t>No</t>
        </is>
      </c>
      <c r="L671" t="inlineStr">
        <is>
          <t>0</t>
        </is>
      </c>
      <c r="M671" t="inlineStr">
        <is>
          <t>Brown, Ivor John Carnegie, 1891-1974.</t>
        </is>
      </c>
      <c r="N671" t="inlineStr">
        <is>
          <t>Edinburgh : Nelson, [1960]</t>
        </is>
      </c>
      <c r="O671" t="inlineStr">
        <is>
          <t>1960</t>
        </is>
      </c>
      <c r="Q671" t="inlineStr">
        <is>
          <t>eng</t>
        </is>
      </c>
      <c r="R671" t="inlineStr">
        <is>
          <t>stk</t>
        </is>
      </c>
      <c r="T671" t="inlineStr">
        <is>
          <t xml:space="preserve">PR </t>
        </is>
      </c>
      <c r="U671" t="n">
        <v>3</v>
      </c>
      <c r="V671" t="n">
        <v>3</v>
      </c>
      <c r="W671" t="inlineStr">
        <is>
          <t>1993-04-14</t>
        </is>
      </c>
      <c r="X671" t="inlineStr">
        <is>
          <t>1993-04-14</t>
        </is>
      </c>
      <c r="Y671" t="inlineStr">
        <is>
          <t>1990-10-04</t>
        </is>
      </c>
      <c r="Z671" t="inlineStr">
        <is>
          <t>1990-10-04</t>
        </is>
      </c>
      <c r="AA671" t="n">
        <v>1019</v>
      </c>
      <c r="AB671" t="n">
        <v>875</v>
      </c>
      <c r="AC671" t="n">
        <v>1105</v>
      </c>
      <c r="AD671" t="n">
        <v>6</v>
      </c>
      <c r="AE671" t="n">
        <v>8</v>
      </c>
      <c r="AF671" t="n">
        <v>24</v>
      </c>
      <c r="AG671" t="n">
        <v>30</v>
      </c>
      <c r="AH671" t="n">
        <v>11</v>
      </c>
      <c r="AI671" t="n">
        <v>13</v>
      </c>
      <c r="AJ671" t="n">
        <v>5</v>
      </c>
      <c r="AK671" t="n">
        <v>6</v>
      </c>
      <c r="AL671" t="n">
        <v>12</v>
      </c>
      <c r="AM671" t="n">
        <v>14</v>
      </c>
      <c r="AN671" t="n">
        <v>3</v>
      </c>
      <c r="AO671" t="n">
        <v>4</v>
      </c>
      <c r="AP671" t="n">
        <v>0</v>
      </c>
      <c r="AQ671" t="n">
        <v>0</v>
      </c>
      <c r="AR671" t="inlineStr">
        <is>
          <t>No</t>
        </is>
      </c>
      <c r="AS671" t="inlineStr">
        <is>
          <t>Yes</t>
        </is>
      </c>
      <c r="AT671">
        <f>HYPERLINK("http://catalog.hathitrust.org/Record/001110893","HathiTrust Record")</f>
        <v/>
      </c>
      <c r="AU671">
        <f>HYPERLINK("https://creighton-primo.hosted.exlibrisgroup.com/primo-explore/search?tab=default_tab&amp;search_scope=EVERYTHING&amp;vid=01CRU&amp;lang=en_US&amp;offset=0&amp;query=any,contains,991004031989702656","Catalog Record")</f>
        <v/>
      </c>
      <c r="AV671">
        <f>HYPERLINK("http://www.worldcat.org/oclc/2158185","WorldCat Record")</f>
        <v/>
      </c>
      <c r="AW671" t="inlineStr">
        <is>
          <t>62930327:eng</t>
        </is>
      </c>
      <c r="AX671" t="inlineStr">
        <is>
          <t>2158185</t>
        </is>
      </c>
      <c r="AY671" t="inlineStr">
        <is>
          <t>991004031989702656</t>
        </is>
      </c>
      <c r="AZ671" t="inlineStr">
        <is>
          <t>991004031989702656</t>
        </is>
      </c>
      <c r="BA671" t="inlineStr">
        <is>
          <t>2257030520002656</t>
        </is>
      </c>
      <c r="BB671" t="inlineStr">
        <is>
          <t>BOOK</t>
        </is>
      </c>
      <c r="BE671" t="inlineStr">
        <is>
          <t>32285000331891</t>
        </is>
      </c>
      <c r="BF671" t="inlineStr">
        <is>
          <t>893705925</t>
        </is>
      </c>
    </row>
    <row r="672">
      <c r="A672" t="inlineStr">
        <is>
          <t>No</t>
        </is>
      </c>
      <c r="B672" t="inlineStr">
        <is>
          <t>CURAL</t>
        </is>
      </c>
      <c r="C672" t="inlineStr">
        <is>
          <t>SHELVES</t>
        </is>
      </c>
      <c r="D672" t="inlineStr">
        <is>
          <t>PR2910 .H25 1971</t>
        </is>
      </c>
      <c r="E672" t="inlineStr">
        <is>
          <t>0                      PR 2910000H  25          1971</t>
        </is>
      </c>
      <c r="F672" t="inlineStr">
        <is>
          <t>Shakespeare in his age / by F. E. Halliday.</t>
        </is>
      </c>
      <c r="H672" t="inlineStr">
        <is>
          <t>No</t>
        </is>
      </c>
      <c r="I672" t="inlineStr">
        <is>
          <t>1</t>
        </is>
      </c>
      <c r="J672" t="inlineStr">
        <is>
          <t>No</t>
        </is>
      </c>
      <c r="K672" t="inlineStr">
        <is>
          <t>No</t>
        </is>
      </c>
      <c r="L672" t="inlineStr">
        <is>
          <t>0</t>
        </is>
      </c>
      <c r="M672" t="inlineStr">
        <is>
          <t>Halliday, F. E. (Frank Ernest), 1903-1982.</t>
        </is>
      </c>
      <c r="N672" t="inlineStr">
        <is>
          <t>South Brunswick, N. Y. : T Yoseloff, [1971, c1956]</t>
        </is>
      </c>
      <c r="O672" t="inlineStr">
        <is>
          <t>1971</t>
        </is>
      </c>
      <c r="Q672" t="inlineStr">
        <is>
          <t>eng</t>
        </is>
      </c>
      <c r="R672" t="inlineStr">
        <is>
          <t>nyu</t>
        </is>
      </c>
      <c r="T672" t="inlineStr">
        <is>
          <t xml:space="preserve">PR </t>
        </is>
      </c>
      <c r="U672" t="n">
        <v>2</v>
      </c>
      <c r="V672" t="n">
        <v>2</v>
      </c>
      <c r="W672" t="inlineStr">
        <is>
          <t>1999-11-19</t>
        </is>
      </c>
      <c r="X672" t="inlineStr">
        <is>
          <t>1999-11-19</t>
        </is>
      </c>
      <c r="Y672" t="inlineStr">
        <is>
          <t>1990-10-04</t>
        </is>
      </c>
      <c r="Z672" t="inlineStr">
        <is>
          <t>1990-10-04</t>
        </is>
      </c>
      <c r="AA672" t="n">
        <v>88</v>
      </c>
      <c r="AB672" t="n">
        <v>84</v>
      </c>
      <c r="AC672" t="n">
        <v>974</v>
      </c>
      <c r="AD672" t="n">
        <v>2</v>
      </c>
      <c r="AE672" t="n">
        <v>9</v>
      </c>
      <c r="AF672" t="n">
        <v>3</v>
      </c>
      <c r="AG672" t="n">
        <v>37</v>
      </c>
      <c r="AH672" t="n">
        <v>1</v>
      </c>
      <c r="AI672" t="n">
        <v>13</v>
      </c>
      <c r="AJ672" t="n">
        <v>2</v>
      </c>
      <c r="AK672" t="n">
        <v>9</v>
      </c>
      <c r="AL672" t="n">
        <v>1</v>
      </c>
      <c r="AM672" t="n">
        <v>18</v>
      </c>
      <c r="AN672" t="n">
        <v>0</v>
      </c>
      <c r="AO672" t="n">
        <v>6</v>
      </c>
      <c r="AP672" t="n">
        <v>0</v>
      </c>
      <c r="AQ672" t="n">
        <v>0</v>
      </c>
      <c r="AR672" t="inlineStr">
        <is>
          <t>No</t>
        </is>
      </c>
      <c r="AS672" t="inlineStr">
        <is>
          <t>No</t>
        </is>
      </c>
      <c r="AU672">
        <f>HYPERLINK("https://creighton-primo.hosted.exlibrisgroup.com/primo-explore/search?tab=default_tab&amp;search_scope=EVERYTHING&amp;vid=01CRU&amp;lang=en_US&amp;offset=0&amp;query=any,contains,991002239849702656","Catalog Record")</f>
        <v/>
      </c>
      <c r="AV672">
        <f>HYPERLINK("http://www.worldcat.org/oclc/296998","WorldCat Record")</f>
        <v/>
      </c>
      <c r="AW672" t="inlineStr">
        <is>
          <t>2595123664:eng</t>
        </is>
      </c>
      <c r="AX672" t="inlineStr">
        <is>
          <t>296998</t>
        </is>
      </c>
      <c r="AY672" t="inlineStr">
        <is>
          <t>991002239849702656</t>
        </is>
      </c>
      <c r="AZ672" t="inlineStr">
        <is>
          <t>991002239849702656</t>
        </is>
      </c>
      <c r="BA672" t="inlineStr">
        <is>
          <t>2262777700002656</t>
        </is>
      </c>
      <c r="BB672" t="inlineStr">
        <is>
          <t>BOOK</t>
        </is>
      </c>
      <c r="BE672" t="inlineStr">
        <is>
          <t>32285000331909</t>
        </is>
      </c>
      <c r="BF672" t="inlineStr">
        <is>
          <t>893232722</t>
        </is>
      </c>
    </row>
    <row r="673">
      <c r="A673" t="inlineStr">
        <is>
          <t>No</t>
        </is>
      </c>
      <c r="B673" t="inlineStr">
        <is>
          <t>CURAL</t>
        </is>
      </c>
      <c r="C673" t="inlineStr">
        <is>
          <t>SHELVES</t>
        </is>
      </c>
      <c r="D673" t="inlineStr">
        <is>
          <t>PR2910 .M32 1995</t>
        </is>
      </c>
      <c r="E673" t="inlineStr">
        <is>
          <t>0                      PR 2910000M  32          1995</t>
        </is>
      </c>
      <c r="F673" t="inlineStr">
        <is>
          <t>Inscribing the time : Shakespeare and the end of Elizabethan England / Eric S. Mallin.</t>
        </is>
      </c>
      <c r="H673" t="inlineStr">
        <is>
          <t>No</t>
        </is>
      </c>
      <c r="I673" t="inlineStr">
        <is>
          <t>1</t>
        </is>
      </c>
      <c r="J673" t="inlineStr">
        <is>
          <t>No</t>
        </is>
      </c>
      <c r="K673" t="inlineStr">
        <is>
          <t>No</t>
        </is>
      </c>
      <c r="L673" t="inlineStr">
        <is>
          <t>0</t>
        </is>
      </c>
      <c r="M673" t="inlineStr">
        <is>
          <t>Mallin, Eric Scott.</t>
        </is>
      </c>
      <c r="N673" t="inlineStr">
        <is>
          <t>Berkeley : University of California Press, c1995.</t>
        </is>
      </c>
      <c r="O673" t="inlineStr">
        <is>
          <t>1995</t>
        </is>
      </c>
      <c r="Q673" t="inlineStr">
        <is>
          <t>eng</t>
        </is>
      </c>
      <c r="R673" t="inlineStr">
        <is>
          <t>cau</t>
        </is>
      </c>
      <c r="S673" t="inlineStr">
        <is>
          <t>The New historicism ; 33</t>
        </is>
      </c>
      <c r="T673" t="inlineStr">
        <is>
          <t xml:space="preserve">PR </t>
        </is>
      </c>
      <c r="U673" t="n">
        <v>3</v>
      </c>
      <c r="V673" t="n">
        <v>3</v>
      </c>
      <c r="W673" t="inlineStr">
        <is>
          <t>2003-11-02</t>
        </is>
      </c>
      <c r="X673" t="inlineStr">
        <is>
          <t>2003-11-02</t>
        </is>
      </c>
      <c r="Y673" t="inlineStr">
        <is>
          <t>1996-06-25</t>
        </is>
      </c>
      <c r="Z673" t="inlineStr">
        <is>
          <t>1996-06-25</t>
        </is>
      </c>
      <c r="AA673" t="n">
        <v>396</v>
      </c>
      <c r="AB673" t="n">
        <v>307</v>
      </c>
      <c r="AC673" t="n">
        <v>850</v>
      </c>
      <c r="AD673" t="n">
        <v>3</v>
      </c>
      <c r="AE673" t="n">
        <v>4</v>
      </c>
      <c r="AF673" t="n">
        <v>20</v>
      </c>
      <c r="AG673" t="n">
        <v>29</v>
      </c>
      <c r="AH673" t="n">
        <v>7</v>
      </c>
      <c r="AI673" t="n">
        <v>11</v>
      </c>
      <c r="AJ673" t="n">
        <v>6</v>
      </c>
      <c r="AK673" t="n">
        <v>8</v>
      </c>
      <c r="AL673" t="n">
        <v>12</v>
      </c>
      <c r="AM673" t="n">
        <v>16</v>
      </c>
      <c r="AN673" t="n">
        <v>2</v>
      </c>
      <c r="AO673" t="n">
        <v>3</v>
      </c>
      <c r="AP673" t="n">
        <v>0</v>
      </c>
      <c r="AQ673" t="n">
        <v>0</v>
      </c>
      <c r="AR673" t="inlineStr">
        <is>
          <t>No</t>
        </is>
      </c>
      <c r="AS673" t="inlineStr">
        <is>
          <t>No</t>
        </is>
      </c>
      <c r="AU673">
        <f>HYPERLINK("https://creighton-primo.hosted.exlibrisgroup.com/primo-explore/search?tab=default_tab&amp;search_scope=EVERYTHING&amp;vid=01CRU&amp;lang=en_US&amp;offset=0&amp;query=any,contains,991002377299702656","Catalog Record")</f>
        <v/>
      </c>
      <c r="AV673">
        <f>HYPERLINK("http://www.worldcat.org/oclc/30895912","WorldCat Record")</f>
        <v/>
      </c>
      <c r="AW673" t="inlineStr">
        <is>
          <t>836919832:eng</t>
        </is>
      </c>
      <c r="AX673" t="inlineStr">
        <is>
          <t>30895912</t>
        </is>
      </c>
      <c r="AY673" t="inlineStr">
        <is>
          <t>991002377299702656</t>
        </is>
      </c>
      <c r="AZ673" t="inlineStr">
        <is>
          <t>991002377299702656</t>
        </is>
      </c>
      <c r="BA673" t="inlineStr">
        <is>
          <t>2272352850002656</t>
        </is>
      </c>
      <c r="BB673" t="inlineStr">
        <is>
          <t>BOOK</t>
        </is>
      </c>
      <c r="BD673" t="inlineStr">
        <is>
          <t>9780520086234</t>
        </is>
      </c>
      <c r="BE673" t="inlineStr">
        <is>
          <t>32285002173101</t>
        </is>
      </c>
      <c r="BF673" t="inlineStr">
        <is>
          <t>893245098</t>
        </is>
      </c>
    </row>
    <row r="674">
      <c r="A674" t="inlineStr">
        <is>
          <t>No</t>
        </is>
      </c>
      <c r="B674" t="inlineStr">
        <is>
          <t>CURAL</t>
        </is>
      </c>
      <c r="C674" t="inlineStr">
        <is>
          <t>SHELVES</t>
        </is>
      </c>
      <c r="D674" t="inlineStr">
        <is>
          <t>PR2912.M3 G5 1976</t>
        </is>
      </c>
      <c r="E674" t="inlineStr">
        <is>
          <t>0                      PR 2912000M  3                  G  5           1976</t>
        </is>
      </c>
      <c r="F674" t="inlineStr">
        <is>
          <t>Shakespeare's rival : a study in three parts / by Robert Gittings.</t>
        </is>
      </c>
      <c r="H674" t="inlineStr">
        <is>
          <t>No</t>
        </is>
      </c>
      <c r="I674" t="inlineStr">
        <is>
          <t>1</t>
        </is>
      </c>
      <c r="J674" t="inlineStr">
        <is>
          <t>No</t>
        </is>
      </c>
      <c r="K674" t="inlineStr">
        <is>
          <t>No</t>
        </is>
      </c>
      <c r="L674" t="inlineStr">
        <is>
          <t>0</t>
        </is>
      </c>
      <c r="M674" t="inlineStr">
        <is>
          <t>Gittings, Robert.</t>
        </is>
      </c>
      <c r="N674" t="inlineStr">
        <is>
          <t>Westport, Conn. : Greenwood Press, 1976, c1960.</t>
        </is>
      </c>
      <c r="O674" t="inlineStr">
        <is>
          <t>1976</t>
        </is>
      </c>
      <c r="Q674" t="inlineStr">
        <is>
          <t>eng</t>
        </is>
      </c>
      <c r="R674" t="inlineStr">
        <is>
          <t>ctu</t>
        </is>
      </c>
      <c r="T674" t="inlineStr">
        <is>
          <t xml:space="preserve">PR </t>
        </is>
      </c>
      <c r="U674" t="n">
        <v>1</v>
      </c>
      <c r="V674" t="n">
        <v>1</v>
      </c>
      <c r="W674" t="inlineStr">
        <is>
          <t>2000-10-24</t>
        </is>
      </c>
      <c r="X674" t="inlineStr">
        <is>
          <t>2000-10-24</t>
        </is>
      </c>
      <c r="Y674" t="inlineStr">
        <is>
          <t>1997-08-05</t>
        </is>
      </c>
      <c r="Z674" t="inlineStr">
        <is>
          <t>1997-08-05</t>
        </is>
      </c>
      <c r="AA674" t="n">
        <v>101</v>
      </c>
      <c r="AB674" t="n">
        <v>94</v>
      </c>
      <c r="AC674" t="n">
        <v>379</v>
      </c>
      <c r="AD674" t="n">
        <v>1</v>
      </c>
      <c r="AE674" t="n">
        <v>2</v>
      </c>
      <c r="AF674" t="n">
        <v>4</v>
      </c>
      <c r="AG674" t="n">
        <v>20</v>
      </c>
      <c r="AH674" t="n">
        <v>1</v>
      </c>
      <c r="AI674" t="n">
        <v>5</v>
      </c>
      <c r="AJ674" t="n">
        <v>1</v>
      </c>
      <c r="AK674" t="n">
        <v>7</v>
      </c>
      <c r="AL674" t="n">
        <v>2</v>
      </c>
      <c r="AM674" t="n">
        <v>13</v>
      </c>
      <c r="AN674" t="n">
        <v>0</v>
      </c>
      <c r="AO674" t="n">
        <v>1</v>
      </c>
      <c r="AP674" t="n">
        <v>0</v>
      </c>
      <c r="AQ674" t="n">
        <v>0</v>
      </c>
      <c r="AR674" t="inlineStr">
        <is>
          <t>No</t>
        </is>
      </c>
      <c r="AS674" t="inlineStr">
        <is>
          <t>No</t>
        </is>
      </c>
      <c r="AU674">
        <f>HYPERLINK("https://creighton-primo.hosted.exlibrisgroup.com/primo-explore/search?tab=default_tab&amp;search_scope=EVERYTHING&amp;vid=01CRU&amp;lang=en_US&amp;offset=0&amp;query=any,contains,991003991799702656","Catalog Record")</f>
        <v/>
      </c>
      <c r="AV674">
        <f>HYPERLINK("http://www.worldcat.org/oclc/2048159","WorldCat Record")</f>
        <v/>
      </c>
      <c r="AW674" t="inlineStr">
        <is>
          <t>501706:eng</t>
        </is>
      </c>
      <c r="AX674" t="inlineStr">
        <is>
          <t>2048159</t>
        </is>
      </c>
      <c r="AY674" t="inlineStr">
        <is>
          <t>991003991799702656</t>
        </is>
      </c>
      <c r="AZ674" t="inlineStr">
        <is>
          <t>991003991799702656</t>
        </is>
      </c>
      <c r="BA674" t="inlineStr">
        <is>
          <t>2269326530002656</t>
        </is>
      </c>
      <c r="BB674" t="inlineStr">
        <is>
          <t>BOOK</t>
        </is>
      </c>
      <c r="BD674" t="inlineStr">
        <is>
          <t>9780837188140</t>
        </is>
      </c>
      <c r="BE674" t="inlineStr">
        <is>
          <t>32285002999026</t>
        </is>
      </c>
      <c r="BF674" t="inlineStr">
        <is>
          <t>893531851</t>
        </is>
      </c>
    </row>
    <row r="675">
      <c r="A675" t="inlineStr">
        <is>
          <t>No</t>
        </is>
      </c>
      <c r="B675" t="inlineStr">
        <is>
          <t>CURAL</t>
        </is>
      </c>
      <c r="C675" t="inlineStr">
        <is>
          <t>SHELVES</t>
        </is>
      </c>
      <c r="D675" t="inlineStr">
        <is>
          <t>PR2915 .W5</t>
        </is>
      </c>
      <c r="E675" t="inlineStr">
        <is>
          <t>0                      PR 2915000W  5</t>
        </is>
      </c>
      <c r="F675" t="inlineStr">
        <is>
          <t>Shakespeare's England, by William Winter.</t>
        </is>
      </c>
      <c r="H675" t="inlineStr">
        <is>
          <t>No</t>
        </is>
      </c>
      <c r="I675" t="inlineStr">
        <is>
          <t>1</t>
        </is>
      </c>
      <c r="J675" t="inlineStr">
        <is>
          <t>No</t>
        </is>
      </c>
      <c r="K675" t="inlineStr">
        <is>
          <t>No</t>
        </is>
      </c>
      <c r="L675" t="inlineStr">
        <is>
          <t>0</t>
        </is>
      </c>
      <c r="M675" t="inlineStr">
        <is>
          <t>Winter, William, 1836-1917.</t>
        </is>
      </c>
      <c r="N675" t="inlineStr">
        <is>
          <t>New York and London, Macmillan, 1892.</t>
        </is>
      </c>
      <c r="O675" t="inlineStr">
        <is>
          <t>1892</t>
        </is>
      </c>
      <c r="P675" t="inlineStr">
        <is>
          <t>New ed.</t>
        </is>
      </c>
      <c r="Q675" t="inlineStr">
        <is>
          <t>eng</t>
        </is>
      </c>
      <c r="R675" t="inlineStr">
        <is>
          <t>nyu</t>
        </is>
      </c>
      <c r="T675" t="inlineStr">
        <is>
          <t xml:space="preserve">PR </t>
        </is>
      </c>
      <c r="U675" t="n">
        <v>2</v>
      </c>
      <c r="V675" t="n">
        <v>2</v>
      </c>
      <c r="W675" t="inlineStr">
        <is>
          <t>2008-12-08</t>
        </is>
      </c>
      <c r="X675" t="inlineStr">
        <is>
          <t>2008-12-08</t>
        </is>
      </c>
      <c r="Y675" t="inlineStr">
        <is>
          <t>1997-08-05</t>
        </is>
      </c>
      <c r="Z675" t="inlineStr">
        <is>
          <t>1997-08-05</t>
        </is>
      </c>
      <c r="AA675" t="n">
        <v>175</v>
      </c>
      <c r="AB675" t="n">
        <v>164</v>
      </c>
      <c r="AC675" t="n">
        <v>646</v>
      </c>
      <c r="AD675" t="n">
        <v>1</v>
      </c>
      <c r="AE675" t="n">
        <v>8</v>
      </c>
      <c r="AF675" t="n">
        <v>9</v>
      </c>
      <c r="AG675" t="n">
        <v>30</v>
      </c>
      <c r="AH675" t="n">
        <v>4</v>
      </c>
      <c r="AI675" t="n">
        <v>12</v>
      </c>
      <c r="AJ675" t="n">
        <v>2</v>
      </c>
      <c r="AK675" t="n">
        <v>4</v>
      </c>
      <c r="AL675" t="n">
        <v>6</v>
      </c>
      <c r="AM675" t="n">
        <v>15</v>
      </c>
      <c r="AN675" t="n">
        <v>0</v>
      </c>
      <c r="AO675" t="n">
        <v>5</v>
      </c>
      <c r="AP675" t="n">
        <v>0</v>
      </c>
      <c r="AQ675" t="n">
        <v>0</v>
      </c>
      <c r="AR675" t="inlineStr">
        <is>
          <t>Yes</t>
        </is>
      </c>
      <c r="AS675" t="inlineStr">
        <is>
          <t>No</t>
        </is>
      </c>
      <c r="AT675">
        <f>HYPERLINK("http://catalog.hathitrust.org/Record/007693795","HathiTrust Record")</f>
        <v/>
      </c>
      <c r="AU675">
        <f>HYPERLINK("https://creighton-primo.hosted.exlibrisgroup.com/primo-explore/search?tab=default_tab&amp;search_scope=EVERYTHING&amp;vid=01CRU&amp;lang=en_US&amp;offset=0&amp;query=any,contains,991003515939702656","Catalog Record")</f>
        <v/>
      </c>
      <c r="AV675">
        <f>HYPERLINK("http://www.worldcat.org/oclc/1073344","WorldCat Record")</f>
        <v/>
      </c>
      <c r="AW675" t="inlineStr">
        <is>
          <t>505365:eng</t>
        </is>
      </c>
      <c r="AX675" t="inlineStr">
        <is>
          <t>1073344</t>
        </is>
      </c>
      <c r="AY675" t="inlineStr">
        <is>
          <t>991003515939702656</t>
        </is>
      </c>
      <c r="AZ675" t="inlineStr">
        <is>
          <t>991003515939702656</t>
        </is>
      </c>
      <c r="BA675" t="inlineStr">
        <is>
          <t>2254853030002656</t>
        </is>
      </c>
      <c r="BB675" t="inlineStr">
        <is>
          <t>BOOK</t>
        </is>
      </c>
      <c r="BE675" t="inlineStr">
        <is>
          <t>32285002999034</t>
        </is>
      </c>
      <c r="BF675" t="inlineStr">
        <is>
          <t>893598655</t>
        </is>
      </c>
    </row>
    <row r="676">
      <c r="A676" t="inlineStr">
        <is>
          <t>No</t>
        </is>
      </c>
      <c r="B676" t="inlineStr">
        <is>
          <t>CURAL</t>
        </is>
      </c>
      <c r="C676" t="inlineStr">
        <is>
          <t>SHELVES</t>
        </is>
      </c>
      <c r="D676" t="inlineStr">
        <is>
          <t>PR2920.P63 S5</t>
        </is>
      </c>
      <c r="E676" t="inlineStr">
        <is>
          <t>0                      PR 2920000P  63                 S  5</t>
        </is>
      </c>
      <c r="F676" t="inlineStr">
        <is>
          <t>Shakespeare in the theater / by William Poel.</t>
        </is>
      </c>
      <c r="H676" t="inlineStr">
        <is>
          <t>No</t>
        </is>
      </c>
      <c r="I676" t="inlineStr">
        <is>
          <t>1</t>
        </is>
      </c>
      <c r="J676" t="inlineStr">
        <is>
          <t>No</t>
        </is>
      </c>
      <c r="K676" t="inlineStr">
        <is>
          <t>No</t>
        </is>
      </c>
      <c r="L676" t="inlineStr">
        <is>
          <t>0</t>
        </is>
      </c>
      <c r="M676" t="inlineStr">
        <is>
          <t>Poel, William, 1852-1934.</t>
        </is>
      </c>
      <c r="N676" t="inlineStr">
        <is>
          <t>London ; Toronto : Sidgwick and Jackson, Ltd., 1913.</t>
        </is>
      </c>
      <c r="O676" t="inlineStr">
        <is>
          <t>1913</t>
        </is>
      </c>
      <c r="Q676" t="inlineStr">
        <is>
          <t>eng</t>
        </is>
      </c>
      <c r="R676" t="inlineStr">
        <is>
          <t>enk</t>
        </is>
      </c>
      <c r="T676" t="inlineStr">
        <is>
          <t xml:space="preserve">PR </t>
        </is>
      </c>
      <c r="U676" t="n">
        <v>2</v>
      </c>
      <c r="V676" t="n">
        <v>2</v>
      </c>
      <c r="W676" t="inlineStr">
        <is>
          <t>1995-11-27</t>
        </is>
      </c>
      <c r="X676" t="inlineStr">
        <is>
          <t>1995-11-27</t>
        </is>
      </c>
      <c r="Y676" t="inlineStr">
        <is>
          <t>1990-03-14</t>
        </is>
      </c>
      <c r="Z676" t="inlineStr">
        <is>
          <t>1990-03-14</t>
        </is>
      </c>
      <c r="AA676" t="n">
        <v>136</v>
      </c>
      <c r="AB676" t="n">
        <v>92</v>
      </c>
      <c r="AC676" t="n">
        <v>578</v>
      </c>
      <c r="AD676" t="n">
        <v>3</v>
      </c>
      <c r="AE676" t="n">
        <v>7</v>
      </c>
      <c r="AF676" t="n">
        <v>5</v>
      </c>
      <c r="AG676" t="n">
        <v>33</v>
      </c>
      <c r="AH676" t="n">
        <v>2</v>
      </c>
      <c r="AI676" t="n">
        <v>11</v>
      </c>
      <c r="AJ676" t="n">
        <v>1</v>
      </c>
      <c r="AK676" t="n">
        <v>7</v>
      </c>
      <c r="AL676" t="n">
        <v>2</v>
      </c>
      <c r="AM676" t="n">
        <v>16</v>
      </c>
      <c r="AN676" t="n">
        <v>2</v>
      </c>
      <c r="AO676" t="n">
        <v>6</v>
      </c>
      <c r="AP676" t="n">
        <v>0</v>
      </c>
      <c r="AQ676" t="n">
        <v>0</v>
      </c>
      <c r="AR676" t="inlineStr">
        <is>
          <t>Yes</t>
        </is>
      </c>
      <c r="AS676" t="inlineStr">
        <is>
          <t>No</t>
        </is>
      </c>
      <c r="AT676">
        <f>HYPERLINK("http://catalog.hathitrust.org/Record/001909182","HathiTrust Record")</f>
        <v/>
      </c>
      <c r="AU676">
        <f>HYPERLINK("https://creighton-primo.hosted.exlibrisgroup.com/primo-explore/search?tab=default_tab&amp;search_scope=EVERYTHING&amp;vid=01CRU&amp;lang=en_US&amp;offset=0&amp;query=any,contains,991001177449702656","Catalog Record")</f>
        <v/>
      </c>
      <c r="AV676">
        <f>HYPERLINK("http://www.worldcat.org/oclc/188999","WorldCat Record")</f>
        <v/>
      </c>
      <c r="AW676" t="inlineStr">
        <is>
          <t>1390951:eng</t>
        </is>
      </c>
      <c r="AX676" t="inlineStr">
        <is>
          <t>188999</t>
        </is>
      </c>
      <c r="AY676" t="inlineStr">
        <is>
          <t>991001177449702656</t>
        </is>
      </c>
      <c r="AZ676" t="inlineStr">
        <is>
          <t>991001177449702656</t>
        </is>
      </c>
      <c r="BA676" t="inlineStr">
        <is>
          <t>2268039490002656</t>
        </is>
      </c>
      <c r="BB676" t="inlineStr">
        <is>
          <t>BOOK</t>
        </is>
      </c>
      <c r="BE676" t="inlineStr">
        <is>
          <t>32285000083260</t>
        </is>
      </c>
      <c r="BF676" t="inlineStr">
        <is>
          <t>893608618</t>
        </is>
      </c>
    </row>
    <row r="677">
      <c r="A677" t="inlineStr">
        <is>
          <t>No</t>
        </is>
      </c>
      <c r="B677" t="inlineStr">
        <is>
          <t>CURAL</t>
        </is>
      </c>
      <c r="C677" t="inlineStr">
        <is>
          <t>SHELVES</t>
        </is>
      </c>
      <c r="D677" t="inlineStr">
        <is>
          <t>PR2933.F64 S3</t>
        </is>
      </c>
      <c r="E677" t="inlineStr">
        <is>
          <t>0                      PR 2933000F  64                 S  3</t>
        </is>
      </c>
      <c r="F677" t="inlineStr">
        <is>
          <t>Shakespeare, the Globe &amp; the world / by S. Schoenbaum.</t>
        </is>
      </c>
      <c r="H677" t="inlineStr">
        <is>
          <t>No</t>
        </is>
      </c>
      <c r="I677" t="inlineStr">
        <is>
          <t>1</t>
        </is>
      </c>
      <c r="J677" t="inlineStr">
        <is>
          <t>No</t>
        </is>
      </c>
      <c r="K677" t="inlineStr">
        <is>
          <t>No</t>
        </is>
      </c>
      <c r="L677" t="inlineStr">
        <is>
          <t>0</t>
        </is>
      </c>
      <c r="M677" t="inlineStr">
        <is>
          <t>Schoenbaum, S. (Samuel), 1927-1996.</t>
        </is>
      </c>
      <c r="N677" t="inlineStr">
        <is>
          <t>New York : Oxford University Press, 1979.</t>
        </is>
      </c>
      <c r="O677" t="inlineStr">
        <is>
          <t>1979</t>
        </is>
      </c>
      <c r="Q677" t="inlineStr">
        <is>
          <t>eng</t>
        </is>
      </c>
      <c r="R677" t="inlineStr">
        <is>
          <t>nyu</t>
        </is>
      </c>
      <c r="T677" t="inlineStr">
        <is>
          <t xml:space="preserve">PR </t>
        </is>
      </c>
      <c r="U677" t="n">
        <v>4</v>
      </c>
      <c r="V677" t="n">
        <v>4</v>
      </c>
      <c r="W677" t="inlineStr">
        <is>
          <t>1998-11-17</t>
        </is>
      </c>
      <c r="X677" t="inlineStr">
        <is>
          <t>1998-11-17</t>
        </is>
      </c>
      <c r="Y677" t="inlineStr">
        <is>
          <t>1991-10-24</t>
        </is>
      </c>
      <c r="Z677" t="inlineStr">
        <is>
          <t>1991-10-24</t>
        </is>
      </c>
      <c r="AA677" t="n">
        <v>1747</v>
      </c>
      <c r="AB677" t="n">
        <v>1511</v>
      </c>
      <c r="AC677" t="n">
        <v>1521</v>
      </c>
      <c r="AD677" t="n">
        <v>14</v>
      </c>
      <c r="AE677" t="n">
        <v>14</v>
      </c>
      <c r="AF677" t="n">
        <v>52</v>
      </c>
      <c r="AG677" t="n">
        <v>52</v>
      </c>
      <c r="AH677" t="n">
        <v>24</v>
      </c>
      <c r="AI677" t="n">
        <v>24</v>
      </c>
      <c r="AJ677" t="n">
        <v>9</v>
      </c>
      <c r="AK677" t="n">
        <v>9</v>
      </c>
      <c r="AL677" t="n">
        <v>21</v>
      </c>
      <c r="AM677" t="n">
        <v>21</v>
      </c>
      <c r="AN677" t="n">
        <v>10</v>
      </c>
      <c r="AO677" t="n">
        <v>10</v>
      </c>
      <c r="AP677" t="n">
        <v>0</v>
      </c>
      <c r="AQ677" t="n">
        <v>0</v>
      </c>
      <c r="AR677" t="inlineStr">
        <is>
          <t>No</t>
        </is>
      </c>
      <c r="AS677" t="inlineStr">
        <is>
          <t>Yes</t>
        </is>
      </c>
      <c r="AT677">
        <f>HYPERLINK("http://catalog.hathitrust.org/Record/000017530","HathiTrust Record")</f>
        <v/>
      </c>
      <c r="AU677">
        <f>HYPERLINK("https://creighton-primo.hosted.exlibrisgroup.com/primo-explore/search?tab=default_tab&amp;search_scope=EVERYTHING&amp;vid=01CRU&amp;lang=en_US&amp;offset=0&amp;query=any,contains,991004817609702656","Catalog Record")</f>
        <v/>
      </c>
      <c r="AV677">
        <f>HYPERLINK("http://www.worldcat.org/oclc/5311004","WorldCat Record")</f>
        <v/>
      </c>
      <c r="AW677" t="inlineStr">
        <is>
          <t>415073:eng</t>
        </is>
      </c>
      <c r="AX677" t="inlineStr">
        <is>
          <t>5311004</t>
        </is>
      </c>
      <c r="AY677" t="inlineStr">
        <is>
          <t>991004817609702656</t>
        </is>
      </c>
      <c r="AZ677" t="inlineStr">
        <is>
          <t>991004817609702656</t>
        </is>
      </c>
      <c r="BA677" t="inlineStr">
        <is>
          <t>2266404030002656</t>
        </is>
      </c>
      <c r="BB677" t="inlineStr">
        <is>
          <t>BOOK</t>
        </is>
      </c>
      <c r="BD677" t="inlineStr">
        <is>
          <t>9780195026450</t>
        </is>
      </c>
      <c r="BE677" t="inlineStr">
        <is>
          <t>32285000800424</t>
        </is>
      </c>
      <c r="BF677" t="inlineStr">
        <is>
          <t>893235953</t>
        </is>
      </c>
    </row>
    <row r="678">
      <c r="A678" t="inlineStr">
        <is>
          <t>No</t>
        </is>
      </c>
      <c r="B678" t="inlineStr">
        <is>
          <t>CURAL</t>
        </is>
      </c>
      <c r="C678" t="inlineStr">
        <is>
          <t>SHELVES</t>
        </is>
      </c>
      <c r="D678" t="inlineStr">
        <is>
          <t>PR2937 .A65</t>
        </is>
      </c>
      <c r="E678" t="inlineStr">
        <is>
          <t>0                      PR 2937000A  65</t>
        </is>
      </c>
      <c r="F678" t="inlineStr">
        <is>
          <t>Shakespeare cross-examination; a compilation of articles first appearing in the American Bar Association journal.</t>
        </is>
      </c>
      <c r="H678" t="inlineStr">
        <is>
          <t>No</t>
        </is>
      </c>
      <c r="I678" t="inlineStr">
        <is>
          <t>1</t>
        </is>
      </c>
      <c r="J678" t="inlineStr">
        <is>
          <t>No</t>
        </is>
      </c>
      <c r="K678" t="inlineStr">
        <is>
          <t>No</t>
        </is>
      </c>
      <c r="L678" t="inlineStr">
        <is>
          <t>0</t>
        </is>
      </c>
      <c r="M678" t="inlineStr">
        <is>
          <t>American Bar Association journal.</t>
        </is>
      </c>
      <c r="N678" t="inlineStr">
        <is>
          <t>Chicago, Cuneo Press, 1961.</t>
        </is>
      </c>
      <c r="O678" t="inlineStr">
        <is>
          <t>1961</t>
        </is>
      </c>
      <c r="Q678" t="inlineStr">
        <is>
          <t>eng</t>
        </is>
      </c>
      <c r="R678" t="inlineStr">
        <is>
          <t>ilu</t>
        </is>
      </c>
      <c r="T678" t="inlineStr">
        <is>
          <t xml:space="preserve">PR </t>
        </is>
      </c>
      <c r="U678" t="n">
        <v>3</v>
      </c>
      <c r="V678" t="n">
        <v>3</v>
      </c>
      <c r="W678" t="inlineStr">
        <is>
          <t>1992-02-10</t>
        </is>
      </c>
      <c r="X678" t="inlineStr">
        <is>
          <t>1992-02-10</t>
        </is>
      </c>
      <c r="Y678" t="inlineStr">
        <is>
          <t>1991-12-12</t>
        </is>
      </c>
      <c r="Z678" t="inlineStr">
        <is>
          <t>1991-12-12</t>
        </is>
      </c>
      <c r="AA678" t="n">
        <v>251</v>
      </c>
      <c r="AB678" t="n">
        <v>242</v>
      </c>
      <c r="AC678" t="n">
        <v>244</v>
      </c>
      <c r="AD678" t="n">
        <v>2</v>
      </c>
      <c r="AE678" t="n">
        <v>2</v>
      </c>
      <c r="AF678" t="n">
        <v>19</v>
      </c>
      <c r="AG678" t="n">
        <v>20</v>
      </c>
      <c r="AH678" t="n">
        <v>8</v>
      </c>
      <c r="AI678" t="n">
        <v>8</v>
      </c>
      <c r="AJ678" t="n">
        <v>5</v>
      </c>
      <c r="AK678" t="n">
        <v>6</v>
      </c>
      <c r="AL678" t="n">
        <v>8</v>
      </c>
      <c r="AM678" t="n">
        <v>8</v>
      </c>
      <c r="AN678" t="n">
        <v>1</v>
      </c>
      <c r="AO678" t="n">
        <v>1</v>
      </c>
      <c r="AP678" t="n">
        <v>5</v>
      </c>
      <c r="AQ678" t="n">
        <v>5</v>
      </c>
      <c r="AR678" t="inlineStr">
        <is>
          <t>No</t>
        </is>
      </c>
      <c r="AS678" t="inlineStr">
        <is>
          <t>No</t>
        </is>
      </c>
      <c r="AT678">
        <f>HYPERLINK("http://catalog.hathitrust.org/Record/010013536","HathiTrust Record")</f>
        <v/>
      </c>
      <c r="AU678">
        <f>HYPERLINK("https://creighton-primo.hosted.exlibrisgroup.com/primo-explore/search?tab=default_tab&amp;search_scope=EVERYTHING&amp;vid=01CRU&amp;lang=en_US&amp;offset=0&amp;query=any,contains,991000995859702656","Catalog Record")</f>
        <v/>
      </c>
      <c r="AV678">
        <f>HYPERLINK("http://www.worldcat.org/oclc/171385","WorldCat Record")</f>
        <v/>
      </c>
      <c r="AW678" t="inlineStr">
        <is>
          <t>5453661000:eng</t>
        </is>
      </c>
      <c r="AX678" t="inlineStr">
        <is>
          <t>171385</t>
        </is>
      </c>
      <c r="AY678" t="inlineStr">
        <is>
          <t>991000995859702656</t>
        </is>
      </c>
      <c r="AZ678" t="inlineStr">
        <is>
          <t>991000995859702656</t>
        </is>
      </c>
      <c r="BA678" t="inlineStr">
        <is>
          <t>2267273570002656</t>
        </is>
      </c>
      <c r="BB678" t="inlineStr">
        <is>
          <t>BOOK</t>
        </is>
      </c>
      <c r="BE678" t="inlineStr">
        <is>
          <t>32285000900885</t>
        </is>
      </c>
      <c r="BF678" t="inlineStr">
        <is>
          <t>893715076</t>
        </is>
      </c>
    </row>
    <row r="679">
      <c r="A679" t="inlineStr">
        <is>
          <t>No</t>
        </is>
      </c>
      <c r="B679" t="inlineStr">
        <is>
          <t>CURAL</t>
        </is>
      </c>
      <c r="C679" t="inlineStr">
        <is>
          <t>SHELVES</t>
        </is>
      </c>
      <c r="D679" t="inlineStr">
        <is>
          <t>PR2937 .C55 1959</t>
        </is>
      </c>
      <c r="E679" t="inlineStr">
        <is>
          <t>0                      PR 2937000C  55          1959</t>
        </is>
      </c>
      <c r="F679" t="inlineStr">
        <is>
          <t>Shakespeare and his betters : a history and a criticism of the attempts which have been made to prove that Shakespeare's works were written by others / with collaboration in bibliography and research by Maurice Hussey. Foreword by Ivor Brown.</t>
        </is>
      </c>
      <c r="H679" t="inlineStr">
        <is>
          <t>No</t>
        </is>
      </c>
      <c r="I679" t="inlineStr">
        <is>
          <t>1</t>
        </is>
      </c>
      <c r="J679" t="inlineStr">
        <is>
          <t>No</t>
        </is>
      </c>
      <c r="K679" t="inlineStr">
        <is>
          <t>No</t>
        </is>
      </c>
      <c r="L679" t="inlineStr">
        <is>
          <t>0</t>
        </is>
      </c>
      <c r="M679" t="inlineStr">
        <is>
          <t>Churchill, Reginald Charles.</t>
        </is>
      </c>
      <c r="N679" t="inlineStr">
        <is>
          <t>Bloomington : Indiana University Press, [1959, c1958]</t>
        </is>
      </c>
      <c r="O679" t="inlineStr">
        <is>
          <t>1959</t>
        </is>
      </c>
      <c r="Q679" t="inlineStr">
        <is>
          <t>eng</t>
        </is>
      </c>
      <c r="R679" t="inlineStr">
        <is>
          <t>inu</t>
        </is>
      </c>
      <c r="T679" t="inlineStr">
        <is>
          <t xml:space="preserve">PR </t>
        </is>
      </c>
      <c r="U679" t="n">
        <v>3</v>
      </c>
      <c r="V679" t="n">
        <v>3</v>
      </c>
      <c r="W679" t="inlineStr">
        <is>
          <t>1998-11-17</t>
        </is>
      </c>
      <c r="X679" t="inlineStr">
        <is>
          <t>1998-11-17</t>
        </is>
      </c>
      <c r="Y679" t="inlineStr">
        <is>
          <t>1992-03-03</t>
        </is>
      </c>
      <c r="Z679" t="inlineStr">
        <is>
          <t>1992-03-03</t>
        </is>
      </c>
      <c r="AA679" t="n">
        <v>336</v>
      </c>
      <c r="AB679" t="n">
        <v>327</v>
      </c>
      <c r="AC679" t="n">
        <v>561</v>
      </c>
      <c r="AD679" t="n">
        <v>3</v>
      </c>
      <c r="AE679" t="n">
        <v>3</v>
      </c>
      <c r="AF679" t="n">
        <v>16</v>
      </c>
      <c r="AG679" t="n">
        <v>29</v>
      </c>
      <c r="AH679" t="n">
        <v>6</v>
      </c>
      <c r="AI679" t="n">
        <v>11</v>
      </c>
      <c r="AJ679" t="n">
        <v>6</v>
      </c>
      <c r="AK679" t="n">
        <v>9</v>
      </c>
      <c r="AL679" t="n">
        <v>7</v>
      </c>
      <c r="AM679" t="n">
        <v>15</v>
      </c>
      <c r="AN679" t="n">
        <v>2</v>
      </c>
      <c r="AO679" t="n">
        <v>2</v>
      </c>
      <c r="AP679" t="n">
        <v>0</v>
      </c>
      <c r="AQ679" t="n">
        <v>0</v>
      </c>
      <c r="AR679" t="inlineStr">
        <is>
          <t>No</t>
        </is>
      </c>
      <c r="AS679" t="inlineStr">
        <is>
          <t>Yes</t>
        </is>
      </c>
      <c r="AT679">
        <f>HYPERLINK("http://catalog.hathitrust.org/Record/001018502","HathiTrust Record")</f>
        <v/>
      </c>
      <c r="AU679">
        <f>HYPERLINK("https://creighton-primo.hosted.exlibrisgroup.com/primo-explore/search?tab=default_tab&amp;search_scope=EVERYTHING&amp;vid=01CRU&amp;lang=en_US&amp;offset=0&amp;query=any,contains,991002478539702656","Catalog Record")</f>
        <v/>
      </c>
      <c r="AV679">
        <f>HYPERLINK("http://www.worldcat.org/oclc/359202","WorldCat Record")</f>
        <v/>
      </c>
      <c r="AW679" t="inlineStr">
        <is>
          <t>1408516:eng</t>
        </is>
      </c>
      <c r="AX679" t="inlineStr">
        <is>
          <t>359202</t>
        </is>
      </c>
      <c r="AY679" t="inlineStr">
        <is>
          <t>991002478539702656</t>
        </is>
      </c>
      <c r="AZ679" t="inlineStr">
        <is>
          <t>991002478539702656</t>
        </is>
      </c>
      <c r="BA679" t="inlineStr">
        <is>
          <t>2272540190002656</t>
        </is>
      </c>
      <c r="BB679" t="inlineStr">
        <is>
          <t>BOOK</t>
        </is>
      </c>
      <c r="BE679" t="inlineStr">
        <is>
          <t>32285000979863</t>
        </is>
      </c>
      <c r="BF679" t="inlineStr">
        <is>
          <t>893262305</t>
        </is>
      </c>
    </row>
    <row r="680">
      <c r="A680" t="inlineStr">
        <is>
          <t>No</t>
        </is>
      </c>
      <c r="B680" t="inlineStr">
        <is>
          <t>CURAL</t>
        </is>
      </c>
      <c r="C680" t="inlineStr">
        <is>
          <t>SHELVES</t>
        </is>
      </c>
      <c r="D680" t="inlineStr">
        <is>
          <t>PR2937 .G5</t>
        </is>
      </c>
      <c r="E680" t="inlineStr">
        <is>
          <t>0                      PR 2937000G  5</t>
        </is>
      </c>
      <c r="F680" t="inlineStr">
        <is>
          <t>The Shakespeare claimants : a critical survey of the four principal theories concerning the authorship of the Shakespearean plays.</t>
        </is>
      </c>
      <c r="H680" t="inlineStr">
        <is>
          <t>No</t>
        </is>
      </c>
      <c r="I680" t="inlineStr">
        <is>
          <t>1</t>
        </is>
      </c>
      <c r="J680" t="inlineStr">
        <is>
          <t>No</t>
        </is>
      </c>
      <c r="K680" t="inlineStr">
        <is>
          <t>No</t>
        </is>
      </c>
      <c r="L680" t="inlineStr">
        <is>
          <t>0</t>
        </is>
      </c>
      <c r="M680" t="inlineStr">
        <is>
          <t>Gibson, H. N.</t>
        </is>
      </c>
      <c r="N680" t="inlineStr">
        <is>
          <t>New York : Barnes &amp; Noble, [1962]</t>
        </is>
      </c>
      <c r="O680" t="inlineStr">
        <is>
          <t>1962</t>
        </is>
      </c>
      <c r="Q680" t="inlineStr">
        <is>
          <t>eng</t>
        </is>
      </c>
      <c r="R680" t="inlineStr">
        <is>
          <t>nyu</t>
        </is>
      </c>
      <c r="T680" t="inlineStr">
        <is>
          <t xml:space="preserve">PR </t>
        </is>
      </c>
      <c r="U680" t="n">
        <v>10</v>
      </c>
      <c r="V680" t="n">
        <v>10</v>
      </c>
      <c r="W680" t="inlineStr">
        <is>
          <t>1998-04-14</t>
        </is>
      </c>
      <c r="X680" t="inlineStr">
        <is>
          <t>1998-04-14</t>
        </is>
      </c>
      <c r="Y680" t="inlineStr">
        <is>
          <t>1990-10-04</t>
        </is>
      </c>
      <c r="Z680" t="inlineStr">
        <is>
          <t>1990-10-04</t>
        </is>
      </c>
      <c r="AA680" t="n">
        <v>660</v>
      </c>
      <c r="AB680" t="n">
        <v>639</v>
      </c>
      <c r="AC680" t="n">
        <v>648</v>
      </c>
      <c r="AD680" t="n">
        <v>4</v>
      </c>
      <c r="AE680" t="n">
        <v>4</v>
      </c>
      <c r="AF680" t="n">
        <v>22</v>
      </c>
      <c r="AG680" t="n">
        <v>22</v>
      </c>
      <c r="AH680" t="n">
        <v>9</v>
      </c>
      <c r="AI680" t="n">
        <v>9</v>
      </c>
      <c r="AJ680" t="n">
        <v>4</v>
      </c>
      <c r="AK680" t="n">
        <v>4</v>
      </c>
      <c r="AL680" t="n">
        <v>10</v>
      </c>
      <c r="AM680" t="n">
        <v>10</v>
      </c>
      <c r="AN680" t="n">
        <v>3</v>
      </c>
      <c r="AO680" t="n">
        <v>3</v>
      </c>
      <c r="AP680" t="n">
        <v>0</v>
      </c>
      <c r="AQ680" t="n">
        <v>0</v>
      </c>
      <c r="AR680" t="inlineStr">
        <is>
          <t>No</t>
        </is>
      </c>
      <c r="AS680" t="inlineStr">
        <is>
          <t>Yes</t>
        </is>
      </c>
      <c r="AT680">
        <f>HYPERLINK("http://catalog.hathitrust.org/Record/006058388","HathiTrust Record")</f>
        <v/>
      </c>
      <c r="AU680">
        <f>HYPERLINK("https://creighton-primo.hosted.exlibrisgroup.com/primo-explore/search?tab=default_tab&amp;search_scope=EVERYTHING&amp;vid=01CRU&amp;lang=en_US&amp;offset=0&amp;query=any,contains,991003838569702656","Catalog Record")</f>
        <v/>
      </c>
      <c r="AV680">
        <f>HYPERLINK("http://www.worldcat.org/oclc/1610895","WorldCat Record")</f>
        <v/>
      </c>
      <c r="AW680" t="inlineStr">
        <is>
          <t>5195039066:eng</t>
        </is>
      </c>
      <c r="AX680" t="inlineStr">
        <is>
          <t>1610895</t>
        </is>
      </c>
      <c r="AY680" t="inlineStr">
        <is>
          <t>991003838569702656</t>
        </is>
      </c>
      <c r="AZ680" t="inlineStr">
        <is>
          <t>991003838569702656</t>
        </is>
      </c>
      <c r="BA680" t="inlineStr">
        <is>
          <t>2268727120002656</t>
        </is>
      </c>
      <c r="BB680" t="inlineStr">
        <is>
          <t>BOOK</t>
        </is>
      </c>
      <c r="BE680" t="inlineStr">
        <is>
          <t>32285000331917</t>
        </is>
      </c>
      <c r="BF680" t="inlineStr">
        <is>
          <t>893531659</t>
        </is>
      </c>
    </row>
    <row r="681">
      <c r="A681" t="inlineStr">
        <is>
          <t>No</t>
        </is>
      </c>
      <c r="B681" t="inlineStr">
        <is>
          <t>CURAL</t>
        </is>
      </c>
      <c r="C681" t="inlineStr">
        <is>
          <t>SHELVES</t>
        </is>
      </c>
      <c r="D681" t="inlineStr">
        <is>
          <t>PR2937 .W3</t>
        </is>
      </c>
      <c r="E681" t="inlineStr">
        <is>
          <t>0                      PR 2937000W  3</t>
        </is>
      </c>
      <c r="F681" t="inlineStr">
        <is>
          <t>The poacher from Stratford : a partial account of the controversy over the authorship of Shakespeare's plays.</t>
        </is>
      </c>
      <c r="H681" t="inlineStr">
        <is>
          <t>No</t>
        </is>
      </c>
      <c r="I681" t="inlineStr">
        <is>
          <t>1</t>
        </is>
      </c>
      <c r="J681" t="inlineStr">
        <is>
          <t>No</t>
        </is>
      </c>
      <c r="K681" t="inlineStr">
        <is>
          <t>No</t>
        </is>
      </c>
      <c r="L681" t="inlineStr">
        <is>
          <t>0</t>
        </is>
      </c>
      <c r="M681" t="inlineStr">
        <is>
          <t>Wadsworth, Frank W.</t>
        </is>
      </c>
      <c r="N681" t="inlineStr">
        <is>
          <t>Berkeley : University of California Press, 1958.</t>
        </is>
      </c>
      <c r="O681" t="inlineStr">
        <is>
          <t>1958</t>
        </is>
      </c>
      <c r="Q681" t="inlineStr">
        <is>
          <t>eng</t>
        </is>
      </c>
      <c r="R681" t="inlineStr">
        <is>
          <t>cau</t>
        </is>
      </c>
      <c r="T681" t="inlineStr">
        <is>
          <t xml:space="preserve">PR </t>
        </is>
      </c>
      <c r="U681" t="n">
        <v>5</v>
      </c>
      <c r="V681" t="n">
        <v>5</v>
      </c>
      <c r="W681" t="inlineStr">
        <is>
          <t>1998-03-15</t>
        </is>
      </c>
      <c r="X681" t="inlineStr">
        <is>
          <t>1998-03-15</t>
        </is>
      </c>
      <c r="Y681" t="inlineStr">
        <is>
          <t>1990-12-28</t>
        </is>
      </c>
      <c r="Z681" t="inlineStr">
        <is>
          <t>1990-12-28</t>
        </is>
      </c>
      <c r="AA681" t="n">
        <v>776</v>
      </c>
      <c r="AB681" t="n">
        <v>703</v>
      </c>
      <c r="AC681" t="n">
        <v>719</v>
      </c>
      <c r="AD681" t="n">
        <v>7</v>
      </c>
      <c r="AE681" t="n">
        <v>7</v>
      </c>
      <c r="AF681" t="n">
        <v>35</v>
      </c>
      <c r="AG681" t="n">
        <v>35</v>
      </c>
      <c r="AH681" t="n">
        <v>14</v>
      </c>
      <c r="AI681" t="n">
        <v>14</v>
      </c>
      <c r="AJ681" t="n">
        <v>6</v>
      </c>
      <c r="AK681" t="n">
        <v>6</v>
      </c>
      <c r="AL681" t="n">
        <v>17</v>
      </c>
      <c r="AM681" t="n">
        <v>17</v>
      </c>
      <c r="AN681" t="n">
        <v>5</v>
      </c>
      <c r="AO681" t="n">
        <v>5</v>
      </c>
      <c r="AP681" t="n">
        <v>0</v>
      </c>
      <c r="AQ681" t="n">
        <v>0</v>
      </c>
      <c r="AR681" t="inlineStr">
        <is>
          <t>No</t>
        </is>
      </c>
      <c r="AS681" t="inlineStr">
        <is>
          <t>Yes</t>
        </is>
      </c>
      <c r="AT681">
        <f>HYPERLINK("http://catalog.hathitrust.org/Record/001018525","HathiTrust Record")</f>
        <v/>
      </c>
      <c r="AU681">
        <f>HYPERLINK("https://creighton-primo.hosted.exlibrisgroup.com/primo-explore/search?tab=default_tab&amp;search_scope=EVERYTHING&amp;vid=01CRU&amp;lang=en_US&amp;offset=0&amp;query=any,contains,991002478459702656","Catalog Record")</f>
        <v/>
      </c>
      <c r="AV681">
        <f>HYPERLINK("http://www.worldcat.org/oclc/359195","WorldCat Record")</f>
        <v/>
      </c>
      <c r="AW681" t="inlineStr">
        <is>
          <t>1408495:eng</t>
        </is>
      </c>
      <c r="AX681" t="inlineStr">
        <is>
          <t>359195</t>
        </is>
      </c>
      <c r="AY681" t="inlineStr">
        <is>
          <t>991002478459702656</t>
        </is>
      </c>
      <c r="AZ681" t="inlineStr">
        <is>
          <t>991002478459702656</t>
        </is>
      </c>
      <c r="BA681" t="inlineStr">
        <is>
          <t>2272666210002656</t>
        </is>
      </c>
      <c r="BB681" t="inlineStr">
        <is>
          <t>BOOK</t>
        </is>
      </c>
      <c r="BE681" t="inlineStr">
        <is>
          <t>32285000426444</t>
        </is>
      </c>
      <c r="BF681" t="inlineStr">
        <is>
          <t>893239109</t>
        </is>
      </c>
    </row>
    <row r="682">
      <c r="A682" t="inlineStr">
        <is>
          <t>No</t>
        </is>
      </c>
      <c r="B682" t="inlineStr">
        <is>
          <t>CURAL</t>
        </is>
      </c>
      <c r="C682" t="inlineStr">
        <is>
          <t>SHELVES</t>
        </is>
      </c>
      <c r="D682" t="inlineStr">
        <is>
          <t>PR2939 .L2</t>
        </is>
      </c>
      <c r="E682" t="inlineStr">
        <is>
          <t>0                      PR 2939000L  2</t>
        </is>
      </c>
      <c r="F682" t="inlineStr">
        <is>
          <t>Shakespeare, Bacon, and the great unknown, Andrew Lang. With eight illustrations.</t>
        </is>
      </c>
      <c r="H682" t="inlineStr">
        <is>
          <t>No</t>
        </is>
      </c>
      <c r="I682" t="inlineStr">
        <is>
          <t>1</t>
        </is>
      </c>
      <c r="J682" t="inlineStr">
        <is>
          <t>No</t>
        </is>
      </c>
      <c r="K682" t="inlineStr">
        <is>
          <t>No</t>
        </is>
      </c>
      <c r="L682" t="inlineStr">
        <is>
          <t>0</t>
        </is>
      </c>
      <c r="M682" t="inlineStr">
        <is>
          <t>Lang, Andrew, 1844-1912.</t>
        </is>
      </c>
      <c r="N682" t="inlineStr">
        <is>
          <t>London, New York [etc.] Longmans, Green and co., 1912.</t>
        </is>
      </c>
      <c r="O682" t="inlineStr">
        <is>
          <t>1912</t>
        </is>
      </c>
      <c r="Q682" t="inlineStr">
        <is>
          <t>eng</t>
        </is>
      </c>
      <c r="R682" t="inlineStr">
        <is>
          <t>enk</t>
        </is>
      </c>
      <c r="T682" t="inlineStr">
        <is>
          <t xml:space="preserve">PR </t>
        </is>
      </c>
      <c r="U682" t="n">
        <v>3</v>
      </c>
      <c r="V682" t="n">
        <v>3</v>
      </c>
      <c r="W682" t="inlineStr">
        <is>
          <t>1998-03-15</t>
        </is>
      </c>
      <c r="X682" t="inlineStr">
        <is>
          <t>1998-03-15</t>
        </is>
      </c>
      <c r="Y682" t="inlineStr">
        <is>
          <t>1997-08-05</t>
        </is>
      </c>
      <c r="Z682" t="inlineStr">
        <is>
          <t>1997-08-05</t>
        </is>
      </c>
      <c r="AA682" t="n">
        <v>204</v>
      </c>
      <c r="AB682" t="n">
        <v>159</v>
      </c>
      <c r="AC682" t="n">
        <v>502</v>
      </c>
      <c r="AD682" t="n">
        <v>2</v>
      </c>
      <c r="AE682" t="n">
        <v>3</v>
      </c>
      <c r="AF682" t="n">
        <v>4</v>
      </c>
      <c r="AG682" t="n">
        <v>23</v>
      </c>
      <c r="AH682" t="n">
        <v>3</v>
      </c>
      <c r="AI682" t="n">
        <v>11</v>
      </c>
      <c r="AJ682" t="n">
        <v>1</v>
      </c>
      <c r="AK682" t="n">
        <v>6</v>
      </c>
      <c r="AL682" t="n">
        <v>3</v>
      </c>
      <c r="AM682" t="n">
        <v>11</v>
      </c>
      <c r="AN682" t="n">
        <v>0</v>
      </c>
      <c r="AO682" t="n">
        <v>1</v>
      </c>
      <c r="AP682" t="n">
        <v>0</v>
      </c>
      <c r="AQ682" t="n">
        <v>0</v>
      </c>
      <c r="AR682" t="inlineStr">
        <is>
          <t>Yes</t>
        </is>
      </c>
      <c r="AS682" t="inlineStr">
        <is>
          <t>No</t>
        </is>
      </c>
      <c r="AT682">
        <f>HYPERLINK("http://catalog.hathitrust.org/Record/005960211","HathiTrust Record")</f>
        <v/>
      </c>
      <c r="AU682">
        <f>HYPERLINK("https://creighton-primo.hosted.exlibrisgroup.com/primo-explore/search?tab=default_tab&amp;search_scope=EVERYTHING&amp;vid=01CRU&amp;lang=en_US&amp;offset=0&amp;query=any,contains,991003866379702656","Catalog Record")</f>
        <v/>
      </c>
      <c r="AV682">
        <f>HYPERLINK("http://www.worldcat.org/oclc/1678960","WorldCat Record")</f>
        <v/>
      </c>
      <c r="AW682" t="inlineStr">
        <is>
          <t>1131444:eng</t>
        </is>
      </c>
      <c r="AX682" t="inlineStr">
        <is>
          <t>1678960</t>
        </is>
      </c>
      <c r="AY682" t="inlineStr">
        <is>
          <t>991003866379702656</t>
        </is>
      </c>
      <c r="AZ682" t="inlineStr">
        <is>
          <t>991003866379702656</t>
        </is>
      </c>
      <c r="BA682" t="inlineStr">
        <is>
          <t>2270836680002656</t>
        </is>
      </c>
      <c r="BB682" t="inlineStr">
        <is>
          <t>BOOK</t>
        </is>
      </c>
      <c r="BE682" t="inlineStr">
        <is>
          <t>32285002999240</t>
        </is>
      </c>
      <c r="BF682" t="inlineStr">
        <is>
          <t>893605295</t>
        </is>
      </c>
    </row>
    <row r="683">
      <c r="A683" t="inlineStr">
        <is>
          <t>No</t>
        </is>
      </c>
      <c r="B683" t="inlineStr">
        <is>
          <t>CURAL</t>
        </is>
      </c>
      <c r="C683" t="inlineStr">
        <is>
          <t>SHELVES</t>
        </is>
      </c>
      <c r="D683" t="inlineStr">
        <is>
          <t>PR2944 .D8 1970</t>
        </is>
      </c>
      <c r="E683" t="inlineStr">
        <is>
          <t>0                      PR 2944000D  8           1970</t>
        </is>
      </c>
      <c r="F683" t="inlineStr">
        <is>
          <t>Bacon is Shake-speare / together with a reprint of Bacon's Promus of formularies and elegancies, collated, with the original MS. by F. B. Bickley, and rev. by F. A. Herbert.</t>
        </is>
      </c>
      <c r="H683" t="inlineStr">
        <is>
          <t>No</t>
        </is>
      </c>
      <c r="I683" t="inlineStr">
        <is>
          <t>1</t>
        </is>
      </c>
      <c r="J683" t="inlineStr">
        <is>
          <t>No</t>
        </is>
      </c>
      <c r="K683" t="inlineStr">
        <is>
          <t>No</t>
        </is>
      </c>
      <c r="L683" t="inlineStr">
        <is>
          <t>0</t>
        </is>
      </c>
      <c r="M683" t="inlineStr">
        <is>
          <t>Durning-Lawrence, Edwin, Sir, 1837-1914.</t>
        </is>
      </c>
      <c r="N683" t="inlineStr">
        <is>
          <t>Westport Conn. : Greenwood Press, [1970]</t>
        </is>
      </c>
      <c r="O683" t="inlineStr">
        <is>
          <t>1970</t>
        </is>
      </c>
      <c r="Q683" t="inlineStr">
        <is>
          <t>eng</t>
        </is>
      </c>
      <c r="R683" t="inlineStr">
        <is>
          <t>ctu</t>
        </is>
      </c>
      <c r="T683" t="inlineStr">
        <is>
          <t xml:space="preserve">PR </t>
        </is>
      </c>
      <c r="U683" t="n">
        <v>5</v>
      </c>
      <c r="V683" t="n">
        <v>5</v>
      </c>
      <c r="W683" t="inlineStr">
        <is>
          <t>2009-12-04</t>
        </is>
      </c>
      <c r="X683" t="inlineStr">
        <is>
          <t>2009-12-04</t>
        </is>
      </c>
      <c r="Y683" t="inlineStr">
        <is>
          <t>1990-04-18</t>
        </is>
      </c>
      <c r="Z683" t="inlineStr">
        <is>
          <t>1990-04-18</t>
        </is>
      </c>
      <c r="AA683" t="n">
        <v>212</v>
      </c>
      <c r="AB683" t="n">
        <v>204</v>
      </c>
      <c r="AC683" t="n">
        <v>1022</v>
      </c>
      <c r="AD683" t="n">
        <v>3</v>
      </c>
      <c r="AE683" t="n">
        <v>13</v>
      </c>
      <c r="AF683" t="n">
        <v>5</v>
      </c>
      <c r="AG683" t="n">
        <v>52</v>
      </c>
      <c r="AH683" t="n">
        <v>2</v>
      </c>
      <c r="AI683" t="n">
        <v>11</v>
      </c>
      <c r="AJ683" t="n">
        <v>2</v>
      </c>
      <c r="AK683" t="n">
        <v>9</v>
      </c>
      <c r="AL683" t="n">
        <v>2</v>
      </c>
      <c r="AM683" t="n">
        <v>14</v>
      </c>
      <c r="AN683" t="n">
        <v>0</v>
      </c>
      <c r="AO683" t="n">
        <v>7</v>
      </c>
      <c r="AP683" t="n">
        <v>0</v>
      </c>
      <c r="AQ683" t="n">
        <v>17</v>
      </c>
      <c r="AR683" t="inlineStr">
        <is>
          <t>No</t>
        </is>
      </c>
      <c r="AS683" t="inlineStr">
        <is>
          <t>No</t>
        </is>
      </c>
      <c r="AU683">
        <f>HYPERLINK("https://creighton-primo.hosted.exlibrisgroup.com/primo-explore/search?tab=default_tab&amp;search_scope=EVERYTHING&amp;vid=01CRU&amp;lang=en_US&amp;offset=0&amp;query=any,contains,991000270259702656","Catalog Record")</f>
        <v/>
      </c>
      <c r="AV683">
        <f>HYPERLINK("http://www.worldcat.org/oclc/68448","WorldCat Record")</f>
        <v/>
      </c>
      <c r="AW683" t="inlineStr">
        <is>
          <t>1235802:eng</t>
        </is>
      </c>
      <c r="AX683" t="inlineStr">
        <is>
          <t>68448</t>
        </is>
      </c>
      <c r="AY683" t="inlineStr">
        <is>
          <t>991000270259702656</t>
        </is>
      </c>
      <c r="AZ683" t="inlineStr">
        <is>
          <t>991000270259702656</t>
        </is>
      </c>
      <c r="BA683" t="inlineStr">
        <is>
          <t>2257712850002656</t>
        </is>
      </c>
      <c r="BB683" t="inlineStr">
        <is>
          <t>BOOK</t>
        </is>
      </c>
      <c r="BD683" t="inlineStr">
        <is>
          <t>9780837128948</t>
        </is>
      </c>
      <c r="BE683" t="inlineStr">
        <is>
          <t>32285000116904</t>
        </is>
      </c>
      <c r="BF683" t="inlineStr">
        <is>
          <t>893502376</t>
        </is>
      </c>
    </row>
    <row r="684">
      <c r="A684" t="inlineStr">
        <is>
          <t>No</t>
        </is>
      </c>
      <c r="B684" t="inlineStr">
        <is>
          <t>CURAL</t>
        </is>
      </c>
      <c r="C684" t="inlineStr">
        <is>
          <t>SHELVES</t>
        </is>
      </c>
      <c r="D684" t="inlineStr">
        <is>
          <t>PR2944 .G73</t>
        </is>
      </c>
      <c r="E684" t="inlineStr">
        <is>
          <t>0                      PR 2944000G  73</t>
        </is>
      </c>
      <c r="F684" t="inlineStr">
        <is>
          <t>Is there a Shakespeare problem? with a reply to Mr. J. M. Robertson and Mr. Andrew Lang, by G. G. Greenwood, M.P.</t>
        </is>
      </c>
      <c r="H684" t="inlineStr">
        <is>
          <t>No</t>
        </is>
      </c>
      <c r="I684" t="inlineStr">
        <is>
          <t>1</t>
        </is>
      </c>
      <c r="J684" t="inlineStr">
        <is>
          <t>No</t>
        </is>
      </c>
      <c r="K684" t="inlineStr">
        <is>
          <t>No</t>
        </is>
      </c>
      <c r="L684" t="inlineStr">
        <is>
          <t>0</t>
        </is>
      </c>
      <c r="M684" t="inlineStr">
        <is>
          <t>Greenwood, George, Sir, 1850-1928.</t>
        </is>
      </c>
      <c r="N684" t="inlineStr">
        <is>
          <t>London, John Lane; New York, John Lane company, 1916.</t>
        </is>
      </c>
      <c r="O684" t="inlineStr">
        <is>
          <t>1916</t>
        </is>
      </c>
      <c r="Q684" t="inlineStr">
        <is>
          <t>eng</t>
        </is>
      </c>
      <c r="R684" t="inlineStr">
        <is>
          <t>enk</t>
        </is>
      </c>
      <c r="T684" t="inlineStr">
        <is>
          <t xml:space="preserve">PR </t>
        </is>
      </c>
      <c r="U684" t="n">
        <v>1</v>
      </c>
      <c r="V684" t="n">
        <v>1</v>
      </c>
      <c r="W684" t="inlineStr">
        <is>
          <t>2009-12-04</t>
        </is>
      </c>
      <c r="X684" t="inlineStr">
        <is>
          <t>2009-12-04</t>
        </is>
      </c>
      <c r="Y684" t="inlineStr">
        <is>
          <t>1997-08-05</t>
        </is>
      </c>
      <c r="Z684" t="inlineStr">
        <is>
          <t>1997-08-05</t>
        </is>
      </c>
      <c r="AA684" t="n">
        <v>178</v>
      </c>
      <c r="AB684" t="n">
        <v>143</v>
      </c>
      <c r="AC684" t="n">
        <v>163</v>
      </c>
      <c r="AD684" t="n">
        <v>1</v>
      </c>
      <c r="AE684" t="n">
        <v>2</v>
      </c>
      <c r="AF684" t="n">
        <v>10</v>
      </c>
      <c r="AG684" t="n">
        <v>13</v>
      </c>
      <c r="AH684" t="n">
        <v>2</v>
      </c>
      <c r="AI684" t="n">
        <v>3</v>
      </c>
      <c r="AJ684" t="n">
        <v>3</v>
      </c>
      <c r="AK684" t="n">
        <v>3</v>
      </c>
      <c r="AL684" t="n">
        <v>8</v>
      </c>
      <c r="AM684" t="n">
        <v>9</v>
      </c>
      <c r="AN684" t="n">
        <v>0</v>
      </c>
      <c r="AO684" t="n">
        <v>1</v>
      </c>
      <c r="AP684" t="n">
        <v>0</v>
      </c>
      <c r="AQ684" t="n">
        <v>0</v>
      </c>
      <c r="AR684" t="inlineStr">
        <is>
          <t>Yes</t>
        </is>
      </c>
      <c r="AS684" t="inlineStr">
        <is>
          <t>No</t>
        </is>
      </c>
      <c r="AT684">
        <f>HYPERLINK("http://catalog.hathitrust.org/Record/001112128","HathiTrust Record")</f>
        <v/>
      </c>
      <c r="AU684">
        <f>HYPERLINK("https://creighton-primo.hosted.exlibrisgroup.com/primo-explore/search?tab=default_tab&amp;search_scope=EVERYTHING&amp;vid=01CRU&amp;lang=en_US&amp;offset=0&amp;query=any,contains,991002463639702656","Catalog Record")</f>
        <v/>
      </c>
      <c r="AV684">
        <f>HYPERLINK("http://www.worldcat.org/oclc/356813","WorldCat Record")</f>
        <v/>
      </c>
      <c r="AW684" t="inlineStr">
        <is>
          <t>1401349:eng</t>
        </is>
      </c>
      <c r="AX684" t="inlineStr">
        <is>
          <t>356813</t>
        </is>
      </c>
      <c r="AY684" t="inlineStr">
        <is>
          <t>991002463639702656</t>
        </is>
      </c>
      <c r="AZ684" t="inlineStr">
        <is>
          <t>991002463639702656</t>
        </is>
      </c>
      <c r="BA684" t="inlineStr">
        <is>
          <t>2262590930002656</t>
        </is>
      </c>
      <c r="BB684" t="inlineStr">
        <is>
          <t>BOOK</t>
        </is>
      </c>
      <c r="BE684" t="inlineStr">
        <is>
          <t>32285002999281</t>
        </is>
      </c>
      <c r="BF684" t="inlineStr">
        <is>
          <t>893898778</t>
        </is>
      </c>
    </row>
    <row r="685">
      <c r="A685" t="inlineStr">
        <is>
          <t>No</t>
        </is>
      </c>
      <c r="B685" t="inlineStr">
        <is>
          <t>CURAL</t>
        </is>
      </c>
      <c r="C685" t="inlineStr">
        <is>
          <t>SHELVES</t>
        </is>
      </c>
      <c r="D685" t="inlineStr">
        <is>
          <t>PR2944 .G75 1970</t>
        </is>
      </c>
      <c r="E685" t="inlineStr">
        <is>
          <t>0                      PR 2944000G  75          1970</t>
        </is>
      </c>
      <c r="F685" t="inlineStr">
        <is>
          <t>The Shakespeare problem restated.</t>
        </is>
      </c>
      <c r="H685" t="inlineStr">
        <is>
          <t>No</t>
        </is>
      </c>
      <c r="I685" t="inlineStr">
        <is>
          <t>1</t>
        </is>
      </c>
      <c r="J685" t="inlineStr">
        <is>
          <t>No</t>
        </is>
      </c>
      <c r="K685" t="inlineStr">
        <is>
          <t>No</t>
        </is>
      </c>
      <c r="L685" t="inlineStr">
        <is>
          <t>0</t>
        </is>
      </c>
      <c r="M685" t="inlineStr">
        <is>
          <t>Greenwood, George, Sir, 1850-1928.</t>
        </is>
      </c>
      <c r="N685" t="inlineStr">
        <is>
          <t>Westport, Conn. : Greenwood Press, [1970]</t>
        </is>
      </c>
      <c r="O685" t="inlineStr">
        <is>
          <t>1970</t>
        </is>
      </c>
      <c r="Q685" t="inlineStr">
        <is>
          <t>eng</t>
        </is>
      </c>
      <c r="R685" t="inlineStr">
        <is>
          <t>ctu</t>
        </is>
      </c>
      <c r="T685" t="inlineStr">
        <is>
          <t xml:space="preserve">PR </t>
        </is>
      </c>
      <c r="U685" t="n">
        <v>3</v>
      </c>
      <c r="V685" t="n">
        <v>3</v>
      </c>
      <c r="W685" t="inlineStr">
        <is>
          <t>1994-03-17</t>
        </is>
      </c>
      <c r="X685" t="inlineStr">
        <is>
          <t>1994-03-17</t>
        </is>
      </c>
      <c r="Y685" t="inlineStr">
        <is>
          <t>1990-04-18</t>
        </is>
      </c>
      <c r="Z685" t="inlineStr">
        <is>
          <t>1990-04-18</t>
        </is>
      </c>
      <c r="AA685" t="n">
        <v>215</v>
      </c>
      <c r="AB685" t="n">
        <v>201</v>
      </c>
      <c r="AC685" t="n">
        <v>346</v>
      </c>
      <c r="AD685" t="n">
        <v>1</v>
      </c>
      <c r="AE685" t="n">
        <v>2</v>
      </c>
      <c r="AF685" t="n">
        <v>9</v>
      </c>
      <c r="AG685" t="n">
        <v>16</v>
      </c>
      <c r="AH685" t="n">
        <v>3</v>
      </c>
      <c r="AI685" t="n">
        <v>6</v>
      </c>
      <c r="AJ685" t="n">
        <v>4</v>
      </c>
      <c r="AK685" t="n">
        <v>6</v>
      </c>
      <c r="AL685" t="n">
        <v>4</v>
      </c>
      <c r="AM685" t="n">
        <v>6</v>
      </c>
      <c r="AN685" t="n">
        <v>0</v>
      </c>
      <c r="AO685" t="n">
        <v>1</v>
      </c>
      <c r="AP685" t="n">
        <v>0</v>
      </c>
      <c r="AQ685" t="n">
        <v>0</v>
      </c>
      <c r="AR685" t="inlineStr">
        <is>
          <t>No</t>
        </is>
      </c>
      <c r="AS685" t="inlineStr">
        <is>
          <t>Yes</t>
        </is>
      </c>
      <c r="AT685">
        <f>HYPERLINK("http://catalog.hathitrust.org/Record/008572520","HathiTrust Record")</f>
        <v/>
      </c>
      <c r="AU685">
        <f>HYPERLINK("https://creighton-primo.hosted.exlibrisgroup.com/primo-explore/search?tab=default_tab&amp;search_scope=EVERYTHING&amp;vid=01CRU&amp;lang=en_US&amp;offset=0&amp;query=any,contains,991000745689702656","Catalog Record")</f>
        <v/>
      </c>
      <c r="AV685">
        <f>HYPERLINK("http://www.worldcat.org/oclc/129863","WorldCat Record")</f>
        <v/>
      </c>
      <c r="AW685" t="inlineStr">
        <is>
          <t>1262797:eng</t>
        </is>
      </c>
      <c r="AX685" t="inlineStr">
        <is>
          <t>129863</t>
        </is>
      </c>
      <c r="AY685" t="inlineStr">
        <is>
          <t>991000745689702656</t>
        </is>
      </c>
      <c r="AZ685" t="inlineStr">
        <is>
          <t>991000745689702656</t>
        </is>
      </c>
      <c r="BA685" t="inlineStr">
        <is>
          <t>2266670710002656</t>
        </is>
      </c>
      <c r="BB685" t="inlineStr">
        <is>
          <t>BOOK</t>
        </is>
      </c>
      <c r="BD685" t="inlineStr">
        <is>
          <t>9780837131023</t>
        </is>
      </c>
      <c r="BE685" t="inlineStr">
        <is>
          <t>32285000116896</t>
        </is>
      </c>
      <c r="BF685" t="inlineStr">
        <is>
          <t>893803042</t>
        </is>
      </c>
    </row>
    <row r="686">
      <c r="A686" t="inlineStr">
        <is>
          <t>No</t>
        </is>
      </c>
      <c r="B686" t="inlineStr">
        <is>
          <t>CURAL</t>
        </is>
      </c>
      <c r="C686" t="inlineStr">
        <is>
          <t>SHELVES</t>
        </is>
      </c>
      <c r="D686" t="inlineStr">
        <is>
          <t>PR2944 .L44 1990</t>
        </is>
      </c>
      <c r="E686" t="inlineStr">
        <is>
          <t>0                      PR 2944000L  44          1990</t>
        </is>
      </c>
      <c r="F686" t="inlineStr">
        <is>
          <t>The second cryptographic Shakespeare : a monograph wherein the poems and plays attributed to William Shakespeare are proven to contain the enciphered name of the concealed author, Francis Bacon / by Penn Leary.</t>
        </is>
      </c>
      <c r="H686" t="inlineStr">
        <is>
          <t>No</t>
        </is>
      </c>
      <c r="I686" t="inlineStr">
        <is>
          <t>1</t>
        </is>
      </c>
      <c r="J686" t="inlineStr">
        <is>
          <t>No</t>
        </is>
      </c>
      <c r="K686" t="inlineStr">
        <is>
          <t>No</t>
        </is>
      </c>
      <c r="L686" t="inlineStr">
        <is>
          <t>0</t>
        </is>
      </c>
      <c r="M686" t="inlineStr">
        <is>
          <t>Leary, Penn.</t>
        </is>
      </c>
      <c r="N686" t="inlineStr">
        <is>
          <t>Omaha : Westchester House, c1990.</t>
        </is>
      </c>
      <c r="O686" t="inlineStr">
        <is>
          <t>1990</t>
        </is>
      </c>
      <c r="P686" t="inlineStr">
        <is>
          <t>2nd ed., enlarged.</t>
        </is>
      </c>
      <c r="Q686" t="inlineStr">
        <is>
          <t>eng</t>
        </is>
      </c>
      <c r="R686" t="inlineStr">
        <is>
          <t>nbu</t>
        </is>
      </c>
      <c r="T686" t="inlineStr">
        <is>
          <t xml:space="preserve">PR </t>
        </is>
      </c>
      <c r="U686" t="n">
        <v>4</v>
      </c>
      <c r="V686" t="n">
        <v>4</v>
      </c>
      <c r="W686" t="inlineStr">
        <is>
          <t>1996-11-19</t>
        </is>
      </c>
      <c r="X686" t="inlineStr">
        <is>
          <t>1996-11-19</t>
        </is>
      </c>
      <c r="Y686" t="inlineStr">
        <is>
          <t>1990-10-09</t>
        </is>
      </c>
      <c r="Z686" t="inlineStr">
        <is>
          <t>1990-10-09</t>
        </is>
      </c>
      <c r="AA686" t="n">
        <v>235</v>
      </c>
      <c r="AB686" t="n">
        <v>205</v>
      </c>
      <c r="AC686" t="n">
        <v>207</v>
      </c>
      <c r="AD686" t="n">
        <v>4</v>
      </c>
      <c r="AE686" t="n">
        <v>4</v>
      </c>
      <c r="AF686" t="n">
        <v>15</v>
      </c>
      <c r="AG686" t="n">
        <v>15</v>
      </c>
      <c r="AH686" t="n">
        <v>1</v>
      </c>
      <c r="AI686" t="n">
        <v>1</v>
      </c>
      <c r="AJ686" t="n">
        <v>6</v>
      </c>
      <c r="AK686" t="n">
        <v>6</v>
      </c>
      <c r="AL686" t="n">
        <v>8</v>
      </c>
      <c r="AM686" t="n">
        <v>8</v>
      </c>
      <c r="AN686" t="n">
        <v>3</v>
      </c>
      <c r="AO686" t="n">
        <v>3</v>
      </c>
      <c r="AP686" t="n">
        <v>0</v>
      </c>
      <c r="AQ686" t="n">
        <v>0</v>
      </c>
      <c r="AR686" t="inlineStr">
        <is>
          <t>No</t>
        </is>
      </c>
      <c r="AS686" t="inlineStr">
        <is>
          <t>Yes</t>
        </is>
      </c>
      <c r="AT686">
        <f>HYPERLINK("http://catalog.hathitrust.org/Record/002466410","HathiTrust Record")</f>
        <v/>
      </c>
      <c r="AU686">
        <f>HYPERLINK("https://creighton-primo.hosted.exlibrisgroup.com/primo-explore/search?tab=default_tab&amp;search_scope=EVERYTHING&amp;vid=01CRU&amp;lang=en_US&amp;offset=0&amp;query=any,contains,991001760189702656","Catalog Record")</f>
        <v/>
      </c>
      <c r="AV686">
        <f>HYPERLINK("http://www.worldcat.org/oclc/22257237","WorldCat Record")</f>
        <v/>
      </c>
      <c r="AW686" t="inlineStr">
        <is>
          <t>23928524:eng</t>
        </is>
      </c>
      <c r="AX686" t="inlineStr">
        <is>
          <t>22257237</t>
        </is>
      </c>
      <c r="AY686" t="inlineStr">
        <is>
          <t>991001760189702656</t>
        </is>
      </c>
      <c r="AZ686" t="inlineStr">
        <is>
          <t>991001760189702656</t>
        </is>
      </c>
      <c r="BA686" t="inlineStr">
        <is>
          <t>2271078740002656</t>
        </is>
      </c>
      <c r="BB686" t="inlineStr">
        <is>
          <t>BOOK</t>
        </is>
      </c>
      <c r="BE686" t="inlineStr">
        <is>
          <t>32285000279587</t>
        </is>
      </c>
      <c r="BF686" t="inlineStr">
        <is>
          <t>893609112</t>
        </is>
      </c>
    </row>
    <row r="687">
      <c r="A687" t="inlineStr">
        <is>
          <t>No</t>
        </is>
      </c>
      <c r="B687" t="inlineStr">
        <is>
          <t>CURAL</t>
        </is>
      </c>
      <c r="C687" t="inlineStr">
        <is>
          <t>SHELVES</t>
        </is>
      </c>
      <c r="D687" t="inlineStr">
        <is>
          <t>PR2947.O9 C63 1974</t>
        </is>
      </c>
      <c r="E687" t="inlineStr">
        <is>
          <t>0                      PR 2947000O  9                  C  63          1974</t>
        </is>
      </c>
      <c r="F687" t="inlineStr">
        <is>
          <t>Hidden allusions in Shakespeare's plays : a study of the early court revels and personalities of the times / Ruth Loyd Miller, editor. With introd. and additional notes by the editor and others.</t>
        </is>
      </c>
      <c r="H687" t="inlineStr">
        <is>
          <t>No</t>
        </is>
      </c>
      <c r="I687" t="inlineStr">
        <is>
          <t>1</t>
        </is>
      </c>
      <c r="J687" t="inlineStr">
        <is>
          <t>No</t>
        </is>
      </c>
      <c r="K687" t="inlineStr">
        <is>
          <t>No</t>
        </is>
      </c>
      <c r="L687" t="inlineStr">
        <is>
          <t>0</t>
        </is>
      </c>
      <c r="M687" t="inlineStr">
        <is>
          <t>Clark, Eva Turner, 1871-1947.</t>
        </is>
      </c>
      <c r="N687" t="inlineStr">
        <is>
          <t>Port Washington, N.Y. : Kennikat Press, 1974.</t>
        </is>
      </c>
      <c r="O687" t="inlineStr">
        <is>
          <t>1974</t>
        </is>
      </c>
      <c r="P687" t="inlineStr">
        <is>
          <t>3d rev. ed.</t>
        </is>
      </c>
      <c r="Q687" t="inlineStr">
        <is>
          <t>eng</t>
        </is>
      </c>
      <c r="R687" t="inlineStr">
        <is>
          <t>nyu</t>
        </is>
      </c>
      <c r="T687" t="inlineStr">
        <is>
          <t xml:space="preserve">PR </t>
        </is>
      </c>
      <c r="U687" t="n">
        <v>6</v>
      </c>
      <c r="V687" t="n">
        <v>6</v>
      </c>
      <c r="W687" t="inlineStr">
        <is>
          <t>1998-11-17</t>
        </is>
      </c>
      <c r="X687" t="inlineStr">
        <is>
          <t>1998-11-17</t>
        </is>
      </c>
      <c r="Y687" t="inlineStr">
        <is>
          <t>1994-05-12</t>
        </is>
      </c>
      <c r="Z687" t="inlineStr">
        <is>
          <t>1994-05-12</t>
        </is>
      </c>
      <c r="AA687" t="n">
        <v>195</v>
      </c>
      <c r="AB687" t="n">
        <v>164</v>
      </c>
      <c r="AC687" t="n">
        <v>304</v>
      </c>
      <c r="AD687" t="n">
        <v>1</v>
      </c>
      <c r="AE687" t="n">
        <v>3</v>
      </c>
      <c r="AF687" t="n">
        <v>2</v>
      </c>
      <c r="AG687" t="n">
        <v>10</v>
      </c>
      <c r="AH687" t="n">
        <v>1</v>
      </c>
      <c r="AI687" t="n">
        <v>3</v>
      </c>
      <c r="AJ687" t="n">
        <v>0</v>
      </c>
      <c r="AK687" t="n">
        <v>1</v>
      </c>
      <c r="AL687" t="n">
        <v>1</v>
      </c>
      <c r="AM687" t="n">
        <v>5</v>
      </c>
      <c r="AN687" t="n">
        <v>0</v>
      </c>
      <c r="AO687" t="n">
        <v>1</v>
      </c>
      <c r="AP687" t="n">
        <v>0</v>
      </c>
      <c r="AQ687" t="n">
        <v>1</v>
      </c>
      <c r="AR687" t="inlineStr">
        <is>
          <t>No</t>
        </is>
      </c>
      <c r="AS687" t="inlineStr">
        <is>
          <t>No</t>
        </is>
      </c>
      <c r="AU687">
        <f>HYPERLINK("https://creighton-primo.hosted.exlibrisgroup.com/primo-explore/search?tab=default_tab&amp;search_scope=EVERYTHING&amp;vid=01CRU&amp;lang=en_US&amp;offset=0&amp;query=any,contains,991003335999702656","Catalog Record")</f>
        <v/>
      </c>
      <c r="AV687">
        <f>HYPERLINK("http://www.worldcat.org/oclc/866649","WorldCat Record")</f>
        <v/>
      </c>
      <c r="AW687" t="inlineStr">
        <is>
          <t>198290533:eng</t>
        </is>
      </c>
      <c r="AX687" t="inlineStr">
        <is>
          <t>866649</t>
        </is>
      </c>
      <c r="AY687" t="inlineStr">
        <is>
          <t>991003335999702656</t>
        </is>
      </c>
      <c r="AZ687" t="inlineStr">
        <is>
          <t>991003335999702656</t>
        </is>
      </c>
      <c r="BA687" t="inlineStr">
        <is>
          <t>2262717460002656</t>
        </is>
      </c>
      <c r="BB687" t="inlineStr">
        <is>
          <t>BOOK</t>
        </is>
      </c>
      <c r="BD687" t="inlineStr">
        <is>
          <t>9780804618786</t>
        </is>
      </c>
      <c r="BE687" t="inlineStr">
        <is>
          <t>32285001910909</t>
        </is>
      </c>
      <c r="BF687" t="inlineStr">
        <is>
          <t>893518387</t>
        </is>
      </c>
    </row>
    <row r="688">
      <c r="A688" t="inlineStr">
        <is>
          <t>No</t>
        </is>
      </c>
      <c r="B688" t="inlineStr">
        <is>
          <t>CURAL</t>
        </is>
      </c>
      <c r="C688" t="inlineStr">
        <is>
          <t>SHELVES</t>
        </is>
      </c>
      <c r="D688" t="inlineStr">
        <is>
          <t>PR2947.O9 L6 1975</t>
        </is>
      </c>
      <c r="E688" t="inlineStr">
        <is>
          <t>0                      PR 2947000O  9                  L  6           1975</t>
        </is>
      </c>
      <c r="F688" t="inlineStr">
        <is>
          <t>"Shakespeare" identified in Edward De Vere, Seventeenth Earl of Oxford, and The poems of Edward de Vere / by J. Thomas Looney.</t>
        </is>
      </c>
      <c r="G688" t="inlineStr">
        <is>
          <t>V. 1</t>
        </is>
      </c>
      <c r="H688" t="inlineStr">
        <is>
          <t>Yes</t>
        </is>
      </c>
      <c r="I688" t="inlineStr">
        <is>
          <t>1</t>
        </is>
      </c>
      <c r="J688" t="inlineStr">
        <is>
          <t>No</t>
        </is>
      </c>
      <c r="K688" t="inlineStr">
        <is>
          <t>No</t>
        </is>
      </c>
      <c r="L688" t="inlineStr">
        <is>
          <t>0</t>
        </is>
      </c>
      <c r="M688" t="inlineStr">
        <is>
          <t>Looney, J. Thomas.</t>
        </is>
      </c>
      <c r="N688" t="inlineStr">
        <is>
          <t>Port Washington, N.Y. : Published by Kennikat Press for Minos Pub. Co., 1975.</t>
        </is>
      </c>
      <c r="O688" t="inlineStr">
        <is>
          <t>1974</t>
        </is>
      </c>
      <c r="P688" t="inlineStr">
        <is>
          <t>3d ed. / Ruth Loyd Miller, editor.</t>
        </is>
      </c>
      <c r="Q688" t="inlineStr">
        <is>
          <t>eng</t>
        </is>
      </c>
      <c r="R688" t="inlineStr">
        <is>
          <t>nyu</t>
        </is>
      </c>
      <c r="T688" t="inlineStr">
        <is>
          <t xml:space="preserve">PR </t>
        </is>
      </c>
      <c r="U688" t="n">
        <v>3</v>
      </c>
      <c r="V688" t="n">
        <v>5</v>
      </c>
      <c r="W688" t="inlineStr">
        <is>
          <t>1994-12-14</t>
        </is>
      </c>
      <c r="X688" t="inlineStr">
        <is>
          <t>1995-10-03</t>
        </is>
      </c>
      <c r="Y688" t="inlineStr">
        <is>
          <t>1990-04-18</t>
        </is>
      </c>
      <c r="Z688" t="inlineStr">
        <is>
          <t>1991-10-24</t>
        </is>
      </c>
      <c r="AA688" t="n">
        <v>188</v>
      </c>
      <c r="AB688" t="n">
        <v>172</v>
      </c>
      <c r="AC688" t="n">
        <v>176</v>
      </c>
      <c r="AD688" t="n">
        <v>2</v>
      </c>
      <c r="AE688" t="n">
        <v>2</v>
      </c>
      <c r="AF688" t="n">
        <v>5</v>
      </c>
      <c r="AG688" t="n">
        <v>5</v>
      </c>
      <c r="AH688" t="n">
        <v>1</v>
      </c>
      <c r="AI688" t="n">
        <v>1</v>
      </c>
      <c r="AJ688" t="n">
        <v>0</v>
      </c>
      <c r="AK688" t="n">
        <v>0</v>
      </c>
      <c r="AL688" t="n">
        <v>4</v>
      </c>
      <c r="AM688" t="n">
        <v>4</v>
      </c>
      <c r="AN688" t="n">
        <v>1</v>
      </c>
      <c r="AO688" t="n">
        <v>1</v>
      </c>
      <c r="AP688" t="n">
        <v>0</v>
      </c>
      <c r="AQ688" t="n">
        <v>0</v>
      </c>
      <c r="AR688" t="inlineStr">
        <is>
          <t>No</t>
        </is>
      </c>
      <c r="AS688" t="inlineStr">
        <is>
          <t>Yes</t>
        </is>
      </c>
      <c r="AT688">
        <f>HYPERLINK("http://catalog.hathitrust.org/Record/004532072","HathiTrust Record")</f>
        <v/>
      </c>
      <c r="AU688">
        <f>HYPERLINK("https://creighton-primo.hosted.exlibrisgroup.com/primo-explore/search?tab=default_tab&amp;search_scope=EVERYTHING&amp;vid=01CRU&amp;lang=en_US&amp;offset=0&amp;query=any,contains,991003597939702656","Catalog Record")</f>
        <v/>
      </c>
      <c r="AV688">
        <f>HYPERLINK("http://www.worldcat.org/oclc/1176060","WorldCat Record")</f>
        <v/>
      </c>
      <c r="AW688" t="inlineStr">
        <is>
          <t>1862452399:eng</t>
        </is>
      </c>
      <c r="AX688" t="inlineStr">
        <is>
          <t>1176060</t>
        </is>
      </c>
      <c r="AY688" t="inlineStr">
        <is>
          <t>991003597939702656</t>
        </is>
      </c>
      <c r="AZ688" t="inlineStr">
        <is>
          <t>991003597939702656</t>
        </is>
      </c>
      <c r="BA688" t="inlineStr">
        <is>
          <t>2271733080002656</t>
        </is>
      </c>
      <c r="BB688" t="inlineStr">
        <is>
          <t>BOOK</t>
        </is>
      </c>
      <c r="BD688" t="inlineStr">
        <is>
          <t>9780804618779</t>
        </is>
      </c>
      <c r="BE688" t="inlineStr">
        <is>
          <t>32285000116888</t>
        </is>
      </c>
      <c r="BF688" t="inlineStr">
        <is>
          <t>893598741</t>
        </is>
      </c>
    </row>
    <row r="689">
      <c r="A689" t="inlineStr">
        <is>
          <t>No</t>
        </is>
      </c>
      <c r="B689" t="inlineStr">
        <is>
          <t>CURAL</t>
        </is>
      </c>
      <c r="C689" t="inlineStr">
        <is>
          <t>SHELVES</t>
        </is>
      </c>
      <c r="D689" t="inlineStr">
        <is>
          <t>PR2947.O9 L6 1975</t>
        </is>
      </c>
      <c r="E689" t="inlineStr">
        <is>
          <t>0                      PR 2947000O  9                  L  6           1975</t>
        </is>
      </c>
      <c r="F689" t="inlineStr">
        <is>
          <t>"Shakespeare" identified in Edward De Vere, Seventeenth Earl of Oxford, and The poems of Edward de Vere / by J. Thomas Looney.</t>
        </is>
      </c>
      <c r="G689" t="inlineStr">
        <is>
          <t>V. 2</t>
        </is>
      </c>
      <c r="H689" t="inlineStr">
        <is>
          <t>Yes</t>
        </is>
      </c>
      <c r="I689" t="inlineStr">
        <is>
          <t>1</t>
        </is>
      </c>
      <c r="J689" t="inlineStr">
        <is>
          <t>No</t>
        </is>
      </c>
      <c r="K689" t="inlineStr">
        <is>
          <t>No</t>
        </is>
      </c>
      <c r="L689" t="inlineStr">
        <is>
          <t>0</t>
        </is>
      </c>
      <c r="M689" t="inlineStr">
        <is>
          <t>Looney, J. Thomas.</t>
        </is>
      </c>
      <c r="N689" t="inlineStr">
        <is>
          <t>Port Washington, N.Y. : Published by Kennikat Press for Minos Pub. Co., 1975.</t>
        </is>
      </c>
      <c r="O689" t="inlineStr">
        <is>
          <t>1974</t>
        </is>
      </c>
      <c r="P689" t="inlineStr">
        <is>
          <t>3d ed. / Ruth Loyd Miller, editor.</t>
        </is>
      </c>
      <c r="Q689" t="inlineStr">
        <is>
          <t>eng</t>
        </is>
      </c>
      <c r="R689" t="inlineStr">
        <is>
          <t>nyu</t>
        </is>
      </c>
      <c r="T689" t="inlineStr">
        <is>
          <t xml:space="preserve">PR </t>
        </is>
      </c>
      <c r="U689" t="n">
        <v>2</v>
      </c>
      <c r="V689" t="n">
        <v>5</v>
      </c>
      <c r="W689" t="inlineStr">
        <is>
          <t>1995-10-03</t>
        </is>
      </c>
      <c r="X689" t="inlineStr">
        <is>
          <t>1995-10-03</t>
        </is>
      </c>
      <c r="Y689" t="inlineStr">
        <is>
          <t>1991-10-24</t>
        </is>
      </c>
      <c r="Z689" t="inlineStr">
        <is>
          <t>1991-10-24</t>
        </is>
      </c>
      <c r="AA689" t="n">
        <v>188</v>
      </c>
      <c r="AB689" t="n">
        <v>172</v>
      </c>
      <c r="AC689" t="n">
        <v>176</v>
      </c>
      <c r="AD689" t="n">
        <v>2</v>
      </c>
      <c r="AE689" t="n">
        <v>2</v>
      </c>
      <c r="AF689" t="n">
        <v>5</v>
      </c>
      <c r="AG689" t="n">
        <v>5</v>
      </c>
      <c r="AH689" t="n">
        <v>1</v>
      </c>
      <c r="AI689" t="n">
        <v>1</v>
      </c>
      <c r="AJ689" t="n">
        <v>0</v>
      </c>
      <c r="AK689" t="n">
        <v>0</v>
      </c>
      <c r="AL689" t="n">
        <v>4</v>
      </c>
      <c r="AM689" t="n">
        <v>4</v>
      </c>
      <c r="AN689" t="n">
        <v>1</v>
      </c>
      <c r="AO689" t="n">
        <v>1</v>
      </c>
      <c r="AP689" t="n">
        <v>0</v>
      </c>
      <c r="AQ689" t="n">
        <v>0</v>
      </c>
      <c r="AR689" t="inlineStr">
        <is>
          <t>No</t>
        </is>
      </c>
      <c r="AS689" t="inlineStr">
        <is>
          <t>Yes</t>
        </is>
      </c>
      <c r="AT689">
        <f>HYPERLINK("http://catalog.hathitrust.org/Record/004532072","HathiTrust Record")</f>
        <v/>
      </c>
      <c r="AU689">
        <f>HYPERLINK("https://creighton-primo.hosted.exlibrisgroup.com/primo-explore/search?tab=default_tab&amp;search_scope=EVERYTHING&amp;vid=01CRU&amp;lang=en_US&amp;offset=0&amp;query=any,contains,991003597939702656","Catalog Record")</f>
        <v/>
      </c>
      <c r="AV689">
        <f>HYPERLINK("http://www.worldcat.org/oclc/1176060","WorldCat Record")</f>
        <v/>
      </c>
      <c r="AW689" t="inlineStr">
        <is>
          <t>1862452399:eng</t>
        </is>
      </c>
      <c r="AX689" t="inlineStr">
        <is>
          <t>1176060</t>
        </is>
      </c>
      <c r="AY689" t="inlineStr">
        <is>
          <t>991003597939702656</t>
        </is>
      </c>
      <c r="AZ689" t="inlineStr">
        <is>
          <t>991003597939702656</t>
        </is>
      </c>
      <c r="BA689" t="inlineStr">
        <is>
          <t>2271733080002656</t>
        </is>
      </c>
      <c r="BB689" t="inlineStr">
        <is>
          <t>BOOK</t>
        </is>
      </c>
      <c r="BD689" t="inlineStr">
        <is>
          <t>9780804618779</t>
        </is>
      </c>
      <c r="BE689" t="inlineStr">
        <is>
          <t>32285000800457</t>
        </is>
      </c>
      <c r="BF689" t="inlineStr">
        <is>
          <t>893611212</t>
        </is>
      </c>
    </row>
    <row r="690">
      <c r="A690" t="inlineStr">
        <is>
          <t>No</t>
        </is>
      </c>
      <c r="B690" t="inlineStr">
        <is>
          <t>CURAL</t>
        </is>
      </c>
      <c r="C690" t="inlineStr">
        <is>
          <t>SHELVES</t>
        </is>
      </c>
      <c r="D690" t="inlineStr">
        <is>
          <t>PR2947.O9 O515 1984</t>
        </is>
      </c>
      <c r="E690" t="inlineStr">
        <is>
          <t>0                      PR 2947000O  9                  O  515         1984</t>
        </is>
      </c>
      <c r="F690" t="inlineStr">
        <is>
          <t>The mysterious William Shakespeare : the myth and the reality / Charlton Ogburn.</t>
        </is>
      </c>
      <c r="H690" t="inlineStr">
        <is>
          <t>No</t>
        </is>
      </c>
      <c r="I690" t="inlineStr">
        <is>
          <t>1</t>
        </is>
      </c>
      <c r="J690" t="inlineStr">
        <is>
          <t>No</t>
        </is>
      </c>
      <c r="K690" t="inlineStr">
        <is>
          <t>No</t>
        </is>
      </c>
      <c r="L690" t="inlineStr">
        <is>
          <t>0</t>
        </is>
      </c>
      <c r="M690" t="inlineStr">
        <is>
          <t>Ogburn, Charlton, 1911-1998.</t>
        </is>
      </c>
      <c r="N690" t="inlineStr">
        <is>
          <t>New York : Dodd, Mead, c1984.</t>
        </is>
      </c>
      <c r="O690" t="inlineStr">
        <is>
          <t>1984</t>
        </is>
      </c>
      <c r="Q690" t="inlineStr">
        <is>
          <t>eng</t>
        </is>
      </c>
      <c r="R690" t="inlineStr">
        <is>
          <t>nyu</t>
        </is>
      </c>
      <c r="T690" t="inlineStr">
        <is>
          <t xml:space="preserve">PR </t>
        </is>
      </c>
      <c r="U690" t="n">
        <v>4</v>
      </c>
      <c r="V690" t="n">
        <v>4</v>
      </c>
      <c r="W690" t="inlineStr">
        <is>
          <t>2000-02-29</t>
        </is>
      </c>
      <c r="X690" t="inlineStr">
        <is>
          <t>2000-02-29</t>
        </is>
      </c>
      <c r="Y690" t="inlineStr">
        <is>
          <t>1991-10-24</t>
        </is>
      </c>
      <c r="Z690" t="inlineStr">
        <is>
          <t>1991-10-24</t>
        </is>
      </c>
      <c r="AA690" t="n">
        <v>845</v>
      </c>
      <c r="AB690" t="n">
        <v>786</v>
      </c>
      <c r="AC690" t="n">
        <v>916</v>
      </c>
      <c r="AD690" t="n">
        <v>5</v>
      </c>
      <c r="AE690" t="n">
        <v>7</v>
      </c>
      <c r="AF690" t="n">
        <v>28</v>
      </c>
      <c r="AG690" t="n">
        <v>32</v>
      </c>
      <c r="AH690" t="n">
        <v>13</v>
      </c>
      <c r="AI690" t="n">
        <v>14</v>
      </c>
      <c r="AJ690" t="n">
        <v>7</v>
      </c>
      <c r="AK690" t="n">
        <v>8</v>
      </c>
      <c r="AL690" t="n">
        <v>15</v>
      </c>
      <c r="AM690" t="n">
        <v>17</v>
      </c>
      <c r="AN690" t="n">
        <v>3</v>
      </c>
      <c r="AO690" t="n">
        <v>4</v>
      </c>
      <c r="AP690" t="n">
        <v>0</v>
      </c>
      <c r="AQ690" t="n">
        <v>0</v>
      </c>
      <c r="AR690" t="inlineStr">
        <is>
          <t>No</t>
        </is>
      </c>
      <c r="AS690" t="inlineStr">
        <is>
          <t>Yes</t>
        </is>
      </c>
      <c r="AT690">
        <f>HYPERLINK("http://catalog.hathitrust.org/Record/000448999","HathiTrust Record")</f>
        <v/>
      </c>
      <c r="AU690">
        <f>HYPERLINK("https://creighton-primo.hosted.exlibrisgroup.com/primo-explore/search?tab=default_tab&amp;search_scope=EVERYTHING&amp;vid=01CRU&amp;lang=en_US&amp;offset=0&amp;query=any,contains,991000409819702656","Catalog Record")</f>
        <v/>
      </c>
      <c r="AV690">
        <f>HYPERLINK("http://www.worldcat.org/oclc/10697293","WorldCat Record")</f>
        <v/>
      </c>
      <c r="AW690" t="inlineStr">
        <is>
          <t>222062442:eng</t>
        </is>
      </c>
      <c r="AX690" t="inlineStr">
        <is>
          <t>10697293</t>
        </is>
      </c>
      <c r="AY690" t="inlineStr">
        <is>
          <t>991000409819702656</t>
        </is>
      </c>
      <c r="AZ690" t="inlineStr">
        <is>
          <t>991000409819702656</t>
        </is>
      </c>
      <c r="BA690" t="inlineStr">
        <is>
          <t>2270575000002656</t>
        </is>
      </c>
      <c r="BB690" t="inlineStr">
        <is>
          <t>BOOK</t>
        </is>
      </c>
      <c r="BD690" t="inlineStr">
        <is>
          <t>9780396084419</t>
        </is>
      </c>
      <c r="BE690" t="inlineStr">
        <is>
          <t>32285000800465</t>
        </is>
      </c>
      <c r="BF690" t="inlineStr">
        <is>
          <t>893614158</t>
        </is>
      </c>
    </row>
    <row r="691">
      <c r="A691" t="inlineStr">
        <is>
          <t>No</t>
        </is>
      </c>
      <c r="B691" t="inlineStr">
        <is>
          <t>CURAL</t>
        </is>
      </c>
      <c r="C691" t="inlineStr">
        <is>
          <t>SHELVES</t>
        </is>
      </c>
      <c r="D691" t="inlineStr">
        <is>
          <t>PR2949 .H34 1985</t>
        </is>
      </c>
      <c r="E691" t="inlineStr">
        <is>
          <t>0                      PR 2949000H  34          1985</t>
        </is>
      </c>
      <c r="F691" t="inlineStr">
        <is>
          <t>In search of Shakespeare : a reconnaissance into the poet's life and handwriting / Charles Hamilton.</t>
        </is>
      </c>
      <c r="H691" t="inlineStr">
        <is>
          <t>No</t>
        </is>
      </c>
      <c r="I691" t="inlineStr">
        <is>
          <t>1</t>
        </is>
      </c>
      <c r="J691" t="inlineStr">
        <is>
          <t>No</t>
        </is>
      </c>
      <c r="K691" t="inlineStr">
        <is>
          <t>No</t>
        </is>
      </c>
      <c r="L691" t="inlineStr">
        <is>
          <t>0</t>
        </is>
      </c>
      <c r="M691" t="inlineStr">
        <is>
          <t>Hamilton, Charles, 1913-1996.</t>
        </is>
      </c>
      <c r="N691" t="inlineStr">
        <is>
          <t>San Diego : Harcourt Brace Jovanovich, c1985.</t>
        </is>
      </c>
      <c r="O691" t="inlineStr">
        <is>
          <t>1985</t>
        </is>
      </c>
      <c r="P691" t="inlineStr">
        <is>
          <t>1st ed.</t>
        </is>
      </c>
      <c r="Q691" t="inlineStr">
        <is>
          <t>eng</t>
        </is>
      </c>
      <c r="R691" t="inlineStr">
        <is>
          <t>cau</t>
        </is>
      </c>
      <c r="T691" t="inlineStr">
        <is>
          <t xml:space="preserve">PR </t>
        </is>
      </c>
      <c r="U691" t="n">
        <v>2</v>
      </c>
      <c r="V691" t="n">
        <v>2</v>
      </c>
      <c r="W691" t="inlineStr">
        <is>
          <t>1994-04-27</t>
        </is>
      </c>
      <c r="X691" t="inlineStr">
        <is>
          <t>1994-04-27</t>
        </is>
      </c>
      <c r="Y691" t="inlineStr">
        <is>
          <t>1991-10-24</t>
        </is>
      </c>
      <c r="Z691" t="inlineStr">
        <is>
          <t>1991-10-24</t>
        </is>
      </c>
      <c r="AA691" t="n">
        <v>422</v>
      </c>
      <c r="AB691" t="n">
        <v>384</v>
      </c>
      <c r="AC691" t="n">
        <v>390</v>
      </c>
      <c r="AD691" t="n">
        <v>5</v>
      </c>
      <c r="AE691" t="n">
        <v>5</v>
      </c>
      <c r="AF691" t="n">
        <v>13</v>
      </c>
      <c r="AG691" t="n">
        <v>13</v>
      </c>
      <c r="AH691" t="n">
        <v>4</v>
      </c>
      <c r="AI691" t="n">
        <v>4</v>
      </c>
      <c r="AJ691" t="n">
        <v>2</v>
      </c>
      <c r="AK691" t="n">
        <v>2</v>
      </c>
      <c r="AL691" t="n">
        <v>8</v>
      </c>
      <c r="AM691" t="n">
        <v>8</v>
      </c>
      <c r="AN691" t="n">
        <v>2</v>
      </c>
      <c r="AO691" t="n">
        <v>2</v>
      </c>
      <c r="AP691" t="n">
        <v>0</v>
      </c>
      <c r="AQ691" t="n">
        <v>0</v>
      </c>
      <c r="AR691" t="inlineStr">
        <is>
          <t>No</t>
        </is>
      </c>
      <c r="AS691" t="inlineStr">
        <is>
          <t>No</t>
        </is>
      </c>
      <c r="AU691">
        <f>HYPERLINK("https://creighton-primo.hosted.exlibrisgroup.com/primo-explore/search?tab=default_tab&amp;search_scope=EVERYTHING&amp;vid=01CRU&amp;lang=en_US&amp;offset=0&amp;query=any,contains,991000571309702656","Catalog Record")</f>
        <v/>
      </c>
      <c r="AV691">
        <f>HYPERLINK("http://www.worldcat.org/oclc/11650516","WorldCat Record")</f>
        <v/>
      </c>
      <c r="AW691" t="inlineStr">
        <is>
          <t>233709169:eng</t>
        </is>
      </c>
      <c r="AX691" t="inlineStr">
        <is>
          <t>11650516</t>
        </is>
      </c>
      <c r="AY691" t="inlineStr">
        <is>
          <t>991000571309702656</t>
        </is>
      </c>
      <c r="AZ691" t="inlineStr">
        <is>
          <t>991000571309702656</t>
        </is>
      </c>
      <c r="BA691" t="inlineStr">
        <is>
          <t>2269789240002656</t>
        </is>
      </c>
      <c r="BB691" t="inlineStr">
        <is>
          <t>BOOK</t>
        </is>
      </c>
      <c r="BD691" t="inlineStr">
        <is>
          <t>9780156445535</t>
        </is>
      </c>
      <c r="BE691" t="inlineStr">
        <is>
          <t>32285000800473</t>
        </is>
      </c>
      <c r="BF691" t="inlineStr">
        <is>
          <t>893432076</t>
        </is>
      </c>
    </row>
    <row r="692">
      <c r="A692" t="inlineStr">
        <is>
          <t>No</t>
        </is>
      </c>
      <c r="B692" t="inlineStr">
        <is>
          <t>CURAL</t>
        </is>
      </c>
      <c r="C692" t="inlineStr">
        <is>
          <t>SHELVES</t>
        </is>
      </c>
      <c r="D692" t="inlineStr">
        <is>
          <t>PR2953.E6 G7</t>
        </is>
      </c>
      <c r="E692" t="inlineStr">
        <is>
          <t>0                      PR 2953000E  6                  G  7</t>
        </is>
      </c>
      <c r="F692" t="inlineStr">
        <is>
          <t>Shakespeare and the emblem writers; an exposition of their similarities of thought and expression, preceded by a view of emblem-literature down to A.D. 1616. With numerous illustrative devices from the original authors.</t>
        </is>
      </c>
      <c r="H692" t="inlineStr">
        <is>
          <t>No</t>
        </is>
      </c>
      <c r="I692" t="inlineStr">
        <is>
          <t>1</t>
        </is>
      </c>
      <c r="J692" t="inlineStr">
        <is>
          <t>No</t>
        </is>
      </c>
      <c r="K692" t="inlineStr">
        <is>
          <t>No</t>
        </is>
      </c>
      <c r="L692" t="inlineStr">
        <is>
          <t>0</t>
        </is>
      </c>
      <c r="M692" t="inlineStr">
        <is>
          <t>Green, Henry, 1801-1873.</t>
        </is>
      </c>
      <c r="N692" t="inlineStr">
        <is>
          <t>New York, B. Franklin [n.d.]</t>
        </is>
      </c>
      <c r="Q692" t="inlineStr">
        <is>
          <t>eng</t>
        </is>
      </c>
      <c r="R692" t="inlineStr">
        <is>
          <t>nyu</t>
        </is>
      </c>
      <c r="S692" t="inlineStr">
        <is>
          <t>Burt Franklin research and source work series, no. 103</t>
        </is>
      </c>
      <c r="T692" t="inlineStr">
        <is>
          <t xml:space="preserve">PR </t>
        </is>
      </c>
      <c r="U692" t="n">
        <v>1</v>
      </c>
      <c r="V692" t="n">
        <v>1</v>
      </c>
      <c r="W692" t="inlineStr">
        <is>
          <t>2008-11-05</t>
        </is>
      </c>
      <c r="X692" t="inlineStr">
        <is>
          <t>2008-11-05</t>
        </is>
      </c>
      <c r="Y692" t="inlineStr">
        <is>
          <t>1997-08-05</t>
        </is>
      </c>
      <c r="Z692" t="inlineStr">
        <is>
          <t>1997-08-05</t>
        </is>
      </c>
      <c r="AA692" t="n">
        <v>212</v>
      </c>
      <c r="AB692" t="n">
        <v>198</v>
      </c>
      <c r="AC692" t="n">
        <v>386</v>
      </c>
      <c r="AD692" t="n">
        <v>2</v>
      </c>
      <c r="AE692" t="n">
        <v>3</v>
      </c>
      <c r="AF692" t="n">
        <v>14</v>
      </c>
      <c r="AG692" t="n">
        <v>27</v>
      </c>
      <c r="AH692" t="n">
        <v>4</v>
      </c>
      <c r="AI692" t="n">
        <v>8</v>
      </c>
      <c r="AJ692" t="n">
        <v>5</v>
      </c>
      <c r="AK692" t="n">
        <v>7</v>
      </c>
      <c r="AL692" t="n">
        <v>9</v>
      </c>
      <c r="AM692" t="n">
        <v>18</v>
      </c>
      <c r="AN692" t="n">
        <v>1</v>
      </c>
      <c r="AO692" t="n">
        <v>2</v>
      </c>
      <c r="AP692" t="n">
        <v>0</v>
      </c>
      <c r="AQ692" t="n">
        <v>0</v>
      </c>
      <c r="AR692" t="inlineStr">
        <is>
          <t>No</t>
        </is>
      </c>
      <c r="AS692" t="inlineStr">
        <is>
          <t>No</t>
        </is>
      </c>
      <c r="AT692">
        <f>HYPERLINK("http://catalog.hathitrust.org/Record/102091087","HathiTrust Record")</f>
        <v/>
      </c>
      <c r="AU692">
        <f>HYPERLINK("https://creighton-primo.hosted.exlibrisgroup.com/primo-explore/search?tab=default_tab&amp;search_scope=EVERYTHING&amp;vid=01CRU&amp;lang=en_US&amp;offset=0&amp;query=any,contains,991002453849702656","Catalog Record")</f>
        <v/>
      </c>
      <c r="AV692">
        <f>HYPERLINK("http://www.worldcat.org/oclc/353612","WorldCat Record")</f>
        <v/>
      </c>
      <c r="AW692" t="inlineStr">
        <is>
          <t>762588:eng</t>
        </is>
      </c>
      <c r="AX692" t="inlineStr">
        <is>
          <t>353612</t>
        </is>
      </c>
      <c r="AY692" t="inlineStr">
        <is>
          <t>991002453849702656</t>
        </is>
      </c>
      <c r="AZ692" t="inlineStr">
        <is>
          <t>991002453849702656</t>
        </is>
      </c>
      <c r="BA692" t="inlineStr">
        <is>
          <t>2267910980002656</t>
        </is>
      </c>
      <c r="BB692" t="inlineStr">
        <is>
          <t>BOOK</t>
        </is>
      </c>
      <c r="BE692" t="inlineStr">
        <is>
          <t>32285002999463</t>
        </is>
      </c>
      <c r="BF692" t="inlineStr">
        <is>
          <t>893627128</t>
        </is>
      </c>
    </row>
    <row r="693">
      <c r="A693" t="inlineStr">
        <is>
          <t>No</t>
        </is>
      </c>
      <c r="B693" t="inlineStr">
        <is>
          <t>CURAL</t>
        </is>
      </c>
      <c r="C693" t="inlineStr">
        <is>
          <t>SHELVES</t>
        </is>
      </c>
      <c r="D693" t="inlineStr">
        <is>
          <t>PR2955.S45 M5 1992</t>
        </is>
      </c>
      <c r="E693" t="inlineStr">
        <is>
          <t>0                      PR 2955000S  45                 M  5           1992</t>
        </is>
      </c>
      <c r="F693" t="inlineStr">
        <is>
          <t>Shakespeare and classical tragedy : the influence of Seneca / Robert S. Miola.</t>
        </is>
      </c>
      <c r="H693" t="inlineStr">
        <is>
          <t>No</t>
        </is>
      </c>
      <c r="I693" t="inlineStr">
        <is>
          <t>1</t>
        </is>
      </c>
      <c r="J693" t="inlineStr">
        <is>
          <t>No</t>
        </is>
      </c>
      <c r="K693" t="inlineStr">
        <is>
          <t>No</t>
        </is>
      </c>
      <c r="L693" t="inlineStr">
        <is>
          <t>0</t>
        </is>
      </c>
      <c r="M693" t="inlineStr">
        <is>
          <t>Miola, Robert S.</t>
        </is>
      </c>
      <c r="N693" t="inlineStr">
        <is>
          <t>Oxford ; New York : Oxford University Press, c1992.</t>
        </is>
      </c>
      <c r="O693" t="inlineStr">
        <is>
          <t>1992</t>
        </is>
      </c>
      <c r="Q693" t="inlineStr">
        <is>
          <t>eng</t>
        </is>
      </c>
      <c r="R693" t="inlineStr">
        <is>
          <t>enk</t>
        </is>
      </c>
      <c r="T693" t="inlineStr">
        <is>
          <t xml:space="preserve">PR </t>
        </is>
      </c>
      <c r="U693" t="n">
        <v>4</v>
      </c>
      <c r="V693" t="n">
        <v>4</v>
      </c>
      <c r="W693" t="inlineStr">
        <is>
          <t>2009-11-30</t>
        </is>
      </c>
      <c r="X693" t="inlineStr">
        <is>
          <t>2009-11-30</t>
        </is>
      </c>
      <c r="Y693" t="inlineStr">
        <is>
          <t>1992-11-24</t>
        </is>
      </c>
      <c r="Z693" t="inlineStr">
        <is>
          <t>1992-11-24</t>
        </is>
      </c>
      <c r="AA693" t="n">
        <v>436</v>
      </c>
      <c r="AB693" t="n">
        <v>299</v>
      </c>
      <c r="AC693" t="n">
        <v>338</v>
      </c>
      <c r="AD693" t="n">
        <v>3</v>
      </c>
      <c r="AE693" t="n">
        <v>3</v>
      </c>
      <c r="AF693" t="n">
        <v>17</v>
      </c>
      <c r="AG693" t="n">
        <v>19</v>
      </c>
      <c r="AH693" t="n">
        <v>4</v>
      </c>
      <c r="AI693" t="n">
        <v>4</v>
      </c>
      <c r="AJ693" t="n">
        <v>4</v>
      </c>
      <c r="AK693" t="n">
        <v>6</v>
      </c>
      <c r="AL693" t="n">
        <v>14</v>
      </c>
      <c r="AM693" t="n">
        <v>14</v>
      </c>
      <c r="AN693" t="n">
        <v>2</v>
      </c>
      <c r="AO693" t="n">
        <v>2</v>
      </c>
      <c r="AP693" t="n">
        <v>0</v>
      </c>
      <c r="AQ693" t="n">
        <v>0</v>
      </c>
      <c r="AR693" t="inlineStr">
        <is>
          <t>No</t>
        </is>
      </c>
      <c r="AS693" t="inlineStr">
        <is>
          <t>No</t>
        </is>
      </c>
      <c r="AU693">
        <f>HYPERLINK("https://creighton-primo.hosted.exlibrisgroup.com/primo-explore/search?tab=default_tab&amp;search_scope=EVERYTHING&amp;vid=01CRU&amp;lang=en_US&amp;offset=0&amp;query=any,contains,991001963659702656","Catalog Record")</f>
        <v/>
      </c>
      <c r="AV693">
        <f>HYPERLINK("http://www.worldcat.org/oclc/24872154","WorldCat Record")</f>
        <v/>
      </c>
      <c r="AW693" t="inlineStr">
        <is>
          <t>806413069:eng</t>
        </is>
      </c>
      <c r="AX693" t="inlineStr">
        <is>
          <t>24872154</t>
        </is>
      </c>
      <c r="AY693" t="inlineStr">
        <is>
          <t>991001963659702656</t>
        </is>
      </c>
      <c r="AZ693" t="inlineStr">
        <is>
          <t>991001963659702656</t>
        </is>
      </c>
      <c r="BA693" t="inlineStr">
        <is>
          <t>2265575640002656</t>
        </is>
      </c>
      <c r="BB693" t="inlineStr">
        <is>
          <t>BOOK</t>
        </is>
      </c>
      <c r="BD693" t="inlineStr">
        <is>
          <t>9780198112648</t>
        </is>
      </c>
      <c r="BE693" t="inlineStr">
        <is>
          <t>32285001400018</t>
        </is>
      </c>
      <c r="BF693" t="inlineStr">
        <is>
          <t>893322400</t>
        </is>
      </c>
    </row>
    <row r="694">
      <c r="A694" t="inlineStr">
        <is>
          <t>No</t>
        </is>
      </c>
      <c r="B694" t="inlineStr">
        <is>
          <t>CURAL</t>
        </is>
      </c>
      <c r="C694" t="inlineStr">
        <is>
          <t>SHELVES</t>
        </is>
      </c>
      <c r="D694" t="inlineStr">
        <is>
          <t>PR2958.M53 D66 1988</t>
        </is>
      </c>
      <c r="E694" t="inlineStr">
        <is>
          <t>0                      PR 2958000M  53                 D  66          1988</t>
        </is>
      </c>
      <c r="F694" t="inlineStr">
        <is>
          <t>Shakespeare-Middleton collaborations / Mark Dominik.</t>
        </is>
      </c>
      <c r="H694" t="inlineStr">
        <is>
          <t>No</t>
        </is>
      </c>
      <c r="I694" t="inlineStr">
        <is>
          <t>1</t>
        </is>
      </c>
      <c r="J694" t="inlineStr">
        <is>
          <t>No</t>
        </is>
      </c>
      <c r="K694" t="inlineStr">
        <is>
          <t>No</t>
        </is>
      </c>
      <c r="L694" t="inlineStr">
        <is>
          <t>0</t>
        </is>
      </c>
      <c r="M694" t="inlineStr">
        <is>
          <t>Dominik, Mark.</t>
        </is>
      </c>
      <c r="N694" t="inlineStr">
        <is>
          <t>Beaverton, Or. : Alioth Press, c1988.</t>
        </is>
      </c>
      <c r="O694" t="inlineStr">
        <is>
          <t>1988</t>
        </is>
      </c>
      <c r="Q694" t="inlineStr">
        <is>
          <t>eng</t>
        </is>
      </c>
      <c r="R694" t="inlineStr">
        <is>
          <t>oru</t>
        </is>
      </c>
      <c r="T694" t="inlineStr">
        <is>
          <t xml:space="preserve">PR </t>
        </is>
      </c>
      <c r="U694" t="n">
        <v>2</v>
      </c>
      <c r="V694" t="n">
        <v>2</v>
      </c>
      <c r="W694" t="inlineStr">
        <is>
          <t>2003-04-18</t>
        </is>
      </c>
      <c r="X694" t="inlineStr">
        <is>
          <t>2003-04-18</t>
        </is>
      </c>
      <c r="Y694" t="inlineStr">
        <is>
          <t>1991-10-24</t>
        </is>
      </c>
      <c r="Z694" t="inlineStr">
        <is>
          <t>1991-10-24</t>
        </is>
      </c>
      <c r="AA694" t="n">
        <v>240</v>
      </c>
      <c r="AB694" t="n">
        <v>129</v>
      </c>
      <c r="AC694" t="n">
        <v>131</v>
      </c>
      <c r="AD694" t="n">
        <v>1</v>
      </c>
      <c r="AE694" t="n">
        <v>1</v>
      </c>
      <c r="AF694" t="n">
        <v>5</v>
      </c>
      <c r="AG694" t="n">
        <v>5</v>
      </c>
      <c r="AH694" t="n">
        <v>0</v>
      </c>
      <c r="AI694" t="n">
        <v>0</v>
      </c>
      <c r="AJ694" t="n">
        <v>2</v>
      </c>
      <c r="AK694" t="n">
        <v>2</v>
      </c>
      <c r="AL694" t="n">
        <v>4</v>
      </c>
      <c r="AM694" t="n">
        <v>4</v>
      </c>
      <c r="AN694" t="n">
        <v>0</v>
      </c>
      <c r="AO694" t="n">
        <v>0</v>
      </c>
      <c r="AP694" t="n">
        <v>0</v>
      </c>
      <c r="AQ694" t="n">
        <v>0</v>
      </c>
      <c r="AR694" t="inlineStr">
        <is>
          <t>No</t>
        </is>
      </c>
      <c r="AS694" t="inlineStr">
        <is>
          <t>Yes</t>
        </is>
      </c>
      <c r="AT694">
        <f>HYPERLINK("http://catalog.hathitrust.org/Record/001532684","HathiTrust Record")</f>
        <v/>
      </c>
      <c r="AU694">
        <f>HYPERLINK("https://creighton-primo.hosted.exlibrisgroup.com/primo-explore/search?tab=default_tab&amp;search_scope=EVERYTHING&amp;vid=01CRU&amp;lang=en_US&amp;offset=0&amp;query=any,contains,991001200319702656","Catalog Record")</f>
        <v/>
      </c>
      <c r="AV694">
        <f>HYPERLINK("http://www.worldcat.org/oclc/17300766","WorldCat Record")</f>
        <v/>
      </c>
      <c r="AW694" t="inlineStr">
        <is>
          <t>15391464:eng</t>
        </is>
      </c>
      <c r="AX694" t="inlineStr">
        <is>
          <t>17300766</t>
        </is>
      </c>
      <c r="AY694" t="inlineStr">
        <is>
          <t>991001200319702656</t>
        </is>
      </c>
      <c r="AZ694" t="inlineStr">
        <is>
          <t>991001200319702656</t>
        </is>
      </c>
      <c r="BA694" t="inlineStr">
        <is>
          <t>2267759270002656</t>
        </is>
      </c>
      <c r="BB694" t="inlineStr">
        <is>
          <t>BOOK</t>
        </is>
      </c>
      <c r="BD694" t="inlineStr">
        <is>
          <t>9780945088011</t>
        </is>
      </c>
      <c r="BE694" t="inlineStr">
        <is>
          <t>32285000800648</t>
        </is>
      </c>
      <c r="BF694" t="inlineStr">
        <is>
          <t>893231788</t>
        </is>
      </c>
    </row>
    <row r="695">
      <c r="A695" t="inlineStr">
        <is>
          <t>No</t>
        </is>
      </c>
      <c r="B695" t="inlineStr">
        <is>
          <t>CURAL</t>
        </is>
      </c>
      <c r="C695" t="inlineStr">
        <is>
          <t>SHELVES</t>
        </is>
      </c>
      <c r="D695" t="inlineStr">
        <is>
          <t>PR2965 .B38 1989</t>
        </is>
      </c>
      <c r="E695" t="inlineStr">
        <is>
          <t>0                      PR 2965000B  38          1989</t>
        </is>
      </c>
      <c r="F695" t="inlineStr">
        <is>
          <t>Shakespearean constitutions : politics, theatre, criticism, 1730-1830 / Jonathan Bate.</t>
        </is>
      </c>
      <c r="H695" t="inlineStr">
        <is>
          <t>No</t>
        </is>
      </c>
      <c r="I695" t="inlineStr">
        <is>
          <t>1</t>
        </is>
      </c>
      <c r="J695" t="inlineStr">
        <is>
          <t>No</t>
        </is>
      </c>
      <c r="K695" t="inlineStr">
        <is>
          <t>No</t>
        </is>
      </c>
      <c r="L695" t="inlineStr">
        <is>
          <t>0</t>
        </is>
      </c>
      <c r="M695" t="inlineStr">
        <is>
          <t>Bate, Jonathan.</t>
        </is>
      </c>
      <c r="N695" t="inlineStr">
        <is>
          <t>Oxford [England] : Clarendon Press ; Oxford [England] ; New York : Oxford University Press, 1989.</t>
        </is>
      </c>
      <c r="O695" t="inlineStr">
        <is>
          <t>1989</t>
        </is>
      </c>
      <c r="Q695" t="inlineStr">
        <is>
          <t>eng</t>
        </is>
      </c>
      <c r="R695" t="inlineStr">
        <is>
          <t>enk</t>
        </is>
      </c>
      <c r="T695" t="inlineStr">
        <is>
          <t xml:space="preserve">PR </t>
        </is>
      </c>
      <c r="U695" t="n">
        <v>1</v>
      </c>
      <c r="V695" t="n">
        <v>1</v>
      </c>
      <c r="W695" t="inlineStr">
        <is>
          <t>1994-09-24</t>
        </is>
      </c>
      <c r="X695" t="inlineStr">
        <is>
          <t>1994-09-24</t>
        </is>
      </c>
      <c r="Y695" t="inlineStr">
        <is>
          <t>1990-04-07</t>
        </is>
      </c>
      <c r="Z695" t="inlineStr">
        <is>
          <t>1990-04-07</t>
        </is>
      </c>
      <c r="AA695" t="n">
        <v>438</v>
      </c>
      <c r="AB695" t="n">
        <v>289</v>
      </c>
      <c r="AC695" t="n">
        <v>291</v>
      </c>
      <c r="AD695" t="n">
        <v>3</v>
      </c>
      <c r="AE695" t="n">
        <v>3</v>
      </c>
      <c r="AF695" t="n">
        <v>15</v>
      </c>
      <c r="AG695" t="n">
        <v>15</v>
      </c>
      <c r="AH695" t="n">
        <v>3</v>
      </c>
      <c r="AI695" t="n">
        <v>3</v>
      </c>
      <c r="AJ695" t="n">
        <v>5</v>
      </c>
      <c r="AK695" t="n">
        <v>5</v>
      </c>
      <c r="AL695" t="n">
        <v>10</v>
      </c>
      <c r="AM695" t="n">
        <v>10</v>
      </c>
      <c r="AN695" t="n">
        <v>2</v>
      </c>
      <c r="AO695" t="n">
        <v>2</v>
      </c>
      <c r="AP695" t="n">
        <v>0</v>
      </c>
      <c r="AQ695" t="n">
        <v>0</v>
      </c>
      <c r="AR695" t="inlineStr">
        <is>
          <t>No</t>
        </is>
      </c>
      <c r="AS695" t="inlineStr">
        <is>
          <t>Yes</t>
        </is>
      </c>
      <c r="AT695">
        <f>HYPERLINK("http://catalog.hathitrust.org/Record/001550088","HathiTrust Record")</f>
        <v/>
      </c>
      <c r="AU695">
        <f>HYPERLINK("https://creighton-primo.hosted.exlibrisgroup.com/primo-explore/search?tab=default_tab&amp;search_scope=EVERYTHING&amp;vid=01CRU&amp;lang=en_US&amp;offset=0&amp;query=any,contains,991001433109702656","Catalog Record")</f>
        <v/>
      </c>
      <c r="AV695">
        <f>HYPERLINK("http://www.worldcat.org/oclc/19125094","WorldCat Record")</f>
        <v/>
      </c>
      <c r="AW695" t="inlineStr">
        <is>
          <t>836839260:eng</t>
        </is>
      </c>
      <c r="AX695" t="inlineStr">
        <is>
          <t>19125094</t>
        </is>
      </c>
      <c r="AY695" t="inlineStr">
        <is>
          <t>991001433109702656</t>
        </is>
      </c>
      <c r="AZ695" t="inlineStr">
        <is>
          <t>991001433109702656</t>
        </is>
      </c>
      <c r="BA695" t="inlineStr">
        <is>
          <t>2269710890002656</t>
        </is>
      </c>
      <c r="BB695" t="inlineStr">
        <is>
          <t>BOOK</t>
        </is>
      </c>
      <c r="BD695" t="inlineStr">
        <is>
          <t>9780198117490</t>
        </is>
      </c>
      <c r="BE695" t="inlineStr">
        <is>
          <t>32285000094549</t>
        </is>
      </c>
      <c r="BF695" t="inlineStr">
        <is>
          <t>893690630</t>
        </is>
      </c>
    </row>
    <row r="696">
      <c r="A696" t="inlineStr">
        <is>
          <t>No</t>
        </is>
      </c>
      <c r="B696" t="inlineStr">
        <is>
          <t>CURAL</t>
        </is>
      </c>
      <c r="C696" t="inlineStr">
        <is>
          <t>SHELVES</t>
        </is>
      </c>
      <c r="D696" t="inlineStr">
        <is>
          <t>PR2965 .E15 1968</t>
        </is>
      </c>
      <c r="E696" t="inlineStr">
        <is>
          <t>0                      PR 2965000E  15          1968</t>
        </is>
      </c>
      <c r="F696" t="inlineStr">
        <is>
          <t>A short history of Shakespearean criticism / [by] Arthur M. Eastman.</t>
        </is>
      </c>
      <c r="H696" t="inlineStr">
        <is>
          <t>No</t>
        </is>
      </c>
      <c r="I696" t="inlineStr">
        <is>
          <t>1</t>
        </is>
      </c>
      <c r="J696" t="inlineStr">
        <is>
          <t>No</t>
        </is>
      </c>
      <c r="K696" t="inlineStr">
        <is>
          <t>No</t>
        </is>
      </c>
      <c r="L696" t="inlineStr">
        <is>
          <t>0</t>
        </is>
      </c>
      <c r="M696" t="inlineStr">
        <is>
          <t>Eastman, Arthur M., 1918-</t>
        </is>
      </c>
      <c r="N696" t="inlineStr">
        <is>
          <t>New York : Random House, [1968]</t>
        </is>
      </c>
      <c r="O696" t="inlineStr">
        <is>
          <t>1968</t>
        </is>
      </c>
      <c r="Q696" t="inlineStr">
        <is>
          <t>eng</t>
        </is>
      </c>
      <c r="R696" t="inlineStr">
        <is>
          <t>nyu</t>
        </is>
      </c>
      <c r="T696" t="inlineStr">
        <is>
          <t xml:space="preserve">PR </t>
        </is>
      </c>
      <c r="U696" t="n">
        <v>1</v>
      </c>
      <c r="V696" t="n">
        <v>1</v>
      </c>
      <c r="W696" t="inlineStr">
        <is>
          <t>2004-12-15</t>
        </is>
      </c>
      <c r="X696" t="inlineStr">
        <is>
          <t>2004-12-15</t>
        </is>
      </c>
      <c r="Y696" t="inlineStr">
        <is>
          <t>2004-12-15</t>
        </is>
      </c>
      <c r="Z696" t="inlineStr">
        <is>
          <t>2004-12-15</t>
        </is>
      </c>
      <c r="AA696" t="n">
        <v>968</v>
      </c>
      <c r="AB696" t="n">
        <v>889</v>
      </c>
      <c r="AC696" t="n">
        <v>896</v>
      </c>
      <c r="AD696" t="n">
        <v>9</v>
      </c>
      <c r="AE696" t="n">
        <v>9</v>
      </c>
      <c r="AF696" t="n">
        <v>36</v>
      </c>
      <c r="AG696" t="n">
        <v>36</v>
      </c>
      <c r="AH696" t="n">
        <v>13</v>
      </c>
      <c r="AI696" t="n">
        <v>13</v>
      </c>
      <c r="AJ696" t="n">
        <v>6</v>
      </c>
      <c r="AK696" t="n">
        <v>6</v>
      </c>
      <c r="AL696" t="n">
        <v>19</v>
      </c>
      <c r="AM696" t="n">
        <v>19</v>
      </c>
      <c r="AN696" t="n">
        <v>6</v>
      </c>
      <c r="AO696" t="n">
        <v>6</v>
      </c>
      <c r="AP696" t="n">
        <v>0</v>
      </c>
      <c r="AQ696" t="n">
        <v>0</v>
      </c>
      <c r="AR696" t="inlineStr">
        <is>
          <t>No</t>
        </is>
      </c>
      <c r="AS696" t="inlineStr">
        <is>
          <t>Yes</t>
        </is>
      </c>
      <c r="AT696">
        <f>HYPERLINK("http://catalog.hathitrust.org/Record/001110907","HathiTrust Record")</f>
        <v/>
      </c>
      <c r="AU696">
        <f>HYPERLINK("https://creighton-primo.hosted.exlibrisgroup.com/primo-explore/search?tab=default_tab&amp;search_scope=EVERYTHING&amp;vid=01CRU&amp;lang=en_US&amp;offset=0&amp;query=any,contains,991004438669702656","Catalog Record")</f>
        <v/>
      </c>
      <c r="AV696">
        <f>HYPERLINK("http://www.worldcat.org/oclc/418106","WorldCat Record")</f>
        <v/>
      </c>
      <c r="AW696" t="inlineStr">
        <is>
          <t>5218530143:eng</t>
        </is>
      </c>
      <c r="AX696" t="inlineStr">
        <is>
          <t>418106</t>
        </is>
      </c>
      <c r="AY696" t="inlineStr">
        <is>
          <t>991004438669702656</t>
        </is>
      </c>
      <c r="AZ696" t="inlineStr">
        <is>
          <t>991004438669702656</t>
        </is>
      </c>
      <c r="BA696" t="inlineStr">
        <is>
          <t>2261107160002656</t>
        </is>
      </c>
      <c r="BB696" t="inlineStr">
        <is>
          <t>BOOK</t>
        </is>
      </c>
      <c r="BE696" t="inlineStr">
        <is>
          <t>32285005017271</t>
        </is>
      </c>
      <c r="BF696" t="inlineStr">
        <is>
          <t>893612344</t>
        </is>
      </c>
    </row>
    <row r="697">
      <c r="A697" t="inlineStr">
        <is>
          <t>No</t>
        </is>
      </c>
      <c r="B697" t="inlineStr">
        <is>
          <t>CURAL</t>
        </is>
      </c>
      <c r="C697" t="inlineStr">
        <is>
          <t>SHELVES</t>
        </is>
      </c>
      <c r="D697" t="inlineStr">
        <is>
          <t>PR2965 .J6</t>
        </is>
      </c>
      <c r="E697" t="inlineStr">
        <is>
          <t>0                      PR 2965000J  6</t>
        </is>
      </c>
      <c r="F697" t="inlineStr">
        <is>
          <t>Shakespeare and his critics / by Charles F. Johnson.</t>
        </is>
      </c>
      <c r="H697" t="inlineStr">
        <is>
          <t>No</t>
        </is>
      </c>
      <c r="I697" t="inlineStr">
        <is>
          <t>1</t>
        </is>
      </c>
      <c r="J697" t="inlineStr">
        <is>
          <t>No</t>
        </is>
      </c>
      <c r="K697" t="inlineStr">
        <is>
          <t>No</t>
        </is>
      </c>
      <c r="L697" t="inlineStr">
        <is>
          <t>0</t>
        </is>
      </c>
      <c r="M697" t="inlineStr">
        <is>
          <t>Johnson, Charles F., 1836-1931.</t>
        </is>
      </c>
      <c r="N697" t="inlineStr">
        <is>
          <t>Boston ; and New York : Houghton Mifflin company, 1909.</t>
        </is>
      </c>
      <c r="O697" t="inlineStr">
        <is>
          <t>1909</t>
        </is>
      </c>
      <c r="Q697" t="inlineStr">
        <is>
          <t>eng</t>
        </is>
      </c>
      <c r="R697" t="inlineStr">
        <is>
          <t xml:space="preserve">xx </t>
        </is>
      </c>
      <c r="T697" t="inlineStr">
        <is>
          <t xml:space="preserve">PR </t>
        </is>
      </c>
      <c r="U697" t="n">
        <v>7</v>
      </c>
      <c r="V697" t="n">
        <v>7</v>
      </c>
      <c r="W697" t="inlineStr">
        <is>
          <t>1998-12-17</t>
        </is>
      </c>
      <c r="X697" t="inlineStr">
        <is>
          <t>1998-12-17</t>
        </is>
      </c>
      <c r="Y697" t="inlineStr">
        <is>
          <t>1991-01-22</t>
        </is>
      </c>
      <c r="Z697" t="inlineStr">
        <is>
          <t>1991-01-22</t>
        </is>
      </c>
      <c r="AA697" t="n">
        <v>226</v>
      </c>
      <c r="AB697" t="n">
        <v>212</v>
      </c>
      <c r="AC697" t="n">
        <v>305</v>
      </c>
      <c r="AD697" t="n">
        <v>5</v>
      </c>
      <c r="AE697" t="n">
        <v>5</v>
      </c>
      <c r="AF697" t="n">
        <v>16</v>
      </c>
      <c r="AG697" t="n">
        <v>19</v>
      </c>
      <c r="AH697" t="n">
        <v>6</v>
      </c>
      <c r="AI697" t="n">
        <v>7</v>
      </c>
      <c r="AJ697" t="n">
        <v>4</v>
      </c>
      <c r="AK697" t="n">
        <v>5</v>
      </c>
      <c r="AL697" t="n">
        <v>7</v>
      </c>
      <c r="AM697" t="n">
        <v>8</v>
      </c>
      <c r="AN697" t="n">
        <v>4</v>
      </c>
      <c r="AO697" t="n">
        <v>4</v>
      </c>
      <c r="AP697" t="n">
        <v>0</v>
      </c>
      <c r="AQ697" t="n">
        <v>0</v>
      </c>
      <c r="AR697" t="inlineStr">
        <is>
          <t>Yes</t>
        </is>
      </c>
      <c r="AS697" t="inlineStr">
        <is>
          <t>No</t>
        </is>
      </c>
      <c r="AT697">
        <f>HYPERLINK("http://catalog.hathitrust.org/Record/001018700","HathiTrust Record")</f>
        <v/>
      </c>
      <c r="AU697">
        <f>HYPERLINK("https://creighton-primo.hosted.exlibrisgroup.com/primo-explore/search?tab=default_tab&amp;search_scope=EVERYTHING&amp;vid=01CRU&amp;lang=en_US&amp;offset=0&amp;query=any,contains,991002871569702656","Catalog Record")</f>
        <v/>
      </c>
      <c r="AV697">
        <f>HYPERLINK("http://www.worldcat.org/oclc/499494","WorldCat Record")</f>
        <v/>
      </c>
      <c r="AW697" t="inlineStr">
        <is>
          <t>474605:eng</t>
        </is>
      </c>
      <c r="AX697" t="inlineStr">
        <is>
          <t>499494</t>
        </is>
      </c>
      <c r="AY697" t="inlineStr">
        <is>
          <t>991002871569702656</t>
        </is>
      </c>
      <c r="AZ697" t="inlineStr">
        <is>
          <t>991002871569702656</t>
        </is>
      </c>
      <c r="BA697" t="inlineStr">
        <is>
          <t>2271293690002656</t>
        </is>
      </c>
      <c r="BB697" t="inlineStr">
        <is>
          <t>BOOK</t>
        </is>
      </c>
      <c r="BE697" t="inlineStr">
        <is>
          <t>32285000430701</t>
        </is>
      </c>
      <c r="BF697" t="inlineStr">
        <is>
          <t>893535231</t>
        </is>
      </c>
    </row>
    <row r="698">
      <c r="A698" t="inlineStr">
        <is>
          <t>No</t>
        </is>
      </c>
      <c r="B698" t="inlineStr">
        <is>
          <t>CURAL</t>
        </is>
      </c>
      <c r="C698" t="inlineStr">
        <is>
          <t>SHELVES</t>
        </is>
      </c>
      <c r="D698" t="inlineStr">
        <is>
          <t>PR2965 .S5 1959</t>
        </is>
      </c>
      <c r="E698" t="inlineStr">
        <is>
          <t>0                      PR 2965000S  5           1959</t>
        </is>
      </c>
      <c r="F698" t="inlineStr">
        <is>
          <t>Shakespeare / by C.J. Sisson.</t>
        </is>
      </c>
      <c r="H698" t="inlineStr">
        <is>
          <t>No</t>
        </is>
      </c>
      <c r="I698" t="inlineStr">
        <is>
          <t>1</t>
        </is>
      </c>
      <c r="J698" t="inlineStr">
        <is>
          <t>No</t>
        </is>
      </c>
      <c r="K698" t="inlineStr">
        <is>
          <t>No</t>
        </is>
      </c>
      <c r="L698" t="inlineStr">
        <is>
          <t>0</t>
        </is>
      </c>
      <c r="M698" t="inlineStr">
        <is>
          <t>Sisson, Charles Jasper, 1885-1966.</t>
        </is>
      </c>
      <c r="N698" t="inlineStr">
        <is>
          <t>London : Published for the British Council and the National Book League by Longmans, Green, 1959, c1955.</t>
        </is>
      </c>
      <c r="O698" t="inlineStr">
        <is>
          <t>1959</t>
        </is>
      </c>
      <c r="P698" t="inlineStr">
        <is>
          <t>Rev. ed.</t>
        </is>
      </c>
      <c r="Q698" t="inlineStr">
        <is>
          <t>eng</t>
        </is>
      </c>
      <c r="R698" t="inlineStr">
        <is>
          <t>enk</t>
        </is>
      </c>
      <c r="S698" t="inlineStr">
        <is>
          <t>Writers and their work ; no. 58</t>
        </is>
      </c>
      <c r="T698" t="inlineStr">
        <is>
          <t xml:space="preserve">PR </t>
        </is>
      </c>
      <c r="U698" t="n">
        <v>1</v>
      </c>
      <c r="V698" t="n">
        <v>1</v>
      </c>
      <c r="W698" t="inlineStr">
        <is>
          <t>2001-07-12</t>
        </is>
      </c>
      <c r="X698" t="inlineStr">
        <is>
          <t>2001-07-12</t>
        </is>
      </c>
      <c r="Y698" t="inlineStr">
        <is>
          <t>2001-07-12</t>
        </is>
      </c>
      <c r="Z698" t="inlineStr">
        <is>
          <t>2001-07-12</t>
        </is>
      </c>
      <c r="AA698" t="n">
        <v>42</v>
      </c>
      <c r="AB698" t="n">
        <v>29</v>
      </c>
      <c r="AC698" t="n">
        <v>539</v>
      </c>
      <c r="AD698" t="n">
        <v>2</v>
      </c>
      <c r="AE698" t="n">
        <v>7</v>
      </c>
      <c r="AF698" t="n">
        <v>3</v>
      </c>
      <c r="AG698" t="n">
        <v>34</v>
      </c>
      <c r="AH698" t="n">
        <v>0</v>
      </c>
      <c r="AI698" t="n">
        <v>12</v>
      </c>
      <c r="AJ698" t="n">
        <v>0</v>
      </c>
      <c r="AK698" t="n">
        <v>6</v>
      </c>
      <c r="AL698" t="n">
        <v>2</v>
      </c>
      <c r="AM698" t="n">
        <v>18</v>
      </c>
      <c r="AN698" t="n">
        <v>1</v>
      </c>
      <c r="AO698" t="n">
        <v>6</v>
      </c>
      <c r="AP698" t="n">
        <v>0</v>
      </c>
      <c r="AQ698" t="n">
        <v>0</v>
      </c>
      <c r="AR698" t="inlineStr">
        <is>
          <t>No</t>
        </is>
      </c>
      <c r="AS698" t="inlineStr">
        <is>
          <t>Yes</t>
        </is>
      </c>
      <c r="AT698">
        <f>HYPERLINK("http://catalog.hathitrust.org/Record/006057083","HathiTrust Record")</f>
        <v/>
      </c>
      <c r="AU698">
        <f>HYPERLINK("https://creighton-primo.hosted.exlibrisgroup.com/primo-explore/search?tab=default_tab&amp;search_scope=EVERYTHING&amp;vid=01CRU&amp;lang=en_US&amp;offset=0&amp;query=any,contains,991003568169702656","Catalog Record")</f>
        <v/>
      </c>
      <c r="AV698">
        <f>HYPERLINK("http://www.worldcat.org/oclc/5051155","WorldCat Record")</f>
        <v/>
      </c>
      <c r="AW698" t="inlineStr">
        <is>
          <t>494227:eng</t>
        </is>
      </c>
      <c r="AX698" t="inlineStr">
        <is>
          <t>5051155</t>
        </is>
      </c>
      <c r="AY698" t="inlineStr">
        <is>
          <t>991003568169702656</t>
        </is>
      </c>
      <c r="AZ698" t="inlineStr">
        <is>
          <t>991003568169702656</t>
        </is>
      </c>
      <c r="BA698" t="inlineStr">
        <is>
          <t>2263816340002656</t>
        </is>
      </c>
      <c r="BB698" t="inlineStr">
        <is>
          <t>BOOK</t>
        </is>
      </c>
      <c r="BE698" t="inlineStr">
        <is>
          <t>32285004332317</t>
        </is>
      </c>
      <c r="BF698" t="inlineStr">
        <is>
          <t>893512102</t>
        </is>
      </c>
    </row>
    <row r="699">
      <c r="A699" t="inlineStr">
        <is>
          <t>No</t>
        </is>
      </c>
      <c r="B699" t="inlineStr">
        <is>
          <t>CURAL</t>
        </is>
      </c>
      <c r="C699" t="inlineStr">
        <is>
          <t>SHELVES</t>
        </is>
      </c>
      <c r="D699" t="inlineStr">
        <is>
          <t>PR2968 .B2</t>
        </is>
      </c>
      <c r="E699" t="inlineStr">
        <is>
          <t>0                      PR 2968000B  2</t>
        </is>
      </c>
      <c r="F699" t="inlineStr">
        <is>
          <t>The genesis of Shakespeare idolatry, 1766-1799; a study in English criticism of the late eighteenth century, by Robert Witbeck Babcock, PH. D.</t>
        </is>
      </c>
      <c r="H699" t="inlineStr">
        <is>
          <t>No</t>
        </is>
      </c>
      <c r="I699" t="inlineStr">
        <is>
          <t>1</t>
        </is>
      </c>
      <c r="J699" t="inlineStr">
        <is>
          <t>No</t>
        </is>
      </c>
      <c r="K699" t="inlineStr">
        <is>
          <t>No</t>
        </is>
      </c>
      <c r="L699" t="inlineStr">
        <is>
          <t>0</t>
        </is>
      </c>
      <c r="M699" t="inlineStr">
        <is>
          <t>Babcock, R. W. (Robert Witbeck), 1895-1965.</t>
        </is>
      </c>
      <c r="N699" t="inlineStr">
        <is>
          <t>Chapel Hill, The University of North Carolina press, 1931.</t>
        </is>
      </c>
      <c r="O699" t="inlineStr">
        <is>
          <t>1931</t>
        </is>
      </c>
      <c r="Q699" t="inlineStr">
        <is>
          <t>eng</t>
        </is>
      </c>
      <c r="R699" t="inlineStr">
        <is>
          <t>ncu</t>
        </is>
      </c>
      <c r="T699" t="inlineStr">
        <is>
          <t xml:space="preserve">PR </t>
        </is>
      </c>
      <c r="U699" t="n">
        <v>1</v>
      </c>
      <c r="V699" t="n">
        <v>1</v>
      </c>
      <c r="W699" t="inlineStr">
        <is>
          <t>1998-12-03</t>
        </is>
      </c>
      <c r="X699" t="inlineStr">
        <is>
          <t>1998-12-03</t>
        </is>
      </c>
      <c r="Y699" t="inlineStr">
        <is>
          <t>1997-08-05</t>
        </is>
      </c>
      <c r="Z699" t="inlineStr">
        <is>
          <t>1997-08-05</t>
        </is>
      </c>
      <c r="AA699" t="n">
        <v>237</v>
      </c>
      <c r="AB699" t="n">
        <v>204</v>
      </c>
      <c r="AC699" t="n">
        <v>596</v>
      </c>
      <c r="AD699" t="n">
        <v>3</v>
      </c>
      <c r="AE699" t="n">
        <v>6</v>
      </c>
      <c r="AF699" t="n">
        <v>11</v>
      </c>
      <c r="AG699" t="n">
        <v>26</v>
      </c>
      <c r="AH699" t="n">
        <v>2</v>
      </c>
      <c r="AI699" t="n">
        <v>9</v>
      </c>
      <c r="AJ699" t="n">
        <v>3</v>
      </c>
      <c r="AK699" t="n">
        <v>6</v>
      </c>
      <c r="AL699" t="n">
        <v>7</v>
      </c>
      <c r="AM699" t="n">
        <v>13</v>
      </c>
      <c r="AN699" t="n">
        <v>2</v>
      </c>
      <c r="AO699" t="n">
        <v>5</v>
      </c>
      <c r="AP699" t="n">
        <v>0</v>
      </c>
      <c r="AQ699" t="n">
        <v>0</v>
      </c>
      <c r="AR699" t="inlineStr">
        <is>
          <t>Yes</t>
        </is>
      </c>
      <c r="AS699" t="inlineStr">
        <is>
          <t>No</t>
        </is>
      </c>
      <c r="AT699">
        <f>HYPERLINK("http://catalog.hathitrust.org/Record/001112159","HathiTrust Record")</f>
        <v/>
      </c>
      <c r="AU699">
        <f>HYPERLINK("https://creighton-primo.hosted.exlibrisgroup.com/primo-explore/search?tab=default_tab&amp;search_scope=EVERYTHING&amp;vid=01CRU&amp;lang=en_US&amp;offset=0&amp;query=any,contains,991004061659702656","Catalog Record")</f>
        <v/>
      </c>
      <c r="AV699">
        <f>HYPERLINK("http://www.worldcat.org/oclc/2272399","WorldCat Record")</f>
        <v/>
      </c>
      <c r="AW699" t="inlineStr">
        <is>
          <t>475203:eng</t>
        </is>
      </c>
      <c r="AX699" t="inlineStr">
        <is>
          <t>2272399</t>
        </is>
      </c>
      <c r="AY699" t="inlineStr">
        <is>
          <t>991004061659702656</t>
        </is>
      </c>
      <c r="AZ699" t="inlineStr">
        <is>
          <t>991004061659702656</t>
        </is>
      </c>
      <c r="BA699" t="inlineStr">
        <is>
          <t>2269407540002656</t>
        </is>
      </c>
      <c r="BB699" t="inlineStr">
        <is>
          <t>BOOK</t>
        </is>
      </c>
      <c r="BE699" t="inlineStr">
        <is>
          <t>32285002999612</t>
        </is>
      </c>
      <c r="BF699" t="inlineStr">
        <is>
          <t>893624307</t>
        </is>
      </c>
    </row>
    <row r="700">
      <c r="A700" t="inlineStr">
        <is>
          <t>No</t>
        </is>
      </c>
      <c r="B700" t="inlineStr">
        <is>
          <t>CURAL</t>
        </is>
      </c>
      <c r="C700" t="inlineStr">
        <is>
          <t>SHELVES</t>
        </is>
      </c>
      <c r="D700" t="inlineStr">
        <is>
          <t>PR2969 .G7 1991</t>
        </is>
      </c>
      <c r="E700" t="inlineStr">
        <is>
          <t>0                      PR 2969000G  7           1991</t>
        </is>
      </c>
      <c r="F700" t="inlineStr">
        <is>
          <t>The modernist Shakespeare : critical texts in a material world / Hugh Grady.</t>
        </is>
      </c>
      <c r="H700" t="inlineStr">
        <is>
          <t>No</t>
        </is>
      </c>
      <c r="I700" t="inlineStr">
        <is>
          <t>1</t>
        </is>
      </c>
      <c r="J700" t="inlineStr">
        <is>
          <t>No</t>
        </is>
      </c>
      <c r="K700" t="inlineStr">
        <is>
          <t>No</t>
        </is>
      </c>
      <c r="L700" t="inlineStr">
        <is>
          <t>0</t>
        </is>
      </c>
      <c r="M700" t="inlineStr">
        <is>
          <t>Grady, Hugh.</t>
        </is>
      </c>
      <c r="N700" t="inlineStr">
        <is>
          <t>Oxford [England] : Clarendon Press ; New York : Oxford University Press, 1991.</t>
        </is>
      </c>
      <c r="O700" t="inlineStr">
        <is>
          <t>1991</t>
        </is>
      </c>
      <c r="Q700" t="inlineStr">
        <is>
          <t>eng</t>
        </is>
      </c>
      <c r="R700" t="inlineStr">
        <is>
          <t>enk</t>
        </is>
      </c>
      <c r="T700" t="inlineStr">
        <is>
          <t xml:space="preserve">PR </t>
        </is>
      </c>
      <c r="U700" t="n">
        <v>1</v>
      </c>
      <c r="V700" t="n">
        <v>1</v>
      </c>
      <c r="W700" t="inlineStr">
        <is>
          <t>2002-07-01</t>
        </is>
      </c>
      <c r="X700" t="inlineStr">
        <is>
          <t>2002-07-01</t>
        </is>
      </c>
      <c r="Y700" t="inlineStr">
        <is>
          <t>1991-05-13</t>
        </is>
      </c>
      <c r="Z700" t="inlineStr">
        <is>
          <t>1991-05-13</t>
        </is>
      </c>
      <c r="AA700" t="n">
        <v>551</v>
      </c>
      <c r="AB700" t="n">
        <v>383</v>
      </c>
      <c r="AC700" t="n">
        <v>449</v>
      </c>
      <c r="AD700" t="n">
        <v>4</v>
      </c>
      <c r="AE700" t="n">
        <v>4</v>
      </c>
      <c r="AF700" t="n">
        <v>25</v>
      </c>
      <c r="AG700" t="n">
        <v>27</v>
      </c>
      <c r="AH700" t="n">
        <v>8</v>
      </c>
      <c r="AI700" t="n">
        <v>9</v>
      </c>
      <c r="AJ700" t="n">
        <v>6</v>
      </c>
      <c r="AK700" t="n">
        <v>7</v>
      </c>
      <c r="AL700" t="n">
        <v>15</v>
      </c>
      <c r="AM700" t="n">
        <v>15</v>
      </c>
      <c r="AN700" t="n">
        <v>3</v>
      </c>
      <c r="AO700" t="n">
        <v>3</v>
      </c>
      <c r="AP700" t="n">
        <v>0</v>
      </c>
      <c r="AQ700" t="n">
        <v>0</v>
      </c>
      <c r="AR700" t="inlineStr">
        <is>
          <t>No</t>
        </is>
      </c>
      <c r="AS700" t="inlineStr">
        <is>
          <t>Yes</t>
        </is>
      </c>
      <c r="AT700">
        <f>HYPERLINK("http://catalog.hathitrust.org/Record/002450067","HathiTrust Record")</f>
        <v/>
      </c>
      <c r="AU700">
        <f>HYPERLINK("https://creighton-primo.hosted.exlibrisgroup.com/primo-explore/search?tab=default_tab&amp;search_scope=EVERYTHING&amp;vid=01CRU&amp;lang=en_US&amp;offset=0&amp;query=any,contains,991001721439702656","Catalog Record")</f>
        <v/>
      </c>
      <c r="AV700">
        <f>HYPERLINK("http://www.worldcat.org/oclc/21764405","WorldCat Record")</f>
        <v/>
      </c>
      <c r="AW700" t="inlineStr">
        <is>
          <t>795578483:eng</t>
        </is>
      </c>
      <c r="AX700" t="inlineStr">
        <is>
          <t>21764405</t>
        </is>
      </c>
      <c r="AY700" t="inlineStr">
        <is>
          <t>991001721439702656</t>
        </is>
      </c>
      <c r="AZ700" t="inlineStr">
        <is>
          <t>991001721439702656</t>
        </is>
      </c>
      <c r="BA700" t="inlineStr">
        <is>
          <t>2263343830002656</t>
        </is>
      </c>
      <c r="BB700" t="inlineStr">
        <is>
          <t>BOOK</t>
        </is>
      </c>
      <c r="BD700" t="inlineStr">
        <is>
          <t>9780198122227</t>
        </is>
      </c>
      <c r="BE700" t="inlineStr">
        <is>
          <t>32285000572890</t>
        </is>
      </c>
      <c r="BF700" t="inlineStr">
        <is>
          <t>893785339</t>
        </is>
      </c>
    </row>
    <row r="701">
      <c r="A701" t="inlineStr">
        <is>
          <t>No</t>
        </is>
      </c>
      <c r="B701" t="inlineStr">
        <is>
          <t>CURAL</t>
        </is>
      </c>
      <c r="C701" t="inlineStr">
        <is>
          <t>SHELVES</t>
        </is>
      </c>
      <c r="D701" t="inlineStr">
        <is>
          <t>PR2969 .S85</t>
        </is>
      </c>
      <c r="E701" t="inlineStr">
        <is>
          <t>0                      PR 2969000S  85</t>
        </is>
      </c>
      <c r="F701" t="inlineStr">
        <is>
          <t>The Shakespeare revolution : criticism and performance in the twentieth century / J. L. Styan.</t>
        </is>
      </c>
      <c r="H701" t="inlineStr">
        <is>
          <t>No</t>
        </is>
      </c>
      <c r="I701" t="inlineStr">
        <is>
          <t>1</t>
        </is>
      </c>
      <c r="J701" t="inlineStr">
        <is>
          <t>No</t>
        </is>
      </c>
      <c r="K701" t="inlineStr">
        <is>
          <t>No</t>
        </is>
      </c>
      <c r="L701" t="inlineStr">
        <is>
          <t>0</t>
        </is>
      </c>
      <c r="M701" t="inlineStr">
        <is>
          <t>Styan, J. L.</t>
        </is>
      </c>
      <c r="N701" t="inlineStr">
        <is>
          <t>Cambridge ; New York : Cambridge University Press, 1977.</t>
        </is>
      </c>
      <c r="O701" t="inlineStr">
        <is>
          <t>1977</t>
        </is>
      </c>
      <c r="Q701" t="inlineStr">
        <is>
          <t>eng</t>
        </is>
      </c>
      <c r="R701" t="inlineStr">
        <is>
          <t>enk</t>
        </is>
      </c>
      <c r="T701" t="inlineStr">
        <is>
          <t xml:space="preserve">PR </t>
        </is>
      </c>
      <c r="U701" t="n">
        <v>1</v>
      </c>
      <c r="V701" t="n">
        <v>1</v>
      </c>
      <c r="W701" t="inlineStr">
        <is>
          <t>2006-04-13</t>
        </is>
      </c>
      <c r="X701" t="inlineStr">
        <is>
          <t>2006-04-13</t>
        </is>
      </c>
      <c r="Y701" t="inlineStr">
        <is>
          <t>1997-08-05</t>
        </is>
      </c>
      <c r="Z701" t="inlineStr">
        <is>
          <t>1997-08-05</t>
        </is>
      </c>
      <c r="AA701" t="n">
        <v>796</v>
      </c>
      <c r="AB701" t="n">
        <v>576</v>
      </c>
      <c r="AC701" t="n">
        <v>599</v>
      </c>
      <c r="AD701" t="n">
        <v>3</v>
      </c>
      <c r="AE701" t="n">
        <v>3</v>
      </c>
      <c r="AF701" t="n">
        <v>26</v>
      </c>
      <c r="AG701" t="n">
        <v>28</v>
      </c>
      <c r="AH701" t="n">
        <v>9</v>
      </c>
      <c r="AI701" t="n">
        <v>10</v>
      </c>
      <c r="AJ701" t="n">
        <v>7</v>
      </c>
      <c r="AK701" t="n">
        <v>8</v>
      </c>
      <c r="AL701" t="n">
        <v>16</v>
      </c>
      <c r="AM701" t="n">
        <v>17</v>
      </c>
      <c r="AN701" t="n">
        <v>2</v>
      </c>
      <c r="AO701" t="n">
        <v>2</v>
      </c>
      <c r="AP701" t="n">
        <v>0</v>
      </c>
      <c r="AQ701" t="n">
        <v>0</v>
      </c>
      <c r="AR701" t="inlineStr">
        <is>
          <t>No</t>
        </is>
      </c>
      <c r="AS701" t="inlineStr">
        <is>
          <t>No</t>
        </is>
      </c>
      <c r="AU701">
        <f>HYPERLINK("https://creighton-primo.hosted.exlibrisgroup.com/primo-explore/search?tab=default_tab&amp;search_scope=EVERYTHING&amp;vid=01CRU&amp;lang=en_US&amp;offset=0&amp;query=any,contains,991004064889702656","Catalog Record")</f>
        <v/>
      </c>
      <c r="AV701">
        <f>HYPERLINK("http://www.worldcat.org/oclc/2283732","WorldCat Record")</f>
        <v/>
      </c>
      <c r="AW701" t="inlineStr">
        <is>
          <t>233550380:eng</t>
        </is>
      </c>
      <c r="AX701" t="inlineStr">
        <is>
          <t>2283732</t>
        </is>
      </c>
      <c r="AY701" t="inlineStr">
        <is>
          <t>991004064889702656</t>
        </is>
      </c>
      <c r="AZ701" t="inlineStr">
        <is>
          <t>991004064889702656</t>
        </is>
      </c>
      <c r="BA701" t="inlineStr">
        <is>
          <t>2266974510002656</t>
        </is>
      </c>
      <c r="BB701" t="inlineStr">
        <is>
          <t>BOOK</t>
        </is>
      </c>
      <c r="BD701" t="inlineStr">
        <is>
          <t>9780521211932</t>
        </is>
      </c>
      <c r="BE701" t="inlineStr">
        <is>
          <t>32285002999661</t>
        </is>
      </c>
      <c r="BF701" t="inlineStr">
        <is>
          <t>893624310</t>
        </is>
      </c>
    </row>
    <row r="702">
      <c r="A702" t="inlineStr">
        <is>
          <t>No</t>
        </is>
      </c>
      <c r="B702" t="inlineStr">
        <is>
          <t>CURAL</t>
        </is>
      </c>
      <c r="C702" t="inlineStr">
        <is>
          <t>SHELVES</t>
        </is>
      </c>
      <c r="D702" t="inlineStr">
        <is>
          <t>PR2970 .P43 1995</t>
        </is>
      </c>
      <c r="E702" t="inlineStr">
        <is>
          <t>0                      PR 2970000P  43          1995</t>
        </is>
      </c>
      <c r="F702" t="inlineStr">
        <is>
          <t>What was Shakespeare? : Renaissance plays and changing critical practice / Edward Pechter.</t>
        </is>
      </c>
      <c r="H702" t="inlineStr">
        <is>
          <t>No</t>
        </is>
      </c>
      <c r="I702" t="inlineStr">
        <is>
          <t>1</t>
        </is>
      </c>
      <c r="J702" t="inlineStr">
        <is>
          <t>No</t>
        </is>
      </c>
      <c r="K702" t="inlineStr">
        <is>
          <t>No</t>
        </is>
      </c>
      <c r="L702" t="inlineStr">
        <is>
          <t>0</t>
        </is>
      </c>
      <c r="M702" t="inlineStr">
        <is>
          <t>Pechter, Edward, 1941-</t>
        </is>
      </c>
      <c r="N702" t="inlineStr">
        <is>
          <t>Ithaca : Cornell University Press, 1995.</t>
        </is>
      </c>
      <c r="O702" t="inlineStr">
        <is>
          <t>1995</t>
        </is>
      </c>
      <c r="Q702" t="inlineStr">
        <is>
          <t>eng</t>
        </is>
      </c>
      <c r="R702" t="inlineStr">
        <is>
          <t>nyu</t>
        </is>
      </c>
      <c r="T702" t="inlineStr">
        <is>
          <t xml:space="preserve">PR </t>
        </is>
      </c>
      <c r="U702" t="n">
        <v>6</v>
      </c>
      <c r="V702" t="n">
        <v>6</v>
      </c>
      <c r="W702" t="inlineStr">
        <is>
          <t>2009-07-10</t>
        </is>
      </c>
      <c r="X702" t="inlineStr">
        <is>
          <t>2009-07-10</t>
        </is>
      </c>
      <c r="Y702" t="inlineStr">
        <is>
          <t>1996-06-17</t>
        </is>
      </c>
      <c r="Z702" t="inlineStr">
        <is>
          <t>1996-06-17</t>
        </is>
      </c>
      <c r="AA702" t="n">
        <v>585</v>
      </c>
      <c r="AB702" t="n">
        <v>459</v>
      </c>
      <c r="AC702" t="n">
        <v>466</v>
      </c>
      <c r="AD702" t="n">
        <v>5</v>
      </c>
      <c r="AE702" t="n">
        <v>5</v>
      </c>
      <c r="AF702" t="n">
        <v>25</v>
      </c>
      <c r="AG702" t="n">
        <v>25</v>
      </c>
      <c r="AH702" t="n">
        <v>8</v>
      </c>
      <c r="AI702" t="n">
        <v>8</v>
      </c>
      <c r="AJ702" t="n">
        <v>8</v>
      </c>
      <c r="AK702" t="n">
        <v>8</v>
      </c>
      <c r="AL702" t="n">
        <v>12</v>
      </c>
      <c r="AM702" t="n">
        <v>12</v>
      </c>
      <c r="AN702" t="n">
        <v>4</v>
      </c>
      <c r="AO702" t="n">
        <v>4</v>
      </c>
      <c r="AP702" t="n">
        <v>0</v>
      </c>
      <c r="AQ702" t="n">
        <v>0</v>
      </c>
      <c r="AR702" t="inlineStr">
        <is>
          <t>No</t>
        </is>
      </c>
      <c r="AS702" t="inlineStr">
        <is>
          <t>No</t>
        </is>
      </c>
      <c r="AU702">
        <f>HYPERLINK("https://creighton-primo.hosted.exlibrisgroup.com/primo-explore/search?tab=default_tab&amp;search_scope=EVERYTHING&amp;vid=01CRU&amp;lang=en_US&amp;offset=0&amp;query=any,contains,991002352349702656","Catalog Record")</f>
        <v/>
      </c>
      <c r="AV702">
        <f>HYPERLINK("http://www.worldcat.org/oclc/30624545","WorldCat Record")</f>
        <v/>
      </c>
      <c r="AW702" t="inlineStr">
        <is>
          <t>796471583:eng</t>
        </is>
      </c>
      <c r="AX702" t="inlineStr">
        <is>
          <t>30624545</t>
        </is>
      </c>
      <c r="AY702" t="inlineStr">
        <is>
          <t>991002352349702656</t>
        </is>
      </c>
      <c r="AZ702" t="inlineStr">
        <is>
          <t>991002352349702656</t>
        </is>
      </c>
      <c r="BA702" t="inlineStr">
        <is>
          <t>2260260070002656</t>
        </is>
      </c>
      <c r="BB702" t="inlineStr">
        <is>
          <t>BOOK</t>
        </is>
      </c>
      <c r="BD702" t="inlineStr">
        <is>
          <t>9780801430657</t>
        </is>
      </c>
      <c r="BE702" t="inlineStr">
        <is>
          <t>32285002193554</t>
        </is>
      </c>
      <c r="BF702" t="inlineStr">
        <is>
          <t>893804514</t>
        </is>
      </c>
    </row>
    <row r="703">
      <c r="A703" t="inlineStr">
        <is>
          <t>No</t>
        </is>
      </c>
      <c r="B703" t="inlineStr">
        <is>
          <t>CURAL</t>
        </is>
      </c>
      <c r="C703" t="inlineStr">
        <is>
          <t>SHELVES</t>
        </is>
      </c>
      <c r="D703" t="inlineStr">
        <is>
          <t>PR2970 .V5 1994</t>
        </is>
      </c>
      <c r="E703" t="inlineStr">
        <is>
          <t>0                      PR 2970000V  5           1994</t>
        </is>
      </c>
      <c r="F703" t="inlineStr">
        <is>
          <t>Appropriating Shakespeare : contemporary critical quarrels / Brian Vickers.</t>
        </is>
      </c>
      <c r="H703" t="inlineStr">
        <is>
          <t>No</t>
        </is>
      </c>
      <c r="I703" t="inlineStr">
        <is>
          <t>1</t>
        </is>
      </c>
      <c r="J703" t="inlineStr">
        <is>
          <t>No</t>
        </is>
      </c>
      <c r="K703" t="inlineStr">
        <is>
          <t>No</t>
        </is>
      </c>
      <c r="L703" t="inlineStr">
        <is>
          <t>0</t>
        </is>
      </c>
      <c r="M703" t="inlineStr">
        <is>
          <t>Vickers, Brian.</t>
        </is>
      </c>
      <c r="N703" t="inlineStr">
        <is>
          <t>New Haven ; London : Yale University Press, 1994, c1993.</t>
        </is>
      </c>
      <c r="O703" t="inlineStr">
        <is>
          <t>1994</t>
        </is>
      </c>
      <c r="Q703" t="inlineStr">
        <is>
          <t>eng</t>
        </is>
      </c>
      <c r="R703" t="inlineStr">
        <is>
          <t>enk</t>
        </is>
      </c>
      <c r="T703" t="inlineStr">
        <is>
          <t xml:space="preserve">PR </t>
        </is>
      </c>
      <c r="U703" t="n">
        <v>2</v>
      </c>
      <c r="V703" t="n">
        <v>2</v>
      </c>
      <c r="W703" t="inlineStr">
        <is>
          <t>2001-05-16</t>
        </is>
      </c>
      <c r="X703" t="inlineStr">
        <is>
          <t>2001-05-16</t>
        </is>
      </c>
      <c r="Y703" t="inlineStr">
        <is>
          <t>2001-03-20</t>
        </is>
      </c>
      <c r="Z703" t="inlineStr">
        <is>
          <t>2001-03-20</t>
        </is>
      </c>
      <c r="AA703" t="n">
        <v>161</v>
      </c>
      <c r="AB703" t="n">
        <v>139</v>
      </c>
      <c r="AC703" t="n">
        <v>625</v>
      </c>
      <c r="AD703" t="n">
        <v>3</v>
      </c>
      <c r="AE703" t="n">
        <v>6</v>
      </c>
      <c r="AF703" t="n">
        <v>7</v>
      </c>
      <c r="AG703" t="n">
        <v>39</v>
      </c>
      <c r="AH703" t="n">
        <v>3</v>
      </c>
      <c r="AI703" t="n">
        <v>15</v>
      </c>
      <c r="AJ703" t="n">
        <v>1</v>
      </c>
      <c r="AK703" t="n">
        <v>9</v>
      </c>
      <c r="AL703" t="n">
        <v>3</v>
      </c>
      <c r="AM703" t="n">
        <v>21</v>
      </c>
      <c r="AN703" t="n">
        <v>1</v>
      </c>
      <c r="AO703" t="n">
        <v>4</v>
      </c>
      <c r="AP703" t="n">
        <v>0</v>
      </c>
      <c r="AQ703" t="n">
        <v>0</v>
      </c>
      <c r="AR703" t="inlineStr">
        <is>
          <t>No</t>
        </is>
      </c>
      <c r="AS703" t="inlineStr">
        <is>
          <t>No</t>
        </is>
      </c>
      <c r="AU703">
        <f>HYPERLINK("https://creighton-primo.hosted.exlibrisgroup.com/primo-explore/search?tab=default_tab&amp;search_scope=EVERYTHING&amp;vid=01CRU&amp;lang=en_US&amp;offset=0&amp;query=any,contains,991003516809702656","Catalog Record")</f>
        <v/>
      </c>
      <c r="AV703">
        <f>HYPERLINK("http://www.worldcat.org/oclc/32738455","WorldCat Record")</f>
        <v/>
      </c>
      <c r="AW703" t="inlineStr">
        <is>
          <t>806649974:eng</t>
        </is>
      </c>
      <c r="AX703" t="inlineStr">
        <is>
          <t>32738455</t>
        </is>
      </c>
      <c r="AY703" t="inlineStr">
        <is>
          <t>991003516809702656</t>
        </is>
      </c>
      <c r="AZ703" t="inlineStr">
        <is>
          <t>991003516809702656</t>
        </is>
      </c>
      <c r="BA703" t="inlineStr">
        <is>
          <t>2269614490002656</t>
        </is>
      </c>
      <c r="BB703" t="inlineStr">
        <is>
          <t>BOOK</t>
        </is>
      </c>
      <c r="BD703" t="inlineStr">
        <is>
          <t>9780300061055</t>
        </is>
      </c>
      <c r="BE703" t="inlineStr">
        <is>
          <t>32285004306311</t>
        </is>
      </c>
      <c r="BF703" t="inlineStr">
        <is>
          <t>893258504</t>
        </is>
      </c>
    </row>
    <row r="704">
      <c r="A704" t="inlineStr">
        <is>
          <t>No</t>
        </is>
      </c>
      <c r="B704" t="inlineStr">
        <is>
          <t>CURAL</t>
        </is>
      </c>
      <c r="C704" t="inlineStr">
        <is>
          <t>SHELVES</t>
        </is>
      </c>
      <c r="D704" t="inlineStr">
        <is>
          <t>PR2971.U6 B7 1990</t>
        </is>
      </c>
      <c r="E704" t="inlineStr">
        <is>
          <t>0                      PR 2971000U  6                  B  7           1990</t>
        </is>
      </c>
      <c r="F704" t="inlineStr">
        <is>
          <t>Shakespeare's America, America's Shakespeare / Michael D. Bristol.</t>
        </is>
      </c>
      <c r="H704" t="inlineStr">
        <is>
          <t>No</t>
        </is>
      </c>
      <c r="I704" t="inlineStr">
        <is>
          <t>1</t>
        </is>
      </c>
      <c r="J704" t="inlineStr">
        <is>
          <t>No</t>
        </is>
      </c>
      <c r="K704" t="inlineStr">
        <is>
          <t>No</t>
        </is>
      </c>
      <c r="L704" t="inlineStr">
        <is>
          <t>0</t>
        </is>
      </c>
      <c r="M704" t="inlineStr">
        <is>
          <t>Bristol, Michael D., 1940-</t>
        </is>
      </c>
      <c r="N704" t="inlineStr">
        <is>
          <t>London ; New York : Routledge, 1990.</t>
        </is>
      </c>
      <c r="O704" t="inlineStr">
        <is>
          <t>1990</t>
        </is>
      </c>
      <c r="Q704" t="inlineStr">
        <is>
          <t>eng</t>
        </is>
      </c>
      <c r="R704" t="inlineStr">
        <is>
          <t>enk</t>
        </is>
      </c>
      <c r="T704" t="inlineStr">
        <is>
          <t xml:space="preserve">PR </t>
        </is>
      </c>
      <c r="U704" t="n">
        <v>6</v>
      </c>
      <c r="V704" t="n">
        <v>6</v>
      </c>
      <c r="W704" t="inlineStr">
        <is>
          <t>2006-10-29</t>
        </is>
      </c>
      <c r="X704" t="inlineStr">
        <is>
          <t>2006-10-29</t>
        </is>
      </c>
      <c r="Y704" t="inlineStr">
        <is>
          <t>1990-11-08</t>
        </is>
      </c>
      <c r="Z704" t="inlineStr">
        <is>
          <t>1990-11-08</t>
        </is>
      </c>
      <c r="AA704" t="n">
        <v>402</v>
      </c>
      <c r="AB704" t="n">
        <v>290</v>
      </c>
      <c r="AC704" t="n">
        <v>327</v>
      </c>
      <c r="AD704" t="n">
        <v>1</v>
      </c>
      <c r="AE704" t="n">
        <v>1</v>
      </c>
      <c r="AF704" t="n">
        <v>14</v>
      </c>
      <c r="AG704" t="n">
        <v>14</v>
      </c>
      <c r="AH704" t="n">
        <v>4</v>
      </c>
      <c r="AI704" t="n">
        <v>4</v>
      </c>
      <c r="AJ704" t="n">
        <v>3</v>
      </c>
      <c r="AK704" t="n">
        <v>3</v>
      </c>
      <c r="AL704" t="n">
        <v>10</v>
      </c>
      <c r="AM704" t="n">
        <v>10</v>
      </c>
      <c r="AN704" t="n">
        <v>0</v>
      </c>
      <c r="AO704" t="n">
        <v>0</v>
      </c>
      <c r="AP704" t="n">
        <v>0</v>
      </c>
      <c r="AQ704" t="n">
        <v>0</v>
      </c>
      <c r="AR704" t="inlineStr">
        <is>
          <t>No</t>
        </is>
      </c>
      <c r="AS704" t="inlineStr">
        <is>
          <t>No</t>
        </is>
      </c>
      <c r="AU704">
        <f>HYPERLINK("https://creighton-primo.hosted.exlibrisgroup.com/primo-explore/search?tab=default_tab&amp;search_scope=EVERYTHING&amp;vid=01CRU&amp;lang=en_US&amp;offset=0&amp;query=any,contains,991001463089702656","Catalog Record")</f>
        <v/>
      </c>
      <c r="AV704">
        <f>HYPERLINK("http://www.worldcat.org/oclc/19457541","WorldCat Record")</f>
        <v/>
      </c>
      <c r="AW704" t="inlineStr">
        <is>
          <t>21214172:eng</t>
        </is>
      </c>
      <c r="AX704" t="inlineStr">
        <is>
          <t>19457541</t>
        </is>
      </c>
      <c r="AY704" t="inlineStr">
        <is>
          <t>991001463089702656</t>
        </is>
      </c>
      <c r="AZ704" t="inlineStr">
        <is>
          <t>991001463089702656</t>
        </is>
      </c>
      <c r="BA704" t="inlineStr">
        <is>
          <t>2267298410002656</t>
        </is>
      </c>
      <c r="BB704" t="inlineStr">
        <is>
          <t>BOOK</t>
        </is>
      </c>
      <c r="BD704" t="inlineStr">
        <is>
          <t>9780415015394</t>
        </is>
      </c>
      <c r="BE704" t="inlineStr">
        <is>
          <t>32285000313972</t>
        </is>
      </c>
      <c r="BF704" t="inlineStr">
        <is>
          <t>893503435</t>
        </is>
      </c>
    </row>
    <row r="705">
      <c r="A705" t="inlineStr">
        <is>
          <t>No</t>
        </is>
      </c>
      <c r="B705" t="inlineStr">
        <is>
          <t>CURAL</t>
        </is>
      </c>
      <c r="C705" t="inlineStr">
        <is>
          <t>SHELVES</t>
        </is>
      </c>
      <c r="D705" t="inlineStr">
        <is>
          <t>PR2972.E57 W3 1987</t>
        </is>
      </c>
      <c r="E705" t="inlineStr">
        <is>
          <t>0                      PR 2972000E  57                 W  3           1987</t>
        </is>
      </c>
      <c r="F705" t="inlineStr">
        <is>
          <t>T.S. Eliot on Shakespeare / by Charles Warren.</t>
        </is>
      </c>
      <c r="H705" t="inlineStr">
        <is>
          <t>No</t>
        </is>
      </c>
      <c r="I705" t="inlineStr">
        <is>
          <t>1</t>
        </is>
      </c>
      <c r="J705" t="inlineStr">
        <is>
          <t>No</t>
        </is>
      </c>
      <c r="K705" t="inlineStr">
        <is>
          <t>No</t>
        </is>
      </c>
      <c r="L705" t="inlineStr">
        <is>
          <t>0</t>
        </is>
      </c>
      <c r="M705" t="inlineStr">
        <is>
          <t>Warren, Charles, 1948-</t>
        </is>
      </c>
      <c r="N705" t="inlineStr">
        <is>
          <t>Ann Arbor, Mich. : UMI Research Press, c1987.</t>
        </is>
      </c>
      <c r="O705" t="inlineStr">
        <is>
          <t>1987</t>
        </is>
      </c>
      <c r="Q705" t="inlineStr">
        <is>
          <t>eng</t>
        </is>
      </c>
      <c r="R705" t="inlineStr">
        <is>
          <t>miu</t>
        </is>
      </c>
      <c r="S705" t="inlineStr">
        <is>
          <t>Studies in modern literature ; no. 66</t>
        </is>
      </c>
      <c r="T705" t="inlineStr">
        <is>
          <t xml:space="preserve">PR </t>
        </is>
      </c>
      <c r="U705" t="n">
        <v>7</v>
      </c>
      <c r="V705" t="n">
        <v>7</v>
      </c>
      <c r="W705" t="inlineStr">
        <is>
          <t>1997-12-04</t>
        </is>
      </c>
      <c r="X705" t="inlineStr">
        <is>
          <t>1997-12-04</t>
        </is>
      </c>
      <c r="Y705" t="inlineStr">
        <is>
          <t>1991-10-24</t>
        </is>
      </c>
      <c r="Z705" t="inlineStr">
        <is>
          <t>1991-10-24</t>
        </is>
      </c>
      <c r="AA705" t="n">
        <v>376</v>
      </c>
      <c r="AB705" t="n">
        <v>312</v>
      </c>
      <c r="AC705" t="n">
        <v>315</v>
      </c>
      <c r="AD705" t="n">
        <v>4</v>
      </c>
      <c r="AE705" t="n">
        <v>4</v>
      </c>
      <c r="AF705" t="n">
        <v>17</v>
      </c>
      <c r="AG705" t="n">
        <v>17</v>
      </c>
      <c r="AH705" t="n">
        <v>2</v>
      </c>
      <c r="AI705" t="n">
        <v>2</v>
      </c>
      <c r="AJ705" t="n">
        <v>6</v>
      </c>
      <c r="AK705" t="n">
        <v>6</v>
      </c>
      <c r="AL705" t="n">
        <v>10</v>
      </c>
      <c r="AM705" t="n">
        <v>10</v>
      </c>
      <c r="AN705" t="n">
        <v>3</v>
      </c>
      <c r="AO705" t="n">
        <v>3</v>
      </c>
      <c r="AP705" t="n">
        <v>0</v>
      </c>
      <c r="AQ705" t="n">
        <v>0</v>
      </c>
      <c r="AR705" t="inlineStr">
        <is>
          <t>No</t>
        </is>
      </c>
      <c r="AS705" t="inlineStr">
        <is>
          <t>Yes</t>
        </is>
      </c>
      <c r="AT705">
        <f>HYPERLINK("http://catalog.hathitrust.org/Record/000838085","HathiTrust Record")</f>
        <v/>
      </c>
      <c r="AU705">
        <f>HYPERLINK("https://creighton-primo.hosted.exlibrisgroup.com/primo-explore/search?tab=default_tab&amp;search_scope=EVERYTHING&amp;vid=01CRU&amp;lang=en_US&amp;offset=0&amp;query=any,contains,991000925669702656","Catalog Record")</f>
        <v/>
      </c>
      <c r="AV705">
        <f>HYPERLINK("http://www.worldcat.org/oclc/14240041","WorldCat Record")</f>
        <v/>
      </c>
      <c r="AW705" t="inlineStr">
        <is>
          <t>199116491:eng</t>
        </is>
      </c>
      <c r="AX705" t="inlineStr">
        <is>
          <t>14240041</t>
        </is>
      </c>
      <c r="AY705" t="inlineStr">
        <is>
          <t>991000925669702656</t>
        </is>
      </c>
      <c r="AZ705" t="inlineStr">
        <is>
          <t>991000925669702656</t>
        </is>
      </c>
      <c r="BA705" t="inlineStr">
        <is>
          <t>2258730060002656</t>
        </is>
      </c>
      <c r="BB705" t="inlineStr">
        <is>
          <t>BOOK</t>
        </is>
      </c>
      <c r="BD705" t="inlineStr">
        <is>
          <t>9780835717847</t>
        </is>
      </c>
      <c r="BE705" t="inlineStr">
        <is>
          <t>32285000800697</t>
        </is>
      </c>
      <c r="BF705" t="inlineStr">
        <is>
          <t>893534358</t>
        </is>
      </c>
    </row>
    <row r="706">
      <c r="A706" t="inlineStr">
        <is>
          <t>No</t>
        </is>
      </c>
      <c r="B706" t="inlineStr">
        <is>
          <t>CURAL</t>
        </is>
      </c>
      <c r="C706" t="inlineStr">
        <is>
          <t>SHELVES</t>
        </is>
      </c>
      <c r="D706" t="inlineStr">
        <is>
          <t>PR2975.J643 P37 1989</t>
        </is>
      </c>
      <c r="E706" t="inlineStr">
        <is>
          <t>0                      PR 2975000J  643                P  37          1989</t>
        </is>
      </c>
      <c r="F706" t="inlineStr">
        <is>
          <t>Johnson's Shakespeare / G.F. Parker.</t>
        </is>
      </c>
      <c r="H706" t="inlineStr">
        <is>
          <t>No</t>
        </is>
      </c>
      <c r="I706" t="inlineStr">
        <is>
          <t>1</t>
        </is>
      </c>
      <c r="J706" t="inlineStr">
        <is>
          <t>No</t>
        </is>
      </c>
      <c r="K706" t="inlineStr">
        <is>
          <t>No</t>
        </is>
      </c>
      <c r="L706" t="inlineStr">
        <is>
          <t>0</t>
        </is>
      </c>
      <c r="M706" t="inlineStr">
        <is>
          <t>Parker, G. F. (Graham Frederick), 1956-</t>
        </is>
      </c>
      <c r="N706" t="inlineStr">
        <is>
          <t>Oxford : Clarendon Press ; New York : Oxford University Press, 1989.</t>
        </is>
      </c>
      <c r="O706" t="inlineStr">
        <is>
          <t>1989</t>
        </is>
      </c>
      <c r="Q706" t="inlineStr">
        <is>
          <t>eng</t>
        </is>
      </c>
      <c r="R706" t="inlineStr">
        <is>
          <t>enk</t>
        </is>
      </c>
      <c r="T706" t="inlineStr">
        <is>
          <t xml:space="preserve">PR </t>
        </is>
      </c>
      <c r="U706" t="n">
        <v>5</v>
      </c>
      <c r="V706" t="n">
        <v>5</v>
      </c>
      <c r="W706" t="inlineStr">
        <is>
          <t>1999-09-22</t>
        </is>
      </c>
      <c r="X706" t="inlineStr">
        <is>
          <t>1999-09-22</t>
        </is>
      </c>
      <c r="Y706" t="inlineStr">
        <is>
          <t>1989-12-05</t>
        </is>
      </c>
      <c r="Z706" t="inlineStr">
        <is>
          <t>1989-12-05</t>
        </is>
      </c>
      <c r="AA706" t="n">
        <v>504</v>
      </c>
      <c r="AB706" t="n">
        <v>357</v>
      </c>
      <c r="AC706" t="n">
        <v>382</v>
      </c>
      <c r="AD706" t="n">
        <v>3</v>
      </c>
      <c r="AE706" t="n">
        <v>4</v>
      </c>
      <c r="AF706" t="n">
        <v>21</v>
      </c>
      <c r="AG706" t="n">
        <v>23</v>
      </c>
      <c r="AH706" t="n">
        <v>7</v>
      </c>
      <c r="AI706" t="n">
        <v>7</v>
      </c>
      <c r="AJ706" t="n">
        <v>6</v>
      </c>
      <c r="AK706" t="n">
        <v>6</v>
      </c>
      <c r="AL706" t="n">
        <v>13</v>
      </c>
      <c r="AM706" t="n">
        <v>14</v>
      </c>
      <c r="AN706" t="n">
        <v>2</v>
      </c>
      <c r="AO706" t="n">
        <v>3</v>
      </c>
      <c r="AP706" t="n">
        <v>0</v>
      </c>
      <c r="AQ706" t="n">
        <v>0</v>
      </c>
      <c r="AR706" t="inlineStr">
        <is>
          <t>No</t>
        </is>
      </c>
      <c r="AS706" t="inlineStr">
        <is>
          <t>Yes</t>
        </is>
      </c>
      <c r="AT706">
        <f>HYPERLINK("http://catalog.hathitrust.org/Record/001292880","HathiTrust Record")</f>
        <v/>
      </c>
      <c r="AU706">
        <f>HYPERLINK("https://creighton-primo.hosted.exlibrisgroup.com/primo-explore/search?tab=default_tab&amp;search_scope=EVERYTHING&amp;vid=01CRU&amp;lang=en_US&amp;offset=0&amp;query=any,contains,991001345379702656","Catalog Record")</f>
        <v/>
      </c>
      <c r="AV706">
        <f>HYPERLINK("http://www.worldcat.org/oclc/18413274","WorldCat Record")</f>
        <v/>
      </c>
      <c r="AW706" t="inlineStr">
        <is>
          <t>17438734:eng</t>
        </is>
      </c>
      <c r="AX706" t="inlineStr">
        <is>
          <t>18413274</t>
        </is>
      </c>
      <c r="AY706" t="inlineStr">
        <is>
          <t>991001345379702656</t>
        </is>
      </c>
      <c r="AZ706" t="inlineStr">
        <is>
          <t>991001345379702656</t>
        </is>
      </c>
      <c r="BA706" t="inlineStr">
        <is>
          <t>2257218660002656</t>
        </is>
      </c>
      <c r="BB706" t="inlineStr">
        <is>
          <t>BOOK</t>
        </is>
      </c>
      <c r="BD706" t="inlineStr">
        <is>
          <t>9780198129745</t>
        </is>
      </c>
      <c r="BE706" t="inlineStr">
        <is>
          <t>32285000016831</t>
        </is>
      </c>
      <c r="BF706" t="inlineStr">
        <is>
          <t>893590215</t>
        </is>
      </c>
    </row>
    <row r="707">
      <c r="A707" t="inlineStr">
        <is>
          <t>No</t>
        </is>
      </c>
      <c r="B707" t="inlineStr">
        <is>
          <t>CURAL</t>
        </is>
      </c>
      <c r="C707" t="inlineStr">
        <is>
          <t>SHELVES</t>
        </is>
      </c>
      <c r="D707" t="inlineStr">
        <is>
          <t>PR2975.J643 Z85</t>
        </is>
      </c>
      <c r="E707" t="inlineStr">
        <is>
          <t>0                      PR 2975000J  643                Z  85</t>
        </is>
      </c>
      <c r="F707" t="inlineStr">
        <is>
          <t>Samuel Johnson and neoclassical dramatic theory; the intellectual context of the Preface to Shakespeare, by R. D. Stock.</t>
        </is>
      </c>
      <c r="H707" t="inlineStr">
        <is>
          <t>No</t>
        </is>
      </c>
      <c r="I707" t="inlineStr">
        <is>
          <t>1</t>
        </is>
      </c>
      <c r="J707" t="inlineStr">
        <is>
          <t>No</t>
        </is>
      </c>
      <c r="K707" t="inlineStr">
        <is>
          <t>No</t>
        </is>
      </c>
      <c r="L707" t="inlineStr">
        <is>
          <t>0</t>
        </is>
      </c>
      <c r="M707" t="inlineStr">
        <is>
          <t>Stock, R. D. (Robert D.), 1941-</t>
        </is>
      </c>
      <c r="N707" t="inlineStr">
        <is>
          <t>Lincoln, University of Nebraska Press [1973]</t>
        </is>
      </c>
      <c r="O707" t="inlineStr">
        <is>
          <t>1973</t>
        </is>
      </c>
      <c r="Q707" t="inlineStr">
        <is>
          <t>eng</t>
        </is>
      </c>
      <c r="R707" t="inlineStr">
        <is>
          <t>nbu</t>
        </is>
      </c>
      <c r="T707" t="inlineStr">
        <is>
          <t xml:space="preserve">PR </t>
        </is>
      </c>
      <c r="U707" t="n">
        <v>1</v>
      </c>
      <c r="V707" t="n">
        <v>1</v>
      </c>
      <c r="W707" t="inlineStr">
        <is>
          <t>2001-02-06</t>
        </is>
      </c>
      <c r="X707" t="inlineStr">
        <is>
          <t>2001-02-06</t>
        </is>
      </c>
      <c r="Y707" t="inlineStr">
        <is>
          <t>1997-08-05</t>
        </is>
      </c>
      <c r="Z707" t="inlineStr">
        <is>
          <t>1997-08-05</t>
        </is>
      </c>
      <c r="AA707" t="n">
        <v>696</v>
      </c>
      <c r="AB707" t="n">
        <v>571</v>
      </c>
      <c r="AC707" t="n">
        <v>574</v>
      </c>
      <c r="AD707" t="n">
        <v>5</v>
      </c>
      <c r="AE707" t="n">
        <v>5</v>
      </c>
      <c r="AF707" t="n">
        <v>35</v>
      </c>
      <c r="AG707" t="n">
        <v>35</v>
      </c>
      <c r="AH707" t="n">
        <v>15</v>
      </c>
      <c r="AI707" t="n">
        <v>15</v>
      </c>
      <c r="AJ707" t="n">
        <v>9</v>
      </c>
      <c r="AK707" t="n">
        <v>9</v>
      </c>
      <c r="AL707" t="n">
        <v>17</v>
      </c>
      <c r="AM707" t="n">
        <v>17</v>
      </c>
      <c r="AN707" t="n">
        <v>4</v>
      </c>
      <c r="AO707" t="n">
        <v>4</v>
      </c>
      <c r="AP707" t="n">
        <v>0</v>
      </c>
      <c r="AQ707" t="n">
        <v>0</v>
      </c>
      <c r="AR707" t="inlineStr">
        <is>
          <t>No</t>
        </is>
      </c>
      <c r="AS707" t="inlineStr">
        <is>
          <t>Yes</t>
        </is>
      </c>
      <c r="AT707">
        <f>HYPERLINK("http://catalog.hathitrust.org/Record/001018740","HathiTrust Record")</f>
        <v/>
      </c>
      <c r="AU707">
        <f>HYPERLINK("https://creighton-primo.hosted.exlibrisgroup.com/primo-explore/search?tab=default_tab&amp;search_scope=EVERYTHING&amp;vid=01CRU&amp;lang=en_US&amp;offset=0&amp;query=any,contains,991003154419702656","Catalog Record")</f>
        <v/>
      </c>
      <c r="AV707">
        <f>HYPERLINK("http://www.worldcat.org/oclc/693376","WorldCat Record")</f>
        <v/>
      </c>
      <c r="AW707" t="inlineStr">
        <is>
          <t>1793817:eng</t>
        </is>
      </c>
      <c r="AX707" t="inlineStr">
        <is>
          <t>693376</t>
        </is>
      </c>
      <c r="AY707" t="inlineStr">
        <is>
          <t>991003154419702656</t>
        </is>
      </c>
      <c r="AZ707" t="inlineStr">
        <is>
          <t>991003154419702656</t>
        </is>
      </c>
      <c r="BA707" t="inlineStr">
        <is>
          <t>2266481710002656</t>
        </is>
      </c>
      <c r="BB707" t="inlineStr">
        <is>
          <t>BOOK</t>
        </is>
      </c>
      <c r="BD707" t="inlineStr">
        <is>
          <t>9780803208193</t>
        </is>
      </c>
      <c r="BE707" t="inlineStr">
        <is>
          <t>32285002999729</t>
        </is>
      </c>
      <c r="BF707" t="inlineStr">
        <is>
          <t>893348382</t>
        </is>
      </c>
    </row>
    <row r="708">
      <c r="A708" t="inlineStr">
        <is>
          <t>No</t>
        </is>
      </c>
      <c r="B708" t="inlineStr">
        <is>
          <t>CURAL</t>
        </is>
      </c>
      <c r="C708" t="inlineStr">
        <is>
          <t>SHELVES</t>
        </is>
      </c>
      <c r="D708" t="inlineStr">
        <is>
          <t>PR2976 .A66</t>
        </is>
      </c>
      <c r="E708" t="inlineStr">
        <is>
          <t>0                      PR 2976000A  66</t>
        </is>
      </c>
      <c r="F708" t="inlineStr">
        <is>
          <t>Psyche &amp; symbol in Shakespeare.</t>
        </is>
      </c>
      <c r="H708" t="inlineStr">
        <is>
          <t>No</t>
        </is>
      </c>
      <c r="I708" t="inlineStr">
        <is>
          <t>1</t>
        </is>
      </c>
      <c r="J708" t="inlineStr">
        <is>
          <t>No</t>
        </is>
      </c>
      <c r="K708" t="inlineStr">
        <is>
          <t>No</t>
        </is>
      </c>
      <c r="L708" t="inlineStr">
        <is>
          <t>0</t>
        </is>
      </c>
      <c r="M708" t="inlineStr">
        <is>
          <t>Aronson, Alex, 1912-1995.</t>
        </is>
      </c>
      <c r="N708" t="inlineStr">
        <is>
          <t>Bloomington : Indiana University Press, [1972]</t>
        </is>
      </c>
      <c r="O708" t="inlineStr">
        <is>
          <t>1972</t>
        </is>
      </c>
      <c r="Q708" t="inlineStr">
        <is>
          <t>eng</t>
        </is>
      </c>
      <c r="R708" t="inlineStr">
        <is>
          <t>inu</t>
        </is>
      </c>
      <c r="T708" t="inlineStr">
        <is>
          <t xml:space="preserve">PR </t>
        </is>
      </c>
      <c r="U708" t="n">
        <v>3</v>
      </c>
      <c r="V708" t="n">
        <v>3</v>
      </c>
      <c r="W708" t="inlineStr">
        <is>
          <t>1997-11-30</t>
        </is>
      </c>
      <c r="X708" t="inlineStr">
        <is>
          <t>1997-11-30</t>
        </is>
      </c>
      <c r="Y708" t="inlineStr">
        <is>
          <t>1990-10-04</t>
        </is>
      </c>
      <c r="Z708" t="inlineStr">
        <is>
          <t>1990-10-04</t>
        </is>
      </c>
      <c r="AA708" t="n">
        <v>724</v>
      </c>
      <c r="AB708" t="n">
        <v>621</v>
      </c>
      <c r="AC708" t="n">
        <v>630</v>
      </c>
      <c r="AD708" t="n">
        <v>6</v>
      </c>
      <c r="AE708" t="n">
        <v>6</v>
      </c>
      <c r="AF708" t="n">
        <v>29</v>
      </c>
      <c r="AG708" t="n">
        <v>30</v>
      </c>
      <c r="AH708" t="n">
        <v>10</v>
      </c>
      <c r="AI708" t="n">
        <v>10</v>
      </c>
      <c r="AJ708" t="n">
        <v>7</v>
      </c>
      <c r="AK708" t="n">
        <v>8</v>
      </c>
      <c r="AL708" t="n">
        <v>15</v>
      </c>
      <c r="AM708" t="n">
        <v>16</v>
      </c>
      <c r="AN708" t="n">
        <v>5</v>
      </c>
      <c r="AO708" t="n">
        <v>5</v>
      </c>
      <c r="AP708" t="n">
        <v>0</v>
      </c>
      <c r="AQ708" t="n">
        <v>0</v>
      </c>
      <c r="AR708" t="inlineStr">
        <is>
          <t>No</t>
        </is>
      </c>
      <c r="AS708" t="inlineStr">
        <is>
          <t>Yes</t>
        </is>
      </c>
      <c r="AT708">
        <f>HYPERLINK("http://catalog.hathitrust.org/Record/001112164","HathiTrust Record")</f>
        <v/>
      </c>
      <c r="AU708">
        <f>HYPERLINK("https://creighton-primo.hosted.exlibrisgroup.com/primo-explore/search?tab=default_tab&amp;search_scope=EVERYTHING&amp;vid=01CRU&amp;lang=en_US&amp;offset=0&amp;query=any,contains,991002885589702656","Catalog Record")</f>
        <v/>
      </c>
      <c r="AV708">
        <f>HYPERLINK("http://www.worldcat.org/oclc/508181","WorldCat Record")</f>
        <v/>
      </c>
      <c r="AW708" t="inlineStr">
        <is>
          <t>1460052:eng</t>
        </is>
      </c>
      <c r="AX708" t="inlineStr">
        <is>
          <t>508181</t>
        </is>
      </c>
      <c r="AY708" t="inlineStr">
        <is>
          <t>991002885589702656</t>
        </is>
      </c>
      <c r="AZ708" t="inlineStr">
        <is>
          <t>991002885589702656</t>
        </is>
      </c>
      <c r="BA708" t="inlineStr">
        <is>
          <t>2261087310002656</t>
        </is>
      </c>
      <c r="BB708" t="inlineStr">
        <is>
          <t>BOOK</t>
        </is>
      </c>
      <c r="BD708" t="inlineStr">
        <is>
          <t>9780253346254</t>
        </is>
      </c>
      <c r="BE708" t="inlineStr">
        <is>
          <t>32285000331941</t>
        </is>
      </c>
      <c r="BF708" t="inlineStr">
        <is>
          <t>893335855</t>
        </is>
      </c>
    </row>
    <row r="709">
      <c r="A709" t="inlineStr">
        <is>
          <t>No</t>
        </is>
      </c>
      <c r="B709" t="inlineStr">
        <is>
          <t>CURAL</t>
        </is>
      </c>
      <c r="C709" t="inlineStr">
        <is>
          <t>SHELVES</t>
        </is>
      </c>
      <c r="D709" t="inlineStr">
        <is>
          <t>PR2976 .B225 1988</t>
        </is>
      </c>
      <c r="E709" t="inlineStr">
        <is>
          <t>0                      PR 2976000B  225         1988</t>
        </is>
      </c>
      <c r="F709" t="inlineStr">
        <is>
          <t>"Bad" Shakespeare : revaluations of the Shakespeare canon / edited by Maurice Charney.</t>
        </is>
      </c>
      <c r="H709" t="inlineStr">
        <is>
          <t>No</t>
        </is>
      </c>
      <c r="I709" t="inlineStr">
        <is>
          <t>1</t>
        </is>
      </c>
      <c r="J709" t="inlineStr">
        <is>
          <t>No</t>
        </is>
      </c>
      <c r="K709" t="inlineStr">
        <is>
          <t>No</t>
        </is>
      </c>
      <c r="L709" t="inlineStr">
        <is>
          <t>0</t>
        </is>
      </c>
      <c r="N709" t="inlineStr">
        <is>
          <t>Rutherford [N.J.] : Fairleigh Dickinson University Press ; London : Associated University Presses, c1988.</t>
        </is>
      </c>
      <c r="O709" t="inlineStr">
        <is>
          <t>1988</t>
        </is>
      </c>
      <c r="Q709" t="inlineStr">
        <is>
          <t>eng</t>
        </is>
      </c>
      <c r="R709" t="inlineStr">
        <is>
          <t>nju</t>
        </is>
      </c>
      <c r="T709" t="inlineStr">
        <is>
          <t xml:space="preserve">PR </t>
        </is>
      </c>
      <c r="U709" t="n">
        <v>5</v>
      </c>
      <c r="V709" t="n">
        <v>5</v>
      </c>
      <c r="W709" t="inlineStr">
        <is>
          <t>2006-11-28</t>
        </is>
      </c>
      <c r="X709" t="inlineStr">
        <is>
          <t>2006-11-28</t>
        </is>
      </c>
      <c r="Y709" t="inlineStr">
        <is>
          <t>1990-02-02</t>
        </is>
      </c>
      <c r="Z709" t="inlineStr">
        <is>
          <t>1990-02-02</t>
        </is>
      </c>
      <c r="AA709" t="n">
        <v>605</v>
      </c>
      <c r="AB709" t="n">
        <v>474</v>
      </c>
      <c r="AC709" t="n">
        <v>479</v>
      </c>
      <c r="AD709" t="n">
        <v>5</v>
      </c>
      <c r="AE709" t="n">
        <v>5</v>
      </c>
      <c r="AF709" t="n">
        <v>27</v>
      </c>
      <c r="AG709" t="n">
        <v>27</v>
      </c>
      <c r="AH709" t="n">
        <v>10</v>
      </c>
      <c r="AI709" t="n">
        <v>10</v>
      </c>
      <c r="AJ709" t="n">
        <v>6</v>
      </c>
      <c r="AK709" t="n">
        <v>6</v>
      </c>
      <c r="AL709" t="n">
        <v>15</v>
      </c>
      <c r="AM709" t="n">
        <v>15</v>
      </c>
      <c r="AN709" t="n">
        <v>4</v>
      </c>
      <c r="AO709" t="n">
        <v>4</v>
      </c>
      <c r="AP709" t="n">
        <v>0</v>
      </c>
      <c r="AQ709" t="n">
        <v>0</v>
      </c>
      <c r="AR709" t="inlineStr">
        <is>
          <t>No</t>
        </is>
      </c>
      <c r="AS709" t="inlineStr">
        <is>
          <t>No</t>
        </is>
      </c>
      <c r="AU709">
        <f>HYPERLINK("https://creighton-primo.hosted.exlibrisgroup.com/primo-explore/search?tab=default_tab&amp;search_scope=EVERYTHING&amp;vid=01CRU&amp;lang=en_US&amp;offset=0&amp;query=any,contains,991001205389702656","Catalog Record")</f>
        <v/>
      </c>
      <c r="AV709">
        <f>HYPERLINK("http://www.worldcat.org/oclc/17353337","WorldCat Record")</f>
        <v/>
      </c>
      <c r="AW709" t="inlineStr">
        <is>
          <t>15437765:eng</t>
        </is>
      </c>
      <c r="AX709" t="inlineStr">
        <is>
          <t>17353337</t>
        </is>
      </c>
      <c r="AY709" t="inlineStr">
        <is>
          <t>991001205389702656</t>
        </is>
      </c>
      <c r="AZ709" t="inlineStr">
        <is>
          <t>991001205389702656</t>
        </is>
      </c>
      <c r="BA709" t="inlineStr">
        <is>
          <t>2265484320002656</t>
        </is>
      </c>
      <c r="BB709" t="inlineStr">
        <is>
          <t>BOOK</t>
        </is>
      </c>
      <c r="BD709" t="inlineStr">
        <is>
          <t>9780838633106</t>
        </is>
      </c>
      <c r="BE709" t="inlineStr">
        <is>
          <t>32285000036185</t>
        </is>
      </c>
      <c r="BF709" t="inlineStr">
        <is>
          <t>893444617</t>
        </is>
      </c>
    </row>
    <row r="710">
      <c r="A710" t="inlineStr">
        <is>
          <t>No</t>
        </is>
      </c>
      <c r="B710" t="inlineStr">
        <is>
          <t>CURAL</t>
        </is>
      </c>
      <c r="C710" t="inlineStr">
        <is>
          <t>SHELVES</t>
        </is>
      </c>
      <c r="D710" t="inlineStr">
        <is>
          <t>PR2976 .B25</t>
        </is>
      </c>
      <c r="E710" t="inlineStr">
        <is>
          <t>0                      PR 2976000B  25</t>
        </is>
      </c>
      <c r="F710" t="inlineStr">
        <is>
          <t>Coleridge: critic of Shakespeare [by] M. M. Badawi.</t>
        </is>
      </c>
      <c r="H710" t="inlineStr">
        <is>
          <t>No</t>
        </is>
      </c>
      <c r="I710" t="inlineStr">
        <is>
          <t>1</t>
        </is>
      </c>
      <c r="J710" t="inlineStr">
        <is>
          <t>No</t>
        </is>
      </c>
      <c r="K710" t="inlineStr">
        <is>
          <t>No</t>
        </is>
      </c>
      <c r="L710" t="inlineStr">
        <is>
          <t>0</t>
        </is>
      </c>
      <c r="M710" t="inlineStr">
        <is>
          <t>Badawī, Muḥammad Muṣṭafá.</t>
        </is>
      </c>
      <c r="N710" t="inlineStr">
        <is>
          <t>Cambridge [Eng.] University Press, 1973.</t>
        </is>
      </c>
      <c r="O710" t="inlineStr">
        <is>
          <t>1973</t>
        </is>
      </c>
      <c r="Q710" t="inlineStr">
        <is>
          <t>eng</t>
        </is>
      </c>
      <c r="R710" t="inlineStr">
        <is>
          <t>enk</t>
        </is>
      </c>
      <c r="T710" t="inlineStr">
        <is>
          <t xml:space="preserve">PR </t>
        </is>
      </c>
      <c r="U710" t="n">
        <v>3</v>
      </c>
      <c r="V710" t="n">
        <v>3</v>
      </c>
      <c r="W710" t="inlineStr">
        <is>
          <t>1997-11-23</t>
        </is>
      </c>
      <c r="X710" t="inlineStr">
        <is>
          <t>1997-11-23</t>
        </is>
      </c>
      <c r="Y710" t="inlineStr">
        <is>
          <t>1997-08-05</t>
        </is>
      </c>
      <c r="Z710" t="inlineStr">
        <is>
          <t>1997-08-05</t>
        </is>
      </c>
      <c r="AA710" t="n">
        <v>581</v>
      </c>
      <c r="AB710" t="n">
        <v>421</v>
      </c>
      <c r="AC710" t="n">
        <v>431</v>
      </c>
      <c r="AD710" t="n">
        <v>3</v>
      </c>
      <c r="AE710" t="n">
        <v>3</v>
      </c>
      <c r="AF710" t="n">
        <v>24</v>
      </c>
      <c r="AG710" t="n">
        <v>24</v>
      </c>
      <c r="AH710" t="n">
        <v>7</v>
      </c>
      <c r="AI710" t="n">
        <v>7</v>
      </c>
      <c r="AJ710" t="n">
        <v>8</v>
      </c>
      <c r="AK710" t="n">
        <v>8</v>
      </c>
      <c r="AL710" t="n">
        <v>15</v>
      </c>
      <c r="AM710" t="n">
        <v>15</v>
      </c>
      <c r="AN710" t="n">
        <v>2</v>
      </c>
      <c r="AO710" t="n">
        <v>2</v>
      </c>
      <c r="AP710" t="n">
        <v>0</v>
      </c>
      <c r="AQ710" t="n">
        <v>0</v>
      </c>
      <c r="AR710" t="inlineStr">
        <is>
          <t>No</t>
        </is>
      </c>
      <c r="AS710" t="inlineStr">
        <is>
          <t>No</t>
        </is>
      </c>
      <c r="AU710">
        <f>HYPERLINK("https://creighton-primo.hosted.exlibrisgroup.com/primo-explore/search?tab=default_tab&amp;search_scope=EVERYTHING&amp;vid=01CRU&amp;lang=en_US&amp;offset=0&amp;query=any,contains,991003060679702656","Catalog Record")</f>
        <v/>
      </c>
      <c r="AV710">
        <f>HYPERLINK("http://www.worldcat.org/oclc/617971","WorldCat Record")</f>
        <v/>
      </c>
      <c r="AW710" t="inlineStr">
        <is>
          <t>1674672:eng</t>
        </is>
      </c>
      <c r="AX710" t="inlineStr">
        <is>
          <t>617971</t>
        </is>
      </c>
      <c r="AY710" t="inlineStr">
        <is>
          <t>991003060679702656</t>
        </is>
      </c>
      <c r="AZ710" t="inlineStr">
        <is>
          <t>991003060679702656</t>
        </is>
      </c>
      <c r="BA710" t="inlineStr">
        <is>
          <t>2270852950002656</t>
        </is>
      </c>
      <c r="BB710" t="inlineStr">
        <is>
          <t>BOOK</t>
        </is>
      </c>
      <c r="BD710" t="inlineStr">
        <is>
          <t>9780521200400</t>
        </is>
      </c>
      <c r="BE710" t="inlineStr">
        <is>
          <t>32285002999778</t>
        </is>
      </c>
      <c r="BF710" t="inlineStr">
        <is>
          <t>893409881</t>
        </is>
      </c>
    </row>
    <row r="711">
      <c r="A711" t="inlineStr">
        <is>
          <t>No</t>
        </is>
      </c>
      <c r="B711" t="inlineStr">
        <is>
          <t>CURAL</t>
        </is>
      </c>
      <c r="C711" t="inlineStr">
        <is>
          <t>SHELVES</t>
        </is>
      </c>
      <c r="D711" t="inlineStr">
        <is>
          <t>PR2976 .B423 1985</t>
        </is>
      </c>
      <c r="E711" t="inlineStr">
        <is>
          <t>0                      PR 2976000B  423         1985</t>
        </is>
      </c>
      <c r="F711" t="inlineStr">
        <is>
          <t>Shakespeare and the awareness of the audience / Ralph Berry.</t>
        </is>
      </c>
      <c r="H711" t="inlineStr">
        <is>
          <t>No</t>
        </is>
      </c>
      <c r="I711" t="inlineStr">
        <is>
          <t>1</t>
        </is>
      </c>
      <c r="J711" t="inlineStr">
        <is>
          <t>No</t>
        </is>
      </c>
      <c r="K711" t="inlineStr">
        <is>
          <t>No</t>
        </is>
      </c>
      <c r="L711" t="inlineStr">
        <is>
          <t>0</t>
        </is>
      </c>
      <c r="M711" t="inlineStr">
        <is>
          <t>Berry, Ralph, 1931-</t>
        </is>
      </c>
      <c r="N711" t="inlineStr">
        <is>
          <t>New York : St. Martin's Press, 1985.</t>
        </is>
      </c>
      <c r="O711" t="inlineStr">
        <is>
          <t>1985</t>
        </is>
      </c>
      <c r="Q711" t="inlineStr">
        <is>
          <t>eng</t>
        </is>
      </c>
      <c r="R711" t="inlineStr">
        <is>
          <t>nyu</t>
        </is>
      </c>
      <c r="T711" t="inlineStr">
        <is>
          <t xml:space="preserve">PR </t>
        </is>
      </c>
      <c r="U711" t="n">
        <v>2</v>
      </c>
      <c r="V711" t="n">
        <v>2</v>
      </c>
      <c r="W711" t="inlineStr">
        <is>
          <t>1996-06-30</t>
        </is>
      </c>
      <c r="X711" t="inlineStr">
        <is>
          <t>1996-06-30</t>
        </is>
      </c>
      <c r="Y711" t="inlineStr">
        <is>
          <t>1990-06-12</t>
        </is>
      </c>
      <c r="Z711" t="inlineStr">
        <is>
          <t>1990-06-12</t>
        </is>
      </c>
      <c r="AA711" t="n">
        <v>401</v>
      </c>
      <c r="AB711" t="n">
        <v>376</v>
      </c>
      <c r="AC711" t="n">
        <v>503</v>
      </c>
      <c r="AD711" t="n">
        <v>4</v>
      </c>
      <c r="AE711" t="n">
        <v>5</v>
      </c>
      <c r="AF711" t="n">
        <v>23</v>
      </c>
      <c r="AG711" t="n">
        <v>27</v>
      </c>
      <c r="AH711" t="n">
        <v>8</v>
      </c>
      <c r="AI711" t="n">
        <v>10</v>
      </c>
      <c r="AJ711" t="n">
        <v>5</v>
      </c>
      <c r="AK711" t="n">
        <v>6</v>
      </c>
      <c r="AL711" t="n">
        <v>12</v>
      </c>
      <c r="AM711" t="n">
        <v>13</v>
      </c>
      <c r="AN711" t="n">
        <v>3</v>
      </c>
      <c r="AO711" t="n">
        <v>4</v>
      </c>
      <c r="AP711" t="n">
        <v>0</v>
      </c>
      <c r="AQ711" t="n">
        <v>0</v>
      </c>
      <c r="AR711" t="inlineStr">
        <is>
          <t>No</t>
        </is>
      </c>
      <c r="AS711" t="inlineStr">
        <is>
          <t>No</t>
        </is>
      </c>
      <c r="AU711">
        <f>HYPERLINK("https://creighton-primo.hosted.exlibrisgroup.com/primo-explore/search?tab=default_tab&amp;search_scope=EVERYTHING&amp;vid=01CRU&amp;lang=en_US&amp;offset=0&amp;query=any,contains,991000425909702656","Catalog Record")</f>
        <v/>
      </c>
      <c r="AV711">
        <f>HYPERLINK("http://www.worldcat.org/oclc/10753306","WorldCat Record")</f>
        <v/>
      </c>
      <c r="AW711" t="inlineStr">
        <is>
          <t>2913825:eng</t>
        </is>
      </c>
      <c r="AX711" t="inlineStr">
        <is>
          <t>10753306</t>
        </is>
      </c>
      <c r="AY711" t="inlineStr">
        <is>
          <t>991000425909702656</t>
        </is>
      </c>
      <c r="AZ711" t="inlineStr">
        <is>
          <t>991000425909702656</t>
        </is>
      </c>
      <c r="BA711" t="inlineStr">
        <is>
          <t>2267561860002656</t>
        </is>
      </c>
      <c r="BB711" t="inlineStr">
        <is>
          <t>BOOK</t>
        </is>
      </c>
      <c r="BD711" t="inlineStr">
        <is>
          <t>9780312714239</t>
        </is>
      </c>
      <c r="BE711" t="inlineStr">
        <is>
          <t>32285000191196</t>
        </is>
      </c>
      <c r="BF711" t="inlineStr">
        <is>
          <t>893589429</t>
        </is>
      </c>
    </row>
    <row r="712">
      <c r="A712" t="inlineStr">
        <is>
          <t>No</t>
        </is>
      </c>
      <c r="B712" t="inlineStr">
        <is>
          <t>CURAL</t>
        </is>
      </c>
      <c r="C712" t="inlineStr">
        <is>
          <t>SHELVES</t>
        </is>
      </c>
      <c r="D712" t="inlineStr">
        <is>
          <t>PR2976 .B43 1944a</t>
        </is>
      </c>
      <c r="E712" t="inlineStr">
        <is>
          <t>0                      PR 2976000B  43          1944a</t>
        </is>
      </c>
      <c r="F712" t="inlineStr">
        <is>
          <t>Shakespeare and the popular dramatic tradition / by S. L. Bethell ; introduction by T. S. Eliot.</t>
        </is>
      </c>
      <c r="H712" t="inlineStr">
        <is>
          <t>No</t>
        </is>
      </c>
      <c r="I712" t="inlineStr">
        <is>
          <t>1</t>
        </is>
      </c>
      <c r="J712" t="inlineStr">
        <is>
          <t>No</t>
        </is>
      </c>
      <c r="K712" t="inlineStr">
        <is>
          <t>No</t>
        </is>
      </c>
      <c r="L712" t="inlineStr">
        <is>
          <t>0</t>
        </is>
      </c>
      <c r="M712" t="inlineStr">
        <is>
          <t>Bethell, S. L., 1908-</t>
        </is>
      </c>
      <c r="N712" t="inlineStr">
        <is>
          <t>Durham, N. C. : Duke University Press, l944.</t>
        </is>
      </c>
      <c r="O712" t="inlineStr">
        <is>
          <t>1944</t>
        </is>
      </c>
      <c r="Q712" t="inlineStr">
        <is>
          <t>eng</t>
        </is>
      </c>
      <c r="R712" t="inlineStr">
        <is>
          <t>ncu</t>
        </is>
      </c>
      <c r="S712" t="inlineStr">
        <is>
          <t>Duke University publications</t>
        </is>
      </c>
      <c r="T712" t="inlineStr">
        <is>
          <t xml:space="preserve">PR </t>
        </is>
      </c>
      <c r="U712" t="n">
        <v>0</v>
      </c>
      <c r="V712" t="n">
        <v>0</v>
      </c>
      <c r="W712" t="inlineStr">
        <is>
          <t>2002-01-30</t>
        </is>
      </c>
      <c r="X712" t="inlineStr">
        <is>
          <t>2002-01-30</t>
        </is>
      </c>
      <c r="Y712" t="inlineStr">
        <is>
          <t>1997-08-05</t>
        </is>
      </c>
      <c r="Z712" t="inlineStr">
        <is>
          <t>1997-08-05</t>
        </is>
      </c>
      <c r="AA712" t="n">
        <v>245</v>
      </c>
      <c r="AB712" t="n">
        <v>229</v>
      </c>
      <c r="AC712" t="n">
        <v>804</v>
      </c>
      <c r="AD712" t="n">
        <v>3</v>
      </c>
      <c r="AE712" t="n">
        <v>8</v>
      </c>
      <c r="AF712" t="n">
        <v>14</v>
      </c>
      <c r="AG712" t="n">
        <v>49</v>
      </c>
      <c r="AH712" t="n">
        <v>3</v>
      </c>
      <c r="AI712" t="n">
        <v>23</v>
      </c>
      <c r="AJ712" t="n">
        <v>2</v>
      </c>
      <c r="AK712" t="n">
        <v>8</v>
      </c>
      <c r="AL712" t="n">
        <v>9</v>
      </c>
      <c r="AM712" t="n">
        <v>22</v>
      </c>
      <c r="AN712" t="n">
        <v>2</v>
      </c>
      <c r="AO712" t="n">
        <v>7</v>
      </c>
      <c r="AP712" t="n">
        <v>0</v>
      </c>
      <c r="AQ712" t="n">
        <v>0</v>
      </c>
      <c r="AR712" t="inlineStr">
        <is>
          <t>No</t>
        </is>
      </c>
      <c r="AS712" t="inlineStr">
        <is>
          <t>No</t>
        </is>
      </c>
      <c r="AT712">
        <f>HYPERLINK("http://catalog.hathitrust.org/Record/101863622","HathiTrust Record")</f>
        <v/>
      </c>
      <c r="AU712">
        <f>HYPERLINK("https://creighton-primo.hosted.exlibrisgroup.com/primo-explore/search?tab=default_tab&amp;search_scope=EVERYTHING&amp;vid=01CRU&amp;lang=en_US&amp;offset=0&amp;query=any,contains,991003937549702656","Catalog Record")</f>
        <v/>
      </c>
      <c r="AV712">
        <f>HYPERLINK("http://www.worldcat.org/oclc/1919287","WorldCat Record")</f>
        <v/>
      </c>
      <c r="AW712" t="inlineStr">
        <is>
          <t>1314883:eng</t>
        </is>
      </c>
      <c r="AX712" t="inlineStr">
        <is>
          <t>1919287</t>
        </is>
      </c>
      <c r="AY712" t="inlineStr">
        <is>
          <t>991003937549702656</t>
        </is>
      </c>
      <c r="AZ712" t="inlineStr">
        <is>
          <t>991003937549702656</t>
        </is>
      </c>
      <c r="BA712" t="inlineStr">
        <is>
          <t>2258170710002656</t>
        </is>
      </c>
      <c r="BB712" t="inlineStr">
        <is>
          <t>BOOK</t>
        </is>
      </c>
      <c r="BE712" t="inlineStr">
        <is>
          <t>32285002999786</t>
        </is>
      </c>
      <c r="BF712" t="inlineStr">
        <is>
          <t>893711966</t>
        </is>
      </c>
    </row>
    <row r="713">
      <c r="A713" t="inlineStr">
        <is>
          <t>No</t>
        </is>
      </c>
      <c r="B713" t="inlineStr">
        <is>
          <t>CURAL</t>
        </is>
      </c>
      <c r="C713" t="inlineStr">
        <is>
          <t>SHELVES</t>
        </is>
      </c>
      <c r="D713" t="inlineStr">
        <is>
          <t>PR2976 .B55 1927</t>
        </is>
      </c>
      <c r="E713" t="inlineStr">
        <is>
          <t>0                      PR 2976000B  55          1927</t>
        </is>
      </c>
      <c r="F713" t="inlineStr">
        <is>
          <t>An introduction to the reading of Shakespeare.</t>
        </is>
      </c>
      <c r="H713" t="inlineStr">
        <is>
          <t>No</t>
        </is>
      </c>
      <c r="I713" t="inlineStr">
        <is>
          <t>1</t>
        </is>
      </c>
      <c r="J713" t="inlineStr">
        <is>
          <t>No</t>
        </is>
      </c>
      <c r="K713" t="inlineStr">
        <is>
          <t>Yes</t>
        </is>
      </c>
      <c r="L713" t="inlineStr">
        <is>
          <t>0</t>
        </is>
      </c>
      <c r="M713" t="inlineStr">
        <is>
          <t>Boas, Frederick S. (Frederick Samuel), 1862-1957.</t>
        </is>
      </c>
      <c r="N713" t="inlineStr">
        <is>
          <t>London, Oxford University Press, 1927.</t>
        </is>
      </c>
      <c r="O713" t="inlineStr">
        <is>
          <t>1927</t>
        </is>
      </c>
      <c r="Q713" t="inlineStr">
        <is>
          <t>eng</t>
        </is>
      </c>
      <c r="R713" t="inlineStr">
        <is>
          <t xml:space="preserve">xx </t>
        </is>
      </c>
      <c r="T713" t="inlineStr">
        <is>
          <t xml:space="preserve">PR </t>
        </is>
      </c>
      <c r="U713" t="n">
        <v>1</v>
      </c>
      <c r="V713" t="n">
        <v>1</v>
      </c>
      <c r="W713" t="inlineStr">
        <is>
          <t>2004-11-10</t>
        </is>
      </c>
      <c r="X713" t="inlineStr">
        <is>
          <t>2004-11-10</t>
        </is>
      </c>
      <c r="Y713" t="inlineStr">
        <is>
          <t>1997-08-05</t>
        </is>
      </c>
      <c r="Z713" t="inlineStr">
        <is>
          <t>1997-08-05</t>
        </is>
      </c>
      <c r="AA713" t="n">
        <v>236</v>
      </c>
      <c r="AB713" t="n">
        <v>179</v>
      </c>
      <c r="AC713" t="n">
        <v>340</v>
      </c>
      <c r="AD713" t="n">
        <v>1</v>
      </c>
      <c r="AE713" t="n">
        <v>1</v>
      </c>
      <c r="AF713" t="n">
        <v>12</v>
      </c>
      <c r="AG713" t="n">
        <v>23</v>
      </c>
      <c r="AH713" t="n">
        <v>7</v>
      </c>
      <c r="AI713" t="n">
        <v>9</v>
      </c>
      <c r="AJ713" t="n">
        <v>2</v>
      </c>
      <c r="AK713" t="n">
        <v>4</v>
      </c>
      <c r="AL713" t="n">
        <v>8</v>
      </c>
      <c r="AM713" t="n">
        <v>17</v>
      </c>
      <c r="AN713" t="n">
        <v>0</v>
      </c>
      <c r="AO713" t="n">
        <v>0</v>
      </c>
      <c r="AP713" t="n">
        <v>0</v>
      </c>
      <c r="AQ713" t="n">
        <v>0</v>
      </c>
      <c r="AR713" t="inlineStr">
        <is>
          <t>No</t>
        </is>
      </c>
      <c r="AS713" t="inlineStr">
        <is>
          <t>Yes</t>
        </is>
      </c>
      <c r="AT713">
        <f>HYPERLINK("http://catalog.hathitrust.org/Record/001365949","HathiTrust Record")</f>
        <v/>
      </c>
      <c r="AU713">
        <f>HYPERLINK("https://creighton-primo.hosted.exlibrisgroup.com/primo-explore/search?tab=default_tab&amp;search_scope=EVERYTHING&amp;vid=01CRU&amp;lang=en_US&amp;offset=0&amp;query=any,contains,991003292049702656","Catalog Record")</f>
        <v/>
      </c>
      <c r="AV713">
        <f>HYPERLINK("http://www.worldcat.org/oclc/814222","WorldCat Record")</f>
        <v/>
      </c>
      <c r="AW713" t="inlineStr">
        <is>
          <t>1665187:eng</t>
        </is>
      </c>
      <c r="AX713" t="inlineStr">
        <is>
          <t>814222</t>
        </is>
      </c>
      <c r="AY713" t="inlineStr">
        <is>
          <t>991003292049702656</t>
        </is>
      </c>
      <c r="AZ713" t="inlineStr">
        <is>
          <t>991003292049702656</t>
        </is>
      </c>
      <c r="BA713" t="inlineStr">
        <is>
          <t>2270157510002656</t>
        </is>
      </c>
      <c r="BB713" t="inlineStr">
        <is>
          <t>BOOK</t>
        </is>
      </c>
      <c r="BE713" t="inlineStr">
        <is>
          <t>32285002999810</t>
        </is>
      </c>
      <c r="BF713" t="inlineStr">
        <is>
          <t>893604636</t>
        </is>
      </c>
    </row>
    <row r="714">
      <c r="A714" t="inlineStr">
        <is>
          <t>No</t>
        </is>
      </c>
      <c r="B714" t="inlineStr">
        <is>
          <t>CURAL</t>
        </is>
      </c>
      <c r="C714" t="inlineStr">
        <is>
          <t>SHELVES</t>
        </is>
      </c>
      <c r="D714" t="inlineStr">
        <is>
          <t>PR2976 .B568 1984</t>
        </is>
      </c>
      <c r="E714" t="inlineStr">
        <is>
          <t>0                      PR 2976000B  568         1984</t>
        </is>
      </c>
      <c r="F714" t="inlineStr">
        <is>
          <t>Muriel Bradbrook on Shakespeare / M.C. Bradbrook.</t>
        </is>
      </c>
      <c r="H714" t="inlineStr">
        <is>
          <t>No</t>
        </is>
      </c>
      <c r="I714" t="inlineStr">
        <is>
          <t>1</t>
        </is>
      </c>
      <c r="J714" t="inlineStr">
        <is>
          <t>No</t>
        </is>
      </c>
      <c r="K714" t="inlineStr">
        <is>
          <t>No</t>
        </is>
      </c>
      <c r="L714" t="inlineStr">
        <is>
          <t>0</t>
        </is>
      </c>
      <c r="M714" t="inlineStr">
        <is>
          <t>Bradbrook, M. C. (Muriel Clara), 1909-1993.</t>
        </is>
      </c>
      <c r="N714" t="inlineStr">
        <is>
          <t>Totowa, N.J. : Barnes &amp; Noble Books, 1984.</t>
        </is>
      </c>
      <c r="O714" t="inlineStr">
        <is>
          <t>1984</t>
        </is>
      </c>
      <c r="Q714" t="inlineStr">
        <is>
          <t>eng</t>
        </is>
      </c>
      <c r="R714" t="inlineStr">
        <is>
          <t>nju</t>
        </is>
      </c>
      <c r="T714" t="inlineStr">
        <is>
          <t xml:space="preserve">PR </t>
        </is>
      </c>
      <c r="U714" t="n">
        <v>3</v>
      </c>
      <c r="V714" t="n">
        <v>3</v>
      </c>
      <c r="W714" t="inlineStr">
        <is>
          <t>1992-09-18</t>
        </is>
      </c>
      <c r="X714" t="inlineStr">
        <is>
          <t>1992-09-18</t>
        </is>
      </c>
      <c r="Y714" t="inlineStr">
        <is>
          <t>1991-10-24</t>
        </is>
      </c>
      <c r="Z714" t="inlineStr">
        <is>
          <t>1991-10-24</t>
        </is>
      </c>
      <c r="AA714" t="n">
        <v>472</v>
      </c>
      <c r="AB714" t="n">
        <v>411</v>
      </c>
      <c r="AC714" t="n">
        <v>488</v>
      </c>
      <c r="AD714" t="n">
        <v>3</v>
      </c>
      <c r="AE714" t="n">
        <v>3</v>
      </c>
      <c r="AF714" t="n">
        <v>27</v>
      </c>
      <c r="AG714" t="n">
        <v>31</v>
      </c>
      <c r="AH714" t="n">
        <v>14</v>
      </c>
      <c r="AI714" t="n">
        <v>15</v>
      </c>
      <c r="AJ714" t="n">
        <v>6</v>
      </c>
      <c r="AK714" t="n">
        <v>8</v>
      </c>
      <c r="AL714" t="n">
        <v>15</v>
      </c>
      <c r="AM714" t="n">
        <v>17</v>
      </c>
      <c r="AN714" t="n">
        <v>2</v>
      </c>
      <c r="AO714" t="n">
        <v>2</v>
      </c>
      <c r="AP714" t="n">
        <v>0</v>
      </c>
      <c r="AQ714" t="n">
        <v>0</v>
      </c>
      <c r="AR714" t="inlineStr">
        <is>
          <t>No</t>
        </is>
      </c>
      <c r="AS714" t="inlineStr">
        <is>
          <t>Yes</t>
        </is>
      </c>
      <c r="AT714">
        <f>HYPERLINK("http://catalog.hathitrust.org/Record/000209956","HathiTrust Record")</f>
        <v/>
      </c>
      <c r="AU714">
        <f>HYPERLINK("https://creighton-primo.hosted.exlibrisgroup.com/primo-explore/search?tab=default_tab&amp;search_scope=EVERYTHING&amp;vid=01CRU&amp;lang=en_US&amp;offset=0&amp;query=any,contains,991000406999702656","Catalog Record")</f>
        <v/>
      </c>
      <c r="AV714">
        <f>HYPERLINK("http://www.worldcat.org/oclc/10694834","WorldCat Record")</f>
        <v/>
      </c>
      <c r="AW714" t="inlineStr">
        <is>
          <t>178463322:eng</t>
        </is>
      </c>
      <c r="AX714" t="inlineStr">
        <is>
          <t>10694834</t>
        </is>
      </c>
      <c r="AY714" t="inlineStr">
        <is>
          <t>991000406999702656</t>
        </is>
      </c>
      <c r="AZ714" t="inlineStr">
        <is>
          <t>991000406999702656</t>
        </is>
      </c>
      <c r="BA714" t="inlineStr">
        <is>
          <t>2270068630002656</t>
        </is>
      </c>
      <c r="BB714" t="inlineStr">
        <is>
          <t>BOOK</t>
        </is>
      </c>
      <c r="BD714" t="inlineStr">
        <is>
          <t>9780389204886</t>
        </is>
      </c>
      <c r="BE714" t="inlineStr">
        <is>
          <t>32285000800747</t>
        </is>
      </c>
      <c r="BF714" t="inlineStr">
        <is>
          <t>893249313</t>
        </is>
      </c>
    </row>
    <row r="715">
      <c r="A715" t="inlineStr">
        <is>
          <t>No</t>
        </is>
      </c>
      <c r="B715" t="inlineStr">
        <is>
          <t>CURAL</t>
        </is>
      </c>
      <c r="C715" t="inlineStr">
        <is>
          <t>SHELVES</t>
        </is>
      </c>
      <c r="D715" t="inlineStr">
        <is>
          <t>PR2976 .B658 1996</t>
        </is>
      </c>
      <c r="E715" t="inlineStr">
        <is>
          <t>0                      PR 2976000B  658         1996</t>
        </is>
      </c>
      <c r="F715" t="inlineStr">
        <is>
          <t>Big-time Shakespeare / Michael D. Bristol.</t>
        </is>
      </c>
      <c r="H715" t="inlineStr">
        <is>
          <t>No</t>
        </is>
      </c>
      <c r="I715" t="inlineStr">
        <is>
          <t>1</t>
        </is>
      </c>
      <c r="J715" t="inlineStr">
        <is>
          <t>No</t>
        </is>
      </c>
      <c r="K715" t="inlineStr">
        <is>
          <t>No</t>
        </is>
      </c>
      <c r="L715" t="inlineStr">
        <is>
          <t>0</t>
        </is>
      </c>
      <c r="M715" t="inlineStr">
        <is>
          <t>Bristol, Michael D., 1940-</t>
        </is>
      </c>
      <c r="N715" t="inlineStr">
        <is>
          <t>London ; New York : Routledge, 1996.</t>
        </is>
      </c>
      <c r="O715" t="inlineStr">
        <is>
          <t>1996</t>
        </is>
      </c>
      <c r="Q715" t="inlineStr">
        <is>
          <t>eng</t>
        </is>
      </c>
      <c r="R715" t="inlineStr">
        <is>
          <t>enk</t>
        </is>
      </c>
      <c r="T715" t="inlineStr">
        <is>
          <t xml:space="preserve">PR </t>
        </is>
      </c>
      <c r="U715" t="n">
        <v>8</v>
      </c>
      <c r="V715" t="n">
        <v>8</v>
      </c>
      <c r="W715" t="inlineStr">
        <is>
          <t>2006-10-29</t>
        </is>
      </c>
      <c r="X715" t="inlineStr">
        <is>
          <t>2006-10-29</t>
        </is>
      </c>
      <c r="Y715" t="inlineStr">
        <is>
          <t>1996-12-02</t>
        </is>
      </c>
      <c r="Z715" t="inlineStr">
        <is>
          <t>1996-12-02</t>
        </is>
      </c>
      <c r="AA715" t="n">
        <v>407</v>
      </c>
      <c r="AB715" t="n">
        <v>270</v>
      </c>
      <c r="AC715" t="n">
        <v>313</v>
      </c>
      <c r="AD715" t="n">
        <v>2</v>
      </c>
      <c r="AE715" t="n">
        <v>2</v>
      </c>
      <c r="AF715" t="n">
        <v>18</v>
      </c>
      <c r="AG715" t="n">
        <v>19</v>
      </c>
      <c r="AH715" t="n">
        <v>4</v>
      </c>
      <c r="AI715" t="n">
        <v>5</v>
      </c>
      <c r="AJ715" t="n">
        <v>7</v>
      </c>
      <c r="AK715" t="n">
        <v>7</v>
      </c>
      <c r="AL715" t="n">
        <v>10</v>
      </c>
      <c r="AM715" t="n">
        <v>11</v>
      </c>
      <c r="AN715" t="n">
        <v>1</v>
      </c>
      <c r="AO715" t="n">
        <v>1</v>
      </c>
      <c r="AP715" t="n">
        <v>0</v>
      </c>
      <c r="AQ715" t="n">
        <v>0</v>
      </c>
      <c r="AR715" t="inlineStr">
        <is>
          <t>No</t>
        </is>
      </c>
      <c r="AS715" t="inlineStr">
        <is>
          <t>No</t>
        </is>
      </c>
      <c r="AU715">
        <f>HYPERLINK("https://creighton-primo.hosted.exlibrisgroup.com/primo-explore/search?tab=default_tab&amp;search_scope=EVERYTHING&amp;vid=01CRU&amp;lang=en_US&amp;offset=0&amp;query=any,contains,991002597179702656","Catalog Record")</f>
        <v/>
      </c>
      <c r="AV715">
        <f>HYPERLINK("http://www.worldcat.org/oclc/34029433","WorldCat Record")</f>
        <v/>
      </c>
      <c r="AW715" t="inlineStr">
        <is>
          <t>14463605:eng</t>
        </is>
      </c>
      <c r="AX715" t="inlineStr">
        <is>
          <t>34029433</t>
        </is>
      </c>
      <c r="AY715" t="inlineStr">
        <is>
          <t>991002597179702656</t>
        </is>
      </c>
      <c r="AZ715" t="inlineStr">
        <is>
          <t>991002597179702656</t>
        </is>
      </c>
      <c r="BA715" t="inlineStr">
        <is>
          <t>2271457720002656</t>
        </is>
      </c>
      <c r="BB715" t="inlineStr">
        <is>
          <t>BOOK</t>
        </is>
      </c>
      <c r="BD715" t="inlineStr">
        <is>
          <t>9780415060165</t>
        </is>
      </c>
      <c r="BE715" t="inlineStr">
        <is>
          <t>32285002387065</t>
        </is>
      </c>
      <c r="BF715" t="inlineStr">
        <is>
          <t>893409291</t>
        </is>
      </c>
    </row>
    <row r="716">
      <c r="A716" t="inlineStr">
        <is>
          <t>No</t>
        </is>
      </c>
      <c r="B716" t="inlineStr">
        <is>
          <t>CURAL</t>
        </is>
      </c>
      <c r="C716" t="inlineStr">
        <is>
          <t>SHELVES</t>
        </is>
      </c>
      <c r="D716" t="inlineStr">
        <is>
          <t>PR2976 .B68 1971</t>
        </is>
      </c>
      <c r="E716" t="inlineStr">
        <is>
          <t>0                      PR 2976000B  68          1971</t>
        </is>
      </c>
      <c r="F716" t="inlineStr">
        <is>
          <t>On ten plays of Shakespeare.</t>
        </is>
      </c>
      <c r="H716" t="inlineStr">
        <is>
          <t>No</t>
        </is>
      </c>
      <c r="I716" t="inlineStr">
        <is>
          <t>1</t>
        </is>
      </c>
      <c r="J716" t="inlineStr">
        <is>
          <t>No</t>
        </is>
      </c>
      <c r="K716" t="inlineStr">
        <is>
          <t>No</t>
        </is>
      </c>
      <c r="L716" t="inlineStr">
        <is>
          <t>0</t>
        </is>
      </c>
      <c r="M716" t="inlineStr">
        <is>
          <t>Brooke, Stopford A. (Stopford Augustus), 1832-1916.</t>
        </is>
      </c>
      <c r="N716" t="inlineStr">
        <is>
          <t>New York : AMS Press, [1971]</t>
        </is>
      </c>
      <c r="O716" t="inlineStr">
        <is>
          <t>1971</t>
        </is>
      </c>
      <c r="P716" t="inlineStr">
        <is>
          <t>[1st AMS ed.]</t>
        </is>
      </c>
      <c r="Q716" t="inlineStr">
        <is>
          <t>eng</t>
        </is>
      </c>
      <c r="R716" t="inlineStr">
        <is>
          <t>nyu</t>
        </is>
      </c>
      <c r="T716" t="inlineStr">
        <is>
          <t xml:space="preserve">PR </t>
        </is>
      </c>
      <c r="U716" t="n">
        <v>4</v>
      </c>
      <c r="V716" t="n">
        <v>4</v>
      </c>
      <c r="W716" t="inlineStr">
        <is>
          <t>1994-11-30</t>
        </is>
      </c>
      <c r="X716" t="inlineStr">
        <is>
          <t>1994-11-30</t>
        </is>
      </c>
      <c r="Y716" t="inlineStr">
        <is>
          <t>1991-08-09</t>
        </is>
      </c>
      <c r="Z716" t="inlineStr">
        <is>
          <t>1991-08-09</t>
        </is>
      </c>
      <c r="AA716" t="n">
        <v>163</v>
      </c>
      <c r="AB716" t="n">
        <v>143</v>
      </c>
      <c r="AC716" t="n">
        <v>558</v>
      </c>
      <c r="AD716" t="n">
        <v>2</v>
      </c>
      <c r="AE716" t="n">
        <v>9</v>
      </c>
      <c r="AF716" t="n">
        <v>2</v>
      </c>
      <c r="AG716" t="n">
        <v>30</v>
      </c>
      <c r="AH716" t="n">
        <v>1</v>
      </c>
      <c r="AI716" t="n">
        <v>8</v>
      </c>
      <c r="AJ716" t="n">
        <v>1</v>
      </c>
      <c r="AK716" t="n">
        <v>7</v>
      </c>
      <c r="AL716" t="n">
        <v>0</v>
      </c>
      <c r="AM716" t="n">
        <v>13</v>
      </c>
      <c r="AN716" t="n">
        <v>1</v>
      </c>
      <c r="AO716" t="n">
        <v>8</v>
      </c>
      <c r="AP716" t="n">
        <v>0</v>
      </c>
      <c r="AQ716" t="n">
        <v>0</v>
      </c>
      <c r="AR716" t="inlineStr">
        <is>
          <t>No</t>
        </is>
      </c>
      <c r="AS716" t="inlineStr">
        <is>
          <t>Yes</t>
        </is>
      </c>
      <c r="AT716">
        <f>HYPERLINK("http://catalog.hathitrust.org/Record/009920697","HathiTrust Record")</f>
        <v/>
      </c>
      <c r="AU716">
        <f>HYPERLINK("https://creighton-primo.hosted.exlibrisgroup.com/primo-explore/search?tab=default_tab&amp;search_scope=EVERYTHING&amp;vid=01CRU&amp;lang=en_US&amp;offset=0&amp;query=any,contains,991001282649702656","Catalog Record")</f>
        <v/>
      </c>
      <c r="AV716">
        <f>HYPERLINK("http://www.worldcat.org/oclc/215326","WorldCat Record")</f>
        <v/>
      </c>
      <c r="AW716" t="inlineStr">
        <is>
          <t>474363:eng</t>
        </is>
      </c>
      <c r="AX716" t="inlineStr">
        <is>
          <t>215326</t>
        </is>
      </c>
      <c r="AY716" t="inlineStr">
        <is>
          <t>991001282649702656</t>
        </is>
      </c>
      <c r="AZ716" t="inlineStr">
        <is>
          <t>991001282649702656</t>
        </is>
      </c>
      <c r="BA716" t="inlineStr">
        <is>
          <t>2255840660002656</t>
        </is>
      </c>
      <c r="BB716" t="inlineStr">
        <is>
          <t>BOOK</t>
        </is>
      </c>
      <c r="BD716" t="inlineStr">
        <is>
          <t>9780404011093</t>
        </is>
      </c>
      <c r="BE716" t="inlineStr">
        <is>
          <t>32285000681030</t>
        </is>
      </c>
      <c r="BF716" t="inlineStr">
        <is>
          <t>893696637</t>
        </is>
      </c>
    </row>
    <row r="717">
      <c r="A717" t="inlineStr">
        <is>
          <t>No</t>
        </is>
      </c>
      <c r="B717" t="inlineStr">
        <is>
          <t>CURAL</t>
        </is>
      </c>
      <c r="C717" t="inlineStr">
        <is>
          <t>SHELVES</t>
        </is>
      </c>
      <c r="D717" t="inlineStr">
        <is>
          <t>PR2976 .B76</t>
        </is>
      </c>
      <c r="E717" t="inlineStr">
        <is>
          <t>0                      PR 2976000B  76</t>
        </is>
      </c>
      <c r="F717" t="inlineStr">
        <is>
          <t>Two Shakespearean sequences : Henry VI to Richard II and Pericles to Timon of Athens / F. W. Brownlow.</t>
        </is>
      </c>
      <c r="H717" t="inlineStr">
        <is>
          <t>No</t>
        </is>
      </c>
      <c r="I717" t="inlineStr">
        <is>
          <t>1</t>
        </is>
      </c>
      <c r="J717" t="inlineStr">
        <is>
          <t>No</t>
        </is>
      </c>
      <c r="K717" t="inlineStr">
        <is>
          <t>No</t>
        </is>
      </c>
      <c r="L717" t="inlineStr">
        <is>
          <t>0</t>
        </is>
      </c>
      <c r="M717" t="inlineStr">
        <is>
          <t>Brownlow, F. W. (Frank Walsh), 1934-</t>
        </is>
      </c>
      <c r="N717" t="inlineStr">
        <is>
          <t>Pittsburgh : University of Pittsburgh Press, 1977.</t>
        </is>
      </c>
      <c r="O717" t="inlineStr">
        <is>
          <t>1977</t>
        </is>
      </c>
      <c r="Q717" t="inlineStr">
        <is>
          <t>eng</t>
        </is>
      </c>
      <c r="R717" t="inlineStr">
        <is>
          <t>pau</t>
        </is>
      </c>
      <c r="T717" t="inlineStr">
        <is>
          <t xml:space="preserve">PR </t>
        </is>
      </c>
      <c r="U717" t="n">
        <v>1</v>
      </c>
      <c r="V717" t="n">
        <v>1</v>
      </c>
      <c r="W717" t="inlineStr">
        <is>
          <t>1992-11-16</t>
        </is>
      </c>
      <c r="X717" t="inlineStr">
        <is>
          <t>1992-11-16</t>
        </is>
      </c>
      <c r="Y717" t="inlineStr">
        <is>
          <t>1992-04-02</t>
        </is>
      </c>
      <c r="Z717" t="inlineStr">
        <is>
          <t>1992-04-02</t>
        </is>
      </c>
      <c r="AA717" t="n">
        <v>394</v>
      </c>
      <c r="AB717" t="n">
        <v>346</v>
      </c>
      <c r="AC717" t="n">
        <v>373</v>
      </c>
      <c r="AD717" t="n">
        <v>3</v>
      </c>
      <c r="AE717" t="n">
        <v>3</v>
      </c>
      <c r="AF717" t="n">
        <v>19</v>
      </c>
      <c r="AG717" t="n">
        <v>21</v>
      </c>
      <c r="AH717" t="n">
        <v>6</v>
      </c>
      <c r="AI717" t="n">
        <v>7</v>
      </c>
      <c r="AJ717" t="n">
        <v>6</v>
      </c>
      <c r="AK717" t="n">
        <v>6</v>
      </c>
      <c r="AL717" t="n">
        <v>11</v>
      </c>
      <c r="AM717" t="n">
        <v>13</v>
      </c>
      <c r="AN717" t="n">
        <v>2</v>
      </c>
      <c r="AO717" t="n">
        <v>2</v>
      </c>
      <c r="AP717" t="n">
        <v>0</v>
      </c>
      <c r="AQ717" t="n">
        <v>0</v>
      </c>
      <c r="AR717" t="inlineStr">
        <is>
          <t>No</t>
        </is>
      </c>
      <c r="AS717" t="inlineStr">
        <is>
          <t>Yes</t>
        </is>
      </c>
      <c r="AT717">
        <f>HYPERLINK("http://catalog.hathitrust.org/Record/000213427","HathiTrust Record")</f>
        <v/>
      </c>
      <c r="AU717">
        <f>HYPERLINK("https://creighton-primo.hosted.exlibrisgroup.com/primo-explore/search?tab=default_tab&amp;search_scope=EVERYTHING&amp;vid=01CRU&amp;lang=en_US&amp;offset=0&amp;query=any,contains,991004295489702656","Catalog Record")</f>
        <v/>
      </c>
      <c r="AV717">
        <f>HYPERLINK("http://www.worldcat.org/oclc/2963656","WorldCat Record")</f>
        <v/>
      </c>
      <c r="AW717" t="inlineStr">
        <is>
          <t>6571530:eng</t>
        </is>
      </c>
      <c r="AX717" t="inlineStr">
        <is>
          <t>2963656</t>
        </is>
      </c>
      <c r="AY717" t="inlineStr">
        <is>
          <t>991004295489702656</t>
        </is>
      </c>
      <c r="AZ717" t="inlineStr">
        <is>
          <t>991004295489702656</t>
        </is>
      </c>
      <c r="BA717" t="inlineStr">
        <is>
          <t>2271211810002656</t>
        </is>
      </c>
      <c r="BB717" t="inlineStr">
        <is>
          <t>BOOK</t>
        </is>
      </c>
      <c r="BD717" t="inlineStr">
        <is>
          <t>9780822911272</t>
        </is>
      </c>
      <c r="BE717" t="inlineStr">
        <is>
          <t>32285001033033</t>
        </is>
      </c>
      <c r="BF717" t="inlineStr">
        <is>
          <t>893700067</t>
        </is>
      </c>
    </row>
    <row r="718">
      <c r="A718" t="inlineStr">
        <is>
          <t>No</t>
        </is>
      </c>
      <c r="B718" t="inlineStr">
        <is>
          <t>CURAL</t>
        </is>
      </c>
      <c r="C718" t="inlineStr">
        <is>
          <t>SHELVES</t>
        </is>
      </c>
      <c r="D718" t="inlineStr">
        <is>
          <t>PR2976 .C29 1986</t>
        </is>
      </c>
      <c r="E718" t="inlineStr">
        <is>
          <t>0                      PR 2976000C  29          1986</t>
        </is>
      </c>
      <c r="F718" t="inlineStr">
        <is>
          <t>The Cambridge companion to Shakespeare studies / edited by Stanley Wells.</t>
        </is>
      </c>
      <c r="H718" t="inlineStr">
        <is>
          <t>No</t>
        </is>
      </c>
      <c r="I718" t="inlineStr">
        <is>
          <t>1</t>
        </is>
      </c>
      <c r="J718" t="inlineStr">
        <is>
          <t>No</t>
        </is>
      </c>
      <c r="K718" t="inlineStr">
        <is>
          <t>No</t>
        </is>
      </c>
      <c r="L718" t="inlineStr">
        <is>
          <t>0</t>
        </is>
      </c>
      <c r="N718" t="inlineStr">
        <is>
          <t>Cambridge [Cambridgeshire] ; New York : Cambridge University Press, 1986.</t>
        </is>
      </c>
      <c r="O718" t="inlineStr">
        <is>
          <t>1986</t>
        </is>
      </c>
      <c r="Q718" t="inlineStr">
        <is>
          <t>eng</t>
        </is>
      </c>
      <c r="R718" t="inlineStr">
        <is>
          <t>enk</t>
        </is>
      </c>
      <c r="T718" t="inlineStr">
        <is>
          <t xml:space="preserve">PR </t>
        </is>
      </c>
      <c r="U718" t="n">
        <v>1</v>
      </c>
      <c r="V718" t="n">
        <v>1</v>
      </c>
      <c r="W718" t="inlineStr">
        <is>
          <t>1996-05-10</t>
        </is>
      </c>
      <c r="X718" t="inlineStr">
        <is>
          <t>1996-05-10</t>
        </is>
      </c>
      <c r="Y718" t="inlineStr">
        <is>
          <t>1991-08-09</t>
        </is>
      </c>
      <c r="Z718" t="inlineStr">
        <is>
          <t>1991-08-09</t>
        </is>
      </c>
      <c r="AA718" t="n">
        <v>1533</v>
      </c>
      <c r="AB718" t="n">
        <v>1218</v>
      </c>
      <c r="AC718" t="n">
        <v>1244</v>
      </c>
      <c r="AD718" t="n">
        <v>9</v>
      </c>
      <c r="AE718" t="n">
        <v>9</v>
      </c>
      <c r="AF718" t="n">
        <v>48</v>
      </c>
      <c r="AG718" t="n">
        <v>49</v>
      </c>
      <c r="AH718" t="n">
        <v>22</v>
      </c>
      <c r="AI718" t="n">
        <v>22</v>
      </c>
      <c r="AJ718" t="n">
        <v>8</v>
      </c>
      <c r="AK718" t="n">
        <v>9</v>
      </c>
      <c r="AL718" t="n">
        <v>20</v>
      </c>
      <c r="AM718" t="n">
        <v>20</v>
      </c>
      <c r="AN718" t="n">
        <v>7</v>
      </c>
      <c r="AO718" t="n">
        <v>7</v>
      </c>
      <c r="AP718" t="n">
        <v>1</v>
      </c>
      <c r="AQ718" t="n">
        <v>1</v>
      </c>
      <c r="AR718" t="inlineStr">
        <is>
          <t>No</t>
        </is>
      </c>
      <c r="AS718" t="inlineStr">
        <is>
          <t>No</t>
        </is>
      </c>
      <c r="AU718">
        <f>HYPERLINK("https://creighton-primo.hosted.exlibrisgroup.com/primo-explore/search?tab=default_tab&amp;search_scope=EVERYTHING&amp;vid=01CRU&amp;lang=en_US&amp;offset=0&amp;query=any,contains,991000756589702656","Catalog Record")</f>
        <v/>
      </c>
      <c r="AV718">
        <f>HYPERLINK("http://www.worldcat.org/oclc/12945372","WorldCat Record")</f>
        <v/>
      </c>
      <c r="AW718" t="inlineStr">
        <is>
          <t>507624124:eng</t>
        </is>
      </c>
      <c r="AX718" t="inlineStr">
        <is>
          <t>12945372</t>
        </is>
      </c>
      <c r="AY718" t="inlineStr">
        <is>
          <t>991000756589702656</t>
        </is>
      </c>
      <c r="AZ718" t="inlineStr">
        <is>
          <t>991000756589702656</t>
        </is>
      </c>
      <c r="BA718" t="inlineStr">
        <is>
          <t>2256047690002656</t>
        </is>
      </c>
      <c r="BB718" t="inlineStr">
        <is>
          <t>BOOK</t>
        </is>
      </c>
      <c r="BD718" t="inlineStr">
        <is>
          <t>9780521318419</t>
        </is>
      </c>
      <c r="BE718" t="inlineStr">
        <is>
          <t>32285000681022</t>
        </is>
      </c>
      <c r="BF718" t="inlineStr">
        <is>
          <t>893878330</t>
        </is>
      </c>
    </row>
    <row r="719">
      <c r="A719" t="inlineStr">
        <is>
          <t>No</t>
        </is>
      </c>
      <c r="B719" t="inlineStr">
        <is>
          <t>CURAL</t>
        </is>
      </c>
      <c r="C719" t="inlineStr">
        <is>
          <t>SHELVES</t>
        </is>
      </c>
      <c r="D719" t="inlineStr">
        <is>
          <t>PR2976 .C54</t>
        </is>
      </c>
      <c r="E719" t="inlineStr">
        <is>
          <t>0                      PR 2976000C  54</t>
        </is>
      </c>
      <c r="F719" t="inlineStr">
        <is>
          <t>Writings on Shakespeare; a selection of the essays, notes, and lectures of Samuel Taylor Coleridge on the poems and plays of Shakespeare. Newly edited and arranged by Terence Hawkes. With an introd. by Alfred Harbage.</t>
        </is>
      </c>
      <c r="H719" t="inlineStr">
        <is>
          <t>No</t>
        </is>
      </c>
      <c r="I719" t="inlineStr">
        <is>
          <t>1</t>
        </is>
      </c>
      <c r="J719" t="inlineStr">
        <is>
          <t>No</t>
        </is>
      </c>
      <c r="K719" t="inlineStr">
        <is>
          <t>No</t>
        </is>
      </c>
      <c r="L719" t="inlineStr">
        <is>
          <t>0</t>
        </is>
      </c>
      <c r="M719" t="inlineStr">
        <is>
          <t>Coleridge, Samuel Taylor, 1772-1834.</t>
        </is>
      </c>
      <c r="N719" t="inlineStr">
        <is>
          <t>New York, Capricorn Books [1959]</t>
        </is>
      </c>
      <c r="O719" t="inlineStr">
        <is>
          <t>1959</t>
        </is>
      </c>
      <c r="Q719" t="inlineStr">
        <is>
          <t>eng</t>
        </is>
      </c>
      <c r="R719" t="inlineStr">
        <is>
          <t>nyu</t>
        </is>
      </c>
      <c r="S719" t="inlineStr">
        <is>
          <t>A Putnam Capricorn book, Cap 11</t>
        </is>
      </c>
      <c r="T719" t="inlineStr">
        <is>
          <t xml:space="preserve">PR </t>
        </is>
      </c>
      <c r="U719" t="n">
        <v>3</v>
      </c>
      <c r="V719" t="n">
        <v>3</v>
      </c>
      <c r="W719" t="inlineStr">
        <is>
          <t>1999-02-25</t>
        </is>
      </c>
      <c r="X719" t="inlineStr">
        <is>
          <t>1999-02-25</t>
        </is>
      </c>
      <c r="Y719" t="inlineStr">
        <is>
          <t>1997-08-05</t>
        </is>
      </c>
      <c r="Z719" t="inlineStr">
        <is>
          <t>1997-08-05</t>
        </is>
      </c>
      <c r="AA719" t="n">
        <v>348</v>
      </c>
      <c r="AB719" t="n">
        <v>330</v>
      </c>
      <c r="AC719" t="n">
        <v>337</v>
      </c>
      <c r="AD719" t="n">
        <v>2</v>
      </c>
      <c r="AE719" t="n">
        <v>2</v>
      </c>
      <c r="AF719" t="n">
        <v>15</v>
      </c>
      <c r="AG719" t="n">
        <v>15</v>
      </c>
      <c r="AH719" t="n">
        <v>5</v>
      </c>
      <c r="AI719" t="n">
        <v>5</v>
      </c>
      <c r="AJ719" t="n">
        <v>2</v>
      </c>
      <c r="AK719" t="n">
        <v>2</v>
      </c>
      <c r="AL719" t="n">
        <v>11</v>
      </c>
      <c r="AM719" t="n">
        <v>11</v>
      </c>
      <c r="AN719" t="n">
        <v>1</v>
      </c>
      <c r="AO719" t="n">
        <v>1</v>
      </c>
      <c r="AP719" t="n">
        <v>0</v>
      </c>
      <c r="AQ719" t="n">
        <v>0</v>
      </c>
      <c r="AR719" t="inlineStr">
        <is>
          <t>Yes</t>
        </is>
      </c>
      <c r="AS719" t="inlineStr">
        <is>
          <t>No</t>
        </is>
      </c>
      <c r="AT719">
        <f>HYPERLINK("http://catalog.hathitrust.org/Record/001112172","HathiTrust Record")</f>
        <v/>
      </c>
      <c r="AU719">
        <f>HYPERLINK("https://creighton-primo.hosted.exlibrisgroup.com/primo-explore/search?tab=default_tab&amp;search_scope=EVERYTHING&amp;vid=01CRU&amp;lang=en_US&amp;offset=0&amp;query=any,contains,991003413509702656","Catalog Record")</f>
        <v/>
      </c>
      <c r="AV719">
        <f>HYPERLINK("http://www.worldcat.org/oclc/952137","WorldCat Record")</f>
        <v/>
      </c>
      <c r="AW719" t="inlineStr">
        <is>
          <t>3902034830:eng</t>
        </is>
      </c>
      <c r="AX719" t="inlineStr">
        <is>
          <t>952137</t>
        </is>
      </c>
      <c r="AY719" t="inlineStr">
        <is>
          <t>991003413509702656</t>
        </is>
      </c>
      <c r="AZ719" t="inlineStr">
        <is>
          <t>991003413509702656</t>
        </is>
      </c>
      <c r="BA719" t="inlineStr">
        <is>
          <t>2261598470002656</t>
        </is>
      </c>
      <c r="BB719" t="inlineStr">
        <is>
          <t>BOOK</t>
        </is>
      </c>
      <c r="BE719" t="inlineStr">
        <is>
          <t>32285002999877</t>
        </is>
      </c>
      <c r="BF719" t="inlineStr">
        <is>
          <t>893348658</t>
        </is>
      </c>
    </row>
    <row r="720">
      <c r="A720" t="inlineStr">
        <is>
          <t>No</t>
        </is>
      </c>
      <c r="B720" t="inlineStr">
        <is>
          <t>CURAL</t>
        </is>
      </c>
      <c r="C720" t="inlineStr">
        <is>
          <t>SHELVES</t>
        </is>
      </c>
      <c r="D720" t="inlineStr">
        <is>
          <t>PR2976 .C57</t>
        </is>
      </c>
      <c r="E720" t="inlineStr">
        <is>
          <t>0                      PR 2976000C  57</t>
        </is>
      </c>
      <c r="F720" t="inlineStr">
        <is>
          <t>The dramatic use of bawdy in Shakespeare [by] E. A. M. Colman.</t>
        </is>
      </c>
      <c r="H720" t="inlineStr">
        <is>
          <t>No</t>
        </is>
      </c>
      <c r="I720" t="inlineStr">
        <is>
          <t>1</t>
        </is>
      </c>
      <c r="J720" t="inlineStr">
        <is>
          <t>No</t>
        </is>
      </c>
      <c r="K720" t="inlineStr">
        <is>
          <t>No</t>
        </is>
      </c>
      <c r="L720" t="inlineStr">
        <is>
          <t>0</t>
        </is>
      </c>
      <c r="M720" t="inlineStr">
        <is>
          <t>Colman, E. A. M. (Ernest Adrian Mackenzie)</t>
        </is>
      </c>
      <c r="N720" t="inlineStr">
        <is>
          <t>[London] Longman [1974]</t>
        </is>
      </c>
      <c r="O720" t="inlineStr">
        <is>
          <t>1974</t>
        </is>
      </c>
      <c r="Q720" t="inlineStr">
        <is>
          <t>eng</t>
        </is>
      </c>
      <c r="R720" t="inlineStr">
        <is>
          <t>enk</t>
        </is>
      </c>
      <c r="T720" t="inlineStr">
        <is>
          <t xml:space="preserve">PR </t>
        </is>
      </c>
      <c r="U720" t="n">
        <v>1</v>
      </c>
      <c r="V720" t="n">
        <v>1</v>
      </c>
      <c r="W720" t="inlineStr">
        <is>
          <t>2002-04-03</t>
        </is>
      </c>
      <c r="X720" t="inlineStr">
        <is>
          <t>2002-04-03</t>
        </is>
      </c>
      <c r="Y720" t="inlineStr">
        <is>
          <t>1997-08-05</t>
        </is>
      </c>
      <c r="Z720" t="inlineStr">
        <is>
          <t>1997-08-05</t>
        </is>
      </c>
      <c r="AA720" t="n">
        <v>814</v>
      </c>
      <c r="AB720" t="n">
        <v>602</v>
      </c>
      <c r="AC720" t="n">
        <v>616</v>
      </c>
      <c r="AD720" t="n">
        <v>6</v>
      </c>
      <c r="AE720" t="n">
        <v>6</v>
      </c>
      <c r="AF720" t="n">
        <v>29</v>
      </c>
      <c r="AG720" t="n">
        <v>29</v>
      </c>
      <c r="AH720" t="n">
        <v>9</v>
      </c>
      <c r="AI720" t="n">
        <v>9</v>
      </c>
      <c r="AJ720" t="n">
        <v>8</v>
      </c>
      <c r="AK720" t="n">
        <v>8</v>
      </c>
      <c r="AL720" t="n">
        <v>13</v>
      </c>
      <c r="AM720" t="n">
        <v>13</v>
      </c>
      <c r="AN720" t="n">
        <v>5</v>
      </c>
      <c r="AO720" t="n">
        <v>5</v>
      </c>
      <c r="AP720" t="n">
        <v>0</v>
      </c>
      <c r="AQ720" t="n">
        <v>0</v>
      </c>
      <c r="AR720" t="inlineStr">
        <is>
          <t>No</t>
        </is>
      </c>
      <c r="AS720" t="inlineStr">
        <is>
          <t>Yes</t>
        </is>
      </c>
      <c r="AT720">
        <f>HYPERLINK("http://catalog.hathitrust.org/Record/001112174","HathiTrust Record")</f>
        <v/>
      </c>
      <c r="AU720">
        <f>HYPERLINK("https://creighton-primo.hosted.exlibrisgroup.com/primo-explore/search?tab=default_tab&amp;search_scope=EVERYTHING&amp;vid=01CRU&amp;lang=en_US&amp;offset=0&amp;query=any,contains,991003372519702656","Catalog Record")</f>
        <v/>
      </c>
      <c r="AV720">
        <f>HYPERLINK("http://www.worldcat.org/oclc/908459","WorldCat Record")</f>
        <v/>
      </c>
      <c r="AW720" t="inlineStr">
        <is>
          <t>1846062:eng</t>
        </is>
      </c>
      <c r="AX720" t="inlineStr">
        <is>
          <t>908459</t>
        </is>
      </c>
      <c r="AY720" t="inlineStr">
        <is>
          <t>991003372519702656</t>
        </is>
      </c>
      <c r="AZ720" t="inlineStr">
        <is>
          <t>991003372519702656</t>
        </is>
      </c>
      <c r="BA720" t="inlineStr">
        <is>
          <t>2261440600002656</t>
        </is>
      </c>
      <c r="BB720" t="inlineStr">
        <is>
          <t>BOOK</t>
        </is>
      </c>
      <c r="BD720" t="inlineStr">
        <is>
          <t>9780582504561</t>
        </is>
      </c>
      <c r="BE720" t="inlineStr">
        <is>
          <t>32285002999893</t>
        </is>
      </c>
      <c r="BF720" t="inlineStr">
        <is>
          <t>893868365</t>
        </is>
      </c>
    </row>
    <row r="721">
      <c r="A721" t="inlineStr">
        <is>
          <t>No</t>
        </is>
      </c>
      <c r="B721" t="inlineStr">
        <is>
          <t>CURAL</t>
        </is>
      </c>
      <c r="C721" t="inlineStr">
        <is>
          <t>SHELVES</t>
        </is>
      </c>
      <c r="D721" t="inlineStr">
        <is>
          <t>PR2976 .C574 1976</t>
        </is>
      </c>
      <c r="E721" t="inlineStr">
        <is>
          <t>0                      PR 2976000C  574         1976</t>
        </is>
      </c>
      <c r="F721" t="inlineStr">
        <is>
          <t>Shakespeare's enactment : the dynamics of Renaissance theatre / Albert Cook.</t>
        </is>
      </c>
      <c r="H721" t="inlineStr">
        <is>
          <t>No</t>
        </is>
      </c>
      <c r="I721" t="inlineStr">
        <is>
          <t>1</t>
        </is>
      </c>
      <c r="J721" t="inlineStr">
        <is>
          <t>No</t>
        </is>
      </c>
      <c r="K721" t="inlineStr">
        <is>
          <t>No</t>
        </is>
      </c>
      <c r="L721" t="inlineStr">
        <is>
          <t>0</t>
        </is>
      </c>
      <c r="M721" t="inlineStr">
        <is>
          <t>Cook, Albert, 1925-1998.</t>
        </is>
      </c>
      <c r="N721" t="inlineStr">
        <is>
          <t>Chicago : Swallow Press, c1976.</t>
        </is>
      </c>
      <c r="O721" t="inlineStr">
        <is>
          <t>1976</t>
        </is>
      </c>
      <c r="P721" t="inlineStr">
        <is>
          <t>1st ed.</t>
        </is>
      </c>
      <c r="Q721" t="inlineStr">
        <is>
          <t>eng</t>
        </is>
      </c>
      <c r="R721" t="inlineStr">
        <is>
          <t>ilu</t>
        </is>
      </c>
      <c r="T721" t="inlineStr">
        <is>
          <t xml:space="preserve">PR </t>
        </is>
      </c>
      <c r="U721" t="n">
        <v>1</v>
      </c>
      <c r="V721" t="n">
        <v>1</v>
      </c>
      <c r="W721" t="inlineStr">
        <is>
          <t>2003-11-16</t>
        </is>
      </c>
      <c r="X721" t="inlineStr">
        <is>
          <t>2003-11-16</t>
        </is>
      </c>
      <c r="Y721" t="inlineStr">
        <is>
          <t>1991-10-24</t>
        </is>
      </c>
      <c r="Z721" t="inlineStr">
        <is>
          <t>1991-10-24</t>
        </is>
      </c>
      <c r="AA721" t="n">
        <v>526</v>
      </c>
      <c r="AB721" t="n">
        <v>460</v>
      </c>
      <c r="AC721" t="n">
        <v>466</v>
      </c>
      <c r="AD721" t="n">
        <v>5</v>
      </c>
      <c r="AE721" t="n">
        <v>5</v>
      </c>
      <c r="AF721" t="n">
        <v>29</v>
      </c>
      <c r="AG721" t="n">
        <v>29</v>
      </c>
      <c r="AH721" t="n">
        <v>10</v>
      </c>
      <c r="AI721" t="n">
        <v>10</v>
      </c>
      <c r="AJ721" t="n">
        <v>7</v>
      </c>
      <c r="AK721" t="n">
        <v>7</v>
      </c>
      <c r="AL721" t="n">
        <v>13</v>
      </c>
      <c r="AM721" t="n">
        <v>13</v>
      </c>
      <c r="AN721" t="n">
        <v>4</v>
      </c>
      <c r="AO721" t="n">
        <v>4</v>
      </c>
      <c r="AP721" t="n">
        <v>0</v>
      </c>
      <c r="AQ721" t="n">
        <v>0</v>
      </c>
      <c r="AR721" t="inlineStr">
        <is>
          <t>No</t>
        </is>
      </c>
      <c r="AS721" t="inlineStr">
        <is>
          <t>Yes</t>
        </is>
      </c>
      <c r="AT721">
        <f>HYPERLINK("http://catalog.hathitrust.org/Record/000252912","HathiTrust Record")</f>
        <v/>
      </c>
      <c r="AU721">
        <f>HYPERLINK("https://creighton-primo.hosted.exlibrisgroup.com/primo-explore/search?tab=default_tab&amp;search_scope=EVERYTHING&amp;vid=01CRU&amp;lang=en_US&amp;offset=0&amp;query=any,contains,991004329479702656","Catalog Record")</f>
        <v/>
      </c>
      <c r="AV721">
        <f>HYPERLINK("http://www.worldcat.org/oclc/3054435","WorldCat Record")</f>
        <v/>
      </c>
      <c r="AW721" t="inlineStr">
        <is>
          <t>860259944:eng</t>
        </is>
      </c>
      <c r="AX721" t="inlineStr">
        <is>
          <t>3054435</t>
        </is>
      </c>
      <c r="AY721" t="inlineStr">
        <is>
          <t>991004329479702656</t>
        </is>
      </c>
      <c r="AZ721" t="inlineStr">
        <is>
          <t>991004329479702656</t>
        </is>
      </c>
      <c r="BA721" t="inlineStr">
        <is>
          <t>2268760340002656</t>
        </is>
      </c>
      <c r="BB721" t="inlineStr">
        <is>
          <t>BOOK</t>
        </is>
      </c>
      <c r="BD721" t="inlineStr">
        <is>
          <t>9780804006958</t>
        </is>
      </c>
      <c r="BE721" t="inlineStr">
        <is>
          <t>32285000800770</t>
        </is>
      </c>
      <c r="BF721" t="inlineStr">
        <is>
          <t>893612218</t>
        </is>
      </c>
    </row>
    <row r="722">
      <c r="A722" t="inlineStr">
        <is>
          <t>No</t>
        </is>
      </c>
      <c r="B722" t="inlineStr">
        <is>
          <t>CURAL</t>
        </is>
      </c>
      <c r="C722" t="inlineStr">
        <is>
          <t>SHELVES</t>
        </is>
      </c>
      <c r="D722" t="inlineStr">
        <is>
          <t>PR2976 .D6 1967</t>
        </is>
      </c>
      <c r="E722" t="inlineStr">
        <is>
          <t>0                      PR 2976000D  6           1967</t>
        </is>
      </c>
      <c r="F722" t="inlineStr">
        <is>
          <t>Shakspere : a critical study of his mind and art / by Edward Dowden.</t>
        </is>
      </c>
      <c r="H722" t="inlineStr">
        <is>
          <t>No</t>
        </is>
      </c>
      <c r="I722" t="inlineStr">
        <is>
          <t>1</t>
        </is>
      </c>
      <c r="J722" t="inlineStr">
        <is>
          <t>No</t>
        </is>
      </c>
      <c r="K722" t="inlineStr">
        <is>
          <t>No</t>
        </is>
      </c>
      <c r="L722" t="inlineStr">
        <is>
          <t>0</t>
        </is>
      </c>
      <c r="M722" t="inlineStr">
        <is>
          <t>Dowden, Edward, 1843-1913.</t>
        </is>
      </c>
      <c r="N722" t="inlineStr">
        <is>
          <t>New York : Barnes &amp; Noble, 1967.</t>
        </is>
      </c>
      <c r="O722" t="inlineStr">
        <is>
          <t>1967</t>
        </is>
      </c>
      <c r="P722" t="inlineStr">
        <is>
          <t>[3d ed.]</t>
        </is>
      </c>
      <c r="Q722" t="inlineStr">
        <is>
          <t>eng</t>
        </is>
      </c>
      <c r="R722" t="inlineStr">
        <is>
          <t>nyu</t>
        </is>
      </c>
      <c r="T722" t="inlineStr">
        <is>
          <t xml:space="preserve">PR </t>
        </is>
      </c>
      <c r="U722" t="n">
        <v>16</v>
      </c>
      <c r="V722" t="n">
        <v>16</v>
      </c>
      <c r="W722" t="inlineStr">
        <is>
          <t>2008-02-21</t>
        </is>
      </c>
      <c r="X722" t="inlineStr">
        <is>
          <t>2008-02-21</t>
        </is>
      </c>
      <c r="Y722" t="inlineStr">
        <is>
          <t>1990-08-29</t>
        </is>
      </c>
      <c r="Z722" t="inlineStr">
        <is>
          <t>1990-08-29</t>
        </is>
      </c>
      <c r="AA722" t="n">
        <v>101</v>
      </c>
      <c r="AB722" t="n">
        <v>100</v>
      </c>
      <c r="AC722" t="n">
        <v>1006</v>
      </c>
      <c r="AD722" t="n">
        <v>1</v>
      </c>
      <c r="AE722" t="n">
        <v>9</v>
      </c>
      <c r="AF722" t="n">
        <v>3</v>
      </c>
      <c r="AG722" t="n">
        <v>51</v>
      </c>
      <c r="AH722" t="n">
        <v>0</v>
      </c>
      <c r="AI722" t="n">
        <v>22</v>
      </c>
      <c r="AJ722" t="n">
        <v>0</v>
      </c>
      <c r="AK722" t="n">
        <v>10</v>
      </c>
      <c r="AL722" t="n">
        <v>3</v>
      </c>
      <c r="AM722" t="n">
        <v>26</v>
      </c>
      <c r="AN722" t="n">
        <v>0</v>
      </c>
      <c r="AO722" t="n">
        <v>7</v>
      </c>
      <c r="AP722" t="n">
        <v>0</v>
      </c>
      <c r="AQ722" t="n">
        <v>0</v>
      </c>
      <c r="AR722" t="inlineStr">
        <is>
          <t>No</t>
        </is>
      </c>
      <c r="AS722" t="inlineStr">
        <is>
          <t>Yes</t>
        </is>
      </c>
      <c r="AT722">
        <f>HYPERLINK("http://catalog.hathitrust.org/Record/001366008","HathiTrust Record")</f>
        <v/>
      </c>
      <c r="AU722">
        <f>HYPERLINK("https://creighton-primo.hosted.exlibrisgroup.com/primo-explore/search?tab=default_tab&amp;search_scope=EVERYTHING&amp;vid=01CRU&amp;lang=en_US&amp;offset=0&amp;query=any,contains,991004279119702656","Catalog Record")</f>
        <v/>
      </c>
      <c r="AV722">
        <f>HYPERLINK("http://www.worldcat.org/oclc/2902666","WorldCat Record")</f>
        <v/>
      </c>
      <c r="AW722" t="inlineStr">
        <is>
          <t>1408093:eng</t>
        </is>
      </c>
      <c r="AX722" t="inlineStr">
        <is>
          <t>2902666</t>
        </is>
      </c>
      <c r="AY722" t="inlineStr">
        <is>
          <t>991004279119702656</t>
        </is>
      </c>
      <c r="AZ722" t="inlineStr">
        <is>
          <t>991004279119702656</t>
        </is>
      </c>
      <c r="BA722" t="inlineStr">
        <is>
          <t>2271196010002656</t>
        </is>
      </c>
      <c r="BB722" t="inlineStr">
        <is>
          <t>BOOK</t>
        </is>
      </c>
      <c r="BE722" t="inlineStr">
        <is>
          <t>32285000283977</t>
        </is>
      </c>
      <c r="BF722" t="inlineStr">
        <is>
          <t>893882283</t>
        </is>
      </c>
    </row>
    <row r="723">
      <c r="A723" t="inlineStr">
        <is>
          <t>No</t>
        </is>
      </c>
      <c r="B723" t="inlineStr">
        <is>
          <t>CURAL</t>
        </is>
      </c>
      <c r="C723" t="inlineStr">
        <is>
          <t>SHELVES</t>
        </is>
      </c>
      <c r="D723" t="inlineStr">
        <is>
          <t>PR2976 .E17 1986</t>
        </is>
      </c>
      <c r="E723" t="inlineStr">
        <is>
          <t>0                      PR 2976000E  17          1986</t>
        </is>
      </c>
      <c r="F723" t="inlineStr">
        <is>
          <t>William Shakespeare / Terry Eagleton.</t>
        </is>
      </c>
      <c r="H723" t="inlineStr">
        <is>
          <t>No</t>
        </is>
      </c>
      <c r="I723" t="inlineStr">
        <is>
          <t>1</t>
        </is>
      </c>
      <c r="J723" t="inlineStr">
        <is>
          <t>No</t>
        </is>
      </c>
      <c r="K723" t="inlineStr">
        <is>
          <t>No</t>
        </is>
      </c>
      <c r="L723" t="inlineStr">
        <is>
          <t>0</t>
        </is>
      </c>
      <c r="M723" t="inlineStr">
        <is>
          <t>Eagleton, Terry, 1943-</t>
        </is>
      </c>
      <c r="N723" t="inlineStr">
        <is>
          <t>Oxford, UK ; New York, NY, USA : B. Blackwell, 1986.</t>
        </is>
      </c>
      <c r="O723" t="inlineStr">
        <is>
          <t>1986</t>
        </is>
      </c>
      <c r="Q723" t="inlineStr">
        <is>
          <t>eng</t>
        </is>
      </c>
      <c r="R723" t="inlineStr">
        <is>
          <t>enk</t>
        </is>
      </c>
      <c r="S723" t="inlineStr">
        <is>
          <t>Rereading literature</t>
        </is>
      </c>
      <c r="T723" t="inlineStr">
        <is>
          <t xml:space="preserve">PR </t>
        </is>
      </c>
      <c r="U723" t="n">
        <v>5</v>
      </c>
      <c r="V723" t="n">
        <v>5</v>
      </c>
      <c r="W723" t="inlineStr">
        <is>
          <t>1994-09-18</t>
        </is>
      </c>
      <c r="X723" t="inlineStr">
        <is>
          <t>1994-09-18</t>
        </is>
      </c>
      <c r="Y723" t="inlineStr">
        <is>
          <t>1991-10-24</t>
        </is>
      </c>
      <c r="Z723" t="inlineStr">
        <is>
          <t>1991-10-24</t>
        </is>
      </c>
      <c r="AA723" t="n">
        <v>613</v>
      </c>
      <c r="AB723" t="n">
        <v>505</v>
      </c>
      <c r="AC723" t="n">
        <v>576</v>
      </c>
      <c r="AD723" t="n">
        <v>4</v>
      </c>
      <c r="AE723" t="n">
        <v>5</v>
      </c>
      <c r="AF723" t="n">
        <v>29</v>
      </c>
      <c r="AG723" t="n">
        <v>37</v>
      </c>
      <c r="AH723" t="n">
        <v>12</v>
      </c>
      <c r="AI723" t="n">
        <v>16</v>
      </c>
      <c r="AJ723" t="n">
        <v>6</v>
      </c>
      <c r="AK723" t="n">
        <v>8</v>
      </c>
      <c r="AL723" t="n">
        <v>15</v>
      </c>
      <c r="AM723" t="n">
        <v>19</v>
      </c>
      <c r="AN723" t="n">
        <v>3</v>
      </c>
      <c r="AO723" t="n">
        <v>4</v>
      </c>
      <c r="AP723" t="n">
        <v>1</v>
      </c>
      <c r="AQ723" t="n">
        <v>1</v>
      </c>
      <c r="AR723" t="inlineStr">
        <is>
          <t>No</t>
        </is>
      </c>
      <c r="AS723" t="inlineStr">
        <is>
          <t>No</t>
        </is>
      </c>
      <c r="AU723">
        <f>HYPERLINK("https://creighton-primo.hosted.exlibrisgroup.com/primo-explore/search?tab=default_tab&amp;search_scope=EVERYTHING&amp;vid=01CRU&amp;lang=en_US&amp;offset=0&amp;query=any,contains,991000726159702656","Catalog Record")</f>
        <v/>
      </c>
      <c r="AV723">
        <f>HYPERLINK("http://www.worldcat.org/oclc/12695631","WorldCat Record")</f>
        <v/>
      </c>
      <c r="AW723" t="inlineStr">
        <is>
          <t>3943304463:eng</t>
        </is>
      </c>
      <c r="AX723" t="inlineStr">
        <is>
          <t>12695631</t>
        </is>
      </c>
      <c r="AY723" t="inlineStr">
        <is>
          <t>991000726159702656</t>
        </is>
      </c>
      <c r="AZ723" t="inlineStr">
        <is>
          <t>991000726159702656</t>
        </is>
      </c>
      <c r="BA723" t="inlineStr">
        <is>
          <t>2255085480002656</t>
        </is>
      </c>
      <c r="BB723" t="inlineStr">
        <is>
          <t>BOOK</t>
        </is>
      </c>
      <c r="BD723" t="inlineStr">
        <is>
          <t>9780631145547</t>
        </is>
      </c>
      <c r="BE723" t="inlineStr">
        <is>
          <t>32285000800788</t>
        </is>
      </c>
      <c r="BF723" t="inlineStr">
        <is>
          <t>893614450</t>
        </is>
      </c>
    </row>
    <row r="724">
      <c r="A724" t="inlineStr">
        <is>
          <t>No</t>
        </is>
      </c>
      <c r="B724" t="inlineStr">
        <is>
          <t>CURAL</t>
        </is>
      </c>
      <c r="C724" t="inlineStr">
        <is>
          <t>SHELVES</t>
        </is>
      </c>
      <c r="D724" t="inlineStr">
        <is>
          <t>PR2976 .E28 1987</t>
        </is>
      </c>
      <c r="E724" t="inlineStr">
        <is>
          <t>0                      PR 2976000E  28          1987</t>
        </is>
      </c>
      <c r="F724" t="inlineStr">
        <is>
          <t>Shakespeare : a writer's progress / Philip Edwards.</t>
        </is>
      </c>
      <c r="H724" t="inlineStr">
        <is>
          <t>No</t>
        </is>
      </c>
      <c r="I724" t="inlineStr">
        <is>
          <t>1</t>
        </is>
      </c>
      <c r="J724" t="inlineStr">
        <is>
          <t>No</t>
        </is>
      </c>
      <c r="K724" t="inlineStr">
        <is>
          <t>No</t>
        </is>
      </c>
      <c r="L724" t="inlineStr">
        <is>
          <t>0</t>
        </is>
      </c>
      <c r="M724" t="inlineStr">
        <is>
          <t>Edwards, Philip, 1923-</t>
        </is>
      </c>
      <c r="N724" t="inlineStr">
        <is>
          <t>Oxford [Oxfordshire] ; New York : Oxford University Press, 1987, c1986.</t>
        </is>
      </c>
      <c r="O724" t="inlineStr">
        <is>
          <t>1987</t>
        </is>
      </c>
      <c r="Q724" t="inlineStr">
        <is>
          <t>eng</t>
        </is>
      </c>
      <c r="R724" t="inlineStr">
        <is>
          <t>enk</t>
        </is>
      </c>
      <c r="S724" t="inlineStr">
        <is>
          <t>OPUS</t>
        </is>
      </c>
      <c r="T724" t="inlineStr">
        <is>
          <t xml:space="preserve">PR </t>
        </is>
      </c>
      <c r="U724" t="n">
        <v>4</v>
      </c>
      <c r="V724" t="n">
        <v>4</v>
      </c>
      <c r="W724" t="inlineStr">
        <is>
          <t>1994-06-07</t>
        </is>
      </c>
      <c r="X724" t="inlineStr">
        <is>
          <t>1994-06-07</t>
        </is>
      </c>
      <c r="Y724" t="inlineStr">
        <is>
          <t>1990-01-14</t>
        </is>
      </c>
      <c r="Z724" t="inlineStr">
        <is>
          <t>1990-01-14</t>
        </is>
      </c>
      <c r="AA724" t="n">
        <v>696</v>
      </c>
      <c r="AB724" t="n">
        <v>539</v>
      </c>
      <c r="AC724" t="n">
        <v>556</v>
      </c>
      <c r="AD724" t="n">
        <v>6</v>
      </c>
      <c r="AE724" t="n">
        <v>6</v>
      </c>
      <c r="AF724" t="n">
        <v>26</v>
      </c>
      <c r="AG724" t="n">
        <v>26</v>
      </c>
      <c r="AH724" t="n">
        <v>9</v>
      </c>
      <c r="AI724" t="n">
        <v>9</v>
      </c>
      <c r="AJ724" t="n">
        <v>6</v>
      </c>
      <c r="AK724" t="n">
        <v>6</v>
      </c>
      <c r="AL724" t="n">
        <v>13</v>
      </c>
      <c r="AM724" t="n">
        <v>13</v>
      </c>
      <c r="AN724" t="n">
        <v>5</v>
      </c>
      <c r="AO724" t="n">
        <v>5</v>
      </c>
      <c r="AP724" t="n">
        <v>0</v>
      </c>
      <c r="AQ724" t="n">
        <v>0</v>
      </c>
      <c r="AR724" t="inlineStr">
        <is>
          <t>No</t>
        </is>
      </c>
      <c r="AS724" t="inlineStr">
        <is>
          <t>Yes</t>
        </is>
      </c>
      <c r="AT724">
        <f>HYPERLINK("http://catalog.hathitrust.org/Record/000479970","HathiTrust Record")</f>
        <v/>
      </c>
      <c r="AU724">
        <f>HYPERLINK("https://creighton-primo.hosted.exlibrisgroup.com/primo-explore/search?tab=default_tab&amp;search_scope=EVERYTHING&amp;vid=01CRU&amp;lang=en_US&amp;offset=0&amp;query=any,contains,991000666269702656","Catalog Record")</f>
        <v/>
      </c>
      <c r="AV724">
        <f>HYPERLINK("http://www.worldcat.org/oclc/12285471","WorldCat Record")</f>
        <v/>
      </c>
      <c r="AW724" t="inlineStr">
        <is>
          <t>197712912:eng</t>
        </is>
      </c>
      <c r="AX724" t="inlineStr">
        <is>
          <t>12285471</t>
        </is>
      </c>
      <c r="AY724" t="inlineStr">
        <is>
          <t>991000666269702656</t>
        </is>
      </c>
      <c r="AZ724" t="inlineStr">
        <is>
          <t>991000666269702656</t>
        </is>
      </c>
      <c r="BA724" t="inlineStr">
        <is>
          <t>2255482080002656</t>
        </is>
      </c>
      <c r="BB724" t="inlineStr">
        <is>
          <t>BOOK</t>
        </is>
      </c>
      <c r="BD724" t="inlineStr">
        <is>
          <t>9780192891662</t>
        </is>
      </c>
      <c r="BE724" t="inlineStr">
        <is>
          <t>32285000027044</t>
        </is>
      </c>
      <c r="BF724" t="inlineStr">
        <is>
          <t>893865569</t>
        </is>
      </c>
    </row>
    <row r="725">
      <c r="A725" t="inlineStr">
        <is>
          <t>No</t>
        </is>
      </c>
      <c r="B725" t="inlineStr">
        <is>
          <t>CURAL</t>
        </is>
      </c>
      <c r="C725" t="inlineStr">
        <is>
          <t>SHELVES</t>
        </is>
      </c>
      <c r="D725" t="inlineStr">
        <is>
          <t>PR2976 .E53 1980</t>
        </is>
      </c>
      <c r="E725" t="inlineStr">
        <is>
          <t>0                      PR 2976000E  53          1980</t>
        </is>
      </c>
      <c r="F725" t="inlineStr">
        <is>
          <t>Shakespeare's drama / Una Ellis-Fermor ; edited by Kenneth Muir.</t>
        </is>
      </c>
      <c r="H725" t="inlineStr">
        <is>
          <t>No</t>
        </is>
      </c>
      <c r="I725" t="inlineStr">
        <is>
          <t>1</t>
        </is>
      </c>
      <c r="J725" t="inlineStr">
        <is>
          <t>No</t>
        </is>
      </c>
      <c r="K725" t="inlineStr">
        <is>
          <t>No</t>
        </is>
      </c>
      <c r="L725" t="inlineStr">
        <is>
          <t>0</t>
        </is>
      </c>
      <c r="M725" t="inlineStr">
        <is>
          <t>Ellis-Fermor, Una Mary, 1894-1958.</t>
        </is>
      </c>
      <c r="N725" t="inlineStr">
        <is>
          <t>London ; New York : Methuen, 1980.</t>
        </is>
      </c>
      <c r="O725" t="inlineStr">
        <is>
          <t>1980</t>
        </is>
      </c>
      <c r="Q725" t="inlineStr">
        <is>
          <t>eng</t>
        </is>
      </c>
      <c r="R725" t="inlineStr">
        <is>
          <t>enk</t>
        </is>
      </c>
      <c r="T725" t="inlineStr">
        <is>
          <t xml:space="preserve">PR </t>
        </is>
      </c>
      <c r="U725" t="n">
        <v>1</v>
      </c>
      <c r="V725" t="n">
        <v>1</v>
      </c>
      <c r="W725" t="inlineStr">
        <is>
          <t>2001-07-12</t>
        </is>
      </c>
      <c r="X725" t="inlineStr">
        <is>
          <t>2001-07-12</t>
        </is>
      </c>
      <c r="Y725" t="inlineStr">
        <is>
          <t>2001-07-12</t>
        </is>
      </c>
      <c r="Z725" t="inlineStr">
        <is>
          <t>2001-07-12</t>
        </is>
      </c>
      <c r="AA725" t="n">
        <v>413</v>
      </c>
      <c r="AB725" t="n">
        <v>251</v>
      </c>
      <c r="AC725" t="n">
        <v>263</v>
      </c>
      <c r="AD725" t="n">
        <v>4</v>
      </c>
      <c r="AE725" t="n">
        <v>4</v>
      </c>
      <c r="AF725" t="n">
        <v>12</v>
      </c>
      <c r="AG725" t="n">
        <v>12</v>
      </c>
      <c r="AH725" t="n">
        <v>4</v>
      </c>
      <c r="AI725" t="n">
        <v>4</v>
      </c>
      <c r="AJ725" t="n">
        <v>1</v>
      </c>
      <c r="AK725" t="n">
        <v>1</v>
      </c>
      <c r="AL725" t="n">
        <v>6</v>
      </c>
      <c r="AM725" t="n">
        <v>6</v>
      </c>
      <c r="AN725" t="n">
        <v>3</v>
      </c>
      <c r="AO725" t="n">
        <v>3</v>
      </c>
      <c r="AP725" t="n">
        <v>0</v>
      </c>
      <c r="AQ725" t="n">
        <v>0</v>
      </c>
      <c r="AR725" t="inlineStr">
        <is>
          <t>No</t>
        </is>
      </c>
      <c r="AS725" t="inlineStr">
        <is>
          <t>Yes</t>
        </is>
      </c>
      <c r="AT725">
        <f>HYPERLINK("http://catalog.hathitrust.org/Record/000353418","HathiTrust Record")</f>
        <v/>
      </c>
      <c r="AU725">
        <f>HYPERLINK("https://creighton-primo.hosted.exlibrisgroup.com/primo-explore/search?tab=default_tab&amp;search_scope=EVERYTHING&amp;vid=01CRU&amp;lang=en_US&amp;offset=0&amp;query=any,contains,991003567929702656","Catalog Record")</f>
        <v/>
      </c>
      <c r="AV725">
        <f>HYPERLINK("http://www.worldcat.org/oclc/8052613","WorldCat Record")</f>
        <v/>
      </c>
      <c r="AW725" t="inlineStr">
        <is>
          <t>5092812866:eng</t>
        </is>
      </c>
      <c r="AX725" t="inlineStr">
        <is>
          <t>8052613</t>
        </is>
      </c>
      <c r="AY725" t="inlineStr">
        <is>
          <t>991003567929702656</t>
        </is>
      </c>
      <c r="AZ725" t="inlineStr">
        <is>
          <t>991003567929702656</t>
        </is>
      </c>
      <c r="BA725" t="inlineStr">
        <is>
          <t>2256384420002656</t>
        </is>
      </c>
      <c r="BB725" t="inlineStr">
        <is>
          <t>BOOK</t>
        </is>
      </c>
      <c r="BD725" t="inlineStr">
        <is>
          <t>9780416740905</t>
        </is>
      </c>
      <c r="BE725" t="inlineStr">
        <is>
          <t>32285004332200</t>
        </is>
      </c>
      <c r="BF725" t="inlineStr">
        <is>
          <t>893793745</t>
        </is>
      </c>
    </row>
    <row r="726">
      <c r="A726" t="inlineStr">
        <is>
          <t>No</t>
        </is>
      </c>
      <c r="B726" t="inlineStr">
        <is>
          <t>CURAL</t>
        </is>
      </c>
      <c r="C726" t="inlineStr">
        <is>
          <t>SHELVES</t>
        </is>
      </c>
      <c r="D726" t="inlineStr">
        <is>
          <t>PR2976 .F27 1987</t>
        </is>
      </c>
      <c r="E726" t="inlineStr">
        <is>
          <t>0                      PR 2976000F  27          1987</t>
        </is>
      </c>
      <c r="F726" t="inlineStr">
        <is>
          <t>Fanned and winnowed opinions : Shakespearean essays presented to Harold Jenkins / edited by John W. Mahon and Thomas A. Pendleton.</t>
        </is>
      </c>
      <c r="H726" t="inlineStr">
        <is>
          <t>No</t>
        </is>
      </c>
      <c r="I726" t="inlineStr">
        <is>
          <t>1</t>
        </is>
      </c>
      <c r="J726" t="inlineStr">
        <is>
          <t>No</t>
        </is>
      </c>
      <c r="K726" t="inlineStr">
        <is>
          <t>No</t>
        </is>
      </c>
      <c r="L726" t="inlineStr">
        <is>
          <t>0</t>
        </is>
      </c>
      <c r="N726" t="inlineStr">
        <is>
          <t>London ; New York : Methuen, 1987.</t>
        </is>
      </c>
      <c r="O726" t="inlineStr">
        <is>
          <t>1987</t>
        </is>
      </c>
      <c r="Q726" t="inlineStr">
        <is>
          <t>eng</t>
        </is>
      </c>
      <c r="R726" t="inlineStr">
        <is>
          <t>enk</t>
        </is>
      </c>
      <c r="T726" t="inlineStr">
        <is>
          <t xml:space="preserve">PR </t>
        </is>
      </c>
      <c r="U726" t="n">
        <v>4</v>
      </c>
      <c r="V726" t="n">
        <v>4</v>
      </c>
      <c r="W726" t="inlineStr">
        <is>
          <t>2006-11-27</t>
        </is>
      </c>
      <c r="X726" t="inlineStr">
        <is>
          <t>2006-11-27</t>
        </is>
      </c>
      <c r="Y726" t="inlineStr">
        <is>
          <t>1991-10-24</t>
        </is>
      </c>
      <c r="Z726" t="inlineStr">
        <is>
          <t>1991-10-24</t>
        </is>
      </c>
      <c r="AA726" t="n">
        <v>274</v>
      </c>
      <c r="AB726" t="n">
        <v>172</v>
      </c>
      <c r="AC726" t="n">
        <v>177</v>
      </c>
      <c r="AD726" t="n">
        <v>2</v>
      </c>
      <c r="AE726" t="n">
        <v>2</v>
      </c>
      <c r="AF726" t="n">
        <v>10</v>
      </c>
      <c r="AG726" t="n">
        <v>10</v>
      </c>
      <c r="AH726" t="n">
        <v>4</v>
      </c>
      <c r="AI726" t="n">
        <v>4</v>
      </c>
      <c r="AJ726" t="n">
        <v>2</v>
      </c>
      <c r="AK726" t="n">
        <v>2</v>
      </c>
      <c r="AL726" t="n">
        <v>8</v>
      </c>
      <c r="AM726" t="n">
        <v>8</v>
      </c>
      <c r="AN726" t="n">
        <v>1</v>
      </c>
      <c r="AO726" t="n">
        <v>1</v>
      </c>
      <c r="AP726" t="n">
        <v>0</v>
      </c>
      <c r="AQ726" t="n">
        <v>0</v>
      </c>
      <c r="AR726" t="inlineStr">
        <is>
          <t>No</t>
        </is>
      </c>
      <c r="AS726" t="inlineStr">
        <is>
          <t>No</t>
        </is>
      </c>
      <c r="AU726">
        <f>HYPERLINK("https://creighton-primo.hosted.exlibrisgroup.com/primo-explore/search?tab=default_tab&amp;search_scope=EVERYTHING&amp;vid=01CRU&amp;lang=en_US&amp;offset=0&amp;query=any,contains,991001048489702656","Catalog Record")</f>
        <v/>
      </c>
      <c r="AV726">
        <f>HYPERLINK("http://www.worldcat.org/oclc/15630748","WorldCat Record")</f>
        <v/>
      </c>
      <c r="AW726" t="inlineStr">
        <is>
          <t>836620481:eng</t>
        </is>
      </c>
      <c r="AX726" t="inlineStr">
        <is>
          <t>15630748</t>
        </is>
      </c>
      <c r="AY726" t="inlineStr">
        <is>
          <t>991001048489702656</t>
        </is>
      </c>
      <c r="AZ726" t="inlineStr">
        <is>
          <t>991001048489702656</t>
        </is>
      </c>
      <c r="BA726" t="inlineStr">
        <is>
          <t>2262368780002656</t>
        </is>
      </c>
      <c r="BB726" t="inlineStr">
        <is>
          <t>BOOK</t>
        </is>
      </c>
      <c r="BD726" t="inlineStr">
        <is>
          <t>9780416004229</t>
        </is>
      </c>
      <c r="BE726" t="inlineStr">
        <is>
          <t>32285000800820</t>
        </is>
      </c>
      <c r="BF726" t="inlineStr">
        <is>
          <t>893351758</t>
        </is>
      </c>
    </row>
    <row r="727">
      <c r="A727" t="inlineStr">
        <is>
          <t>No</t>
        </is>
      </c>
      <c r="B727" t="inlineStr">
        <is>
          <t>CURAL</t>
        </is>
      </c>
      <c r="C727" t="inlineStr">
        <is>
          <t>SHELVES</t>
        </is>
      </c>
      <c r="D727" t="inlineStr">
        <is>
          <t>PR2976 .G37 1987</t>
        </is>
      </c>
      <c r="E727" t="inlineStr">
        <is>
          <t>0                      PR 2976000G  37          1987</t>
        </is>
      </c>
      <c r="F727" t="inlineStr">
        <is>
          <t>Shakespeare's ghost writers : literature as uncanny causality / Marjorie Garber.</t>
        </is>
      </c>
      <c r="H727" t="inlineStr">
        <is>
          <t>No</t>
        </is>
      </c>
      <c r="I727" t="inlineStr">
        <is>
          <t>1</t>
        </is>
      </c>
      <c r="J727" t="inlineStr">
        <is>
          <t>No</t>
        </is>
      </c>
      <c r="K727" t="inlineStr">
        <is>
          <t>No</t>
        </is>
      </c>
      <c r="L727" t="inlineStr">
        <is>
          <t>0</t>
        </is>
      </c>
      <c r="M727" t="inlineStr">
        <is>
          <t>Garber, Marjorie B.</t>
        </is>
      </c>
      <c r="N727" t="inlineStr">
        <is>
          <t>New York : Methuen, 1987.</t>
        </is>
      </c>
      <c r="O727" t="inlineStr">
        <is>
          <t>1987</t>
        </is>
      </c>
      <c r="Q727" t="inlineStr">
        <is>
          <t>eng</t>
        </is>
      </c>
      <c r="R727" t="inlineStr">
        <is>
          <t>nyu</t>
        </is>
      </c>
      <c r="T727" t="inlineStr">
        <is>
          <t xml:space="preserve">PR </t>
        </is>
      </c>
      <c r="U727" t="n">
        <v>6</v>
      </c>
      <c r="V727" t="n">
        <v>6</v>
      </c>
      <c r="W727" t="inlineStr">
        <is>
          <t>2008-06-03</t>
        </is>
      </c>
      <c r="X727" t="inlineStr">
        <is>
          <t>2008-06-03</t>
        </is>
      </c>
      <c r="Y727" t="inlineStr">
        <is>
          <t>1990-11-27</t>
        </is>
      </c>
      <c r="Z727" t="inlineStr">
        <is>
          <t>1990-11-27</t>
        </is>
      </c>
      <c r="AA727" t="n">
        <v>444</v>
      </c>
      <c r="AB727" t="n">
        <v>318</v>
      </c>
      <c r="AC727" t="n">
        <v>420</v>
      </c>
      <c r="AD727" t="n">
        <v>3</v>
      </c>
      <c r="AE727" t="n">
        <v>4</v>
      </c>
      <c r="AF727" t="n">
        <v>18</v>
      </c>
      <c r="AG727" t="n">
        <v>21</v>
      </c>
      <c r="AH727" t="n">
        <v>7</v>
      </c>
      <c r="AI727" t="n">
        <v>8</v>
      </c>
      <c r="AJ727" t="n">
        <v>6</v>
      </c>
      <c r="AK727" t="n">
        <v>6</v>
      </c>
      <c r="AL727" t="n">
        <v>8</v>
      </c>
      <c r="AM727" t="n">
        <v>9</v>
      </c>
      <c r="AN727" t="n">
        <v>2</v>
      </c>
      <c r="AO727" t="n">
        <v>3</v>
      </c>
      <c r="AP727" t="n">
        <v>0</v>
      </c>
      <c r="AQ727" t="n">
        <v>0</v>
      </c>
      <c r="AR727" t="inlineStr">
        <is>
          <t>No</t>
        </is>
      </c>
      <c r="AS727" t="inlineStr">
        <is>
          <t>Yes</t>
        </is>
      </c>
      <c r="AT727">
        <f>HYPERLINK("http://catalog.hathitrust.org/Record/000845268","HathiTrust Record")</f>
        <v/>
      </c>
      <c r="AU727">
        <f>HYPERLINK("https://creighton-primo.hosted.exlibrisgroup.com/primo-explore/search?tab=default_tab&amp;search_scope=EVERYTHING&amp;vid=01CRU&amp;lang=en_US&amp;offset=0&amp;query=any,contains,991001107629702656","Catalog Record")</f>
        <v/>
      </c>
      <c r="AV727">
        <f>HYPERLINK("http://www.worldcat.org/oclc/16406402","WorldCat Record")</f>
        <v/>
      </c>
      <c r="AW727" t="inlineStr">
        <is>
          <t>11987995:eng</t>
        </is>
      </c>
      <c r="AX727" t="inlineStr">
        <is>
          <t>16406402</t>
        </is>
      </c>
      <c r="AY727" t="inlineStr">
        <is>
          <t>991001107629702656</t>
        </is>
      </c>
      <c r="AZ727" t="inlineStr">
        <is>
          <t>991001107629702656</t>
        </is>
      </c>
      <c r="BA727" t="inlineStr">
        <is>
          <t>2263686440002656</t>
        </is>
      </c>
      <c r="BB727" t="inlineStr">
        <is>
          <t>BOOK</t>
        </is>
      </c>
      <c r="BD727" t="inlineStr">
        <is>
          <t>9780416091229</t>
        </is>
      </c>
      <c r="BE727" t="inlineStr">
        <is>
          <t>32285000357326</t>
        </is>
      </c>
      <c r="BF727" t="inlineStr">
        <is>
          <t>893690344</t>
        </is>
      </c>
    </row>
    <row r="728">
      <c r="A728" t="inlineStr">
        <is>
          <t>No</t>
        </is>
      </c>
      <c r="B728" t="inlineStr">
        <is>
          <t>CURAL</t>
        </is>
      </c>
      <c r="C728" t="inlineStr">
        <is>
          <t>SHELVES</t>
        </is>
      </c>
      <c r="D728" t="inlineStr">
        <is>
          <t>PR2976 .G668 1974</t>
        </is>
      </c>
      <c r="E728" t="inlineStr">
        <is>
          <t>0                      PR 2976000G  668         1974</t>
        </is>
      </c>
      <c r="F728" t="inlineStr">
        <is>
          <t>More prefaces to Shakespeare: A midsummer night's dream. The winter's tale. Twelfth night. Macbeth. "From Henry V to Hamlet." Edited by Edward M. Moore.</t>
        </is>
      </c>
      <c r="H728" t="inlineStr">
        <is>
          <t>No</t>
        </is>
      </c>
      <c r="I728" t="inlineStr">
        <is>
          <t>1</t>
        </is>
      </c>
      <c r="J728" t="inlineStr">
        <is>
          <t>No</t>
        </is>
      </c>
      <c r="K728" t="inlineStr">
        <is>
          <t>No</t>
        </is>
      </c>
      <c r="L728" t="inlineStr">
        <is>
          <t>0</t>
        </is>
      </c>
      <c r="M728" t="inlineStr">
        <is>
          <t>Granville-Barker, Harley, 1877-1946.</t>
        </is>
      </c>
      <c r="N728" t="inlineStr">
        <is>
          <t>Princeton, N.J., Princeton University Press [1974]</t>
        </is>
      </c>
      <c r="O728" t="inlineStr">
        <is>
          <t>1974</t>
        </is>
      </c>
      <c r="Q728" t="inlineStr">
        <is>
          <t>eng</t>
        </is>
      </c>
      <c r="R728" t="inlineStr">
        <is>
          <t>nju</t>
        </is>
      </c>
      <c r="T728" t="inlineStr">
        <is>
          <t xml:space="preserve">PR </t>
        </is>
      </c>
      <c r="U728" t="n">
        <v>2</v>
      </c>
      <c r="V728" t="n">
        <v>2</v>
      </c>
      <c r="W728" t="inlineStr">
        <is>
          <t>1998-05-28</t>
        </is>
      </c>
      <c r="X728" t="inlineStr">
        <is>
          <t>1998-05-28</t>
        </is>
      </c>
      <c r="Y728" t="inlineStr">
        <is>
          <t>1997-08-05</t>
        </is>
      </c>
      <c r="Z728" t="inlineStr">
        <is>
          <t>1997-08-05</t>
        </is>
      </c>
      <c r="AA728" t="n">
        <v>971</v>
      </c>
      <c r="AB728" t="n">
        <v>893</v>
      </c>
      <c r="AC728" t="n">
        <v>926</v>
      </c>
      <c r="AD728" t="n">
        <v>8</v>
      </c>
      <c r="AE728" t="n">
        <v>9</v>
      </c>
      <c r="AF728" t="n">
        <v>35</v>
      </c>
      <c r="AG728" t="n">
        <v>37</v>
      </c>
      <c r="AH728" t="n">
        <v>14</v>
      </c>
      <c r="AI728" t="n">
        <v>14</v>
      </c>
      <c r="AJ728" t="n">
        <v>8</v>
      </c>
      <c r="AK728" t="n">
        <v>9</v>
      </c>
      <c r="AL728" t="n">
        <v>15</v>
      </c>
      <c r="AM728" t="n">
        <v>16</v>
      </c>
      <c r="AN728" t="n">
        <v>6</v>
      </c>
      <c r="AO728" t="n">
        <v>7</v>
      </c>
      <c r="AP728" t="n">
        <v>0</v>
      </c>
      <c r="AQ728" t="n">
        <v>0</v>
      </c>
      <c r="AR728" t="inlineStr">
        <is>
          <t>No</t>
        </is>
      </c>
      <c r="AS728" t="inlineStr">
        <is>
          <t>No</t>
        </is>
      </c>
      <c r="AU728">
        <f>HYPERLINK("https://creighton-primo.hosted.exlibrisgroup.com/primo-explore/search?tab=default_tab&amp;search_scope=EVERYTHING&amp;vid=01CRU&amp;lang=en_US&amp;offset=0&amp;query=any,contains,991003434249702656","Catalog Record")</f>
        <v/>
      </c>
      <c r="AV728">
        <f>HYPERLINK("http://www.worldcat.org/oclc/969458","WorldCat Record")</f>
        <v/>
      </c>
      <c r="AW728" t="inlineStr">
        <is>
          <t>3857358898:eng</t>
        </is>
      </c>
      <c r="AX728" t="inlineStr">
        <is>
          <t>969458</t>
        </is>
      </c>
      <c r="AY728" t="inlineStr">
        <is>
          <t>991003434249702656</t>
        </is>
      </c>
      <c r="AZ728" t="inlineStr">
        <is>
          <t>991003434249702656</t>
        </is>
      </c>
      <c r="BA728" t="inlineStr">
        <is>
          <t>2260855870002656</t>
        </is>
      </c>
      <c r="BB728" t="inlineStr">
        <is>
          <t>BOOK</t>
        </is>
      </c>
      <c r="BD728" t="inlineStr">
        <is>
          <t>9780691071664</t>
        </is>
      </c>
      <c r="BE728" t="inlineStr">
        <is>
          <t>32285002999984</t>
        </is>
      </c>
      <c r="BF728" t="inlineStr">
        <is>
          <t>893410270</t>
        </is>
      </c>
    </row>
    <row r="729">
      <c r="A729" t="inlineStr">
        <is>
          <t>No</t>
        </is>
      </c>
      <c r="B729" t="inlineStr">
        <is>
          <t>CURAL</t>
        </is>
      </c>
      <c r="C729" t="inlineStr">
        <is>
          <t>SHELVES</t>
        </is>
      </c>
      <c r="D729" t="inlineStr">
        <is>
          <t>PR2976 .G673 1965</t>
        </is>
      </c>
      <c r="E729" t="inlineStr">
        <is>
          <t>0                      PR 2976000G  673         1965</t>
        </is>
      </c>
      <c r="F729" t="inlineStr">
        <is>
          <t>Prefaces to Shakespeare / by Harley Granville-Baker; with illustrations and notes by M. St. Clare Byrne.</t>
        </is>
      </c>
      <c r="G729" t="inlineStr">
        <is>
          <t>V.2</t>
        </is>
      </c>
      <c r="H729" t="inlineStr">
        <is>
          <t>Yes</t>
        </is>
      </c>
      <c r="I729" t="inlineStr">
        <is>
          <t>1</t>
        </is>
      </c>
      <c r="J729" t="inlineStr">
        <is>
          <t>No</t>
        </is>
      </c>
      <c r="K729" t="inlineStr">
        <is>
          <t>No</t>
        </is>
      </c>
      <c r="L729" t="inlineStr">
        <is>
          <t>0</t>
        </is>
      </c>
      <c r="M729" t="inlineStr">
        <is>
          <t>Granville-Barker, Harley, 1877-1946.</t>
        </is>
      </c>
      <c r="N729" t="inlineStr">
        <is>
          <t>Princeton, N.J. : Princeton University Press, [1965,c1963]</t>
        </is>
      </c>
      <c r="O729" t="inlineStr">
        <is>
          <t>1965</t>
        </is>
      </c>
      <c r="Q729" t="inlineStr">
        <is>
          <t>eng</t>
        </is>
      </c>
      <c r="R729" t="inlineStr">
        <is>
          <t>___</t>
        </is>
      </c>
      <c r="S729" t="inlineStr">
        <is>
          <t>Princeton paperbacks. Literature, 23</t>
        </is>
      </c>
      <c r="T729" t="inlineStr">
        <is>
          <t xml:space="preserve">PR </t>
        </is>
      </c>
      <c r="U729" t="n">
        <v>0</v>
      </c>
      <c r="V729" t="n">
        <v>4</v>
      </c>
      <c r="X729" t="inlineStr">
        <is>
          <t>1992-01-09</t>
        </is>
      </c>
      <c r="Y729" t="inlineStr">
        <is>
          <t>1991-10-24</t>
        </is>
      </c>
      <c r="Z729" t="inlineStr">
        <is>
          <t>1991-10-24</t>
        </is>
      </c>
      <c r="AA729" t="n">
        <v>265</v>
      </c>
      <c r="AB729" t="n">
        <v>246</v>
      </c>
      <c r="AC729" t="n">
        <v>731</v>
      </c>
      <c r="AD729" t="n">
        <v>3</v>
      </c>
      <c r="AE729" t="n">
        <v>5</v>
      </c>
      <c r="AF729" t="n">
        <v>9</v>
      </c>
      <c r="AG729" t="n">
        <v>20</v>
      </c>
      <c r="AH729" t="n">
        <v>2</v>
      </c>
      <c r="AI729" t="n">
        <v>6</v>
      </c>
      <c r="AJ729" t="n">
        <v>1</v>
      </c>
      <c r="AK729" t="n">
        <v>6</v>
      </c>
      <c r="AL729" t="n">
        <v>6</v>
      </c>
      <c r="AM729" t="n">
        <v>8</v>
      </c>
      <c r="AN729" t="n">
        <v>2</v>
      </c>
      <c r="AO729" t="n">
        <v>4</v>
      </c>
      <c r="AP729" t="n">
        <v>0</v>
      </c>
      <c r="AQ729" t="n">
        <v>0</v>
      </c>
      <c r="AR729" t="inlineStr">
        <is>
          <t>No</t>
        </is>
      </c>
      <c r="AS729" t="inlineStr">
        <is>
          <t>Yes</t>
        </is>
      </c>
      <c r="AT729">
        <f>HYPERLINK("http://catalog.hathitrust.org/Record/007479662","HathiTrust Record")</f>
        <v/>
      </c>
      <c r="AU729">
        <f>HYPERLINK("https://creighton-primo.hosted.exlibrisgroup.com/primo-explore/search?tab=default_tab&amp;search_scope=EVERYTHING&amp;vid=01CRU&amp;lang=en_US&amp;offset=0&amp;query=any,contains,991003235609702656","Catalog Record")</f>
        <v/>
      </c>
      <c r="AV729">
        <f>HYPERLINK("http://www.worldcat.org/oclc/760223","WorldCat Record")</f>
        <v/>
      </c>
      <c r="AW729" t="inlineStr">
        <is>
          <t>4925833449:eng</t>
        </is>
      </c>
      <c r="AX729" t="inlineStr">
        <is>
          <t>760223</t>
        </is>
      </c>
      <c r="AY729" t="inlineStr">
        <is>
          <t>991003235609702656</t>
        </is>
      </c>
      <c r="AZ729" t="inlineStr">
        <is>
          <t>991003235609702656</t>
        </is>
      </c>
      <c r="BA729" t="inlineStr">
        <is>
          <t>2266312130002656</t>
        </is>
      </c>
      <c r="BB729" t="inlineStr">
        <is>
          <t>BOOK</t>
        </is>
      </c>
      <c r="BE729" t="inlineStr">
        <is>
          <t>32285000800838</t>
        </is>
      </c>
      <c r="BF729" t="inlineStr">
        <is>
          <t>893499084</t>
        </is>
      </c>
    </row>
    <row r="730">
      <c r="A730" t="inlineStr">
        <is>
          <t>No</t>
        </is>
      </c>
      <c r="B730" t="inlineStr">
        <is>
          <t>CURAL</t>
        </is>
      </c>
      <c r="C730" t="inlineStr">
        <is>
          <t>SHELVES</t>
        </is>
      </c>
      <c r="D730" t="inlineStr">
        <is>
          <t>PR2976 .G673 1965</t>
        </is>
      </c>
      <c r="E730" t="inlineStr">
        <is>
          <t>0                      PR 2976000G  673         1965</t>
        </is>
      </c>
      <c r="F730" t="inlineStr">
        <is>
          <t>Prefaces to Shakespeare / by Harley Granville-Baker; with illustrations and notes by M. St. Clare Byrne.</t>
        </is>
      </c>
      <c r="G730" t="inlineStr">
        <is>
          <t>V.3</t>
        </is>
      </c>
      <c r="H730" t="inlineStr">
        <is>
          <t>Yes</t>
        </is>
      </c>
      <c r="I730" t="inlineStr">
        <is>
          <t>1</t>
        </is>
      </c>
      <c r="J730" t="inlineStr">
        <is>
          <t>No</t>
        </is>
      </c>
      <c r="K730" t="inlineStr">
        <is>
          <t>No</t>
        </is>
      </c>
      <c r="L730" t="inlineStr">
        <is>
          <t>0</t>
        </is>
      </c>
      <c r="M730" t="inlineStr">
        <is>
          <t>Granville-Barker, Harley, 1877-1946.</t>
        </is>
      </c>
      <c r="N730" t="inlineStr">
        <is>
          <t>Princeton, N.J. : Princeton University Press, [1965,c1963]</t>
        </is>
      </c>
      <c r="O730" t="inlineStr">
        <is>
          <t>1965</t>
        </is>
      </c>
      <c r="Q730" t="inlineStr">
        <is>
          <t>eng</t>
        </is>
      </c>
      <c r="R730" t="inlineStr">
        <is>
          <t>___</t>
        </is>
      </c>
      <c r="S730" t="inlineStr">
        <is>
          <t>Princeton paperbacks. Literature, 23</t>
        </is>
      </c>
      <c r="T730" t="inlineStr">
        <is>
          <t xml:space="preserve">PR </t>
        </is>
      </c>
      <c r="U730" t="n">
        <v>3</v>
      </c>
      <c r="V730" t="n">
        <v>4</v>
      </c>
      <c r="W730" t="inlineStr">
        <is>
          <t>1992-01-09</t>
        </is>
      </c>
      <c r="X730" t="inlineStr">
        <is>
          <t>1992-01-09</t>
        </is>
      </c>
      <c r="Y730" t="inlineStr">
        <is>
          <t>1991-10-24</t>
        </is>
      </c>
      <c r="Z730" t="inlineStr">
        <is>
          <t>1991-10-24</t>
        </is>
      </c>
      <c r="AA730" t="n">
        <v>265</v>
      </c>
      <c r="AB730" t="n">
        <v>246</v>
      </c>
      <c r="AC730" t="n">
        <v>731</v>
      </c>
      <c r="AD730" t="n">
        <v>3</v>
      </c>
      <c r="AE730" t="n">
        <v>5</v>
      </c>
      <c r="AF730" t="n">
        <v>9</v>
      </c>
      <c r="AG730" t="n">
        <v>20</v>
      </c>
      <c r="AH730" t="n">
        <v>2</v>
      </c>
      <c r="AI730" t="n">
        <v>6</v>
      </c>
      <c r="AJ730" t="n">
        <v>1</v>
      </c>
      <c r="AK730" t="n">
        <v>6</v>
      </c>
      <c r="AL730" t="n">
        <v>6</v>
      </c>
      <c r="AM730" t="n">
        <v>8</v>
      </c>
      <c r="AN730" t="n">
        <v>2</v>
      </c>
      <c r="AO730" t="n">
        <v>4</v>
      </c>
      <c r="AP730" t="n">
        <v>0</v>
      </c>
      <c r="AQ730" t="n">
        <v>0</v>
      </c>
      <c r="AR730" t="inlineStr">
        <is>
          <t>No</t>
        </is>
      </c>
      <c r="AS730" t="inlineStr">
        <is>
          <t>Yes</t>
        </is>
      </c>
      <c r="AT730">
        <f>HYPERLINK("http://catalog.hathitrust.org/Record/007479662","HathiTrust Record")</f>
        <v/>
      </c>
      <c r="AU730">
        <f>HYPERLINK("https://creighton-primo.hosted.exlibrisgroup.com/primo-explore/search?tab=default_tab&amp;search_scope=EVERYTHING&amp;vid=01CRU&amp;lang=en_US&amp;offset=0&amp;query=any,contains,991003235609702656","Catalog Record")</f>
        <v/>
      </c>
      <c r="AV730">
        <f>HYPERLINK("http://www.worldcat.org/oclc/760223","WorldCat Record")</f>
        <v/>
      </c>
      <c r="AW730" t="inlineStr">
        <is>
          <t>4925833449:eng</t>
        </is>
      </c>
      <c r="AX730" t="inlineStr">
        <is>
          <t>760223</t>
        </is>
      </c>
      <c r="AY730" t="inlineStr">
        <is>
          <t>991003235609702656</t>
        </is>
      </c>
      <c r="AZ730" t="inlineStr">
        <is>
          <t>991003235609702656</t>
        </is>
      </c>
      <c r="BA730" t="inlineStr">
        <is>
          <t>2266312130002656</t>
        </is>
      </c>
      <c r="BB730" t="inlineStr">
        <is>
          <t>BOOK</t>
        </is>
      </c>
      <c r="BE730" t="inlineStr">
        <is>
          <t>32285000800846</t>
        </is>
      </c>
      <c r="BF730" t="inlineStr">
        <is>
          <t>893530983</t>
        </is>
      </c>
    </row>
    <row r="731">
      <c r="A731" t="inlineStr">
        <is>
          <t>No</t>
        </is>
      </c>
      <c r="B731" t="inlineStr">
        <is>
          <t>CURAL</t>
        </is>
      </c>
      <c r="C731" t="inlineStr">
        <is>
          <t>SHELVES</t>
        </is>
      </c>
      <c r="D731" t="inlineStr">
        <is>
          <t>PR2976 .G673 1965</t>
        </is>
      </c>
      <c r="E731" t="inlineStr">
        <is>
          <t>0                      PR 2976000G  673         1965</t>
        </is>
      </c>
      <c r="F731" t="inlineStr">
        <is>
          <t>Prefaces to Shakespeare / by Harley Granville-Baker; with illustrations and notes by M. St. Clare Byrne.</t>
        </is>
      </c>
      <c r="G731" t="inlineStr">
        <is>
          <t>V.4</t>
        </is>
      </c>
      <c r="H731" t="inlineStr">
        <is>
          <t>Yes</t>
        </is>
      </c>
      <c r="I731" t="inlineStr">
        <is>
          <t>1</t>
        </is>
      </c>
      <c r="J731" t="inlineStr">
        <is>
          <t>No</t>
        </is>
      </c>
      <c r="K731" t="inlineStr">
        <is>
          <t>No</t>
        </is>
      </c>
      <c r="L731" t="inlineStr">
        <is>
          <t>0</t>
        </is>
      </c>
      <c r="M731" t="inlineStr">
        <is>
          <t>Granville-Barker, Harley, 1877-1946.</t>
        </is>
      </c>
      <c r="N731" t="inlineStr">
        <is>
          <t>Princeton, N.J. : Princeton University Press, [1965,c1963]</t>
        </is>
      </c>
      <c r="O731" t="inlineStr">
        <is>
          <t>1965</t>
        </is>
      </c>
      <c r="Q731" t="inlineStr">
        <is>
          <t>eng</t>
        </is>
      </c>
      <c r="R731" t="inlineStr">
        <is>
          <t>___</t>
        </is>
      </c>
      <c r="S731" t="inlineStr">
        <is>
          <t>Princeton paperbacks. Literature, 23</t>
        </is>
      </c>
      <c r="T731" t="inlineStr">
        <is>
          <t xml:space="preserve">PR </t>
        </is>
      </c>
      <c r="U731" t="n">
        <v>1</v>
      </c>
      <c r="V731" t="n">
        <v>4</v>
      </c>
      <c r="X731" t="inlineStr">
        <is>
          <t>1992-01-09</t>
        </is>
      </c>
      <c r="Y731" t="inlineStr">
        <is>
          <t>1991-10-24</t>
        </is>
      </c>
      <c r="Z731" t="inlineStr">
        <is>
          <t>1991-10-24</t>
        </is>
      </c>
      <c r="AA731" t="n">
        <v>265</v>
      </c>
      <c r="AB731" t="n">
        <v>246</v>
      </c>
      <c r="AC731" t="n">
        <v>731</v>
      </c>
      <c r="AD731" t="n">
        <v>3</v>
      </c>
      <c r="AE731" t="n">
        <v>5</v>
      </c>
      <c r="AF731" t="n">
        <v>9</v>
      </c>
      <c r="AG731" t="n">
        <v>20</v>
      </c>
      <c r="AH731" t="n">
        <v>2</v>
      </c>
      <c r="AI731" t="n">
        <v>6</v>
      </c>
      <c r="AJ731" t="n">
        <v>1</v>
      </c>
      <c r="AK731" t="n">
        <v>6</v>
      </c>
      <c r="AL731" t="n">
        <v>6</v>
      </c>
      <c r="AM731" t="n">
        <v>8</v>
      </c>
      <c r="AN731" t="n">
        <v>2</v>
      </c>
      <c r="AO731" t="n">
        <v>4</v>
      </c>
      <c r="AP731" t="n">
        <v>0</v>
      </c>
      <c r="AQ731" t="n">
        <v>0</v>
      </c>
      <c r="AR731" t="inlineStr">
        <is>
          <t>No</t>
        </is>
      </c>
      <c r="AS731" t="inlineStr">
        <is>
          <t>Yes</t>
        </is>
      </c>
      <c r="AT731">
        <f>HYPERLINK("http://catalog.hathitrust.org/Record/007479662","HathiTrust Record")</f>
        <v/>
      </c>
      <c r="AU731">
        <f>HYPERLINK("https://creighton-primo.hosted.exlibrisgroup.com/primo-explore/search?tab=default_tab&amp;search_scope=EVERYTHING&amp;vid=01CRU&amp;lang=en_US&amp;offset=0&amp;query=any,contains,991003235609702656","Catalog Record")</f>
        <v/>
      </c>
      <c r="AV731">
        <f>HYPERLINK("http://www.worldcat.org/oclc/760223","WorldCat Record")</f>
        <v/>
      </c>
      <c r="AW731" t="inlineStr">
        <is>
          <t>4925833449:eng</t>
        </is>
      </c>
      <c r="AX731" t="inlineStr">
        <is>
          <t>760223</t>
        </is>
      </c>
      <c r="AY731" t="inlineStr">
        <is>
          <t>991003235609702656</t>
        </is>
      </c>
      <c r="AZ731" t="inlineStr">
        <is>
          <t>991003235609702656</t>
        </is>
      </c>
      <c r="BA731" t="inlineStr">
        <is>
          <t>2266312130002656</t>
        </is>
      </c>
      <c r="BB731" t="inlineStr">
        <is>
          <t>BOOK</t>
        </is>
      </c>
      <c r="BE731" t="inlineStr">
        <is>
          <t>32285000800853</t>
        </is>
      </c>
      <c r="BF731" t="inlineStr">
        <is>
          <t>893499085</t>
        </is>
      </c>
    </row>
    <row r="732">
      <c r="A732" t="inlineStr">
        <is>
          <t>No</t>
        </is>
      </c>
      <c r="B732" t="inlineStr">
        <is>
          <t>CURAL</t>
        </is>
      </c>
      <c r="C732" t="inlineStr">
        <is>
          <t>SHELVES</t>
        </is>
      </c>
      <c r="D732" t="inlineStr">
        <is>
          <t>PR2976 .G673 1974a, v...</t>
        </is>
      </c>
      <c r="E732" t="inlineStr">
        <is>
          <t>0                      PR 2976000G  673         1974a                                       v...</t>
        </is>
      </c>
      <c r="F732" t="inlineStr">
        <is>
          <t>Prefaces to Shakespeare / by Harley Granville-Barker.</t>
        </is>
      </c>
      <c r="G732" t="inlineStr">
        <is>
          <t>V. 1</t>
        </is>
      </c>
      <c r="H732" t="inlineStr">
        <is>
          <t>No</t>
        </is>
      </c>
      <c r="I732" t="inlineStr">
        <is>
          <t>1</t>
        </is>
      </c>
      <c r="J732" t="inlineStr">
        <is>
          <t>No</t>
        </is>
      </c>
      <c r="K732" t="inlineStr">
        <is>
          <t>No</t>
        </is>
      </c>
      <c r="L732" t="inlineStr">
        <is>
          <t>0</t>
        </is>
      </c>
      <c r="M732" t="inlineStr">
        <is>
          <t>Granville-Barker, Harley, 1877-1946.</t>
        </is>
      </c>
      <c r="N732" t="inlineStr">
        <is>
          <t>Princeton, New Jersey : Princeton University Press, c1974-</t>
        </is>
      </c>
      <c r="O732" t="inlineStr">
        <is>
          <t>1974</t>
        </is>
      </c>
      <c r="Q732" t="inlineStr">
        <is>
          <t>eng</t>
        </is>
      </c>
      <c r="R732" t="inlineStr">
        <is>
          <t xml:space="preserve">xx </t>
        </is>
      </c>
      <c r="T732" t="inlineStr">
        <is>
          <t xml:space="preserve">PR </t>
        </is>
      </c>
      <c r="U732" t="n">
        <v>3</v>
      </c>
      <c r="V732" t="n">
        <v>3</v>
      </c>
      <c r="W732" t="inlineStr">
        <is>
          <t>1992-05-13</t>
        </is>
      </c>
      <c r="X732" t="inlineStr">
        <is>
          <t>1992-05-13</t>
        </is>
      </c>
      <c r="Y732" t="inlineStr">
        <is>
          <t>1991-10-24</t>
        </is>
      </c>
      <c r="Z732" t="inlineStr">
        <is>
          <t>1991-10-24</t>
        </is>
      </c>
      <c r="AA732" t="n">
        <v>133</v>
      </c>
      <c r="AB732" t="n">
        <v>117</v>
      </c>
      <c r="AC732" t="n">
        <v>1351</v>
      </c>
      <c r="AD732" t="n">
        <v>1</v>
      </c>
      <c r="AE732" t="n">
        <v>12</v>
      </c>
      <c r="AF732" t="n">
        <v>4</v>
      </c>
      <c r="AG732" t="n">
        <v>54</v>
      </c>
      <c r="AH732" t="n">
        <v>3</v>
      </c>
      <c r="AI732" t="n">
        <v>24</v>
      </c>
      <c r="AJ732" t="n">
        <v>0</v>
      </c>
      <c r="AK732" t="n">
        <v>8</v>
      </c>
      <c r="AL732" t="n">
        <v>2</v>
      </c>
      <c r="AM732" t="n">
        <v>22</v>
      </c>
      <c r="AN732" t="n">
        <v>0</v>
      </c>
      <c r="AO732" t="n">
        <v>11</v>
      </c>
      <c r="AP732" t="n">
        <v>0</v>
      </c>
      <c r="AQ732" t="n">
        <v>0</v>
      </c>
      <c r="AR732" t="inlineStr">
        <is>
          <t>No</t>
        </is>
      </c>
      <c r="AS732" t="inlineStr">
        <is>
          <t>No</t>
        </is>
      </c>
      <c r="AU732">
        <f>HYPERLINK("https://creighton-primo.hosted.exlibrisgroup.com/primo-explore/search?tab=default_tab&amp;search_scope=EVERYTHING&amp;vid=01CRU&amp;lang=en_US&amp;offset=0&amp;query=any,contains,991004837329702656","Catalog Record")</f>
        <v/>
      </c>
      <c r="AV732">
        <f>HYPERLINK("http://www.worldcat.org/oclc/5461072","WorldCat Record")</f>
        <v/>
      </c>
      <c r="AW732" t="inlineStr">
        <is>
          <t>9565908602:eng</t>
        </is>
      </c>
      <c r="AX732" t="inlineStr">
        <is>
          <t>5461072</t>
        </is>
      </c>
      <c r="AY732" t="inlineStr">
        <is>
          <t>991004837329702656</t>
        </is>
      </c>
      <c r="AZ732" t="inlineStr">
        <is>
          <t>991004837329702656</t>
        </is>
      </c>
      <c r="BA732" t="inlineStr">
        <is>
          <t>2266148690002656</t>
        </is>
      </c>
      <c r="BB732" t="inlineStr">
        <is>
          <t>BOOK</t>
        </is>
      </c>
      <c r="BD732" t="inlineStr">
        <is>
          <t>9780691013503</t>
        </is>
      </c>
      <c r="BE732" t="inlineStr">
        <is>
          <t>32285000800861</t>
        </is>
      </c>
      <c r="BF732" t="inlineStr">
        <is>
          <t>893501008</t>
        </is>
      </c>
    </row>
    <row r="733">
      <c r="A733" t="inlineStr">
        <is>
          <t>No</t>
        </is>
      </c>
      <c r="B733" t="inlineStr">
        <is>
          <t>CURAL</t>
        </is>
      </c>
      <c r="C733" t="inlineStr">
        <is>
          <t>SHELVES</t>
        </is>
      </c>
      <c r="D733" t="inlineStr">
        <is>
          <t>PR2976 .G78</t>
        </is>
      </c>
      <c r="E733" t="inlineStr">
        <is>
          <t>0                      PR 2976000G  78</t>
        </is>
      </c>
      <c r="F733" t="inlineStr">
        <is>
          <t>Mighty opposites : Shakespeare and Renaissance contrariety / Robert Grudin.</t>
        </is>
      </c>
      <c r="H733" t="inlineStr">
        <is>
          <t>No</t>
        </is>
      </c>
      <c r="I733" t="inlineStr">
        <is>
          <t>1</t>
        </is>
      </c>
      <c r="J733" t="inlineStr">
        <is>
          <t>No</t>
        </is>
      </c>
      <c r="K733" t="inlineStr">
        <is>
          <t>No</t>
        </is>
      </c>
      <c r="L733" t="inlineStr">
        <is>
          <t>0</t>
        </is>
      </c>
      <c r="M733" t="inlineStr">
        <is>
          <t>Grudin, Robert.</t>
        </is>
      </c>
      <c r="N733" t="inlineStr">
        <is>
          <t>Berkeley : University of California Press, c1979.</t>
        </is>
      </c>
      <c r="O733" t="inlineStr">
        <is>
          <t>1979</t>
        </is>
      </c>
      <c r="Q733" t="inlineStr">
        <is>
          <t>eng</t>
        </is>
      </c>
      <c r="R733" t="inlineStr">
        <is>
          <t xml:space="preserve">xx </t>
        </is>
      </c>
      <c r="T733" t="inlineStr">
        <is>
          <t xml:space="preserve">PR </t>
        </is>
      </c>
      <c r="U733" t="n">
        <v>1</v>
      </c>
      <c r="V733" t="n">
        <v>1</v>
      </c>
      <c r="W733" t="inlineStr">
        <is>
          <t>1992-04-11</t>
        </is>
      </c>
      <c r="X733" t="inlineStr">
        <is>
          <t>1992-04-11</t>
        </is>
      </c>
      <c r="Y733" t="inlineStr">
        <is>
          <t>1991-10-24</t>
        </is>
      </c>
      <c r="Z733" t="inlineStr">
        <is>
          <t>1991-10-24</t>
        </is>
      </c>
      <c r="AA733" t="n">
        <v>556</v>
      </c>
      <c r="AB733" t="n">
        <v>441</v>
      </c>
      <c r="AC733" t="n">
        <v>442</v>
      </c>
      <c r="AD733" t="n">
        <v>3</v>
      </c>
      <c r="AE733" t="n">
        <v>3</v>
      </c>
      <c r="AF733" t="n">
        <v>25</v>
      </c>
      <c r="AG733" t="n">
        <v>25</v>
      </c>
      <c r="AH733" t="n">
        <v>7</v>
      </c>
      <c r="AI733" t="n">
        <v>7</v>
      </c>
      <c r="AJ733" t="n">
        <v>8</v>
      </c>
      <c r="AK733" t="n">
        <v>8</v>
      </c>
      <c r="AL733" t="n">
        <v>14</v>
      </c>
      <c r="AM733" t="n">
        <v>14</v>
      </c>
      <c r="AN733" t="n">
        <v>2</v>
      </c>
      <c r="AO733" t="n">
        <v>2</v>
      </c>
      <c r="AP733" t="n">
        <v>0</v>
      </c>
      <c r="AQ733" t="n">
        <v>0</v>
      </c>
      <c r="AR733" t="inlineStr">
        <is>
          <t>No</t>
        </is>
      </c>
      <c r="AS733" t="inlineStr">
        <is>
          <t>No</t>
        </is>
      </c>
      <c r="AU733">
        <f>HYPERLINK("https://creighton-primo.hosted.exlibrisgroup.com/primo-explore/search?tab=default_tab&amp;search_scope=EVERYTHING&amp;vid=01CRU&amp;lang=en_US&amp;offset=0&amp;query=any,contains,991004863149702656","Catalog Record")</f>
        <v/>
      </c>
      <c r="AV733">
        <f>HYPERLINK("http://www.worldcat.org/oclc/5722660","WorldCat Record")</f>
        <v/>
      </c>
      <c r="AW733" t="inlineStr">
        <is>
          <t>908529189:eng</t>
        </is>
      </c>
      <c r="AX733" t="inlineStr">
        <is>
          <t>5722660</t>
        </is>
      </c>
      <c r="AY733" t="inlineStr">
        <is>
          <t>991004863149702656</t>
        </is>
      </c>
      <c r="AZ733" t="inlineStr">
        <is>
          <t>991004863149702656</t>
        </is>
      </c>
      <c r="BA733" t="inlineStr">
        <is>
          <t>2261161880002656</t>
        </is>
      </c>
      <c r="BB733" t="inlineStr">
        <is>
          <t>BOOK</t>
        </is>
      </c>
      <c r="BD733" t="inlineStr">
        <is>
          <t>9780520036666</t>
        </is>
      </c>
      <c r="BE733" t="inlineStr">
        <is>
          <t>32285000800879</t>
        </is>
      </c>
      <c r="BF733" t="inlineStr">
        <is>
          <t>893619168</t>
        </is>
      </c>
    </row>
    <row r="734">
      <c r="A734" t="inlineStr">
        <is>
          <t>No</t>
        </is>
      </c>
      <c r="B734" t="inlineStr">
        <is>
          <t>CURAL</t>
        </is>
      </c>
      <c r="C734" t="inlineStr">
        <is>
          <t>SHELVES</t>
        </is>
      </c>
      <c r="D734" t="inlineStr">
        <is>
          <t>PR2976 .H29 1988</t>
        </is>
      </c>
      <c r="E734" t="inlineStr">
        <is>
          <t>0                      PR 2976000H  29          1988</t>
        </is>
      </c>
      <c r="F734" t="inlineStr">
        <is>
          <t>Shakespeare the theatre-poet / Robert Hapgood.</t>
        </is>
      </c>
      <c r="H734" t="inlineStr">
        <is>
          <t>No</t>
        </is>
      </c>
      <c r="I734" t="inlineStr">
        <is>
          <t>1</t>
        </is>
      </c>
      <c r="J734" t="inlineStr">
        <is>
          <t>No</t>
        </is>
      </c>
      <c r="K734" t="inlineStr">
        <is>
          <t>No</t>
        </is>
      </c>
      <c r="L734" t="inlineStr">
        <is>
          <t>0</t>
        </is>
      </c>
      <c r="M734" t="inlineStr">
        <is>
          <t>Hapgood, Robert.</t>
        </is>
      </c>
      <c r="N734" t="inlineStr">
        <is>
          <t>Oxford : Clarendon Press ; New York : Oxford University Press, 1988.</t>
        </is>
      </c>
      <c r="O734" t="inlineStr">
        <is>
          <t>1988</t>
        </is>
      </c>
      <c r="Q734" t="inlineStr">
        <is>
          <t>eng</t>
        </is>
      </c>
      <c r="R734" t="inlineStr">
        <is>
          <t>enk</t>
        </is>
      </c>
      <c r="T734" t="inlineStr">
        <is>
          <t xml:space="preserve">PR </t>
        </is>
      </c>
      <c r="U734" t="n">
        <v>3</v>
      </c>
      <c r="V734" t="n">
        <v>3</v>
      </c>
      <c r="W734" t="inlineStr">
        <is>
          <t>1995-05-10</t>
        </is>
      </c>
      <c r="X734" t="inlineStr">
        <is>
          <t>1995-05-10</t>
        </is>
      </c>
      <c r="Y734" t="inlineStr">
        <is>
          <t>1991-04-16</t>
        </is>
      </c>
      <c r="Z734" t="inlineStr">
        <is>
          <t>1991-04-16</t>
        </is>
      </c>
      <c r="AA734" t="n">
        <v>740</v>
      </c>
      <c r="AB734" t="n">
        <v>578</v>
      </c>
      <c r="AC734" t="n">
        <v>591</v>
      </c>
      <c r="AD734" t="n">
        <v>8</v>
      </c>
      <c r="AE734" t="n">
        <v>8</v>
      </c>
      <c r="AF734" t="n">
        <v>36</v>
      </c>
      <c r="AG734" t="n">
        <v>36</v>
      </c>
      <c r="AH734" t="n">
        <v>14</v>
      </c>
      <c r="AI734" t="n">
        <v>14</v>
      </c>
      <c r="AJ734" t="n">
        <v>8</v>
      </c>
      <c r="AK734" t="n">
        <v>8</v>
      </c>
      <c r="AL734" t="n">
        <v>17</v>
      </c>
      <c r="AM734" t="n">
        <v>17</v>
      </c>
      <c r="AN734" t="n">
        <v>7</v>
      </c>
      <c r="AO734" t="n">
        <v>7</v>
      </c>
      <c r="AP734" t="n">
        <v>0</v>
      </c>
      <c r="AQ734" t="n">
        <v>0</v>
      </c>
      <c r="AR734" t="inlineStr">
        <is>
          <t>No</t>
        </is>
      </c>
      <c r="AS734" t="inlineStr">
        <is>
          <t>Yes</t>
        </is>
      </c>
      <c r="AT734">
        <f>HYPERLINK("http://catalog.hathitrust.org/Record/001100185","HathiTrust Record")</f>
        <v/>
      </c>
      <c r="AU734">
        <f>HYPERLINK("https://creighton-primo.hosted.exlibrisgroup.com/primo-explore/search?tab=default_tab&amp;search_scope=EVERYTHING&amp;vid=01CRU&amp;lang=en_US&amp;offset=0&amp;query=any,contains,991001273149702656","Catalog Record")</f>
        <v/>
      </c>
      <c r="AV734">
        <f>HYPERLINK("http://www.worldcat.org/oclc/17842616","WorldCat Record")</f>
        <v/>
      </c>
      <c r="AW734" t="inlineStr">
        <is>
          <t>801025800:eng</t>
        </is>
      </c>
      <c r="AX734" t="inlineStr">
        <is>
          <t>17842616</t>
        </is>
      </c>
      <c r="AY734" t="inlineStr">
        <is>
          <t>991001273149702656</t>
        </is>
      </c>
      <c r="AZ734" t="inlineStr">
        <is>
          <t>991001273149702656</t>
        </is>
      </c>
      <c r="BA734" t="inlineStr">
        <is>
          <t>2260573840002656</t>
        </is>
      </c>
      <c r="BB734" t="inlineStr">
        <is>
          <t>BOOK</t>
        </is>
      </c>
      <c r="BD734" t="inlineStr">
        <is>
          <t>9780198129905</t>
        </is>
      </c>
      <c r="BE734" t="inlineStr">
        <is>
          <t>32285000568260</t>
        </is>
      </c>
      <c r="BF734" t="inlineStr">
        <is>
          <t>893797445</t>
        </is>
      </c>
    </row>
    <row r="735">
      <c r="A735" t="inlineStr">
        <is>
          <t>No</t>
        </is>
      </c>
      <c r="B735" t="inlineStr">
        <is>
          <t>CURAL</t>
        </is>
      </c>
      <c r="C735" t="inlineStr">
        <is>
          <t>SHELVES</t>
        </is>
      </c>
      <c r="D735" t="inlineStr">
        <is>
          <t>PR2976 .H32 1971</t>
        </is>
      </c>
      <c r="E735" t="inlineStr">
        <is>
          <t>0                      PR 2976000H  32          1971</t>
        </is>
      </c>
      <c r="F735" t="inlineStr">
        <is>
          <t>William Shakespeare: a reader's guide.</t>
        </is>
      </c>
      <c r="H735" t="inlineStr">
        <is>
          <t>No</t>
        </is>
      </c>
      <c r="I735" t="inlineStr">
        <is>
          <t>1</t>
        </is>
      </c>
      <c r="J735" t="inlineStr">
        <is>
          <t>No</t>
        </is>
      </c>
      <c r="K735" t="inlineStr">
        <is>
          <t>No</t>
        </is>
      </c>
      <c r="L735" t="inlineStr">
        <is>
          <t>0</t>
        </is>
      </c>
      <c r="M735" t="inlineStr">
        <is>
          <t>Harbage, Alfred, 1901-1976.</t>
        </is>
      </c>
      <c r="N735" t="inlineStr">
        <is>
          <t>New York, Octagon Books, 1971 [c1963]</t>
        </is>
      </c>
      <c r="O735" t="inlineStr">
        <is>
          <t>1971</t>
        </is>
      </c>
      <c r="Q735" t="inlineStr">
        <is>
          <t>eng</t>
        </is>
      </c>
      <c r="R735" t="inlineStr">
        <is>
          <t>nyu</t>
        </is>
      </c>
      <c r="T735" t="inlineStr">
        <is>
          <t xml:space="preserve">PR </t>
        </is>
      </c>
      <c r="U735" t="n">
        <v>1</v>
      </c>
      <c r="V735" t="n">
        <v>1</v>
      </c>
      <c r="W735" t="inlineStr">
        <is>
          <t>2008-12-10</t>
        </is>
      </c>
      <c r="X735" t="inlineStr">
        <is>
          <t>2008-12-10</t>
        </is>
      </c>
      <c r="Y735" t="inlineStr">
        <is>
          <t>1991-12-16</t>
        </is>
      </c>
      <c r="Z735" t="inlineStr">
        <is>
          <t>1991-12-16</t>
        </is>
      </c>
      <c r="AA735" t="n">
        <v>323</v>
      </c>
      <c r="AB735" t="n">
        <v>300</v>
      </c>
      <c r="AC735" t="n">
        <v>1333</v>
      </c>
      <c r="AD735" t="n">
        <v>3</v>
      </c>
      <c r="AE735" t="n">
        <v>10</v>
      </c>
      <c r="AF735" t="n">
        <v>9</v>
      </c>
      <c r="AG735" t="n">
        <v>43</v>
      </c>
      <c r="AH735" t="n">
        <v>4</v>
      </c>
      <c r="AI735" t="n">
        <v>20</v>
      </c>
      <c r="AJ735" t="n">
        <v>2</v>
      </c>
      <c r="AK735" t="n">
        <v>7</v>
      </c>
      <c r="AL735" t="n">
        <v>4</v>
      </c>
      <c r="AM735" t="n">
        <v>18</v>
      </c>
      <c r="AN735" t="n">
        <v>2</v>
      </c>
      <c r="AO735" t="n">
        <v>7</v>
      </c>
      <c r="AP735" t="n">
        <v>0</v>
      </c>
      <c r="AQ735" t="n">
        <v>0</v>
      </c>
      <c r="AR735" t="inlineStr">
        <is>
          <t>No</t>
        </is>
      </c>
      <c r="AS735" t="inlineStr">
        <is>
          <t>Yes</t>
        </is>
      </c>
      <c r="AT735">
        <f>HYPERLINK("http://catalog.hathitrust.org/Record/004439792","HathiTrust Record")</f>
        <v/>
      </c>
      <c r="AU735">
        <f>HYPERLINK("https://creighton-primo.hosted.exlibrisgroup.com/primo-explore/search?tab=default_tab&amp;search_scope=EVERYTHING&amp;vid=01CRU&amp;lang=en_US&amp;offset=0&amp;query=any,contains,991002273359702656","Catalog Record")</f>
        <v/>
      </c>
      <c r="AV735">
        <f>HYPERLINK("http://www.worldcat.org/oclc/309273","WorldCat Record")</f>
        <v/>
      </c>
      <c r="AW735" t="inlineStr">
        <is>
          <t>3023294:eng</t>
        </is>
      </c>
      <c r="AX735" t="inlineStr">
        <is>
          <t>309273</t>
        </is>
      </c>
      <c r="AY735" t="inlineStr">
        <is>
          <t>991002273359702656</t>
        </is>
      </c>
      <c r="AZ735" t="inlineStr">
        <is>
          <t>991002273359702656</t>
        </is>
      </c>
      <c r="BA735" t="inlineStr">
        <is>
          <t>2264735940002656</t>
        </is>
      </c>
      <c r="BB735" t="inlineStr">
        <is>
          <t>BOOK</t>
        </is>
      </c>
      <c r="BE735" t="inlineStr">
        <is>
          <t>32285000906254</t>
        </is>
      </c>
      <c r="BF735" t="inlineStr">
        <is>
          <t>893408903</t>
        </is>
      </c>
    </row>
    <row r="736">
      <c r="A736" t="inlineStr">
        <is>
          <t>No</t>
        </is>
      </c>
      <c r="B736" t="inlineStr">
        <is>
          <t>CURAL</t>
        </is>
      </c>
      <c r="C736" t="inlineStr">
        <is>
          <t>SHELVES</t>
        </is>
      </c>
      <c r="D736" t="inlineStr">
        <is>
          <t>PR2976 .H57 1975</t>
        </is>
      </c>
      <c r="E736" t="inlineStr">
        <is>
          <t>0                      PR 2976000H  57          1975</t>
        </is>
      </c>
      <c r="F736" t="inlineStr">
        <is>
          <t>The Shakespearean imagination.</t>
        </is>
      </c>
      <c r="H736" t="inlineStr">
        <is>
          <t>No</t>
        </is>
      </c>
      <c r="I736" t="inlineStr">
        <is>
          <t>1</t>
        </is>
      </c>
      <c r="J736" t="inlineStr">
        <is>
          <t>No</t>
        </is>
      </c>
      <c r="K736" t="inlineStr">
        <is>
          <t>No</t>
        </is>
      </c>
      <c r="L736" t="inlineStr">
        <is>
          <t>0</t>
        </is>
      </c>
      <c r="M736" t="inlineStr">
        <is>
          <t>Holland, Norman N. (Norman Norwood), 1927-2017.</t>
        </is>
      </c>
      <c r="N736" t="inlineStr">
        <is>
          <t>Bloomington : Indiana Univ. Pr., 1975, cl964.</t>
        </is>
      </c>
      <c r="O736" t="inlineStr">
        <is>
          <t>1975</t>
        </is>
      </c>
      <c r="Q736" t="inlineStr">
        <is>
          <t>eng</t>
        </is>
      </c>
      <c r="R736" t="inlineStr">
        <is>
          <t xml:space="preserve">xx </t>
        </is>
      </c>
      <c r="S736" t="inlineStr">
        <is>
          <t>A Midland book, MB-114</t>
        </is>
      </c>
      <c r="T736" t="inlineStr">
        <is>
          <t xml:space="preserve">PR </t>
        </is>
      </c>
      <c r="U736" t="n">
        <v>5</v>
      </c>
      <c r="V736" t="n">
        <v>5</v>
      </c>
      <c r="W736" t="inlineStr">
        <is>
          <t>2000-04-30</t>
        </is>
      </c>
      <c r="X736" t="inlineStr">
        <is>
          <t>2000-04-30</t>
        </is>
      </c>
      <c r="Y736" t="inlineStr">
        <is>
          <t>1991-10-24</t>
        </is>
      </c>
      <c r="Z736" t="inlineStr">
        <is>
          <t>1991-10-24</t>
        </is>
      </c>
      <c r="AA736" t="n">
        <v>201</v>
      </c>
      <c r="AB736" t="n">
        <v>165</v>
      </c>
      <c r="AC736" t="n">
        <v>832</v>
      </c>
      <c r="AD736" t="n">
        <v>3</v>
      </c>
      <c r="AE736" t="n">
        <v>10</v>
      </c>
      <c r="AF736" t="n">
        <v>8</v>
      </c>
      <c r="AG736" t="n">
        <v>38</v>
      </c>
      <c r="AH736" t="n">
        <v>4</v>
      </c>
      <c r="AI736" t="n">
        <v>13</v>
      </c>
      <c r="AJ736" t="n">
        <v>1</v>
      </c>
      <c r="AK736" t="n">
        <v>8</v>
      </c>
      <c r="AL736" t="n">
        <v>1</v>
      </c>
      <c r="AM736" t="n">
        <v>15</v>
      </c>
      <c r="AN736" t="n">
        <v>2</v>
      </c>
      <c r="AO736" t="n">
        <v>8</v>
      </c>
      <c r="AP736" t="n">
        <v>0</v>
      </c>
      <c r="AQ736" t="n">
        <v>0</v>
      </c>
      <c r="AR736" t="inlineStr">
        <is>
          <t>No</t>
        </is>
      </c>
      <c r="AS736" t="inlineStr">
        <is>
          <t>No</t>
        </is>
      </c>
      <c r="AU736">
        <f>HYPERLINK("https://creighton-primo.hosted.exlibrisgroup.com/primo-explore/search?tab=default_tab&amp;search_scope=EVERYTHING&amp;vid=01CRU&amp;lang=en_US&amp;offset=0&amp;query=any,contains,991005365959702656","Catalog Record")</f>
        <v/>
      </c>
      <c r="AV736">
        <f>HYPERLINK("http://www.worldcat.org/oclc/1899237","WorldCat Record")</f>
        <v/>
      </c>
      <c r="AW736" t="inlineStr">
        <is>
          <t>1408298:eng</t>
        </is>
      </c>
      <c r="AX736" t="inlineStr">
        <is>
          <t>1899237</t>
        </is>
      </c>
      <c r="AY736" t="inlineStr">
        <is>
          <t>991005365959702656</t>
        </is>
      </c>
      <c r="AZ736" t="inlineStr">
        <is>
          <t>991005365959702656</t>
        </is>
      </c>
      <c r="BA736" t="inlineStr">
        <is>
          <t>2263607780002656</t>
        </is>
      </c>
      <c r="BB736" t="inlineStr">
        <is>
          <t>BOOK</t>
        </is>
      </c>
      <c r="BE736" t="inlineStr">
        <is>
          <t>32285000800903</t>
        </is>
      </c>
      <c r="BF736" t="inlineStr">
        <is>
          <t>893796083</t>
        </is>
      </c>
    </row>
    <row r="737">
      <c r="A737" t="inlineStr">
        <is>
          <t>No</t>
        </is>
      </c>
      <c r="B737" t="inlineStr">
        <is>
          <t>CURAL</t>
        </is>
      </c>
      <c r="C737" t="inlineStr">
        <is>
          <t>SHELVES</t>
        </is>
      </c>
      <c r="D737" t="inlineStr">
        <is>
          <t>PR2976 .H58 1989</t>
        </is>
      </c>
      <c r="E737" t="inlineStr">
        <is>
          <t>0                      PR 2976000H  58          1989</t>
        </is>
      </c>
      <c r="F737" t="inlineStr">
        <is>
          <t>Myriad-minded Shakespeare : essays, chiefly on the tragedies and problem comedies / E.A.J. Honigmann.</t>
        </is>
      </c>
      <c r="H737" t="inlineStr">
        <is>
          <t>No</t>
        </is>
      </c>
      <c r="I737" t="inlineStr">
        <is>
          <t>1</t>
        </is>
      </c>
      <c r="J737" t="inlineStr">
        <is>
          <t>No</t>
        </is>
      </c>
      <c r="K737" t="inlineStr">
        <is>
          <t>No</t>
        </is>
      </c>
      <c r="L737" t="inlineStr">
        <is>
          <t>0</t>
        </is>
      </c>
      <c r="M737" t="inlineStr">
        <is>
          <t>Honigmann, E. A. J.</t>
        </is>
      </c>
      <c r="N737" t="inlineStr">
        <is>
          <t>New York : St. Martin's Press, c1989.</t>
        </is>
      </c>
      <c r="O737" t="inlineStr">
        <is>
          <t>1989</t>
        </is>
      </c>
      <c r="Q737" t="inlineStr">
        <is>
          <t>eng</t>
        </is>
      </c>
      <c r="R737" t="inlineStr">
        <is>
          <t>nyu</t>
        </is>
      </c>
      <c r="T737" t="inlineStr">
        <is>
          <t xml:space="preserve">PR </t>
        </is>
      </c>
      <c r="U737" t="n">
        <v>2</v>
      </c>
      <c r="V737" t="n">
        <v>2</v>
      </c>
      <c r="W737" t="inlineStr">
        <is>
          <t>1995-05-10</t>
        </is>
      </c>
      <c r="X737" t="inlineStr">
        <is>
          <t>1995-05-10</t>
        </is>
      </c>
      <c r="Y737" t="inlineStr">
        <is>
          <t>1991-10-24</t>
        </is>
      </c>
      <c r="Z737" t="inlineStr">
        <is>
          <t>1991-10-24</t>
        </is>
      </c>
      <c r="AA737" t="n">
        <v>394</v>
      </c>
      <c r="AB737" t="n">
        <v>355</v>
      </c>
      <c r="AC737" t="n">
        <v>415</v>
      </c>
      <c r="AD737" t="n">
        <v>3</v>
      </c>
      <c r="AE737" t="n">
        <v>4</v>
      </c>
      <c r="AF737" t="n">
        <v>18</v>
      </c>
      <c r="AG737" t="n">
        <v>22</v>
      </c>
      <c r="AH737" t="n">
        <v>7</v>
      </c>
      <c r="AI737" t="n">
        <v>7</v>
      </c>
      <c r="AJ737" t="n">
        <v>3</v>
      </c>
      <c r="AK737" t="n">
        <v>4</v>
      </c>
      <c r="AL737" t="n">
        <v>9</v>
      </c>
      <c r="AM737" t="n">
        <v>12</v>
      </c>
      <c r="AN737" t="n">
        <v>2</v>
      </c>
      <c r="AO737" t="n">
        <v>3</v>
      </c>
      <c r="AP737" t="n">
        <v>0</v>
      </c>
      <c r="AQ737" t="n">
        <v>0</v>
      </c>
      <c r="AR737" t="inlineStr">
        <is>
          <t>No</t>
        </is>
      </c>
      <c r="AS737" t="inlineStr">
        <is>
          <t>No</t>
        </is>
      </c>
      <c r="AU737">
        <f>HYPERLINK("https://creighton-primo.hosted.exlibrisgroup.com/primo-explore/search?tab=default_tab&amp;search_scope=EVERYTHING&amp;vid=01CRU&amp;lang=en_US&amp;offset=0&amp;query=any,contains,991001306249702656","Catalog Record")</f>
        <v/>
      </c>
      <c r="AV737">
        <f>HYPERLINK("http://www.worldcat.org/oclc/18106311","WorldCat Record")</f>
        <v/>
      </c>
      <c r="AW737" t="inlineStr">
        <is>
          <t>16391603:eng</t>
        </is>
      </c>
      <c r="AX737" t="inlineStr">
        <is>
          <t>18106311</t>
        </is>
      </c>
      <c r="AY737" t="inlineStr">
        <is>
          <t>991001306249702656</t>
        </is>
      </c>
      <c r="AZ737" t="inlineStr">
        <is>
          <t>991001306249702656</t>
        </is>
      </c>
      <c r="BA737" t="inlineStr">
        <is>
          <t>2257876820002656</t>
        </is>
      </c>
      <c r="BB737" t="inlineStr">
        <is>
          <t>BOOK</t>
        </is>
      </c>
      <c r="BD737" t="inlineStr">
        <is>
          <t>9780312024406</t>
        </is>
      </c>
      <c r="BE737" t="inlineStr">
        <is>
          <t>32285000800911</t>
        </is>
      </c>
      <c r="BF737" t="inlineStr">
        <is>
          <t>893231896</t>
        </is>
      </c>
    </row>
    <row r="738">
      <c r="A738" t="inlineStr">
        <is>
          <t>No</t>
        </is>
      </c>
      <c r="B738" t="inlineStr">
        <is>
          <t>CURAL</t>
        </is>
      </c>
      <c r="C738" t="inlineStr">
        <is>
          <t>SHELVES</t>
        </is>
      </c>
      <c r="D738" t="inlineStr">
        <is>
          <t>PR2976 .I6 1985b</t>
        </is>
      </c>
      <c r="E738" t="inlineStr">
        <is>
          <t>0                      PR 2976000I  6           1985b</t>
        </is>
      </c>
      <c r="F738" t="inlineStr">
        <is>
          <t>Interpretations of Shakespeare : British Academy Shakespeare lectures / selected by Kenneth Muir.</t>
        </is>
      </c>
      <c r="H738" t="inlineStr">
        <is>
          <t>No</t>
        </is>
      </c>
      <c r="I738" t="inlineStr">
        <is>
          <t>1</t>
        </is>
      </c>
      <c r="J738" t="inlineStr">
        <is>
          <t>No</t>
        </is>
      </c>
      <c r="K738" t="inlineStr">
        <is>
          <t>No</t>
        </is>
      </c>
      <c r="L738" t="inlineStr">
        <is>
          <t>0</t>
        </is>
      </c>
      <c r="N738" t="inlineStr">
        <is>
          <t>Oxford [Eng.] : Clarendon Press, 1985.</t>
        </is>
      </c>
      <c r="O738" t="inlineStr">
        <is>
          <t>1985</t>
        </is>
      </c>
      <c r="Q738" t="inlineStr">
        <is>
          <t>eng</t>
        </is>
      </c>
      <c r="R738" t="inlineStr">
        <is>
          <t>enk</t>
        </is>
      </c>
      <c r="T738" t="inlineStr">
        <is>
          <t xml:space="preserve">PR </t>
        </is>
      </c>
      <c r="U738" t="n">
        <v>8</v>
      </c>
      <c r="V738" t="n">
        <v>8</v>
      </c>
      <c r="W738" t="inlineStr">
        <is>
          <t>1998-03-24</t>
        </is>
      </c>
      <c r="X738" t="inlineStr">
        <is>
          <t>1998-03-24</t>
        </is>
      </c>
      <c r="Y738" t="inlineStr">
        <is>
          <t>1991-10-24</t>
        </is>
      </c>
      <c r="Z738" t="inlineStr">
        <is>
          <t>1991-10-24</t>
        </is>
      </c>
      <c r="AA738" t="n">
        <v>646</v>
      </c>
      <c r="AB738" t="n">
        <v>507</v>
      </c>
      <c r="AC738" t="n">
        <v>656</v>
      </c>
      <c r="AD738" t="n">
        <v>5</v>
      </c>
      <c r="AE738" t="n">
        <v>5</v>
      </c>
      <c r="AF738" t="n">
        <v>27</v>
      </c>
      <c r="AG738" t="n">
        <v>34</v>
      </c>
      <c r="AH738" t="n">
        <v>11</v>
      </c>
      <c r="AI738" t="n">
        <v>16</v>
      </c>
      <c r="AJ738" t="n">
        <v>7</v>
      </c>
      <c r="AK738" t="n">
        <v>9</v>
      </c>
      <c r="AL738" t="n">
        <v>13</v>
      </c>
      <c r="AM738" t="n">
        <v>16</v>
      </c>
      <c r="AN738" t="n">
        <v>4</v>
      </c>
      <c r="AO738" t="n">
        <v>4</v>
      </c>
      <c r="AP738" t="n">
        <v>0</v>
      </c>
      <c r="AQ738" t="n">
        <v>0</v>
      </c>
      <c r="AR738" t="inlineStr">
        <is>
          <t>No</t>
        </is>
      </c>
      <c r="AS738" t="inlineStr">
        <is>
          <t>Yes</t>
        </is>
      </c>
      <c r="AT738">
        <f>HYPERLINK("http://catalog.hathitrust.org/Record/000469388","HathiTrust Record")</f>
        <v/>
      </c>
      <c r="AU738">
        <f>HYPERLINK("https://creighton-primo.hosted.exlibrisgroup.com/primo-explore/search?tab=default_tab&amp;search_scope=EVERYTHING&amp;vid=01CRU&amp;lang=en_US&amp;offset=0&amp;query=any,contains,991000616099702656","Catalog Record")</f>
        <v/>
      </c>
      <c r="AV738">
        <f>HYPERLINK("http://www.worldcat.org/oclc/11798979","WorldCat Record")</f>
        <v/>
      </c>
      <c r="AW738" t="inlineStr">
        <is>
          <t>836659538:eng</t>
        </is>
      </c>
      <c r="AX738" t="inlineStr">
        <is>
          <t>11798979</t>
        </is>
      </c>
      <c r="AY738" t="inlineStr">
        <is>
          <t>991000616099702656</t>
        </is>
      </c>
      <c r="AZ738" t="inlineStr">
        <is>
          <t>991000616099702656</t>
        </is>
      </c>
      <c r="BA738" t="inlineStr">
        <is>
          <t>2271165160002656</t>
        </is>
      </c>
      <c r="BB738" t="inlineStr">
        <is>
          <t>BOOK</t>
        </is>
      </c>
      <c r="BD738" t="inlineStr">
        <is>
          <t>9780198129363</t>
        </is>
      </c>
      <c r="BE738" t="inlineStr">
        <is>
          <t>32285000800937</t>
        </is>
      </c>
      <c r="BF738" t="inlineStr">
        <is>
          <t>893708535</t>
        </is>
      </c>
    </row>
    <row r="739">
      <c r="A739" t="inlineStr">
        <is>
          <t>No</t>
        </is>
      </c>
      <c r="B739" t="inlineStr">
        <is>
          <t>CURAL</t>
        </is>
      </c>
      <c r="C739" t="inlineStr">
        <is>
          <t>SHELVES</t>
        </is>
      </c>
      <c r="D739" t="inlineStr">
        <is>
          <t>PR2976 .K625 1984</t>
        </is>
      </c>
      <c r="E739" t="inlineStr">
        <is>
          <t>0                      PR 2976000K  625         1984</t>
        </is>
      </c>
      <c r="F739" t="inlineStr">
        <is>
          <t>Shakespearian dimensions / G. Wilson Knight.</t>
        </is>
      </c>
      <c r="H739" t="inlineStr">
        <is>
          <t>No</t>
        </is>
      </c>
      <c r="I739" t="inlineStr">
        <is>
          <t>1</t>
        </is>
      </c>
      <c r="J739" t="inlineStr">
        <is>
          <t>No</t>
        </is>
      </c>
      <c r="K739" t="inlineStr">
        <is>
          <t>No</t>
        </is>
      </c>
      <c r="L739" t="inlineStr">
        <is>
          <t>0</t>
        </is>
      </c>
      <c r="M739" t="inlineStr">
        <is>
          <t>Knight, G. Wilson (George Wilson), 1897-1985.</t>
        </is>
      </c>
      <c r="N739" t="inlineStr">
        <is>
          <t>Brighton, Sussex : Harvester Press ; Totowa, N.J. : Barnes &amp; Noble, 1984.</t>
        </is>
      </c>
      <c r="O739" t="inlineStr">
        <is>
          <t>1984</t>
        </is>
      </c>
      <c r="Q739" t="inlineStr">
        <is>
          <t>eng</t>
        </is>
      </c>
      <c r="R739" t="inlineStr">
        <is>
          <t>enk</t>
        </is>
      </c>
      <c r="T739" t="inlineStr">
        <is>
          <t xml:space="preserve">PR </t>
        </is>
      </c>
      <c r="U739" t="n">
        <v>2</v>
      </c>
      <c r="V739" t="n">
        <v>2</v>
      </c>
      <c r="W739" t="inlineStr">
        <is>
          <t>1998-01-06</t>
        </is>
      </c>
      <c r="X739" t="inlineStr">
        <is>
          <t>1998-01-06</t>
        </is>
      </c>
      <c r="Y739" t="inlineStr">
        <is>
          <t>1991-10-24</t>
        </is>
      </c>
      <c r="Z739" t="inlineStr">
        <is>
          <t>1991-10-24</t>
        </is>
      </c>
      <c r="AA739" t="n">
        <v>607</v>
      </c>
      <c r="AB739" t="n">
        <v>440</v>
      </c>
      <c r="AC739" t="n">
        <v>447</v>
      </c>
      <c r="AD739" t="n">
        <v>5</v>
      </c>
      <c r="AE739" t="n">
        <v>5</v>
      </c>
      <c r="AF739" t="n">
        <v>27</v>
      </c>
      <c r="AG739" t="n">
        <v>27</v>
      </c>
      <c r="AH739" t="n">
        <v>5</v>
      </c>
      <c r="AI739" t="n">
        <v>5</v>
      </c>
      <c r="AJ739" t="n">
        <v>8</v>
      </c>
      <c r="AK739" t="n">
        <v>8</v>
      </c>
      <c r="AL739" t="n">
        <v>15</v>
      </c>
      <c r="AM739" t="n">
        <v>15</v>
      </c>
      <c r="AN739" t="n">
        <v>4</v>
      </c>
      <c r="AO739" t="n">
        <v>4</v>
      </c>
      <c r="AP739" t="n">
        <v>0</v>
      </c>
      <c r="AQ739" t="n">
        <v>0</v>
      </c>
      <c r="AR739" t="inlineStr">
        <is>
          <t>No</t>
        </is>
      </c>
      <c r="AS739" t="inlineStr">
        <is>
          <t>Yes</t>
        </is>
      </c>
      <c r="AT739">
        <f>HYPERLINK("http://catalog.hathitrust.org/Record/000785218","HathiTrust Record")</f>
        <v/>
      </c>
      <c r="AU739">
        <f>HYPERLINK("https://creighton-primo.hosted.exlibrisgroup.com/primo-explore/search?tab=default_tab&amp;search_scope=EVERYTHING&amp;vid=01CRU&amp;lang=en_US&amp;offset=0&amp;query=any,contains,991000350099702656","Catalog Record")</f>
        <v/>
      </c>
      <c r="AV739">
        <f>HYPERLINK("http://www.worldcat.org/oclc/10300977","WorldCat Record")</f>
        <v/>
      </c>
      <c r="AW739" t="inlineStr">
        <is>
          <t>2857404:eng</t>
        </is>
      </c>
      <c r="AX739" t="inlineStr">
        <is>
          <t>10300977</t>
        </is>
      </c>
      <c r="AY739" t="inlineStr">
        <is>
          <t>991000350099702656</t>
        </is>
      </c>
      <c r="AZ739" t="inlineStr">
        <is>
          <t>991000350099702656</t>
        </is>
      </c>
      <c r="BA739" t="inlineStr">
        <is>
          <t>2269766380002656</t>
        </is>
      </c>
      <c r="BB739" t="inlineStr">
        <is>
          <t>BOOK</t>
        </is>
      </c>
      <c r="BD739" t="inlineStr">
        <is>
          <t>9780389204589</t>
        </is>
      </c>
      <c r="BE739" t="inlineStr">
        <is>
          <t>32285000800945</t>
        </is>
      </c>
      <c r="BF739" t="inlineStr">
        <is>
          <t>893777867</t>
        </is>
      </c>
    </row>
    <row r="740">
      <c r="A740" t="inlineStr">
        <is>
          <t>No</t>
        </is>
      </c>
      <c r="B740" t="inlineStr">
        <is>
          <t>CURAL</t>
        </is>
      </c>
      <c r="C740" t="inlineStr">
        <is>
          <t>SHELVES</t>
        </is>
      </c>
      <c r="D740" t="inlineStr">
        <is>
          <t>PR2976 .L38 1977</t>
        </is>
      </c>
      <c r="E740" t="inlineStr">
        <is>
          <t>0                      PR 2976000L  38          1977</t>
        </is>
      </c>
      <c r="F740" t="inlineStr">
        <is>
          <t>Shakespeare plain : the making and performing of Shakespeare's plays / William G. Leary.</t>
        </is>
      </c>
      <c r="H740" t="inlineStr">
        <is>
          <t>No</t>
        </is>
      </c>
      <c r="I740" t="inlineStr">
        <is>
          <t>1</t>
        </is>
      </c>
      <c r="J740" t="inlineStr">
        <is>
          <t>No</t>
        </is>
      </c>
      <c r="K740" t="inlineStr">
        <is>
          <t>No</t>
        </is>
      </c>
      <c r="L740" t="inlineStr">
        <is>
          <t>0</t>
        </is>
      </c>
      <c r="M740" t="inlineStr">
        <is>
          <t>Leary, William Gordon.</t>
        </is>
      </c>
      <c r="N740" t="inlineStr">
        <is>
          <t>New York : McGraw-Hill, c1977.</t>
        </is>
      </c>
      <c r="O740" t="inlineStr">
        <is>
          <t>1977</t>
        </is>
      </c>
      <c r="Q740" t="inlineStr">
        <is>
          <t>eng</t>
        </is>
      </c>
      <c r="R740" t="inlineStr">
        <is>
          <t>nyu</t>
        </is>
      </c>
      <c r="T740" t="inlineStr">
        <is>
          <t xml:space="preserve">PR </t>
        </is>
      </c>
      <c r="U740" t="n">
        <v>2</v>
      </c>
      <c r="V740" t="n">
        <v>2</v>
      </c>
      <c r="W740" t="inlineStr">
        <is>
          <t>1997-10-06</t>
        </is>
      </c>
      <c r="X740" t="inlineStr">
        <is>
          <t>1997-10-06</t>
        </is>
      </c>
      <c r="Y740" t="inlineStr">
        <is>
          <t>1991-10-24</t>
        </is>
      </c>
      <c r="Z740" t="inlineStr">
        <is>
          <t>1991-10-24</t>
        </is>
      </c>
      <c r="AA740" t="n">
        <v>952</v>
      </c>
      <c r="AB740" t="n">
        <v>849</v>
      </c>
      <c r="AC740" t="n">
        <v>863</v>
      </c>
      <c r="AD740" t="n">
        <v>7</v>
      </c>
      <c r="AE740" t="n">
        <v>7</v>
      </c>
      <c r="AF740" t="n">
        <v>31</v>
      </c>
      <c r="AG740" t="n">
        <v>32</v>
      </c>
      <c r="AH740" t="n">
        <v>12</v>
      </c>
      <c r="AI740" t="n">
        <v>13</v>
      </c>
      <c r="AJ740" t="n">
        <v>10</v>
      </c>
      <c r="AK740" t="n">
        <v>10</v>
      </c>
      <c r="AL740" t="n">
        <v>13</v>
      </c>
      <c r="AM740" t="n">
        <v>13</v>
      </c>
      <c r="AN740" t="n">
        <v>6</v>
      </c>
      <c r="AO740" t="n">
        <v>6</v>
      </c>
      <c r="AP740" t="n">
        <v>0</v>
      </c>
      <c r="AQ740" t="n">
        <v>0</v>
      </c>
      <c r="AR740" t="inlineStr">
        <is>
          <t>No</t>
        </is>
      </c>
      <c r="AS740" t="inlineStr">
        <is>
          <t>Yes</t>
        </is>
      </c>
      <c r="AT740">
        <f>HYPERLINK("http://catalog.hathitrust.org/Record/000083046","HathiTrust Record")</f>
        <v/>
      </c>
      <c r="AU740">
        <f>HYPERLINK("https://creighton-primo.hosted.exlibrisgroup.com/primo-explore/search?tab=default_tab&amp;search_scope=EVERYTHING&amp;vid=01CRU&amp;lang=en_US&amp;offset=0&amp;query=any,contains,991004145509702656","Catalog Record")</f>
        <v/>
      </c>
      <c r="AV740">
        <f>HYPERLINK("http://www.worldcat.org/oclc/2508354","WorldCat Record")</f>
        <v/>
      </c>
      <c r="AW740" t="inlineStr">
        <is>
          <t>224726168:eng</t>
        </is>
      </c>
      <c r="AX740" t="inlineStr">
        <is>
          <t>2508354</t>
        </is>
      </c>
      <c r="AY740" t="inlineStr">
        <is>
          <t>991004145509702656</t>
        </is>
      </c>
      <c r="AZ740" t="inlineStr">
        <is>
          <t>991004145509702656</t>
        </is>
      </c>
      <c r="BA740" t="inlineStr">
        <is>
          <t>2255069800002656</t>
        </is>
      </c>
      <c r="BB740" t="inlineStr">
        <is>
          <t>BOOK</t>
        </is>
      </c>
      <c r="BD740" t="inlineStr">
        <is>
          <t>9780070369467</t>
        </is>
      </c>
      <c r="BE740" t="inlineStr">
        <is>
          <t>32285000800952</t>
        </is>
      </c>
      <c r="BF740" t="inlineStr">
        <is>
          <t>893693580</t>
        </is>
      </c>
    </row>
    <row r="741">
      <c r="A741" t="inlineStr">
        <is>
          <t>No</t>
        </is>
      </c>
      <c r="B741" t="inlineStr">
        <is>
          <t>CURAL</t>
        </is>
      </c>
      <c r="C741" t="inlineStr">
        <is>
          <t>SHELVES</t>
        </is>
      </c>
      <c r="D741" t="inlineStr">
        <is>
          <t>PR2976 .M54 1984</t>
        </is>
      </c>
      <c r="E741" t="inlineStr">
        <is>
          <t>0                      PR 2976000M  54          1984</t>
        </is>
      </c>
      <c r="F741" t="inlineStr">
        <is>
          <t>Mirror up to Shakespeare : essays in honour of G.R. Hibbard / edited by J.C. Gray.</t>
        </is>
      </c>
      <c r="H741" t="inlineStr">
        <is>
          <t>No</t>
        </is>
      </c>
      <c r="I741" t="inlineStr">
        <is>
          <t>1</t>
        </is>
      </c>
      <c r="J741" t="inlineStr">
        <is>
          <t>No</t>
        </is>
      </c>
      <c r="K741" t="inlineStr">
        <is>
          <t>No</t>
        </is>
      </c>
      <c r="L741" t="inlineStr">
        <is>
          <t>0</t>
        </is>
      </c>
      <c r="N741" t="inlineStr">
        <is>
          <t>Toronto ; Buffalo : University of Toronto Press, c1984.</t>
        </is>
      </c>
      <c r="O741" t="inlineStr">
        <is>
          <t>1984</t>
        </is>
      </c>
      <c r="Q741" t="inlineStr">
        <is>
          <t>eng</t>
        </is>
      </c>
      <c r="R741" t="inlineStr">
        <is>
          <t>onc</t>
        </is>
      </c>
      <c r="T741" t="inlineStr">
        <is>
          <t xml:space="preserve">PR </t>
        </is>
      </c>
      <c r="U741" t="n">
        <v>2</v>
      </c>
      <c r="V741" t="n">
        <v>2</v>
      </c>
      <c r="W741" t="inlineStr">
        <is>
          <t>1994-11-10</t>
        </is>
      </c>
      <c r="X741" t="inlineStr">
        <is>
          <t>1994-11-10</t>
        </is>
      </c>
      <c r="Y741" t="inlineStr">
        <is>
          <t>1991-10-24</t>
        </is>
      </c>
      <c r="Z741" t="inlineStr">
        <is>
          <t>1991-10-24</t>
        </is>
      </c>
      <c r="AA741" t="n">
        <v>381</v>
      </c>
      <c r="AB741" t="n">
        <v>284</v>
      </c>
      <c r="AC741" t="n">
        <v>338</v>
      </c>
      <c r="AD741" t="n">
        <v>2</v>
      </c>
      <c r="AE741" t="n">
        <v>3</v>
      </c>
      <c r="AF741" t="n">
        <v>17</v>
      </c>
      <c r="AG741" t="n">
        <v>22</v>
      </c>
      <c r="AH741" t="n">
        <v>6</v>
      </c>
      <c r="AI741" t="n">
        <v>10</v>
      </c>
      <c r="AJ741" t="n">
        <v>4</v>
      </c>
      <c r="AK741" t="n">
        <v>5</v>
      </c>
      <c r="AL741" t="n">
        <v>12</v>
      </c>
      <c r="AM741" t="n">
        <v>12</v>
      </c>
      <c r="AN741" t="n">
        <v>1</v>
      </c>
      <c r="AO741" t="n">
        <v>2</v>
      </c>
      <c r="AP741" t="n">
        <v>0</v>
      </c>
      <c r="AQ741" t="n">
        <v>0</v>
      </c>
      <c r="AR741" t="inlineStr">
        <is>
          <t>No</t>
        </is>
      </c>
      <c r="AS741" t="inlineStr">
        <is>
          <t>Yes</t>
        </is>
      </c>
      <c r="AT741">
        <f>HYPERLINK("http://catalog.hathitrust.org/Record/000120184","HathiTrust Record")</f>
        <v/>
      </c>
      <c r="AU741">
        <f>HYPERLINK("https://creighton-primo.hosted.exlibrisgroup.com/primo-explore/search?tab=default_tab&amp;search_scope=EVERYTHING&amp;vid=01CRU&amp;lang=en_US&amp;offset=0&amp;query=any,contains,991000617639702656","Catalog Record")</f>
        <v/>
      </c>
      <c r="AV741">
        <f>HYPERLINK("http://www.worldcat.org/oclc/11969570","WorldCat Record")</f>
        <v/>
      </c>
      <c r="AW741" t="inlineStr">
        <is>
          <t>375472067:eng</t>
        </is>
      </c>
      <c r="AX741" t="inlineStr">
        <is>
          <t>11969570</t>
        </is>
      </c>
      <c r="AY741" t="inlineStr">
        <is>
          <t>991000617639702656</t>
        </is>
      </c>
      <c r="AZ741" t="inlineStr">
        <is>
          <t>991000617639702656</t>
        </is>
      </c>
      <c r="BA741" t="inlineStr">
        <is>
          <t>2262424510002656</t>
        </is>
      </c>
      <c r="BB741" t="inlineStr">
        <is>
          <t>BOOK</t>
        </is>
      </c>
      <c r="BD741" t="inlineStr">
        <is>
          <t>9780802056399</t>
        </is>
      </c>
      <c r="BE741" t="inlineStr">
        <is>
          <t>32285000800986</t>
        </is>
      </c>
      <c r="BF741" t="inlineStr">
        <is>
          <t>893502644</t>
        </is>
      </c>
    </row>
    <row r="742">
      <c r="A742" t="inlineStr">
        <is>
          <t>No</t>
        </is>
      </c>
      <c r="B742" t="inlineStr">
        <is>
          <t>CURAL</t>
        </is>
      </c>
      <c r="C742" t="inlineStr">
        <is>
          <t>SHELVES</t>
        </is>
      </c>
      <c r="D742" t="inlineStr">
        <is>
          <t>PR2976 .M745 1985</t>
        </is>
      </c>
      <c r="E742" t="inlineStr">
        <is>
          <t>0                      PR 2976000M  745         1985</t>
        </is>
      </c>
      <c r="F742" t="inlineStr">
        <is>
          <t>Shakespeare, contrasts and controversies / Kenneth Muir.</t>
        </is>
      </c>
      <c r="H742" t="inlineStr">
        <is>
          <t>No</t>
        </is>
      </c>
      <c r="I742" t="inlineStr">
        <is>
          <t>1</t>
        </is>
      </c>
      <c r="J742" t="inlineStr">
        <is>
          <t>No</t>
        </is>
      </c>
      <c r="K742" t="inlineStr">
        <is>
          <t>No</t>
        </is>
      </c>
      <c r="L742" t="inlineStr">
        <is>
          <t>0</t>
        </is>
      </c>
      <c r="M742" t="inlineStr">
        <is>
          <t>Muir, Kenneth.</t>
        </is>
      </c>
      <c r="N742" t="inlineStr">
        <is>
          <t>Brighton, Sussex : Harvester Press, 1985.</t>
        </is>
      </c>
      <c r="O742" t="inlineStr">
        <is>
          <t>1985</t>
        </is>
      </c>
      <c r="Q742" t="inlineStr">
        <is>
          <t>eng</t>
        </is>
      </c>
      <c r="R742" t="inlineStr">
        <is>
          <t>enk</t>
        </is>
      </c>
      <c r="T742" t="inlineStr">
        <is>
          <t xml:space="preserve">PR </t>
        </is>
      </c>
      <c r="U742" t="n">
        <v>2</v>
      </c>
      <c r="V742" t="n">
        <v>2</v>
      </c>
      <c r="W742" t="inlineStr">
        <is>
          <t>1994-09-13</t>
        </is>
      </c>
      <c r="X742" t="inlineStr">
        <is>
          <t>1994-09-13</t>
        </is>
      </c>
      <c r="Y742" t="inlineStr">
        <is>
          <t>1991-10-24</t>
        </is>
      </c>
      <c r="Z742" t="inlineStr">
        <is>
          <t>1991-10-24</t>
        </is>
      </c>
      <c r="AA742" t="n">
        <v>153</v>
      </c>
      <c r="AB742" t="n">
        <v>60</v>
      </c>
      <c r="AC742" t="n">
        <v>403</v>
      </c>
      <c r="AD742" t="n">
        <v>2</v>
      </c>
      <c r="AE742" t="n">
        <v>3</v>
      </c>
      <c r="AF742" t="n">
        <v>2</v>
      </c>
      <c r="AG742" t="n">
        <v>16</v>
      </c>
      <c r="AH742" t="n">
        <v>0</v>
      </c>
      <c r="AI742" t="n">
        <v>4</v>
      </c>
      <c r="AJ742" t="n">
        <v>0</v>
      </c>
      <c r="AK742" t="n">
        <v>5</v>
      </c>
      <c r="AL742" t="n">
        <v>1</v>
      </c>
      <c r="AM742" t="n">
        <v>10</v>
      </c>
      <c r="AN742" t="n">
        <v>1</v>
      </c>
      <c r="AO742" t="n">
        <v>2</v>
      </c>
      <c r="AP742" t="n">
        <v>0</v>
      </c>
      <c r="AQ742" t="n">
        <v>0</v>
      </c>
      <c r="AR742" t="inlineStr">
        <is>
          <t>No</t>
        </is>
      </c>
      <c r="AS742" t="inlineStr">
        <is>
          <t>No</t>
        </is>
      </c>
      <c r="AU742">
        <f>HYPERLINK("https://creighton-primo.hosted.exlibrisgroup.com/primo-explore/search?tab=default_tab&amp;search_scope=EVERYTHING&amp;vid=01CRU&amp;lang=en_US&amp;offset=0&amp;query=any,contains,991000673089702656","Catalog Record")</f>
        <v/>
      </c>
      <c r="AV742">
        <f>HYPERLINK("http://www.worldcat.org/oclc/12458676","WorldCat Record")</f>
        <v/>
      </c>
      <c r="AW742" t="inlineStr">
        <is>
          <t>4126022:eng</t>
        </is>
      </c>
      <c r="AX742" t="inlineStr">
        <is>
          <t>12458676</t>
        </is>
      </c>
      <c r="AY742" t="inlineStr">
        <is>
          <t>991000673089702656</t>
        </is>
      </c>
      <c r="AZ742" t="inlineStr">
        <is>
          <t>991000673089702656</t>
        </is>
      </c>
      <c r="BA742" t="inlineStr">
        <is>
          <t>2266642190002656</t>
        </is>
      </c>
      <c r="BB742" t="inlineStr">
        <is>
          <t>BOOK</t>
        </is>
      </c>
      <c r="BD742" t="inlineStr">
        <is>
          <t>9780710809827</t>
        </is>
      </c>
      <c r="BE742" t="inlineStr">
        <is>
          <t>32285000800994</t>
        </is>
      </c>
      <c r="BF742" t="inlineStr">
        <is>
          <t>893683648</t>
        </is>
      </c>
    </row>
    <row r="743">
      <c r="A743" t="inlineStr">
        <is>
          <t>No</t>
        </is>
      </c>
      <c r="B743" t="inlineStr">
        <is>
          <t>CURAL</t>
        </is>
      </c>
      <c r="C743" t="inlineStr">
        <is>
          <t>SHELVES</t>
        </is>
      </c>
      <c r="D743" t="inlineStr">
        <is>
          <t>PR2976 .N4 1961</t>
        </is>
      </c>
      <c r="E743" t="inlineStr">
        <is>
          <t>0                      PR 2976000N  4           1961</t>
        </is>
      </c>
      <c r="F743" t="inlineStr">
        <is>
          <t>The facts about Shakespeare / by William Allan Neilson and Ashley Horace Thorndike.</t>
        </is>
      </c>
      <c r="H743" t="inlineStr">
        <is>
          <t>No</t>
        </is>
      </c>
      <c r="I743" t="inlineStr">
        <is>
          <t>1</t>
        </is>
      </c>
      <c r="J743" t="inlineStr">
        <is>
          <t>No</t>
        </is>
      </c>
      <c r="K743" t="inlineStr">
        <is>
          <t>No</t>
        </is>
      </c>
      <c r="L743" t="inlineStr">
        <is>
          <t>0</t>
        </is>
      </c>
      <c r="M743" t="inlineStr">
        <is>
          <t>Neilson, William Allan, 1869-1946.</t>
        </is>
      </c>
      <c r="N743" t="inlineStr">
        <is>
          <t>New York : Macmillan, 1961, c1959.</t>
        </is>
      </c>
      <c r="O743" t="inlineStr">
        <is>
          <t>1961</t>
        </is>
      </c>
      <c r="P743" t="inlineStr">
        <is>
          <t>Rev. ed. ; Macmillan pbks. ed.</t>
        </is>
      </c>
      <c r="Q743" t="inlineStr">
        <is>
          <t>eng</t>
        </is>
      </c>
      <c r="R743" t="inlineStr">
        <is>
          <t>nyu</t>
        </is>
      </c>
      <c r="S743" t="inlineStr">
        <is>
          <t>Macmillan paperbacks ; MP59</t>
        </is>
      </c>
      <c r="T743" t="inlineStr">
        <is>
          <t xml:space="preserve">PR </t>
        </is>
      </c>
      <c r="U743" t="n">
        <v>3</v>
      </c>
      <c r="V743" t="n">
        <v>3</v>
      </c>
      <c r="W743" t="inlineStr">
        <is>
          <t>2001-07-12</t>
        </is>
      </c>
      <c r="X743" t="inlineStr">
        <is>
          <t>2001-07-12</t>
        </is>
      </c>
      <c r="Y743" t="inlineStr">
        <is>
          <t>2001-07-12</t>
        </is>
      </c>
      <c r="Z743" t="inlineStr">
        <is>
          <t>2001-07-12</t>
        </is>
      </c>
      <c r="AA743" t="n">
        <v>290</v>
      </c>
      <c r="AB743" t="n">
        <v>248</v>
      </c>
      <c r="AC743" t="n">
        <v>1178</v>
      </c>
      <c r="AD743" t="n">
        <v>2</v>
      </c>
      <c r="AE743" t="n">
        <v>12</v>
      </c>
      <c r="AF743" t="n">
        <v>13</v>
      </c>
      <c r="AG743" t="n">
        <v>49</v>
      </c>
      <c r="AH743" t="n">
        <v>5</v>
      </c>
      <c r="AI743" t="n">
        <v>19</v>
      </c>
      <c r="AJ743" t="n">
        <v>4</v>
      </c>
      <c r="AK743" t="n">
        <v>8</v>
      </c>
      <c r="AL743" t="n">
        <v>5</v>
      </c>
      <c r="AM743" t="n">
        <v>22</v>
      </c>
      <c r="AN743" t="n">
        <v>1</v>
      </c>
      <c r="AO743" t="n">
        <v>10</v>
      </c>
      <c r="AP743" t="n">
        <v>0</v>
      </c>
      <c r="AQ743" t="n">
        <v>0</v>
      </c>
      <c r="AR743" t="inlineStr">
        <is>
          <t>No</t>
        </is>
      </c>
      <c r="AS743" t="inlineStr">
        <is>
          <t>No</t>
        </is>
      </c>
      <c r="AU743">
        <f>HYPERLINK("https://creighton-primo.hosted.exlibrisgroup.com/primo-explore/search?tab=default_tab&amp;search_scope=EVERYTHING&amp;vid=01CRU&amp;lang=en_US&amp;offset=0&amp;query=any,contains,991003567989702656","Catalog Record")</f>
        <v/>
      </c>
      <c r="AV743">
        <f>HYPERLINK("http://www.worldcat.org/oclc/1967008","WorldCat Record")</f>
        <v/>
      </c>
      <c r="AW743" t="inlineStr">
        <is>
          <t>15245:eng</t>
        </is>
      </c>
      <c r="AX743" t="inlineStr">
        <is>
          <t>1967008</t>
        </is>
      </c>
      <c r="AY743" t="inlineStr">
        <is>
          <t>991003567989702656</t>
        </is>
      </c>
      <c r="AZ743" t="inlineStr">
        <is>
          <t>991003567989702656</t>
        </is>
      </c>
      <c r="BA743" t="inlineStr">
        <is>
          <t>2267439890002656</t>
        </is>
      </c>
      <c r="BB743" t="inlineStr">
        <is>
          <t>BOOK</t>
        </is>
      </c>
      <c r="BE743" t="inlineStr">
        <is>
          <t>32285004332259</t>
        </is>
      </c>
      <c r="BF743" t="inlineStr">
        <is>
          <t>893868570</t>
        </is>
      </c>
    </row>
    <row r="744">
      <c r="A744" t="inlineStr">
        <is>
          <t>No</t>
        </is>
      </c>
      <c r="B744" t="inlineStr">
        <is>
          <t>CURAL</t>
        </is>
      </c>
      <c r="C744" t="inlineStr">
        <is>
          <t>SHELVES</t>
        </is>
      </c>
      <c r="D744" t="inlineStr">
        <is>
          <t>PR2976 .R155 1964</t>
        </is>
      </c>
      <c r="E744" t="inlineStr">
        <is>
          <t>0                      PR 2976000R  155         1964</t>
        </is>
      </c>
      <c r="F744" t="inlineStr">
        <is>
          <t>Approaches to Shakespeare / by Norman Rabkin.</t>
        </is>
      </c>
      <c r="H744" t="inlineStr">
        <is>
          <t>No</t>
        </is>
      </c>
      <c r="I744" t="inlineStr">
        <is>
          <t>1</t>
        </is>
      </c>
      <c r="J744" t="inlineStr">
        <is>
          <t>No</t>
        </is>
      </c>
      <c r="K744" t="inlineStr">
        <is>
          <t>No</t>
        </is>
      </c>
      <c r="L744" t="inlineStr">
        <is>
          <t>0</t>
        </is>
      </c>
      <c r="M744" t="inlineStr">
        <is>
          <t>Rabkin, Norman editor.</t>
        </is>
      </c>
      <c r="N744" t="inlineStr">
        <is>
          <t>New York : McGraw-Hill, [1964]</t>
        </is>
      </c>
      <c r="O744" t="inlineStr">
        <is>
          <t>1964</t>
        </is>
      </c>
      <c r="Q744" t="inlineStr">
        <is>
          <t>eng</t>
        </is>
      </c>
      <c r="R744" t="inlineStr">
        <is>
          <t>nyu</t>
        </is>
      </c>
      <c r="T744" t="inlineStr">
        <is>
          <t xml:space="preserve">PR </t>
        </is>
      </c>
      <c r="U744" t="n">
        <v>2</v>
      </c>
      <c r="V744" t="n">
        <v>2</v>
      </c>
      <c r="W744" t="inlineStr">
        <is>
          <t>2004-11-17</t>
        </is>
      </c>
      <c r="X744" t="inlineStr">
        <is>
          <t>2004-11-17</t>
        </is>
      </c>
      <c r="Y744" t="inlineStr">
        <is>
          <t>2002-04-08</t>
        </is>
      </c>
      <c r="Z744" t="inlineStr">
        <is>
          <t>2002-04-08</t>
        </is>
      </c>
      <c r="AA744" t="n">
        <v>770</v>
      </c>
      <c r="AB744" t="n">
        <v>668</v>
      </c>
      <c r="AC744" t="n">
        <v>675</v>
      </c>
      <c r="AD744" t="n">
        <v>7</v>
      </c>
      <c r="AE744" t="n">
        <v>7</v>
      </c>
      <c r="AF744" t="n">
        <v>28</v>
      </c>
      <c r="AG744" t="n">
        <v>28</v>
      </c>
      <c r="AH744" t="n">
        <v>11</v>
      </c>
      <c r="AI744" t="n">
        <v>11</v>
      </c>
      <c r="AJ744" t="n">
        <v>4</v>
      </c>
      <c r="AK744" t="n">
        <v>4</v>
      </c>
      <c r="AL744" t="n">
        <v>13</v>
      </c>
      <c r="AM744" t="n">
        <v>13</v>
      </c>
      <c r="AN744" t="n">
        <v>6</v>
      </c>
      <c r="AO744" t="n">
        <v>6</v>
      </c>
      <c r="AP744" t="n">
        <v>0</v>
      </c>
      <c r="AQ744" t="n">
        <v>0</v>
      </c>
      <c r="AR744" t="inlineStr">
        <is>
          <t>No</t>
        </is>
      </c>
      <c r="AS744" t="inlineStr">
        <is>
          <t>No</t>
        </is>
      </c>
      <c r="AU744">
        <f>HYPERLINK("https://creighton-primo.hosted.exlibrisgroup.com/primo-explore/search?tab=default_tab&amp;search_scope=EVERYTHING&amp;vid=01CRU&amp;lang=en_US&amp;offset=0&amp;query=any,contains,991003790909702656","Catalog Record")</f>
        <v/>
      </c>
      <c r="AV744">
        <f>HYPERLINK("http://www.worldcat.org/oclc/376866","WorldCat Record")</f>
        <v/>
      </c>
      <c r="AW744" t="inlineStr">
        <is>
          <t>119242096:eng</t>
        </is>
      </c>
      <c r="AX744" t="inlineStr">
        <is>
          <t>376866</t>
        </is>
      </c>
      <c r="AY744" t="inlineStr">
        <is>
          <t>991003790909702656</t>
        </is>
      </c>
      <c r="AZ744" t="inlineStr">
        <is>
          <t>991003790909702656</t>
        </is>
      </c>
      <c r="BA744" t="inlineStr">
        <is>
          <t>2263633590002656</t>
        </is>
      </c>
      <c r="BB744" t="inlineStr">
        <is>
          <t>BOOK</t>
        </is>
      </c>
      <c r="BE744" t="inlineStr">
        <is>
          <t>32285004478136</t>
        </is>
      </c>
      <c r="BF744" t="inlineStr">
        <is>
          <t>893900365</t>
        </is>
      </c>
    </row>
    <row r="745">
      <c r="A745" t="inlineStr">
        <is>
          <t>No</t>
        </is>
      </c>
      <c r="B745" t="inlineStr">
        <is>
          <t>CURAL</t>
        </is>
      </c>
      <c r="C745" t="inlineStr">
        <is>
          <t>SHELVES</t>
        </is>
      </c>
      <c r="D745" t="inlineStr">
        <is>
          <t>PR2976 .R4</t>
        </is>
      </c>
      <c r="E745" t="inlineStr">
        <is>
          <t>0                      PR 2976000R  4</t>
        </is>
      </c>
      <c r="F745" t="inlineStr">
        <is>
          <t>Representing Shakespeare : new psychoanalytic essays / edited by Murray M. Schwartz and Coppélia Kahn.</t>
        </is>
      </c>
      <c r="H745" t="inlineStr">
        <is>
          <t>No</t>
        </is>
      </c>
      <c r="I745" t="inlineStr">
        <is>
          <t>1</t>
        </is>
      </c>
      <c r="J745" t="inlineStr">
        <is>
          <t>No</t>
        </is>
      </c>
      <c r="K745" t="inlineStr">
        <is>
          <t>No</t>
        </is>
      </c>
      <c r="L745" t="inlineStr">
        <is>
          <t>0</t>
        </is>
      </c>
      <c r="N745" t="inlineStr">
        <is>
          <t>Baltimore : Johns Hopkins University Press, c1980.</t>
        </is>
      </c>
      <c r="O745" t="inlineStr">
        <is>
          <t>1980</t>
        </is>
      </c>
      <c r="Q745" t="inlineStr">
        <is>
          <t>eng</t>
        </is>
      </c>
      <c r="R745" t="inlineStr">
        <is>
          <t>mdu</t>
        </is>
      </c>
      <c r="T745" t="inlineStr">
        <is>
          <t xml:space="preserve">PR </t>
        </is>
      </c>
      <c r="U745" t="n">
        <v>3</v>
      </c>
      <c r="V745" t="n">
        <v>3</v>
      </c>
      <c r="W745" t="inlineStr">
        <is>
          <t>1997-11-30</t>
        </is>
      </c>
      <c r="X745" t="inlineStr">
        <is>
          <t>1997-11-30</t>
        </is>
      </c>
      <c r="Y745" t="inlineStr">
        <is>
          <t>1991-10-24</t>
        </is>
      </c>
      <c r="Z745" t="inlineStr">
        <is>
          <t>1991-10-24</t>
        </is>
      </c>
      <c r="AA745" t="n">
        <v>927</v>
      </c>
      <c r="AB745" t="n">
        <v>798</v>
      </c>
      <c r="AC745" t="n">
        <v>897</v>
      </c>
      <c r="AD745" t="n">
        <v>7</v>
      </c>
      <c r="AE745" t="n">
        <v>8</v>
      </c>
      <c r="AF745" t="n">
        <v>44</v>
      </c>
      <c r="AG745" t="n">
        <v>47</v>
      </c>
      <c r="AH745" t="n">
        <v>20</v>
      </c>
      <c r="AI745" t="n">
        <v>21</v>
      </c>
      <c r="AJ745" t="n">
        <v>8</v>
      </c>
      <c r="AK745" t="n">
        <v>8</v>
      </c>
      <c r="AL745" t="n">
        <v>20</v>
      </c>
      <c r="AM745" t="n">
        <v>21</v>
      </c>
      <c r="AN745" t="n">
        <v>6</v>
      </c>
      <c r="AO745" t="n">
        <v>7</v>
      </c>
      <c r="AP745" t="n">
        <v>0</v>
      </c>
      <c r="AQ745" t="n">
        <v>0</v>
      </c>
      <c r="AR745" t="inlineStr">
        <is>
          <t>No</t>
        </is>
      </c>
      <c r="AS745" t="inlineStr">
        <is>
          <t>No</t>
        </is>
      </c>
      <c r="AU745">
        <f>HYPERLINK("https://creighton-primo.hosted.exlibrisgroup.com/primo-explore/search?tab=default_tab&amp;search_scope=EVERYTHING&amp;vid=01CRU&amp;lang=en_US&amp;offset=0&amp;query=any,contains,991004887849702656","Catalog Record")</f>
        <v/>
      </c>
      <c r="AV745">
        <f>HYPERLINK("http://www.worldcat.org/oclc/5846306","WorldCat Record")</f>
        <v/>
      </c>
      <c r="AW745" t="inlineStr">
        <is>
          <t>890414344:eng</t>
        </is>
      </c>
      <c r="AX745" t="inlineStr">
        <is>
          <t>5846306</t>
        </is>
      </c>
      <c r="AY745" t="inlineStr">
        <is>
          <t>991004887849702656</t>
        </is>
      </c>
      <c r="AZ745" t="inlineStr">
        <is>
          <t>991004887849702656</t>
        </is>
      </c>
      <c r="BA745" t="inlineStr">
        <is>
          <t>2255414510002656</t>
        </is>
      </c>
      <c r="BB745" t="inlineStr">
        <is>
          <t>BOOK</t>
        </is>
      </c>
      <c r="BD745" t="inlineStr">
        <is>
          <t>9780801823022</t>
        </is>
      </c>
      <c r="BE745" t="inlineStr">
        <is>
          <t>32285000801026</t>
        </is>
      </c>
      <c r="BF745" t="inlineStr">
        <is>
          <t>893520144</t>
        </is>
      </c>
    </row>
    <row r="746">
      <c r="A746" t="inlineStr">
        <is>
          <t>No</t>
        </is>
      </c>
      <c r="B746" t="inlineStr">
        <is>
          <t>CURAL</t>
        </is>
      </c>
      <c r="C746" t="inlineStr">
        <is>
          <t>SHELVES</t>
        </is>
      </c>
      <c r="D746" t="inlineStr">
        <is>
          <t>PR2976 .R93 1989</t>
        </is>
      </c>
      <c r="E746" t="inlineStr">
        <is>
          <t>0                      PR 2976000R  93          1989</t>
        </is>
      </c>
      <c r="F746" t="inlineStr">
        <is>
          <t>Shakespeare / Kiernan Ryan.</t>
        </is>
      </c>
      <c r="H746" t="inlineStr">
        <is>
          <t>No</t>
        </is>
      </c>
      <c r="I746" t="inlineStr">
        <is>
          <t>1</t>
        </is>
      </c>
      <c r="J746" t="inlineStr">
        <is>
          <t>No</t>
        </is>
      </c>
      <c r="K746" t="inlineStr">
        <is>
          <t>No</t>
        </is>
      </c>
      <c r="L746" t="inlineStr">
        <is>
          <t>0</t>
        </is>
      </c>
      <c r="M746" t="inlineStr">
        <is>
          <t>Ryan, Kiernan, 1950-</t>
        </is>
      </c>
      <c r="N746" t="inlineStr">
        <is>
          <t>Atlantic Highlands, NJ : Humanities Press International, 1989.</t>
        </is>
      </c>
      <c r="O746" t="inlineStr">
        <is>
          <t>1989</t>
        </is>
      </c>
      <c r="Q746" t="inlineStr">
        <is>
          <t>eng</t>
        </is>
      </c>
      <c r="R746" t="inlineStr">
        <is>
          <t>nju</t>
        </is>
      </c>
      <c r="S746" t="inlineStr">
        <is>
          <t>Harvester new readings</t>
        </is>
      </c>
      <c r="T746" t="inlineStr">
        <is>
          <t xml:space="preserve">PR </t>
        </is>
      </c>
      <c r="U746" t="n">
        <v>6</v>
      </c>
      <c r="V746" t="n">
        <v>6</v>
      </c>
      <c r="W746" t="inlineStr">
        <is>
          <t>2001-12-10</t>
        </is>
      </c>
      <c r="X746" t="inlineStr">
        <is>
          <t>2001-12-10</t>
        </is>
      </c>
      <c r="Y746" t="inlineStr">
        <is>
          <t>1990-04-02</t>
        </is>
      </c>
      <c r="Z746" t="inlineStr">
        <is>
          <t>1990-04-02</t>
        </is>
      </c>
      <c r="AA746" t="n">
        <v>214</v>
      </c>
      <c r="AB746" t="n">
        <v>176</v>
      </c>
      <c r="AC746" t="n">
        <v>403</v>
      </c>
      <c r="AD746" t="n">
        <v>1</v>
      </c>
      <c r="AE746" t="n">
        <v>1</v>
      </c>
      <c r="AF746" t="n">
        <v>10</v>
      </c>
      <c r="AG746" t="n">
        <v>22</v>
      </c>
      <c r="AH746" t="n">
        <v>3</v>
      </c>
      <c r="AI746" t="n">
        <v>8</v>
      </c>
      <c r="AJ746" t="n">
        <v>1</v>
      </c>
      <c r="AK746" t="n">
        <v>6</v>
      </c>
      <c r="AL746" t="n">
        <v>9</v>
      </c>
      <c r="AM746" t="n">
        <v>15</v>
      </c>
      <c r="AN746" t="n">
        <v>0</v>
      </c>
      <c r="AO746" t="n">
        <v>0</v>
      </c>
      <c r="AP746" t="n">
        <v>0</v>
      </c>
      <c r="AQ746" t="n">
        <v>0</v>
      </c>
      <c r="AR746" t="inlineStr">
        <is>
          <t>No</t>
        </is>
      </c>
      <c r="AS746" t="inlineStr">
        <is>
          <t>No</t>
        </is>
      </c>
      <c r="AU746">
        <f>HYPERLINK("https://creighton-primo.hosted.exlibrisgroup.com/primo-explore/search?tab=default_tab&amp;search_scope=EVERYTHING&amp;vid=01CRU&amp;lang=en_US&amp;offset=0&amp;query=any,contains,991001494139702656","Catalog Record")</f>
        <v/>
      </c>
      <c r="AV746">
        <f>HYPERLINK("http://www.worldcat.org/oclc/19741310","WorldCat Record")</f>
        <v/>
      </c>
      <c r="AW746" t="inlineStr">
        <is>
          <t>3980492951:eng</t>
        </is>
      </c>
      <c r="AX746" t="inlineStr">
        <is>
          <t>19741310</t>
        </is>
      </c>
      <c r="AY746" t="inlineStr">
        <is>
          <t>991001494139702656</t>
        </is>
      </c>
      <c r="AZ746" t="inlineStr">
        <is>
          <t>991001494139702656</t>
        </is>
      </c>
      <c r="BA746" t="inlineStr">
        <is>
          <t>2266133390002656</t>
        </is>
      </c>
      <c r="BB746" t="inlineStr">
        <is>
          <t>BOOK</t>
        </is>
      </c>
      <c r="BD746" t="inlineStr">
        <is>
          <t>9780391035867</t>
        </is>
      </c>
      <c r="BE746" t="inlineStr">
        <is>
          <t>32285000092824</t>
        </is>
      </c>
      <c r="BF746" t="inlineStr">
        <is>
          <t>893408169</t>
        </is>
      </c>
    </row>
    <row r="747">
      <c r="A747" t="inlineStr">
        <is>
          <t>No</t>
        </is>
      </c>
      <c r="B747" t="inlineStr">
        <is>
          <t>CURAL</t>
        </is>
      </c>
      <c r="C747" t="inlineStr">
        <is>
          <t>SHELVES</t>
        </is>
      </c>
      <c r="D747" t="inlineStr">
        <is>
          <t>PR2976 .S325 1988</t>
        </is>
      </c>
      <c r="E747" t="inlineStr">
        <is>
          <t>0                      PR 2976000S  325         1988</t>
        </is>
      </c>
      <c r="F747" t="inlineStr">
        <is>
          <t>Discovering Shakespeare's meaning / Leah Scragg.</t>
        </is>
      </c>
      <c r="H747" t="inlineStr">
        <is>
          <t>No</t>
        </is>
      </c>
      <c r="I747" t="inlineStr">
        <is>
          <t>1</t>
        </is>
      </c>
      <c r="J747" t="inlineStr">
        <is>
          <t>No</t>
        </is>
      </c>
      <c r="K747" t="inlineStr">
        <is>
          <t>No</t>
        </is>
      </c>
      <c r="L747" t="inlineStr">
        <is>
          <t>0</t>
        </is>
      </c>
      <c r="M747" t="inlineStr">
        <is>
          <t>Scragg, Leah.</t>
        </is>
      </c>
      <c r="N747" t="inlineStr">
        <is>
          <t>Totowa, N.J. : Barnes &amp; Noble, 1988.</t>
        </is>
      </c>
      <c r="O747" t="inlineStr">
        <is>
          <t>1987</t>
        </is>
      </c>
      <c r="Q747" t="inlineStr">
        <is>
          <t>eng</t>
        </is>
      </c>
      <c r="R747" t="inlineStr">
        <is>
          <t>nju</t>
        </is>
      </c>
      <c r="T747" t="inlineStr">
        <is>
          <t xml:space="preserve">PR </t>
        </is>
      </c>
      <c r="U747" t="n">
        <v>4</v>
      </c>
      <c r="V747" t="n">
        <v>4</v>
      </c>
      <c r="W747" t="inlineStr">
        <is>
          <t>1998-03-24</t>
        </is>
      </c>
      <c r="X747" t="inlineStr">
        <is>
          <t>1998-03-24</t>
        </is>
      </c>
      <c r="Y747" t="inlineStr">
        <is>
          <t>1991-10-24</t>
        </is>
      </c>
      <c r="Z747" t="inlineStr">
        <is>
          <t>1991-10-24</t>
        </is>
      </c>
      <c r="AA747" t="n">
        <v>307</v>
      </c>
      <c r="AB747" t="n">
        <v>285</v>
      </c>
      <c r="AC747" t="n">
        <v>353</v>
      </c>
      <c r="AD747" t="n">
        <v>1</v>
      </c>
      <c r="AE747" t="n">
        <v>2</v>
      </c>
      <c r="AF747" t="n">
        <v>7</v>
      </c>
      <c r="AG747" t="n">
        <v>12</v>
      </c>
      <c r="AH747" t="n">
        <v>3</v>
      </c>
      <c r="AI747" t="n">
        <v>4</v>
      </c>
      <c r="AJ747" t="n">
        <v>1</v>
      </c>
      <c r="AK747" t="n">
        <v>3</v>
      </c>
      <c r="AL747" t="n">
        <v>5</v>
      </c>
      <c r="AM747" t="n">
        <v>8</v>
      </c>
      <c r="AN747" t="n">
        <v>0</v>
      </c>
      <c r="AO747" t="n">
        <v>1</v>
      </c>
      <c r="AP747" t="n">
        <v>0</v>
      </c>
      <c r="AQ747" t="n">
        <v>0</v>
      </c>
      <c r="AR747" t="inlineStr">
        <is>
          <t>No</t>
        </is>
      </c>
      <c r="AS747" t="inlineStr">
        <is>
          <t>No</t>
        </is>
      </c>
      <c r="AU747">
        <f>HYPERLINK("https://creighton-primo.hosted.exlibrisgroup.com/primo-explore/search?tab=default_tab&amp;search_scope=EVERYTHING&amp;vid=01CRU&amp;lang=en_US&amp;offset=0&amp;query=any,contains,991001073649702656","Catalog Record")</f>
        <v/>
      </c>
      <c r="AV747">
        <f>HYPERLINK("http://www.worldcat.org/oclc/16003927","WorldCat Record")</f>
        <v/>
      </c>
      <c r="AW747" t="inlineStr">
        <is>
          <t>3855596108:eng</t>
        </is>
      </c>
      <c r="AX747" t="inlineStr">
        <is>
          <t>16003927</t>
        </is>
      </c>
      <c r="AY747" t="inlineStr">
        <is>
          <t>991001073649702656</t>
        </is>
      </c>
      <c r="AZ747" t="inlineStr">
        <is>
          <t>991001073649702656</t>
        </is>
      </c>
      <c r="BA747" t="inlineStr">
        <is>
          <t>2272548360002656</t>
        </is>
      </c>
      <c r="BB747" t="inlineStr">
        <is>
          <t>BOOK</t>
        </is>
      </c>
      <c r="BD747" t="inlineStr">
        <is>
          <t>9780389207580</t>
        </is>
      </c>
      <c r="BE747" t="inlineStr">
        <is>
          <t>32285000801034</t>
        </is>
      </c>
      <c r="BF747" t="inlineStr">
        <is>
          <t>893903278</t>
        </is>
      </c>
    </row>
    <row r="748">
      <c r="A748" t="inlineStr">
        <is>
          <t>No</t>
        </is>
      </c>
      <c r="B748" t="inlineStr">
        <is>
          <t>CURAL</t>
        </is>
      </c>
      <c r="C748" t="inlineStr">
        <is>
          <t>SHELVES</t>
        </is>
      </c>
      <c r="D748" t="inlineStr">
        <is>
          <t>PR2976 .S33734 1988</t>
        </is>
      </c>
      <c r="E748" t="inlineStr">
        <is>
          <t>0                      PR 2976000S  33734       1988</t>
        </is>
      </c>
      <c r="F748" t="inlineStr">
        <is>
          <t>Shakespeare and the triple play : from study to stage to classroom / edited by Sidney Homan.</t>
        </is>
      </c>
      <c r="H748" t="inlineStr">
        <is>
          <t>No</t>
        </is>
      </c>
      <c r="I748" t="inlineStr">
        <is>
          <t>1</t>
        </is>
      </c>
      <c r="J748" t="inlineStr">
        <is>
          <t>No</t>
        </is>
      </c>
      <c r="K748" t="inlineStr">
        <is>
          <t>No</t>
        </is>
      </c>
      <c r="L748" t="inlineStr">
        <is>
          <t>0</t>
        </is>
      </c>
      <c r="N748" t="inlineStr">
        <is>
          <t>Lewisburg : Bucknell University Press ; London : Associated University Presses, c1988.</t>
        </is>
      </c>
      <c r="O748" t="inlineStr">
        <is>
          <t>1987</t>
        </is>
      </c>
      <c r="Q748" t="inlineStr">
        <is>
          <t>eng</t>
        </is>
      </c>
      <c r="R748" t="inlineStr">
        <is>
          <t>pau</t>
        </is>
      </c>
      <c r="T748" t="inlineStr">
        <is>
          <t xml:space="preserve">PR </t>
        </is>
      </c>
      <c r="U748" t="n">
        <v>0</v>
      </c>
      <c r="V748" t="n">
        <v>0</v>
      </c>
      <c r="W748" t="inlineStr">
        <is>
          <t>2005-03-31</t>
        </is>
      </c>
      <c r="X748" t="inlineStr">
        <is>
          <t>2005-03-31</t>
        </is>
      </c>
      <c r="Y748" t="inlineStr">
        <is>
          <t>1991-10-24</t>
        </is>
      </c>
      <c r="Z748" t="inlineStr">
        <is>
          <t>1991-10-24</t>
        </is>
      </c>
      <c r="AA748" t="n">
        <v>461</v>
      </c>
      <c r="AB748" t="n">
        <v>392</v>
      </c>
      <c r="AC748" t="n">
        <v>403</v>
      </c>
      <c r="AD748" t="n">
        <v>2</v>
      </c>
      <c r="AE748" t="n">
        <v>2</v>
      </c>
      <c r="AF748" t="n">
        <v>21</v>
      </c>
      <c r="AG748" t="n">
        <v>22</v>
      </c>
      <c r="AH748" t="n">
        <v>7</v>
      </c>
      <c r="AI748" t="n">
        <v>8</v>
      </c>
      <c r="AJ748" t="n">
        <v>5</v>
      </c>
      <c r="AK748" t="n">
        <v>5</v>
      </c>
      <c r="AL748" t="n">
        <v>15</v>
      </c>
      <c r="AM748" t="n">
        <v>15</v>
      </c>
      <c r="AN748" t="n">
        <v>1</v>
      </c>
      <c r="AO748" t="n">
        <v>1</v>
      </c>
      <c r="AP748" t="n">
        <v>0</v>
      </c>
      <c r="AQ748" t="n">
        <v>0</v>
      </c>
      <c r="AR748" t="inlineStr">
        <is>
          <t>No</t>
        </is>
      </c>
      <c r="AS748" t="inlineStr">
        <is>
          <t>Yes</t>
        </is>
      </c>
      <c r="AT748">
        <f>HYPERLINK("http://catalog.hathitrust.org/Record/000911139","HathiTrust Record")</f>
        <v/>
      </c>
      <c r="AU748">
        <f>HYPERLINK("https://creighton-primo.hosted.exlibrisgroup.com/primo-explore/search?tab=default_tab&amp;search_scope=EVERYTHING&amp;vid=01CRU&amp;lang=en_US&amp;offset=0&amp;query=any,contains,991001135599702656","Catalog Record")</f>
        <v/>
      </c>
      <c r="AV748">
        <f>HYPERLINK("http://www.worldcat.org/oclc/16710819","WorldCat Record")</f>
        <v/>
      </c>
      <c r="AW748" t="inlineStr">
        <is>
          <t>836719660:eng</t>
        </is>
      </c>
      <c r="AX748" t="inlineStr">
        <is>
          <t>16710819</t>
        </is>
      </c>
      <c r="AY748" t="inlineStr">
        <is>
          <t>991001135599702656</t>
        </is>
      </c>
      <c r="AZ748" t="inlineStr">
        <is>
          <t>991001135599702656</t>
        </is>
      </c>
      <c r="BA748" t="inlineStr">
        <is>
          <t>2260963200002656</t>
        </is>
      </c>
      <c r="BB748" t="inlineStr">
        <is>
          <t>BOOK</t>
        </is>
      </c>
      <c r="BD748" t="inlineStr">
        <is>
          <t>9780838751220</t>
        </is>
      </c>
      <c r="BE748" t="inlineStr">
        <is>
          <t>32285000801042</t>
        </is>
      </c>
      <c r="BF748" t="inlineStr">
        <is>
          <t>893596225</t>
        </is>
      </c>
    </row>
    <row r="749">
      <c r="A749" t="inlineStr">
        <is>
          <t>No</t>
        </is>
      </c>
      <c r="B749" t="inlineStr">
        <is>
          <t>CURAL</t>
        </is>
      </c>
      <c r="C749" t="inlineStr">
        <is>
          <t>SHELVES</t>
        </is>
      </c>
      <c r="D749" t="inlineStr">
        <is>
          <t>PR2976 .S3378 1988</t>
        </is>
      </c>
      <c r="E749" t="inlineStr">
        <is>
          <t>0                      PR 2976000S  3378        1988</t>
        </is>
      </c>
      <c r="F749" t="inlineStr">
        <is>
          <t>The Shakespeare myth / edited by Graham Holderness.</t>
        </is>
      </c>
      <c r="H749" t="inlineStr">
        <is>
          <t>No</t>
        </is>
      </c>
      <c r="I749" t="inlineStr">
        <is>
          <t>1</t>
        </is>
      </c>
      <c r="J749" t="inlineStr">
        <is>
          <t>No</t>
        </is>
      </c>
      <c r="K749" t="inlineStr">
        <is>
          <t>No</t>
        </is>
      </c>
      <c r="L749" t="inlineStr">
        <is>
          <t>0</t>
        </is>
      </c>
      <c r="N749" t="inlineStr">
        <is>
          <t>Manchester UK : Manchester University Press ; New York : Distributed exclusively in the USA and Canada by St. Martin's Press, c1988.</t>
        </is>
      </c>
      <c r="O749" t="inlineStr">
        <is>
          <t>1988</t>
        </is>
      </c>
      <c r="Q749" t="inlineStr">
        <is>
          <t>eng</t>
        </is>
      </c>
      <c r="R749" t="inlineStr">
        <is>
          <t>enk</t>
        </is>
      </c>
      <c r="S749" t="inlineStr">
        <is>
          <t>Cultural politics</t>
        </is>
      </c>
      <c r="T749" t="inlineStr">
        <is>
          <t xml:space="preserve">PR </t>
        </is>
      </c>
      <c r="U749" t="n">
        <v>3</v>
      </c>
      <c r="V749" t="n">
        <v>3</v>
      </c>
      <c r="W749" t="inlineStr">
        <is>
          <t>2002-07-01</t>
        </is>
      </c>
      <c r="X749" t="inlineStr">
        <is>
          <t>2002-07-01</t>
        </is>
      </c>
      <c r="Y749" t="inlineStr">
        <is>
          <t>1991-10-24</t>
        </is>
      </c>
      <c r="Z749" t="inlineStr">
        <is>
          <t>1991-10-24</t>
        </is>
      </c>
      <c r="AA749" t="n">
        <v>486</v>
      </c>
      <c r="AB749" t="n">
        <v>284</v>
      </c>
      <c r="AC749" t="n">
        <v>293</v>
      </c>
      <c r="AD749" t="n">
        <v>3</v>
      </c>
      <c r="AE749" t="n">
        <v>3</v>
      </c>
      <c r="AF749" t="n">
        <v>14</v>
      </c>
      <c r="AG749" t="n">
        <v>14</v>
      </c>
      <c r="AH749" t="n">
        <v>5</v>
      </c>
      <c r="AI749" t="n">
        <v>5</v>
      </c>
      <c r="AJ749" t="n">
        <v>4</v>
      </c>
      <c r="AK749" t="n">
        <v>4</v>
      </c>
      <c r="AL749" t="n">
        <v>8</v>
      </c>
      <c r="AM749" t="n">
        <v>8</v>
      </c>
      <c r="AN749" t="n">
        <v>2</v>
      </c>
      <c r="AO749" t="n">
        <v>2</v>
      </c>
      <c r="AP749" t="n">
        <v>0</v>
      </c>
      <c r="AQ749" t="n">
        <v>0</v>
      </c>
      <c r="AR749" t="inlineStr">
        <is>
          <t>No</t>
        </is>
      </c>
      <c r="AS749" t="inlineStr">
        <is>
          <t>Yes</t>
        </is>
      </c>
      <c r="AT749">
        <f>HYPERLINK("http://catalog.hathitrust.org/Record/000923246","HathiTrust Record")</f>
        <v/>
      </c>
      <c r="AU749">
        <f>HYPERLINK("https://creighton-primo.hosted.exlibrisgroup.com/primo-explore/search?tab=default_tab&amp;search_scope=EVERYTHING&amp;vid=01CRU&amp;lang=en_US&amp;offset=0&amp;query=any,contains,991001214869702656","Catalog Record")</f>
        <v/>
      </c>
      <c r="AV749">
        <f>HYPERLINK("http://www.worldcat.org/oclc/16471010","WorldCat Record")</f>
        <v/>
      </c>
      <c r="AW749" t="inlineStr">
        <is>
          <t>3372316111:eng</t>
        </is>
      </c>
      <c r="AX749" t="inlineStr">
        <is>
          <t>16471010</t>
        </is>
      </c>
      <c r="AY749" t="inlineStr">
        <is>
          <t>991001214869702656</t>
        </is>
      </c>
      <c r="AZ749" t="inlineStr">
        <is>
          <t>991001214869702656</t>
        </is>
      </c>
      <c r="BA749" t="inlineStr">
        <is>
          <t>2265128120002656</t>
        </is>
      </c>
      <c r="BB749" t="inlineStr">
        <is>
          <t>BOOK</t>
        </is>
      </c>
      <c r="BD749" t="inlineStr">
        <is>
          <t>9780719014888</t>
        </is>
      </c>
      <c r="BE749" t="inlineStr">
        <is>
          <t>32285000801075</t>
        </is>
      </c>
      <c r="BF749" t="inlineStr">
        <is>
          <t>893709090</t>
        </is>
      </c>
    </row>
    <row r="750">
      <c r="A750" t="inlineStr">
        <is>
          <t>No</t>
        </is>
      </c>
      <c r="B750" t="inlineStr">
        <is>
          <t>CURAL</t>
        </is>
      </c>
      <c r="C750" t="inlineStr">
        <is>
          <t>SHELVES</t>
        </is>
      </c>
      <c r="D750" t="inlineStr">
        <is>
          <t>PR2976 .S33825 1998</t>
        </is>
      </c>
      <c r="E750" t="inlineStr">
        <is>
          <t>0                      PR 2976000S  33825       1998</t>
        </is>
      </c>
      <c r="F750" t="inlineStr">
        <is>
          <t>Shakespeare : readers, audiences, players / edited by R.S. White, Charles Edelman, Christopher Wortham.</t>
        </is>
      </c>
      <c r="H750" t="inlineStr">
        <is>
          <t>No</t>
        </is>
      </c>
      <c r="I750" t="inlineStr">
        <is>
          <t>1</t>
        </is>
      </c>
      <c r="J750" t="inlineStr">
        <is>
          <t>No</t>
        </is>
      </c>
      <c r="K750" t="inlineStr">
        <is>
          <t>No</t>
        </is>
      </c>
      <c r="L750" t="inlineStr">
        <is>
          <t>0</t>
        </is>
      </c>
      <c r="N750" t="inlineStr">
        <is>
          <t>Nedlands, W.A. : University of Western Australia Press, 1998.</t>
        </is>
      </c>
      <c r="O750" t="inlineStr">
        <is>
          <t>1998</t>
        </is>
      </c>
      <c r="Q750" t="inlineStr">
        <is>
          <t>eng</t>
        </is>
      </c>
      <c r="R750" t="inlineStr">
        <is>
          <t xml:space="preserve">at </t>
        </is>
      </c>
      <c r="T750" t="inlineStr">
        <is>
          <t xml:space="preserve">PR </t>
        </is>
      </c>
      <c r="U750" t="n">
        <v>1</v>
      </c>
      <c r="V750" t="n">
        <v>1</v>
      </c>
      <c r="W750" t="inlineStr">
        <is>
          <t>2001-05-30</t>
        </is>
      </c>
      <c r="X750" t="inlineStr">
        <is>
          <t>2001-05-30</t>
        </is>
      </c>
      <c r="Y750" t="inlineStr">
        <is>
          <t>2001-05-30</t>
        </is>
      </c>
      <c r="Z750" t="inlineStr">
        <is>
          <t>2001-05-30</t>
        </is>
      </c>
      <c r="AA750" t="n">
        <v>154</v>
      </c>
      <c r="AB750" t="n">
        <v>95</v>
      </c>
      <c r="AC750" t="n">
        <v>95</v>
      </c>
      <c r="AD750" t="n">
        <v>2</v>
      </c>
      <c r="AE750" t="n">
        <v>2</v>
      </c>
      <c r="AF750" t="n">
        <v>6</v>
      </c>
      <c r="AG750" t="n">
        <v>6</v>
      </c>
      <c r="AH750" t="n">
        <v>0</v>
      </c>
      <c r="AI750" t="n">
        <v>0</v>
      </c>
      <c r="AJ750" t="n">
        <v>2</v>
      </c>
      <c r="AK750" t="n">
        <v>2</v>
      </c>
      <c r="AL750" t="n">
        <v>4</v>
      </c>
      <c r="AM750" t="n">
        <v>4</v>
      </c>
      <c r="AN750" t="n">
        <v>1</v>
      </c>
      <c r="AO750" t="n">
        <v>1</v>
      </c>
      <c r="AP750" t="n">
        <v>0</v>
      </c>
      <c r="AQ750" t="n">
        <v>0</v>
      </c>
      <c r="AR750" t="inlineStr">
        <is>
          <t>No</t>
        </is>
      </c>
      <c r="AS750" t="inlineStr">
        <is>
          <t>No</t>
        </is>
      </c>
      <c r="AU750">
        <f>HYPERLINK("https://creighton-primo.hosted.exlibrisgroup.com/primo-explore/search?tab=default_tab&amp;search_scope=EVERYTHING&amp;vid=01CRU&amp;lang=en_US&amp;offset=0&amp;query=any,contains,991003506069702656","Catalog Record")</f>
        <v/>
      </c>
      <c r="AV750">
        <f>HYPERLINK("http://www.worldcat.org/oclc/39442862","WorldCat Record")</f>
        <v/>
      </c>
      <c r="AW750" t="inlineStr">
        <is>
          <t>837006355:eng</t>
        </is>
      </c>
      <c r="AX750" t="inlineStr">
        <is>
          <t>39442862</t>
        </is>
      </c>
      <c r="AY750" t="inlineStr">
        <is>
          <t>991003506069702656</t>
        </is>
      </c>
      <c r="AZ750" t="inlineStr">
        <is>
          <t>991003506069702656</t>
        </is>
      </c>
      <c r="BA750" t="inlineStr">
        <is>
          <t>2256820240002656</t>
        </is>
      </c>
      <c r="BB750" t="inlineStr">
        <is>
          <t>BOOK</t>
        </is>
      </c>
      <c r="BD750" t="inlineStr">
        <is>
          <t>9781876268138</t>
        </is>
      </c>
      <c r="BE750" t="inlineStr">
        <is>
          <t>32285004319272</t>
        </is>
      </c>
      <c r="BF750" t="inlineStr">
        <is>
          <t>893793667</t>
        </is>
      </c>
    </row>
    <row r="751">
      <c r="A751" t="inlineStr">
        <is>
          <t>No</t>
        </is>
      </c>
      <c r="B751" t="inlineStr">
        <is>
          <t>CURAL</t>
        </is>
      </c>
      <c r="C751" t="inlineStr">
        <is>
          <t>SHELVES</t>
        </is>
      </c>
      <c r="D751" t="inlineStr">
        <is>
          <t>PR2976 .S3383 1994</t>
        </is>
      </c>
      <c r="E751" t="inlineStr">
        <is>
          <t>0                      PR 2976000S  3383        1994</t>
        </is>
      </c>
      <c r="F751" t="inlineStr">
        <is>
          <t>Shakespeare reread : the texts in new contexts / edited by Russ McDonald.</t>
        </is>
      </c>
      <c r="H751" t="inlineStr">
        <is>
          <t>No</t>
        </is>
      </c>
      <c r="I751" t="inlineStr">
        <is>
          <t>1</t>
        </is>
      </c>
      <c r="J751" t="inlineStr">
        <is>
          <t>No</t>
        </is>
      </c>
      <c r="K751" t="inlineStr">
        <is>
          <t>No</t>
        </is>
      </c>
      <c r="L751" t="inlineStr">
        <is>
          <t>0</t>
        </is>
      </c>
      <c r="N751" t="inlineStr">
        <is>
          <t>Ithaca : Cornell University Press, 1994.</t>
        </is>
      </c>
      <c r="O751" t="inlineStr">
        <is>
          <t>1994</t>
        </is>
      </c>
      <c r="Q751" t="inlineStr">
        <is>
          <t>eng</t>
        </is>
      </c>
      <c r="R751" t="inlineStr">
        <is>
          <t>nyu</t>
        </is>
      </c>
      <c r="T751" t="inlineStr">
        <is>
          <t xml:space="preserve">PR </t>
        </is>
      </c>
      <c r="U751" t="n">
        <v>4</v>
      </c>
      <c r="V751" t="n">
        <v>4</v>
      </c>
      <c r="W751" t="inlineStr">
        <is>
          <t>2007-12-08</t>
        </is>
      </c>
      <c r="X751" t="inlineStr">
        <is>
          <t>2007-12-08</t>
        </is>
      </c>
      <c r="Y751" t="inlineStr">
        <is>
          <t>1995-05-31</t>
        </is>
      </c>
      <c r="Z751" t="inlineStr">
        <is>
          <t>1995-05-31</t>
        </is>
      </c>
      <c r="AA751" t="n">
        <v>711</v>
      </c>
      <c r="AB751" t="n">
        <v>578</v>
      </c>
      <c r="AC751" t="n">
        <v>741</v>
      </c>
      <c r="AD751" t="n">
        <v>7</v>
      </c>
      <c r="AE751" t="n">
        <v>7</v>
      </c>
      <c r="AF751" t="n">
        <v>33</v>
      </c>
      <c r="AG751" t="n">
        <v>36</v>
      </c>
      <c r="AH751" t="n">
        <v>12</v>
      </c>
      <c r="AI751" t="n">
        <v>14</v>
      </c>
      <c r="AJ751" t="n">
        <v>7</v>
      </c>
      <c r="AK751" t="n">
        <v>8</v>
      </c>
      <c r="AL751" t="n">
        <v>17</v>
      </c>
      <c r="AM751" t="n">
        <v>18</v>
      </c>
      <c r="AN751" t="n">
        <v>6</v>
      </c>
      <c r="AO751" t="n">
        <v>6</v>
      </c>
      <c r="AP751" t="n">
        <v>0</v>
      </c>
      <c r="AQ751" t="n">
        <v>0</v>
      </c>
      <c r="AR751" t="inlineStr">
        <is>
          <t>No</t>
        </is>
      </c>
      <c r="AS751" t="inlineStr">
        <is>
          <t>No</t>
        </is>
      </c>
      <c r="AU751">
        <f>HYPERLINK("https://creighton-primo.hosted.exlibrisgroup.com/primo-explore/search?tab=default_tab&amp;search_scope=EVERYTHING&amp;vid=01CRU&amp;lang=en_US&amp;offset=0&amp;query=any,contains,991002268299702656","Catalog Record")</f>
        <v/>
      </c>
      <c r="AV751">
        <f>HYPERLINK("http://www.worldcat.org/oclc/29428912","WorldCat Record")</f>
        <v/>
      </c>
      <c r="AW751" t="inlineStr">
        <is>
          <t>836964034:eng</t>
        </is>
      </c>
      <c r="AX751" t="inlineStr">
        <is>
          <t>29428912</t>
        </is>
      </c>
      <c r="AY751" t="inlineStr">
        <is>
          <t>991002268299702656</t>
        </is>
      </c>
      <c r="AZ751" t="inlineStr">
        <is>
          <t>991002268299702656</t>
        </is>
      </c>
      <c r="BA751" t="inlineStr">
        <is>
          <t>2269760390002656</t>
        </is>
      </c>
      <c r="BB751" t="inlineStr">
        <is>
          <t>BOOK</t>
        </is>
      </c>
      <c r="BD751" t="inlineStr">
        <is>
          <t>9780801429170</t>
        </is>
      </c>
      <c r="BE751" t="inlineStr">
        <is>
          <t>32285002048618</t>
        </is>
      </c>
      <c r="BF751" t="inlineStr">
        <is>
          <t>893627041</t>
        </is>
      </c>
    </row>
    <row r="752">
      <c r="A752" t="inlineStr">
        <is>
          <t>No</t>
        </is>
      </c>
      <c r="B752" t="inlineStr">
        <is>
          <t>CURAL</t>
        </is>
      </c>
      <c r="C752" t="inlineStr">
        <is>
          <t>SHELVES</t>
        </is>
      </c>
      <c r="D752" t="inlineStr">
        <is>
          <t>PR2976 .S3384 1986</t>
        </is>
      </c>
      <c r="E752" t="inlineStr">
        <is>
          <t>0                      PR 2976000S  3384        1986</t>
        </is>
      </c>
      <c r="F752" t="inlineStr">
        <is>
          <t>Shakespeare study today : the Horace Howard Furness memorial lectures / edited by Georgianna Ziegler.</t>
        </is>
      </c>
      <c r="H752" t="inlineStr">
        <is>
          <t>No</t>
        </is>
      </c>
      <c r="I752" t="inlineStr">
        <is>
          <t>1</t>
        </is>
      </c>
      <c r="J752" t="inlineStr">
        <is>
          <t>No</t>
        </is>
      </c>
      <c r="K752" t="inlineStr">
        <is>
          <t>No</t>
        </is>
      </c>
      <c r="L752" t="inlineStr">
        <is>
          <t>0</t>
        </is>
      </c>
      <c r="N752" t="inlineStr">
        <is>
          <t>New York : AMS Press, c1986.</t>
        </is>
      </c>
      <c r="O752" t="inlineStr">
        <is>
          <t>1986</t>
        </is>
      </c>
      <c r="Q752" t="inlineStr">
        <is>
          <t>eng</t>
        </is>
      </c>
      <c r="R752" t="inlineStr">
        <is>
          <t>nyu</t>
        </is>
      </c>
      <c r="S752" t="inlineStr">
        <is>
          <t>AMS studies in the Renaissance, 0195-8011 ; no. 13</t>
        </is>
      </c>
      <c r="T752" t="inlineStr">
        <is>
          <t xml:space="preserve">PR </t>
        </is>
      </c>
      <c r="U752" t="n">
        <v>4</v>
      </c>
      <c r="V752" t="n">
        <v>4</v>
      </c>
      <c r="W752" t="inlineStr">
        <is>
          <t>1994-09-16</t>
        </is>
      </c>
      <c r="X752" t="inlineStr">
        <is>
          <t>1994-09-16</t>
        </is>
      </c>
      <c r="Y752" t="inlineStr">
        <is>
          <t>1991-10-24</t>
        </is>
      </c>
      <c r="Z752" t="inlineStr">
        <is>
          <t>1991-10-24</t>
        </is>
      </c>
      <c r="AA752" t="n">
        <v>264</v>
      </c>
      <c r="AB752" t="n">
        <v>193</v>
      </c>
      <c r="AC752" t="n">
        <v>201</v>
      </c>
      <c r="AD752" t="n">
        <v>1</v>
      </c>
      <c r="AE752" t="n">
        <v>1</v>
      </c>
      <c r="AF752" t="n">
        <v>9</v>
      </c>
      <c r="AG752" t="n">
        <v>9</v>
      </c>
      <c r="AH752" t="n">
        <v>1</v>
      </c>
      <c r="AI752" t="n">
        <v>1</v>
      </c>
      <c r="AJ752" t="n">
        <v>3</v>
      </c>
      <c r="AK752" t="n">
        <v>3</v>
      </c>
      <c r="AL752" t="n">
        <v>8</v>
      </c>
      <c r="AM752" t="n">
        <v>8</v>
      </c>
      <c r="AN752" t="n">
        <v>0</v>
      </c>
      <c r="AO752" t="n">
        <v>0</v>
      </c>
      <c r="AP752" t="n">
        <v>0</v>
      </c>
      <c r="AQ752" t="n">
        <v>0</v>
      </c>
      <c r="AR752" t="inlineStr">
        <is>
          <t>No</t>
        </is>
      </c>
      <c r="AS752" t="inlineStr">
        <is>
          <t>Yes</t>
        </is>
      </c>
      <c r="AT752">
        <f>HYPERLINK("http://catalog.hathitrust.org/Record/000394391","HathiTrust Record")</f>
        <v/>
      </c>
      <c r="AU752">
        <f>HYPERLINK("https://creighton-primo.hosted.exlibrisgroup.com/primo-explore/search?tab=default_tab&amp;search_scope=EVERYTHING&amp;vid=01CRU&amp;lang=en_US&amp;offset=0&amp;query=any,contains,991000722599702656","Catalog Record")</f>
        <v/>
      </c>
      <c r="AV752">
        <f>HYPERLINK("http://www.worldcat.org/oclc/12668699","WorldCat Record")</f>
        <v/>
      </c>
      <c r="AW752" t="inlineStr">
        <is>
          <t>889980986:eng</t>
        </is>
      </c>
      <c r="AX752" t="inlineStr">
        <is>
          <t>12668699</t>
        </is>
      </c>
      <c r="AY752" t="inlineStr">
        <is>
          <t>991000722599702656</t>
        </is>
      </c>
      <c r="AZ752" t="inlineStr">
        <is>
          <t>991000722599702656</t>
        </is>
      </c>
      <c r="BA752" t="inlineStr">
        <is>
          <t>2266459810002656</t>
        </is>
      </c>
      <c r="BB752" t="inlineStr">
        <is>
          <t>BOOK</t>
        </is>
      </c>
      <c r="BD752" t="inlineStr">
        <is>
          <t>9780404622831</t>
        </is>
      </c>
      <c r="BE752" t="inlineStr">
        <is>
          <t>32285000801083</t>
        </is>
      </c>
      <c r="BF752" t="inlineStr">
        <is>
          <t>893626419</t>
        </is>
      </c>
    </row>
    <row r="753">
      <c r="A753" t="inlineStr">
        <is>
          <t>No</t>
        </is>
      </c>
      <c r="B753" t="inlineStr">
        <is>
          <t>CURAL</t>
        </is>
      </c>
      <c r="C753" t="inlineStr">
        <is>
          <t>SHELVES</t>
        </is>
      </c>
      <c r="D753" t="inlineStr">
        <is>
          <t>PR2976 .S339</t>
        </is>
      </c>
      <c r="E753" t="inlineStr">
        <is>
          <t>0                      PR 2976000S  339</t>
        </is>
      </c>
      <c r="F753" t="inlineStr">
        <is>
          <t>Shakespeare's craft : eight lectures / edited, with an introduction by Philip H. Highfill, Jr.</t>
        </is>
      </c>
      <c r="H753" t="inlineStr">
        <is>
          <t>No</t>
        </is>
      </c>
      <c r="I753" t="inlineStr">
        <is>
          <t>1</t>
        </is>
      </c>
      <c r="J753" t="inlineStr">
        <is>
          <t>No</t>
        </is>
      </c>
      <c r="K753" t="inlineStr">
        <is>
          <t>No</t>
        </is>
      </c>
      <c r="L753" t="inlineStr">
        <is>
          <t>0</t>
        </is>
      </c>
      <c r="N753" t="inlineStr">
        <is>
          <t>Carbondale : Published for the George Washington University by Southern Illinois University Press, c1982.</t>
        </is>
      </c>
      <c r="O753" t="inlineStr">
        <is>
          <t>1982</t>
        </is>
      </c>
      <c r="Q753" t="inlineStr">
        <is>
          <t>eng</t>
        </is>
      </c>
      <c r="R753" t="inlineStr">
        <is>
          <t>ilu</t>
        </is>
      </c>
      <c r="S753" t="inlineStr">
        <is>
          <t>The Tupper lectures on Shakespeare</t>
        </is>
      </c>
      <c r="T753" t="inlineStr">
        <is>
          <t xml:space="preserve">PR </t>
        </is>
      </c>
      <c r="U753" t="n">
        <v>5</v>
      </c>
      <c r="V753" t="n">
        <v>5</v>
      </c>
      <c r="W753" t="inlineStr">
        <is>
          <t>1996-09-29</t>
        </is>
      </c>
      <c r="X753" t="inlineStr">
        <is>
          <t>1996-09-29</t>
        </is>
      </c>
      <c r="Y753" t="inlineStr">
        <is>
          <t>1991-10-24</t>
        </is>
      </c>
      <c r="Z753" t="inlineStr">
        <is>
          <t>1991-10-24</t>
        </is>
      </c>
      <c r="AA753" t="n">
        <v>786</v>
      </c>
      <c r="AB753" t="n">
        <v>699</v>
      </c>
      <c r="AC753" t="n">
        <v>701</v>
      </c>
      <c r="AD753" t="n">
        <v>5</v>
      </c>
      <c r="AE753" t="n">
        <v>5</v>
      </c>
      <c r="AF753" t="n">
        <v>33</v>
      </c>
      <c r="AG753" t="n">
        <v>33</v>
      </c>
      <c r="AH753" t="n">
        <v>15</v>
      </c>
      <c r="AI753" t="n">
        <v>15</v>
      </c>
      <c r="AJ753" t="n">
        <v>9</v>
      </c>
      <c r="AK753" t="n">
        <v>9</v>
      </c>
      <c r="AL753" t="n">
        <v>15</v>
      </c>
      <c r="AM753" t="n">
        <v>15</v>
      </c>
      <c r="AN753" t="n">
        <v>4</v>
      </c>
      <c r="AO753" t="n">
        <v>4</v>
      </c>
      <c r="AP753" t="n">
        <v>0</v>
      </c>
      <c r="AQ753" t="n">
        <v>0</v>
      </c>
      <c r="AR753" t="inlineStr">
        <is>
          <t>No</t>
        </is>
      </c>
      <c r="AS753" t="inlineStr">
        <is>
          <t>Yes</t>
        </is>
      </c>
      <c r="AT753">
        <f>HYPERLINK("http://catalog.hathitrust.org/Record/000761319","HathiTrust Record")</f>
        <v/>
      </c>
      <c r="AU753">
        <f>HYPERLINK("https://creighton-primo.hosted.exlibrisgroup.com/primo-explore/search?tab=default_tab&amp;search_scope=EVERYTHING&amp;vid=01CRU&amp;lang=en_US&amp;offset=0&amp;query=any,contains,991005147349702656","Catalog Record")</f>
        <v/>
      </c>
      <c r="AV753">
        <f>HYPERLINK("http://www.worldcat.org/oclc/7672197","WorldCat Record")</f>
        <v/>
      </c>
      <c r="AW753" t="inlineStr">
        <is>
          <t>908248757:eng</t>
        </is>
      </c>
      <c r="AX753" t="inlineStr">
        <is>
          <t>7672197</t>
        </is>
      </c>
      <c r="AY753" t="inlineStr">
        <is>
          <t>991005147349702656</t>
        </is>
      </c>
      <c r="AZ753" t="inlineStr">
        <is>
          <t>991005147349702656</t>
        </is>
      </c>
      <c r="BA753" t="inlineStr">
        <is>
          <t>2272520410002656</t>
        </is>
      </c>
      <c r="BB753" t="inlineStr">
        <is>
          <t>BOOK</t>
        </is>
      </c>
      <c r="BD753" t="inlineStr">
        <is>
          <t>9780809310142</t>
        </is>
      </c>
      <c r="BE753" t="inlineStr">
        <is>
          <t>32285000801091</t>
        </is>
      </c>
      <c r="BF753" t="inlineStr">
        <is>
          <t>893412392</t>
        </is>
      </c>
    </row>
    <row r="754">
      <c r="A754" t="inlineStr">
        <is>
          <t>No</t>
        </is>
      </c>
      <c r="B754" t="inlineStr">
        <is>
          <t>CURAL</t>
        </is>
      </c>
      <c r="C754" t="inlineStr">
        <is>
          <t>SHELVES</t>
        </is>
      </c>
      <c r="D754" t="inlineStr">
        <is>
          <t>PR2976 .S34</t>
        </is>
      </c>
      <c r="E754" t="inlineStr">
        <is>
          <t>0                      PR 2976000S  34</t>
        </is>
      </c>
      <c r="F754" t="inlineStr">
        <is>
          <t>Shakespeare's late plays : essays in honor of Charles Crow / edited by Richard C. Tobias and Paul G. Zolbrod.</t>
        </is>
      </c>
      <c r="H754" t="inlineStr">
        <is>
          <t>No</t>
        </is>
      </c>
      <c r="I754" t="inlineStr">
        <is>
          <t>1</t>
        </is>
      </c>
      <c r="J754" t="inlineStr">
        <is>
          <t>No</t>
        </is>
      </c>
      <c r="K754" t="inlineStr">
        <is>
          <t>No</t>
        </is>
      </c>
      <c r="L754" t="inlineStr">
        <is>
          <t>0</t>
        </is>
      </c>
      <c r="N754" t="inlineStr">
        <is>
          <t>Athens : Ohio University Press, c1974.</t>
        </is>
      </c>
      <c r="O754" t="inlineStr">
        <is>
          <t>1974</t>
        </is>
      </c>
      <c r="Q754" t="inlineStr">
        <is>
          <t>eng</t>
        </is>
      </c>
      <c r="R754" t="inlineStr">
        <is>
          <t>ohu</t>
        </is>
      </c>
      <c r="T754" t="inlineStr">
        <is>
          <t xml:space="preserve">PR </t>
        </is>
      </c>
      <c r="U754" t="n">
        <v>9</v>
      </c>
      <c r="V754" t="n">
        <v>9</v>
      </c>
      <c r="W754" t="inlineStr">
        <is>
          <t>2005-11-07</t>
        </is>
      </c>
      <c r="X754" t="inlineStr">
        <is>
          <t>2005-11-07</t>
        </is>
      </c>
      <c r="Y754" t="inlineStr">
        <is>
          <t>1992-04-22</t>
        </is>
      </c>
      <c r="Z754" t="inlineStr">
        <is>
          <t>1992-04-22</t>
        </is>
      </c>
      <c r="AA754" t="n">
        <v>707</v>
      </c>
      <c r="AB754" t="n">
        <v>629</v>
      </c>
      <c r="AC754" t="n">
        <v>630</v>
      </c>
      <c r="AD754" t="n">
        <v>7</v>
      </c>
      <c r="AE754" t="n">
        <v>7</v>
      </c>
      <c r="AF754" t="n">
        <v>33</v>
      </c>
      <c r="AG754" t="n">
        <v>33</v>
      </c>
      <c r="AH754" t="n">
        <v>14</v>
      </c>
      <c r="AI754" t="n">
        <v>14</v>
      </c>
      <c r="AJ754" t="n">
        <v>5</v>
      </c>
      <c r="AK754" t="n">
        <v>5</v>
      </c>
      <c r="AL754" t="n">
        <v>18</v>
      </c>
      <c r="AM754" t="n">
        <v>18</v>
      </c>
      <c r="AN754" t="n">
        <v>6</v>
      </c>
      <c r="AO754" t="n">
        <v>6</v>
      </c>
      <c r="AP754" t="n">
        <v>0</v>
      </c>
      <c r="AQ754" t="n">
        <v>0</v>
      </c>
      <c r="AR754" t="inlineStr">
        <is>
          <t>No</t>
        </is>
      </c>
      <c r="AS754" t="inlineStr">
        <is>
          <t>Yes</t>
        </is>
      </c>
      <c r="AT754">
        <f>HYPERLINK("http://catalog.hathitrust.org/Record/000031972","HathiTrust Record")</f>
        <v/>
      </c>
      <c r="AU754">
        <f>HYPERLINK("https://creighton-primo.hosted.exlibrisgroup.com/primo-explore/search?tab=default_tab&amp;search_scope=EVERYTHING&amp;vid=01CRU&amp;lang=en_US&amp;offset=0&amp;query=any,contains,991003674989702656","Catalog Record")</f>
        <v/>
      </c>
      <c r="AV754">
        <f>HYPERLINK("http://www.worldcat.org/oclc/1295135","WorldCat Record")</f>
        <v/>
      </c>
      <c r="AW754" t="inlineStr">
        <is>
          <t>909688949:eng</t>
        </is>
      </c>
      <c r="AX754" t="inlineStr">
        <is>
          <t>1295135</t>
        </is>
      </c>
      <c r="AY754" t="inlineStr">
        <is>
          <t>991003674989702656</t>
        </is>
      </c>
      <c r="AZ754" t="inlineStr">
        <is>
          <t>991003674989702656</t>
        </is>
      </c>
      <c r="BA754" t="inlineStr">
        <is>
          <t>2263872110002656</t>
        </is>
      </c>
      <c r="BB754" t="inlineStr">
        <is>
          <t>BOOK</t>
        </is>
      </c>
      <c r="BD754" t="inlineStr">
        <is>
          <t>9780821401781</t>
        </is>
      </c>
      <c r="BE754" t="inlineStr">
        <is>
          <t>32285001064186</t>
        </is>
      </c>
      <c r="BF754" t="inlineStr">
        <is>
          <t>893429074</t>
        </is>
      </c>
    </row>
    <row r="755">
      <c r="A755" t="inlineStr">
        <is>
          <t>No</t>
        </is>
      </c>
      <c r="B755" t="inlineStr">
        <is>
          <t>CURAL</t>
        </is>
      </c>
      <c r="C755" t="inlineStr">
        <is>
          <t>SHELVES</t>
        </is>
      </c>
      <c r="D755" t="inlineStr">
        <is>
          <t>PR2976 .S525</t>
        </is>
      </c>
      <c r="E755" t="inlineStr">
        <is>
          <t>0                      PR 2976000S  525</t>
        </is>
      </c>
      <c r="F755" t="inlineStr">
        <is>
          <t>Shakespeare's romances; a study of some ways of the imagination, by Hallett Smith.</t>
        </is>
      </c>
      <c r="H755" t="inlineStr">
        <is>
          <t>No</t>
        </is>
      </c>
      <c r="I755" t="inlineStr">
        <is>
          <t>1</t>
        </is>
      </c>
      <c r="J755" t="inlineStr">
        <is>
          <t>No</t>
        </is>
      </c>
      <c r="K755" t="inlineStr">
        <is>
          <t>No</t>
        </is>
      </c>
      <c r="L755" t="inlineStr">
        <is>
          <t>0</t>
        </is>
      </c>
      <c r="M755" t="inlineStr">
        <is>
          <t>Smith, Hallett, 1907-1996.</t>
        </is>
      </c>
      <c r="N755" t="inlineStr">
        <is>
          <t>San Marino, Calif., Huntington Library, 1972.</t>
        </is>
      </c>
      <c r="O755" t="inlineStr">
        <is>
          <t>1972</t>
        </is>
      </c>
      <c r="Q755" t="inlineStr">
        <is>
          <t>eng</t>
        </is>
      </c>
      <c r="R755" t="inlineStr">
        <is>
          <t>cau</t>
        </is>
      </c>
      <c r="T755" t="inlineStr">
        <is>
          <t xml:space="preserve">PR </t>
        </is>
      </c>
      <c r="U755" t="n">
        <v>1</v>
      </c>
      <c r="V755" t="n">
        <v>1</v>
      </c>
      <c r="W755" t="inlineStr">
        <is>
          <t>1998-04-22</t>
        </is>
      </c>
      <c r="X755" t="inlineStr">
        <is>
          <t>1998-04-22</t>
        </is>
      </c>
      <c r="Y755" t="inlineStr">
        <is>
          <t>1997-08-05</t>
        </is>
      </c>
      <c r="Z755" t="inlineStr">
        <is>
          <t>1997-08-05</t>
        </is>
      </c>
      <c r="AA755" t="n">
        <v>774</v>
      </c>
      <c r="AB755" t="n">
        <v>647</v>
      </c>
      <c r="AC755" t="n">
        <v>648</v>
      </c>
      <c r="AD755" t="n">
        <v>3</v>
      </c>
      <c r="AE755" t="n">
        <v>3</v>
      </c>
      <c r="AF755" t="n">
        <v>35</v>
      </c>
      <c r="AG755" t="n">
        <v>35</v>
      </c>
      <c r="AH755" t="n">
        <v>15</v>
      </c>
      <c r="AI755" t="n">
        <v>15</v>
      </c>
      <c r="AJ755" t="n">
        <v>8</v>
      </c>
      <c r="AK755" t="n">
        <v>8</v>
      </c>
      <c r="AL755" t="n">
        <v>21</v>
      </c>
      <c r="AM755" t="n">
        <v>21</v>
      </c>
      <c r="AN755" t="n">
        <v>2</v>
      </c>
      <c r="AO755" t="n">
        <v>2</v>
      </c>
      <c r="AP755" t="n">
        <v>0</v>
      </c>
      <c r="AQ755" t="n">
        <v>0</v>
      </c>
      <c r="AR755" t="inlineStr">
        <is>
          <t>No</t>
        </is>
      </c>
      <c r="AS755" t="inlineStr">
        <is>
          <t>No</t>
        </is>
      </c>
      <c r="AU755">
        <f>HYPERLINK("https://creighton-primo.hosted.exlibrisgroup.com/primo-explore/search?tab=default_tab&amp;search_scope=EVERYTHING&amp;vid=01CRU&amp;lang=en_US&amp;offset=0&amp;query=any,contains,991002937139702656","Catalog Record")</f>
        <v/>
      </c>
      <c r="AV755">
        <f>HYPERLINK("http://www.worldcat.org/oclc/533705","WorldCat Record")</f>
        <v/>
      </c>
      <c r="AW755" t="inlineStr">
        <is>
          <t>319565452:eng</t>
        </is>
      </c>
      <c r="AX755" t="inlineStr">
        <is>
          <t>533705</t>
        </is>
      </c>
      <c r="AY755" t="inlineStr">
        <is>
          <t>991002937139702656</t>
        </is>
      </c>
      <c r="AZ755" t="inlineStr">
        <is>
          <t>991002937139702656</t>
        </is>
      </c>
      <c r="BA755" t="inlineStr">
        <is>
          <t>2264367100002656</t>
        </is>
      </c>
      <c r="BB755" t="inlineStr">
        <is>
          <t>BOOK</t>
        </is>
      </c>
      <c r="BE755" t="inlineStr">
        <is>
          <t>32285003020574</t>
        </is>
      </c>
      <c r="BF755" t="inlineStr">
        <is>
          <t>893335920</t>
        </is>
      </c>
    </row>
    <row r="756">
      <c r="A756" t="inlineStr">
        <is>
          <t>No</t>
        </is>
      </c>
      <c r="B756" t="inlineStr">
        <is>
          <t>CURAL</t>
        </is>
      </c>
      <c r="C756" t="inlineStr">
        <is>
          <t>SHELVES</t>
        </is>
      </c>
      <c r="D756" t="inlineStr">
        <is>
          <t>PR2976 .S65 1961</t>
        </is>
      </c>
      <c r="E756" t="inlineStr">
        <is>
          <t>0                      PR 2976000S  65          1961</t>
        </is>
      </c>
      <c r="F756" t="inlineStr">
        <is>
          <t>Shakespeare and the nature of man / by Theodore Spencer.</t>
        </is>
      </c>
      <c r="H756" t="inlineStr">
        <is>
          <t>No</t>
        </is>
      </c>
      <c r="I756" t="inlineStr">
        <is>
          <t>1</t>
        </is>
      </c>
      <c r="J756" t="inlineStr">
        <is>
          <t>No</t>
        </is>
      </c>
      <c r="K756" t="inlineStr">
        <is>
          <t>No</t>
        </is>
      </c>
      <c r="L756" t="inlineStr">
        <is>
          <t>0</t>
        </is>
      </c>
      <c r="M756" t="inlineStr">
        <is>
          <t>Spencer, Theodore, 1902-1949.</t>
        </is>
      </c>
      <c r="N756" t="inlineStr">
        <is>
          <t>New York : Macmillan Co., 1961.</t>
        </is>
      </c>
      <c r="O756" t="inlineStr">
        <is>
          <t>1961</t>
        </is>
      </c>
      <c r="P756" t="inlineStr">
        <is>
          <t>2nd ed. ; Macmillan pbks. ed.</t>
        </is>
      </c>
      <c r="Q756" t="inlineStr">
        <is>
          <t>eng</t>
        </is>
      </c>
      <c r="R756" t="inlineStr">
        <is>
          <t>nyu</t>
        </is>
      </c>
      <c r="S756" t="inlineStr">
        <is>
          <t>Lowell lectures, 1942</t>
        </is>
      </c>
      <c r="T756" t="inlineStr">
        <is>
          <t xml:space="preserve">PR </t>
        </is>
      </c>
      <c r="U756" t="n">
        <v>1</v>
      </c>
      <c r="V756" t="n">
        <v>1</v>
      </c>
      <c r="W756" t="inlineStr">
        <is>
          <t>2001-07-12</t>
        </is>
      </c>
      <c r="X756" t="inlineStr">
        <is>
          <t>2001-07-12</t>
        </is>
      </c>
      <c r="Y756" t="inlineStr">
        <is>
          <t>2001-07-12</t>
        </is>
      </c>
      <c r="Z756" t="inlineStr">
        <is>
          <t>2001-07-12</t>
        </is>
      </c>
      <c r="AA756" t="n">
        <v>163</v>
      </c>
      <c r="AB756" t="n">
        <v>129</v>
      </c>
      <c r="AC756" t="n">
        <v>1352</v>
      </c>
      <c r="AD756" t="n">
        <v>2</v>
      </c>
      <c r="AE756" t="n">
        <v>10</v>
      </c>
      <c r="AF756" t="n">
        <v>9</v>
      </c>
      <c r="AG756" t="n">
        <v>56</v>
      </c>
      <c r="AH756" t="n">
        <v>3</v>
      </c>
      <c r="AI756" t="n">
        <v>23</v>
      </c>
      <c r="AJ756" t="n">
        <v>2</v>
      </c>
      <c r="AK756" t="n">
        <v>11</v>
      </c>
      <c r="AL756" t="n">
        <v>4</v>
      </c>
      <c r="AM756" t="n">
        <v>26</v>
      </c>
      <c r="AN756" t="n">
        <v>1</v>
      </c>
      <c r="AO756" t="n">
        <v>9</v>
      </c>
      <c r="AP756" t="n">
        <v>0</v>
      </c>
      <c r="AQ756" t="n">
        <v>0</v>
      </c>
      <c r="AR756" t="inlineStr">
        <is>
          <t>No</t>
        </is>
      </c>
      <c r="AS756" t="inlineStr">
        <is>
          <t>Yes</t>
        </is>
      </c>
      <c r="AT756">
        <f>HYPERLINK("http://catalog.hathitrust.org/Record/102088923","HathiTrust Record")</f>
        <v/>
      </c>
      <c r="AU756">
        <f>HYPERLINK("https://creighton-primo.hosted.exlibrisgroup.com/primo-explore/search?tab=default_tab&amp;search_scope=EVERYTHING&amp;vid=01CRU&amp;lang=en_US&amp;offset=0&amp;query=any,contains,991003567729702656","Catalog Record")</f>
        <v/>
      </c>
      <c r="AV756">
        <f>HYPERLINK("http://www.worldcat.org/oclc/3349619","WorldCat Record")</f>
        <v/>
      </c>
      <c r="AW756" t="inlineStr">
        <is>
          <t>1304261:eng</t>
        </is>
      </c>
      <c r="AX756" t="inlineStr">
        <is>
          <t>3349619</t>
        </is>
      </c>
      <c r="AY756" t="inlineStr">
        <is>
          <t>991003567729702656</t>
        </is>
      </c>
      <c r="AZ756" t="inlineStr">
        <is>
          <t>991003567729702656</t>
        </is>
      </c>
      <c r="BA756" t="inlineStr">
        <is>
          <t>2262927290002656</t>
        </is>
      </c>
      <c r="BB756" t="inlineStr">
        <is>
          <t>BOOK</t>
        </is>
      </c>
      <c r="BE756" t="inlineStr">
        <is>
          <t>32285004332150</t>
        </is>
      </c>
      <c r="BF756" t="inlineStr">
        <is>
          <t>893512099</t>
        </is>
      </c>
    </row>
    <row r="757">
      <c r="A757" t="inlineStr">
        <is>
          <t>No</t>
        </is>
      </c>
      <c r="B757" t="inlineStr">
        <is>
          <t>CURAL</t>
        </is>
      </c>
      <c r="C757" t="inlineStr">
        <is>
          <t>SHELVES</t>
        </is>
      </c>
      <c r="D757" t="inlineStr">
        <is>
          <t>PR2976 .S75</t>
        </is>
      </c>
      <c r="E757" t="inlineStr">
        <is>
          <t>0                      PR 2976000S  75</t>
        </is>
      </c>
      <c r="F757" t="inlineStr">
        <is>
          <t>Shakespeare and other masters, by Elmer Edgar Stoll.</t>
        </is>
      </c>
      <c r="H757" t="inlineStr">
        <is>
          <t>No</t>
        </is>
      </c>
      <c r="I757" t="inlineStr">
        <is>
          <t>1</t>
        </is>
      </c>
      <c r="J757" t="inlineStr">
        <is>
          <t>No</t>
        </is>
      </c>
      <c r="K757" t="inlineStr">
        <is>
          <t>No</t>
        </is>
      </c>
      <c r="L757" t="inlineStr">
        <is>
          <t>0</t>
        </is>
      </c>
      <c r="M757" t="inlineStr">
        <is>
          <t>Stoll, Elmer Edgar, 1874-1959.</t>
        </is>
      </c>
      <c r="N757" t="inlineStr">
        <is>
          <t>Cambridge, Mass., Harvard university press, 1940.</t>
        </is>
      </c>
      <c r="O757" t="inlineStr">
        <is>
          <t>1940</t>
        </is>
      </c>
      <c r="Q757" t="inlineStr">
        <is>
          <t>eng</t>
        </is>
      </c>
      <c r="R757" t="inlineStr">
        <is>
          <t xml:space="preserve">xx </t>
        </is>
      </c>
      <c r="T757" t="inlineStr">
        <is>
          <t xml:space="preserve">PR </t>
        </is>
      </c>
      <c r="U757" t="n">
        <v>8</v>
      </c>
      <c r="V757" t="n">
        <v>8</v>
      </c>
      <c r="W757" t="inlineStr">
        <is>
          <t>2001-02-14</t>
        </is>
      </c>
      <c r="X757" t="inlineStr">
        <is>
          <t>2001-02-14</t>
        </is>
      </c>
      <c r="Y757" t="inlineStr">
        <is>
          <t>1997-08-05</t>
        </is>
      </c>
      <c r="Z757" t="inlineStr">
        <is>
          <t>1997-08-05</t>
        </is>
      </c>
      <c r="AA757" t="n">
        <v>432</v>
      </c>
      <c r="AB757" t="n">
        <v>375</v>
      </c>
      <c r="AC757" t="n">
        <v>730</v>
      </c>
      <c r="AD757" t="n">
        <v>6</v>
      </c>
      <c r="AE757" t="n">
        <v>7</v>
      </c>
      <c r="AF757" t="n">
        <v>30</v>
      </c>
      <c r="AG757" t="n">
        <v>42</v>
      </c>
      <c r="AH757" t="n">
        <v>11</v>
      </c>
      <c r="AI757" t="n">
        <v>17</v>
      </c>
      <c r="AJ757" t="n">
        <v>6</v>
      </c>
      <c r="AK757" t="n">
        <v>8</v>
      </c>
      <c r="AL757" t="n">
        <v>17</v>
      </c>
      <c r="AM757" t="n">
        <v>24</v>
      </c>
      <c r="AN757" t="n">
        <v>5</v>
      </c>
      <c r="AO757" t="n">
        <v>6</v>
      </c>
      <c r="AP757" t="n">
        <v>0</v>
      </c>
      <c r="AQ757" t="n">
        <v>0</v>
      </c>
      <c r="AR757" t="inlineStr">
        <is>
          <t>No</t>
        </is>
      </c>
      <c r="AS757" t="inlineStr">
        <is>
          <t>Yes</t>
        </is>
      </c>
      <c r="AT757">
        <f>HYPERLINK("http://catalog.hathitrust.org/Record/001112191","HathiTrust Record")</f>
        <v/>
      </c>
      <c r="AU757">
        <f>HYPERLINK("https://creighton-primo.hosted.exlibrisgroup.com/primo-explore/search?tab=default_tab&amp;search_scope=EVERYTHING&amp;vid=01CRU&amp;lang=en_US&amp;offset=0&amp;query=any,contains,991003442539702656","Catalog Record")</f>
        <v/>
      </c>
      <c r="AV757">
        <f>HYPERLINK("http://www.worldcat.org/oclc/978898","WorldCat Record")</f>
        <v/>
      </c>
      <c r="AW757" t="inlineStr">
        <is>
          <t>1315106:eng</t>
        </is>
      </c>
      <c r="AX757" t="inlineStr">
        <is>
          <t>978898</t>
        </is>
      </c>
      <c r="AY757" t="inlineStr">
        <is>
          <t>991003442539702656</t>
        </is>
      </c>
      <c r="AZ757" t="inlineStr">
        <is>
          <t>991003442539702656</t>
        </is>
      </c>
      <c r="BA757" t="inlineStr">
        <is>
          <t>2260291090002656</t>
        </is>
      </c>
      <c r="BB757" t="inlineStr">
        <is>
          <t>BOOK</t>
        </is>
      </c>
      <c r="BE757" t="inlineStr">
        <is>
          <t>32285003020608</t>
        </is>
      </c>
      <c r="BF757" t="inlineStr">
        <is>
          <t>893428797</t>
        </is>
      </c>
    </row>
    <row r="758">
      <c r="A758" t="inlineStr">
        <is>
          <t>No</t>
        </is>
      </c>
      <c r="B758" t="inlineStr">
        <is>
          <t>CURAL</t>
        </is>
      </c>
      <c r="C758" t="inlineStr">
        <is>
          <t>SHELVES</t>
        </is>
      </c>
      <c r="D758" t="inlineStr">
        <is>
          <t>PR2976 .S777 1984</t>
        </is>
      </c>
      <c r="E758" t="inlineStr">
        <is>
          <t>0                      PR 2976000S  777         1984</t>
        </is>
      </c>
      <c r="F758" t="inlineStr">
        <is>
          <t>Dreams of love and power : on Shakespeare's plays / Joseph H. Summers.</t>
        </is>
      </c>
      <c r="H758" t="inlineStr">
        <is>
          <t>No</t>
        </is>
      </c>
      <c r="I758" t="inlineStr">
        <is>
          <t>1</t>
        </is>
      </c>
      <c r="J758" t="inlineStr">
        <is>
          <t>No</t>
        </is>
      </c>
      <c r="K758" t="inlineStr">
        <is>
          <t>No</t>
        </is>
      </c>
      <c r="L758" t="inlineStr">
        <is>
          <t>0</t>
        </is>
      </c>
      <c r="M758" t="inlineStr">
        <is>
          <t>Summers, Joseph H. (Joseph Holmes), 1920-</t>
        </is>
      </c>
      <c r="N758" t="inlineStr">
        <is>
          <t>Oxford [Oxfordshire] : Clarendon Press, 1984.</t>
        </is>
      </c>
      <c r="O758" t="inlineStr">
        <is>
          <t>1984</t>
        </is>
      </c>
      <c r="Q758" t="inlineStr">
        <is>
          <t>eng</t>
        </is>
      </c>
      <c r="R758" t="inlineStr">
        <is>
          <t>enk</t>
        </is>
      </c>
      <c r="T758" t="inlineStr">
        <is>
          <t xml:space="preserve">PR </t>
        </is>
      </c>
      <c r="U758" t="n">
        <v>4</v>
      </c>
      <c r="V758" t="n">
        <v>4</v>
      </c>
      <c r="W758" t="inlineStr">
        <is>
          <t>2005-11-07</t>
        </is>
      </c>
      <c r="X758" t="inlineStr">
        <is>
          <t>2005-11-07</t>
        </is>
      </c>
      <c r="Y758" t="inlineStr">
        <is>
          <t>1991-10-24</t>
        </is>
      </c>
      <c r="Z758" t="inlineStr">
        <is>
          <t>1991-10-24</t>
        </is>
      </c>
      <c r="AA758" t="n">
        <v>509</v>
      </c>
      <c r="AB758" t="n">
        <v>386</v>
      </c>
      <c r="AC758" t="n">
        <v>393</v>
      </c>
      <c r="AD758" t="n">
        <v>3</v>
      </c>
      <c r="AE758" t="n">
        <v>3</v>
      </c>
      <c r="AF758" t="n">
        <v>20</v>
      </c>
      <c r="AG758" t="n">
        <v>20</v>
      </c>
      <c r="AH758" t="n">
        <v>5</v>
      </c>
      <c r="AI758" t="n">
        <v>5</v>
      </c>
      <c r="AJ758" t="n">
        <v>5</v>
      </c>
      <c r="AK758" t="n">
        <v>5</v>
      </c>
      <c r="AL758" t="n">
        <v>15</v>
      </c>
      <c r="AM758" t="n">
        <v>15</v>
      </c>
      <c r="AN758" t="n">
        <v>2</v>
      </c>
      <c r="AO758" t="n">
        <v>2</v>
      </c>
      <c r="AP758" t="n">
        <v>0</v>
      </c>
      <c r="AQ758" t="n">
        <v>0</v>
      </c>
      <c r="AR758" t="inlineStr">
        <is>
          <t>No</t>
        </is>
      </c>
      <c r="AS758" t="inlineStr">
        <is>
          <t>Yes</t>
        </is>
      </c>
      <c r="AT758">
        <f>HYPERLINK("http://catalog.hathitrust.org/Record/000291701","HathiTrust Record")</f>
        <v/>
      </c>
      <c r="AU758">
        <f>HYPERLINK("https://creighton-primo.hosted.exlibrisgroup.com/primo-explore/search?tab=default_tab&amp;search_scope=EVERYTHING&amp;vid=01CRU&amp;lang=en_US&amp;offset=0&amp;query=any,contains,991000414599702656","Catalog Record")</f>
        <v/>
      </c>
      <c r="AV758">
        <f>HYPERLINK("http://www.worldcat.org/oclc/10723811","WorldCat Record")</f>
        <v/>
      </c>
      <c r="AW758" t="inlineStr">
        <is>
          <t>197209823:eng</t>
        </is>
      </c>
      <c r="AX758" t="inlineStr">
        <is>
          <t>10723811</t>
        </is>
      </c>
      <c r="AY758" t="inlineStr">
        <is>
          <t>991000414599702656</t>
        </is>
      </c>
      <c r="AZ758" t="inlineStr">
        <is>
          <t>991000414599702656</t>
        </is>
      </c>
      <c r="BA758" t="inlineStr">
        <is>
          <t>2255648400002656</t>
        </is>
      </c>
      <c r="BB758" t="inlineStr">
        <is>
          <t>BOOK</t>
        </is>
      </c>
      <c r="BD758" t="inlineStr">
        <is>
          <t>9780198128236</t>
        </is>
      </c>
      <c r="BE758" t="inlineStr">
        <is>
          <t>32285000801117</t>
        </is>
      </c>
      <c r="BF758" t="inlineStr">
        <is>
          <t>893321018</t>
        </is>
      </c>
    </row>
    <row r="759">
      <c r="A759" t="inlineStr">
        <is>
          <t>No</t>
        </is>
      </c>
      <c r="B759" t="inlineStr">
        <is>
          <t>CURAL</t>
        </is>
      </c>
      <c r="C759" t="inlineStr">
        <is>
          <t>SHELVES</t>
        </is>
      </c>
      <c r="D759" t="inlineStr">
        <is>
          <t>PR2976 .T65</t>
        </is>
      </c>
      <c r="E759" t="inlineStr">
        <is>
          <t>0                      PR 2976000T  65</t>
        </is>
      </c>
      <c r="F759" t="inlineStr">
        <is>
          <t>Falstaff and other Shakespearean topics, by Albert H. Tolman.</t>
        </is>
      </c>
      <c r="H759" t="inlineStr">
        <is>
          <t>No</t>
        </is>
      </c>
      <c r="I759" t="inlineStr">
        <is>
          <t>1</t>
        </is>
      </c>
      <c r="J759" t="inlineStr">
        <is>
          <t>No</t>
        </is>
      </c>
      <c r="K759" t="inlineStr">
        <is>
          <t>No</t>
        </is>
      </c>
      <c r="L759" t="inlineStr">
        <is>
          <t>0</t>
        </is>
      </c>
      <c r="M759" t="inlineStr">
        <is>
          <t>Tolman, Albert Harris, 1856-1928.</t>
        </is>
      </c>
      <c r="N759" t="inlineStr">
        <is>
          <t>New York, The Macmillan Company, 1925.</t>
        </is>
      </c>
      <c r="O759" t="inlineStr">
        <is>
          <t>1925</t>
        </is>
      </c>
      <c r="Q759" t="inlineStr">
        <is>
          <t>eng</t>
        </is>
      </c>
      <c r="R759" t="inlineStr">
        <is>
          <t>nyu</t>
        </is>
      </c>
      <c r="T759" t="inlineStr">
        <is>
          <t xml:space="preserve">PR </t>
        </is>
      </c>
      <c r="U759" t="n">
        <v>1</v>
      </c>
      <c r="V759" t="n">
        <v>1</v>
      </c>
      <c r="W759" t="inlineStr">
        <is>
          <t>1998-04-02</t>
        </is>
      </c>
      <c r="X759" t="inlineStr">
        <is>
          <t>1998-04-02</t>
        </is>
      </c>
      <c r="Y759" t="inlineStr">
        <is>
          <t>1997-08-05</t>
        </is>
      </c>
      <c r="Z759" t="inlineStr">
        <is>
          <t>1997-08-05</t>
        </is>
      </c>
      <c r="AA759" t="n">
        <v>322</v>
      </c>
      <c r="AB759" t="n">
        <v>287</v>
      </c>
      <c r="AC759" t="n">
        <v>349</v>
      </c>
      <c r="AD759" t="n">
        <v>3</v>
      </c>
      <c r="AE759" t="n">
        <v>3</v>
      </c>
      <c r="AF759" t="n">
        <v>19</v>
      </c>
      <c r="AG759" t="n">
        <v>22</v>
      </c>
      <c r="AH759" t="n">
        <v>8</v>
      </c>
      <c r="AI759" t="n">
        <v>9</v>
      </c>
      <c r="AJ759" t="n">
        <v>3</v>
      </c>
      <c r="AK759" t="n">
        <v>5</v>
      </c>
      <c r="AL759" t="n">
        <v>10</v>
      </c>
      <c r="AM759" t="n">
        <v>11</v>
      </c>
      <c r="AN759" t="n">
        <v>2</v>
      </c>
      <c r="AO759" t="n">
        <v>2</v>
      </c>
      <c r="AP759" t="n">
        <v>0</v>
      </c>
      <c r="AQ759" t="n">
        <v>0</v>
      </c>
      <c r="AR759" t="inlineStr">
        <is>
          <t>Yes</t>
        </is>
      </c>
      <c r="AS759" t="inlineStr">
        <is>
          <t>No</t>
        </is>
      </c>
      <c r="AT759">
        <f>HYPERLINK("http://catalog.hathitrust.org/Record/001373844","HathiTrust Record")</f>
        <v/>
      </c>
      <c r="AU759">
        <f>HYPERLINK("https://creighton-primo.hosted.exlibrisgroup.com/primo-explore/search?tab=default_tab&amp;search_scope=EVERYTHING&amp;vid=01CRU&amp;lang=en_US&amp;offset=0&amp;query=any,contains,991002668969702656","Catalog Record")</f>
        <v/>
      </c>
      <c r="AV759">
        <f>HYPERLINK("http://www.worldcat.org/oclc/394504","WorldCat Record")</f>
        <v/>
      </c>
      <c r="AW759" t="inlineStr">
        <is>
          <t>1536048:eng</t>
        </is>
      </c>
      <c r="AX759" t="inlineStr">
        <is>
          <t>394504</t>
        </is>
      </c>
      <c r="AY759" t="inlineStr">
        <is>
          <t>991002668969702656</t>
        </is>
      </c>
      <c r="AZ759" t="inlineStr">
        <is>
          <t>991002668969702656</t>
        </is>
      </c>
      <c r="BA759" t="inlineStr">
        <is>
          <t>2260147500002656</t>
        </is>
      </c>
      <c r="BB759" t="inlineStr">
        <is>
          <t>BOOK</t>
        </is>
      </c>
      <c r="BE759" t="inlineStr">
        <is>
          <t>32285003020681</t>
        </is>
      </c>
      <c r="BF759" t="inlineStr">
        <is>
          <t>893352451</t>
        </is>
      </c>
    </row>
    <row r="760">
      <c r="A760" t="inlineStr">
        <is>
          <t>No</t>
        </is>
      </c>
      <c r="B760" t="inlineStr">
        <is>
          <t>CURAL</t>
        </is>
      </c>
      <c r="C760" t="inlineStr">
        <is>
          <t>SHELVES</t>
        </is>
      </c>
      <c r="D760" t="inlineStr">
        <is>
          <t>PR2976 .V25 1953</t>
        </is>
      </c>
      <c r="E760" t="inlineStr">
        <is>
          <t>0                      PR 2976000V  25          1953</t>
        </is>
      </c>
      <c r="F760" t="inlineStr">
        <is>
          <t>Shakespeare.</t>
        </is>
      </c>
      <c r="H760" t="inlineStr">
        <is>
          <t>No</t>
        </is>
      </c>
      <c r="I760" t="inlineStr">
        <is>
          <t>1</t>
        </is>
      </c>
      <c r="J760" t="inlineStr">
        <is>
          <t>No</t>
        </is>
      </c>
      <c r="K760" t="inlineStr">
        <is>
          <t>No</t>
        </is>
      </c>
      <c r="L760" t="inlineStr">
        <is>
          <t>0</t>
        </is>
      </c>
      <c r="M760" t="inlineStr">
        <is>
          <t>Van Doren, Mark, 1894-1972.</t>
        </is>
      </c>
      <c r="N760" t="inlineStr">
        <is>
          <t>Garden City, N.Y., Doubleday, 1953 [c1939]</t>
        </is>
      </c>
      <c r="O760" t="inlineStr">
        <is>
          <t>1953</t>
        </is>
      </c>
      <c r="Q760" t="inlineStr">
        <is>
          <t>eng</t>
        </is>
      </c>
      <c r="R760" t="inlineStr">
        <is>
          <t>nyu</t>
        </is>
      </c>
      <c r="S760" t="inlineStr">
        <is>
          <t>Doubleday anchor books ; A11</t>
        </is>
      </c>
      <c r="T760" t="inlineStr">
        <is>
          <t xml:space="preserve">PR </t>
        </is>
      </c>
      <c r="U760" t="n">
        <v>2</v>
      </c>
      <c r="V760" t="n">
        <v>2</v>
      </c>
      <c r="W760" t="inlineStr">
        <is>
          <t>2000-11-14</t>
        </is>
      </c>
      <c r="X760" t="inlineStr">
        <is>
          <t>2000-11-14</t>
        </is>
      </c>
      <c r="Y760" t="inlineStr">
        <is>
          <t>1992-05-14</t>
        </is>
      </c>
      <c r="Z760" t="inlineStr">
        <is>
          <t>1992-05-14</t>
        </is>
      </c>
      <c r="AA760" t="n">
        <v>709</v>
      </c>
      <c r="AB760" t="n">
        <v>630</v>
      </c>
      <c r="AC760" t="n">
        <v>753</v>
      </c>
      <c r="AD760" t="n">
        <v>4</v>
      </c>
      <c r="AE760" t="n">
        <v>5</v>
      </c>
      <c r="AF760" t="n">
        <v>19</v>
      </c>
      <c r="AG760" t="n">
        <v>24</v>
      </c>
      <c r="AH760" t="n">
        <v>9</v>
      </c>
      <c r="AI760" t="n">
        <v>9</v>
      </c>
      <c r="AJ760" t="n">
        <v>4</v>
      </c>
      <c r="AK760" t="n">
        <v>5</v>
      </c>
      <c r="AL760" t="n">
        <v>7</v>
      </c>
      <c r="AM760" t="n">
        <v>11</v>
      </c>
      <c r="AN760" t="n">
        <v>2</v>
      </c>
      <c r="AO760" t="n">
        <v>3</v>
      </c>
      <c r="AP760" t="n">
        <v>0</v>
      </c>
      <c r="AQ760" t="n">
        <v>0</v>
      </c>
      <c r="AR760" t="inlineStr">
        <is>
          <t>No</t>
        </is>
      </c>
      <c r="AS760" t="inlineStr">
        <is>
          <t>No</t>
        </is>
      </c>
      <c r="AT760">
        <f>HYPERLINK("http://catalog.hathitrust.org/Record/100033255","HathiTrust Record")</f>
        <v/>
      </c>
      <c r="AU760">
        <f>HYPERLINK("https://creighton-primo.hosted.exlibrisgroup.com/primo-explore/search?tab=default_tab&amp;search_scope=EVERYTHING&amp;vid=01CRU&amp;lang=en_US&amp;offset=0&amp;query=any,contains,991001993249702656","Catalog Record")</f>
        <v/>
      </c>
      <c r="AV760">
        <f>HYPERLINK("http://www.worldcat.org/oclc/255773","WorldCat Record")</f>
        <v/>
      </c>
      <c r="AW760" t="inlineStr">
        <is>
          <t>10278915360:eng</t>
        </is>
      </c>
      <c r="AX760" t="inlineStr">
        <is>
          <t>255773</t>
        </is>
      </c>
      <c r="AY760" t="inlineStr">
        <is>
          <t>991001993249702656</t>
        </is>
      </c>
      <c r="AZ760" t="inlineStr">
        <is>
          <t>991001993249702656</t>
        </is>
      </c>
      <c r="BA760" t="inlineStr">
        <is>
          <t>2270766860002656</t>
        </is>
      </c>
      <c r="BB760" t="inlineStr">
        <is>
          <t>BOOK</t>
        </is>
      </c>
      <c r="BE760" t="inlineStr">
        <is>
          <t>32285001096766</t>
        </is>
      </c>
      <c r="BF760" t="inlineStr">
        <is>
          <t>893316243</t>
        </is>
      </c>
    </row>
    <row r="761">
      <c r="A761" t="inlineStr">
        <is>
          <t>No</t>
        </is>
      </c>
      <c r="B761" t="inlineStr">
        <is>
          <t>CURAL</t>
        </is>
      </c>
      <c r="C761" t="inlineStr">
        <is>
          <t>SHELVES</t>
        </is>
      </c>
      <c r="D761" t="inlineStr">
        <is>
          <t>PR2976 .V36</t>
        </is>
      </c>
      <c r="E761" t="inlineStr">
        <is>
          <t>0                      PR 2976000V  36</t>
        </is>
      </c>
      <c r="F761" t="inlineStr">
        <is>
          <t>Role-playing in Shakespeare / Thomas F. Van Laan.</t>
        </is>
      </c>
      <c r="H761" t="inlineStr">
        <is>
          <t>No</t>
        </is>
      </c>
      <c r="I761" t="inlineStr">
        <is>
          <t>1</t>
        </is>
      </c>
      <c r="J761" t="inlineStr">
        <is>
          <t>No</t>
        </is>
      </c>
      <c r="K761" t="inlineStr">
        <is>
          <t>No</t>
        </is>
      </c>
      <c r="L761" t="inlineStr">
        <is>
          <t>0</t>
        </is>
      </c>
      <c r="M761" t="inlineStr">
        <is>
          <t>Van Laan, Thomas F., 1931-</t>
        </is>
      </c>
      <c r="N761" t="inlineStr">
        <is>
          <t>Toronto ; Buffalo : University of Toronto Press, c1978.</t>
        </is>
      </c>
      <c r="O761" t="inlineStr">
        <is>
          <t>1978</t>
        </is>
      </c>
      <c r="Q761" t="inlineStr">
        <is>
          <t>eng</t>
        </is>
      </c>
      <c r="R761" t="inlineStr">
        <is>
          <t xml:space="preserve">xx </t>
        </is>
      </c>
      <c r="T761" t="inlineStr">
        <is>
          <t xml:space="preserve">PR </t>
        </is>
      </c>
      <c r="U761" t="n">
        <v>1</v>
      </c>
      <c r="V761" t="n">
        <v>1</v>
      </c>
      <c r="W761" t="inlineStr">
        <is>
          <t>1995-11-20</t>
        </is>
      </c>
      <c r="X761" t="inlineStr">
        <is>
          <t>1995-11-20</t>
        </is>
      </c>
      <c r="Y761" t="inlineStr">
        <is>
          <t>1991-10-24</t>
        </is>
      </c>
      <c r="Z761" t="inlineStr">
        <is>
          <t>1991-10-24</t>
        </is>
      </c>
      <c r="AA761" t="n">
        <v>680</v>
      </c>
      <c r="AB761" t="n">
        <v>557</v>
      </c>
      <c r="AC761" t="n">
        <v>598</v>
      </c>
      <c r="AD761" t="n">
        <v>3</v>
      </c>
      <c r="AE761" t="n">
        <v>3</v>
      </c>
      <c r="AF761" t="n">
        <v>26</v>
      </c>
      <c r="AG761" t="n">
        <v>29</v>
      </c>
      <c r="AH761" t="n">
        <v>8</v>
      </c>
      <c r="AI761" t="n">
        <v>11</v>
      </c>
      <c r="AJ761" t="n">
        <v>9</v>
      </c>
      <c r="AK761" t="n">
        <v>9</v>
      </c>
      <c r="AL761" t="n">
        <v>15</v>
      </c>
      <c r="AM761" t="n">
        <v>15</v>
      </c>
      <c r="AN761" t="n">
        <v>2</v>
      </c>
      <c r="AO761" t="n">
        <v>2</v>
      </c>
      <c r="AP761" t="n">
        <v>0</v>
      </c>
      <c r="AQ761" t="n">
        <v>0</v>
      </c>
      <c r="AR761" t="inlineStr">
        <is>
          <t>No</t>
        </is>
      </c>
      <c r="AS761" t="inlineStr">
        <is>
          <t>Yes</t>
        </is>
      </c>
      <c r="AT761">
        <f>HYPERLINK("http://catalog.hathitrust.org/Record/000132524","HathiTrust Record")</f>
        <v/>
      </c>
      <c r="AU761">
        <f>HYPERLINK("https://creighton-primo.hosted.exlibrisgroup.com/primo-explore/search?tab=default_tab&amp;search_scope=EVERYTHING&amp;vid=01CRU&amp;lang=en_US&amp;offset=0&amp;query=any,contains,991004507059702656","Catalog Record")</f>
        <v/>
      </c>
      <c r="AV761">
        <f>HYPERLINK("http://www.worldcat.org/oclc/3741922","WorldCat Record")</f>
        <v/>
      </c>
      <c r="AW761" t="inlineStr">
        <is>
          <t>309235862:eng</t>
        </is>
      </c>
      <c r="AX761" t="inlineStr">
        <is>
          <t>3741922</t>
        </is>
      </c>
      <c r="AY761" t="inlineStr">
        <is>
          <t>991004507059702656</t>
        </is>
      </c>
      <c r="AZ761" t="inlineStr">
        <is>
          <t>991004507059702656</t>
        </is>
      </c>
      <c r="BA761" t="inlineStr">
        <is>
          <t>2272147490002656</t>
        </is>
      </c>
      <c r="BB761" t="inlineStr">
        <is>
          <t>BOOK</t>
        </is>
      </c>
      <c r="BD761" t="inlineStr">
        <is>
          <t>9780802053565</t>
        </is>
      </c>
      <c r="BE761" t="inlineStr">
        <is>
          <t>32285000801133</t>
        </is>
      </c>
      <c r="BF761" t="inlineStr">
        <is>
          <t>893687813</t>
        </is>
      </c>
    </row>
    <row r="762">
      <c r="A762" t="inlineStr">
        <is>
          <t>No</t>
        </is>
      </c>
      <c r="B762" t="inlineStr">
        <is>
          <t>CURAL</t>
        </is>
      </c>
      <c r="C762" t="inlineStr">
        <is>
          <t>SHELVES</t>
        </is>
      </c>
      <c r="D762" t="inlineStr">
        <is>
          <t>PR2976 .V48 1989</t>
        </is>
      </c>
      <c r="E762" t="inlineStr">
        <is>
          <t>0                      PR 2976000V  48          1989</t>
        </is>
      </c>
      <c r="F762" t="inlineStr">
        <is>
          <t>Returning to Shakespeare / Brian Vickers.</t>
        </is>
      </c>
      <c r="H762" t="inlineStr">
        <is>
          <t>No</t>
        </is>
      </c>
      <c r="I762" t="inlineStr">
        <is>
          <t>1</t>
        </is>
      </c>
      <c r="J762" t="inlineStr">
        <is>
          <t>No</t>
        </is>
      </c>
      <c r="K762" t="inlineStr">
        <is>
          <t>No</t>
        </is>
      </c>
      <c r="L762" t="inlineStr">
        <is>
          <t>0</t>
        </is>
      </c>
      <c r="M762" t="inlineStr">
        <is>
          <t>Vickers, Brian.</t>
        </is>
      </c>
      <c r="N762" t="inlineStr">
        <is>
          <t>London ; New York : Routledge, 1989.</t>
        </is>
      </c>
      <c r="O762" t="inlineStr">
        <is>
          <t>1989</t>
        </is>
      </c>
      <c r="Q762" t="inlineStr">
        <is>
          <t>eng</t>
        </is>
      </c>
      <c r="R762" t="inlineStr">
        <is>
          <t>enk</t>
        </is>
      </c>
      <c r="T762" t="inlineStr">
        <is>
          <t xml:space="preserve">PR </t>
        </is>
      </c>
      <c r="U762" t="n">
        <v>1</v>
      </c>
      <c r="V762" t="n">
        <v>1</v>
      </c>
      <c r="W762" t="inlineStr">
        <is>
          <t>1992-11-17</t>
        </is>
      </c>
      <c r="X762" t="inlineStr">
        <is>
          <t>1992-11-17</t>
        </is>
      </c>
      <c r="Y762" t="inlineStr">
        <is>
          <t>1990-09-24</t>
        </is>
      </c>
      <c r="Z762" t="inlineStr">
        <is>
          <t>1990-09-24</t>
        </is>
      </c>
      <c r="AA762" t="n">
        <v>356</v>
      </c>
      <c r="AB762" t="n">
        <v>216</v>
      </c>
      <c r="AC762" t="n">
        <v>222</v>
      </c>
      <c r="AD762" t="n">
        <v>2</v>
      </c>
      <c r="AE762" t="n">
        <v>2</v>
      </c>
      <c r="AF762" t="n">
        <v>12</v>
      </c>
      <c r="AG762" t="n">
        <v>12</v>
      </c>
      <c r="AH762" t="n">
        <v>2</v>
      </c>
      <c r="AI762" t="n">
        <v>2</v>
      </c>
      <c r="AJ762" t="n">
        <v>3</v>
      </c>
      <c r="AK762" t="n">
        <v>3</v>
      </c>
      <c r="AL762" t="n">
        <v>10</v>
      </c>
      <c r="AM762" t="n">
        <v>10</v>
      </c>
      <c r="AN762" t="n">
        <v>1</v>
      </c>
      <c r="AO762" t="n">
        <v>1</v>
      </c>
      <c r="AP762" t="n">
        <v>0</v>
      </c>
      <c r="AQ762" t="n">
        <v>0</v>
      </c>
      <c r="AR762" t="inlineStr">
        <is>
          <t>No</t>
        </is>
      </c>
      <c r="AS762" t="inlineStr">
        <is>
          <t>No</t>
        </is>
      </c>
      <c r="AU762">
        <f>HYPERLINK("https://creighton-primo.hosted.exlibrisgroup.com/primo-explore/search?tab=default_tab&amp;search_scope=EVERYTHING&amp;vid=01CRU&amp;lang=en_US&amp;offset=0&amp;query=any,contains,991001423879702656","Catalog Record")</f>
        <v/>
      </c>
      <c r="AV762">
        <f>HYPERLINK("http://www.worldcat.org/oclc/18986931","WorldCat Record")</f>
        <v/>
      </c>
      <c r="AW762" t="inlineStr">
        <is>
          <t>19127555:eng</t>
        </is>
      </c>
      <c r="AX762" t="inlineStr">
        <is>
          <t>18986931</t>
        </is>
      </c>
      <c r="AY762" t="inlineStr">
        <is>
          <t>991001423879702656</t>
        </is>
      </c>
      <c r="AZ762" t="inlineStr">
        <is>
          <t>991001423879702656</t>
        </is>
      </c>
      <c r="BA762" t="inlineStr">
        <is>
          <t>2268239700002656</t>
        </is>
      </c>
      <c r="BB762" t="inlineStr">
        <is>
          <t>BOOK</t>
        </is>
      </c>
      <c r="BD762" t="inlineStr">
        <is>
          <t>9780415033893</t>
        </is>
      </c>
      <c r="BE762" t="inlineStr">
        <is>
          <t>32285000277763</t>
        </is>
      </c>
      <c r="BF762" t="inlineStr">
        <is>
          <t>893346500</t>
        </is>
      </c>
    </row>
    <row r="763">
      <c r="A763" t="inlineStr">
        <is>
          <t>No</t>
        </is>
      </c>
      <c r="B763" t="inlineStr">
        <is>
          <t>CURAL</t>
        </is>
      </c>
      <c r="C763" t="inlineStr">
        <is>
          <t>SHELVES</t>
        </is>
      </c>
      <c r="D763" t="inlineStr">
        <is>
          <t>PR2976 .V5</t>
        </is>
      </c>
      <c r="E763" t="inlineStr">
        <is>
          <t>0                      PR 2976000V  5</t>
        </is>
      </c>
      <c r="F763" t="inlineStr">
        <is>
          <t>Shakespeare; the critical heritage.</t>
        </is>
      </c>
      <c r="G763" t="inlineStr">
        <is>
          <t>V. 1</t>
        </is>
      </c>
      <c r="H763" t="inlineStr">
        <is>
          <t>Yes</t>
        </is>
      </c>
      <c r="I763" t="inlineStr">
        <is>
          <t>1</t>
        </is>
      </c>
      <c r="J763" t="inlineStr">
        <is>
          <t>No</t>
        </is>
      </c>
      <c r="K763" t="inlineStr">
        <is>
          <t>No</t>
        </is>
      </c>
      <c r="L763" t="inlineStr">
        <is>
          <t>0</t>
        </is>
      </c>
      <c r="M763" t="inlineStr">
        <is>
          <t>Vickers, Brian.</t>
        </is>
      </c>
      <c r="N763" t="inlineStr">
        <is>
          <t>London, Boston, Routledge and K. Paul, 1974-</t>
        </is>
      </c>
      <c r="O763" t="inlineStr">
        <is>
          <t>1974</t>
        </is>
      </c>
      <c r="Q763" t="inlineStr">
        <is>
          <t>eng</t>
        </is>
      </c>
      <c r="R763" t="inlineStr">
        <is>
          <t>enk</t>
        </is>
      </c>
      <c r="S763" t="inlineStr">
        <is>
          <t>The Critical heritage series</t>
        </is>
      </c>
      <c r="T763" t="inlineStr">
        <is>
          <t xml:space="preserve">PR </t>
        </is>
      </c>
      <c r="U763" t="n">
        <v>0</v>
      </c>
      <c r="V763" t="n">
        <v>4</v>
      </c>
      <c r="X763" t="inlineStr">
        <is>
          <t>1996-11-12</t>
        </is>
      </c>
      <c r="Y763" t="inlineStr">
        <is>
          <t>1991-10-24</t>
        </is>
      </c>
      <c r="Z763" t="inlineStr">
        <is>
          <t>1991-10-24</t>
        </is>
      </c>
      <c r="AA763" t="n">
        <v>947</v>
      </c>
      <c r="AB763" t="n">
        <v>702</v>
      </c>
      <c r="AC763" t="n">
        <v>706</v>
      </c>
      <c r="AD763" t="n">
        <v>5</v>
      </c>
      <c r="AE763" t="n">
        <v>5</v>
      </c>
      <c r="AF763" t="n">
        <v>38</v>
      </c>
      <c r="AG763" t="n">
        <v>38</v>
      </c>
      <c r="AH763" t="n">
        <v>14</v>
      </c>
      <c r="AI763" t="n">
        <v>14</v>
      </c>
      <c r="AJ763" t="n">
        <v>9</v>
      </c>
      <c r="AK763" t="n">
        <v>9</v>
      </c>
      <c r="AL763" t="n">
        <v>22</v>
      </c>
      <c r="AM763" t="n">
        <v>22</v>
      </c>
      <c r="AN763" t="n">
        <v>4</v>
      </c>
      <c r="AO763" t="n">
        <v>4</v>
      </c>
      <c r="AP763" t="n">
        <v>0</v>
      </c>
      <c r="AQ763" t="n">
        <v>0</v>
      </c>
      <c r="AR763" t="inlineStr">
        <is>
          <t>No</t>
        </is>
      </c>
      <c r="AS763" t="inlineStr">
        <is>
          <t>Yes</t>
        </is>
      </c>
      <c r="AT763">
        <f>HYPERLINK("http://catalog.hathitrust.org/Record/000143133","HathiTrust Record")</f>
        <v/>
      </c>
      <c r="AU763">
        <f>HYPERLINK("https://creighton-primo.hosted.exlibrisgroup.com/primo-explore/search?tab=default_tab&amp;search_scope=EVERYTHING&amp;vid=01CRU&amp;lang=en_US&amp;offset=0&amp;query=any,contains,991004219859702656","Catalog Record")</f>
        <v/>
      </c>
      <c r="AV763">
        <f>HYPERLINK("http://www.worldcat.org/oclc/1007864","WorldCat Record")</f>
        <v/>
      </c>
      <c r="AW763" t="inlineStr">
        <is>
          <t>837002278:eng</t>
        </is>
      </c>
      <c r="AX763" t="inlineStr">
        <is>
          <t>1007864</t>
        </is>
      </c>
      <c r="AY763" t="inlineStr">
        <is>
          <t>991004219859702656</t>
        </is>
      </c>
      <c r="AZ763" t="inlineStr">
        <is>
          <t>991004219859702656</t>
        </is>
      </c>
      <c r="BA763" t="inlineStr">
        <is>
          <t>2261975590002656</t>
        </is>
      </c>
      <c r="BB763" t="inlineStr">
        <is>
          <t>BOOK</t>
        </is>
      </c>
      <c r="BD763" t="inlineStr">
        <is>
          <t>9780710077165</t>
        </is>
      </c>
      <c r="BE763" t="inlineStr">
        <is>
          <t>32285000801141</t>
        </is>
      </c>
      <c r="BF763" t="inlineStr">
        <is>
          <t>893436027</t>
        </is>
      </c>
    </row>
    <row r="764">
      <c r="A764" t="inlineStr">
        <is>
          <t>No</t>
        </is>
      </c>
      <c r="B764" t="inlineStr">
        <is>
          <t>CURAL</t>
        </is>
      </c>
      <c r="C764" t="inlineStr">
        <is>
          <t>SHELVES</t>
        </is>
      </c>
      <c r="D764" t="inlineStr">
        <is>
          <t>PR2976 .V5</t>
        </is>
      </c>
      <c r="E764" t="inlineStr">
        <is>
          <t>0                      PR 2976000V  5</t>
        </is>
      </c>
      <c r="F764" t="inlineStr">
        <is>
          <t>Shakespeare; the critical heritage.</t>
        </is>
      </c>
      <c r="G764" t="inlineStr">
        <is>
          <t>V. 6</t>
        </is>
      </c>
      <c r="H764" t="inlineStr">
        <is>
          <t>Yes</t>
        </is>
      </c>
      <c r="I764" t="inlineStr">
        <is>
          <t>1</t>
        </is>
      </c>
      <c r="J764" t="inlineStr">
        <is>
          <t>No</t>
        </is>
      </c>
      <c r="K764" t="inlineStr">
        <is>
          <t>No</t>
        </is>
      </c>
      <c r="L764" t="inlineStr">
        <is>
          <t>0</t>
        </is>
      </c>
      <c r="M764" t="inlineStr">
        <is>
          <t>Vickers, Brian.</t>
        </is>
      </c>
      <c r="N764" t="inlineStr">
        <is>
          <t>London, Boston, Routledge and K. Paul, 1974-</t>
        </is>
      </c>
      <c r="O764" t="inlineStr">
        <is>
          <t>1974</t>
        </is>
      </c>
      <c r="Q764" t="inlineStr">
        <is>
          <t>eng</t>
        </is>
      </c>
      <c r="R764" t="inlineStr">
        <is>
          <t>enk</t>
        </is>
      </c>
      <c r="S764" t="inlineStr">
        <is>
          <t>The Critical heritage series</t>
        </is>
      </c>
      <c r="T764" t="inlineStr">
        <is>
          <t xml:space="preserve">PR </t>
        </is>
      </c>
      <c r="U764" t="n">
        <v>3</v>
      </c>
      <c r="V764" t="n">
        <v>4</v>
      </c>
      <c r="W764" t="inlineStr">
        <is>
          <t>1996-11-12</t>
        </is>
      </c>
      <c r="X764" t="inlineStr">
        <is>
          <t>1996-11-12</t>
        </is>
      </c>
      <c r="Y764" t="inlineStr">
        <is>
          <t>1991-10-24</t>
        </is>
      </c>
      <c r="Z764" t="inlineStr">
        <is>
          <t>1991-10-24</t>
        </is>
      </c>
      <c r="AA764" t="n">
        <v>947</v>
      </c>
      <c r="AB764" t="n">
        <v>702</v>
      </c>
      <c r="AC764" t="n">
        <v>706</v>
      </c>
      <c r="AD764" t="n">
        <v>5</v>
      </c>
      <c r="AE764" t="n">
        <v>5</v>
      </c>
      <c r="AF764" t="n">
        <v>38</v>
      </c>
      <c r="AG764" t="n">
        <v>38</v>
      </c>
      <c r="AH764" t="n">
        <v>14</v>
      </c>
      <c r="AI764" t="n">
        <v>14</v>
      </c>
      <c r="AJ764" t="n">
        <v>9</v>
      </c>
      <c r="AK764" t="n">
        <v>9</v>
      </c>
      <c r="AL764" t="n">
        <v>22</v>
      </c>
      <c r="AM764" t="n">
        <v>22</v>
      </c>
      <c r="AN764" t="n">
        <v>4</v>
      </c>
      <c r="AO764" t="n">
        <v>4</v>
      </c>
      <c r="AP764" t="n">
        <v>0</v>
      </c>
      <c r="AQ764" t="n">
        <v>0</v>
      </c>
      <c r="AR764" t="inlineStr">
        <is>
          <t>No</t>
        </is>
      </c>
      <c r="AS764" t="inlineStr">
        <is>
          <t>Yes</t>
        </is>
      </c>
      <c r="AT764">
        <f>HYPERLINK("http://catalog.hathitrust.org/Record/000143133","HathiTrust Record")</f>
        <v/>
      </c>
      <c r="AU764">
        <f>HYPERLINK("https://creighton-primo.hosted.exlibrisgroup.com/primo-explore/search?tab=default_tab&amp;search_scope=EVERYTHING&amp;vid=01CRU&amp;lang=en_US&amp;offset=0&amp;query=any,contains,991004219859702656","Catalog Record")</f>
        <v/>
      </c>
      <c r="AV764">
        <f>HYPERLINK("http://www.worldcat.org/oclc/1007864","WorldCat Record")</f>
        <v/>
      </c>
      <c r="AW764" t="inlineStr">
        <is>
          <t>837002278:eng</t>
        </is>
      </c>
      <c r="AX764" t="inlineStr">
        <is>
          <t>1007864</t>
        </is>
      </c>
      <c r="AY764" t="inlineStr">
        <is>
          <t>991004219859702656</t>
        </is>
      </c>
      <c r="AZ764" t="inlineStr">
        <is>
          <t>991004219859702656</t>
        </is>
      </c>
      <c r="BA764" t="inlineStr">
        <is>
          <t>2261975590002656</t>
        </is>
      </c>
      <c r="BB764" t="inlineStr">
        <is>
          <t>BOOK</t>
        </is>
      </c>
      <c r="BD764" t="inlineStr">
        <is>
          <t>9780710077165</t>
        </is>
      </c>
      <c r="BE764" t="inlineStr">
        <is>
          <t>32285000801190</t>
        </is>
      </c>
      <c r="BF764" t="inlineStr">
        <is>
          <t>893446090</t>
        </is>
      </c>
    </row>
    <row r="765">
      <c r="A765" t="inlineStr">
        <is>
          <t>No</t>
        </is>
      </c>
      <c r="B765" t="inlineStr">
        <is>
          <t>CURAL</t>
        </is>
      </c>
      <c r="C765" t="inlineStr">
        <is>
          <t>SHELVES</t>
        </is>
      </c>
      <c r="D765" t="inlineStr">
        <is>
          <t>PR2976 .V5</t>
        </is>
      </c>
      <c r="E765" t="inlineStr">
        <is>
          <t>0                      PR 2976000V  5</t>
        </is>
      </c>
      <c r="F765" t="inlineStr">
        <is>
          <t>Shakespeare; the critical heritage.</t>
        </is>
      </c>
      <c r="G765" t="inlineStr">
        <is>
          <t>V. 5</t>
        </is>
      </c>
      <c r="H765" t="inlineStr">
        <is>
          <t>Yes</t>
        </is>
      </c>
      <c r="I765" t="inlineStr">
        <is>
          <t>1</t>
        </is>
      </c>
      <c r="J765" t="inlineStr">
        <is>
          <t>No</t>
        </is>
      </c>
      <c r="K765" t="inlineStr">
        <is>
          <t>No</t>
        </is>
      </c>
      <c r="L765" t="inlineStr">
        <is>
          <t>0</t>
        </is>
      </c>
      <c r="M765" t="inlineStr">
        <is>
          <t>Vickers, Brian.</t>
        </is>
      </c>
      <c r="N765" t="inlineStr">
        <is>
          <t>London, Boston, Routledge and K. Paul, 1974-</t>
        </is>
      </c>
      <c r="O765" t="inlineStr">
        <is>
          <t>1974</t>
        </is>
      </c>
      <c r="Q765" t="inlineStr">
        <is>
          <t>eng</t>
        </is>
      </c>
      <c r="R765" t="inlineStr">
        <is>
          <t>enk</t>
        </is>
      </c>
      <c r="S765" t="inlineStr">
        <is>
          <t>The Critical heritage series</t>
        </is>
      </c>
      <c r="T765" t="inlineStr">
        <is>
          <t xml:space="preserve">PR </t>
        </is>
      </c>
      <c r="U765" t="n">
        <v>1</v>
      </c>
      <c r="V765" t="n">
        <v>4</v>
      </c>
      <c r="X765" t="inlineStr">
        <is>
          <t>1996-11-12</t>
        </is>
      </c>
      <c r="Y765" t="inlineStr">
        <is>
          <t>1991-10-24</t>
        </is>
      </c>
      <c r="Z765" t="inlineStr">
        <is>
          <t>1991-10-24</t>
        </is>
      </c>
      <c r="AA765" t="n">
        <v>947</v>
      </c>
      <c r="AB765" t="n">
        <v>702</v>
      </c>
      <c r="AC765" t="n">
        <v>706</v>
      </c>
      <c r="AD765" t="n">
        <v>5</v>
      </c>
      <c r="AE765" t="n">
        <v>5</v>
      </c>
      <c r="AF765" t="n">
        <v>38</v>
      </c>
      <c r="AG765" t="n">
        <v>38</v>
      </c>
      <c r="AH765" t="n">
        <v>14</v>
      </c>
      <c r="AI765" t="n">
        <v>14</v>
      </c>
      <c r="AJ765" t="n">
        <v>9</v>
      </c>
      <c r="AK765" t="n">
        <v>9</v>
      </c>
      <c r="AL765" t="n">
        <v>22</v>
      </c>
      <c r="AM765" t="n">
        <v>22</v>
      </c>
      <c r="AN765" t="n">
        <v>4</v>
      </c>
      <c r="AO765" t="n">
        <v>4</v>
      </c>
      <c r="AP765" t="n">
        <v>0</v>
      </c>
      <c r="AQ765" t="n">
        <v>0</v>
      </c>
      <c r="AR765" t="inlineStr">
        <is>
          <t>No</t>
        </is>
      </c>
      <c r="AS765" t="inlineStr">
        <is>
          <t>Yes</t>
        </is>
      </c>
      <c r="AT765">
        <f>HYPERLINK("http://catalog.hathitrust.org/Record/000143133","HathiTrust Record")</f>
        <v/>
      </c>
      <c r="AU765">
        <f>HYPERLINK("https://creighton-primo.hosted.exlibrisgroup.com/primo-explore/search?tab=default_tab&amp;search_scope=EVERYTHING&amp;vid=01CRU&amp;lang=en_US&amp;offset=0&amp;query=any,contains,991004219859702656","Catalog Record")</f>
        <v/>
      </c>
      <c r="AV765">
        <f>HYPERLINK("http://www.worldcat.org/oclc/1007864","WorldCat Record")</f>
        <v/>
      </c>
      <c r="AW765" t="inlineStr">
        <is>
          <t>837002278:eng</t>
        </is>
      </c>
      <c r="AX765" t="inlineStr">
        <is>
          <t>1007864</t>
        </is>
      </c>
      <c r="AY765" t="inlineStr">
        <is>
          <t>991004219859702656</t>
        </is>
      </c>
      <c r="AZ765" t="inlineStr">
        <is>
          <t>991004219859702656</t>
        </is>
      </c>
      <c r="BA765" t="inlineStr">
        <is>
          <t>2261975590002656</t>
        </is>
      </c>
      <c r="BB765" t="inlineStr">
        <is>
          <t>BOOK</t>
        </is>
      </c>
      <c r="BD765" t="inlineStr">
        <is>
          <t>9780710077165</t>
        </is>
      </c>
      <c r="BE765" t="inlineStr">
        <is>
          <t>32285000801182</t>
        </is>
      </c>
      <c r="BF765" t="inlineStr">
        <is>
          <t>893446091</t>
        </is>
      </c>
    </row>
    <row r="766">
      <c r="A766" t="inlineStr">
        <is>
          <t>No</t>
        </is>
      </c>
      <c r="B766" t="inlineStr">
        <is>
          <t>CURAL</t>
        </is>
      </c>
      <c r="C766" t="inlineStr">
        <is>
          <t>SHELVES</t>
        </is>
      </c>
      <c r="D766" t="inlineStr">
        <is>
          <t>PR2976 .V5</t>
        </is>
      </c>
      <c r="E766" t="inlineStr">
        <is>
          <t>0                      PR 2976000V  5</t>
        </is>
      </c>
      <c r="F766" t="inlineStr">
        <is>
          <t>Shakespeare; the critical heritage.</t>
        </is>
      </c>
      <c r="G766" t="inlineStr">
        <is>
          <t>V. 4</t>
        </is>
      </c>
      <c r="H766" t="inlineStr">
        <is>
          <t>Yes</t>
        </is>
      </c>
      <c r="I766" t="inlineStr">
        <is>
          <t>1</t>
        </is>
      </c>
      <c r="J766" t="inlineStr">
        <is>
          <t>No</t>
        </is>
      </c>
      <c r="K766" t="inlineStr">
        <is>
          <t>No</t>
        </is>
      </c>
      <c r="L766" t="inlineStr">
        <is>
          <t>0</t>
        </is>
      </c>
      <c r="M766" t="inlineStr">
        <is>
          <t>Vickers, Brian.</t>
        </is>
      </c>
      <c r="N766" t="inlineStr">
        <is>
          <t>London, Boston, Routledge and K. Paul, 1974-</t>
        </is>
      </c>
      <c r="O766" t="inlineStr">
        <is>
          <t>1974</t>
        </is>
      </c>
      <c r="Q766" t="inlineStr">
        <is>
          <t>eng</t>
        </is>
      </c>
      <c r="R766" t="inlineStr">
        <is>
          <t>enk</t>
        </is>
      </c>
      <c r="S766" t="inlineStr">
        <is>
          <t>The Critical heritage series</t>
        </is>
      </c>
      <c r="T766" t="inlineStr">
        <is>
          <t xml:space="preserve">PR </t>
        </is>
      </c>
      <c r="U766" t="n">
        <v>0</v>
      </c>
      <c r="V766" t="n">
        <v>4</v>
      </c>
      <c r="X766" t="inlineStr">
        <is>
          <t>1996-11-12</t>
        </is>
      </c>
      <c r="Y766" t="inlineStr">
        <is>
          <t>1991-10-24</t>
        </is>
      </c>
      <c r="Z766" t="inlineStr">
        <is>
          <t>1991-10-24</t>
        </is>
      </c>
      <c r="AA766" t="n">
        <v>947</v>
      </c>
      <c r="AB766" t="n">
        <v>702</v>
      </c>
      <c r="AC766" t="n">
        <v>706</v>
      </c>
      <c r="AD766" t="n">
        <v>5</v>
      </c>
      <c r="AE766" t="n">
        <v>5</v>
      </c>
      <c r="AF766" t="n">
        <v>38</v>
      </c>
      <c r="AG766" t="n">
        <v>38</v>
      </c>
      <c r="AH766" t="n">
        <v>14</v>
      </c>
      <c r="AI766" t="n">
        <v>14</v>
      </c>
      <c r="AJ766" t="n">
        <v>9</v>
      </c>
      <c r="AK766" t="n">
        <v>9</v>
      </c>
      <c r="AL766" t="n">
        <v>22</v>
      </c>
      <c r="AM766" t="n">
        <v>22</v>
      </c>
      <c r="AN766" t="n">
        <v>4</v>
      </c>
      <c r="AO766" t="n">
        <v>4</v>
      </c>
      <c r="AP766" t="n">
        <v>0</v>
      </c>
      <c r="AQ766" t="n">
        <v>0</v>
      </c>
      <c r="AR766" t="inlineStr">
        <is>
          <t>No</t>
        </is>
      </c>
      <c r="AS766" t="inlineStr">
        <is>
          <t>Yes</t>
        </is>
      </c>
      <c r="AT766">
        <f>HYPERLINK("http://catalog.hathitrust.org/Record/000143133","HathiTrust Record")</f>
        <v/>
      </c>
      <c r="AU766">
        <f>HYPERLINK("https://creighton-primo.hosted.exlibrisgroup.com/primo-explore/search?tab=default_tab&amp;search_scope=EVERYTHING&amp;vid=01CRU&amp;lang=en_US&amp;offset=0&amp;query=any,contains,991004219859702656","Catalog Record")</f>
        <v/>
      </c>
      <c r="AV766">
        <f>HYPERLINK("http://www.worldcat.org/oclc/1007864","WorldCat Record")</f>
        <v/>
      </c>
      <c r="AW766" t="inlineStr">
        <is>
          <t>837002278:eng</t>
        </is>
      </c>
      <c r="AX766" t="inlineStr">
        <is>
          <t>1007864</t>
        </is>
      </c>
      <c r="AY766" t="inlineStr">
        <is>
          <t>991004219859702656</t>
        </is>
      </c>
      <c r="AZ766" t="inlineStr">
        <is>
          <t>991004219859702656</t>
        </is>
      </c>
      <c r="BA766" t="inlineStr">
        <is>
          <t>2261975590002656</t>
        </is>
      </c>
      <c r="BB766" t="inlineStr">
        <is>
          <t>BOOK</t>
        </is>
      </c>
      <c r="BD766" t="inlineStr">
        <is>
          <t>9780710077165</t>
        </is>
      </c>
      <c r="BE766" t="inlineStr">
        <is>
          <t>32285000801174</t>
        </is>
      </c>
      <c r="BF766" t="inlineStr">
        <is>
          <t>893446092</t>
        </is>
      </c>
    </row>
    <row r="767">
      <c r="A767" t="inlineStr">
        <is>
          <t>No</t>
        </is>
      </c>
      <c r="B767" t="inlineStr">
        <is>
          <t>CURAL</t>
        </is>
      </c>
      <c r="C767" t="inlineStr">
        <is>
          <t>SHELVES</t>
        </is>
      </c>
      <c r="D767" t="inlineStr">
        <is>
          <t>PR2976 .V5</t>
        </is>
      </c>
      <c r="E767" t="inlineStr">
        <is>
          <t>0                      PR 2976000V  5</t>
        </is>
      </c>
      <c r="F767" t="inlineStr">
        <is>
          <t>Shakespeare; the critical heritage.</t>
        </is>
      </c>
      <c r="G767" t="inlineStr">
        <is>
          <t>V. 3</t>
        </is>
      </c>
      <c r="H767" t="inlineStr">
        <is>
          <t>Yes</t>
        </is>
      </c>
      <c r="I767" t="inlineStr">
        <is>
          <t>1</t>
        </is>
      </c>
      <c r="J767" t="inlineStr">
        <is>
          <t>No</t>
        </is>
      </c>
      <c r="K767" t="inlineStr">
        <is>
          <t>No</t>
        </is>
      </c>
      <c r="L767" t="inlineStr">
        <is>
          <t>0</t>
        </is>
      </c>
      <c r="M767" t="inlineStr">
        <is>
          <t>Vickers, Brian.</t>
        </is>
      </c>
      <c r="N767" t="inlineStr">
        <is>
          <t>London, Boston, Routledge and K. Paul, 1974-</t>
        </is>
      </c>
      <c r="O767" t="inlineStr">
        <is>
          <t>1974</t>
        </is>
      </c>
      <c r="Q767" t="inlineStr">
        <is>
          <t>eng</t>
        </is>
      </c>
      <c r="R767" t="inlineStr">
        <is>
          <t>enk</t>
        </is>
      </c>
      <c r="S767" t="inlineStr">
        <is>
          <t>The Critical heritage series</t>
        </is>
      </c>
      <c r="T767" t="inlineStr">
        <is>
          <t xml:space="preserve">PR </t>
        </is>
      </c>
      <c r="U767" t="n">
        <v>0</v>
      </c>
      <c r="V767" t="n">
        <v>4</v>
      </c>
      <c r="X767" t="inlineStr">
        <is>
          <t>1996-11-12</t>
        </is>
      </c>
      <c r="Y767" t="inlineStr">
        <is>
          <t>1991-10-24</t>
        </is>
      </c>
      <c r="Z767" t="inlineStr">
        <is>
          <t>1991-10-24</t>
        </is>
      </c>
      <c r="AA767" t="n">
        <v>947</v>
      </c>
      <c r="AB767" t="n">
        <v>702</v>
      </c>
      <c r="AC767" t="n">
        <v>706</v>
      </c>
      <c r="AD767" t="n">
        <v>5</v>
      </c>
      <c r="AE767" t="n">
        <v>5</v>
      </c>
      <c r="AF767" t="n">
        <v>38</v>
      </c>
      <c r="AG767" t="n">
        <v>38</v>
      </c>
      <c r="AH767" t="n">
        <v>14</v>
      </c>
      <c r="AI767" t="n">
        <v>14</v>
      </c>
      <c r="AJ767" t="n">
        <v>9</v>
      </c>
      <c r="AK767" t="n">
        <v>9</v>
      </c>
      <c r="AL767" t="n">
        <v>22</v>
      </c>
      <c r="AM767" t="n">
        <v>22</v>
      </c>
      <c r="AN767" t="n">
        <v>4</v>
      </c>
      <c r="AO767" t="n">
        <v>4</v>
      </c>
      <c r="AP767" t="n">
        <v>0</v>
      </c>
      <c r="AQ767" t="n">
        <v>0</v>
      </c>
      <c r="AR767" t="inlineStr">
        <is>
          <t>No</t>
        </is>
      </c>
      <c r="AS767" t="inlineStr">
        <is>
          <t>Yes</t>
        </is>
      </c>
      <c r="AT767">
        <f>HYPERLINK("http://catalog.hathitrust.org/Record/000143133","HathiTrust Record")</f>
        <v/>
      </c>
      <c r="AU767">
        <f>HYPERLINK("https://creighton-primo.hosted.exlibrisgroup.com/primo-explore/search?tab=default_tab&amp;search_scope=EVERYTHING&amp;vid=01CRU&amp;lang=en_US&amp;offset=0&amp;query=any,contains,991004219859702656","Catalog Record")</f>
        <v/>
      </c>
      <c r="AV767">
        <f>HYPERLINK("http://www.worldcat.org/oclc/1007864","WorldCat Record")</f>
        <v/>
      </c>
      <c r="AW767" t="inlineStr">
        <is>
          <t>837002278:eng</t>
        </is>
      </c>
      <c r="AX767" t="inlineStr">
        <is>
          <t>1007864</t>
        </is>
      </c>
      <c r="AY767" t="inlineStr">
        <is>
          <t>991004219859702656</t>
        </is>
      </c>
      <c r="AZ767" t="inlineStr">
        <is>
          <t>991004219859702656</t>
        </is>
      </c>
      <c r="BA767" t="inlineStr">
        <is>
          <t>2261975590002656</t>
        </is>
      </c>
      <c r="BB767" t="inlineStr">
        <is>
          <t>BOOK</t>
        </is>
      </c>
      <c r="BD767" t="inlineStr">
        <is>
          <t>9780710077165</t>
        </is>
      </c>
      <c r="BE767" t="inlineStr">
        <is>
          <t>32285000801166</t>
        </is>
      </c>
      <c r="BF767" t="inlineStr">
        <is>
          <t>893446093</t>
        </is>
      </c>
    </row>
    <row r="768">
      <c r="A768" t="inlineStr">
        <is>
          <t>No</t>
        </is>
      </c>
      <c r="B768" t="inlineStr">
        <is>
          <t>CURAL</t>
        </is>
      </c>
      <c r="C768" t="inlineStr">
        <is>
          <t>SHELVES</t>
        </is>
      </c>
      <c r="D768" t="inlineStr">
        <is>
          <t>PR2976 .V5</t>
        </is>
      </c>
      <c r="E768" t="inlineStr">
        <is>
          <t>0                      PR 2976000V  5</t>
        </is>
      </c>
      <c r="F768" t="inlineStr">
        <is>
          <t>Shakespeare; the critical heritage.</t>
        </is>
      </c>
      <c r="G768" t="inlineStr">
        <is>
          <t>V. 2</t>
        </is>
      </c>
      <c r="H768" t="inlineStr">
        <is>
          <t>Yes</t>
        </is>
      </c>
      <c r="I768" t="inlineStr">
        <is>
          <t>1</t>
        </is>
      </c>
      <c r="J768" t="inlineStr">
        <is>
          <t>No</t>
        </is>
      </c>
      <c r="K768" t="inlineStr">
        <is>
          <t>No</t>
        </is>
      </c>
      <c r="L768" t="inlineStr">
        <is>
          <t>0</t>
        </is>
      </c>
      <c r="M768" t="inlineStr">
        <is>
          <t>Vickers, Brian.</t>
        </is>
      </c>
      <c r="N768" t="inlineStr">
        <is>
          <t>London, Boston, Routledge and K. Paul, 1974-</t>
        </is>
      </c>
      <c r="O768" t="inlineStr">
        <is>
          <t>1974</t>
        </is>
      </c>
      <c r="Q768" t="inlineStr">
        <is>
          <t>eng</t>
        </is>
      </c>
      <c r="R768" t="inlineStr">
        <is>
          <t>enk</t>
        </is>
      </c>
      <c r="S768" t="inlineStr">
        <is>
          <t>The Critical heritage series</t>
        </is>
      </c>
      <c r="T768" t="inlineStr">
        <is>
          <t xml:space="preserve">PR </t>
        </is>
      </c>
      <c r="U768" t="n">
        <v>0</v>
      </c>
      <c r="V768" t="n">
        <v>4</v>
      </c>
      <c r="X768" t="inlineStr">
        <is>
          <t>1996-11-12</t>
        </is>
      </c>
      <c r="Y768" t="inlineStr">
        <is>
          <t>1991-10-24</t>
        </is>
      </c>
      <c r="Z768" t="inlineStr">
        <is>
          <t>1991-10-24</t>
        </is>
      </c>
      <c r="AA768" t="n">
        <v>947</v>
      </c>
      <c r="AB768" t="n">
        <v>702</v>
      </c>
      <c r="AC768" t="n">
        <v>706</v>
      </c>
      <c r="AD768" t="n">
        <v>5</v>
      </c>
      <c r="AE768" t="n">
        <v>5</v>
      </c>
      <c r="AF768" t="n">
        <v>38</v>
      </c>
      <c r="AG768" t="n">
        <v>38</v>
      </c>
      <c r="AH768" t="n">
        <v>14</v>
      </c>
      <c r="AI768" t="n">
        <v>14</v>
      </c>
      <c r="AJ768" t="n">
        <v>9</v>
      </c>
      <c r="AK768" t="n">
        <v>9</v>
      </c>
      <c r="AL768" t="n">
        <v>22</v>
      </c>
      <c r="AM768" t="n">
        <v>22</v>
      </c>
      <c r="AN768" t="n">
        <v>4</v>
      </c>
      <c r="AO768" t="n">
        <v>4</v>
      </c>
      <c r="AP768" t="n">
        <v>0</v>
      </c>
      <c r="AQ768" t="n">
        <v>0</v>
      </c>
      <c r="AR768" t="inlineStr">
        <is>
          <t>No</t>
        </is>
      </c>
      <c r="AS768" t="inlineStr">
        <is>
          <t>Yes</t>
        </is>
      </c>
      <c r="AT768">
        <f>HYPERLINK("http://catalog.hathitrust.org/Record/000143133","HathiTrust Record")</f>
        <v/>
      </c>
      <c r="AU768">
        <f>HYPERLINK("https://creighton-primo.hosted.exlibrisgroup.com/primo-explore/search?tab=default_tab&amp;search_scope=EVERYTHING&amp;vid=01CRU&amp;lang=en_US&amp;offset=0&amp;query=any,contains,991004219859702656","Catalog Record")</f>
        <v/>
      </c>
      <c r="AV768">
        <f>HYPERLINK("http://www.worldcat.org/oclc/1007864","WorldCat Record")</f>
        <v/>
      </c>
      <c r="AW768" t="inlineStr">
        <is>
          <t>837002278:eng</t>
        </is>
      </c>
      <c r="AX768" t="inlineStr">
        <is>
          <t>1007864</t>
        </is>
      </c>
      <c r="AY768" t="inlineStr">
        <is>
          <t>991004219859702656</t>
        </is>
      </c>
      <c r="AZ768" t="inlineStr">
        <is>
          <t>991004219859702656</t>
        </is>
      </c>
      <c r="BA768" t="inlineStr">
        <is>
          <t>2261975590002656</t>
        </is>
      </c>
      <c r="BB768" t="inlineStr">
        <is>
          <t>BOOK</t>
        </is>
      </c>
      <c r="BD768" t="inlineStr">
        <is>
          <t>9780710077165</t>
        </is>
      </c>
      <c r="BE768" t="inlineStr">
        <is>
          <t>32285000801158</t>
        </is>
      </c>
      <c r="BF768" t="inlineStr">
        <is>
          <t>893423526</t>
        </is>
      </c>
    </row>
    <row r="769">
      <c r="A769" t="inlineStr">
        <is>
          <t>No</t>
        </is>
      </c>
      <c r="B769" t="inlineStr">
        <is>
          <t>CURAL</t>
        </is>
      </c>
      <c r="C769" t="inlineStr">
        <is>
          <t>SHELVES</t>
        </is>
      </c>
      <c r="D769" t="inlineStr">
        <is>
          <t>PR2976 .W5354 1985</t>
        </is>
      </c>
      <c r="E769" t="inlineStr">
        <is>
          <t>0                      PR 2976000W  5354        1985</t>
        </is>
      </c>
      <c r="F769" t="inlineStr">
        <is>
          <t>William Shakespeare : his world, his work, his influence / John F. Andrews, editor.</t>
        </is>
      </c>
      <c r="G769" t="inlineStr">
        <is>
          <t>V.1</t>
        </is>
      </c>
      <c r="H769" t="inlineStr">
        <is>
          <t>Yes</t>
        </is>
      </c>
      <c r="I769" t="inlineStr">
        <is>
          <t>1</t>
        </is>
      </c>
      <c r="J769" t="inlineStr">
        <is>
          <t>No</t>
        </is>
      </c>
      <c r="K769" t="inlineStr">
        <is>
          <t>No</t>
        </is>
      </c>
      <c r="L769" t="inlineStr">
        <is>
          <t>0</t>
        </is>
      </c>
      <c r="N769" t="inlineStr">
        <is>
          <t>New York : Scribner, 1985.</t>
        </is>
      </c>
      <c r="O769" t="inlineStr">
        <is>
          <t>1985</t>
        </is>
      </c>
      <c r="Q769" t="inlineStr">
        <is>
          <t>eng</t>
        </is>
      </c>
      <c r="R769" t="inlineStr">
        <is>
          <t>nyu</t>
        </is>
      </c>
      <c r="T769" t="inlineStr">
        <is>
          <t xml:space="preserve">PR </t>
        </is>
      </c>
      <c r="U769" t="n">
        <v>5</v>
      </c>
      <c r="V769" t="n">
        <v>15</v>
      </c>
      <c r="W769" t="inlineStr">
        <is>
          <t>1999-04-12</t>
        </is>
      </c>
      <c r="X769" t="inlineStr">
        <is>
          <t>1999-04-12</t>
        </is>
      </c>
      <c r="Y769" t="inlineStr">
        <is>
          <t>1991-10-24</t>
        </is>
      </c>
      <c r="Z769" t="inlineStr">
        <is>
          <t>1991-10-24</t>
        </is>
      </c>
      <c r="AA769" t="n">
        <v>1829</v>
      </c>
      <c r="AB769" t="n">
        <v>1691</v>
      </c>
      <c r="AC769" t="n">
        <v>1698</v>
      </c>
      <c r="AD769" t="n">
        <v>14</v>
      </c>
      <c r="AE769" t="n">
        <v>14</v>
      </c>
      <c r="AF769" t="n">
        <v>50</v>
      </c>
      <c r="AG769" t="n">
        <v>50</v>
      </c>
      <c r="AH769" t="n">
        <v>26</v>
      </c>
      <c r="AI769" t="n">
        <v>26</v>
      </c>
      <c r="AJ769" t="n">
        <v>9</v>
      </c>
      <c r="AK769" t="n">
        <v>9</v>
      </c>
      <c r="AL769" t="n">
        <v>23</v>
      </c>
      <c r="AM769" t="n">
        <v>23</v>
      </c>
      <c r="AN769" t="n">
        <v>5</v>
      </c>
      <c r="AO769" t="n">
        <v>5</v>
      </c>
      <c r="AP769" t="n">
        <v>0</v>
      </c>
      <c r="AQ769" t="n">
        <v>0</v>
      </c>
      <c r="AR769" t="inlineStr">
        <is>
          <t>No</t>
        </is>
      </c>
      <c r="AS769" t="inlineStr">
        <is>
          <t>Yes</t>
        </is>
      </c>
      <c r="AT769">
        <f>HYPERLINK("http://catalog.hathitrust.org/Record/000386129","HathiTrust Record")</f>
        <v/>
      </c>
      <c r="AU769">
        <f>HYPERLINK("https://creighton-primo.hosted.exlibrisgroup.com/primo-explore/search?tab=default_tab&amp;search_scope=EVERYTHING&amp;vid=01CRU&amp;lang=en_US&amp;offset=0&amp;query=any,contains,991000620449702656","Catalog Record")</f>
        <v/>
      </c>
      <c r="AV769">
        <f>HYPERLINK("http://www.worldcat.org/oclc/11971334","WorldCat Record")</f>
        <v/>
      </c>
      <c r="AW769" t="inlineStr">
        <is>
          <t>918664490:eng</t>
        </is>
      </c>
      <c r="AX769" t="inlineStr">
        <is>
          <t>11971334</t>
        </is>
      </c>
      <c r="AY769" t="inlineStr">
        <is>
          <t>991000620449702656</t>
        </is>
      </c>
      <c r="AZ769" t="inlineStr">
        <is>
          <t>991000620449702656</t>
        </is>
      </c>
      <c r="BA769" t="inlineStr">
        <is>
          <t>2256921060002656</t>
        </is>
      </c>
      <c r="BB769" t="inlineStr">
        <is>
          <t>BOOK</t>
        </is>
      </c>
      <c r="BD769" t="inlineStr">
        <is>
          <t>9780684178516</t>
        </is>
      </c>
      <c r="BE769" t="inlineStr">
        <is>
          <t>32285000801208</t>
        </is>
      </c>
      <c r="BF769" t="inlineStr">
        <is>
          <t>893261543</t>
        </is>
      </c>
    </row>
    <row r="770">
      <c r="A770" t="inlineStr">
        <is>
          <t>No</t>
        </is>
      </c>
      <c r="B770" t="inlineStr">
        <is>
          <t>CURAL</t>
        </is>
      </c>
      <c r="C770" t="inlineStr">
        <is>
          <t>SHELVES</t>
        </is>
      </c>
      <c r="D770" t="inlineStr">
        <is>
          <t>PR2976 .W5354 1985</t>
        </is>
      </c>
      <c r="E770" t="inlineStr">
        <is>
          <t>0                      PR 2976000W  5354        1985</t>
        </is>
      </c>
      <c r="F770" t="inlineStr">
        <is>
          <t>William Shakespeare : his world, his work, his influence / John F. Andrews, editor.</t>
        </is>
      </c>
      <c r="G770" t="inlineStr">
        <is>
          <t>V.2</t>
        </is>
      </c>
      <c r="H770" t="inlineStr">
        <is>
          <t>Yes</t>
        </is>
      </c>
      <c r="I770" t="inlineStr">
        <is>
          <t>1</t>
        </is>
      </c>
      <c r="J770" t="inlineStr">
        <is>
          <t>No</t>
        </is>
      </c>
      <c r="K770" t="inlineStr">
        <is>
          <t>No</t>
        </is>
      </c>
      <c r="L770" t="inlineStr">
        <is>
          <t>0</t>
        </is>
      </c>
      <c r="N770" t="inlineStr">
        <is>
          <t>New York : Scribner, 1985.</t>
        </is>
      </c>
      <c r="O770" t="inlineStr">
        <is>
          <t>1985</t>
        </is>
      </c>
      <c r="Q770" t="inlineStr">
        <is>
          <t>eng</t>
        </is>
      </c>
      <c r="R770" t="inlineStr">
        <is>
          <t>nyu</t>
        </is>
      </c>
      <c r="T770" t="inlineStr">
        <is>
          <t xml:space="preserve">PR </t>
        </is>
      </c>
      <c r="U770" t="n">
        <v>5</v>
      </c>
      <c r="V770" t="n">
        <v>15</v>
      </c>
      <c r="W770" t="inlineStr">
        <is>
          <t>1999-04-12</t>
        </is>
      </c>
      <c r="X770" t="inlineStr">
        <is>
          <t>1999-04-12</t>
        </is>
      </c>
      <c r="Y770" t="inlineStr">
        <is>
          <t>1991-10-24</t>
        </is>
      </c>
      <c r="Z770" t="inlineStr">
        <is>
          <t>1991-10-24</t>
        </is>
      </c>
      <c r="AA770" t="n">
        <v>1829</v>
      </c>
      <c r="AB770" t="n">
        <v>1691</v>
      </c>
      <c r="AC770" t="n">
        <v>1698</v>
      </c>
      <c r="AD770" t="n">
        <v>14</v>
      </c>
      <c r="AE770" t="n">
        <v>14</v>
      </c>
      <c r="AF770" t="n">
        <v>50</v>
      </c>
      <c r="AG770" t="n">
        <v>50</v>
      </c>
      <c r="AH770" t="n">
        <v>26</v>
      </c>
      <c r="AI770" t="n">
        <v>26</v>
      </c>
      <c r="AJ770" t="n">
        <v>9</v>
      </c>
      <c r="AK770" t="n">
        <v>9</v>
      </c>
      <c r="AL770" t="n">
        <v>23</v>
      </c>
      <c r="AM770" t="n">
        <v>23</v>
      </c>
      <c r="AN770" t="n">
        <v>5</v>
      </c>
      <c r="AO770" t="n">
        <v>5</v>
      </c>
      <c r="AP770" t="n">
        <v>0</v>
      </c>
      <c r="AQ770" t="n">
        <v>0</v>
      </c>
      <c r="AR770" t="inlineStr">
        <is>
          <t>No</t>
        </is>
      </c>
      <c r="AS770" t="inlineStr">
        <is>
          <t>Yes</t>
        </is>
      </c>
      <c r="AT770">
        <f>HYPERLINK("http://catalog.hathitrust.org/Record/000386129","HathiTrust Record")</f>
        <v/>
      </c>
      <c r="AU770">
        <f>HYPERLINK("https://creighton-primo.hosted.exlibrisgroup.com/primo-explore/search?tab=default_tab&amp;search_scope=EVERYTHING&amp;vid=01CRU&amp;lang=en_US&amp;offset=0&amp;query=any,contains,991000620449702656","Catalog Record")</f>
        <v/>
      </c>
      <c r="AV770">
        <f>HYPERLINK("http://www.worldcat.org/oclc/11971334","WorldCat Record")</f>
        <v/>
      </c>
      <c r="AW770" t="inlineStr">
        <is>
          <t>918664490:eng</t>
        </is>
      </c>
      <c r="AX770" t="inlineStr">
        <is>
          <t>11971334</t>
        </is>
      </c>
      <c r="AY770" t="inlineStr">
        <is>
          <t>991000620449702656</t>
        </is>
      </c>
      <c r="AZ770" t="inlineStr">
        <is>
          <t>991000620449702656</t>
        </is>
      </c>
      <c r="BA770" t="inlineStr">
        <is>
          <t>2256921060002656</t>
        </is>
      </c>
      <c r="BB770" t="inlineStr">
        <is>
          <t>BOOK</t>
        </is>
      </c>
      <c r="BD770" t="inlineStr">
        <is>
          <t>9780684178516</t>
        </is>
      </c>
      <c r="BE770" t="inlineStr">
        <is>
          <t>32285000801216</t>
        </is>
      </c>
      <c r="BF770" t="inlineStr">
        <is>
          <t>893237464</t>
        </is>
      </c>
    </row>
    <row r="771">
      <c r="A771" t="inlineStr">
        <is>
          <t>No</t>
        </is>
      </c>
      <c r="B771" t="inlineStr">
        <is>
          <t>CURAL</t>
        </is>
      </c>
      <c r="C771" t="inlineStr">
        <is>
          <t>SHELVES</t>
        </is>
      </c>
      <c r="D771" t="inlineStr">
        <is>
          <t>PR2976 .W5354 1985</t>
        </is>
      </c>
      <c r="E771" t="inlineStr">
        <is>
          <t>0                      PR 2976000W  5354        1985</t>
        </is>
      </c>
      <c r="F771" t="inlineStr">
        <is>
          <t>William Shakespeare : his world, his work, his influence / John F. Andrews, editor.</t>
        </is>
      </c>
      <c r="G771" t="inlineStr">
        <is>
          <t>V.3</t>
        </is>
      </c>
      <c r="H771" t="inlineStr">
        <is>
          <t>Yes</t>
        </is>
      </c>
      <c r="I771" t="inlineStr">
        <is>
          <t>1</t>
        </is>
      </c>
      <c r="J771" t="inlineStr">
        <is>
          <t>No</t>
        </is>
      </c>
      <c r="K771" t="inlineStr">
        <is>
          <t>No</t>
        </is>
      </c>
      <c r="L771" t="inlineStr">
        <is>
          <t>0</t>
        </is>
      </c>
      <c r="N771" t="inlineStr">
        <is>
          <t>New York : Scribner, 1985.</t>
        </is>
      </c>
      <c r="O771" t="inlineStr">
        <is>
          <t>1985</t>
        </is>
      </c>
      <c r="Q771" t="inlineStr">
        <is>
          <t>eng</t>
        </is>
      </c>
      <c r="R771" t="inlineStr">
        <is>
          <t>nyu</t>
        </is>
      </c>
      <c r="T771" t="inlineStr">
        <is>
          <t xml:space="preserve">PR </t>
        </is>
      </c>
      <c r="U771" t="n">
        <v>5</v>
      </c>
      <c r="V771" t="n">
        <v>15</v>
      </c>
      <c r="W771" t="inlineStr">
        <is>
          <t>1999-04-12</t>
        </is>
      </c>
      <c r="X771" t="inlineStr">
        <is>
          <t>1999-04-12</t>
        </is>
      </c>
      <c r="Y771" t="inlineStr">
        <is>
          <t>1991-10-24</t>
        </is>
      </c>
      <c r="Z771" t="inlineStr">
        <is>
          <t>1991-10-24</t>
        </is>
      </c>
      <c r="AA771" t="n">
        <v>1829</v>
      </c>
      <c r="AB771" t="n">
        <v>1691</v>
      </c>
      <c r="AC771" t="n">
        <v>1698</v>
      </c>
      <c r="AD771" t="n">
        <v>14</v>
      </c>
      <c r="AE771" t="n">
        <v>14</v>
      </c>
      <c r="AF771" t="n">
        <v>50</v>
      </c>
      <c r="AG771" t="n">
        <v>50</v>
      </c>
      <c r="AH771" t="n">
        <v>26</v>
      </c>
      <c r="AI771" t="n">
        <v>26</v>
      </c>
      <c r="AJ771" t="n">
        <v>9</v>
      </c>
      <c r="AK771" t="n">
        <v>9</v>
      </c>
      <c r="AL771" t="n">
        <v>23</v>
      </c>
      <c r="AM771" t="n">
        <v>23</v>
      </c>
      <c r="AN771" t="n">
        <v>5</v>
      </c>
      <c r="AO771" t="n">
        <v>5</v>
      </c>
      <c r="AP771" t="n">
        <v>0</v>
      </c>
      <c r="AQ771" t="n">
        <v>0</v>
      </c>
      <c r="AR771" t="inlineStr">
        <is>
          <t>No</t>
        </is>
      </c>
      <c r="AS771" t="inlineStr">
        <is>
          <t>Yes</t>
        </is>
      </c>
      <c r="AT771">
        <f>HYPERLINK("http://catalog.hathitrust.org/Record/000386129","HathiTrust Record")</f>
        <v/>
      </c>
      <c r="AU771">
        <f>HYPERLINK("https://creighton-primo.hosted.exlibrisgroup.com/primo-explore/search?tab=default_tab&amp;search_scope=EVERYTHING&amp;vid=01CRU&amp;lang=en_US&amp;offset=0&amp;query=any,contains,991000620449702656","Catalog Record")</f>
        <v/>
      </c>
      <c r="AV771">
        <f>HYPERLINK("http://www.worldcat.org/oclc/11971334","WorldCat Record")</f>
        <v/>
      </c>
      <c r="AW771" t="inlineStr">
        <is>
          <t>918664490:eng</t>
        </is>
      </c>
      <c r="AX771" t="inlineStr">
        <is>
          <t>11971334</t>
        </is>
      </c>
      <c r="AY771" t="inlineStr">
        <is>
          <t>991000620449702656</t>
        </is>
      </c>
      <c r="AZ771" t="inlineStr">
        <is>
          <t>991000620449702656</t>
        </is>
      </c>
      <c r="BA771" t="inlineStr">
        <is>
          <t>2256921060002656</t>
        </is>
      </c>
      <c r="BB771" t="inlineStr">
        <is>
          <t>BOOK</t>
        </is>
      </c>
      <c r="BD771" t="inlineStr">
        <is>
          <t>9780684178516</t>
        </is>
      </c>
      <c r="BE771" t="inlineStr">
        <is>
          <t>32285000801224</t>
        </is>
      </c>
      <c r="BF771" t="inlineStr">
        <is>
          <t>893249515</t>
        </is>
      </c>
    </row>
    <row r="772">
      <c r="A772" t="inlineStr">
        <is>
          <t>No</t>
        </is>
      </c>
      <c r="B772" t="inlineStr">
        <is>
          <t>CURAL</t>
        </is>
      </c>
      <c r="C772" t="inlineStr">
        <is>
          <t>SHELVES</t>
        </is>
      </c>
      <c r="D772" t="inlineStr">
        <is>
          <t>PR2976 .Z46 1976</t>
        </is>
      </c>
      <c r="E772" t="inlineStr">
        <is>
          <t>0                      PR 2976000Z  46          1976</t>
        </is>
      </c>
      <c r="F772" t="inlineStr">
        <is>
          <t>Guide to Shakespeare / David M. Zesmer.</t>
        </is>
      </c>
      <c r="H772" t="inlineStr">
        <is>
          <t>No</t>
        </is>
      </c>
      <c r="I772" t="inlineStr">
        <is>
          <t>1</t>
        </is>
      </c>
      <c r="J772" t="inlineStr">
        <is>
          <t>No</t>
        </is>
      </c>
      <c r="K772" t="inlineStr">
        <is>
          <t>No</t>
        </is>
      </c>
      <c r="L772" t="inlineStr">
        <is>
          <t>0</t>
        </is>
      </c>
      <c r="M772" t="inlineStr">
        <is>
          <t>Zesmer, David M.</t>
        </is>
      </c>
      <c r="N772" t="inlineStr">
        <is>
          <t>New York : Barnes &amp; Noble Books, 1976.</t>
        </is>
      </c>
      <c r="O772" t="inlineStr">
        <is>
          <t>1976</t>
        </is>
      </c>
      <c r="Q772" t="inlineStr">
        <is>
          <t>eng</t>
        </is>
      </c>
      <c r="R772" t="inlineStr">
        <is>
          <t>nyu</t>
        </is>
      </c>
      <c r="S772" t="inlineStr">
        <is>
          <t>Barnes &amp; Noble outline series</t>
        </is>
      </c>
      <c r="T772" t="inlineStr">
        <is>
          <t xml:space="preserve">PR </t>
        </is>
      </c>
      <c r="U772" t="n">
        <v>2</v>
      </c>
      <c r="V772" t="n">
        <v>2</v>
      </c>
      <c r="W772" t="inlineStr">
        <is>
          <t>1994-11-30</t>
        </is>
      </c>
      <c r="X772" t="inlineStr">
        <is>
          <t>1994-11-30</t>
        </is>
      </c>
      <c r="Y772" t="inlineStr">
        <is>
          <t>1991-11-04</t>
        </is>
      </c>
      <c r="Z772" t="inlineStr">
        <is>
          <t>1991-11-04</t>
        </is>
      </c>
      <c r="AA772" t="n">
        <v>516</v>
      </c>
      <c r="AB772" t="n">
        <v>478</v>
      </c>
      <c r="AC772" t="n">
        <v>479</v>
      </c>
      <c r="AD772" t="n">
        <v>2</v>
      </c>
      <c r="AE772" t="n">
        <v>2</v>
      </c>
      <c r="AF772" t="n">
        <v>15</v>
      </c>
      <c r="AG772" t="n">
        <v>15</v>
      </c>
      <c r="AH772" t="n">
        <v>7</v>
      </c>
      <c r="AI772" t="n">
        <v>7</v>
      </c>
      <c r="AJ772" t="n">
        <v>2</v>
      </c>
      <c r="AK772" t="n">
        <v>2</v>
      </c>
      <c r="AL772" t="n">
        <v>7</v>
      </c>
      <c r="AM772" t="n">
        <v>7</v>
      </c>
      <c r="AN772" t="n">
        <v>1</v>
      </c>
      <c r="AO772" t="n">
        <v>1</v>
      </c>
      <c r="AP772" t="n">
        <v>0</v>
      </c>
      <c r="AQ772" t="n">
        <v>0</v>
      </c>
      <c r="AR772" t="inlineStr">
        <is>
          <t>No</t>
        </is>
      </c>
      <c r="AS772" t="inlineStr">
        <is>
          <t>Yes</t>
        </is>
      </c>
      <c r="AT772">
        <f>HYPERLINK("http://catalog.hathitrust.org/Record/007113666","HathiTrust Record")</f>
        <v/>
      </c>
      <c r="AU772">
        <f>HYPERLINK("https://creighton-primo.hosted.exlibrisgroup.com/primo-explore/search?tab=default_tab&amp;search_scope=EVERYTHING&amp;vid=01CRU&amp;lang=en_US&amp;offset=0&amp;query=any,contains,991004203509702656","Catalog Record")</f>
        <v/>
      </c>
      <c r="AV772">
        <f>HYPERLINK("http://www.worldcat.org/oclc/2658004","WorldCat Record")</f>
        <v/>
      </c>
      <c r="AW772" t="inlineStr">
        <is>
          <t>404351:eng</t>
        </is>
      </c>
      <c r="AX772" t="inlineStr">
        <is>
          <t>2658004</t>
        </is>
      </c>
      <c r="AY772" t="inlineStr">
        <is>
          <t>991004203509702656</t>
        </is>
      </c>
      <c r="AZ772" t="inlineStr">
        <is>
          <t>991004203509702656</t>
        </is>
      </c>
      <c r="BA772" t="inlineStr">
        <is>
          <t>2257181930002656</t>
        </is>
      </c>
      <c r="BB772" t="inlineStr">
        <is>
          <t>BOOK</t>
        </is>
      </c>
      <c r="BD772" t="inlineStr">
        <is>
          <t>9780064601641</t>
        </is>
      </c>
      <c r="BE772" t="inlineStr">
        <is>
          <t>32285000803766</t>
        </is>
      </c>
      <c r="BF772" t="inlineStr">
        <is>
          <t>893318922</t>
        </is>
      </c>
    </row>
    <row r="773">
      <c r="A773" t="inlineStr">
        <is>
          <t>No</t>
        </is>
      </c>
      <c r="B773" t="inlineStr">
        <is>
          <t>CURAL</t>
        </is>
      </c>
      <c r="C773" t="inlineStr">
        <is>
          <t>SHELVES</t>
        </is>
      </c>
      <c r="D773" t="inlineStr">
        <is>
          <t>PR2981 .B4</t>
        </is>
      </c>
      <c r="E773" t="inlineStr">
        <is>
          <t>0                      PR 2981000B  4</t>
        </is>
      </c>
      <c r="F773" t="inlineStr">
        <is>
          <t>Shakespeare's comedies : explorations in form.</t>
        </is>
      </c>
      <c r="H773" t="inlineStr">
        <is>
          <t>No</t>
        </is>
      </c>
      <c r="I773" t="inlineStr">
        <is>
          <t>1</t>
        </is>
      </c>
      <c r="J773" t="inlineStr">
        <is>
          <t>No</t>
        </is>
      </c>
      <c r="K773" t="inlineStr">
        <is>
          <t>No</t>
        </is>
      </c>
      <c r="L773" t="inlineStr">
        <is>
          <t>0</t>
        </is>
      </c>
      <c r="M773" t="inlineStr">
        <is>
          <t>Berry, Ralph, 1931-</t>
        </is>
      </c>
      <c r="N773" t="inlineStr">
        <is>
          <t>Princeton, N.J. : Princeton University Press, [1972]</t>
        </is>
      </c>
      <c r="O773" t="inlineStr">
        <is>
          <t>1972</t>
        </is>
      </c>
      <c r="Q773" t="inlineStr">
        <is>
          <t>eng</t>
        </is>
      </c>
      <c r="R773" t="inlineStr">
        <is>
          <t>nju</t>
        </is>
      </c>
      <c r="T773" t="inlineStr">
        <is>
          <t xml:space="preserve">PR </t>
        </is>
      </c>
      <c r="U773" t="n">
        <v>2</v>
      </c>
      <c r="V773" t="n">
        <v>2</v>
      </c>
      <c r="W773" t="inlineStr">
        <is>
          <t>1993-02-16</t>
        </is>
      </c>
      <c r="X773" t="inlineStr">
        <is>
          <t>1993-02-16</t>
        </is>
      </c>
      <c r="Y773" t="inlineStr">
        <is>
          <t>1991-11-06</t>
        </is>
      </c>
      <c r="Z773" t="inlineStr">
        <is>
          <t>1991-11-06</t>
        </is>
      </c>
      <c r="AA773" t="n">
        <v>951</v>
      </c>
      <c r="AB773" t="n">
        <v>767</v>
      </c>
      <c r="AC773" t="n">
        <v>799</v>
      </c>
      <c r="AD773" t="n">
        <v>8</v>
      </c>
      <c r="AE773" t="n">
        <v>8</v>
      </c>
      <c r="AF773" t="n">
        <v>37</v>
      </c>
      <c r="AG773" t="n">
        <v>37</v>
      </c>
      <c r="AH773" t="n">
        <v>15</v>
      </c>
      <c r="AI773" t="n">
        <v>15</v>
      </c>
      <c r="AJ773" t="n">
        <v>5</v>
      </c>
      <c r="AK773" t="n">
        <v>5</v>
      </c>
      <c r="AL773" t="n">
        <v>19</v>
      </c>
      <c r="AM773" t="n">
        <v>19</v>
      </c>
      <c r="AN773" t="n">
        <v>6</v>
      </c>
      <c r="AO773" t="n">
        <v>6</v>
      </c>
      <c r="AP773" t="n">
        <v>0</v>
      </c>
      <c r="AQ773" t="n">
        <v>0</v>
      </c>
      <c r="AR773" t="inlineStr">
        <is>
          <t>No</t>
        </is>
      </c>
      <c r="AS773" t="inlineStr">
        <is>
          <t>No</t>
        </is>
      </c>
      <c r="AU773">
        <f>HYPERLINK("https://creighton-primo.hosted.exlibrisgroup.com/primo-explore/search?tab=default_tab&amp;search_scope=EVERYTHING&amp;vid=01CRU&amp;lang=en_US&amp;offset=0&amp;query=any,contains,991003014179702656","Catalog Record")</f>
        <v/>
      </c>
      <c r="AV773">
        <f>HYPERLINK("http://www.worldcat.org/oclc/579811","WorldCat Record")</f>
        <v/>
      </c>
      <c r="AW773" t="inlineStr">
        <is>
          <t>1726006:eng</t>
        </is>
      </c>
      <c r="AX773" t="inlineStr">
        <is>
          <t>579811</t>
        </is>
      </c>
      <c r="AY773" t="inlineStr">
        <is>
          <t>991003014179702656</t>
        </is>
      </c>
      <c r="AZ773" t="inlineStr">
        <is>
          <t>991003014179702656</t>
        </is>
      </c>
      <c r="BA773" t="inlineStr">
        <is>
          <t>2256172890002656</t>
        </is>
      </c>
      <c r="BB773" t="inlineStr">
        <is>
          <t>BOOK</t>
        </is>
      </c>
      <c r="BD773" t="inlineStr">
        <is>
          <t>9780691062327</t>
        </is>
      </c>
      <c r="BE773" t="inlineStr">
        <is>
          <t>32285000803758</t>
        </is>
      </c>
      <c r="BF773" t="inlineStr">
        <is>
          <t>893704801</t>
        </is>
      </c>
    </row>
    <row r="774">
      <c r="A774" t="inlineStr">
        <is>
          <t>No</t>
        </is>
      </c>
      <c r="B774" t="inlineStr">
        <is>
          <t>CURAL</t>
        </is>
      </c>
      <c r="C774" t="inlineStr">
        <is>
          <t>SHELVES</t>
        </is>
      </c>
      <c r="D774" t="inlineStr">
        <is>
          <t>PR2981 .B7</t>
        </is>
      </c>
      <c r="E774" t="inlineStr">
        <is>
          <t>0                      PR 2981000B  7</t>
        </is>
      </c>
      <c r="F774" t="inlineStr">
        <is>
          <t>Shakespeare and his comedies.</t>
        </is>
      </c>
      <c r="H774" t="inlineStr">
        <is>
          <t>No</t>
        </is>
      </c>
      <c r="I774" t="inlineStr">
        <is>
          <t>1</t>
        </is>
      </c>
      <c r="J774" t="inlineStr">
        <is>
          <t>No</t>
        </is>
      </c>
      <c r="K774" t="inlineStr">
        <is>
          <t>No</t>
        </is>
      </c>
      <c r="L774" t="inlineStr">
        <is>
          <t>0</t>
        </is>
      </c>
      <c r="M774" t="inlineStr">
        <is>
          <t>Brown, John Russell.</t>
        </is>
      </c>
      <c r="N774" t="inlineStr">
        <is>
          <t>London : Methuen, [1957]</t>
        </is>
      </c>
      <c r="O774" t="inlineStr">
        <is>
          <t>1957</t>
        </is>
      </c>
      <c r="Q774" t="inlineStr">
        <is>
          <t>eng</t>
        </is>
      </c>
      <c r="R774" t="inlineStr">
        <is>
          <t>enk</t>
        </is>
      </c>
      <c r="T774" t="inlineStr">
        <is>
          <t xml:space="preserve">PR </t>
        </is>
      </c>
      <c r="U774" t="n">
        <v>2</v>
      </c>
      <c r="V774" t="n">
        <v>2</v>
      </c>
      <c r="W774" t="inlineStr">
        <is>
          <t>1994-02-25</t>
        </is>
      </c>
      <c r="X774" t="inlineStr">
        <is>
          <t>1994-02-25</t>
        </is>
      </c>
      <c r="Y774" t="inlineStr">
        <is>
          <t>1991-11-06</t>
        </is>
      </c>
      <c r="Z774" t="inlineStr">
        <is>
          <t>1991-11-06</t>
        </is>
      </c>
      <c r="AA774" t="n">
        <v>422</v>
      </c>
      <c r="AB774" t="n">
        <v>318</v>
      </c>
      <c r="AC774" t="n">
        <v>812</v>
      </c>
      <c r="AD774" t="n">
        <v>1</v>
      </c>
      <c r="AE774" t="n">
        <v>7</v>
      </c>
      <c r="AF774" t="n">
        <v>15</v>
      </c>
      <c r="AG774" t="n">
        <v>38</v>
      </c>
      <c r="AH774" t="n">
        <v>6</v>
      </c>
      <c r="AI774" t="n">
        <v>17</v>
      </c>
      <c r="AJ774" t="n">
        <v>3</v>
      </c>
      <c r="AK774" t="n">
        <v>6</v>
      </c>
      <c r="AL774" t="n">
        <v>10</v>
      </c>
      <c r="AM774" t="n">
        <v>22</v>
      </c>
      <c r="AN774" t="n">
        <v>0</v>
      </c>
      <c r="AO774" t="n">
        <v>5</v>
      </c>
      <c r="AP774" t="n">
        <v>0</v>
      </c>
      <c r="AQ774" t="n">
        <v>0</v>
      </c>
      <c r="AR774" t="inlineStr">
        <is>
          <t>No</t>
        </is>
      </c>
      <c r="AS774" t="inlineStr">
        <is>
          <t>Yes</t>
        </is>
      </c>
      <c r="AT774">
        <f>HYPERLINK("http://catalog.hathitrust.org/Record/001004522","HathiTrust Record")</f>
        <v/>
      </c>
      <c r="AU774">
        <f>HYPERLINK("https://creighton-primo.hosted.exlibrisgroup.com/primo-explore/search?tab=default_tab&amp;search_scope=EVERYTHING&amp;vid=01CRU&amp;lang=en_US&amp;offset=0&amp;query=any,contains,991003387969702656","Catalog Record")</f>
        <v/>
      </c>
      <c r="AV774">
        <f>HYPERLINK("http://www.worldcat.org/oclc/924631","WorldCat Record")</f>
        <v/>
      </c>
      <c r="AW774" t="inlineStr">
        <is>
          <t>883166:eng</t>
        </is>
      </c>
      <c r="AX774" t="inlineStr">
        <is>
          <t>924631</t>
        </is>
      </c>
      <c r="AY774" t="inlineStr">
        <is>
          <t>991003387969702656</t>
        </is>
      </c>
      <c r="AZ774" t="inlineStr">
        <is>
          <t>991003387969702656</t>
        </is>
      </c>
      <c r="BA774" t="inlineStr">
        <is>
          <t>2264431710002656</t>
        </is>
      </c>
      <c r="BB774" t="inlineStr">
        <is>
          <t>BOOK</t>
        </is>
      </c>
      <c r="BE774" t="inlineStr">
        <is>
          <t>32285000803741</t>
        </is>
      </c>
      <c r="BF774" t="inlineStr">
        <is>
          <t>893499248</t>
        </is>
      </c>
    </row>
    <row r="775">
      <c r="A775" t="inlineStr">
        <is>
          <t>No</t>
        </is>
      </c>
      <c r="B775" t="inlineStr">
        <is>
          <t>CURAL</t>
        </is>
      </c>
      <c r="C775" t="inlineStr">
        <is>
          <t>SHELVES</t>
        </is>
      </c>
      <c r="D775" t="inlineStr">
        <is>
          <t>PR2981 .F7</t>
        </is>
      </c>
      <c r="E775" t="inlineStr">
        <is>
          <t>0                      PR 2981000F  7</t>
        </is>
      </c>
      <c r="F775" t="inlineStr">
        <is>
          <t>A natural perspective : the development of Shakespearean comedy and romance.</t>
        </is>
      </c>
      <c r="H775" t="inlineStr">
        <is>
          <t>No</t>
        </is>
      </c>
      <c r="I775" t="inlineStr">
        <is>
          <t>1</t>
        </is>
      </c>
      <c r="J775" t="inlineStr">
        <is>
          <t>No</t>
        </is>
      </c>
      <c r="K775" t="inlineStr">
        <is>
          <t>No</t>
        </is>
      </c>
      <c r="L775" t="inlineStr">
        <is>
          <t>0</t>
        </is>
      </c>
      <c r="M775" t="inlineStr">
        <is>
          <t>Frye, Northrop.</t>
        </is>
      </c>
      <c r="N775" t="inlineStr">
        <is>
          <t>New York : Columbia University Press, 1965.</t>
        </is>
      </c>
      <c r="O775" t="inlineStr">
        <is>
          <t>1965</t>
        </is>
      </c>
      <c r="Q775" t="inlineStr">
        <is>
          <t>eng</t>
        </is>
      </c>
      <c r="R775" t="inlineStr">
        <is>
          <t>nyu</t>
        </is>
      </c>
      <c r="S775" t="inlineStr">
        <is>
          <t>Bampton lectures in America ; no. 15</t>
        </is>
      </c>
      <c r="T775" t="inlineStr">
        <is>
          <t xml:space="preserve">PR </t>
        </is>
      </c>
      <c r="U775" t="n">
        <v>1</v>
      </c>
      <c r="V775" t="n">
        <v>1</v>
      </c>
      <c r="W775" t="inlineStr">
        <is>
          <t>2008-10-05</t>
        </is>
      </c>
      <c r="X775" t="inlineStr">
        <is>
          <t>2008-10-05</t>
        </is>
      </c>
      <c r="Y775" t="inlineStr">
        <is>
          <t>1997-08-06</t>
        </is>
      </c>
      <c r="Z775" t="inlineStr">
        <is>
          <t>1997-08-06</t>
        </is>
      </c>
      <c r="AA775" t="n">
        <v>1188</v>
      </c>
      <c r="AB775" t="n">
        <v>982</v>
      </c>
      <c r="AC775" t="n">
        <v>1151</v>
      </c>
      <c r="AD775" t="n">
        <v>8</v>
      </c>
      <c r="AE775" t="n">
        <v>10</v>
      </c>
      <c r="AF775" t="n">
        <v>46</v>
      </c>
      <c r="AG775" t="n">
        <v>54</v>
      </c>
      <c r="AH775" t="n">
        <v>16</v>
      </c>
      <c r="AI775" t="n">
        <v>20</v>
      </c>
      <c r="AJ775" t="n">
        <v>8</v>
      </c>
      <c r="AK775" t="n">
        <v>11</v>
      </c>
      <c r="AL775" t="n">
        <v>26</v>
      </c>
      <c r="AM775" t="n">
        <v>28</v>
      </c>
      <c r="AN775" t="n">
        <v>7</v>
      </c>
      <c r="AO775" t="n">
        <v>9</v>
      </c>
      <c r="AP775" t="n">
        <v>0</v>
      </c>
      <c r="AQ775" t="n">
        <v>0</v>
      </c>
      <c r="AR775" t="inlineStr">
        <is>
          <t>No</t>
        </is>
      </c>
      <c r="AS775" t="inlineStr">
        <is>
          <t>Yes</t>
        </is>
      </c>
      <c r="AT775">
        <f>HYPERLINK("http://catalog.hathitrust.org/Record/000041527","HathiTrust Record")</f>
        <v/>
      </c>
      <c r="AU775">
        <f>HYPERLINK("https://creighton-primo.hosted.exlibrisgroup.com/primo-explore/search?tab=default_tab&amp;search_scope=EVERYTHING&amp;vid=01CRU&amp;lang=en_US&amp;offset=0&amp;query=any,contains,991003594719702656","Catalog Record")</f>
        <v/>
      </c>
      <c r="AV775">
        <f>HYPERLINK("http://www.worldcat.org/oclc/1175538","WorldCat Record")</f>
        <v/>
      </c>
      <c r="AW775" t="inlineStr">
        <is>
          <t>329005:eng</t>
        </is>
      </c>
      <c r="AX775" t="inlineStr">
        <is>
          <t>1175538</t>
        </is>
      </c>
      <c r="AY775" t="inlineStr">
        <is>
          <t>991003594719702656</t>
        </is>
      </c>
      <c r="AZ775" t="inlineStr">
        <is>
          <t>991003594719702656</t>
        </is>
      </c>
      <c r="BA775" t="inlineStr">
        <is>
          <t>2271912900002656</t>
        </is>
      </c>
      <c r="BB775" t="inlineStr">
        <is>
          <t>BOOK</t>
        </is>
      </c>
      <c r="BE775" t="inlineStr">
        <is>
          <t>32285003020855</t>
        </is>
      </c>
      <c r="BF775" t="inlineStr">
        <is>
          <t>893348880</t>
        </is>
      </c>
    </row>
    <row r="776">
      <c r="A776" t="inlineStr">
        <is>
          <t>No</t>
        </is>
      </c>
      <c r="B776" t="inlineStr">
        <is>
          <t>CURAL</t>
        </is>
      </c>
      <c r="C776" t="inlineStr">
        <is>
          <t>SHELVES</t>
        </is>
      </c>
      <c r="D776" t="inlineStr">
        <is>
          <t>PR2981 .G7</t>
        </is>
      </c>
      <c r="E776" t="inlineStr">
        <is>
          <t>0                      PR 2981000G  7</t>
        </is>
      </c>
      <c r="F776" t="inlineStr">
        <is>
          <t>Shakespeare, Jonson, Molière : the comic contract / Nicholas Grene.</t>
        </is>
      </c>
      <c r="H776" t="inlineStr">
        <is>
          <t>No</t>
        </is>
      </c>
      <c r="I776" t="inlineStr">
        <is>
          <t>1</t>
        </is>
      </c>
      <c r="J776" t="inlineStr">
        <is>
          <t>No</t>
        </is>
      </c>
      <c r="K776" t="inlineStr">
        <is>
          <t>No</t>
        </is>
      </c>
      <c r="L776" t="inlineStr">
        <is>
          <t>0</t>
        </is>
      </c>
      <c r="M776" t="inlineStr">
        <is>
          <t>Grene, Nicholas.</t>
        </is>
      </c>
      <c r="N776" t="inlineStr">
        <is>
          <t>Totowa, N.J. : Barnes &amp; Noble, c1980.</t>
        </is>
      </c>
      <c r="O776" t="inlineStr">
        <is>
          <t>1980</t>
        </is>
      </c>
      <c r="Q776" t="inlineStr">
        <is>
          <t>eng</t>
        </is>
      </c>
      <c r="R776" t="inlineStr">
        <is>
          <t>nju</t>
        </is>
      </c>
      <c r="T776" t="inlineStr">
        <is>
          <t xml:space="preserve">PR </t>
        </is>
      </c>
      <c r="U776" t="n">
        <v>3</v>
      </c>
      <c r="V776" t="n">
        <v>3</v>
      </c>
      <c r="W776" t="inlineStr">
        <is>
          <t>2007-11-25</t>
        </is>
      </c>
      <c r="X776" t="inlineStr">
        <is>
          <t>2007-11-25</t>
        </is>
      </c>
      <c r="Y776" t="inlineStr">
        <is>
          <t>1991-10-24</t>
        </is>
      </c>
      <c r="Z776" t="inlineStr">
        <is>
          <t>1991-10-24</t>
        </is>
      </c>
      <c r="AA776" t="n">
        <v>490</v>
      </c>
      <c r="AB776" t="n">
        <v>453</v>
      </c>
      <c r="AC776" t="n">
        <v>515</v>
      </c>
      <c r="AD776" t="n">
        <v>1</v>
      </c>
      <c r="AE776" t="n">
        <v>3</v>
      </c>
      <c r="AF776" t="n">
        <v>26</v>
      </c>
      <c r="AG776" t="n">
        <v>29</v>
      </c>
      <c r="AH776" t="n">
        <v>14</v>
      </c>
      <c r="AI776" t="n">
        <v>15</v>
      </c>
      <c r="AJ776" t="n">
        <v>9</v>
      </c>
      <c r="AK776" t="n">
        <v>9</v>
      </c>
      <c r="AL776" t="n">
        <v>14</v>
      </c>
      <c r="AM776" t="n">
        <v>14</v>
      </c>
      <c r="AN776" t="n">
        <v>0</v>
      </c>
      <c r="AO776" t="n">
        <v>2</v>
      </c>
      <c r="AP776" t="n">
        <v>0</v>
      </c>
      <c r="AQ776" t="n">
        <v>0</v>
      </c>
      <c r="AR776" t="inlineStr">
        <is>
          <t>No</t>
        </is>
      </c>
      <c r="AS776" t="inlineStr">
        <is>
          <t>Yes</t>
        </is>
      </c>
      <c r="AT776">
        <f>HYPERLINK("http://catalog.hathitrust.org/Record/000222187","HathiTrust Record")</f>
        <v/>
      </c>
      <c r="AU776">
        <f>HYPERLINK("https://creighton-primo.hosted.exlibrisgroup.com/primo-explore/search?tab=default_tab&amp;search_scope=EVERYTHING&amp;vid=01CRU&amp;lang=en_US&amp;offset=0&amp;query=any,contains,991005093809702656","Catalog Record")</f>
        <v/>
      </c>
      <c r="AV776">
        <f>HYPERLINK("http://www.worldcat.org/oclc/7739116","WorldCat Record")</f>
        <v/>
      </c>
      <c r="AW776" t="inlineStr">
        <is>
          <t>29771152:eng</t>
        </is>
      </c>
      <c r="AX776" t="inlineStr">
        <is>
          <t>7739116</t>
        </is>
      </c>
      <c r="AY776" t="inlineStr">
        <is>
          <t>991005093809702656</t>
        </is>
      </c>
      <c r="AZ776" t="inlineStr">
        <is>
          <t>991005093809702656</t>
        </is>
      </c>
      <c r="BA776" t="inlineStr">
        <is>
          <t>2269833200002656</t>
        </is>
      </c>
      <c r="BB776" t="inlineStr">
        <is>
          <t>BOOK</t>
        </is>
      </c>
      <c r="BE776" t="inlineStr">
        <is>
          <t>32285000801281</t>
        </is>
      </c>
      <c r="BF776" t="inlineStr">
        <is>
          <t>893437138</t>
        </is>
      </c>
    </row>
    <row r="777">
      <c r="A777" t="inlineStr">
        <is>
          <t>No</t>
        </is>
      </c>
      <c r="B777" t="inlineStr">
        <is>
          <t>CURAL</t>
        </is>
      </c>
      <c r="C777" t="inlineStr">
        <is>
          <t>SHELVES</t>
        </is>
      </c>
      <c r="D777" t="inlineStr">
        <is>
          <t>PR2981 .H35</t>
        </is>
      </c>
      <c r="E777" t="inlineStr">
        <is>
          <t>0                      PR 2981000H  35</t>
        </is>
      </c>
      <c r="F777" t="inlineStr">
        <is>
          <t>Faith and folly in Shakespeare's romantic comedies / R. Chris Hassel, Jr.</t>
        </is>
      </c>
      <c r="H777" t="inlineStr">
        <is>
          <t>No</t>
        </is>
      </c>
      <c r="I777" t="inlineStr">
        <is>
          <t>1</t>
        </is>
      </c>
      <c r="J777" t="inlineStr">
        <is>
          <t>No</t>
        </is>
      </c>
      <c r="K777" t="inlineStr">
        <is>
          <t>No</t>
        </is>
      </c>
      <c r="L777" t="inlineStr">
        <is>
          <t>0</t>
        </is>
      </c>
      <c r="M777" t="inlineStr">
        <is>
          <t>Hassel, R. Chris (Rudolph Chris), 1939-</t>
        </is>
      </c>
      <c r="N777" t="inlineStr">
        <is>
          <t>Athens : University of Georgia Press, c1980.</t>
        </is>
      </c>
      <c r="O777" t="inlineStr">
        <is>
          <t>1980</t>
        </is>
      </c>
      <c r="Q777" t="inlineStr">
        <is>
          <t>eng</t>
        </is>
      </c>
      <c r="R777" t="inlineStr">
        <is>
          <t>gau</t>
        </is>
      </c>
      <c r="T777" t="inlineStr">
        <is>
          <t xml:space="preserve">PR </t>
        </is>
      </c>
      <c r="U777" t="n">
        <v>5</v>
      </c>
      <c r="V777" t="n">
        <v>5</v>
      </c>
      <c r="W777" t="inlineStr">
        <is>
          <t>2000-02-11</t>
        </is>
      </c>
      <c r="X777" t="inlineStr">
        <is>
          <t>2000-02-11</t>
        </is>
      </c>
      <c r="Y777" t="inlineStr">
        <is>
          <t>1991-10-24</t>
        </is>
      </c>
      <c r="Z777" t="inlineStr">
        <is>
          <t>1991-10-24</t>
        </is>
      </c>
      <c r="AA777" t="n">
        <v>659</v>
      </c>
      <c r="AB777" t="n">
        <v>568</v>
      </c>
      <c r="AC777" t="n">
        <v>573</v>
      </c>
      <c r="AD777" t="n">
        <v>5</v>
      </c>
      <c r="AE777" t="n">
        <v>5</v>
      </c>
      <c r="AF777" t="n">
        <v>33</v>
      </c>
      <c r="AG777" t="n">
        <v>33</v>
      </c>
      <c r="AH777" t="n">
        <v>10</v>
      </c>
      <c r="AI777" t="n">
        <v>10</v>
      </c>
      <c r="AJ777" t="n">
        <v>8</v>
      </c>
      <c r="AK777" t="n">
        <v>8</v>
      </c>
      <c r="AL777" t="n">
        <v>18</v>
      </c>
      <c r="AM777" t="n">
        <v>18</v>
      </c>
      <c r="AN777" t="n">
        <v>4</v>
      </c>
      <c r="AO777" t="n">
        <v>4</v>
      </c>
      <c r="AP777" t="n">
        <v>0</v>
      </c>
      <c r="AQ777" t="n">
        <v>0</v>
      </c>
      <c r="AR777" t="inlineStr">
        <is>
          <t>No</t>
        </is>
      </c>
      <c r="AS777" t="inlineStr">
        <is>
          <t>No</t>
        </is>
      </c>
      <c r="AU777">
        <f>HYPERLINK("https://creighton-primo.hosted.exlibrisgroup.com/primo-explore/search?tab=default_tab&amp;search_scope=EVERYTHING&amp;vid=01CRU&amp;lang=en_US&amp;offset=0&amp;query=any,contains,991004716409702656","Catalog Record")</f>
        <v/>
      </c>
      <c r="AV777">
        <f>HYPERLINK("http://www.worldcat.org/oclc/4776338","WorldCat Record")</f>
        <v/>
      </c>
      <c r="AW777" t="inlineStr">
        <is>
          <t>15037499:eng</t>
        </is>
      </c>
      <c r="AX777" t="inlineStr">
        <is>
          <t>4776338</t>
        </is>
      </c>
      <c r="AY777" t="inlineStr">
        <is>
          <t>991004716409702656</t>
        </is>
      </c>
      <c r="AZ777" t="inlineStr">
        <is>
          <t>991004716409702656</t>
        </is>
      </c>
      <c r="BA777" t="inlineStr">
        <is>
          <t>2256557450002656</t>
        </is>
      </c>
      <c r="BB777" t="inlineStr">
        <is>
          <t>BOOK</t>
        </is>
      </c>
      <c r="BD777" t="inlineStr">
        <is>
          <t>9780820304748</t>
        </is>
      </c>
      <c r="BE777" t="inlineStr">
        <is>
          <t>32285000801299</t>
        </is>
      </c>
      <c r="BF777" t="inlineStr">
        <is>
          <t>893594012</t>
        </is>
      </c>
    </row>
    <row r="778">
      <c r="A778" t="inlineStr">
        <is>
          <t>No</t>
        </is>
      </c>
      <c r="B778" t="inlineStr">
        <is>
          <t>CURAL</t>
        </is>
      </c>
      <c r="C778" t="inlineStr">
        <is>
          <t>SHELVES</t>
        </is>
      </c>
      <c r="D778" t="inlineStr">
        <is>
          <t>PR2981 .H85 1981</t>
        </is>
      </c>
      <c r="E778" t="inlineStr">
        <is>
          <t>0                      PR 2981000H  85          1981</t>
        </is>
      </c>
      <c r="F778" t="inlineStr">
        <is>
          <t>Shakespeare's comedies of play / J. Dennis Huston.</t>
        </is>
      </c>
      <c r="H778" t="inlineStr">
        <is>
          <t>No</t>
        </is>
      </c>
      <c r="I778" t="inlineStr">
        <is>
          <t>1</t>
        </is>
      </c>
      <c r="J778" t="inlineStr">
        <is>
          <t>No</t>
        </is>
      </c>
      <c r="K778" t="inlineStr">
        <is>
          <t>No</t>
        </is>
      </c>
      <c r="L778" t="inlineStr">
        <is>
          <t>0</t>
        </is>
      </c>
      <c r="M778" t="inlineStr">
        <is>
          <t>Huston, J. Dennis.</t>
        </is>
      </c>
      <c r="N778" t="inlineStr">
        <is>
          <t>New York : Columbia University Press, 1981.</t>
        </is>
      </c>
      <c r="O778" t="inlineStr">
        <is>
          <t>1981</t>
        </is>
      </c>
      <c r="Q778" t="inlineStr">
        <is>
          <t>eng</t>
        </is>
      </c>
      <c r="R778" t="inlineStr">
        <is>
          <t>nyu</t>
        </is>
      </c>
      <c r="T778" t="inlineStr">
        <is>
          <t xml:space="preserve">PR </t>
        </is>
      </c>
      <c r="U778" t="n">
        <v>7</v>
      </c>
      <c r="V778" t="n">
        <v>7</v>
      </c>
      <c r="W778" t="inlineStr">
        <is>
          <t>2008-02-28</t>
        </is>
      </c>
      <c r="X778" t="inlineStr">
        <is>
          <t>2008-02-28</t>
        </is>
      </c>
      <c r="Y778" t="inlineStr">
        <is>
          <t>1991-10-24</t>
        </is>
      </c>
      <c r="Z778" t="inlineStr">
        <is>
          <t>1991-10-24</t>
        </is>
      </c>
      <c r="AA778" t="n">
        <v>617</v>
      </c>
      <c r="AB778" t="n">
        <v>531</v>
      </c>
      <c r="AC778" t="n">
        <v>547</v>
      </c>
      <c r="AD778" t="n">
        <v>6</v>
      </c>
      <c r="AE778" t="n">
        <v>6</v>
      </c>
      <c r="AF778" t="n">
        <v>30</v>
      </c>
      <c r="AG778" t="n">
        <v>30</v>
      </c>
      <c r="AH778" t="n">
        <v>12</v>
      </c>
      <c r="AI778" t="n">
        <v>12</v>
      </c>
      <c r="AJ778" t="n">
        <v>5</v>
      </c>
      <c r="AK778" t="n">
        <v>5</v>
      </c>
      <c r="AL778" t="n">
        <v>16</v>
      </c>
      <c r="AM778" t="n">
        <v>16</v>
      </c>
      <c r="AN778" t="n">
        <v>5</v>
      </c>
      <c r="AO778" t="n">
        <v>5</v>
      </c>
      <c r="AP778" t="n">
        <v>0</v>
      </c>
      <c r="AQ778" t="n">
        <v>0</v>
      </c>
      <c r="AR778" t="inlineStr">
        <is>
          <t>No</t>
        </is>
      </c>
      <c r="AS778" t="inlineStr">
        <is>
          <t>No</t>
        </is>
      </c>
      <c r="AU778">
        <f>HYPERLINK("https://creighton-primo.hosted.exlibrisgroup.com/primo-explore/search?tab=default_tab&amp;search_scope=EVERYTHING&amp;vid=01CRU&amp;lang=en_US&amp;offset=0&amp;query=any,contains,991005023539702656","Catalog Record")</f>
        <v/>
      </c>
      <c r="AV778">
        <f>HYPERLINK("http://www.worldcat.org/oclc/6666862","WorldCat Record")</f>
        <v/>
      </c>
      <c r="AW778" t="inlineStr">
        <is>
          <t>22993801:eng</t>
        </is>
      </c>
      <c r="AX778" t="inlineStr">
        <is>
          <t>6666862</t>
        </is>
      </c>
      <c r="AY778" t="inlineStr">
        <is>
          <t>991005023539702656</t>
        </is>
      </c>
      <c r="AZ778" t="inlineStr">
        <is>
          <t>991005023539702656</t>
        </is>
      </c>
      <c r="BA778" t="inlineStr">
        <is>
          <t>2260975540002656</t>
        </is>
      </c>
      <c r="BB778" t="inlineStr">
        <is>
          <t>BOOK</t>
        </is>
      </c>
      <c r="BD778" t="inlineStr">
        <is>
          <t>9780231051422</t>
        </is>
      </c>
      <c r="BE778" t="inlineStr">
        <is>
          <t>32285000801307</t>
        </is>
      </c>
      <c r="BF778" t="inlineStr">
        <is>
          <t>893446512</t>
        </is>
      </c>
    </row>
    <row r="779">
      <c r="A779" t="inlineStr">
        <is>
          <t>No</t>
        </is>
      </c>
      <c r="B779" t="inlineStr">
        <is>
          <t>CURAL</t>
        </is>
      </c>
      <c r="C779" t="inlineStr">
        <is>
          <t>SHELVES</t>
        </is>
      </c>
      <c r="D779" t="inlineStr">
        <is>
          <t>PR2981 .K7 1979</t>
        </is>
      </c>
      <c r="E779" t="inlineStr">
        <is>
          <t>0                      PR 2981000K  7           1979</t>
        </is>
      </c>
      <c r="F779" t="inlineStr">
        <is>
          <t>A Marxist study of Shakespeare's comedies / Elliot Krieger.</t>
        </is>
      </c>
      <c r="H779" t="inlineStr">
        <is>
          <t>No</t>
        </is>
      </c>
      <c r="I779" t="inlineStr">
        <is>
          <t>1</t>
        </is>
      </c>
      <c r="J779" t="inlineStr">
        <is>
          <t>No</t>
        </is>
      </c>
      <c r="K779" t="inlineStr">
        <is>
          <t>No</t>
        </is>
      </c>
      <c r="L779" t="inlineStr">
        <is>
          <t>0</t>
        </is>
      </c>
      <c r="M779" t="inlineStr">
        <is>
          <t>Krieger, Elliot.</t>
        </is>
      </c>
      <c r="N779" t="inlineStr">
        <is>
          <t>New York : Barnes &amp; Noble Books, 1979.</t>
        </is>
      </c>
      <c r="O779" t="inlineStr">
        <is>
          <t>1979</t>
        </is>
      </c>
      <c r="Q779" t="inlineStr">
        <is>
          <t>eng</t>
        </is>
      </c>
      <c r="R779" t="inlineStr">
        <is>
          <t>nyu</t>
        </is>
      </c>
      <c r="T779" t="inlineStr">
        <is>
          <t xml:space="preserve">PR </t>
        </is>
      </c>
      <c r="U779" t="n">
        <v>1</v>
      </c>
      <c r="V779" t="n">
        <v>1</v>
      </c>
      <c r="W779" t="inlineStr">
        <is>
          <t>1993-02-16</t>
        </is>
      </c>
      <c r="X779" t="inlineStr">
        <is>
          <t>1993-02-16</t>
        </is>
      </c>
      <c r="Y779" t="inlineStr">
        <is>
          <t>1991-10-24</t>
        </is>
      </c>
      <c r="Z779" t="inlineStr">
        <is>
          <t>1991-10-24</t>
        </is>
      </c>
      <c r="AA779" t="n">
        <v>286</v>
      </c>
      <c r="AB779" t="n">
        <v>265</v>
      </c>
      <c r="AC779" t="n">
        <v>311</v>
      </c>
      <c r="AD779" t="n">
        <v>3</v>
      </c>
      <c r="AE779" t="n">
        <v>3</v>
      </c>
      <c r="AF779" t="n">
        <v>19</v>
      </c>
      <c r="AG779" t="n">
        <v>20</v>
      </c>
      <c r="AH779" t="n">
        <v>6</v>
      </c>
      <c r="AI779" t="n">
        <v>7</v>
      </c>
      <c r="AJ779" t="n">
        <v>6</v>
      </c>
      <c r="AK779" t="n">
        <v>6</v>
      </c>
      <c r="AL779" t="n">
        <v>9</v>
      </c>
      <c r="AM779" t="n">
        <v>10</v>
      </c>
      <c r="AN779" t="n">
        <v>2</v>
      </c>
      <c r="AO779" t="n">
        <v>2</v>
      </c>
      <c r="AP779" t="n">
        <v>0</v>
      </c>
      <c r="AQ779" t="n">
        <v>0</v>
      </c>
      <c r="AR779" t="inlineStr">
        <is>
          <t>No</t>
        </is>
      </c>
      <c r="AS779" t="inlineStr">
        <is>
          <t>Yes</t>
        </is>
      </c>
      <c r="AT779">
        <f>HYPERLINK("http://catalog.hathitrust.org/Record/007585780","HathiTrust Record")</f>
        <v/>
      </c>
      <c r="AU779">
        <f>HYPERLINK("https://creighton-primo.hosted.exlibrisgroup.com/primo-explore/search?tab=default_tab&amp;search_scope=EVERYTHING&amp;vid=01CRU&amp;lang=en_US&amp;offset=0&amp;query=any,contains,991004949359702656","Catalog Record")</f>
        <v/>
      </c>
      <c r="AV779">
        <f>HYPERLINK("http://www.worldcat.org/oclc/6223949","WorldCat Record")</f>
        <v/>
      </c>
      <c r="AW779" t="inlineStr">
        <is>
          <t>404536:eng</t>
        </is>
      </c>
      <c r="AX779" t="inlineStr">
        <is>
          <t>6223949</t>
        </is>
      </c>
      <c r="AY779" t="inlineStr">
        <is>
          <t>991004949359702656</t>
        </is>
      </c>
      <c r="AZ779" t="inlineStr">
        <is>
          <t>991004949359702656</t>
        </is>
      </c>
      <c r="BA779" t="inlineStr">
        <is>
          <t>2268612040002656</t>
        </is>
      </c>
      <c r="BB779" t="inlineStr">
        <is>
          <t>BOOK</t>
        </is>
      </c>
      <c r="BD779" t="inlineStr">
        <is>
          <t>9780064939706</t>
        </is>
      </c>
      <c r="BE779" t="inlineStr">
        <is>
          <t>32285000801315</t>
        </is>
      </c>
      <c r="BF779" t="inlineStr">
        <is>
          <t>893263525</t>
        </is>
      </c>
    </row>
    <row r="780">
      <c r="A780" t="inlineStr">
        <is>
          <t>No</t>
        </is>
      </c>
      <c r="B780" t="inlineStr">
        <is>
          <t>CURAL</t>
        </is>
      </c>
      <c r="C780" t="inlineStr">
        <is>
          <t>SHELVES</t>
        </is>
      </c>
      <c r="D780" t="inlineStr">
        <is>
          <t>PR2981 .L3</t>
        </is>
      </c>
      <c r="E780" t="inlineStr">
        <is>
          <t>0                      PR 2981000L  3</t>
        </is>
      </c>
      <c r="F780" t="inlineStr">
        <is>
          <t>Shakespeare's problem comedies.</t>
        </is>
      </c>
      <c r="H780" t="inlineStr">
        <is>
          <t>No</t>
        </is>
      </c>
      <c r="I780" t="inlineStr">
        <is>
          <t>1</t>
        </is>
      </c>
      <c r="J780" t="inlineStr">
        <is>
          <t>No</t>
        </is>
      </c>
      <c r="K780" t="inlineStr">
        <is>
          <t>No</t>
        </is>
      </c>
      <c r="L780" t="inlineStr">
        <is>
          <t>0</t>
        </is>
      </c>
      <c r="M780" t="inlineStr">
        <is>
          <t>Lawrence, William Witherle, 1876-1958.</t>
        </is>
      </c>
      <c r="N780" t="inlineStr">
        <is>
          <t>New York, Macmillan, 1931.</t>
        </is>
      </c>
      <c r="O780" t="inlineStr">
        <is>
          <t>1931</t>
        </is>
      </c>
      <c r="Q780" t="inlineStr">
        <is>
          <t>eng</t>
        </is>
      </c>
      <c r="R780" t="inlineStr">
        <is>
          <t xml:space="preserve">xx </t>
        </is>
      </c>
      <c r="T780" t="inlineStr">
        <is>
          <t xml:space="preserve">PR </t>
        </is>
      </c>
      <c r="U780" t="n">
        <v>4</v>
      </c>
      <c r="V780" t="n">
        <v>4</v>
      </c>
      <c r="W780" t="inlineStr">
        <is>
          <t>2000-01-23</t>
        </is>
      </c>
      <c r="X780" t="inlineStr">
        <is>
          <t>2000-01-23</t>
        </is>
      </c>
      <c r="Y780" t="inlineStr">
        <is>
          <t>1997-08-06</t>
        </is>
      </c>
      <c r="Z780" t="inlineStr">
        <is>
          <t>1997-08-06</t>
        </is>
      </c>
      <c r="AA780" t="n">
        <v>564</v>
      </c>
      <c r="AB780" t="n">
        <v>501</v>
      </c>
      <c r="AC780" t="n">
        <v>1024</v>
      </c>
      <c r="AD780" t="n">
        <v>8</v>
      </c>
      <c r="AE780" t="n">
        <v>12</v>
      </c>
      <c r="AF780" t="n">
        <v>31</v>
      </c>
      <c r="AG780" t="n">
        <v>53</v>
      </c>
      <c r="AH780" t="n">
        <v>10</v>
      </c>
      <c r="AI780" t="n">
        <v>20</v>
      </c>
      <c r="AJ780" t="n">
        <v>4</v>
      </c>
      <c r="AK780" t="n">
        <v>9</v>
      </c>
      <c r="AL780" t="n">
        <v>17</v>
      </c>
      <c r="AM780" t="n">
        <v>24</v>
      </c>
      <c r="AN780" t="n">
        <v>7</v>
      </c>
      <c r="AO780" t="n">
        <v>11</v>
      </c>
      <c r="AP780" t="n">
        <v>0</v>
      </c>
      <c r="AQ780" t="n">
        <v>0</v>
      </c>
      <c r="AR780" t="inlineStr">
        <is>
          <t>No</t>
        </is>
      </c>
      <c r="AS780" t="inlineStr">
        <is>
          <t>Yes</t>
        </is>
      </c>
      <c r="AT780">
        <f>HYPERLINK("http://catalog.hathitrust.org/Record/001112206","HathiTrust Record")</f>
        <v/>
      </c>
      <c r="AU780">
        <f>HYPERLINK("https://creighton-primo.hosted.exlibrisgroup.com/primo-explore/search?tab=default_tab&amp;search_scope=EVERYTHING&amp;vid=01CRU&amp;lang=en_US&amp;offset=0&amp;query=any,contains,991003417879702656","Catalog Record")</f>
        <v/>
      </c>
      <c r="AV780">
        <f>HYPERLINK("http://www.worldcat.org/oclc/959385","WorldCat Record")</f>
        <v/>
      </c>
      <c r="AW780" t="inlineStr">
        <is>
          <t>1169090:eng</t>
        </is>
      </c>
      <c r="AX780" t="inlineStr">
        <is>
          <t>959385</t>
        </is>
      </c>
      <c r="AY780" t="inlineStr">
        <is>
          <t>991003417879702656</t>
        </is>
      </c>
      <c r="AZ780" t="inlineStr">
        <is>
          <t>991003417879702656</t>
        </is>
      </c>
      <c r="BA780" t="inlineStr">
        <is>
          <t>2268789110002656</t>
        </is>
      </c>
      <c r="BB780" t="inlineStr">
        <is>
          <t>BOOK</t>
        </is>
      </c>
      <c r="BE780" t="inlineStr">
        <is>
          <t>32285003020871</t>
        </is>
      </c>
      <c r="BF780" t="inlineStr">
        <is>
          <t>893805764</t>
        </is>
      </c>
    </row>
    <row r="781">
      <c r="A781" t="inlineStr">
        <is>
          <t>No</t>
        </is>
      </c>
      <c r="B781" t="inlineStr">
        <is>
          <t>CURAL</t>
        </is>
      </c>
      <c r="C781" t="inlineStr">
        <is>
          <t>SHELVES</t>
        </is>
      </c>
      <c r="D781" t="inlineStr">
        <is>
          <t>PR2981 .L4</t>
        </is>
      </c>
      <c r="E781" t="inlineStr">
        <is>
          <t>0                      PR 2981000L  4</t>
        </is>
      </c>
      <c r="F781" t="inlineStr">
        <is>
          <t>Twelfth night and Shakespearian comedy.</t>
        </is>
      </c>
      <c r="H781" t="inlineStr">
        <is>
          <t>No</t>
        </is>
      </c>
      <c r="I781" t="inlineStr">
        <is>
          <t>1</t>
        </is>
      </c>
      <c r="J781" t="inlineStr">
        <is>
          <t>No</t>
        </is>
      </c>
      <c r="K781" t="inlineStr">
        <is>
          <t>No</t>
        </is>
      </c>
      <c r="L781" t="inlineStr">
        <is>
          <t>0</t>
        </is>
      </c>
      <c r="M781" t="inlineStr">
        <is>
          <t>Leech, Clifford.</t>
        </is>
      </c>
      <c r="N781" t="inlineStr">
        <is>
          <t>[Halifax, N.S.] : Dalhousie University Press, [1965]</t>
        </is>
      </c>
      <c r="O781" t="inlineStr">
        <is>
          <t>1965</t>
        </is>
      </c>
      <c r="Q781" t="inlineStr">
        <is>
          <t>eng</t>
        </is>
      </c>
      <c r="R781" t="inlineStr">
        <is>
          <t>nsc</t>
        </is>
      </c>
      <c r="T781" t="inlineStr">
        <is>
          <t xml:space="preserve">PR </t>
        </is>
      </c>
      <c r="U781" t="n">
        <v>2</v>
      </c>
      <c r="V781" t="n">
        <v>2</v>
      </c>
      <c r="W781" t="inlineStr">
        <is>
          <t>1993-02-16</t>
        </is>
      </c>
      <c r="X781" t="inlineStr">
        <is>
          <t>1993-02-16</t>
        </is>
      </c>
      <c r="Y781" t="inlineStr">
        <is>
          <t>1990-11-12</t>
        </is>
      </c>
      <c r="Z781" t="inlineStr">
        <is>
          <t>1990-11-12</t>
        </is>
      </c>
      <c r="AA781" t="n">
        <v>740</v>
      </c>
      <c r="AB781" t="n">
        <v>607</v>
      </c>
      <c r="AC781" t="n">
        <v>723</v>
      </c>
      <c r="AD781" t="n">
        <v>5</v>
      </c>
      <c r="AE781" t="n">
        <v>6</v>
      </c>
      <c r="AF781" t="n">
        <v>36</v>
      </c>
      <c r="AG781" t="n">
        <v>45</v>
      </c>
      <c r="AH781" t="n">
        <v>13</v>
      </c>
      <c r="AI781" t="n">
        <v>18</v>
      </c>
      <c r="AJ781" t="n">
        <v>9</v>
      </c>
      <c r="AK781" t="n">
        <v>11</v>
      </c>
      <c r="AL781" t="n">
        <v>19</v>
      </c>
      <c r="AM781" t="n">
        <v>21</v>
      </c>
      <c r="AN781" t="n">
        <v>4</v>
      </c>
      <c r="AO781" t="n">
        <v>5</v>
      </c>
      <c r="AP781" t="n">
        <v>0</v>
      </c>
      <c r="AQ781" t="n">
        <v>0</v>
      </c>
      <c r="AR781" t="inlineStr">
        <is>
          <t>No</t>
        </is>
      </c>
      <c r="AS781" t="inlineStr">
        <is>
          <t>Yes</t>
        </is>
      </c>
      <c r="AT781">
        <f>HYPERLINK("http://catalog.hathitrust.org/Record/001018846","HathiTrust Record")</f>
        <v/>
      </c>
      <c r="AU781">
        <f>HYPERLINK("https://creighton-primo.hosted.exlibrisgroup.com/primo-explore/search?tab=default_tab&amp;search_scope=EVERYTHING&amp;vid=01CRU&amp;lang=en_US&amp;offset=0&amp;query=any,contains,991002480479702656","Catalog Record")</f>
        <v/>
      </c>
      <c r="AV781">
        <f>HYPERLINK("http://www.worldcat.org/oclc/359623","WorldCat Record")</f>
        <v/>
      </c>
      <c r="AW781" t="inlineStr">
        <is>
          <t>1409593:eng</t>
        </is>
      </c>
      <c r="AX781" t="inlineStr">
        <is>
          <t>359623</t>
        </is>
      </c>
      <c r="AY781" t="inlineStr">
        <is>
          <t>991002480479702656</t>
        </is>
      </c>
      <c r="AZ781" t="inlineStr">
        <is>
          <t>991002480479702656</t>
        </is>
      </c>
      <c r="BA781" t="inlineStr">
        <is>
          <t>2272342750002656</t>
        </is>
      </c>
      <c r="BB781" t="inlineStr">
        <is>
          <t>BOOK</t>
        </is>
      </c>
      <c r="BE781" t="inlineStr">
        <is>
          <t>32285000367770</t>
        </is>
      </c>
      <c r="BF781" t="inlineStr">
        <is>
          <t>893798646</t>
        </is>
      </c>
    </row>
    <row r="782">
      <c r="A782" t="inlineStr">
        <is>
          <t>No</t>
        </is>
      </c>
      <c r="B782" t="inlineStr">
        <is>
          <t>CURAL</t>
        </is>
      </c>
      <c r="C782" t="inlineStr">
        <is>
          <t>SHELVES</t>
        </is>
      </c>
      <c r="D782" t="inlineStr">
        <is>
          <t>PR2981 .L48 1985</t>
        </is>
      </c>
      <c r="E782" t="inlineStr">
        <is>
          <t>0                      PR 2981000L  48          1985</t>
        </is>
      </c>
      <c r="F782" t="inlineStr">
        <is>
          <t>Love and society in Shakespearean comedy : a study of dramatic form and content / Richard A. Levin.</t>
        </is>
      </c>
      <c r="H782" t="inlineStr">
        <is>
          <t>No</t>
        </is>
      </c>
      <c r="I782" t="inlineStr">
        <is>
          <t>1</t>
        </is>
      </c>
      <c r="J782" t="inlineStr">
        <is>
          <t>No</t>
        </is>
      </c>
      <c r="K782" t="inlineStr">
        <is>
          <t>No</t>
        </is>
      </c>
      <c r="L782" t="inlineStr">
        <is>
          <t>0</t>
        </is>
      </c>
      <c r="M782" t="inlineStr">
        <is>
          <t>Levin, Richard A., 1944-</t>
        </is>
      </c>
      <c r="N782" t="inlineStr">
        <is>
          <t>Newark : University of Delaware Press ; London : Associated University Presses, c1985.</t>
        </is>
      </c>
      <c r="O782" t="inlineStr">
        <is>
          <t>1985</t>
        </is>
      </c>
      <c r="Q782" t="inlineStr">
        <is>
          <t>eng</t>
        </is>
      </c>
      <c r="R782" t="inlineStr">
        <is>
          <t>deu</t>
        </is>
      </c>
      <c r="T782" t="inlineStr">
        <is>
          <t xml:space="preserve">PR </t>
        </is>
      </c>
      <c r="U782" t="n">
        <v>2</v>
      </c>
      <c r="V782" t="n">
        <v>2</v>
      </c>
      <c r="W782" t="inlineStr">
        <is>
          <t>1992-12-07</t>
        </is>
      </c>
      <c r="X782" t="inlineStr">
        <is>
          <t>1992-12-07</t>
        </is>
      </c>
      <c r="Y782" t="inlineStr">
        <is>
          <t>1991-10-24</t>
        </is>
      </c>
      <c r="Z782" t="inlineStr">
        <is>
          <t>1991-10-24</t>
        </is>
      </c>
      <c r="AA782" t="n">
        <v>733</v>
      </c>
      <c r="AB782" t="n">
        <v>604</v>
      </c>
      <c r="AC782" t="n">
        <v>611</v>
      </c>
      <c r="AD782" t="n">
        <v>4</v>
      </c>
      <c r="AE782" t="n">
        <v>4</v>
      </c>
      <c r="AF782" t="n">
        <v>34</v>
      </c>
      <c r="AG782" t="n">
        <v>34</v>
      </c>
      <c r="AH782" t="n">
        <v>16</v>
      </c>
      <c r="AI782" t="n">
        <v>16</v>
      </c>
      <c r="AJ782" t="n">
        <v>7</v>
      </c>
      <c r="AK782" t="n">
        <v>7</v>
      </c>
      <c r="AL782" t="n">
        <v>18</v>
      </c>
      <c r="AM782" t="n">
        <v>18</v>
      </c>
      <c r="AN782" t="n">
        <v>3</v>
      </c>
      <c r="AO782" t="n">
        <v>3</v>
      </c>
      <c r="AP782" t="n">
        <v>0</v>
      </c>
      <c r="AQ782" t="n">
        <v>0</v>
      </c>
      <c r="AR782" t="inlineStr">
        <is>
          <t>No</t>
        </is>
      </c>
      <c r="AS782" t="inlineStr">
        <is>
          <t>Yes</t>
        </is>
      </c>
      <c r="AT782">
        <f>HYPERLINK("http://catalog.hathitrust.org/Record/000380155","HathiTrust Record")</f>
        <v/>
      </c>
      <c r="AU782">
        <f>HYPERLINK("https://creighton-primo.hosted.exlibrisgroup.com/primo-explore/search?tab=default_tab&amp;search_scope=EVERYTHING&amp;vid=01CRU&amp;lang=en_US&amp;offset=0&amp;query=any,contains,991000561769702656","Catalog Record")</f>
        <v/>
      </c>
      <c r="AV782">
        <f>HYPERLINK("http://www.worldcat.org/oclc/11598954","WorldCat Record")</f>
        <v/>
      </c>
      <c r="AW782" t="inlineStr">
        <is>
          <t>836698040:eng</t>
        </is>
      </c>
      <c r="AX782" t="inlineStr">
        <is>
          <t>11598954</t>
        </is>
      </c>
      <c r="AY782" t="inlineStr">
        <is>
          <t>991000561769702656</t>
        </is>
      </c>
      <c r="AZ782" t="inlineStr">
        <is>
          <t>991000561769702656</t>
        </is>
      </c>
      <c r="BA782" t="inlineStr">
        <is>
          <t>2258196640002656</t>
        </is>
      </c>
      <c r="BB782" t="inlineStr">
        <is>
          <t>BOOK</t>
        </is>
      </c>
      <c r="BD782" t="inlineStr">
        <is>
          <t>9780874132663</t>
        </is>
      </c>
      <c r="BE782" t="inlineStr">
        <is>
          <t>32285000801323</t>
        </is>
      </c>
      <c r="BF782" t="inlineStr">
        <is>
          <t>893521794</t>
        </is>
      </c>
    </row>
    <row r="783">
      <c r="A783" t="inlineStr">
        <is>
          <t>No</t>
        </is>
      </c>
      <c r="B783" t="inlineStr">
        <is>
          <t>CURAL</t>
        </is>
      </c>
      <c r="C783" t="inlineStr">
        <is>
          <t>SHELVES</t>
        </is>
      </c>
      <c r="D783" t="inlineStr">
        <is>
          <t>PR2981 .M28 1985</t>
        </is>
      </c>
      <c r="E783" t="inlineStr">
        <is>
          <t>0                      PR 2981000M  28          1985</t>
        </is>
      </c>
      <c r="F783" t="inlineStr">
        <is>
          <t>Friends and lovers : the phenomenology of desire in Shakespearean comedy / W. Thomas MacCary.</t>
        </is>
      </c>
      <c r="H783" t="inlineStr">
        <is>
          <t>No</t>
        </is>
      </c>
      <c r="I783" t="inlineStr">
        <is>
          <t>1</t>
        </is>
      </c>
      <c r="J783" t="inlineStr">
        <is>
          <t>No</t>
        </is>
      </c>
      <c r="K783" t="inlineStr">
        <is>
          <t>No</t>
        </is>
      </c>
      <c r="L783" t="inlineStr">
        <is>
          <t>0</t>
        </is>
      </c>
      <c r="M783" t="inlineStr">
        <is>
          <t>MacCary, W. Thomas.</t>
        </is>
      </c>
      <c r="N783" t="inlineStr">
        <is>
          <t>New York : Columbia University Press, 1985.</t>
        </is>
      </c>
      <c r="O783" t="inlineStr">
        <is>
          <t>1985</t>
        </is>
      </c>
      <c r="Q783" t="inlineStr">
        <is>
          <t>eng</t>
        </is>
      </c>
      <c r="R783" t="inlineStr">
        <is>
          <t>nyu</t>
        </is>
      </c>
      <c r="T783" t="inlineStr">
        <is>
          <t xml:space="preserve">PR </t>
        </is>
      </c>
      <c r="U783" t="n">
        <v>8</v>
      </c>
      <c r="V783" t="n">
        <v>8</v>
      </c>
      <c r="W783" t="inlineStr">
        <is>
          <t>2008-02-26</t>
        </is>
      </c>
      <c r="X783" t="inlineStr">
        <is>
          <t>2008-02-26</t>
        </is>
      </c>
      <c r="Y783" t="inlineStr">
        <is>
          <t>1991-10-24</t>
        </is>
      </c>
      <c r="Z783" t="inlineStr">
        <is>
          <t>1991-10-24</t>
        </is>
      </c>
      <c r="AA783" t="n">
        <v>608</v>
      </c>
      <c r="AB783" t="n">
        <v>513</v>
      </c>
      <c r="AC783" t="n">
        <v>514</v>
      </c>
      <c r="AD783" t="n">
        <v>4</v>
      </c>
      <c r="AE783" t="n">
        <v>4</v>
      </c>
      <c r="AF783" t="n">
        <v>31</v>
      </c>
      <c r="AG783" t="n">
        <v>32</v>
      </c>
      <c r="AH783" t="n">
        <v>13</v>
      </c>
      <c r="AI783" t="n">
        <v>13</v>
      </c>
      <c r="AJ783" t="n">
        <v>6</v>
      </c>
      <c r="AK783" t="n">
        <v>6</v>
      </c>
      <c r="AL783" t="n">
        <v>18</v>
      </c>
      <c r="AM783" t="n">
        <v>19</v>
      </c>
      <c r="AN783" t="n">
        <v>3</v>
      </c>
      <c r="AO783" t="n">
        <v>3</v>
      </c>
      <c r="AP783" t="n">
        <v>0</v>
      </c>
      <c r="AQ783" t="n">
        <v>0</v>
      </c>
      <c r="AR783" t="inlineStr">
        <is>
          <t>No</t>
        </is>
      </c>
      <c r="AS783" t="inlineStr">
        <is>
          <t>No</t>
        </is>
      </c>
      <c r="AU783">
        <f>HYPERLINK("https://creighton-primo.hosted.exlibrisgroup.com/primo-explore/search?tab=default_tab&amp;search_scope=EVERYTHING&amp;vid=01CRU&amp;lang=en_US&amp;offset=0&amp;query=any,contains,991000487319702656","Catalog Record")</f>
        <v/>
      </c>
      <c r="AV783">
        <f>HYPERLINK("http://www.worldcat.org/oclc/11089567","WorldCat Record")</f>
        <v/>
      </c>
      <c r="AW783" t="inlineStr">
        <is>
          <t>836675484:eng</t>
        </is>
      </c>
      <c r="AX783" t="inlineStr">
        <is>
          <t>11089567</t>
        </is>
      </c>
      <c r="AY783" t="inlineStr">
        <is>
          <t>991000487319702656</t>
        </is>
      </c>
      <c r="AZ783" t="inlineStr">
        <is>
          <t>991000487319702656</t>
        </is>
      </c>
      <c r="BA783" t="inlineStr">
        <is>
          <t>2265353340002656</t>
        </is>
      </c>
      <c r="BB783" t="inlineStr">
        <is>
          <t>BOOK</t>
        </is>
      </c>
      <c r="BD783" t="inlineStr">
        <is>
          <t>9780231057844</t>
        </is>
      </c>
      <c r="BE783" t="inlineStr">
        <is>
          <t>32285000801331</t>
        </is>
      </c>
      <c r="BF783" t="inlineStr">
        <is>
          <t>893784249</t>
        </is>
      </c>
    </row>
    <row r="784">
      <c r="A784" t="inlineStr">
        <is>
          <t>No</t>
        </is>
      </c>
      <c r="B784" t="inlineStr">
        <is>
          <t>CURAL</t>
        </is>
      </c>
      <c r="C784" t="inlineStr">
        <is>
          <t>SHELVES</t>
        </is>
      </c>
      <c r="D784" t="inlineStr">
        <is>
          <t>PR2981 .M56 1994</t>
        </is>
      </c>
      <c r="E784" t="inlineStr">
        <is>
          <t>0                      PR 2981000M  56          1994</t>
        </is>
      </c>
      <c r="F784" t="inlineStr">
        <is>
          <t>Shakespeare and classical comedy : the influence of Plautus and Terence / Robert S. Miola.</t>
        </is>
      </c>
      <c r="H784" t="inlineStr">
        <is>
          <t>No</t>
        </is>
      </c>
      <c r="I784" t="inlineStr">
        <is>
          <t>1</t>
        </is>
      </c>
      <c r="J784" t="inlineStr">
        <is>
          <t>No</t>
        </is>
      </c>
      <c r="K784" t="inlineStr">
        <is>
          <t>No</t>
        </is>
      </c>
      <c r="L784" t="inlineStr">
        <is>
          <t>0</t>
        </is>
      </c>
      <c r="M784" t="inlineStr">
        <is>
          <t>Miola, Robert S.</t>
        </is>
      </c>
      <c r="N784" t="inlineStr">
        <is>
          <t>Oxford [England] : Clarendon Press ; New York : Oxford University Press, 1994.</t>
        </is>
      </c>
      <c r="O784" t="inlineStr">
        <is>
          <t>1994</t>
        </is>
      </c>
      <c r="Q784" t="inlineStr">
        <is>
          <t>eng</t>
        </is>
      </c>
      <c r="R784" t="inlineStr">
        <is>
          <t>enk</t>
        </is>
      </c>
      <c r="T784" t="inlineStr">
        <is>
          <t xml:space="preserve">PR </t>
        </is>
      </c>
      <c r="U784" t="n">
        <v>1</v>
      </c>
      <c r="V784" t="n">
        <v>1</v>
      </c>
      <c r="W784" t="inlineStr">
        <is>
          <t>2005-10-07</t>
        </is>
      </c>
      <c r="X784" t="inlineStr">
        <is>
          <t>2005-10-07</t>
        </is>
      </c>
      <c r="Y784" t="inlineStr">
        <is>
          <t>1995-04-17</t>
        </is>
      </c>
      <c r="Z784" t="inlineStr">
        <is>
          <t>1995-04-17</t>
        </is>
      </c>
      <c r="AA784" t="n">
        <v>416</v>
      </c>
      <c r="AB784" t="n">
        <v>311</v>
      </c>
      <c r="AC784" t="n">
        <v>351</v>
      </c>
      <c r="AD784" t="n">
        <v>3</v>
      </c>
      <c r="AE784" t="n">
        <v>3</v>
      </c>
      <c r="AF784" t="n">
        <v>20</v>
      </c>
      <c r="AG784" t="n">
        <v>22</v>
      </c>
      <c r="AH784" t="n">
        <v>7</v>
      </c>
      <c r="AI784" t="n">
        <v>8</v>
      </c>
      <c r="AJ784" t="n">
        <v>4</v>
      </c>
      <c r="AK784" t="n">
        <v>5</v>
      </c>
      <c r="AL784" t="n">
        <v>14</v>
      </c>
      <c r="AM784" t="n">
        <v>15</v>
      </c>
      <c r="AN784" t="n">
        <v>2</v>
      </c>
      <c r="AO784" t="n">
        <v>2</v>
      </c>
      <c r="AP784" t="n">
        <v>0</v>
      </c>
      <c r="AQ784" t="n">
        <v>0</v>
      </c>
      <c r="AR784" t="inlineStr">
        <is>
          <t>No</t>
        </is>
      </c>
      <c r="AS784" t="inlineStr">
        <is>
          <t>Yes</t>
        </is>
      </c>
      <c r="AT784">
        <f>HYPERLINK("http://catalog.hathitrust.org/Record/002936655","HathiTrust Record")</f>
        <v/>
      </c>
      <c r="AU784">
        <f>HYPERLINK("https://creighton-primo.hosted.exlibrisgroup.com/primo-explore/search?tab=default_tab&amp;search_scope=EVERYTHING&amp;vid=01CRU&amp;lang=en_US&amp;offset=0&amp;query=any,contains,991002356369702656","Catalog Record")</f>
        <v/>
      </c>
      <c r="AV784">
        <f>HYPERLINK("http://www.worldcat.org/oclc/30665719","WorldCat Record")</f>
        <v/>
      </c>
      <c r="AW784" t="inlineStr">
        <is>
          <t>32732302:eng</t>
        </is>
      </c>
      <c r="AX784" t="inlineStr">
        <is>
          <t>30665719</t>
        </is>
      </c>
      <c r="AY784" t="inlineStr">
        <is>
          <t>991002356369702656</t>
        </is>
      </c>
      <c r="AZ784" t="inlineStr">
        <is>
          <t>991002356369702656</t>
        </is>
      </c>
      <c r="BA784" t="inlineStr">
        <is>
          <t>2266660590002656</t>
        </is>
      </c>
      <c r="BB784" t="inlineStr">
        <is>
          <t>BOOK</t>
        </is>
      </c>
      <c r="BD784" t="inlineStr">
        <is>
          <t>9780198182696</t>
        </is>
      </c>
      <c r="BE784" t="inlineStr">
        <is>
          <t>32285002018736</t>
        </is>
      </c>
      <c r="BF784" t="inlineStr">
        <is>
          <t>893792358</t>
        </is>
      </c>
    </row>
    <row r="785">
      <c r="A785" t="inlineStr">
        <is>
          <t>No</t>
        </is>
      </c>
      <c r="B785" t="inlineStr">
        <is>
          <t>CURAL</t>
        </is>
      </c>
      <c r="C785" t="inlineStr">
        <is>
          <t>SHELVES</t>
        </is>
      </c>
      <c r="D785" t="inlineStr">
        <is>
          <t>PR2981 .M85 1979</t>
        </is>
      </c>
      <c r="E785" t="inlineStr">
        <is>
          <t>0                      PR 2981000M  85          1979</t>
        </is>
      </c>
      <c r="F785" t="inlineStr">
        <is>
          <t>Shakespeare's comic sequence / Kenneth Muir.</t>
        </is>
      </c>
      <c r="H785" t="inlineStr">
        <is>
          <t>No</t>
        </is>
      </c>
      <c r="I785" t="inlineStr">
        <is>
          <t>1</t>
        </is>
      </c>
      <c r="J785" t="inlineStr">
        <is>
          <t>No</t>
        </is>
      </c>
      <c r="K785" t="inlineStr">
        <is>
          <t>No</t>
        </is>
      </c>
      <c r="L785" t="inlineStr">
        <is>
          <t>0</t>
        </is>
      </c>
      <c r="M785" t="inlineStr">
        <is>
          <t>Muir, Kenneth.</t>
        </is>
      </c>
      <c r="N785" t="inlineStr">
        <is>
          <t>Liverpool, Eng. : Liverpool University Press, c1979.</t>
        </is>
      </c>
      <c r="O785" t="inlineStr">
        <is>
          <t>1979</t>
        </is>
      </c>
      <c r="Q785" t="inlineStr">
        <is>
          <t>eng</t>
        </is>
      </c>
      <c r="R785" t="inlineStr">
        <is>
          <t>enk</t>
        </is>
      </c>
      <c r="T785" t="inlineStr">
        <is>
          <t xml:space="preserve">PR </t>
        </is>
      </c>
      <c r="U785" t="n">
        <v>4</v>
      </c>
      <c r="V785" t="n">
        <v>4</v>
      </c>
      <c r="W785" t="inlineStr">
        <is>
          <t>1993-02-16</t>
        </is>
      </c>
      <c r="X785" t="inlineStr">
        <is>
          <t>1993-02-16</t>
        </is>
      </c>
      <c r="Y785" t="inlineStr">
        <is>
          <t>1991-10-24</t>
        </is>
      </c>
      <c r="Z785" t="inlineStr">
        <is>
          <t>1991-10-24</t>
        </is>
      </c>
      <c r="AA785" t="n">
        <v>273</v>
      </c>
      <c r="AB785" t="n">
        <v>86</v>
      </c>
      <c r="AC785" t="n">
        <v>761</v>
      </c>
      <c r="AD785" t="n">
        <v>3</v>
      </c>
      <c r="AE785" t="n">
        <v>7</v>
      </c>
      <c r="AF785" t="n">
        <v>6</v>
      </c>
      <c r="AG785" t="n">
        <v>42</v>
      </c>
      <c r="AH785" t="n">
        <v>2</v>
      </c>
      <c r="AI785" t="n">
        <v>21</v>
      </c>
      <c r="AJ785" t="n">
        <v>1</v>
      </c>
      <c r="AK785" t="n">
        <v>9</v>
      </c>
      <c r="AL785" t="n">
        <v>4</v>
      </c>
      <c r="AM785" t="n">
        <v>18</v>
      </c>
      <c r="AN785" t="n">
        <v>2</v>
      </c>
      <c r="AO785" t="n">
        <v>6</v>
      </c>
      <c r="AP785" t="n">
        <v>0</v>
      </c>
      <c r="AQ785" t="n">
        <v>0</v>
      </c>
      <c r="AR785" t="inlineStr">
        <is>
          <t>No</t>
        </is>
      </c>
      <c r="AS785" t="inlineStr">
        <is>
          <t>Yes</t>
        </is>
      </c>
      <c r="AT785">
        <f>HYPERLINK("http://catalog.hathitrust.org/Record/000689686","HathiTrust Record")</f>
        <v/>
      </c>
      <c r="AU785">
        <f>HYPERLINK("https://creighton-primo.hosted.exlibrisgroup.com/primo-explore/search?tab=default_tab&amp;search_scope=EVERYTHING&amp;vid=01CRU&amp;lang=en_US&amp;offset=0&amp;query=any,contains,991004891579702656","Catalog Record")</f>
        <v/>
      </c>
      <c r="AV785">
        <f>HYPERLINK("http://www.worldcat.org/oclc/5879254","WorldCat Record")</f>
        <v/>
      </c>
      <c r="AW785" t="inlineStr">
        <is>
          <t>20068278:eng</t>
        </is>
      </c>
      <c r="AX785" t="inlineStr">
        <is>
          <t>5879254</t>
        </is>
      </c>
      <c r="AY785" t="inlineStr">
        <is>
          <t>991004891579702656</t>
        </is>
      </c>
      <c r="AZ785" t="inlineStr">
        <is>
          <t>991004891579702656</t>
        </is>
      </c>
      <c r="BA785" t="inlineStr">
        <is>
          <t>2264940680002656</t>
        </is>
      </c>
      <c r="BB785" t="inlineStr">
        <is>
          <t>BOOK</t>
        </is>
      </c>
      <c r="BD785" t="inlineStr">
        <is>
          <t>9780853230649</t>
        </is>
      </c>
      <c r="BE785" t="inlineStr">
        <is>
          <t>32285000801349</t>
        </is>
      </c>
      <c r="BF785" t="inlineStr">
        <is>
          <t>893353577</t>
        </is>
      </c>
    </row>
    <row r="786">
      <c r="A786" t="inlineStr">
        <is>
          <t>No</t>
        </is>
      </c>
      <c r="B786" t="inlineStr">
        <is>
          <t>CURAL</t>
        </is>
      </c>
      <c r="C786" t="inlineStr">
        <is>
          <t>SHELVES</t>
        </is>
      </c>
      <c r="D786" t="inlineStr">
        <is>
          <t>PR2981 .R5 1971</t>
        </is>
      </c>
      <c r="E786" t="inlineStr">
        <is>
          <t>0                      PR 2981000R  5           1971</t>
        </is>
      </c>
      <c r="F786" t="inlineStr">
        <is>
          <t>Shakespeare's sexual comedy; a mirror for lovers [by] Hugh M. Richmond.</t>
        </is>
      </c>
      <c r="H786" t="inlineStr">
        <is>
          <t>No</t>
        </is>
      </c>
      <c r="I786" t="inlineStr">
        <is>
          <t>1</t>
        </is>
      </c>
      <c r="J786" t="inlineStr">
        <is>
          <t>No</t>
        </is>
      </c>
      <c r="K786" t="inlineStr">
        <is>
          <t>No</t>
        </is>
      </c>
      <c r="L786" t="inlineStr">
        <is>
          <t>0</t>
        </is>
      </c>
      <c r="M786" t="inlineStr">
        <is>
          <t>Richmond, Hugh M.</t>
        </is>
      </c>
      <c r="N786" t="inlineStr">
        <is>
          <t>Indianapolis, Bobbs-Merrill [1971]</t>
        </is>
      </c>
      <c r="O786" t="inlineStr">
        <is>
          <t>1971</t>
        </is>
      </c>
      <c r="Q786" t="inlineStr">
        <is>
          <t>eng</t>
        </is>
      </c>
      <c r="R786" t="inlineStr">
        <is>
          <t>inu</t>
        </is>
      </c>
      <c r="T786" t="inlineStr">
        <is>
          <t xml:space="preserve">PR </t>
        </is>
      </c>
      <c r="U786" t="n">
        <v>3</v>
      </c>
      <c r="V786" t="n">
        <v>3</v>
      </c>
      <c r="W786" t="inlineStr">
        <is>
          <t>2007-11-25</t>
        </is>
      </c>
      <c r="X786" t="inlineStr">
        <is>
          <t>2007-11-25</t>
        </is>
      </c>
      <c r="Y786" t="inlineStr">
        <is>
          <t>1997-08-06</t>
        </is>
      </c>
      <c r="Z786" t="inlineStr">
        <is>
          <t>1997-08-06</t>
        </is>
      </c>
      <c r="AA786" t="n">
        <v>728</v>
      </c>
      <c r="AB786" t="n">
        <v>638</v>
      </c>
      <c r="AC786" t="n">
        <v>640</v>
      </c>
      <c r="AD786" t="n">
        <v>7</v>
      </c>
      <c r="AE786" t="n">
        <v>7</v>
      </c>
      <c r="AF786" t="n">
        <v>30</v>
      </c>
      <c r="AG786" t="n">
        <v>30</v>
      </c>
      <c r="AH786" t="n">
        <v>8</v>
      </c>
      <c r="AI786" t="n">
        <v>8</v>
      </c>
      <c r="AJ786" t="n">
        <v>7</v>
      </c>
      <c r="AK786" t="n">
        <v>7</v>
      </c>
      <c r="AL786" t="n">
        <v>16</v>
      </c>
      <c r="AM786" t="n">
        <v>16</v>
      </c>
      <c r="AN786" t="n">
        <v>6</v>
      </c>
      <c r="AO786" t="n">
        <v>6</v>
      </c>
      <c r="AP786" t="n">
        <v>0</v>
      </c>
      <c r="AQ786" t="n">
        <v>0</v>
      </c>
      <c r="AR786" t="inlineStr">
        <is>
          <t>No</t>
        </is>
      </c>
      <c r="AS786" t="inlineStr">
        <is>
          <t>Yes</t>
        </is>
      </c>
      <c r="AT786">
        <f>HYPERLINK("http://catalog.hathitrust.org/Record/001018853","HathiTrust Record")</f>
        <v/>
      </c>
      <c r="AU786">
        <f>HYPERLINK("https://creighton-primo.hosted.exlibrisgroup.com/primo-explore/search?tab=default_tab&amp;search_scope=EVERYTHING&amp;vid=01CRU&amp;lang=en_US&amp;offset=0&amp;query=any,contains,991000923949702656","Catalog Record")</f>
        <v/>
      </c>
      <c r="AV786">
        <f>HYPERLINK("http://www.worldcat.org/oclc/162579","WorldCat Record")</f>
        <v/>
      </c>
      <c r="AW786" t="inlineStr">
        <is>
          <t>233014241:eng</t>
        </is>
      </c>
      <c r="AX786" t="inlineStr">
        <is>
          <t>162579</t>
        </is>
      </c>
      <c r="AY786" t="inlineStr">
        <is>
          <t>991000923949702656</t>
        </is>
      </c>
      <c r="AZ786" t="inlineStr">
        <is>
          <t>991000923949702656</t>
        </is>
      </c>
      <c r="BA786" t="inlineStr">
        <is>
          <t>2268979980002656</t>
        </is>
      </c>
      <c r="BB786" t="inlineStr">
        <is>
          <t>BOOK</t>
        </is>
      </c>
      <c r="BE786" t="inlineStr">
        <is>
          <t>32285003020889</t>
        </is>
      </c>
      <c r="BF786" t="inlineStr">
        <is>
          <t>893778376</t>
        </is>
      </c>
    </row>
    <row r="787">
      <c r="A787" t="inlineStr">
        <is>
          <t>No</t>
        </is>
      </c>
      <c r="B787" t="inlineStr">
        <is>
          <t>CURAL</t>
        </is>
      </c>
      <c r="C787" t="inlineStr">
        <is>
          <t>SHELVES</t>
        </is>
      </c>
      <c r="D787" t="inlineStr">
        <is>
          <t>PR2981 .S435 1997</t>
        </is>
      </c>
      <c r="E787" t="inlineStr">
        <is>
          <t>0                      PR 2981000S  435         1997</t>
        </is>
      </c>
      <c r="F787" t="inlineStr">
        <is>
          <t>Shakespeare's sweet thunder : essays on the early comedies / edited by Michael J. Collins.</t>
        </is>
      </c>
      <c r="H787" t="inlineStr">
        <is>
          <t>No</t>
        </is>
      </c>
      <c r="I787" t="inlineStr">
        <is>
          <t>1</t>
        </is>
      </c>
      <c r="J787" t="inlineStr">
        <is>
          <t>No</t>
        </is>
      </c>
      <c r="K787" t="inlineStr">
        <is>
          <t>No</t>
        </is>
      </c>
      <c r="L787" t="inlineStr">
        <is>
          <t>0</t>
        </is>
      </c>
      <c r="N787" t="inlineStr">
        <is>
          <t>Newark : University of Delaware Press, 1997.</t>
        </is>
      </c>
      <c r="O787" t="inlineStr">
        <is>
          <t>1997</t>
        </is>
      </c>
      <c r="Q787" t="inlineStr">
        <is>
          <t>eng</t>
        </is>
      </c>
      <c r="R787" t="inlineStr">
        <is>
          <t>deu</t>
        </is>
      </c>
      <c r="T787" t="inlineStr">
        <is>
          <t xml:space="preserve">PR </t>
        </is>
      </c>
      <c r="U787" t="n">
        <v>2</v>
      </c>
      <c r="V787" t="n">
        <v>2</v>
      </c>
      <c r="W787" t="inlineStr">
        <is>
          <t>2008-02-21</t>
        </is>
      </c>
      <c r="X787" t="inlineStr">
        <is>
          <t>2008-02-21</t>
        </is>
      </c>
      <c r="Y787" t="inlineStr">
        <is>
          <t>1997-06-03</t>
        </is>
      </c>
      <c r="Z787" t="inlineStr">
        <is>
          <t>1997-06-03</t>
        </is>
      </c>
      <c r="AA787" t="n">
        <v>390</v>
      </c>
      <c r="AB787" t="n">
        <v>336</v>
      </c>
      <c r="AC787" t="n">
        <v>341</v>
      </c>
      <c r="AD787" t="n">
        <v>3</v>
      </c>
      <c r="AE787" t="n">
        <v>3</v>
      </c>
      <c r="AF787" t="n">
        <v>15</v>
      </c>
      <c r="AG787" t="n">
        <v>15</v>
      </c>
      <c r="AH787" t="n">
        <v>5</v>
      </c>
      <c r="AI787" t="n">
        <v>5</v>
      </c>
      <c r="AJ787" t="n">
        <v>4</v>
      </c>
      <c r="AK787" t="n">
        <v>4</v>
      </c>
      <c r="AL787" t="n">
        <v>8</v>
      </c>
      <c r="AM787" t="n">
        <v>8</v>
      </c>
      <c r="AN787" t="n">
        <v>2</v>
      </c>
      <c r="AO787" t="n">
        <v>2</v>
      </c>
      <c r="AP787" t="n">
        <v>0</v>
      </c>
      <c r="AQ787" t="n">
        <v>0</v>
      </c>
      <c r="AR787" t="inlineStr">
        <is>
          <t>No</t>
        </is>
      </c>
      <c r="AS787" t="inlineStr">
        <is>
          <t>No</t>
        </is>
      </c>
      <c r="AU787">
        <f>HYPERLINK("https://creighton-primo.hosted.exlibrisgroup.com/primo-explore/search?tab=default_tab&amp;search_scope=EVERYTHING&amp;vid=01CRU&amp;lang=en_US&amp;offset=0&amp;query=any,contains,991002625659702656","Catalog Record")</f>
        <v/>
      </c>
      <c r="AV787">
        <f>HYPERLINK("http://www.worldcat.org/oclc/34411898","WorldCat Record")</f>
        <v/>
      </c>
      <c r="AW787" t="inlineStr">
        <is>
          <t>836922854:eng</t>
        </is>
      </c>
      <c r="AX787" t="inlineStr">
        <is>
          <t>34411898</t>
        </is>
      </c>
      <c r="AY787" t="inlineStr">
        <is>
          <t>991002625659702656</t>
        </is>
      </c>
      <c r="AZ787" t="inlineStr">
        <is>
          <t>991002625659702656</t>
        </is>
      </c>
      <c r="BA787" t="inlineStr">
        <is>
          <t>2263208280002656</t>
        </is>
      </c>
      <c r="BB787" t="inlineStr">
        <is>
          <t>BOOK</t>
        </is>
      </c>
      <c r="BD787" t="inlineStr">
        <is>
          <t>9780874135824</t>
        </is>
      </c>
      <c r="BE787" t="inlineStr">
        <is>
          <t>32285002613429</t>
        </is>
      </c>
      <c r="BF787" t="inlineStr">
        <is>
          <t>893233193</t>
        </is>
      </c>
    </row>
    <row r="788">
      <c r="A788" t="inlineStr">
        <is>
          <t>No</t>
        </is>
      </c>
      <c r="B788" t="inlineStr">
        <is>
          <t>CURAL</t>
        </is>
      </c>
      <c r="C788" t="inlineStr">
        <is>
          <t>SHELVES</t>
        </is>
      </c>
      <c r="D788" t="inlineStr">
        <is>
          <t>PR2981 .S65 1986</t>
        </is>
      </c>
      <c r="E788" t="inlineStr">
        <is>
          <t>0                      PR 2981000S  65          1986</t>
        </is>
      </c>
      <c r="F788" t="inlineStr">
        <is>
          <t>Unconformities in Shakespeare's early comedies / Kristian Smidt.</t>
        </is>
      </c>
      <c r="H788" t="inlineStr">
        <is>
          <t>No</t>
        </is>
      </c>
      <c r="I788" t="inlineStr">
        <is>
          <t>1</t>
        </is>
      </c>
      <c r="J788" t="inlineStr">
        <is>
          <t>No</t>
        </is>
      </c>
      <c r="K788" t="inlineStr">
        <is>
          <t>No</t>
        </is>
      </c>
      <c r="L788" t="inlineStr">
        <is>
          <t>0</t>
        </is>
      </c>
      <c r="M788" t="inlineStr">
        <is>
          <t>Smidt, Kristian.</t>
        </is>
      </c>
      <c r="N788" t="inlineStr">
        <is>
          <t>Basingstoke : Macmillan, 1986.</t>
        </is>
      </c>
      <c r="O788" t="inlineStr">
        <is>
          <t>1986</t>
        </is>
      </c>
      <c r="Q788" t="inlineStr">
        <is>
          <t>eng</t>
        </is>
      </c>
      <c r="R788" t="inlineStr">
        <is>
          <t>enk</t>
        </is>
      </c>
      <c r="T788" t="inlineStr">
        <is>
          <t xml:space="preserve">PR </t>
        </is>
      </c>
      <c r="U788" t="n">
        <v>4</v>
      </c>
      <c r="V788" t="n">
        <v>4</v>
      </c>
      <c r="W788" t="inlineStr">
        <is>
          <t>2008-03-25</t>
        </is>
      </c>
      <c r="X788" t="inlineStr">
        <is>
          <t>2008-03-25</t>
        </is>
      </c>
      <c r="Y788" t="inlineStr">
        <is>
          <t>1991-10-24</t>
        </is>
      </c>
      <c r="Z788" t="inlineStr">
        <is>
          <t>1991-10-24</t>
        </is>
      </c>
      <c r="AA788" t="n">
        <v>138</v>
      </c>
      <c r="AB788" t="n">
        <v>73</v>
      </c>
      <c r="AC788" t="n">
        <v>219</v>
      </c>
      <c r="AD788" t="n">
        <v>2</v>
      </c>
      <c r="AE788" t="n">
        <v>3</v>
      </c>
      <c r="AF788" t="n">
        <v>3</v>
      </c>
      <c r="AG788" t="n">
        <v>11</v>
      </c>
      <c r="AH788" t="n">
        <v>0</v>
      </c>
      <c r="AI788" t="n">
        <v>3</v>
      </c>
      <c r="AJ788" t="n">
        <v>1</v>
      </c>
      <c r="AK788" t="n">
        <v>2</v>
      </c>
      <c r="AL788" t="n">
        <v>2</v>
      </c>
      <c r="AM788" t="n">
        <v>8</v>
      </c>
      <c r="AN788" t="n">
        <v>1</v>
      </c>
      <c r="AO788" t="n">
        <v>2</v>
      </c>
      <c r="AP788" t="n">
        <v>0</v>
      </c>
      <c r="AQ788" t="n">
        <v>0</v>
      </c>
      <c r="AR788" t="inlineStr">
        <is>
          <t>No</t>
        </is>
      </c>
      <c r="AS788" t="inlineStr">
        <is>
          <t>Yes</t>
        </is>
      </c>
      <c r="AT788">
        <f>HYPERLINK("http://catalog.hathitrust.org/Record/000439969","HathiTrust Record")</f>
        <v/>
      </c>
      <c r="AU788">
        <f>HYPERLINK("https://creighton-primo.hosted.exlibrisgroup.com/primo-explore/search?tab=default_tab&amp;search_scope=EVERYTHING&amp;vid=01CRU&amp;lang=en_US&amp;offset=0&amp;query=any,contains,991000786789702656","Catalog Record")</f>
        <v/>
      </c>
      <c r="AV788">
        <f>HYPERLINK("http://www.worldcat.org/oclc/21078915","WorldCat Record")</f>
        <v/>
      </c>
      <c r="AW788" t="inlineStr">
        <is>
          <t>21351066:eng</t>
        </is>
      </c>
      <c r="AX788" t="inlineStr">
        <is>
          <t>21078915</t>
        </is>
      </c>
      <c r="AY788" t="inlineStr">
        <is>
          <t>991000786789702656</t>
        </is>
      </c>
      <c r="AZ788" t="inlineStr">
        <is>
          <t>991000786789702656</t>
        </is>
      </c>
      <c r="BA788" t="inlineStr">
        <is>
          <t>2257184720002656</t>
        </is>
      </c>
      <c r="BB788" t="inlineStr">
        <is>
          <t>BOOK</t>
        </is>
      </c>
      <c r="BD788" t="inlineStr">
        <is>
          <t>9780333408513</t>
        </is>
      </c>
      <c r="BE788" t="inlineStr">
        <is>
          <t>32285000801406</t>
        </is>
      </c>
      <c r="BF788" t="inlineStr">
        <is>
          <t>893683746</t>
        </is>
      </c>
    </row>
    <row r="789">
      <c r="A789" t="inlineStr">
        <is>
          <t>No</t>
        </is>
      </c>
      <c r="B789" t="inlineStr">
        <is>
          <t>CURAL</t>
        </is>
      </c>
      <c r="C789" t="inlineStr">
        <is>
          <t>SHELVES</t>
        </is>
      </c>
      <c r="D789" t="inlineStr">
        <is>
          <t>PR2981 .S9</t>
        </is>
      </c>
      <c r="E789" t="inlineStr">
        <is>
          <t>0                      PR 2981000S  9</t>
        </is>
      </c>
      <c r="F789" t="inlineStr">
        <is>
          <t>An introduction to Shakespeare's comedies / Patrick Swinden.</t>
        </is>
      </c>
      <c r="H789" t="inlineStr">
        <is>
          <t>No</t>
        </is>
      </c>
      <c r="I789" t="inlineStr">
        <is>
          <t>1</t>
        </is>
      </c>
      <c r="J789" t="inlineStr">
        <is>
          <t>No</t>
        </is>
      </c>
      <c r="K789" t="inlineStr">
        <is>
          <t>No</t>
        </is>
      </c>
      <c r="L789" t="inlineStr">
        <is>
          <t>0</t>
        </is>
      </c>
      <c r="M789" t="inlineStr">
        <is>
          <t>Swinden, Patrick.</t>
        </is>
      </c>
      <c r="N789" t="inlineStr">
        <is>
          <t>London : Macmillan, c1973, 1979 printing.</t>
        </is>
      </c>
      <c r="O789" t="inlineStr">
        <is>
          <t>1973</t>
        </is>
      </c>
      <c r="Q789" t="inlineStr">
        <is>
          <t>eng</t>
        </is>
      </c>
      <c r="R789" t="inlineStr">
        <is>
          <t>enk</t>
        </is>
      </c>
      <c r="T789" t="inlineStr">
        <is>
          <t xml:space="preserve">PR </t>
        </is>
      </c>
      <c r="U789" t="n">
        <v>5</v>
      </c>
      <c r="V789" t="n">
        <v>5</v>
      </c>
      <c r="W789" t="inlineStr">
        <is>
          <t>1993-10-05</t>
        </is>
      </c>
      <c r="X789" t="inlineStr">
        <is>
          <t>1993-10-05</t>
        </is>
      </c>
      <c r="Y789" t="inlineStr">
        <is>
          <t>1991-10-24</t>
        </is>
      </c>
      <c r="Z789" t="inlineStr">
        <is>
          <t>1991-10-24</t>
        </is>
      </c>
      <c r="AA789" t="n">
        <v>540</v>
      </c>
      <c r="AB789" t="n">
        <v>322</v>
      </c>
      <c r="AC789" t="n">
        <v>612</v>
      </c>
      <c r="AD789" t="n">
        <v>2</v>
      </c>
      <c r="AE789" t="n">
        <v>5</v>
      </c>
      <c r="AF789" t="n">
        <v>15</v>
      </c>
      <c r="AG789" t="n">
        <v>27</v>
      </c>
      <c r="AH789" t="n">
        <v>5</v>
      </c>
      <c r="AI789" t="n">
        <v>10</v>
      </c>
      <c r="AJ789" t="n">
        <v>5</v>
      </c>
      <c r="AK789" t="n">
        <v>7</v>
      </c>
      <c r="AL789" t="n">
        <v>9</v>
      </c>
      <c r="AM789" t="n">
        <v>14</v>
      </c>
      <c r="AN789" t="n">
        <v>1</v>
      </c>
      <c r="AO789" t="n">
        <v>4</v>
      </c>
      <c r="AP789" t="n">
        <v>0</v>
      </c>
      <c r="AQ789" t="n">
        <v>0</v>
      </c>
      <c r="AR789" t="inlineStr">
        <is>
          <t>No</t>
        </is>
      </c>
      <c r="AS789" t="inlineStr">
        <is>
          <t>Yes</t>
        </is>
      </c>
      <c r="AT789">
        <f>HYPERLINK("http://catalog.hathitrust.org/Record/000012689","HathiTrust Record")</f>
        <v/>
      </c>
      <c r="AU789">
        <f>HYPERLINK("https://creighton-primo.hosted.exlibrisgroup.com/primo-explore/search?tab=default_tab&amp;search_scope=EVERYTHING&amp;vid=01CRU&amp;lang=en_US&amp;offset=0&amp;query=any,contains,991003305839702656","Catalog Record")</f>
        <v/>
      </c>
      <c r="AV789">
        <f>HYPERLINK("http://www.worldcat.org/oclc/829234","WorldCat Record")</f>
        <v/>
      </c>
      <c r="AW789" t="inlineStr">
        <is>
          <t>1735131:eng</t>
        </is>
      </c>
      <c r="AX789" t="inlineStr">
        <is>
          <t>829234</t>
        </is>
      </c>
      <c r="AY789" t="inlineStr">
        <is>
          <t>991003305839702656</t>
        </is>
      </c>
      <c r="AZ789" t="inlineStr">
        <is>
          <t>991003305839702656</t>
        </is>
      </c>
      <c r="BA789" t="inlineStr">
        <is>
          <t>2269709140002656</t>
        </is>
      </c>
      <c r="BB789" t="inlineStr">
        <is>
          <t>BOOK</t>
        </is>
      </c>
      <c r="BD789" t="inlineStr">
        <is>
          <t>9780333144282</t>
        </is>
      </c>
      <c r="BE789" t="inlineStr">
        <is>
          <t>32285000801414</t>
        </is>
      </c>
      <c r="BF789" t="inlineStr">
        <is>
          <t>893692587</t>
        </is>
      </c>
    </row>
    <row r="790">
      <c r="A790" t="inlineStr">
        <is>
          <t>No</t>
        </is>
      </c>
      <c r="B790" t="inlineStr">
        <is>
          <t>CURAL</t>
        </is>
      </c>
      <c r="C790" t="inlineStr">
        <is>
          <t>SHELVES</t>
        </is>
      </c>
      <c r="D790" t="inlineStr">
        <is>
          <t>PR2981 .T68</t>
        </is>
      </c>
      <c r="E790" t="inlineStr">
        <is>
          <t>0                      PR 2981000T  68</t>
        </is>
      </c>
      <c r="F790" t="inlineStr">
        <is>
          <t>Realism in Shakespeare's romantic comedies : "O heavenly mingle" / Marvin Felheim and Philip Traci.</t>
        </is>
      </c>
      <c r="H790" t="inlineStr">
        <is>
          <t>No</t>
        </is>
      </c>
      <c r="I790" t="inlineStr">
        <is>
          <t>1</t>
        </is>
      </c>
      <c r="J790" t="inlineStr">
        <is>
          <t>No</t>
        </is>
      </c>
      <c r="K790" t="inlineStr">
        <is>
          <t>No</t>
        </is>
      </c>
      <c r="L790" t="inlineStr">
        <is>
          <t>0</t>
        </is>
      </c>
      <c r="M790" t="inlineStr">
        <is>
          <t>Traci, Philip J.</t>
        </is>
      </c>
      <c r="N790" t="inlineStr">
        <is>
          <t>Lanham, Md. : University Press of America, c1980.</t>
        </is>
      </c>
      <c r="O790" t="inlineStr">
        <is>
          <t>1980</t>
        </is>
      </c>
      <c r="Q790" t="inlineStr">
        <is>
          <t>eng</t>
        </is>
      </c>
      <c r="R790" t="inlineStr">
        <is>
          <t>mdu</t>
        </is>
      </c>
      <c r="T790" t="inlineStr">
        <is>
          <t xml:space="preserve">PR </t>
        </is>
      </c>
      <c r="U790" t="n">
        <v>3</v>
      </c>
      <c r="V790" t="n">
        <v>3</v>
      </c>
      <c r="W790" t="inlineStr">
        <is>
          <t>2008-03-25</t>
        </is>
      </c>
      <c r="X790" t="inlineStr">
        <is>
          <t>2008-03-25</t>
        </is>
      </c>
      <c r="Y790" t="inlineStr">
        <is>
          <t>1991-10-24</t>
        </is>
      </c>
      <c r="Z790" t="inlineStr">
        <is>
          <t>1991-10-24</t>
        </is>
      </c>
      <c r="AA790" t="n">
        <v>248</v>
      </c>
      <c r="AB790" t="n">
        <v>219</v>
      </c>
      <c r="AC790" t="n">
        <v>221</v>
      </c>
      <c r="AD790" t="n">
        <v>4</v>
      </c>
      <c r="AE790" t="n">
        <v>4</v>
      </c>
      <c r="AF790" t="n">
        <v>12</v>
      </c>
      <c r="AG790" t="n">
        <v>12</v>
      </c>
      <c r="AH790" t="n">
        <v>2</v>
      </c>
      <c r="AI790" t="n">
        <v>2</v>
      </c>
      <c r="AJ790" t="n">
        <v>2</v>
      </c>
      <c r="AK790" t="n">
        <v>2</v>
      </c>
      <c r="AL790" t="n">
        <v>7</v>
      </c>
      <c r="AM790" t="n">
        <v>7</v>
      </c>
      <c r="AN790" t="n">
        <v>3</v>
      </c>
      <c r="AO790" t="n">
        <v>3</v>
      </c>
      <c r="AP790" t="n">
        <v>0</v>
      </c>
      <c r="AQ790" t="n">
        <v>0</v>
      </c>
      <c r="AR790" t="inlineStr">
        <is>
          <t>No</t>
        </is>
      </c>
      <c r="AS790" t="inlineStr">
        <is>
          <t>Yes</t>
        </is>
      </c>
      <c r="AT790">
        <f>HYPERLINK("http://catalog.hathitrust.org/Record/000733593","HathiTrust Record")</f>
        <v/>
      </c>
      <c r="AU790">
        <f>HYPERLINK("https://creighton-primo.hosted.exlibrisgroup.com/primo-explore/search?tab=default_tab&amp;search_scope=EVERYTHING&amp;vid=01CRU&amp;lang=en_US&amp;offset=0&amp;query=any,contains,991005039389702656","Catalog Record")</f>
        <v/>
      </c>
      <c r="AV790">
        <f>HYPERLINK("http://www.worldcat.org/oclc/6788073","WorldCat Record")</f>
        <v/>
      </c>
      <c r="AW790" t="inlineStr">
        <is>
          <t>363533496:eng</t>
        </is>
      </c>
      <c r="AX790" t="inlineStr">
        <is>
          <t>6788073</t>
        </is>
      </c>
      <c r="AY790" t="inlineStr">
        <is>
          <t>991005039389702656</t>
        </is>
      </c>
      <c r="AZ790" t="inlineStr">
        <is>
          <t>991005039389702656</t>
        </is>
      </c>
      <c r="BA790" t="inlineStr">
        <is>
          <t>2262016970002656</t>
        </is>
      </c>
      <c r="BB790" t="inlineStr">
        <is>
          <t>BOOK</t>
        </is>
      </c>
      <c r="BD790" t="inlineStr">
        <is>
          <t>9780819112828</t>
        </is>
      </c>
      <c r="BE790" t="inlineStr">
        <is>
          <t>32285000801422</t>
        </is>
      </c>
      <c r="BF790" t="inlineStr">
        <is>
          <t>893801626</t>
        </is>
      </c>
    </row>
    <row r="791">
      <c r="A791" t="inlineStr">
        <is>
          <t>No</t>
        </is>
      </c>
      <c r="B791" t="inlineStr">
        <is>
          <t>CURAL</t>
        </is>
      </c>
      <c r="C791" t="inlineStr">
        <is>
          <t>SHELVES</t>
        </is>
      </c>
      <c r="D791" t="inlineStr">
        <is>
          <t>PR2981 .V3 1980</t>
        </is>
      </c>
      <c r="E791" t="inlineStr">
        <is>
          <t>0                      PR 2981000V  3           1980</t>
        </is>
      </c>
      <c r="F791" t="inlineStr">
        <is>
          <t>Shakespeare's comedies / Jack A. Vaughn.</t>
        </is>
      </c>
      <c r="H791" t="inlineStr">
        <is>
          <t>No</t>
        </is>
      </c>
      <c r="I791" t="inlineStr">
        <is>
          <t>1</t>
        </is>
      </c>
      <c r="J791" t="inlineStr">
        <is>
          <t>No</t>
        </is>
      </c>
      <c r="K791" t="inlineStr">
        <is>
          <t>No</t>
        </is>
      </c>
      <c r="L791" t="inlineStr">
        <is>
          <t>0</t>
        </is>
      </c>
      <c r="M791" t="inlineStr">
        <is>
          <t>Vaughn, Jack A., 1935-</t>
        </is>
      </c>
      <c r="N791" t="inlineStr">
        <is>
          <t>New York : F. Ungar, c1980.</t>
        </is>
      </c>
      <c r="O791" t="inlineStr">
        <is>
          <t>1980</t>
        </is>
      </c>
      <c r="Q791" t="inlineStr">
        <is>
          <t>eng</t>
        </is>
      </c>
      <c r="R791" t="inlineStr">
        <is>
          <t>nyu</t>
        </is>
      </c>
      <c r="S791" t="inlineStr">
        <is>
          <t>Literature and life series</t>
        </is>
      </c>
      <c r="T791" t="inlineStr">
        <is>
          <t xml:space="preserve">PR </t>
        </is>
      </c>
      <c r="U791" t="n">
        <v>6</v>
      </c>
      <c r="V791" t="n">
        <v>6</v>
      </c>
      <c r="W791" t="inlineStr">
        <is>
          <t>2008-03-25</t>
        </is>
      </c>
      <c r="X791" t="inlineStr">
        <is>
          <t>2008-03-25</t>
        </is>
      </c>
      <c r="Y791" t="inlineStr">
        <is>
          <t>1989-12-18</t>
        </is>
      </c>
      <c r="Z791" t="inlineStr">
        <is>
          <t>1989-12-18</t>
        </is>
      </c>
      <c r="AA791" t="n">
        <v>838</v>
      </c>
      <c r="AB791" t="n">
        <v>761</v>
      </c>
      <c r="AC791" t="n">
        <v>768</v>
      </c>
      <c r="AD791" t="n">
        <v>5</v>
      </c>
      <c r="AE791" t="n">
        <v>5</v>
      </c>
      <c r="AF791" t="n">
        <v>16</v>
      </c>
      <c r="AG791" t="n">
        <v>16</v>
      </c>
      <c r="AH791" t="n">
        <v>6</v>
      </c>
      <c r="AI791" t="n">
        <v>6</v>
      </c>
      <c r="AJ791" t="n">
        <v>1</v>
      </c>
      <c r="AK791" t="n">
        <v>1</v>
      </c>
      <c r="AL791" t="n">
        <v>8</v>
      </c>
      <c r="AM791" t="n">
        <v>8</v>
      </c>
      <c r="AN791" t="n">
        <v>3</v>
      </c>
      <c r="AO791" t="n">
        <v>3</v>
      </c>
      <c r="AP791" t="n">
        <v>0</v>
      </c>
      <c r="AQ791" t="n">
        <v>0</v>
      </c>
      <c r="AR791" t="inlineStr">
        <is>
          <t>No</t>
        </is>
      </c>
      <c r="AS791" t="inlineStr">
        <is>
          <t>Yes</t>
        </is>
      </c>
      <c r="AT791">
        <f>HYPERLINK("http://catalog.hathitrust.org/Record/000716270","HathiTrust Record")</f>
        <v/>
      </c>
      <c r="AU791">
        <f>HYPERLINK("https://creighton-primo.hosted.exlibrisgroup.com/primo-explore/search?tab=default_tab&amp;search_scope=EVERYTHING&amp;vid=01CRU&amp;lang=en_US&amp;offset=0&amp;query=any,contains,991004941909702656","Catalog Record")</f>
        <v/>
      </c>
      <c r="AV791">
        <f>HYPERLINK("http://www.worldcat.org/oclc/6194644","WorldCat Record")</f>
        <v/>
      </c>
      <c r="AW791" t="inlineStr">
        <is>
          <t>2564870455:eng</t>
        </is>
      </c>
      <c r="AX791" t="inlineStr">
        <is>
          <t>6194644</t>
        </is>
      </c>
      <c r="AY791" t="inlineStr">
        <is>
          <t>991004941909702656</t>
        </is>
      </c>
      <c r="AZ791" t="inlineStr">
        <is>
          <t>991004941909702656</t>
        </is>
      </c>
      <c r="BA791" t="inlineStr">
        <is>
          <t>2262717870002656</t>
        </is>
      </c>
      <c r="BB791" t="inlineStr">
        <is>
          <t>BOOK</t>
        </is>
      </c>
      <c r="BD791" t="inlineStr">
        <is>
          <t>9780804429382</t>
        </is>
      </c>
      <c r="BE791" t="inlineStr">
        <is>
          <t>32285000018498</t>
        </is>
      </c>
      <c r="BF791" t="inlineStr">
        <is>
          <t>893230027</t>
        </is>
      </c>
    </row>
    <row r="792">
      <c r="A792" t="inlineStr">
        <is>
          <t>No</t>
        </is>
      </c>
      <c r="B792" t="inlineStr">
        <is>
          <t>CURAL</t>
        </is>
      </c>
      <c r="C792" t="inlineStr">
        <is>
          <t>SHELVES</t>
        </is>
      </c>
      <c r="D792" t="inlineStr">
        <is>
          <t>PR2981 .W45 1971b</t>
        </is>
      </c>
      <c r="E792" t="inlineStr">
        <is>
          <t>0                      PR 2981000W  45          1971b</t>
        </is>
      </c>
      <c r="F792" t="inlineStr">
        <is>
          <t>The breath of clowns and kings : Shakespeare's early comedies and histories / [by] Theodore Weiss.</t>
        </is>
      </c>
      <c r="H792" t="inlineStr">
        <is>
          <t>No</t>
        </is>
      </c>
      <c r="I792" t="inlineStr">
        <is>
          <t>1</t>
        </is>
      </c>
      <c r="J792" t="inlineStr">
        <is>
          <t>No</t>
        </is>
      </c>
      <c r="K792" t="inlineStr">
        <is>
          <t>No</t>
        </is>
      </c>
      <c r="L792" t="inlineStr">
        <is>
          <t>0</t>
        </is>
      </c>
      <c r="M792" t="inlineStr">
        <is>
          <t>Weiss, Theodore Russell, 1916-2003.</t>
        </is>
      </c>
      <c r="N792" t="inlineStr">
        <is>
          <t>London : Chatto &amp; Windus, 1971.</t>
        </is>
      </c>
      <c r="O792" t="inlineStr">
        <is>
          <t>1971</t>
        </is>
      </c>
      <c r="Q792" t="inlineStr">
        <is>
          <t>eng</t>
        </is>
      </c>
      <c r="R792" t="inlineStr">
        <is>
          <t>enk</t>
        </is>
      </c>
      <c r="T792" t="inlineStr">
        <is>
          <t xml:space="preserve">PR </t>
        </is>
      </c>
      <c r="U792" t="n">
        <v>4</v>
      </c>
      <c r="V792" t="n">
        <v>4</v>
      </c>
      <c r="W792" t="inlineStr">
        <is>
          <t>2008-03-25</t>
        </is>
      </c>
      <c r="X792" t="inlineStr">
        <is>
          <t>2008-03-25</t>
        </is>
      </c>
      <c r="Y792" t="inlineStr">
        <is>
          <t>1992-01-02</t>
        </is>
      </c>
      <c r="Z792" t="inlineStr">
        <is>
          <t>1992-01-02</t>
        </is>
      </c>
      <c r="AA792" t="n">
        <v>283</v>
      </c>
      <c r="AB792" t="n">
        <v>158</v>
      </c>
      <c r="AC792" t="n">
        <v>881</v>
      </c>
      <c r="AD792" t="n">
        <v>2</v>
      </c>
      <c r="AE792" t="n">
        <v>8</v>
      </c>
      <c r="AF792" t="n">
        <v>8</v>
      </c>
      <c r="AG792" t="n">
        <v>36</v>
      </c>
      <c r="AH792" t="n">
        <v>3</v>
      </c>
      <c r="AI792" t="n">
        <v>13</v>
      </c>
      <c r="AJ792" t="n">
        <v>2</v>
      </c>
      <c r="AK792" t="n">
        <v>8</v>
      </c>
      <c r="AL792" t="n">
        <v>4</v>
      </c>
      <c r="AM792" t="n">
        <v>18</v>
      </c>
      <c r="AN792" t="n">
        <v>1</v>
      </c>
      <c r="AO792" t="n">
        <v>6</v>
      </c>
      <c r="AP792" t="n">
        <v>0</v>
      </c>
      <c r="AQ792" t="n">
        <v>0</v>
      </c>
      <c r="AR792" t="inlineStr">
        <is>
          <t>No</t>
        </is>
      </c>
      <c r="AS792" t="inlineStr">
        <is>
          <t>No</t>
        </is>
      </c>
      <c r="AU792">
        <f>HYPERLINK("https://creighton-primo.hosted.exlibrisgroup.com/primo-explore/search?tab=default_tab&amp;search_scope=EVERYTHING&amp;vid=01CRU&amp;lang=en_US&amp;offset=0&amp;query=any,contains,991001229459702656","Catalog Record")</f>
        <v/>
      </c>
      <c r="AV792">
        <f>HYPERLINK("http://www.worldcat.org/oclc/202331","WorldCat Record")</f>
        <v/>
      </c>
      <c r="AW792" t="inlineStr">
        <is>
          <t>1256731:eng</t>
        </is>
      </c>
      <c r="AX792" t="inlineStr">
        <is>
          <t>202331</t>
        </is>
      </c>
      <c r="AY792" t="inlineStr">
        <is>
          <t>991001229459702656</t>
        </is>
      </c>
      <c r="AZ792" t="inlineStr">
        <is>
          <t>991001229459702656</t>
        </is>
      </c>
      <c r="BA792" t="inlineStr">
        <is>
          <t>2258746270002656</t>
        </is>
      </c>
      <c r="BB792" t="inlineStr">
        <is>
          <t>BOOK</t>
        </is>
      </c>
      <c r="BD792" t="inlineStr">
        <is>
          <t>9780701116453</t>
        </is>
      </c>
      <c r="BE792" t="inlineStr">
        <is>
          <t>32285000880509</t>
        </is>
      </c>
      <c r="BF792" t="inlineStr">
        <is>
          <t>893590131</t>
        </is>
      </c>
    </row>
    <row r="793">
      <c r="A793" t="inlineStr">
        <is>
          <t>No</t>
        </is>
      </c>
      <c r="B793" t="inlineStr">
        <is>
          <t>CURAL</t>
        </is>
      </c>
      <c r="C793" t="inlineStr">
        <is>
          <t>SHELVES</t>
        </is>
      </c>
      <c r="D793" t="inlineStr">
        <is>
          <t>PR2981.5 .D4 1979</t>
        </is>
      </c>
      <c r="E793" t="inlineStr">
        <is>
          <t>0                      PR 2981500D  4           1979</t>
        </is>
      </c>
      <c r="F793" t="inlineStr">
        <is>
          <t>Restless wanderers : Shakespeare and the pattern of romance / by John Dean.</t>
        </is>
      </c>
      <c r="H793" t="inlineStr">
        <is>
          <t>No</t>
        </is>
      </c>
      <c r="I793" t="inlineStr">
        <is>
          <t>1</t>
        </is>
      </c>
      <c r="J793" t="inlineStr">
        <is>
          <t>No</t>
        </is>
      </c>
      <c r="K793" t="inlineStr">
        <is>
          <t>No</t>
        </is>
      </c>
      <c r="L793" t="inlineStr">
        <is>
          <t>0</t>
        </is>
      </c>
      <c r="M793" t="inlineStr">
        <is>
          <t>Dean, John, active 1977-</t>
        </is>
      </c>
      <c r="N793" t="inlineStr">
        <is>
          <t>Salzburg : Inst. f. Anglistik u. Amerikanistik, Univ. Salzburg, 1979.</t>
        </is>
      </c>
      <c r="O793" t="inlineStr">
        <is>
          <t>1979</t>
        </is>
      </c>
      <c r="Q793" t="inlineStr">
        <is>
          <t>eng</t>
        </is>
      </c>
      <c r="R793" t="inlineStr">
        <is>
          <t xml:space="preserve">au </t>
        </is>
      </c>
      <c r="S793" t="inlineStr">
        <is>
          <t>Elizabethan &amp; Renaissance studies ; 86</t>
        </is>
      </c>
      <c r="T793" t="inlineStr">
        <is>
          <t xml:space="preserve">PR </t>
        </is>
      </c>
      <c r="U793" t="n">
        <v>3</v>
      </c>
      <c r="V793" t="n">
        <v>3</v>
      </c>
      <c r="W793" t="inlineStr">
        <is>
          <t>2004-12-03</t>
        </is>
      </c>
      <c r="X793" t="inlineStr">
        <is>
          <t>2004-12-03</t>
        </is>
      </c>
      <c r="Y793" t="inlineStr">
        <is>
          <t>1991-10-24</t>
        </is>
      </c>
      <c r="Z793" t="inlineStr">
        <is>
          <t>1991-10-24</t>
        </is>
      </c>
      <c r="AA793" t="n">
        <v>173</v>
      </c>
      <c r="AB793" t="n">
        <v>144</v>
      </c>
      <c r="AC793" t="n">
        <v>147</v>
      </c>
      <c r="AD793" t="n">
        <v>2</v>
      </c>
      <c r="AE793" t="n">
        <v>2</v>
      </c>
      <c r="AF793" t="n">
        <v>7</v>
      </c>
      <c r="AG793" t="n">
        <v>7</v>
      </c>
      <c r="AH793" t="n">
        <v>0</v>
      </c>
      <c r="AI793" t="n">
        <v>0</v>
      </c>
      <c r="AJ793" t="n">
        <v>4</v>
      </c>
      <c r="AK793" t="n">
        <v>4</v>
      </c>
      <c r="AL793" t="n">
        <v>4</v>
      </c>
      <c r="AM793" t="n">
        <v>4</v>
      </c>
      <c r="AN793" t="n">
        <v>1</v>
      </c>
      <c r="AO793" t="n">
        <v>1</v>
      </c>
      <c r="AP793" t="n">
        <v>0</v>
      </c>
      <c r="AQ793" t="n">
        <v>0</v>
      </c>
      <c r="AR793" t="inlineStr">
        <is>
          <t>No</t>
        </is>
      </c>
      <c r="AS793" t="inlineStr">
        <is>
          <t>Yes</t>
        </is>
      </c>
      <c r="AT793">
        <f>HYPERLINK("http://catalog.hathitrust.org/Record/000095103","HathiTrust Record")</f>
        <v/>
      </c>
      <c r="AU793">
        <f>HYPERLINK("https://creighton-primo.hosted.exlibrisgroup.com/primo-explore/search?tab=default_tab&amp;search_scope=EVERYTHING&amp;vid=01CRU&amp;lang=en_US&amp;offset=0&amp;query=any,contains,991004968419702656","Catalog Record")</f>
        <v/>
      </c>
      <c r="AV793">
        <f>HYPERLINK("http://www.worldcat.org/oclc/6355525","WorldCat Record")</f>
        <v/>
      </c>
      <c r="AW793" t="inlineStr">
        <is>
          <t>889343314:eng</t>
        </is>
      </c>
      <c r="AX793" t="inlineStr">
        <is>
          <t>6355525</t>
        </is>
      </c>
      <c r="AY793" t="inlineStr">
        <is>
          <t>991004968419702656</t>
        </is>
      </c>
      <c r="AZ793" t="inlineStr">
        <is>
          <t>991004968419702656</t>
        </is>
      </c>
      <c r="BA793" t="inlineStr">
        <is>
          <t>2256642100002656</t>
        </is>
      </c>
      <c r="BB793" t="inlineStr">
        <is>
          <t>BOOK</t>
        </is>
      </c>
      <c r="BE793" t="inlineStr">
        <is>
          <t>32285000801471</t>
        </is>
      </c>
      <c r="BF793" t="inlineStr">
        <is>
          <t>893532985</t>
        </is>
      </c>
    </row>
    <row r="794">
      <c r="A794" t="inlineStr">
        <is>
          <t>No</t>
        </is>
      </c>
      <c r="B794" t="inlineStr">
        <is>
          <t>CURAL</t>
        </is>
      </c>
      <c r="C794" t="inlineStr">
        <is>
          <t>SHELVES</t>
        </is>
      </c>
      <c r="D794" t="inlineStr">
        <is>
          <t>PR2981.5 .H55 1993</t>
        </is>
      </c>
      <c r="E794" t="inlineStr">
        <is>
          <t>0                      PR 2981500H  55          1993</t>
        </is>
      </c>
      <c r="F794" t="inlineStr">
        <is>
          <t>William Shakespeare : the problem plays / Richard Hillman.</t>
        </is>
      </c>
      <c r="H794" t="inlineStr">
        <is>
          <t>No</t>
        </is>
      </c>
      <c r="I794" t="inlineStr">
        <is>
          <t>1</t>
        </is>
      </c>
      <c r="J794" t="inlineStr">
        <is>
          <t>No</t>
        </is>
      </c>
      <c r="K794" t="inlineStr">
        <is>
          <t>No</t>
        </is>
      </c>
      <c r="L794" t="inlineStr">
        <is>
          <t>0</t>
        </is>
      </c>
      <c r="M794" t="inlineStr">
        <is>
          <t>Hillman, Richard, 1949-</t>
        </is>
      </c>
      <c r="N794" t="inlineStr">
        <is>
          <t>New York : Twayne Publishers ; Toronto : Maxwell Macmillan Canada ; New York : Maxwell Macmillan International, c1993.</t>
        </is>
      </c>
      <c r="O794" t="inlineStr">
        <is>
          <t>1993</t>
        </is>
      </c>
      <c r="Q794" t="inlineStr">
        <is>
          <t>eng</t>
        </is>
      </c>
      <c r="R794" t="inlineStr">
        <is>
          <t>nyu</t>
        </is>
      </c>
      <c r="S794" t="inlineStr">
        <is>
          <t>Twayne's English authors series ; TEAS 499</t>
        </is>
      </c>
      <c r="T794" t="inlineStr">
        <is>
          <t xml:space="preserve">PR </t>
        </is>
      </c>
      <c r="U794" t="n">
        <v>1</v>
      </c>
      <c r="V794" t="n">
        <v>1</v>
      </c>
      <c r="W794" t="inlineStr">
        <is>
          <t>2005-11-22</t>
        </is>
      </c>
      <c r="X794" t="inlineStr">
        <is>
          <t>2005-11-22</t>
        </is>
      </c>
      <c r="Y794" t="inlineStr">
        <is>
          <t>1993-04-05</t>
        </is>
      </c>
      <c r="Z794" t="inlineStr">
        <is>
          <t>1993-04-05</t>
        </is>
      </c>
      <c r="AA794" t="n">
        <v>1012</v>
      </c>
      <c r="AB794" t="n">
        <v>884</v>
      </c>
      <c r="AC794" t="n">
        <v>1008</v>
      </c>
      <c r="AD794" t="n">
        <v>9</v>
      </c>
      <c r="AE794" t="n">
        <v>10</v>
      </c>
      <c r="AF794" t="n">
        <v>39</v>
      </c>
      <c r="AG794" t="n">
        <v>42</v>
      </c>
      <c r="AH794" t="n">
        <v>18</v>
      </c>
      <c r="AI794" t="n">
        <v>18</v>
      </c>
      <c r="AJ794" t="n">
        <v>4</v>
      </c>
      <c r="AK794" t="n">
        <v>5</v>
      </c>
      <c r="AL794" t="n">
        <v>19</v>
      </c>
      <c r="AM794" t="n">
        <v>20</v>
      </c>
      <c r="AN794" t="n">
        <v>8</v>
      </c>
      <c r="AO794" t="n">
        <v>9</v>
      </c>
      <c r="AP794" t="n">
        <v>0</v>
      </c>
      <c r="AQ794" t="n">
        <v>0</v>
      </c>
      <c r="AR794" t="inlineStr">
        <is>
          <t>No</t>
        </is>
      </c>
      <c r="AS794" t="inlineStr">
        <is>
          <t>Yes</t>
        </is>
      </c>
      <c r="AT794">
        <f>HYPERLINK("http://catalog.hathitrust.org/Record/004546787","HathiTrust Record")</f>
        <v/>
      </c>
      <c r="AU794">
        <f>HYPERLINK("https://creighton-primo.hosted.exlibrisgroup.com/primo-explore/search?tab=default_tab&amp;search_scope=EVERYTHING&amp;vid=01CRU&amp;lang=en_US&amp;offset=0&amp;query=any,contains,991002068239702656","Catalog Record")</f>
        <v/>
      </c>
      <c r="AV794">
        <f>HYPERLINK("http://www.worldcat.org/oclc/26502625","WorldCat Record")</f>
        <v/>
      </c>
      <c r="AW794" t="inlineStr">
        <is>
          <t>3856506063:eng</t>
        </is>
      </c>
      <c r="AX794" t="inlineStr">
        <is>
          <t>26502625</t>
        </is>
      </c>
      <c r="AY794" t="inlineStr">
        <is>
          <t>991002068239702656</t>
        </is>
      </c>
      <c r="AZ794" t="inlineStr">
        <is>
          <t>991002068239702656</t>
        </is>
      </c>
      <c r="BA794" t="inlineStr">
        <is>
          <t>2257055400002656</t>
        </is>
      </c>
      <c r="BB794" t="inlineStr">
        <is>
          <t>BOOK</t>
        </is>
      </c>
      <c r="BD794" t="inlineStr">
        <is>
          <t>9780805770353</t>
        </is>
      </c>
      <c r="BE794" t="inlineStr">
        <is>
          <t>32285001609931</t>
        </is>
      </c>
      <c r="BF794" t="inlineStr">
        <is>
          <t>893328653</t>
        </is>
      </c>
    </row>
    <row r="795">
      <c r="A795" t="inlineStr">
        <is>
          <t>No</t>
        </is>
      </c>
      <c r="B795" t="inlineStr">
        <is>
          <t>CURAL</t>
        </is>
      </c>
      <c r="C795" t="inlineStr">
        <is>
          <t>SHELVES</t>
        </is>
      </c>
      <c r="D795" t="inlineStr">
        <is>
          <t>PR2981.5 .P4</t>
        </is>
      </c>
      <c r="E795" t="inlineStr">
        <is>
          <t>0                      PR 2981500P  4</t>
        </is>
      </c>
      <c r="F795" t="inlineStr">
        <is>
          <t>Time, tide, and tempest : a study of Shakespeare's romances / by Douglas L. Peterson.</t>
        </is>
      </c>
      <c r="H795" t="inlineStr">
        <is>
          <t>No</t>
        </is>
      </c>
      <c r="I795" t="inlineStr">
        <is>
          <t>1</t>
        </is>
      </c>
      <c r="J795" t="inlineStr">
        <is>
          <t>No</t>
        </is>
      </c>
      <c r="K795" t="inlineStr">
        <is>
          <t>No</t>
        </is>
      </c>
      <c r="L795" t="inlineStr">
        <is>
          <t>0</t>
        </is>
      </c>
      <c r="M795" t="inlineStr">
        <is>
          <t>Peterson, Douglas L.</t>
        </is>
      </c>
      <c r="N795" t="inlineStr">
        <is>
          <t>San Marino, Calif. : Huntington Library, 1973.</t>
        </is>
      </c>
      <c r="O795" t="inlineStr">
        <is>
          <t>1973</t>
        </is>
      </c>
      <c r="Q795" t="inlineStr">
        <is>
          <t>eng</t>
        </is>
      </c>
      <c r="R795" t="inlineStr">
        <is>
          <t>cau</t>
        </is>
      </c>
      <c r="T795" t="inlineStr">
        <is>
          <t xml:space="preserve">PR </t>
        </is>
      </c>
      <c r="U795" t="n">
        <v>3</v>
      </c>
      <c r="V795" t="n">
        <v>3</v>
      </c>
      <c r="W795" t="inlineStr">
        <is>
          <t>2006-12-01</t>
        </is>
      </c>
      <c r="X795" t="inlineStr">
        <is>
          <t>2006-12-01</t>
        </is>
      </c>
      <c r="Y795" t="inlineStr">
        <is>
          <t>1991-11-06</t>
        </is>
      </c>
      <c r="Z795" t="inlineStr">
        <is>
          <t>1991-11-06</t>
        </is>
      </c>
      <c r="AA795" t="n">
        <v>710</v>
      </c>
      <c r="AB795" t="n">
        <v>607</v>
      </c>
      <c r="AC795" t="n">
        <v>616</v>
      </c>
      <c r="AD795" t="n">
        <v>5</v>
      </c>
      <c r="AE795" t="n">
        <v>5</v>
      </c>
      <c r="AF795" t="n">
        <v>32</v>
      </c>
      <c r="AG795" t="n">
        <v>32</v>
      </c>
      <c r="AH795" t="n">
        <v>10</v>
      </c>
      <c r="AI795" t="n">
        <v>10</v>
      </c>
      <c r="AJ795" t="n">
        <v>9</v>
      </c>
      <c r="AK795" t="n">
        <v>9</v>
      </c>
      <c r="AL795" t="n">
        <v>20</v>
      </c>
      <c r="AM795" t="n">
        <v>20</v>
      </c>
      <c r="AN795" t="n">
        <v>3</v>
      </c>
      <c r="AO795" t="n">
        <v>3</v>
      </c>
      <c r="AP795" t="n">
        <v>0</v>
      </c>
      <c r="AQ795" t="n">
        <v>0</v>
      </c>
      <c r="AR795" t="inlineStr">
        <is>
          <t>No</t>
        </is>
      </c>
      <c r="AS795" t="inlineStr">
        <is>
          <t>Yes</t>
        </is>
      </c>
      <c r="AT795">
        <f>HYPERLINK("http://catalog.hathitrust.org/Record/001018855","HathiTrust Record")</f>
        <v/>
      </c>
      <c r="AU795">
        <f>HYPERLINK("https://creighton-primo.hosted.exlibrisgroup.com/primo-explore/search?tab=default_tab&amp;search_scope=EVERYTHING&amp;vid=01CRU&amp;lang=en_US&amp;offset=0&amp;query=any,contains,991003161259702656","Catalog Record")</f>
        <v/>
      </c>
      <c r="AV795">
        <f>HYPERLINK("http://www.worldcat.org/oclc/700399","WorldCat Record")</f>
        <v/>
      </c>
      <c r="AW795" t="inlineStr">
        <is>
          <t>198874003:eng</t>
        </is>
      </c>
      <c r="AX795" t="inlineStr">
        <is>
          <t>700399</t>
        </is>
      </c>
      <c r="AY795" t="inlineStr">
        <is>
          <t>991003161259702656</t>
        </is>
      </c>
      <c r="AZ795" t="inlineStr">
        <is>
          <t>991003161259702656</t>
        </is>
      </c>
      <c r="BA795" t="inlineStr">
        <is>
          <t>2256727300002656</t>
        </is>
      </c>
      <c r="BB795" t="inlineStr">
        <is>
          <t>BOOK</t>
        </is>
      </c>
      <c r="BE795" t="inlineStr">
        <is>
          <t>32285000804467</t>
        </is>
      </c>
      <c r="BF795" t="inlineStr">
        <is>
          <t>893774459</t>
        </is>
      </c>
    </row>
    <row r="796">
      <c r="A796" t="inlineStr">
        <is>
          <t>No</t>
        </is>
      </c>
      <c r="B796" t="inlineStr">
        <is>
          <t>CURAL</t>
        </is>
      </c>
      <c r="C796" t="inlineStr">
        <is>
          <t>SHELVES</t>
        </is>
      </c>
      <c r="D796" t="inlineStr">
        <is>
          <t>PR2981.5 .T46 1987</t>
        </is>
      </c>
      <c r="E796" t="inlineStr">
        <is>
          <t>0                      PR 2981500T  46          1987</t>
        </is>
      </c>
      <c r="F796" t="inlineStr">
        <is>
          <t>The moral universe of Shakespeare's problem plays / Vivian Thomas.</t>
        </is>
      </c>
      <c r="H796" t="inlineStr">
        <is>
          <t>No</t>
        </is>
      </c>
      <c r="I796" t="inlineStr">
        <is>
          <t>1</t>
        </is>
      </c>
      <c r="J796" t="inlineStr">
        <is>
          <t>No</t>
        </is>
      </c>
      <c r="K796" t="inlineStr">
        <is>
          <t>No</t>
        </is>
      </c>
      <c r="L796" t="inlineStr">
        <is>
          <t>0</t>
        </is>
      </c>
      <c r="M796" t="inlineStr">
        <is>
          <t>Thomas, Vivian.</t>
        </is>
      </c>
      <c r="N796" t="inlineStr">
        <is>
          <t>Totowa, N.J. : Barnes &amp; Noble Books, 1987.</t>
        </is>
      </c>
      <c r="O796" t="inlineStr">
        <is>
          <t>1987</t>
        </is>
      </c>
      <c r="Q796" t="inlineStr">
        <is>
          <t>eng</t>
        </is>
      </c>
      <c r="R796" t="inlineStr">
        <is>
          <t>nju</t>
        </is>
      </c>
      <c r="T796" t="inlineStr">
        <is>
          <t xml:space="preserve">PR </t>
        </is>
      </c>
      <c r="U796" t="n">
        <v>1</v>
      </c>
      <c r="V796" t="n">
        <v>1</v>
      </c>
      <c r="W796" t="inlineStr">
        <is>
          <t>1992-11-18</t>
        </is>
      </c>
      <c r="X796" t="inlineStr">
        <is>
          <t>1992-11-18</t>
        </is>
      </c>
      <c r="Y796" t="inlineStr">
        <is>
          <t>1991-10-24</t>
        </is>
      </c>
      <c r="Z796" t="inlineStr">
        <is>
          <t>1991-10-24</t>
        </is>
      </c>
      <c r="AA796" t="n">
        <v>285</v>
      </c>
      <c r="AB796" t="n">
        <v>260</v>
      </c>
      <c r="AC796" t="n">
        <v>408</v>
      </c>
      <c r="AD796" t="n">
        <v>1</v>
      </c>
      <c r="AE796" t="n">
        <v>4</v>
      </c>
      <c r="AF796" t="n">
        <v>14</v>
      </c>
      <c r="AG796" t="n">
        <v>22</v>
      </c>
      <c r="AH796" t="n">
        <v>7</v>
      </c>
      <c r="AI796" t="n">
        <v>9</v>
      </c>
      <c r="AJ796" t="n">
        <v>3</v>
      </c>
      <c r="AK796" t="n">
        <v>4</v>
      </c>
      <c r="AL796" t="n">
        <v>10</v>
      </c>
      <c r="AM796" t="n">
        <v>13</v>
      </c>
      <c r="AN796" t="n">
        <v>0</v>
      </c>
      <c r="AO796" t="n">
        <v>3</v>
      </c>
      <c r="AP796" t="n">
        <v>0</v>
      </c>
      <c r="AQ796" t="n">
        <v>0</v>
      </c>
      <c r="AR796" t="inlineStr">
        <is>
          <t>No</t>
        </is>
      </c>
      <c r="AS796" t="inlineStr">
        <is>
          <t>No</t>
        </is>
      </c>
      <c r="AU796">
        <f>HYPERLINK("https://creighton-primo.hosted.exlibrisgroup.com/primo-explore/search?tab=default_tab&amp;search_scope=EVERYTHING&amp;vid=01CRU&amp;lang=en_US&amp;offset=0&amp;query=any,contains,991000967549702656","Catalog Record")</f>
        <v/>
      </c>
      <c r="AV796">
        <f>HYPERLINK("http://www.worldcat.org/oclc/14931297","WorldCat Record")</f>
        <v/>
      </c>
      <c r="AW796" t="inlineStr">
        <is>
          <t>879711:eng</t>
        </is>
      </c>
      <c r="AX796" t="inlineStr">
        <is>
          <t>14931297</t>
        </is>
      </c>
      <c r="AY796" t="inlineStr">
        <is>
          <t>991000967549702656</t>
        </is>
      </c>
      <c r="AZ796" t="inlineStr">
        <is>
          <t>991000967549702656</t>
        </is>
      </c>
      <c r="BA796" t="inlineStr">
        <is>
          <t>2257038320002656</t>
        </is>
      </c>
      <c r="BB796" t="inlineStr">
        <is>
          <t>BOOK</t>
        </is>
      </c>
      <c r="BD796" t="inlineStr">
        <is>
          <t>9780389207085</t>
        </is>
      </c>
      <c r="BE796" t="inlineStr">
        <is>
          <t>32285000801497</t>
        </is>
      </c>
      <c r="BF796" t="inlineStr">
        <is>
          <t>893696340</t>
        </is>
      </c>
    </row>
    <row r="797">
      <c r="A797" t="inlineStr">
        <is>
          <t>No</t>
        </is>
      </c>
      <c r="B797" t="inlineStr">
        <is>
          <t>CURAL</t>
        </is>
      </c>
      <c r="C797" t="inlineStr">
        <is>
          <t>SHELVES</t>
        </is>
      </c>
      <c r="D797" t="inlineStr">
        <is>
          <t>PR2982 .B4 1977</t>
        </is>
      </c>
      <c r="E797" t="inlineStr">
        <is>
          <t>0                      PR 2982000B  4           1977</t>
        </is>
      </c>
      <c r="F797" t="inlineStr">
        <is>
          <t>Shakespeare's histories / George J. Becker.</t>
        </is>
      </c>
      <c r="H797" t="inlineStr">
        <is>
          <t>No</t>
        </is>
      </c>
      <c r="I797" t="inlineStr">
        <is>
          <t>1</t>
        </is>
      </c>
      <c r="J797" t="inlineStr">
        <is>
          <t>No</t>
        </is>
      </c>
      <c r="K797" t="inlineStr">
        <is>
          <t>No</t>
        </is>
      </c>
      <c r="L797" t="inlineStr">
        <is>
          <t>0</t>
        </is>
      </c>
      <c r="M797" t="inlineStr">
        <is>
          <t>Becker, George Joseph.</t>
        </is>
      </c>
      <c r="N797" t="inlineStr">
        <is>
          <t>New York : Ungar, c1977, 1982 printing.</t>
        </is>
      </c>
      <c r="O797" t="inlineStr">
        <is>
          <t>1977</t>
        </is>
      </c>
      <c r="Q797" t="inlineStr">
        <is>
          <t>eng</t>
        </is>
      </c>
      <c r="R797" t="inlineStr">
        <is>
          <t>nyu</t>
        </is>
      </c>
      <c r="S797" t="inlineStr">
        <is>
          <t>Literature and life series</t>
        </is>
      </c>
      <c r="T797" t="inlineStr">
        <is>
          <t xml:space="preserve">PR </t>
        </is>
      </c>
      <c r="U797" t="n">
        <v>5</v>
      </c>
      <c r="V797" t="n">
        <v>5</v>
      </c>
      <c r="W797" t="inlineStr">
        <is>
          <t>1998-10-14</t>
        </is>
      </c>
      <c r="X797" t="inlineStr">
        <is>
          <t>1998-10-14</t>
        </is>
      </c>
      <c r="Y797" t="inlineStr">
        <is>
          <t>1989-12-18</t>
        </is>
      </c>
      <c r="Z797" t="inlineStr">
        <is>
          <t>1989-12-18</t>
        </is>
      </c>
      <c r="AA797" t="n">
        <v>1038</v>
      </c>
      <c r="AB797" t="n">
        <v>936</v>
      </c>
      <c r="AC797" t="n">
        <v>945</v>
      </c>
      <c r="AD797" t="n">
        <v>6</v>
      </c>
      <c r="AE797" t="n">
        <v>6</v>
      </c>
      <c r="AF797" t="n">
        <v>28</v>
      </c>
      <c r="AG797" t="n">
        <v>28</v>
      </c>
      <c r="AH797" t="n">
        <v>11</v>
      </c>
      <c r="AI797" t="n">
        <v>11</v>
      </c>
      <c r="AJ797" t="n">
        <v>6</v>
      </c>
      <c r="AK797" t="n">
        <v>6</v>
      </c>
      <c r="AL797" t="n">
        <v>15</v>
      </c>
      <c r="AM797" t="n">
        <v>15</v>
      </c>
      <c r="AN797" t="n">
        <v>4</v>
      </c>
      <c r="AO797" t="n">
        <v>4</v>
      </c>
      <c r="AP797" t="n">
        <v>0</v>
      </c>
      <c r="AQ797" t="n">
        <v>0</v>
      </c>
      <c r="AR797" t="inlineStr">
        <is>
          <t>No</t>
        </is>
      </c>
      <c r="AS797" t="inlineStr">
        <is>
          <t>Yes</t>
        </is>
      </c>
      <c r="AT797">
        <f>HYPERLINK("http://catalog.hathitrust.org/Record/000295132","HathiTrust Record")</f>
        <v/>
      </c>
      <c r="AU797">
        <f>HYPERLINK("https://creighton-primo.hosted.exlibrisgroup.com/primo-explore/search?tab=default_tab&amp;search_scope=EVERYTHING&amp;vid=01CRU&amp;lang=en_US&amp;offset=0&amp;query=any,contains,991004377589702656","Catalog Record")</f>
        <v/>
      </c>
      <c r="AV797">
        <f>HYPERLINK("http://www.worldcat.org/oclc/3206312","WorldCat Record")</f>
        <v/>
      </c>
      <c r="AW797" t="inlineStr">
        <is>
          <t>458060:eng</t>
        </is>
      </c>
      <c r="AX797" t="inlineStr">
        <is>
          <t>3206312</t>
        </is>
      </c>
      <c r="AY797" t="inlineStr">
        <is>
          <t>991004377589702656</t>
        </is>
      </c>
      <c r="AZ797" t="inlineStr">
        <is>
          <t>991004377589702656</t>
        </is>
      </c>
      <c r="BA797" t="inlineStr">
        <is>
          <t>2269517320002656</t>
        </is>
      </c>
      <c r="BB797" t="inlineStr">
        <is>
          <t>BOOK</t>
        </is>
      </c>
      <c r="BD797" t="inlineStr">
        <is>
          <t>9780804420327</t>
        </is>
      </c>
      <c r="BE797" t="inlineStr">
        <is>
          <t>32285000018480</t>
        </is>
      </c>
      <c r="BF797" t="inlineStr">
        <is>
          <t>893526032</t>
        </is>
      </c>
    </row>
    <row r="798">
      <c r="A798" t="inlineStr">
        <is>
          <t>No</t>
        </is>
      </c>
      <c r="B798" t="inlineStr">
        <is>
          <t>CURAL</t>
        </is>
      </c>
      <c r="C798" t="inlineStr">
        <is>
          <t>SHELVES</t>
        </is>
      </c>
      <c r="D798" t="inlineStr">
        <is>
          <t>PR2982 .B6</t>
        </is>
      </c>
      <c r="E798" t="inlineStr">
        <is>
          <t>0                      PR 2982000B  6</t>
        </is>
      </c>
      <c r="F798" t="inlineStr">
        <is>
          <t>Shakespeare's English kings, the people, and the law : a study in the relationship between the Tudor constitution and the English history plays / Edna Zwick Boris.</t>
        </is>
      </c>
      <c r="H798" t="inlineStr">
        <is>
          <t>No</t>
        </is>
      </c>
      <c r="I798" t="inlineStr">
        <is>
          <t>1</t>
        </is>
      </c>
      <c r="J798" t="inlineStr">
        <is>
          <t>Yes</t>
        </is>
      </c>
      <c r="K798" t="inlineStr">
        <is>
          <t>No</t>
        </is>
      </c>
      <c r="L798" t="inlineStr">
        <is>
          <t>0</t>
        </is>
      </c>
      <c r="M798" t="inlineStr">
        <is>
          <t>Boris, Edna Zwick, 1943-2018.</t>
        </is>
      </c>
      <c r="N798" t="inlineStr">
        <is>
          <t>Rutherford, N.J. : Fairleigh Dickinson University Press, c1978.</t>
        </is>
      </c>
      <c r="O798" t="inlineStr">
        <is>
          <t>1978</t>
        </is>
      </c>
      <c r="Q798" t="inlineStr">
        <is>
          <t>eng</t>
        </is>
      </c>
      <c r="R798" t="inlineStr">
        <is>
          <t>nju</t>
        </is>
      </c>
      <c r="T798" t="inlineStr">
        <is>
          <t xml:space="preserve">PR </t>
        </is>
      </c>
      <c r="U798" t="n">
        <v>3</v>
      </c>
      <c r="V798" t="n">
        <v>3</v>
      </c>
      <c r="W798" t="inlineStr">
        <is>
          <t>2005-11-14</t>
        </is>
      </c>
      <c r="X798" t="inlineStr">
        <is>
          <t>2005-11-14</t>
        </is>
      </c>
      <c r="Y798" t="inlineStr">
        <is>
          <t>1991-08-27</t>
        </is>
      </c>
      <c r="Z798" t="inlineStr">
        <is>
          <t>1994-10-06</t>
        </is>
      </c>
      <c r="AA798" t="n">
        <v>522</v>
      </c>
      <c r="AB798" t="n">
        <v>446</v>
      </c>
      <c r="AC798" t="n">
        <v>448</v>
      </c>
      <c r="AD798" t="n">
        <v>5</v>
      </c>
      <c r="AE798" t="n">
        <v>5</v>
      </c>
      <c r="AF798" t="n">
        <v>31</v>
      </c>
      <c r="AG798" t="n">
        <v>31</v>
      </c>
      <c r="AH798" t="n">
        <v>8</v>
      </c>
      <c r="AI798" t="n">
        <v>8</v>
      </c>
      <c r="AJ798" t="n">
        <v>4</v>
      </c>
      <c r="AK798" t="n">
        <v>4</v>
      </c>
      <c r="AL798" t="n">
        <v>13</v>
      </c>
      <c r="AM798" t="n">
        <v>13</v>
      </c>
      <c r="AN798" t="n">
        <v>3</v>
      </c>
      <c r="AO798" t="n">
        <v>3</v>
      </c>
      <c r="AP798" t="n">
        <v>9</v>
      </c>
      <c r="AQ798" t="n">
        <v>9</v>
      </c>
      <c r="AR798" t="inlineStr">
        <is>
          <t>No</t>
        </is>
      </c>
      <c r="AS798" t="inlineStr">
        <is>
          <t>Yes</t>
        </is>
      </c>
      <c r="AT798">
        <f>HYPERLINK("http://catalog.hathitrust.org/Record/000132937","HathiTrust Record")</f>
        <v/>
      </c>
      <c r="AU798">
        <f>HYPERLINK("https://creighton-primo.hosted.exlibrisgroup.com/primo-explore/search?tab=default_tab&amp;search_scope=EVERYTHING&amp;vid=01CRU&amp;lang=en_US&amp;offset=0&amp;query=any,contains,991001787419702656","Catalog Record")</f>
        <v/>
      </c>
      <c r="AV798">
        <f>HYPERLINK("http://www.worldcat.org/oclc/3751345","WorldCat Record")</f>
        <v/>
      </c>
      <c r="AW798" t="inlineStr">
        <is>
          <t>11694149:eng</t>
        </is>
      </c>
      <c r="AX798" t="inlineStr">
        <is>
          <t>3751345</t>
        </is>
      </c>
      <c r="AY798" t="inlineStr">
        <is>
          <t>991001787419702656</t>
        </is>
      </c>
      <c r="AZ798" t="inlineStr">
        <is>
          <t>991001787419702656</t>
        </is>
      </c>
      <c r="BA798" t="inlineStr">
        <is>
          <t>2254740270002656</t>
        </is>
      </c>
      <c r="BB798" t="inlineStr">
        <is>
          <t>BOOK</t>
        </is>
      </c>
      <c r="BD798" t="inlineStr">
        <is>
          <t>9780838619902</t>
        </is>
      </c>
      <c r="BE798" t="inlineStr">
        <is>
          <t>32285000697390</t>
        </is>
      </c>
      <c r="BF798" t="inlineStr">
        <is>
          <t>893516496</t>
        </is>
      </c>
    </row>
    <row r="799">
      <c r="A799" t="inlineStr">
        <is>
          <t>No</t>
        </is>
      </c>
      <c r="B799" t="inlineStr">
        <is>
          <t>CURAL</t>
        </is>
      </c>
      <c r="C799" t="inlineStr">
        <is>
          <t>SHELVES</t>
        </is>
      </c>
      <c r="D799" t="inlineStr">
        <is>
          <t>PR2982 .C28</t>
        </is>
      </c>
      <c r="E799" t="inlineStr">
        <is>
          <t>0                      PR 2982000C  28</t>
        </is>
      </c>
      <c r="F799" t="inlineStr">
        <is>
          <t>Metadrama in Shakespeare's Henriad : Richard II to Henry V / James L. Calderwood.</t>
        </is>
      </c>
      <c r="H799" t="inlineStr">
        <is>
          <t>No</t>
        </is>
      </c>
      <c r="I799" t="inlineStr">
        <is>
          <t>1</t>
        </is>
      </c>
      <c r="J799" t="inlineStr">
        <is>
          <t>No</t>
        </is>
      </c>
      <c r="K799" t="inlineStr">
        <is>
          <t>No</t>
        </is>
      </c>
      <c r="L799" t="inlineStr">
        <is>
          <t>0</t>
        </is>
      </c>
      <c r="M799" t="inlineStr">
        <is>
          <t>Calderwood, James L.</t>
        </is>
      </c>
      <c r="N799" t="inlineStr">
        <is>
          <t>Berkeley : University of California Press, c1979.</t>
        </is>
      </c>
      <c r="O799" t="inlineStr">
        <is>
          <t>1979</t>
        </is>
      </c>
      <c r="Q799" t="inlineStr">
        <is>
          <t>eng</t>
        </is>
      </c>
      <c r="R799" t="inlineStr">
        <is>
          <t>cau</t>
        </is>
      </c>
      <c r="T799" t="inlineStr">
        <is>
          <t xml:space="preserve">PR </t>
        </is>
      </c>
      <c r="U799" t="n">
        <v>2</v>
      </c>
      <c r="V799" t="n">
        <v>2</v>
      </c>
      <c r="W799" t="inlineStr">
        <is>
          <t>1996-03-07</t>
        </is>
      </c>
      <c r="X799" t="inlineStr">
        <is>
          <t>1996-03-07</t>
        </is>
      </c>
      <c r="Y799" t="inlineStr">
        <is>
          <t>1991-08-22</t>
        </is>
      </c>
      <c r="Z799" t="inlineStr">
        <is>
          <t>1991-08-22</t>
        </is>
      </c>
      <c r="AA799" t="n">
        <v>600</v>
      </c>
      <c r="AB799" t="n">
        <v>460</v>
      </c>
      <c r="AC799" t="n">
        <v>465</v>
      </c>
      <c r="AD799" t="n">
        <v>3</v>
      </c>
      <c r="AE799" t="n">
        <v>3</v>
      </c>
      <c r="AF799" t="n">
        <v>27</v>
      </c>
      <c r="AG799" t="n">
        <v>27</v>
      </c>
      <c r="AH799" t="n">
        <v>7</v>
      </c>
      <c r="AI799" t="n">
        <v>7</v>
      </c>
      <c r="AJ799" t="n">
        <v>6</v>
      </c>
      <c r="AK799" t="n">
        <v>6</v>
      </c>
      <c r="AL799" t="n">
        <v>19</v>
      </c>
      <c r="AM799" t="n">
        <v>19</v>
      </c>
      <c r="AN799" t="n">
        <v>2</v>
      </c>
      <c r="AO799" t="n">
        <v>2</v>
      </c>
      <c r="AP799" t="n">
        <v>0</v>
      </c>
      <c r="AQ799" t="n">
        <v>0</v>
      </c>
      <c r="AR799" t="inlineStr">
        <is>
          <t>No</t>
        </is>
      </c>
      <c r="AS799" t="inlineStr">
        <is>
          <t>No</t>
        </is>
      </c>
      <c r="AU799">
        <f>HYPERLINK("https://creighton-primo.hosted.exlibrisgroup.com/primo-explore/search?tab=default_tab&amp;search_scope=EVERYTHING&amp;vid=01CRU&amp;lang=en_US&amp;offset=0&amp;query=any,contains,991004733829702656","Catalog Record")</f>
        <v/>
      </c>
      <c r="AV799">
        <f>HYPERLINK("http://www.worldcat.org/oclc/4845162","WorldCat Record")</f>
        <v/>
      </c>
      <c r="AW799" t="inlineStr">
        <is>
          <t>346989198:eng</t>
        </is>
      </c>
      <c r="AX799" t="inlineStr">
        <is>
          <t>4845162</t>
        </is>
      </c>
      <c r="AY799" t="inlineStr">
        <is>
          <t>991004733829702656</t>
        </is>
      </c>
      <c r="AZ799" t="inlineStr">
        <is>
          <t>991004733829702656</t>
        </is>
      </c>
      <c r="BA799" t="inlineStr">
        <is>
          <t>2266695910002656</t>
        </is>
      </c>
      <c r="BB799" t="inlineStr">
        <is>
          <t>BOOK</t>
        </is>
      </c>
      <c r="BD799" t="inlineStr">
        <is>
          <t>9780520036529</t>
        </is>
      </c>
      <c r="BE799" t="inlineStr">
        <is>
          <t>32285000697283</t>
        </is>
      </c>
      <c r="BF799" t="inlineStr">
        <is>
          <t>893801278</t>
        </is>
      </c>
    </row>
    <row r="800">
      <c r="A800" t="inlineStr">
        <is>
          <t>No</t>
        </is>
      </c>
      <c r="B800" t="inlineStr">
        <is>
          <t>CURAL</t>
        </is>
      </c>
      <c r="C800" t="inlineStr">
        <is>
          <t>SHELVES</t>
        </is>
      </c>
      <c r="D800" t="inlineStr">
        <is>
          <t>PR2982 .C5 1980</t>
        </is>
      </c>
      <c r="E800" t="inlineStr">
        <is>
          <t>0                      PR 2982000C  5           1980</t>
        </is>
      </c>
      <c r="F800" t="inlineStr">
        <is>
          <t>Perspective in Shakespeare's English histories / Larry S. Champion.</t>
        </is>
      </c>
      <c r="H800" t="inlineStr">
        <is>
          <t>No</t>
        </is>
      </c>
      <c r="I800" t="inlineStr">
        <is>
          <t>1</t>
        </is>
      </c>
      <c r="J800" t="inlineStr">
        <is>
          <t>No</t>
        </is>
      </c>
      <c r="K800" t="inlineStr">
        <is>
          <t>No</t>
        </is>
      </c>
      <c r="L800" t="inlineStr">
        <is>
          <t>0</t>
        </is>
      </c>
      <c r="M800" t="inlineStr">
        <is>
          <t>Champion, Larry S.</t>
        </is>
      </c>
      <c r="N800" t="inlineStr">
        <is>
          <t>Athens : University of Georgia Press, c1980.</t>
        </is>
      </c>
      <c r="O800" t="inlineStr">
        <is>
          <t>1980</t>
        </is>
      </c>
      <c r="Q800" t="inlineStr">
        <is>
          <t>eng</t>
        </is>
      </c>
      <c r="R800" t="inlineStr">
        <is>
          <t>gau</t>
        </is>
      </c>
      <c r="T800" t="inlineStr">
        <is>
          <t xml:space="preserve">PR </t>
        </is>
      </c>
      <c r="U800" t="n">
        <v>1</v>
      </c>
      <c r="V800" t="n">
        <v>1</v>
      </c>
      <c r="W800" t="inlineStr">
        <is>
          <t>2002-04-22</t>
        </is>
      </c>
      <c r="X800" t="inlineStr">
        <is>
          <t>2002-04-22</t>
        </is>
      </c>
      <c r="Y800" t="inlineStr">
        <is>
          <t>2002-04-08</t>
        </is>
      </c>
      <c r="Z800" t="inlineStr">
        <is>
          <t>2002-04-08</t>
        </is>
      </c>
      <c r="AA800" t="n">
        <v>648</v>
      </c>
      <c r="AB800" t="n">
        <v>557</v>
      </c>
      <c r="AC800" t="n">
        <v>564</v>
      </c>
      <c r="AD800" t="n">
        <v>5</v>
      </c>
      <c r="AE800" t="n">
        <v>5</v>
      </c>
      <c r="AF800" t="n">
        <v>29</v>
      </c>
      <c r="AG800" t="n">
        <v>29</v>
      </c>
      <c r="AH800" t="n">
        <v>10</v>
      </c>
      <c r="AI800" t="n">
        <v>10</v>
      </c>
      <c r="AJ800" t="n">
        <v>8</v>
      </c>
      <c r="AK800" t="n">
        <v>8</v>
      </c>
      <c r="AL800" t="n">
        <v>11</v>
      </c>
      <c r="AM800" t="n">
        <v>11</v>
      </c>
      <c r="AN800" t="n">
        <v>4</v>
      </c>
      <c r="AO800" t="n">
        <v>4</v>
      </c>
      <c r="AP800" t="n">
        <v>0</v>
      </c>
      <c r="AQ800" t="n">
        <v>0</v>
      </c>
      <c r="AR800" t="inlineStr">
        <is>
          <t>No</t>
        </is>
      </c>
      <c r="AS800" t="inlineStr">
        <is>
          <t>No</t>
        </is>
      </c>
      <c r="AU800">
        <f>HYPERLINK("https://creighton-primo.hosted.exlibrisgroup.com/primo-explore/search?tab=default_tab&amp;search_scope=EVERYTHING&amp;vid=01CRU&amp;lang=en_US&amp;offset=0&amp;query=any,contains,991003791049702656","Catalog Record")</f>
        <v/>
      </c>
      <c r="AV800">
        <f>HYPERLINK("http://www.worldcat.org/oclc/5239485","WorldCat Record")</f>
        <v/>
      </c>
      <c r="AW800" t="inlineStr">
        <is>
          <t>16838169:eng</t>
        </is>
      </c>
      <c r="AX800" t="inlineStr">
        <is>
          <t>5239485</t>
        </is>
      </c>
      <c r="AY800" t="inlineStr">
        <is>
          <t>991003791049702656</t>
        </is>
      </c>
      <c r="AZ800" t="inlineStr">
        <is>
          <t>991003791049702656</t>
        </is>
      </c>
      <c r="BA800" t="inlineStr">
        <is>
          <t>2264398360002656</t>
        </is>
      </c>
      <c r="BB800" t="inlineStr">
        <is>
          <t>BOOK</t>
        </is>
      </c>
      <c r="BD800" t="inlineStr">
        <is>
          <t>9780820304915</t>
        </is>
      </c>
      <c r="BE800" t="inlineStr">
        <is>
          <t>32285004478086</t>
        </is>
      </c>
      <c r="BF800" t="inlineStr">
        <is>
          <t>893605207</t>
        </is>
      </c>
    </row>
    <row r="801">
      <c r="A801" t="inlineStr">
        <is>
          <t>No</t>
        </is>
      </c>
      <c r="B801" t="inlineStr">
        <is>
          <t>CURAL</t>
        </is>
      </c>
      <c r="C801" t="inlineStr">
        <is>
          <t>SHELVES</t>
        </is>
      </c>
      <c r="D801" t="inlineStr">
        <is>
          <t>PR2982 .C58 1982</t>
        </is>
      </c>
      <c r="E801" t="inlineStr">
        <is>
          <t>0                      PR 2982000C  58          1982</t>
        </is>
      </c>
      <c r="F801" t="inlineStr">
        <is>
          <t>The leasing out of England : Shakespeare's second Henriad / H.R. Coursen.</t>
        </is>
      </c>
      <c r="H801" t="inlineStr">
        <is>
          <t>No</t>
        </is>
      </c>
      <c r="I801" t="inlineStr">
        <is>
          <t>1</t>
        </is>
      </c>
      <c r="J801" t="inlineStr">
        <is>
          <t>No</t>
        </is>
      </c>
      <c r="K801" t="inlineStr">
        <is>
          <t>No</t>
        </is>
      </c>
      <c r="L801" t="inlineStr">
        <is>
          <t>0</t>
        </is>
      </c>
      <c r="M801" t="inlineStr">
        <is>
          <t>Coursen, Herbert R.</t>
        </is>
      </c>
      <c r="N801" t="inlineStr">
        <is>
          <t>Washington, D.C. : University Press of America, c1982.</t>
        </is>
      </c>
      <c r="O801" t="inlineStr">
        <is>
          <t>1982</t>
        </is>
      </c>
      <c r="Q801" t="inlineStr">
        <is>
          <t>eng</t>
        </is>
      </c>
      <c r="R801" t="inlineStr">
        <is>
          <t>dcu</t>
        </is>
      </c>
      <c r="T801" t="inlineStr">
        <is>
          <t xml:space="preserve">PR </t>
        </is>
      </c>
      <c r="U801" t="n">
        <v>1</v>
      </c>
      <c r="V801" t="n">
        <v>1</v>
      </c>
      <c r="W801" t="inlineStr">
        <is>
          <t>2009-04-06</t>
        </is>
      </c>
      <c r="X801" t="inlineStr">
        <is>
          <t>2009-04-06</t>
        </is>
      </c>
      <c r="Y801" t="inlineStr">
        <is>
          <t>1991-08-22</t>
        </is>
      </c>
      <c r="Z801" t="inlineStr">
        <is>
          <t>1991-08-22</t>
        </is>
      </c>
      <c r="AA801" t="n">
        <v>405</v>
      </c>
      <c r="AB801" t="n">
        <v>335</v>
      </c>
      <c r="AC801" t="n">
        <v>340</v>
      </c>
      <c r="AD801" t="n">
        <v>4</v>
      </c>
      <c r="AE801" t="n">
        <v>4</v>
      </c>
      <c r="AF801" t="n">
        <v>19</v>
      </c>
      <c r="AG801" t="n">
        <v>19</v>
      </c>
      <c r="AH801" t="n">
        <v>2</v>
      </c>
      <c r="AI801" t="n">
        <v>2</v>
      </c>
      <c r="AJ801" t="n">
        <v>6</v>
      </c>
      <c r="AK801" t="n">
        <v>6</v>
      </c>
      <c r="AL801" t="n">
        <v>13</v>
      </c>
      <c r="AM801" t="n">
        <v>13</v>
      </c>
      <c r="AN801" t="n">
        <v>3</v>
      </c>
      <c r="AO801" t="n">
        <v>3</v>
      </c>
      <c r="AP801" t="n">
        <v>0</v>
      </c>
      <c r="AQ801" t="n">
        <v>0</v>
      </c>
      <c r="AR801" t="inlineStr">
        <is>
          <t>No</t>
        </is>
      </c>
      <c r="AS801" t="inlineStr">
        <is>
          <t>No</t>
        </is>
      </c>
      <c r="AU801">
        <f>HYPERLINK("https://creighton-primo.hosted.exlibrisgroup.com/primo-explore/search?tab=default_tab&amp;search_scope=EVERYTHING&amp;vid=01CRU&amp;lang=en_US&amp;offset=0&amp;query=any,contains,991005241749702656","Catalog Record")</f>
        <v/>
      </c>
      <c r="AV801">
        <f>HYPERLINK("http://www.worldcat.org/oclc/8429909","WorldCat Record")</f>
        <v/>
      </c>
      <c r="AW801" t="inlineStr">
        <is>
          <t>21012247:eng</t>
        </is>
      </c>
      <c r="AX801" t="inlineStr">
        <is>
          <t>8429909</t>
        </is>
      </c>
      <c r="AY801" t="inlineStr">
        <is>
          <t>991005241749702656</t>
        </is>
      </c>
      <c r="AZ801" t="inlineStr">
        <is>
          <t>991005241749702656</t>
        </is>
      </c>
      <c r="BA801" t="inlineStr">
        <is>
          <t>2268800210002656</t>
        </is>
      </c>
      <c r="BB801" t="inlineStr">
        <is>
          <t>BOOK</t>
        </is>
      </c>
      <c r="BD801" t="inlineStr">
        <is>
          <t>9780819124555</t>
        </is>
      </c>
      <c r="BE801" t="inlineStr">
        <is>
          <t>32285000697291</t>
        </is>
      </c>
      <c r="BF801" t="inlineStr">
        <is>
          <t>893713709</t>
        </is>
      </c>
    </row>
    <row r="802">
      <c r="A802" t="inlineStr">
        <is>
          <t>No</t>
        </is>
      </c>
      <c r="B802" t="inlineStr">
        <is>
          <t>CURAL</t>
        </is>
      </c>
      <c r="C802" t="inlineStr">
        <is>
          <t>SHELVES</t>
        </is>
      </c>
      <c r="D802" t="inlineStr">
        <is>
          <t>PR2982 .H6 1985</t>
        </is>
      </c>
      <c r="E802" t="inlineStr">
        <is>
          <t>0                      PR 2982000H  6           1985</t>
        </is>
      </c>
      <c r="F802" t="inlineStr">
        <is>
          <t>Shakespeare's history / Graham Holderness.</t>
        </is>
      </c>
      <c r="H802" t="inlineStr">
        <is>
          <t>No</t>
        </is>
      </c>
      <c r="I802" t="inlineStr">
        <is>
          <t>1</t>
        </is>
      </c>
      <c r="J802" t="inlineStr">
        <is>
          <t>No</t>
        </is>
      </c>
      <c r="K802" t="inlineStr">
        <is>
          <t>No</t>
        </is>
      </c>
      <c r="L802" t="inlineStr">
        <is>
          <t>0</t>
        </is>
      </c>
      <c r="M802" t="inlineStr">
        <is>
          <t>Holderness, Graham.</t>
        </is>
      </c>
      <c r="N802" t="inlineStr">
        <is>
          <t>Dublin : Gill and Macmillan ; New York : St. Martin's Press, 1985.</t>
        </is>
      </c>
      <c r="O802" t="inlineStr">
        <is>
          <t>1985</t>
        </is>
      </c>
      <c r="Q802" t="inlineStr">
        <is>
          <t>eng</t>
        </is>
      </c>
      <c r="R802" t="inlineStr">
        <is>
          <t xml:space="preserve">ie </t>
        </is>
      </c>
      <c r="T802" t="inlineStr">
        <is>
          <t xml:space="preserve">PR </t>
        </is>
      </c>
      <c r="U802" t="n">
        <v>1</v>
      </c>
      <c r="V802" t="n">
        <v>1</v>
      </c>
      <c r="W802" t="inlineStr">
        <is>
          <t>1992-02-02</t>
        </is>
      </c>
      <c r="X802" t="inlineStr">
        <is>
          <t>1992-02-02</t>
        </is>
      </c>
      <c r="Y802" t="inlineStr">
        <is>
          <t>1991-08-22</t>
        </is>
      </c>
      <c r="Z802" t="inlineStr">
        <is>
          <t>1991-08-22</t>
        </is>
      </c>
      <c r="AA802" t="n">
        <v>496</v>
      </c>
      <c r="AB802" t="n">
        <v>384</v>
      </c>
      <c r="AC802" t="n">
        <v>384</v>
      </c>
      <c r="AD802" t="n">
        <v>2</v>
      </c>
      <c r="AE802" t="n">
        <v>2</v>
      </c>
      <c r="AF802" t="n">
        <v>18</v>
      </c>
      <c r="AG802" t="n">
        <v>18</v>
      </c>
      <c r="AH802" t="n">
        <v>6</v>
      </c>
      <c r="AI802" t="n">
        <v>6</v>
      </c>
      <c r="AJ802" t="n">
        <v>7</v>
      </c>
      <c r="AK802" t="n">
        <v>7</v>
      </c>
      <c r="AL802" t="n">
        <v>11</v>
      </c>
      <c r="AM802" t="n">
        <v>11</v>
      </c>
      <c r="AN802" t="n">
        <v>1</v>
      </c>
      <c r="AO802" t="n">
        <v>1</v>
      </c>
      <c r="AP802" t="n">
        <v>0</v>
      </c>
      <c r="AQ802" t="n">
        <v>0</v>
      </c>
      <c r="AR802" t="inlineStr">
        <is>
          <t>No</t>
        </is>
      </c>
      <c r="AS802" t="inlineStr">
        <is>
          <t>No</t>
        </is>
      </c>
      <c r="AU802">
        <f>HYPERLINK("https://creighton-primo.hosted.exlibrisgroup.com/primo-explore/search?tab=default_tab&amp;search_scope=EVERYTHING&amp;vid=01CRU&amp;lang=en_US&amp;offset=0&amp;query=any,contains,991000612249702656","Catalog Record")</f>
        <v/>
      </c>
      <c r="AV802">
        <f>HYPERLINK("http://www.worldcat.org/oclc/11916728","WorldCat Record")</f>
        <v/>
      </c>
      <c r="AW802" t="inlineStr">
        <is>
          <t>3855289414:eng</t>
        </is>
      </c>
      <c r="AX802" t="inlineStr">
        <is>
          <t>11916728</t>
        </is>
      </c>
      <c r="AY802" t="inlineStr">
        <is>
          <t>991000612249702656</t>
        </is>
      </c>
      <c r="AZ802" t="inlineStr">
        <is>
          <t>991000612249702656</t>
        </is>
      </c>
      <c r="BA802" t="inlineStr">
        <is>
          <t>2270362890002656</t>
        </is>
      </c>
      <c r="BB802" t="inlineStr">
        <is>
          <t>BOOK</t>
        </is>
      </c>
      <c r="BD802" t="inlineStr">
        <is>
          <t>9780312715816</t>
        </is>
      </c>
      <c r="BE802" t="inlineStr">
        <is>
          <t>32285000697309</t>
        </is>
      </c>
      <c r="BF802" t="inlineStr">
        <is>
          <t>893778074</t>
        </is>
      </c>
    </row>
    <row r="803">
      <c r="A803" t="inlineStr">
        <is>
          <t>No</t>
        </is>
      </c>
      <c r="B803" t="inlineStr">
        <is>
          <t>CURAL</t>
        </is>
      </c>
      <c r="C803" t="inlineStr">
        <is>
          <t>SHELVES</t>
        </is>
      </c>
      <c r="D803" t="inlineStr">
        <is>
          <t>PR2982 .O7</t>
        </is>
      </c>
      <c r="E803" t="inlineStr">
        <is>
          <t>0                      PR 2982000O  7</t>
        </is>
      </c>
      <c r="F803" t="inlineStr">
        <is>
          <t>A kingdom for a stage : the achievement of Shakespeare's history plays.</t>
        </is>
      </c>
      <c r="H803" t="inlineStr">
        <is>
          <t>No</t>
        </is>
      </c>
      <c r="I803" t="inlineStr">
        <is>
          <t>1</t>
        </is>
      </c>
      <c r="J803" t="inlineStr">
        <is>
          <t>No</t>
        </is>
      </c>
      <c r="K803" t="inlineStr">
        <is>
          <t>No</t>
        </is>
      </c>
      <c r="L803" t="inlineStr">
        <is>
          <t>0</t>
        </is>
      </c>
      <c r="M803" t="inlineStr">
        <is>
          <t>Ornstein, Robert.</t>
        </is>
      </c>
      <c r="N803" t="inlineStr">
        <is>
          <t>Cambridge : Harvard University Press, 1972.</t>
        </is>
      </c>
      <c r="O803" t="inlineStr">
        <is>
          <t>1972</t>
        </is>
      </c>
      <c r="Q803" t="inlineStr">
        <is>
          <t>eng</t>
        </is>
      </c>
      <c r="R803" t="inlineStr">
        <is>
          <t>mau</t>
        </is>
      </c>
      <c r="T803" t="inlineStr">
        <is>
          <t xml:space="preserve">PR </t>
        </is>
      </c>
      <c r="U803" t="n">
        <v>3</v>
      </c>
      <c r="V803" t="n">
        <v>3</v>
      </c>
      <c r="W803" t="inlineStr">
        <is>
          <t>1999-11-20</t>
        </is>
      </c>
      <c r="X803" t="inlineStr">
        <is>
          <t>1999-11-20</t>
        </is>
      </c>
      <c r="Y803" t="inlineStr">
        <is>
          <t>1991-08-27</t>
        </is>
      </c>
      <c r="Z803" t="inlineStr">
        <is>
          <t>1991-08-27</t>
        </is>
      </c>
      <c r="AA803" t="n">
        <v>834</v>
      </c>
      <c r="AB803" t="n">
        <v>672</v>
      </c>
      <c r="AC803" t="n">
        <v>707</v>
      </c>
      <c r="AD803" t="n">
        <v>5</v>
      </c>
      <c r="AE803" t="n">
        <v>5</v>
      </c>
      <c r="AF803" t="n">
        <v>33</v>
      </c>
      <c r="AG803" t="n">
        <v>36</v>
      </c>
      <c r="AH803" t="n">
        <v>12</v>
      </c>
      <c r="AI803" t="n">
        <v>13</v>
      </c>
      <c r="AJ803" t="n">
        <v>9</v>
      </c>
      <c r="AK803" t="n">
        <v>9</v>
      </c>
      <c r="AL803" t="n">
        <v>16</v>
      </c>
      <c r="AM803" t="n">
        <v>18</v>
      </c>
      <c r="AN803" t="n">
        <v>4</v>
      </c>
      <c r="AO803" t="n">
        <v>4</v>
      </c>
      <c r="AP803" t="n">
        <v>0</v>
      </c>
      <c r="AQ803" t="n">
        <v>0</v>
      </c>
      <c r="AR803" t="inlineStr">
        <is>
          <t>No</t>
        </is>
      </c>
      <c r="AS803" t="inlineStr">
        <is>
          <t>Yes</t>
        </is>
      </c>
      <c r="AT803">
        <f>HYPERLINK("http://catalog.hathitrust.org/Record/000004968","HathiTrust Record")</f>
        <v/>
      </c>
      <c r="AU803">
        <f>HYPERLINK("https://creighton-primo.hosted.exlibrisgroup.com/primo-explore/search?tab=default_tab&amp;search_scope=EVERYTHING&amp;vid=01CRU&amp;lang=en_US&amp;offset=0&amp;query=any,contains,991002235089702656","Catalog Record")</f>
        <v/>
      </c>
      <c r="AV803">
        <f>HYPERLINK("http://www.worldcat.org/oclc/295623","WorldCat Record")</f>
        <v/>
      </c>
      <c r="AW803" t="inlineStr">
        <is>
          <t>1491840:eng</t>
        </is>
      </c>
      <c r="AX803" t="inlineStr">
        <is>
          <t>295623</t>
        </is>
      </c>
      <c r="AY803" t="inlineStr">
        <is>
          <t>991002235089702656</t>
        </is>
      </c>
      <c r="AZ803" t="inlineStr">
        <is>
          <t>991002235089702656</t>
        </is>
      </c>
      <c r="BA803" t="inlineStr">
        <is>
          <t>2265807830002656</t>
        </is>
      </c>
      <c r="BB803" t="inlineStr">
        <is>
          <t>BOOK</t>
        </is>
      </c>
      <c r="BD803" t="inlineStr">
        <is>
          <t>9780674505254</t>
        </is>
      </c>
      <c r="BE803" t="inlineStr">
        <is>
          <t>32285000697358</t>
        </is>
      </c>
      <c r="BF803" t="inlineStr">
        <is>
          <t>893779574</t>
        </is>
      </c>
    </row>
    <row r="804">
      <c r="A804" t="inlineStr">
        <is>
          <t>No</t>
        </is>
      </c>
      <c r="B804" t="inlineStr">
        <is>
          <t>CURAL</t>
        </is>
      </c>
      <c r="C804" t="inlineStr">
        <is>
          <t>SHELVES</t>
        </is>
      </c>
      <c r="D804" t="inlineStr">
        <is>
          <t>PR2982 .P43 1992</t>
        </is>
      </c>
      <c r="E804" t="inlineStr">
        <is>
          <t>0                      PR 2982000P  43          1992</t>
        </is>
      </c>
      <c r="F804" t="inlineStr">
        <is>
          <t>William Shakespeare : the history plays / E. Pearlman.</t>
        </is>
      </c>
      <c r="H804" t="inlineStr">
        <is>
          <t>No</t>
        </is>
      </c>
      <c r="I804" t="inlineStr">
        <is>
          <t>1</t>
        </is>
      </c>
      <c r="J804" t="inlineStr">
        <is>
          <t>No</t>
        </is>
      </c>
      <c r="K804" t="inlineStr">
        <is>
          <t>No</t>
        </is>
      </c>
      <c r="L804" t="inlineStr">
        <is>
          <t>0</t>
        </is>
      </c>
      <c r="M804" t="inlineStr">
        <is>
          <t>Pearlman, E. (Elihu)</t>
        </is>
      </c>
      <c r="N804" t="inlineStr">
        <is>
          <t>New York : Twayne Publishers ; Toronto : Maxwell Macmillan Canada ; New York : Maxwell Macmillan International, 1992.</t>
        </is>
      </c>
      <c r="O804" t="inlineStr">
        <is>
          <t>1992</t>
        </is>
      </c>
      <c r="Q804" t="inlineStr">
        <is>
          <t>eng</t>
        </is>
      </c>
      <c r="R804" t="inlineStr">
        <is>
          <t>nyu</t>
        </is>
      </c>
      <c r="S804" t="inlineStr">
        <is>
          <t>Twayne's English authors series ; TEAS 493</t>
        </is>
      </c>
      <c r="T804" t="inlineStr">
        <is>
          <t xml:space="preserve">PR </t>
        </is>
      </c>
      <c r="U804" t="n">
        <v>4</v>
      </c>
      <c r="V804" t="n">
        <v>4</v>
      </c>
      <c r="W804" t="inlineStr">
        <is>
          <t>1994-10-27</t>
        </is>
      </c>
      <c r="X804" t="inlineStr">
        <is>
          <t>1994-10-27</t>
        </is>
      </c>
      <c r="Y804" t="inlineStr">
        <is>
          <t>1992-09-15</t>
        </is>
      </c>
      <c r="Z804" t="inlineStr">
        <is>
          <t>1992-09-15</t>
        </is>
      </c>
      <c r="AA804" t="n">
        <v>934</v>
      </c>
      <c r="AB804" t="n">
        <v>837</v>
      </c>
      <c r="AC804" t="n">
        <v>963</v>
      </c>
      <c r="AD804" t="n">
        <v>6</v>
      </c>
      <c r="AE804" t="n">
        <v>8</v>
      </c>
      <c r="AF804" t="n">
        <v>30</v>
      </c>
      <c r="AG804" t="n">
        <v>33</v>
      </c>
      <c r="AH804" t="n">
        <v>13</v>
      </c>
      <c r="AI804" t="n">
        <v>13</v>
      </c>
      <c r="AJ804" t="n">
        <v>4</v>
      </c>
      <c r="AK804" t="n">
        <v>4</v>
      </c>
      <c r="AL804" t="n">
        <v>15</v>
      </c>
      <c r="AM804" t="n">
        <v>16</v>
      </c>
      <c r="AN804" t="n">
        <v>5</v>
      </c>
      <c r="AO804" t="n">
        <v>7</v>
      </c>
      <c r="AP804" t="n">
        <v>0</v>
      </c>
      <c r="AQ804" t="n">
        <v>0</v>
      </c>
      <c r="AR804" t="inlineStr">
        <is>
          <t>No</t>
        </is>
      </c>
      <c r="AS804" t="inlineStr">
        <is>
          <t>Yes</t>
        </is>
      </c>
      <c r="AT804">
        <f>HYPERLINK("http://catalog.hathitrust.org/Record/002591584","HathiTrust Record")</f>
        <v/>
      </c>
      <c r="AU804">
        <f>HYPERLINK("https://creighton-primo.hosted.exlibrisgroup.com/primo-explore/search?tab=default_tab&amp;search_scope=EVERYTHING&amp;vid=01CRU&amp;lang=en_US&amp;offset=0&amp;query=any,contains,991002005459702656","Catalog Record")</f>
        <v/>
      </c>
      <c r="AV804">
        <f>HYPERLINK("http://www.worldcat.org/oclc/25508502","WorldCat Record")</f>
        <v/>
      </c>
      <c r="AW804" t="inlineStr">
        <is>
          <t>17680655:eng</t>
        </is>
      </c>
      <c r="AX804" t="inlineStr">
        <is>
          <t>25508502</t>
        </is>
      </c>
      <c r="AY804" t="inlineStr">
        <is>
          <t>991002005459702656</t>
        </is>
      </c>
      <c r="AZ804" t="inlineStr">
        <is>
          <t>991002005459702656</t>
        </is>
      </c>
      <c r="BA804" t="inlineStr">
        <is>
          <t>2272466720002656</t>
        </is>
      </c>
      <c r="BB804" t="inlineStr">
        <is>
          <t>BOOK</t>
        </is>
      </c>
      <c r="BD804" t="inlineStr">
        <is>
          <t>9780805770209</t>
        </is>
      </c>
      <c r="BE804" t="inlineStr">
        <is>
          <t>32285001306900</t>
        </is>
      </c>
      <c r="BF804" t="inlineStr">
        <is>
          <t>893885738</t>
        </is>
      </c>
    </row>
    <row r="805">
      <c r="A805" t="inlineStr">
        <is>
          <t>No</t>
        </is>
      </c>
      <c r="B805" t="inlineStr">
        <is>
          <t>CURAL</t>
        </is>
      </c>
      <c r="C805" t="inlineStr">
        <is>
          <t>SHELVES</t>
        </is>
      </c>
      <c r="D805" t="inlineStr">
        <is>
          <t>PR2982 .P5</t>
        </is>
      </c>
      <c r="E805" t="inlineStr">
        <is>
          <t>0                      PR 2982000P  5</t>
        </is>
      </c>
      <c r="F805" t="inlineStr">
        <is>
          <t>Shakespeare's history plays : the family and the state / [by] Robert B. Pierce.</t>
        </is>
      </c>
      <c r="H805" t="inlineStr">
        <is>
          <t>No</t>
        </is>
      </c>
      <c r="I805" t="inlineStr">
        <is>
          <t>1</t>
        </is>
      </c>
      <c r="J805" t="inlineStr">
        <is>
          <t>No</t>
        </is>
      </c>
      <c r="K805" t="inlineStr">
        <is>
          <t>No</t>
        </is>
      </c>
      <c r="L805" t="inlineStr">
        <is>
          <t>0</t>
        </is>
      </c>
      <c r="M805" t="inlineStr">
        <is>
          <t>Pierce, Robert B., 1934-</t>
        </is>
      </c>
      <c r="N805" t="inlineStr">
        <is>
          <t>[Columbus] : Ohio State University Press, [1971]</t>
        </is>
      </c>
      <c r="O805" t="inlineStr">
        <is>
          <t>1971</t>
        </is>
      </c>
      <c r="Q805" t="inlineStr">
        <is>
          <t>eng</t>
        </is>
      </c>
      <c r="R805" t="inlineStr">
        <is>
          <t>ohu</t>
        </is>
      </c>
      <c r="T805" t="inlineStr">
        <is>
          <t xml:space="preserve">PR </t>
        </is>
      </c>
      <c r="U805" t="n">
        <v>1</v>
      </c>
      <c r="V805" t="n">
        <v>1</v>
      </c>
      <c r="W805" t="inlineStr">
        <is>
          <t>1992-02-02</t>
        </is>
      </c>
      <c r="X805" t="inlineStr">
        <is>
          <t>1992-02-02</t>
        </is>
      </c>
      <c r="Y805" t="inlineStr">
        <is>
          <t>1991-08-27</t>
        </is>
      </c>
      <c r="Z805" t="inlineStr">
        <is>
          <t>1991-08-27</t>
        </is>
      </c>
      <c r="AA805" t="n">
        <v>796</v>
      </c>
      <c r="AB805" t="n">
        <v>681</v>
      </c>
      <c r="AC805" t="n">
        <v>703</v>
      </c>
      <c r="AD805" t="n">
        <v>7</v>
      </c>
      <c r="AE805" t="n">
        <v>7</v>
      </c>
      <c r="AF805" t="n">
        <v>35</v>
      </c>
      <c r="AG805" t="n">
        <v>35</v>
      </c>
      <c r="AH805" t="n">
        <v>15</v>
      </c>
      <c r="AI805" t="n">
        <v>15</v>
      </c>
      <c r="AJ805" t="n">
        <v>6</v>
      </c>
      <c r="AK805" t="n">
        <v>6</v>
      </c>
      <c r="AL805" t="n">
        <v>16</v>
      </c>
      <c r="AM805" t="n">
        <v>16</v>
      </c>
      <c r="AN805" t="n">
        <v>6</v>
      </c>
      <c r="AO805" t="n">
        <v>6</v>
      </c>
      <c r="AP805" t="n">
        <v>0</v>
      </c>
      <c r="AQ805" t="n">
        <v>0</v>
      </c>
      <c r="AR805" t="inlineStr">
        <is>
          <t>No</t>
        </is>
      </c>
      <c r="AS805" t="inlineStr">
        <is>
          <t>No</t>
        </is>
      </c>
      <c r="AU805">
        <f>HYPERLINK("https://creighton-primo.hosted.exlibrisgroup.com/primo-explore/search?tab=default_tab&amp;search_scope=EVERYTHING&amp;vid=01CRU&amp;lang=en_US&amp;offset=0&amp;query=any,contains,991001269449702656","Catalog Record")</f>
        <v/>
      </c>
      <c r="AV805">
        <f>HYPERLINK("http://www.worldcat.org/oclc/211198","WorldCat Record")</f>
        <v/>
      </c>
      <c r="AW805" t="inlineStr">
        <is>
          <t>1286592:eng</t>
        </is>
      </c>
      <c r="AX805" t="inlineStr">
        <is>
          <t>211198</t>
        </is>
      </c>
      <c r="AY805" t="inlineStr">
        <is>
          <t>991001269449702656</t>
        </is>
      </c>
      <c r="AZ805" t="inlineStr">
        <is>
          <t>991001269449702656</t>
        </is>
      </c>
      <c r="BA805" t="inlineStr">
        <is>
          <t>2262465210002656</t>
        </is>
      </c>
      <c r="BB805" t="inlineStr">
        <is>
          <t>BOOK</t>
        </is>
      </c>
      <c r="BD805" t="inlineStr">
        <is>
          <t>9780814201527</t>
        </is>
      </c>
      <c r="BE805" t="inlineStr">
        <is>
          <t>32285000697366</t>
        </is>
      </c>
      <c r="BF805" t="inlineStr">
        <is>
          <t>893885194</t>
        </is>
      </c>
    </row>
    <row r="806">
      <c r="A806" t="inlineStr">
        <is>
          <t>No</t>
        </is>
      </c>
      <c r="B806" t="inlineStr">
        <is>
          <t>CURAL</t>
        </is>
      </c>
      <c r="C806" t="inlineStr">
        <is>
          <t>SHELVES</t>
        </is>
      </c>
      <c r="D806" t="inlineStr">
        <is>
          <t>PR2982 .P7</t>
        </is>
      </c>
      <c r="E806" t="inlineStr">
        <is>
          <t>0                      PR 2982000P  7</t>
        </is>
      </c>
      <c r="F806" t="inlineStr">
        <is>
          <t>The drama of power : studies in Shakespeare's history plays / [by] Moody E. Prior.</t>
        </is>
      </c>
      <c r="H806" t="inlineStr">
        <is>
          <t>No</t>
        </is>
      </c>
      <c r="I806" t="inlineStr">
        <is>
          <t>1</t>
        </is>
      </c>
      <c r="J806" t="inlineStr">
        <is>
          <t>No</t>
        </is>
      </c>
      <c r="K806" t="inlineStr">
        <is>
          <t>No</t>
        </is>
      </c>
      <c r="L806" t="inlineStr">
        <is>
          <t>0</t>
        </is>
      </c>
      <c r="M806" t="inlineStr">
        <is>
          <t>Prior, Moody E. (Moody Erasmus), 1901-1996.</t>
        </is>
      </c>
      <c r="N806" t="inlineStr">
        <is>
          <t>Evanston, Ill. : Northwestern University Press, 1973.</t>
        </is>
      </c>
      <c r="O806" t="inlineStr">
        <is>
          <t>1973</t>
        </is>
      </c>
      <c r="Q806" t="inlineStr">
        <is>
          <t>eng</t>
        </is>
      </c>
      <c r="R806" t="inlineStr">
        <is>
          <t>ilu</t>
        </is>
      </c>
      <c r="T806" t="inlineStr">
        <is>
          <t xml:space="preserve">PR </t>
        </is>
      </c>
      <c r="U806" t="n">
        <v>1</v>
      </c>
      <c r="V806" t="n">
        <v>1</v>
      </c>
      <c r="W806" t="inlineStr">
        <is>
          <t>1992-02-02</t>
        </is>
      </c>
      <c r="X806" t="inlineStr">
        <is>
          <t>1992-02-02</t>
        </is>
      </c>
      <c r="Y806" t="inlineStr">
        <is>
          <t>1991-08-27</t>
        </is>
      </c>
      <c r="Z806" t="inlineStr">
        <is>
          <t>1991-08-27</t>
        </is>
      </c>
      <c r="AA806" t="n">
        <v>797</v>
      </c>
      <c r="AB806" t="n">
        <v>695</v>
      </c>
      <c r="AC806" t="n">
        <v>697</v>
      </c>
      <c r="AD806" t="n">
        <v>7</v>
      </c>
      <c r="AE806" t="n">
        <v>7</v>
      </c>
      <c r="AF806" t="n">
        <v>27</v>
      </c>
      <c r="AG806" t="n">
        <v>27</v>
      </c>
      <c r="AH806" t="n">
        <v>10</v>
      </c>
      <c r="AI806" t="n">
        <v>10</v>
      </c>
      <c r="AJ806" t="n">
        <v>6</v>
      </c>
      <c r="AK806" t="n">
        <v>6</v>
      </c>
      <c r="AL806" t="n">
        <v>13</v>
      </c>
      <c r="AM806" t="n">
        <v>13</v>
      </c>
      <c r="AN806" t="n">
        <v>6</v>
      </c>
      <c r="AO806" t="n">
        <v>6</v>
      </c>
      <c r="AP806" t="n">
        <v>0</v>
      </c>
      <c r="AQ806" t="n">
        <v>0</v>
      </c>
      <c r="AR806" t="inlineStr">
        <is>
          <t>No</t>
        </is>
      </c>
      <c r="AS806" t="inlineStr">
        <is>
          <t>Yes</t>
        </is>
      </c>
      <c r="AT806">
        <f>HYPERLINK("http://catalog.hathitrust.org/Record/001112216","HathiTrust Record")</f>
        <v/>
      </c>
      <c r="AU806">
        <f>HYPERLINK("https://creighton-primo.hosted.exlibrisgroup.com/primo-explore/search?tab=default_tab&amp;search_scope=EVERYTHING&amp;vid=01CRU&amp;lang=en_US&amp;offset=0&amp;query=any,contains,991003280329702656","Catalog Record")</f>
        <v/>
      </c>
      <c r="AV806">
        <f>HYPERLINK("http://www.worldcat.org/oclc/802891","WorldCat Record")</f>
        <v/>
      </c>
      <c r="AW806" t="inlineStr">
        <is>
          <t>233824066:eng</t>
        </is>
      </c>
      <c r="AX806" t="inlineStr">
        <is>
          <t>802891</t>
        </is>
      </c>
      <c r="AY806" t="inlineStr">
        <is>
          <t>991003280329702656</t>
        </is>
      </c>
      <c r="AZ806" t="inlineStr">
        <is>
          <t>991003280329702656</t>
        </is>
      </c>
      <c r="BA806" t="inlineStr">
        <is>
          <t>2270532100002656</t>
        </is>
      </c>
      <c r="BB806" t="inlineStr">
        <is>
          <t>BOOK</t>
        </is>
      </c>
      <c r="BD806" t="inlineStr">
        <is>
          <t>9780810104211</t>
        </is>
      </c>
      <c r="BE806" t="inlineStr">
        <is>
          <t>32285000697374</t>
        </is>
      </c>
      <c r="BF806" t="inlineStr">
        <is>
          <t>893258256</t>
        </is>
      </c>
    </row>
    <row r="807">
      <c r="A807" t="inlineStr">
        <is>
          <t>No</t>
        </is>
      </c>
      <c r="B807" t="inlineStr">
        <is>
          <t>CURAL</t>
        </is>
      </c>
      <c r="C807" t="inlineStr">
        <is>
          <t>SHELVES</t>
        </is>
      </c>
      <c r="D807" t="inlineStr">
        <is>
          <t>PR2982 .S62 1982</t>
        </is>
      </c>
      <c r="E807" t="inlineStr">
        <is>
          <t>0                      PR 2982000S  62          1982</t>
        </is>
      </c>
      <c r="F807" t="inlineStr">
        <is>
          <t>Unconformities in Shakespeare's history plays / Kristian Smidt.</t>
        </is>
      </c>
      <c r="H807" t="inlineStr">
        <is>
          <t>No</t>
        </is>
      </c>
      <c r="I807" t="inlineStr">
        <is>
          <t>1</t>
        </is>
      </c>
      <c r="J807" t="inlineStr">
        <is>
          <t>No</t>
        </is>
      </c>
      <c r="K807" t="inlineStr">
        <is>
          <t>No</t>
        </is>
      </c>
      <c r="L807" t="inlineStr">
        <is>
          <t>0</t>
        </is>
      </c>
      <c r="M807" t="inlineStr">
        <is>
          <t>Smidt, Kristian.</t>
        </is>
      </c>
      <c r="N807" t="inlineStr">
        <is>
          <t>Atlantic Highlands, N.J. : Humanities Press, 1982.</t>
        </is>
      </c>
      <c r="O807" t="inlineStr">
        <is>
          <t>1982</t>
        </is>
      </c>
      <c r="Q807" t="inlineStr">
        <is>
          <t>eng</t>
        </is>
      </c>
      <c r="R807" t="inlineStr">
        <is>
          <t>nju</t>
        </is>
      </c>
      <c r="T807" t="inlineStr">
        <is>
          <t xml:space="preserve">PR </t>
        </is>
      </c>
      <c r="U807" t="n">
        <v>5</v>
      </c>
      <c r="V807" t="n">
        <v>5</v>
      </c>
      <c r="W807" t="inlineStr">
        <is>
          <t>1999-11-20</t>
        </is>
      </c>
      <c r="X807" t="inlineStr">
        <is>
          <t>1999-11-20</t>
        </is>
      </c>
      <c r="Y807" t="inlineStr">
        <is>
          <t>1991-08-22</t>
        </is>
      </c>
      <c r="Z807" t="inlineStr">
        <is>
          <t>1991-08-22</t>
        </is>
      </c>
      <c r="AA807" t="n">
        <v>238</v>
      </c>
      <c r="AB807" t="n">
        <v>209</v>
      </c>
      <c r="AC807" t="n">
        <v>273</v>
      </c>
      <c r="AD807" t="n">
        <v>3</v>
      </c>
      <c r="AE807" t="n">
        <v>4</v>
      </c>
      <c r="AF807" t="n">
        <v>14</v>
      </c>
      <c r="AG807" t="n">
        <v>16</v>
      </c>
      <c r="AH807" t="n">
        <v>2</v>
      </c>
      <c r="AI807" t="n">
        <v>3</v>
      </c>
      <c r="AJ807" t="n">
        <v>4</v>
      </c>
      <c r="AK807" t="n">
        <v>4</v>
      </c>
      <c r="AL807" t="n">
        <v>9</v>
      </c>
      <c r="AM807" t="n">
        <v>10</v>
      </c>
      <c r="AN807" t="n">
        <v>2</v>
      </c>
      <c r="AO807" t="n">
        <v>3</v>
      </c>
      <c r="AP807" t="n">
        <v>0</v>
      </c>
      <c r="AQ807" t="n">
        <v>0</v>
      </c>
      <c r="AR807" t="inlineStr">
        <is>
          <t>No</t>
        </is>
      </c>
      <c r="AS807" t="inlineStr">
        <is>
          <t>No</t>
        </is>
      </c>
      <c r="AU807">
        <f>HYPERLINK("https://creighton-primo.hosted.exlibrisgroup.com/primo-explore/search?tab=default_tab&amp;search_scope=EVERYTHING&amp;vid=01CRU&amp;lang=en_US&amp;offset=0&amp;query=any,contains,991000081809702656","Catalog Record")</f>
        <v/>
      </c>
      <c r="AV807">
        <f>HYPERLINK("http://www.worldcat.org/oclc/8842888","WorldCat Record")</f>
        <v/>
      </c>
      <c r="AW807" t="inlineStr">
        <is>
          <t>43169123:eng</t>
        </is>
      </c>
      <c r="AX807" t="inlineStr">
        <is>
          <t>8842888</t>
        </is>
      </c>
      <c r="AY807" t="inlineStr">
        <is>
          <t>991000081809702656</t>
        </is>
      </c>
      <c r="AZ807" t="inlineStr">
        <is>
          <t>991000081809702656</t>
        </is>
      </c>
      <c r="BA807" t="inlineStr">
        <is>
          <t>2258057420002656</t>
        </is>
      </c>
      <c r="BB807" t="inlineStr">
        <is>
          <t>BOOK</t>
        </is>
      </c>
      <c r="BD807" t="inlineStr">
        <is>
          <t>9780391025561</t>
        </is>
      </c>
      <c r="BE807" t="inlineStr">
        <is>
          <t>32285000697408</t>
        </is>
      </c>
      <c r="BF807" t="inlineStr">
        <is>
          <t>893620152</t>
        </is>
      </c>
    </row>
    <row r="808">
      <c r="A808" t="inlineStr">
        <is>
          <t>No</t>
        </is>
      </c>
      <c r="B808" t="inlineStr">
        <is>
          <t>CURAL</t>
        </is>
      </c>
      <c r="C808" t="inlineStr">
        <is>
          <t>SHELVES</t>
        </is>
      </c>
      <c r="D808" t="inlineStr">
        <is>
          <t>PR2982 .T7</t>
        </is>
      </c>
      <c r="E808" t="inlineStr">
        <is>
          <t>0                      PR 2982000T  7</t>
        </is>
      </c>
      <c r="F808" t="inlineStr">
        <is>
          <t>Shakespeare, from Richard II to Henry V.</t>
        </is>
      </c>
      <c r="H808" t="inlineStr">
        <is>
          <t>No</t>
        </is>
      </c>
      <c r="I808" t="inlineStr">
        <is>
          <t>1</t>
        </is>
      </c>
      <c r="J808" t="inlineStr">
        <is>
          <t>No</t>
        </is>
      </c>
      <c r="K808" t="inlineStr">
        <is>
          <t>No</t>
        </is>
      </c>
      <c r="L808" t="inlineStr">
        <is>
          <t>0</t>
        </is>
      </c>
      <c r="M808" t="inlineStr">
        <is>
          <t>Traversi, Derek, 1912-2005.</t>
        </is>
      </c>
      <c r="N808" t="inlineStr">
        <is>
          <t>Stanford, Calif. : Stanford University Press, 1957.</t>
        </is>
      </c>
      <c r="O808" t="inlineStr">
        <is>
          <t>1957</t>
        </is>
      </c>
      <c r="Q808" t="inlineStr">
        <is>
          <t>eng</t>
        </is>
      </c>
      <c r="R808" t="inlineStr">
        <is>
          <t>cau</t>
        </is>
      </c>
      <c r="T808" t="inlineStr">
        <is>
          <t xml:space="preserve">PR </t>
        </is>
      </c>
      <c r="U808" t="n">
        <v>2</v>
      </c>
      <c r="V808" t="n">
        <v>2</v>
      </c>
      <c r="W808" t="inlineStr">
        <is>
          <t>1992-03-15</t>
        </is>
      </c>
      <c r="X808" t="inlineStr">
        <is>
          <t>1992-03-15</t>
        </is>
      </c>
      <c r="Y808" t="inlineStr">
        <is>
          <t>1991-08-27</t>
        </is>
      </c>
      <c r="Z808" t="inlineStr">
        <is>
          <t>1991-08-27</t>
        </is>
      </c>
      <c r="AA808" t="n">
        <v>910</v>
      </c>
      <c r="AB808" t="n">
        <v>831</v>
      </c>
      <c r="AC808" t="n">
        <v>872</v>
      </c>
      <c r="AD808" t="n">
        <v>6</v>
      </c>
      <c r="AE808" t="n">
        <v>6</v>
      </c>
      <c r="AF808" t="n">
        <v>36</v>
      </c>
      <c r="AG808" t="n">
        <v>39</v>
      </c>
      <c r="AH808" t="n">
        <v>13</v>
      </c>
      <c r="AI808" t="n">
        <v>16</v>
      </c>
      <c r="AJ808" t="n">
        <v>8</v>
      </c>
      <c r="AK808" t="n">
        <v>8</v>
      </c>
      <c r="AL808" t="n">
        <v>17</v>
      </c>
      <c r="AM808" t="n">
        <v>19</v>
      </c>
      <c r="AN808" t="n">
        <v>5</v>
      </c>
      <c r="AO808" t="n">
        <v>5</v>
      </c>
      <c r="AP808" t="n">
        <v>0</v>
      </c>
      <c r="AQ808" t="n">
        <v>0</v>
      </c>
      <c r="AR808" t="inlineStr">
        <is>
          <t>No</t>
        </is>
      </c>
      <c r="AS808" t="inlineStr">
        <is>
          <t>No</t>
        </is>
      </c>
      <c r="AU808">
        <f>HYPERLINK("https://creighton-primo.hosted.exlibrisgroup.com/primo-explore/search?tab=default_tab&amp;search_scope=EVERYTHING&amp;vid=01CRU&amp;lang=en_US&amp;offset=0&amp;query=any,contains,991003307999702656","Catalog Record")</f>
        <v/>
      </c>
      <c r="AV808">
        <f>HYPERLINK("http://www.worldcat.org/oclc/318974","WorldCat Record")</f>
        <v/>
      </c>
      <c r="AW808" t="inlineStr">
        <is>
          <t>119859851:eng</t>
        </is>
      </c>
      <c r="AX808" t="inlineStr">
        <is>
          <t>318974</t>
        </is>
      </c>
      <c r="AY808" t="inlineStr">
        <is>
          <t>991003307999702656</t>
        </is>
      </c>
      <c r="AZ808" t="inlineStr">
        <is>
          <t>991003307999702656</t>
        </is>
      </c>
      <c r="BA808" t="inlineStr">
        <is>
          <t>2271841120002656</t>
        </is>
      </c>
      <c r="BB808" t="inlineStr">
        <is>
          <t>BOOK</t>
        </is>
      </c>
      <c r="BE808" t="inlineStr">
        <is>
          <t>32285000697424</t>
        </is>
      </c>
      <c r="BF808" t="inlineStr">
        <is>
          <t>893598464</t>
        </is>
      </c>
    </row>
    <row r="809">
      <c r="A809" t="inlineStr">
        <is>
          <t>No</t>
        </is>
      </c>
      <c r="B809" t="inlineStr">
        <is>
          <t>CURAL</t>
        </is>
      </c>
      <c r="C809" t="inlineStr">
        <is>
          <t>SHELVES</t>
        </is>
      </c>
      <c r="D809" t="inlineStr">
        <is>
          <t>PR2982 .T72</t>
        </is>
      </c>
      <c r="E809" t="inlineStr">
        <is>
          <t>0                      PR 2982000T  72</t>
        </is>
      </c>
      <c r="F809" t="inlineStr">
        <is>
          <t>Shakespeare, the Roman plays.</t>
        </is>
      </c>
      <c r="H809" t="inlineStr">
        <is>
          <t>No</t>
        </is>
      </c>
      <c r="I809" t="inlineStr">
        <is>
          <t>1</t>
        </is>
      </c>
      <c r="J809" t="inlineStr">
        <is>
          <t>No</t>
        </is>
      </c>
      <c r="K809" t="inlineStr">
        <is>
          <t>No</t>
        </is>
      </c>
      <c r="L809" t="inlineStr">
        <is>
          <t>0</t>
        </is>
      </c>
      <c r="M809" t="inlineStr">
        <is>
          <t>Traversi, Derek, 1912-2005.</t>
        </is>
      </c>
      <c r="N809" t="inlineStr">
        <is>
          <t>Stanford, Calif. : Stanford University Press, [1963]</t>
        </is>
      </c>
      <c r="O809" t="inlineStr">
        <is>
          <t>1963</t>
        </is>
      </c>
      <c r="Q809" t="inlineStr">
        <is>
          <t>eng</t>
        </is>
      </c>
      <c r="R809" t="inlineStr">
        <is>
          <t>cau</t>
        </is>
      </c>
      <c r="T809" t="inlineStr">
        <is>
          <t xml:space="preserve">PR </t>
        </is>
      </c>
      <c r="U809" t="n">
        <v>2</v>
      </c>
      <c r="V809" t="n">
        <v>2</v>
      </c>
      <c r="W809" t="inlineStr">
        <is>
          <t>1992-04-18</t>
        </is>
      </c>
      <c r="X809" t="inlineStr">
        <is>
          <t>1992-04-18</t>
        </is>
      </c>
      <c r="Y809" t="inlineStr">
        <is>
          <t>1991-08-27</t>
        </is>
      </c>
      <c r="Z809" t="inlineStr">
        <is>
          <t>1991-08-27</t>
        </is>
      </c>
      <c r="AA809" t="n">
        <v>812</v>
      </c>
      <c r="AB809" t="n">
        <v>758</v>
      </c>
      <c r="AC809" t="n">
        <v>821</v>
      </c>
      <c r="AD809" t="n">
        <v>7</v>
      </c>
      <c r="AE809" t="n">
        <v>7</v>
      </c>
      <c r="AF809" t="n">
        <v>36</v>
      </c>
      <c r="AG809" t="n">
        <v>39</v>
      </c>
      <c r="AH809" t="n">
        <v>16</v>
      </c>
      <c r="AI809" t="n">
        <v>16</v>
      </c>
      <c r="AJ809" t="n">
        <v>6</v>
      </c>
      <c r="AK809" t="n">
        <v>7</v>
      </c>
      <c r="AL809" t="n">
        <v>19</v>
      </c>
      <c r="AM809" t="n">
        <v>22</v>
      </c>
      <c r="AN809" t="n">
        <v>6</v>
      </c>
      <c r="AO809" t="n">
        <v>6</v>
      </c>
      <c r="AP809" t="n">
        <v>0</v>
      </c>
      <c r="AQ809" t="n">
        <v>0</v>
      </c>
      <c r="AR809" t="inlineStr">
        <is>
          <t>Yes</t>
        </is>
      </c>
      <c r="AS809" t="inlineStr">
        <is>
          <t>No</t>
        </is>
      </c>
      <c r="AT809">
        <f>HYPERLINK("http://catalog.hathitrust.org/Record/001112219","HathiTrust Record")</f>
        <v/>
      </c>
      <c r="AU809">
        <f>HYPERLINK("https://creighton-primo.hosted.exlibrisgroup.com/primo-explore/search?tab=default_tab&amp;search_scope=EVERYTHING&amp;vid=01CRU&amp;lang=en_US&amp;offset=0&amp;query=any,contains,991002454039702656","Catalog Record")</f>
        <v/>
      </c>
      <c r="AV809">
        <f>HYPERLINK("http://www.worldcat.org/oclc/41574242","WorldCat Record")</f>
        <v/>
      </c>
      <c r="AW809" t="inlineStr">
        <is>
          <t>3943446075:eng</t>
        </is>
      </c>
      <c r="AX809" t="inlineStr">
        <is>
          <t>41574242</t>
        </is>
      </c>
      <c r="AY809" t="inlineStr">
        <is>
          <t>991002454039702656</t>
        </is>
      </c>
      <c r="AZ809" t="inlineStr">
        <is>
          <t>991002454039702656</t>
        </is>
      </c>
      <c r="BA809" t="inlineStr">
        <is>
          <t>2267799610002656</t>
        </is>
      </c>
      <c r="BB809" t="inlineStr">
        <is>
          <t>BOOK</t>
        </is>
      </c>
      <c r="BE809" t="inlineStr">
        <is>
          <t>32285000697432</t>
        </is>
      </c>
      <c r="BF809" t="inlineStr">
        <is>
          <t>893792492</t>
        </is>
      </c>
    </row>
    <row r="810">
      <c r="A810" t="inlineStr">
        <is>
          <t>No</t>
        </is>
      </c>
      <c r="B810" t="inlineStr">
        <is>
          <t>CURAL</t>
        </is>
      </c>
      <c r="C810" t="inlineStr">
        <is>
          <t>SHELVES</t>
        </is>
      </c>
      <c r="D810" t="inlineStr">
        <is>
          <t>PR2982 .W47 1978b</t>
        </is>
      </c>
      <c r="E810" t="inlineStr">
        <is>
          <t>0                      PR 2982000W  47          1978b</t>
        </is>
      </c>
      <c r="F810" t="inlineStr">
        <is>
          <t>The lost garden : a view of Shakespeare's English and Roman history plays / John Wilders.</t>
        </is>
      </c>
      <c r="H810" t="inlineStr">
        <is>
          <t>No</t>
        </is>
      </c>
      <c r="I810" t="inlineStr">
        <is>
          <t>1</t>
        </is>
      </c>
      <c r="J810" t="inlineStr">
        <is>
          <t>No</t>
        </is>
      </c>
      <c r="K810" t="inlineStr">
        <is>
          <t>No</t>
        </is>
      </c>
      <c r="L810" t="inlineStr">
        <is>
          <t>0</t>
        </is>
      </c>
      <c r="M810" t="inlineStr">
        <is>
          <t>Wilders, John.</t>
        </is>
      </c>
      <c r="N810" t="inlineStr">
        <is>
          <t>Totowa, N.J. : Rowman and Littlefield, 1978.</t>
        </is>
      </c>
      <c r="O810" t="inlineStr">
        <is>
          <t>1978</t>
        </is>
      </c>
      <c r="Q810" t="inlineStr">
        <is>
          <t>eng</t>
        </is>
      </c>
      <c r="R810" t="inlineStr">
        <is>
          <t>nju</t>
        </is>
      </c>
      <c r="T810" t="inlineStr">
        <is>
          <t xml:space="preserve">PR </t>
        </is>
      </c>
      <c r="U810" t="n">
        <v>2</v>
      </c>
      <c r="V810" t="n">
        <v>2</v>
      </c>
      <c r="W810" t="inlineStr">
        <is>
          <t>1994-11-12</t>
        </is>
      </c>
      <c r="X810" t="inlineStr">
        <is>
          <t>1994-11-12</t>
        </is>
      </c>
      <c r="Y810" t="inlineStr">
        <is>
          <t>1991-08-22</t>
        </is>
      </c>
      <c r="Z810" t="inlineStr">
        <is>
          <t>1991-08-22</t>
        </is>
      </c>
      <c r="AA810" t="n">
        <v>418</v>
      </c>
      <c r="AB810" t="n">
        <v>383</v>
      </c>
      <c r="AC810" t="n">
        <v>459</v>
      </c>
      <c r="AD810" t="n">
        <v>1</v>
      </c>
      <c r="AE810" t="n">
        <v>3</v>
      </c>
      <c r="AF810" t="n">
        <v>24</v>
      </c>
      <c r="AG810" t="n">
        <v>27</v>
      </c>
      <c r="AH810" t="n">
        <v>12</v>
      </c>
      <c r="AI810" t="n">
        <v>12</v>
      </c>
      <c r="AJ810" t="n">
        <v>7</v>
      </c>
      <c r="AK810" t="n">
        <v>7</v>
      </c>
      <c r="AL810" t="n">
        <v>12</v>
      </c>
      <c r="AM810" t="n">
        <v>13</v>
      </c>
      <c r="AN810" t="n">
        <v>0</v>
      </c>
      <c r="AO810" t="n">
        <v>2</v>
      </c>
      <c r="AP810" t="n">
        <v>0</v>
      </c>
      <c r="AQ810" t="n">
        <v>0</v>
      </c>
      <c r="AR810" t="inlineStr">
        <is>
          <t>No</t>
        </is>
      </c>
      <c r="AS810" t="inlineStr">
        <is>
          <t>No</t>
        </is>
      </c>
      <c r="AU810">
        <f>HYPERLINK("https://creighton-primo.hosted.exlibrisgroup.com/primo-explore/search?tab=default_tab&amp;search_scope=EVERYTHING&amp;vid=01CRU&amp;lang=en_US&amp;offset=0&amp;query=any,contains,991004561789702656","Catalog Record")</f>
        <v/>
      </c>
      <c r="AV810">
        <f>HYPERLINK("http://www.worldcat.org/oclc/4003470","WorldCat Record")</f>
        <v/>
      </c>
      <c r="AW810" t="inlineStr">
        <is>
          <t>507984:eng</t>
        </is>
      </c>
      <c r="AX810" t="inlineStr">
        <is>
          <t>4003470</t>
        </is>
      </c>
      <c r="AY810" t="inlineStr">
        <is>
          <t>991004561789702656</t>
        </is>
      </c>
      <c r="AZ810" t="inlineStr">
        <is>
          <t>991004561789702656</t>
        </is>
      </c>
      <c r="BA810" t="inlineStr">
        <is>
          <t>2267664860002656</t>
        </is>
      </c>
      <c r="BB810" t="inlineStr">
        <is>
          <t>BOOK</t>
        </is>
      </c>
      <c r="BD810" t="inlineStr">
        <is>
          <t>9780847660995</t>
        </is>
      </c>
      <c r="BE810" t="inlineStr">
        <is>
          <t>32285000697440</t>
        </is>
      </c>
      <c r="BF810" t="inlineStr">
        <is>
          <t>893801100</t>
        </is>
      </c>
    </row>
    <row r="811">
      <c r="A811" t="inlineStr">
        <is>
          <t>No</t>
        </is>
      </c>
      <c r="B811" t="inlineStr">
        <is>
          <t>CURAL</t>
        </is>
      </c>
      <c r="C811" t="inlineStr">
        <is>
          <t>SHELVES</t>
        </is>
      </c>
      <c r="D811" t="inlineStr">
        <is>
          <t>PR2983 .B3 1969</t>
        </is>
      </c>
      <c r="E811" t="inlineStr">
        <is>
          <t>0                      PR 2983000B  3           1969</t>
        </is>
      </c>
      <c r="F811" t="inlineStr">
        <is>
          <t>Shakespearean tragedy : its art and its Christian premises / [by] Roy W. Battenhouse.</t>
        </is>
      </c>
      <c r="H811" t="inlineStr">
        <is>
          <t>No</t>
        </is>
      </c>
      <c r="I811" t="inlineStr">
        <is>
          <t>1</t>
        </is>
      </c>
      <c r="J811" t="inlineStr">
        <is>
          <t>No</t>
        </is>
      </c>
      <c r="K811" t="inlineStr">
        <is>
          <t>No</t>
        </is>
      </c>
      <c r="L811" t="inlineStr">
        <is>
          <t>0</t>
        </is>
      </c>
      <c r="M811" t="inlineStr">
        <is>
          <t>Battenhouse, Roy W. (Roy Wesley), 1912-1996.</t>
        </is>
      </c>
      <c r="N811" t="inlineStr">
        <is>
          <t>Bloomington : Indiana University Press, [1969]</t>
        </is>
      </c>
      <c r="O811" t="inlineStr">
        <is>
          <t>1969</t>
        </is>
      </c>
      <c r="Q811" t="inlineStr">
        <is>
          <t>eng</t>
        </is>
      </c>
      <c r="R811" t="inlineStr">
        <is>
          <t>inu</t>
        </is>
      </c>
      <c r="T811" t="inlineStr">
        <is>
          <t xml:space="preserve">PR </t>
        </is>
      </c>
      <c r="U811" t="n">
        <v>4</v>
      </c>
      <c r="V811" t="n">
        <v>4</v>
      </c>
      <c r="W811" t="inlineStr">
        <is>
          <t>2000-04-20</t>
        </is>
      </c>
      <c r="X811" t="inlineStr">
        <is>
          <t>2000-04-20</t>
        </is>
      </c>
      <c r="Y811" t="inlineStr">
        <is>
          <t>1990-12-28</t>
        </is>
      </c>
      <c r="Z811" t="inlineStr">
        <is>
          <t>1990-12-28</t>
        </is>
      </c>
      <c r="AA811" t="n">
        <v>1023</v>
      </c>
      <c r="AB811" t="n">
        <v>901</v>
      </c>
      <c r="AC811" t="n">
        <v>928</v>
      </c>
      <c r="AD811" t="n">
        <v>9</v>
      </c>
      <c r="AE811" t="n">
        <v>9</v>
      </c>
      <c r="AF811" t="n">
        <v>45</v>
      </c>
      <c r="AG811" t="n">
        <v>47</v>
      </c>
      <c r="AH811" t="n">
        <v>17</v>
      </c>
      <c r="AI811" t="n">
        <v>19</v>
      </c>
      <c r="AJ811" t="n">
        <v>8</v>
      </c>
      <c r="AK811" t="n">
        <v>8</v>
      </c>
      <c r="AL811" t="n">
        <v>22</v>
      </c>
      <c r="AM811" t="n">
        <v>22</v>
      </c>
      <c r="AN811" t="n">
        <v>8</v>
      </c>
      <c r="AO811" t="n">
        <v>8</v>
      </c>
      <c r="AP811" t="n">
        <v>0</v>
      </c>
      <c r="AQ811" t="n">
        <v>0</v>
      </c>
      <c r="AR811" t="inlineStr">
        <is>
          <t>No</t>
        </is>
      </c>
      <c r="AS811" t="inlineStr">
        <is>
          <t>Yes</t>
        </is>
      </c>
      <c r="AT811">
        <f>HYPERLINK("http://catalog.hathitrust.org/Record/001112221","HathiTrust Record")</f>
        <v/>
      </c>
      <c r="AU811">
        <f>HYPERLINK("https://creighton-primo.hosted.exlibrisgroup.com/primo-explore/search?tab=default_tab&amp;search_scope=EVERYTHING&amp;vid=01CRU&amp;lang=en_US&amp;offset=0&amp;query=any,contains,991000004079702656","Catalog Record")</f>
        <v/>
      </c>
      <c r="AV811">
        <f>HYPERLINK("http://www.worldcat.org/oclc/12455","WorldCat Record")</f>
        <v/>
      </c>
      <c r="AW811" t="inlineStr">
        <is>
          <t>196920252:eng</t>
        </is>
      </c>
      <c r="AX811" t="inlineStr">
        <is>
          <t>12455</t>
        </is>
      </c>
      <c r="AY811" t="inlineStr">
        <is>
          <t>991000004079702656</t>
        </is>
      </c>
      <c r="AZ811" t="inlineStr">
        <is>
          <t>991000004079702656</t>
        </is>
      </c>
      <c r="BA811" t="inlineStr">
        <is>
          <t>2265039630002656</t>
        </is>
      </c>
      <c r="BB811" t="inlineStr">
        <is>
          <t>BOOK</t>
        </is>
      </c>
      <c r="BE811" t="inlineStr">
        <is>
          <t>32285000426451</t>
        </is>
      </c>
      <c r="BF811" t="inlineStr">
        <is>
          <t>893796322</t>
        </is>
      </c>
    </row>
    <row r="812">
      <c r="A812" t="inlineStr">
        <is>
          <t>No</t>
        </is>
      </c>
      <c r="B812" t="inlineStr">
        <is>
          <t>CURAL</t>
        </is>
      </c>
      <c r="C812" t="inlineStr">
        <is>
          <t>SHELVES</t>
        </is>
      </c>
      <c r="D812" t="inlineStr">
        <is>
          <t>PR2983 .B7 1905</t>
        </is>
      </c>
      <c r="E812" t="inlineStr">
        <is>
          <t>0                      PR 2983000B  7           1905</t>
        </is>
      </c>
      <c r="F812" t="inlineStr">
        <is>
          <t>Shakespearean tragedy : lectures on Hamlet, Othello, King Lear, Macbeth / by A. C. Bradley.</t>
        </is>
      </c>
      <c r="H812" t="inlineStr">
        <is>
          <t>No</t>
        </is>
      </c>
      <c r="I812" t="inlineStr">
        <is>
          <t>1</t>
        </is>
      </c>
      <c r="J812" t="inlineStr">
        <is>
          <t>No</t>
        </is>
      </c>
      <c r="K812" t="inlineStr">
        <is>
          <t>Yes</t>
        </is>
      </c>
      <c r="L812" t="inlineStr">
        <is>
          <t>0</t>
        </is>
      </c>
      <c r="M812" t="inlineStr">
        <is>
          <t>Bradley, A. C. (Andrew Cecil), 1851-1935.</t>
        </is>
      </c>
      <c r="N812" t="inlineStr">
        <is>
          <t>London : Macmillan, [1905]</t>
        </is>
      </c>
      <c r="O812" t="inlineStr">
        <is>
          <t>1905</t>
        </is>
      </c>
      <c r="P812" t="inlineStr">
        <is>
          <t>[2d ed.]</t>
        </is>
      </c>
      <c r="Q812" t="inlineStr">
        <is>
          <t>eng</t>
        </is>
      </c>
      <c r="R812" t="inlineStr">
        <is>
          <t xml:space="preserve">xx </t>
        </is>
      </c>
      <c r="T812" t="inlineStr">
        <is>
          <t xml:space="preserve">PR </t>
        </is>
      </c>
      <c r="U812" t="n">
        <v>11</v>
      </c>
      <c r="V812" t="n">
        <v>11</v>
      </c>
      <c r="W812" t="inlineStr">
        <is>
          <t>2009-11-22</t>
        </is>
      </c>
      <c r="X812" t="inlineStr">
        <is>
          <t>2009-11-22</t>
        </is>
      </c>
      <c r="Y812" t="inlineStr">
        <is>
          <t>1991-08-02</t>
        </is>
      </c>
      <c r="Z812" t="inlineStr">
        <is>
          <t>1991-08-02</t>
        </is>
      </c>
      <c r="AA812" t="n">
        <v>567</v>
      </c>
      <c r="AB812" t="n">
        <v>418</v>
      </c>
      <c r="AC812" t="n">
        <v>1895</v>
      </c>
      <c r="AD812" t="n">
        <v>6</v>
      </c>
      <c r="AE812" t="n">
        <v>17</v>
      </c>
      <c r="AF812" t="n">
        <v>19</v>
      </c>
      <c r="AG812" t="n">
        <v>64</v>
      </c>
      <c r="AH812" t="n">
        <v>8</v>
      </c>
      <c r="AI812" t="n">
        <v>28</v>
      </c>
      <c r="AJ812" t="n">
        <v>5</v>
      </c>
      <c r="AK812" t="n">
        <v>9</v>
      </c>
      <c r="AL812" t="n">
        <v>9</v>
      </c>
      <c r="AM812" t="n">
        <v>25</v>
      </c>
      <c r="AN812" t="n">
        <v>4</v>
      </c>
      <c r="AO812" t="n">
        <v>15</v>
      </c>
      <c r="AP812" t="n">
        <v>0</v>
      </c>
      <c r="AQ812" t="n">
        <v>0</v>
      </c>
      <c r="AR812" t="inlineStr">
        <is>
          <t>Yes</t>
        </is>
      </c>
      <c r="AS812" t="inlineStr">
        <is>
          <t>No</t>
        </is>
      </c>
      <c r="AT812">
        <f>HYPERLINK("http://catalog.hathitrust.org/Record/100762357","HathiTrust Record")</f>
        <v/>
      </c>
      <c r="AU812">
        <f>HYPERLINK("https://creighton-primo.hosted.exlibrisgroup.com/primo-explore/search?tab=default_tab&amp;search_scope=EVERYTHING&amp;vid=01CRU&amp;lang=en_US&amp;offset=0&amp;query=any,contains,991003389959702656","Catalog Record")</f>
        <v/>
      </c>
      <c r="AV812">
        <f>HYPERLINK("http://www.worldcat.org/oclc/643517","WorldCat Record")</f>
        <v/>
      </c>
      <c r="AW812" t="inlineStr">
        <is>
          <t>912818:eng</t>
        </is>
      </c>
      <c r="AX812" t="inlineStr">
        <is>
          <t>643517</t>
        </is>
      </c>
      <c r="AY812" t="inlineStr">
        <is>
          <t>991003389959702656</t>
        </is>
      </c>
      <c r="AZ812" t="inlineStr">
        <is>
          <t>991003389959702656</t>
        </is>
      </c>
      <c r="BA812" t="inlineStr">
        <is>
          <t>2266765240002656</t>
        </is>
      </c>
      <c r="BB812" t="inlineStr">
        <is>
          <t>BOOK</t>
        </is>
      </c>
      <c r="BE812" t="inlineStr">
        <is>
          <t>32285000680719</t>
        </is>
      </c>
      <c r="BF812" t="inlineStr">
        <is>
          <t>893240169</t>
        </is>
      </c>
    </row>
    <row r="813">
      <c r="A813" t="inlineStr">
        <is>
          <t>No</t>
        </is>
      </c>
      <c r="B813" t="inlineStr">
        <is>
          <t>CURAL</t>
        </is>
      </c>
      <c r="C813" t="inlineStr">
        <is>
          <t>SHELVES</t>
        </is>
      </c>
      <c r="D813" t="inlineStr">
        <is>
          <t>PR2983 .C3 1952</t>
        </is>
      </c>
      <c r="E813" t="inlineStr">
        <is>
          <t>0                      PR 2983000C  3           1952</t>
        </is>
      </c>
      <c r="F813" t="inlineStr">
        <is>
          <t>Shakespeare's tragic heroes, slaves of passion / with appendices on Bradley's interpretation of Shakespearean tragedy.</t>
        </is>
      </c>
      <c r="H813" t="inlineStr">
        <is>
          <t>No</t>
        </is>
      </c>
      <c r="I813" t="inlineStr">
        <is>
          <t>1</t>
        </is>
      </c>
      <c r="J813" t="inlineStr">
        <is>
          <t>No</t>
        </is>
      </c>
      <c r="K813" t="inlineStr">
        <is>
          <t>No</t>
        </is>
      </c>
      <c r="L813" t="inlineStr">
        <is>
          <t>0</t>
        </is>
      </c>
      <c r="M813" t="inlineStr">
        <is>
          <t>Campbell, Lily Bess, 1883-1967.</t>
        </is>
      </c>
      <c r="N813" t="inlineStr">
        <is>
          <t>New York : Barnes &amp; Noble, [1952]</t>
        </is>
      </c>
      <c r="O813" t="inlineStr">
        <is>
          <t>1952</t>
        </is>
      </c>
      <c r="Q813" t="inlineStr">
        <is>
          <t>eng</t>
        </is>
      </c>
      <c r="R813" t="inlineStr">
        <is>
          <t>nyu</t>
        </is>
      </c>
      <c r="T813" t="inlineStr">
        <is>
          <t xml:space="preserve">PR </t>
        </is>
      </c>
      <c r="U813" t="n">
        <v>5</v>
      </c>
      <c r="V813" t="n">
        <v>5</v>
      </c>
      <c r="W813" t="inlineStr">
        <is>
          <t>2003-12-09</t>
        </is>
      </c>
      <c r="X813" t="inlineStr">
        <is>
          <t>2003-12-09</t>
        </is>
      </c>
      <c r="Y813" t="inlineStr">
        <is>
          <t>1991-02-28</t>
        </is>
      </c>
      <c r="Z813" t="inlineStr">
        <is>
          <t>1991-02-28</t>
        </is>
      </c>
      <c r="AA813" t="n">
        <v>579</v>
      </c>
      <c r="AB813" t="n">
        <v>532</v>
      </c>
      <c r="AC813" t="n">
        <v>1027</v>
      </c>
      <c r="AD813" t="n">
        <v>4</v>
      </c>
      <c r="AE813" t="n">
        <v>5</v>
      </c>
      <c r="AF813" t="n">
        <v>25</v>
      </c>
      <c r="AG813" t="n">
        <v>47</v>
      </c>
      <c r="AH813" t="n">
        <v>10</v>
      </c>
      <c r="AI813" t="n">
        <v>23</v>
      </c>
      <c r="AJ813" t="n">
        <v>4</v>
      </c>
      <c r="AK813" t="n">
        <v>8</v>
      </c>
      <c r="AL813" t="n">
        <v>14</v>
      </c>
      <c r="AM813" t="n">
        <v>24</v>
      </c>
      <c r="AN813" t="n">
        <v>3</v>
      </c>
      <c r="AO813" t="n">
        <v>4</v>
      </c>
      <c r="AP813" t="n">
        <v>0</v>
      </c>
      <c r="AQ813" t="n">
        <v>0</v>
      </c>
      <c r="AR813" t="inlineStr">
        <is>
          <t>No</t>
        </is>
      </c>
      <c r="AS813" t="inlineStr">
        <is>
          <t>Yes</t>
        </is>
      </c>
      <c r="AT813">
        <f>HYPERLINK("http://catalog.hathitrust.org/Record/006058414","HathiTrust Record")</f>
        <v/>
      </c>
      <c r="AU813">
        <f>HYPERLINK("https://creighton-primo.hosted.exlibrisgroup.com/primo-explore/search?tab=default_tab&amp;search_scope=EVERYTHING&amp;vid=01CRU&amp;lang=en_US&amp;offset=0&amp;query=any,contains,991003837879702656","Catalog Record")</f>
        <v/>
      </c>
      <c r="AV813">
        <f>HYPERLINK("http://www.worldcat.org/oclc/1609387","WorldCat Record")</f>
        <v/>
      </c>
      <c r="AW813" t="inlineStr">
        <is>
          <t>8881105515:eng</t>
        </is>
      </c>
      <c r="AX813" t="inlineStr">
        <is>
          <t>1609387</t>
        </is>
      </c>
      <c r="AY813" t="inlineStr">
        <is>
          <t>991003837879702656</t>
        </is>
      </c>
      <c r="AZ813" t="inlineStr">
        <is>
          <t>991003837879702656</t>
        </is>
      </c>
      <c r="BA813" t="inlineStr">
        <is>
          <t>2263737080002656</t>
        </is>
      </c>
      <c r="BB813" t="inlineStr">
        <is>
          <t>BOOK</t>
        </is>
      </c>
      <c r="BE813" t="inlineStr">
        <is>
          <t>32285000494939</t>
        </is>
      </c>
      <c r="BF813" t="inlineStr">
        <is>
          <t>893252841</t>
        </is>
      </c>
    </row>
    <row r="814">
      <c r="A814" t="inlineStr">
        <is>
          <t>No</t>
        </is>
      </c>
      <c r="B814" t="inlineStr">
        <is>
          <t>CURAL</t>
        </is>
      </c>
      <c r="C814" t="inlineStr">
        <is>
          <t>SHELVES</t>
        </is>
      </c>
      <c r="D814" t="inlineStr">
        <is>
          <t>PR2983 .C33</t>
        </is>
      </c>
      <c r="E814" t="inlineStr">
        <is>
          <t>0                      PR 2983000C  33</t>
        </is>
      </c>
      <c r="F814" t="inlineStr">
        <is>
          <t>Shakespeare's tragic perspective / Larry S. Champion.</t>
        </is>
      </c>
      <c r="H814" t="inlineStr">
        <is>
          <t>No</t>
        </is>
      </c>
      <c r="I814" t="inlineStr">
        <is>
          <t>1</t>
        </is>
      </c>
      <c r="J814" t="inlineStr">
        <is>
          <t>No</t>
        </is>
      </c>
      <c r="K814" t="inlineStr">
        <is>
          <t>No</t>
        </is>
      </c>
      <c r="L814" t="inlineStr">
        <is>
          <t>0</t>
        </is>
      </c>
      <c r="M814" t="inlineStr">
        <is>
          <t>Champion, Larry S.</t>
        </is>
      </c>
      <c r="N814" t="inlineStr">
        <is>
          <t>Athens : University of Georgia Press, c1976.</t>
        </is>
      </c>
      <c r="O814" t="inlineStr">
        <is>
          <t>1976</t>
        </is>
      </c>
      <c r="Q814" t="inlineStr">
        <is>
          <t>eng</t>
        </is>
      </c>
      <c r="R814" t="inlineStr">
        <is>
          <t>gau</t>
        </is>
      </c>
      <c r="T814" t="inlineStr">
        <is>
          <t xml:space="preserve">PR </t>
        </is>
      </c>
      <c r="U814" t="n">
        <v>2</v>
      </c>
      <c r="V814" t="n">
        <v>2</v>
      </c>
      <c r="W814" t="inlineStr">
        <is>
          <t>1999-05-30</t>
        </is>
      </c>
      <c r="X814" t="inlineStr">
        <is>
          <t>1999-05-30</t>
        </is>
      </c>
      <c r="Y814" t="inlineStr">
        <is>
          <t>1991-03-21</t>
        </is>
      </c>
      <c r="Z814" t="inlineStr">
        <is>
          <t>1991-03-21</t>
        </is>
      </c>
      <c r="AA814" t="n">
        <v>665</v>
      </c>
      <c r="AB814" t="n">
        <v>556</v>
      </c>
      <c r="AC814" t="n">
        <v>564</v>
      </c>
      <c r="AD814" t="n">
        <v>5</v>
      </c>
      <c r="AE814" t="n">
        <v>5</v>
      </c>
      <c r="AF814" t="n">
        <v>33</v>
      </c>
      <c r="AG814" t="n">
        <v>33</v>
      </c>
      <c r="AH814" t="n">
        <v>14</v>
      </c>
      <c r="AI814" t="n">
        <v>14</v>
      </c>
      <c r="AJ814" t="n">
        <v>7</v>
      </c>
      <c r="AK814" t="n">
        <v>7</v>
      </c>
      <c r="AL814" t="n">
        <v>15</v>
      </c>
      <c r="AM814" t="n">
        <v>15</v>
      </c>
      <c r="AN814" t="n">
        <v>4</v>
      </c>
      <c r="AO814" t="n">
        <v>4</v>
      </c>
      <c r="AP814" t="n">
        <v>0</v>
      </c>
      <c r="AQ814" t="n">
        <v>0</v>
      </c>
      <c r="AR814" t="inlineStr">
        <is>
          <t>No</t>
        </is>
      </c>
      <c r="AS814" t="inlineStr">
        <is>
          <t>No</t>
        </is>
      </c>
      <c r="AU814">
        <f>HYPERLINK("https://creighton-primo.hosted.exlibrisgroup.com/primo-explore/search?tab=default_tab&amp;search_scope=EVERYTHING&amp;vid=01CRU&amp;lang=en_US&amp;offset=0&amp;query=any,contains,991003977179702656","Catalog Record")</f>
        <v/>
      </c>
      <c r="AV814">
        <f>HYPERLINK("http://www.worldcat.org/oclc/2007537","WorldCat Record")</f>
        <v/>
      </c>
      <c r="AW814" t="inlineStr">
        <is>
          <t>2627288:eng</t>
        </is>
      </c>
      <c r="AX814" t="inlineStr">
        <is>
          <t>2007537</t>
        </is>
      </c>
      <c r="AY814" t="inlineStr">
        <is>
          <t>991003977179702656</t>
        </is>
      </c>
      <c r="AZ814" t="inlineStr">
        <is>
          <t>991003977179702656</t>
        </is>
      </c>
      <c r="BA814" t="inlineStr">
        <is>
          <t>2261878070002656</t>
        </is>
      </c>
      <c r="BB814" t="inlineStr">
        <is>
          <t>BOOK</t>
        </is>
      </c>
      <c r="BD814" t="inlineStr">
        <is>
          <t>9780820303635</t>
        </is>
      </c>
      <c r="BE814" t="inlineStr">
        <is>
          <t>32285000512623</t>
        </is>
      </c>
      <c r="BF814" t="inlineStr">
        <is>
          <t>893693379</t>
        </is>
      </c>
    </row>
    <row r="815">
      <c r="A815" t="inlineStr">
        <is>
          <t>No</t>
        </is>
      </c>
      <c r="B815" t="inlineStr">
        <is>
          <t>CURAL</t>
        </is>
      </c>
      <c r="C815" t="inlineStr">
        <is>
          <t>SHELVES</t>
        </is>
      </c>
      <c r="D815" t="inlineStr">
        <is>
          <t>PR2983 .C35</t>
        </is>
      </c>
      <c r="E815" t="inlineStr">
        <is>
          <t>0                      PR 2983000C  35</t>
        </is>
      </c>
      <c r="F815" t="inlineStr">
        <is>
          <t>Shakespeare from the greenroom : actors' criticisms of four major tragedies.</t>
        </is>
      </c>
      <c r="H815" t="inlineStr">
        <is>
          <t>No</t>
        </is>
      </c>
      <c r="I815" t="inlineStr">
        <is>
          <t>1</t>
        </is>
      </c>
      <c r="J815" t="inlineStr">
        <is>
          <t>No</t>
        </is>
      </c>
      <c r="K815" t="inlineStr">
        <is>
          <t>No</t>
        </is>
      </c>
      <c r="L815" t="inlineStr">
        <is>
          <t>0</t>
        </is>
      </c>
      <c r="M815" t="inlineStr">
        <is>
          <t>Carlisle, Carol Jones.</t>
        </is>
      </c>
      <c r="N815" t="inlineStr">
        <is>
          <t>Chapel Hill : University of North Carolina Press, [1969]</t>
        </is>
      </c>
      <c r="O815" t="inlineStr">
        <is>
          <t>1969</t>
        </is>
      </c>
      <c r="Q815" t="inlineStr">
        <is>
          <t>eng</t>
        </is>
      </c>
      <c r="R815" t="inlineStr">
        <is>
          <t>ncu</t>
        </is>
      </c>
      <c r="T815" t="inlineStr">
        <is>
          <t xml:space="preserve">PR </t>
        </is>
      </c>
      <c r="U815" t="n">
        <v>5</v>
      </c>
      <c r="V815" t="n">
        <v>5</v>
      </c>
      <c r="W815" t="inlineStr">
        <is>
          <t>2007-11-21</t>
        </is>
      </c>
      <c r="X815" t="inlineStr">
        <is>
          <t>2007-11-21</t>
        </is>
      </c>
      <c r="Y815" t="inlineStr">
        <is>
          <t>1991-11-06</t>
        </is>
      </c>
      <c r="Z815" t="inlineStr">
        <is>
          <t>1991-11-06</t>
        </is>
      </c>
      <c r="AA815" t="n">
        <v>763</v>
      </c>
      <c r="AB815" t="n">
        <v>656</v>
      </c>
      <c r="AC815" t="n">
        <v>666</v>
      </c>
      <c r="AD815" t="n">
        <v>5</v>
      </c>
      <c r="AE815" t="n">
        <v>5</v>
      </c>
      <c r="AF815" t="n">
        <v>37</v>
      </c>
      <c r="AG815" t="n">
        <v>37</v>
      </c>
      <c r="AH815" t="n">
        <v>17</v>
      </c>
      <c r="AI815" t="n">
        <v>17</v>
      </c>
      <c r="AJ815" t="n">
        <v>9</v>
      </c>
      <c r="AK815" t="n">
        <v>9</v>
      </c>
      <c r="AL815" t="n">
        <v>16</v>
      </c>
      <c r="AM815" t="n">
        <v>16</v>
      </c>
      <c r="AN815" t="n">
        <v>4</v>
      </c>
      <c r="AO815" t="n">
        <v>4</v>
      </c>
      <c r="AP815" t="n">
        <v>0</v>
      </c>
      <c r="AQ815" t="n">
        <v>0</v>
      </c>
      <c r="AR815" t="inlineStr">
        <is>
          <t>No</t>
        </is>
      </c>
      <c r="AS815" t="inlineStr">
        <is>
          <t>Yes</t>
        </is>
      </c>
      <c r="AT815">
        <f>HYPERLINK("http://catalog.hathitrust.org/Record/001112223","HathiTrust Record")</f>
        <v/>
      </c>
      <c r="AU815">
        <f>HYPERLINK("https://creighton-primo.hosted.exlibrisgroup.com/primo-explore/search?tab=default_tab&amp;search_scope=EVERYTHING&amp;vid=01CRU&amp;lang=en_US&amp;offset=0&amp;query=any,contains,991000077459702656","Catalog Record")</f>
        <v/>
      </c>
      <c r="AV815">
        <f>HYPERLINK("http://www.worldcat.org/oclc/30339","WorldCat Record")</f>
        <v/>
      </c>
      <c r="AW815" t="inlineStr">
        <is>
          <t>252489956:eng</t>
        </is>
      </c>
      <c r="AX815" t="inlineStr">
        <is>
          <t>30339</t>
        </is>
      </c>
      <c r="AY815" t="inlineStr">
        <is>
          <t>991000077459702656</t>
        </is>
      </c>
      <c r="AZ815" t="inlineStr">
        <is>
          <t>991000077459702656</t>
        </is>
      </c>
      <c r="BA815" t="inlineStr">
        <is>
          <t>2262326940002656</t>
        </is>
      </c>
      <c r="BB815" t="inlineStr">
        <is>
          <t>BOOK</t>
        </is>
      </c>
      <c r="BE815" t="inlineStr">
        <is>
          <t>32285000804434</t>
        </is>
      </c>
      <c r="BF815" t="inlineStr">
        <is>
          <t>893425391</t>
        </is>
      </c>
    </row>
    <row r="816">
      <c r="A816" t="inlineStr">
        <is>
          <t>No</t>
        </is>
      </c>
      <c r="B816" t="inlineStr">
        <is>
          <t>CURAL</t>
        </is>
      </c>
      <c r="C816" t="inlineStr">
        <is>
          <t>SHELVES</t>
        </is>
      </c>
      <c r="D816" t="inlineStr">
        <is>
          <t>PR2983 .C5 1961</t>
        </is>
      </c>
      <c r="E816" t="inlineStr">
        <is>
          <t>0                      PR 2983000C  5           1961</t>
        </is>
      </c>
      <c r="F816" t="inlineStr">
        <is>
          <t>Shakespearian tragedy / by H.B. Charlton.</t>
        </is>
      </c>
      <c r="H816" t="inlineStr">
        <is>
          <t>No</t>
        </is>
      </c>
      <c r="I816" t="inlineStr">
        <is>
          <t>1</t>
        </is>
      </c>
      <c r="J816" t="inlineStr">
        <is>
          <t>No</t>
        </is>
      </c>
      <c r="K816" t="inlineStr">
        <is>
          <t>No</t>
        </is>
      </c>
      <c r="L816" t="inlineStr">
        <is>
          <t>0</t>
        </is>
      </c>
      <c r="M816" t="inlineStr">
        <is>
          <t>Charlton, H. B. (Henry Buckley), 1890-</t>
        </is>
      </c>
      <c r="N816" t="inlineStr">
        <is>
          <t>Cambridge, [Eng.] : University Press, 1961.</t>
        </is>
      </c>
      <c r="O816" t="inlineStr">
        <is>
          <t>1961</t>
        </is>
      </c>
      <c r="Q816" t="inlineStr">
        <is>
          <t>eng</t>
        </is>
      </c>
      <c r="R816" t="inlineStr">
        <is>
          <t>enk</t>
        </is>
      </c>
      <c r="S816" t="inlineStr">
        <is>
          <t>Clark lectures for 1946-47, delivered at Trinity College, Cambridge.</t>
        </is>
      </c>
      <c r="T816" t="inlineStr">
        <is>
          <t xml:space="preserve">PR </t>
        </is>
      </c>
      <c r="U816" t="n">
        <v>4</v>
      </c>
      <c r="V816" t="n">
        <v>4</v>
      </c>
      <c r="W816" t="inlineStr">
        <is>
          <t>2003-12-09</t>
        </is>
      </c>
      <c r="X816" t="inlineStr">
        <is>
          <t>2003-12-09</t>
        </is>
      </c>
      <c r="Y816" t="inlineStr">
        <is>
          <t>2001-07-12</t>
        </is>
      </c>
      <c r="Z816" t="inlineStr">
        <is>
          <t>2001-07-12</t>
        </is>
      </c>
      <c r="AA816" t="n">
        <v>82</v>
      </c>
      <c r="AB816" t="n">
        <v>66</v>
      </c>
      <c r="AC816" t="n">
        <v>683</v>
      </c>
      <c r="AD816" t="n">
        <v>1</v>
      </c>
      <c r="AE816" t="n">
        <v>6</v>
      </c>
      <c r="AF816" t="n">
        <v>3</v>
      </c>
      <c r="AG816" t="n">
        <v>39</v>
      </c>
      <c r="AH816" t="n">
        <v>0</v>
      </c>
      <c r="AI816" t="n">
        <v>17</v>
      </c>
      <c r="AJ816" t="n">
        <v>0</v>
      </c>
      <c r="AK816" t="n">
        <v>8</v>
      </c>
      <c r="AL816" t="n">
        <v>3</v>
      </c>
      <c r="AM816" t="n">
        <v>22</v>
      </c>
      <c r="AN816" t="n">
        <v>0</v>
      </c>
      <c r="AO816" t="n">
        <v>5</v>
      </c>
      <c r="AP816" t="n">
        <v>0</v>
      </c>
      <c r="AQ816" t="n">
        <v>0</v>
      </c>
      <c r="AR816" t="inlineStr">
        <is>
          <t>No</t>
        </is>
      </c>
      <c r="AS816" t="inlineStr">
        <is>
          <t>No</t>
        </is>
      </c>
      <c r="AU816">
        <f>HYPERLINK("https://creighton-primo.hosted.exlibrisgroup.com/primo-explore/search?tab=default_tab&amp;search_scope=EVERYTHING&amp;vid=01CRU&amp;lang=en_US&amp;offset=0&amp;query=any,contains,991003568139702656","Catalog Record")</f>
        <v/>
      </c>
      <c r="AV816">
        <f>HYPERLINK("http://www.worldcat.org/oclc/6888672","WorldCat Record")</f>
        <v/>
      </c>
      <c r="AW816" t="inlineStr">
        <is>
          <t>1313326:eng</t>
        </is>
      </c>
      <c r="AX816" t="inlineStr">
        <is>
          <t>6888672</t>
        </is>
      </c>
      <c r="AY816" t="inlineStr">
        <is>
          <t>991003568139702656</t>
        </is>
      </c>
      <c r="AZ816" t="inlineStr">
        <is>
          <t>991003568139702656</t>
        </is>
      </c>
      <c r="BA816" t="inlineStr">
        <is>
          <t>2265386540002656</t>
        </is>
      </c>
      <c r="BB816" t="inlineStr">
        <is>
          <t>BOOK</t>
        </is>
      </c>
      <c r="BE816" t="inlineStr">
        <is>
          <t>32285004332283</t>
        </is>
      </c>
      <c r="BF816" t="inlineStr">
        <is>
          <t>893342699</t>
        </is>
      </c>
    </row>
    <row r="817">
      <c r="A817" t="inlineStr">
        <is>
          <t>No</t>
        </is>
      </c>
      <c r="B817" t="inlineStr">
        <is>
          <t>CURAL</t>
        </is>
      </c>
      <c r="C817" t="inlineStr">
        <is>
          <t>SHELVES</t>
        </is>
      </c>
      <c r="D817" t="inlineStr">
        <is>
          <t>PR2983 .C69</t>
        </is>
      </c>
      <c r="E817" t="inlineStr">
        <is>
          <t>0                      PR 2983000C  69</t>
        </is>
      </c>
      <c r="F817" t="inlineStr">
        <is>
          <t>Christian ritual and the world of Shakespeare's tragedies / Herbert R. Coursen, Jr.</t>
        </is>
      </c>
      <c r="H817" t="inlineStr">
        <is>
          <t>No</t>
        </is>
      </c>
      <c r="I817" t="inlineStr">
        <is>
          <t>1</t>
        </is>
      </c>
      <c r="J817" t="inlineStr">
        <is>
          <t>No</t>
        </is>
      </c>
      <c r="K817" t="inlineStr">
        <is>
          <t>No</t>
        </is>
      </c>
      <c r="L817" t="inlineStr">
        <is>
          <t>0</t>
        </is>
      </c>
      <c r="M817" t="inlineStr">
        <is>
          <t>Coursen, Herbert R.</t>
        </is>
      </c>
      <c r="N817" t="inlineStr">
        <is>
          <t>Lewisburg [Pa.] : Bucknell University Press, c1976.</t>
        </is>
      </c>
      <c r="O817" t="inlineStr">
        <is>
          <t>1976</t>
        </is>
      </c>
      <c r="Q817" t="inlineStr">
        <is>
          <t>eng</t>
        </is>
      </c>
      <c r="R817" t="inlineStr">
        <is>
          <t>pau</t>
        </is>
      </c>
      <c r="T817" t="inlineStr">
        <is>
          <t xml:space="preserve">PR </t>
        </is>
      </c>
      <c r="U817" t="n">
        <v>3</v>
      </c>
      <c r="V817" t="n">
        <v>3</v>
      </c>
      <c r="W817" t="inlineStr">
        <is>
          <t>2002-10-29</t>
        </is>
      </c>
      <c r="X817" t="inlineStr">
        <is>
          <t>2002-10-29</t>
        </is>
      </c>
      <c r="Y817" t="inlineStr">
        <is>
          <t>1991-08-27</t>
        </is>
      </c>
      <c r="Z817" t="inlineStr">
        <is>
          <t>1991-08-27</t>
        </is>
      </c>
      <c r="AA817" t="n">
        <v>702</v>
      </c>
      <c r="AB817" t="n">
        <v>612</v>
      </c>
      <c r="AC817" t="n">
        <v>621</v>
      </c>
      <c r="AD817" t="n">
        <v>8</v>
      </c>
      <c r="AE817" t="n">
        <v>8</v>
      </c>
      <c r="AF817" t="n">
        <v>38</v>
      </c>
      <c r="AG817" t="n">
        <v>38</v>
      </c>
      <c r="AH817" t="n">
        <v>14</v>
      </c>
      <c r="AI817" t="n">
        <v>14</v>
      </c>
      <c r="AJ817" t="n">
        <v>8</v>
      </c>
      <c r="AK817" t="n">
        <v>8</v>
      </c>
      <c r="AL817" t="n">
        <v>17</v>
      </c>
      <c r="AM817" t="n">
        <v>17</v>
      </c>
      <c r="AN817" t="n">
        <v>7</v>
      </c>
      <c r="AO817" t="n">
        <v>7</v>
      </c>
      <c r="AP817" t="n">
        <v>0</v>
      </c>
      <c r="AQ817" t="n">
        <v>0</v>
      </c>
      <c r="AR817" t="inlineStr">
        <is>
          <t>No</t>
        </is>
      </c>
      <c r="AS817" t="inlineStr">
        <is>
          <t>Yes</t>
        </is>
      </c>
      <c r="AT817">
        <f>HYPERLINK("http://catalog.hathitrust.org/Record/000028529","HathiTrust Record")</f>
        <v/>
      </c>
      <c r="AU817">
        <f>HYPERLINK("https://creighton-primo.hosted.exlibrisgroup.com/primo-explore/search?tab=default_tab&amp;search_scope=EVERYTHING&amp;vid=01CRU&amp;lang=en_US&amp;offset=0&amp;query=any,contains,991003661549702656","Catalog Record")</f>
        <v/>
      </c>
      <c r="AV817">
        <f>HYPERLINK("http://www.worldcat.org/oclc/1272478","WorldCat Record")</f>
        <v/>
      </c>
      <c r="AW817" t="inlineStr">
        <is>
          <t>503517:eng</t>
        </is>
      </c>
      <c r="AX817" t="inlineStr">
        <is>
          <t>1272478</t>
        </is>
      </c>
      <c r="AY817" t="inlineStr">
        <is>
          <t>991003661549702656</t>
        </is>
      </c>
      <c r="AZ817" t="inlineStr">
        <is>
          <t>991003661549702656</t>
        </is>
      </c>
      <c r="BA817" t="inlineStr">
        <is>
          <t>2266477840002656</t>
        </is>
      </c>
      <c r="BB817" t="inlineStr">
        <is>
          <t>BOOK</t>
        </is>
      </c>
      <c r="BD817" t="inlineStr">
        <is>
          <t>9780838715185</t>
        </is>
      </c>
      <c r="BE817" t="inlineStr">
        <is>
          <t>32285000697515</t>
        </is>
      </c>
      <c r="BF817" t="inlineStr">
        <is>
          <t>893258681</t>
        </is>
      </c>
    </row>
    <row r="818">
      <c r="A818" t="inlineStr">
        <is>
          <t>No</t>
        </is>
      </c>
      <c r="B818" t="inlineStr">
        <is>
          <t>CURAL</t>
        </is>
      </c>
      <c r="C818" t="inlineStr">
        <is>
          <t>SHELVES</t>
        </is>
      </c>
      <c r="D818" t="inlineStr">
        <is>
          <t>PR2983 .D25</t>
        </is>
      </c>
      <c r="E818" t="inlineStr">
        <is>
          <t>0                      PR 2983000D  25</t>
        </is>
      </c>
      <c r="F818" t="inlineStr">
        <is>
          <t>Tragic alphabet : Shakespeare's drama of language / Lawrence Danson.</t>
        </is>
      </c>
      <c r="H818" t="inlineStr">
        <is>
          <t>No</t>
        </is>
      </c>
      <c r="I818" t="inlineStr">
        <is>
          <t>1</t>
        </is>
      </c>
      <c r="J818" t="inlineStr">
        <is>
          <t>No</t>
        </is>
      </c>
      <c r="K818" t="inlineStr">
        <is>
          <t>No</t>
        </is>
      </c>
      <c r="L818" t="inlineStr">
        <is>
          <t>0</t>
        </is>
      </c>
      <c r="M818" t="inlineStr">
        <is>
          <t>Danson, Lawrence.</t>
        </is>
      </c>
      <c r="N818" t="inlineStr">
        <is>
          <t>New Haven : Yale University Press, 1974.</t>
        </is>
      </c>
      <c r="O818" t="inlineStr">
        <is>
          <t>1974</t>
        </is>
      </c>
      <c r="Q818" t="inlineStr">
        <is>
          <t>eng</t>
        </is>
      </c>
      <c r="R818" t="inlineStr">
        <is>
          <t>ctu</t>
        </is>
      </c>
      <c r="T818" t="inlineStr">
        <is>
          <t xml:space="preserve">PR </t>
        </is>
      </c>
      <c r="U818" t="n">
        <v>4</v>
      </c>
      <c r="V818" t="n">
        <v>4</v>
      </c>
      <c r="W818" t="inlineStr">
        <is>
          <t>1993-04-29</t>
        </is>
      </c>
      <c r="X818" t="inlineStr">
        <is>
          <t>1993-04-29</t>
        </is>
      </c>
      <c r="Y818" t="inlineStr">
        <is>
          <t>1991-08-27</t>
        </is>
      </c>
      <c r="Z818" t="inlineStr">
        <is>
          <t>1991-08-27</t>
        </is>
      </c>
      <c r="AA818" t="n">
        <v>642</v>
      </c>
      <c r="AB818" t="n">
        <v>494</v>
      </c>
      <c r="AC818" t="n">
        <v>502</v>
      </c>
      <c r="AD818" t="n">
        <v>4</v>
      </c>
      <c r="AE818" t="n">
        <v>4</v>
      </c>
      <c r="AF818" t="n">
        <v>27</v>
      </c>
      <c r="AG818" t="n">
        <v>27</v>
      </c>
      <c r="AH818" t="n">
        <v>8</v>
      </c>
      <c r="AI818" t="n">
        <v>8</v>
      </c>
      <c r="AJ818" t="n">
        <v>7</v>
      </c>
      <c r="AK818" t="n">
        <v>7</v>
      </c>
      <c r="AL818" t="n">
        <v>16</v>
      </c>
      <c r="AM818" t="n">
        <v>16</v>
      </c>
      <c r="AN818" t="n">
        <v>3</v>
      </c>
      <c r="AO818" t="n">
        <v>3</v>
      </c>
      <c r="AP818" t="n">
        <v>0</v>
      </c>
      <c r="AQ818" t="n">
        <v>0</v>
      </c>
      <c r="AR818" t="inlineStr">
        <is>
          <t>No</t>
        </is>
      </c>
      <c r="AS818" t="inlineStr">
        <is>
          <t>No</t>
        </is>
      </c>
      <c r="AU818">
        <f>HYPERLINK("https://creighton-primo.hosted.exlibrisgroup.com/primo-explore/search?tab=default_tab&amp;search_scope=EVERYTHING&amp;vid=01CRU&amp;lang=en_US&amp;offset=0&amp;query=any,contains,991003565569702656","Catalog Record")</f>
        <v/>
      </c>
      <c r="AV818">
        <f>HYPERLINK("http://www.worldcat.org/oclc/1138023","WorldCat Record")</f>
        <v/>
      </c>
      <c r="AW818" t="inlineStr">
        <is>
          <t>351120011:eng</t>
        </is>
      </c>
      <c r="AX818" t="inlineStr">
        <is>
          <t>1138023</t>
        </is>
      </c>
      <c r="AY818" t="inlineStr">
        <is>
          <t>991003565569702656</t>
        </is>
      </c>
      <c r="AZ818" t="inlineStr">
        <is>
          <t>991003565569702656</t>
        </is>
      </c>
      <c r="BA818" t="inlineStr">
        <is>
          <t>2270132610002656</t>
        </is>
      </c>
      <c r="BB818" t="inlineStr">
        <is>
          <t>BOOK</t>
        </is>
      </c>
      <c r="BD818" t="inlineStr">
        <is>
          <t>9780300017854</t>
        </is>
      </c>
      <c r="BE818" t="inlineStr">
        <is>
          <t>32285000697531</t>
        </is>
      </c>
      <c r="BF818" t="inlineStr">
        <is>
          <t>893348812</t>
        </is>
      </c>
    </row>
    <row r="819">
      <c r="A819" t="inlineStr">
        <is>
          <t>No</t>
        </is>
      </c>
      <c r="B819" t="inlineStr">
        <is>
          <t>CURAL</t>
        </is>
      </c>
      <c r="C819" t="inlineStr">
        <is>
          <t>SHELVES</t>
        </is>
      </c>
      <c r="D819" t="inlineStr">
        <is>
          <t>PR2983 .E9</t>
        </is>
      </c>
      <c r="E819" t="inlineStr">
        <is>
          <t>0                      PR 2983000E  9</t>
        </is>
      </c>
      <c r="F819" t="inlineStr">
        <is>
          <t>Shakespeare's tragic practice / by Bertrand Evans.</t>
        </is>
      </c>
      <c r="H819" t="inlineStr">
        <is>
          <t>No</t>
        </is>
      </c>
      <c r="I819" t="inlineStr">
        <is>
          <t>1</t>
        </is>
      </c>
      <c r="J819" t="inlineStr">
        <is>
          <t>No</t>
        </is>
      </c>
      <c r="K819" t="inlineStr">
        <is>
          <t>No</t>
        </is>
      </c>
      <c r="L819" t="inlineStr">
        <is>
          <t>0</t>
        </is>
      </c>
      <c r="M819" t="inlineStr">
        <is>
          <t>Evans, Bertrand, 1912-1999.</t>
        </is>
      </c>
      <c r="N819" t="inlineStr">
        <is>
          <t>Oxford : Clarendon Press ; New York : Oxford University Press, 1979.</t>
        </is>
      </c>
      <c r="O819" t="inlineStr">
        <is>
          <t>1979</t>
        </is>
      </c>
      <c r="Q819" t="inlineStr">
        <is>
          <t>eng</t>
        </is>
      </c>
      <c r="R819" t="inlineStr">
        <is>
          <t>enk</t>
        </is>
      </c>
      <c r="T819" t="inlineStr">
        <is>
          <t xml:space="preserve">PR </t>
        </is>
      </c>
      <c r="U819" t="n">
        <v>4</v>
      </c>
      <c r="V819" t="n">
        <v>4</v>
      </c>
      <c r="W819" t="inlineStr">
        <is>
          <t>1998-12-04</t>
        </is>
      </c>
      <c r="X819" t="inlineStr">
        <is>
          <t>1998-12-04</t>
        </is>
      </c>
      <c r="Y819" t="inlineStr">
        <is>
          <t>1991-08-22</t>
        </is>
      </c>
      <c r="Z819" t="inlineStr">
        <is>
          <t>1991-08-22</t>
        </is>
      </c>
      <c r="AA819" t="n">
        <v>681</v>
      </c>
      <c r="AB819" t="n">
        <v>482</v>
      </c>
      <c r="AC819" t="n">
        <v>488</v>
      </c>
      <c r="AD819" t="n">
        <v>5</v>
      </c>
      <c r="AE819" t="n">
        <v>5</v>
      </c>
      <c r="AF819" t="n">
        <v>33</v>
      </c>
      <c r="AG819" t="n">
        <v>33</v>
      </c>
      <c r="AH819" t="n">
        <v>12</v>
      </c>
      <c r="AI819" t="n">
        <v>12</v>
      </c>
      <c r="AJ819" t="n">
        <v>8</v>
      </c>
      <c r="AK819" t="n">
        <v>8</v>
      </c>
      <c r="AL819" t="n">
        <v>17</v>
      </c>
      <c r="AM819" t="n">
        <v>17</v>
      </c>
      <c r="AN819" t="n">
        <v>4</v>
      </c>
      <c r="AO819" t="n">
        <v>4</v>
      </c>
      <c r="AP819" t="n">
        <v>0</v>
      </c>
      <c r="AQ819" t="n">
        <v>0</v>
      </c>
      <c r="AR819" t="inlineStr">
        <is>
          <t>No</t>
        </is>
      </c>
      <c r="AS819" t="inlineStr">
        <is>
          <t>Yes</t>
        </is>
      </c>
      <c r="AT819">
        <f>HYPERLINK("http://catalog.hathitrust.org/Record/000095542","HathiTrust Record")</f>
        <v/>
      </c>
      <c r="AU819">
        <f>HYPERLINK("https://creighton-primo.hosted.exlibrisgroup.com/primo-explore/search?tab=default_tab&amp;search_scope=EVERYTHING&amp;vid=01CRU&amp;lang=en_US&amp;offset=0&amp;query=any,contains,991004906509702656","Catalog Record")</f>
        <v/>
      </c>
      <c r="AV819">
        <f>HYPERLINK("http://www.worldcat.org/oclc/5952053","WorldCat Record")</f>
        <v/>
      </c>
      <c r="AW819" t="inlineStr">
        <is>
          <t>20417568:eng</t>
        </is>
      </c>
      <c r="AX819" t="inlineStr">
        <is>
          <t>5952053</t>
        </is>
      </c>
      <c r="AY819" t="inlineStr">
        <is>
          <t>991004906509702656</t>
        </is>
      </c>
      <c r="AZ819" t="inlineStr">
        <is>
          <t>991004906509702656</t>
        </is>
      </c>
      <c r="BA819" t="inlineStr">
        <is>
          <t>2269487870002656</t>
        </is>
      </c>
      <c r="BB819" t="inlineStr">
        <is>
          <t>BOOK</t>
        </is>
      </c>
      <c r="BD819" t="inlineStr">
        <is>
          <t>9780198120940</t>
        </is>
      </c>
      <c r="BE819" t="inlineStr">
        <is>
          <t>32285000697549</t>
        </is>
      </c>
      <c r="BF819" t="inlineStr">
        <is>
          <t>893789215</t>
        </is>
      </c>
    </row>
    <row r="820">
      <c r="A820" t="inlineStr">
        <is>
          <t>No</t>
        </is>
      </c>
      <c r="B820" t="inlineStr">
        <is>
          <t>CURAL</t>
        </is>
      </c>
      <c r="C820" t="inlineStr">
        <is>
          <t>SHELVES</t>
        </is>
      </c>
      <c r="D820" t="inlineStr">
        <is>
          <t>PR2983 .H27</t>
        </is>
      </c>
      <c r="E820" t="inlineStr">
        <is>
          <t>0                      PR 2983000H  27</t>
        </is>
      </c>
      <c r="F820" t="inlineStr">
        <is>
          <t>Shakespeare : the tragedies : a collection of critical essays.</t>
        </is>
      </c>
      <c r="H820" t="inlineStr">
        <is>
          <t>No</t>
        </is>
      </c>
      <c r="I820" t="inlineStr">
        <is>
          <t>1</t>
        </is>
      </c>
      <c r="J820" t="inlineStr">
        <is>
          <t>No</t>
        </is>
      </c>
      <c r="K820" t="inlineStr">
        <is>
          <t>No</t>
        </is>
      </c>
      <c r="L820" t="inlineStr">
        <is>
          <t>0</t>
        </is>
      </c>
      <c r="M820" t="inlineStr">
        <is>
          <t>Harbage, Alfred, 1901-1976, editor.</t>
        </is>
      </c>
      <c r="N820" t="inlineStr">
        <is>
          <t>Englewood Cliffs, N.J. : Prentice-Hall, [1964]</t>
        </is>
      </c>
      <c r="O820" t="inlineStr">
        <is>
          <t>1964</t>
        </is>
      </c>
      <c r="Q820" t="inlineStr">
        <is>
          <t>eng</t>
        </is>
      </c>
      <c r="R820" t="inlineStr">
        <is>
          <t>nju</t>
        </is>
      </c>
      <c r="S820" t="inlineStr">
        <is>
          <t>A Spectrum book.</t>
        </is>
      </c>
      <c r="T820" t="inlineStr">
        <is>
          <t xml:space="preserve">PR </t>
        </is>
      </c>
      <c r="U820" t="n">
        <v>6</v>
      </c>
      <c r="V820" t="n">
        <v>6</v>
      </c>
      <c r="W820" t="inlineStr">
        <is>
          <t>2007-04-18</t>
        </is>
      </c>
      <c r="X820" t="inlineStr">
        <is>
          <t>2007-04-18</t>
        </is>
      </c>
      <c r="Y820" t="inlineStr">
        <is>
          <t>1991-05-17</t>
        </is>
      </c>
      <c r="Z820" t="inlineStr">
        <is>
          <t>1991-05-17</t>
        </is>
      </c>
      <c r="AA820" t="n">
        <v>2208</v>
      </c>
      <c r="AB820" t="n">
        <v>1945</v>
      </c>
      <c r="AC820" t="n">
        <v>1945</v>
      </c>
      <c r="AD820" t="n">
        <v>18</v>
      </c>
      <c r="AE820" t="n">
        <v>18</v>
      </c>
      <c r="AF820" t="n">
        <v>53</v>
      </c>
      <c r="AG820" t="n">
        <v>53</v>
      </c>
      <c r="AH820" t="n">
        <v>22</v>
      </c>
      <c r="AI820" t="n">
        <v>22</v>
      </c>
      <c r="AJ820" t="n">
        <v>10</v>
      </c>
      <c r="AK820" t="n">
        <v>10</v>
      </c>
      <c r="AL820" t="n">
        <v>22</v>
      </c>
      <c r="AM820" t="n">
        <v>22</v>
      </c>
      <c r="AN820" t="n">
        <v>12</v>
      </c>
      <c r="AO820" t="n">
        <v>12</v>
      </c>
      <c r="AP820" t="n">
        <v>0</v>
      </c>
      <c r="AQ820" t="n">
        <v>0</v>
      </c>
      <c r="AR820" t="inlineStr">
        <is>
          <t>No</t>
        </is>
      </c>
      <c r="AS820" t="inlineStr">
        <is>
          <t>No</t>
        </is>
      </c>
      <c r="AU820">
        <f>HYPERLINK("https://creighton-primo.hosted.exlibrisgroup.com/primo-explore/search?tab=default_tab&amp;search_scope=EVERYTHING&amp;vid=01CRU&amp;lang=en_US&amp;offset=0&amp;query=any,contains,991002450479702656","Catalog Record")</f>
        <v/>
      </c>
      <c r="AV820">
        <f>HYPERLINK("http://www.worldcat.org/oclc/352782","WorldCat Record")</f>
        <v/>
      </c>
      <c r="AW820" t="inlineStr">
        <is>
          <t>9302721340:eng</t>
        </is>
      </c>
      <c r="AX820" t="inlineStr">
        <is>
          <t>352782</t>
        </is>
      </c>
      <c r="AY820" t="inlineStr">
        <is>
          <t>991002450479702656</t>
        </is>
      </c>
      <c r="AZ820" t="inlineStr">
        <is>
          <t>991002450479702656</t>
        </is>
      </c>
      <c r="BA820" t="inlineStr">
        <is>
          <t>2265199730002656</t>
        </is>
      </c>
      <c r="BB820" t="inlineStr">
        <is>
          <t>BOOK</t>
        </is>
      </c>
      <c r="BE820" t="inlineStr">
        <is>
          <t>32285000596303</t>
        </is>
      </c>
      <c r="BF820" t="inlineStr">
        <is>
          <t>893409116</t>
        </is>
      </c>
    </row>
    <row r="821">
      <c r="A821" t="inlineStr">
        <is>
          <t>No</t>
        </is>
      </c>
      <c r="B821" t="inlineStr">
        <is>
          <t>CURAL</t>
        </is>
      </c>
      <c r="C821" t="inlineStr">
        <is>
          <t>SHELVES</t>
        </is>
      </c>
      <c r="D821" t="inlineStr">
        <is>
          <t>PR2983 .K6 1972</t>
        </is>
      </c>
      <c r="E821" t="inlineStr">
        <is>
          <t>0                      PR 2983000K  6           1972</t>
        </is>
      </c>
      <c r="F821" t="inlineStr">
        <is>
          <t>The wheel of fire : interpretations of Shakespearian tragedy, with three new essays / by G. Wilson Knight. --</t>
        </is>
      </c>
      <c r="H821" t="inlineStr">
        <is>
          <t>No</t>
        </is>
      </c>
      <c r="I821" t="inlineStr">
        <is>
          <t>1</t>
        </is>
      </c>
      <c r="J821" t="inlineStr">
        <is>
          <t>No</t>
        </is>
      </c>
      <c r="K821" t="inlineStr">
        <is>
          <t>No</t>
        </is>
      </c>
      <c r="L821" t="inlineStr">
        <is>
          <t>0</t>
        </is>
      </c>
      <c r="M821" t="inlineStr">
        <is>
          <t>Knight, G. Wilson (George Wilson), 1897-1985.</t>
        </is>
      </c>
      <c r="N821" t="inlineStr">
        <is>
          <t>London, Methuen [1972]</t>
        </is>
      </c>
      <c r="O821" t="inlineStr">
        <is>
          <t>1972</t>
        </is>
      </c>
      <c r="P821" t="inlineStr">
        <is>
          <t>[4th rev. and enl. ed.]</t>
        </is>
      </c>
      <c r="Q821" t="inlineStr">
        <is>
          <t>eng</t>
        </is>
      </c>
      <c r="R821" t="inlineStr">
        <is>
          <t>___</t>
        </is>
      </c>
      <c r="T821" t="inlineStr">
        <is>
          <t xml:space="preserve">PR </t>
        </is>
      </c>
      <c r="U821" t="n">
        <v>5</v>
      </c>
      <c r="V821" t="n">
        <v>5</v>
      </c>
      <c r="W821" t="inlineStr">
        <is>
          <t>1999-06-28</t>
        </is>
      </c>
      <c r="X821" t="inlineStr">
        <is>
          <t>1999-06-28</t>
        </is>
      </c>
      <c r="Y821" t="inlineStr">
        <is>
          <t>1991-08-22</t>
        </is>
      </c>
      <c r="Z821" t="inlineStr">
        <is>
          <t>1991-08-22</t>
        </is>
      </c>
      <c r="AA821" t="n">
        <v>50</v>
      </c>
      <c r="AB821" t="n">
        <v>48</v>
      </c>
      <c r="AC821" t="n">
        <v>1124</v>
      </c>
      <c r="AD821" t="n">
        <v>1</v>
      </c>
      <c r="AE821" t="n">
        <v>8</v>
      </c>
      <c r="AF821" t="n">
        <v>1</v>
      </c>
      <c r="AG821" t="n">
        <v>48</v>
      </c>
      <c r="AH821" t="n">
        <v>1</v>
      </c>
      <c r="AI821" t="n">
        <v>19</v>
      </c>
      <c r="AJ821" t="n">
        <v>0</v>
      </c>
      <c r="AK821" t="n">
        <v>9</v>
      </c>
      <c r="AL821" t="n">
        <v>0</v>
      </c>
      <c r="AM821" t="n">
        <v>22</v>
      </c>
      <c r="AN821" t="n">
        <v>0</v>
      </c>
      <c r="AO821" t="n">
        <v>7</v>
      </c>
      <c r="AP821" t="n">
        <v>0</v>
      </c>
      <c r="AQ821" t="n">
        <v>0</v>
      </c>
      <c r="AR821" t="inlineStr">
        <is>
          <t>No</t>
        </is>
      </c>
      <c r="AS821" t="inlineStr">
        <is>
          <t>No</t>
        </is>
      </c>
      <c r="AU821">
        <f>HYPERLINK("https://creighton-primo.hosted.exlibrisgroup.com/primo-explore/search?tab=default_tab&amp;search_scope=EVERYTHING&amp;vid=01CRU&amp;lang=en_US&amp;offset=0&amp;query=any,contains,991003341099702656","Catalog Record")</f>
        <v/>
      </c>
      <c r="AV821">
        <f>HYPERLINK("http://www.worldcat.org/oclc/872177","WorldCat Record")</f>
        <v/>
      </c>
      <c r="AW821" t="inlineStr">
        <is>
          <t>1843644:eng</t>
        </is>
      </c>
      <c r="AX821" t="inlineStr">
        <is>
          <t>872177</t>
        </is>
      </c>
      <c r="AY821" t="inlineStr">
        <is>
          <t>991003341099702656</t>
        </is>
      </c>
      <c r="AZ821" t="inlineStr">
        <is>
          <t>991003341099702656</t>
        </is>
      </c>
      <c r="BA821" t="inlineStr">
        <is>
          <t>2258479100002656</t>
        </is>
      </c>
      <c r="BB821" t="inlineStr">
        <is>
          <t>BOOK</t>
        </is>
      </c>
      <c r="BE821" t="inlineStr">
        <is>
          <t>32285000697622</t>
        </is>
      </c>
      <c r="BF821" t="inlineStr">
        <is>
          <t>893240120</t>
        </is>
      </c>
    </row>
    <row r="822">
      <c r="A822" t="inlineStr">
        <is>
          <t>No</t>
        </is>
      </c>
      <c r="B822" t="inlineStr">
        <is>
          <t>CURAL</t>
        </is>
      </c>
      <c r="C822" t="inlineStr">
        <is>
          <t>SHELVES</t>
        </is>
      </c>
      <c r="D822" t="inlineStr">
        <is>
          <t>PR2983 .L3 1960</t>
        </is>
      </c>
      <c r="E822" t="inlineStr">
        <is>
          <t>0                      PR 2983000L  3           1960</t>
        </is>
      </c>
      <c r="F822" t="inlineStr">
        <is>
          <t>The tragic sense in Shakespeare / by John Lawlor.</t>
        </is>
      </c>
      <c r="H822" t="inlineStr">
        <is>
          <t>No</t>
        </is>
      </c>
      <c r="I822" t="inlineStr">
        <is>
          <t>1</t>
        </is>
      </c>
      <c r="J822" t="inlineStr">
        <is>
          <t>No</t>
        </is>
      </c>
      <c r="K822" t="inlineStr">
        <is>
          <t>No</t>
        </is>
      </c>
      <c r="L822" t="inlineStr">
        <is>
          <t>0</t>
        </is>
      </c>
      <c r="M822" t="inlineStr">
        <is>
          <t>Lawlor, John.</t>
        </is>
      </c>
      <c r="N822" t="inlineStr">
        <is>
          <t>New York : Harcourt, Brace, c1960.</t>
        </is>
      </c>
      <c r="O822" t="inlineStr">
        <is>
          <t>1960</t>
        </is>
      </c>
      <c r="Q822" t="inlineStr">
        <is>
          <t>eng</t>
        </is>
      </c>
      <c r="R822" t="inlineStr">
        <is>
          <t>nyu</t>
        </is>
      </c>
      <c r="T822" t="inlineStr">
        <is>
          <t xml:space="preserve">PR </t>
        </is>
      </c>
      <c r="U822" t="n">
        <v>5</v>
      </c>
      <c r="V822" t="n">
        <v>5</v>
      </c>
      <c r="W822" t="inlineStr">
        <is>
          <t>2007-11-26</t>
        </is>
      </c>
      <c r="X822" t="inlineStr">
        <is>
          <t>2007-11-26</t>
        </is>
      </c>
      <c r="Y822" t="inlineStr">
        <is>
          <t>1991-11-06</t>
        </is>
      </c>
      <c r="Z822" t="inlineStr">
        <is>
          <t>1991-11-06</t>
        </is>
      </c>
      <c r="AA822" t="n">
        <v>393</v>
      </c>
      <c r="AB822" t="n">
        <v>380</v>
      </c>
      <c r="AC822" t="n">
        <v>572</v>
      </c>
      <c r="AD822" t="n">
        <v>3</v>
      </c>
      <c r="AE822" t="n">
        <v>5</v>
      </c>
      <c r="AF822" t="n">
        <v>15</v>
      </c>
      <c r="AG822" t="n">
        <v>32</v>
      </c>
      <c r="AH822" t="n">
        <v>6</v>
      </c>
      <c r="AI822" t="n">
        <v>11</v>
      </c>
      <c r="AJ822" t="n">
        <v>4</v>
      </c>
      <c r="AK822" t="n">
        <v>8</v>
      </c>
      <c r="AL822" t="n">
        <v>8</v>
      </c>
      <c r="AM822" t="n">
        <v>20</v>
      </c>
      <c r="AN822" t="n">
        <v>2</v>
      </c>
      <c r="AO822" t="n">
        <v>4</v>
      </c>
      <c r="AP822" t="n">
        <v>0</v>
      </c>
      <c r="AQ822" t="n">
        <v>0</v>
      </c>
      <c r="AR822" t="inlineStr">
        <is>
          <t>No</t>
        </is>
      </c>
      <c r="AS822" t="inlineStr">
        <is>
          <t>No</t>
        </is>
      </c>
      <c r="AT822">
        <f>HYPERLINK("http://catalog.hathitrust.org/Record/102066468","HathiTrust Record")</f>
        <v/>
      </c>
      <c r="AU822">
        <f>HYPERLINK("https://creighton-primo.hosted.exlibrisgroup.com/primo-explore/search?tab=default_tab&amp;search_scope=EVERYTHING&amp;vid=01CRU&amp;lang=en_US&amp;offset=0&amp;query=any,contains,991000403269702656","Catalog Record")</f>
        <v/>
      </c>
      <c r="AV822">
        <f>HYPERLINK("http://www.worldcat.org/oclc/10644151","WorldCat Record")</f>
        <v/>
      </c>
      <c r="AW822" t="inlineStr">
        <is>
          <t>1602829:eng</t>
        </is>
      </c>
      <c r="AX822" t="inlineStr">
        <is>
          <t>10644151</t>
        </is>
      </c>
      <c r="AY822" t="inlineStr">
        <is>
          <t>991000403269702656</t>
        </is>
      </c>
      <c r="AZ822" t="inlineStr">
        <is>
          <t>991000403269702656</t>
        </is>
      </c>
      <c r="BA822" t="inlineStr">
        <is>
          <t>2255066590002656</t>
        </is>
      </c>
      <c r="BB822" t="inlineStr">
        <is>
          <t>BOOK</t>
        </is>
      </c>
      <c r="BE822" t="inlineStr">
        <is>
          <t>32285000804426</t>
        </is>
      </c>
      <c r="BF822" t="inlineStr">
        <is>
          <t>893515244</t>
        </is>
      </c>
    </row>
    <row r="823">
      <c r="A823" t="inlineStr">
        <is>
          <t>No</t>
        </is>
      </c>
      <c r="B823" t="inlineStr">
        <is>
          <t>CURAL</t>
        </is>
      </c>
      <c r="C823" t="inlineStr">
        <is>
          <t>SHELVES</t>
        </is>
      </c>
      <c r="D823" t="inlineStr">
        <is>
          <t>PR2983 .L38</t>
        </is>
      </c>
      <c r="E823" t="inlineStr">
        <is>
          <t>0                      PR 2983000L  38</t>
        </is>
      </c>
      <c r="F823" t="inlineStr">
        <is>
          <t>Shakespeare : the tragedies : a collection of critical essays.</t>
        </is>
      </c>
      <c r="H823" t="inlineStr">
        <is>
          <t>No</t>
        </is>
      </c>
      <c r="I823" t="inlineStr">
        <is>
          <t>1</t>
        </is>
      </c>
      <c r="J823" t="inlineStr">
        <is>
          <t>No</t>
        </is>
      </c>
      <c r="K823" t="inlineStr">
        <is>
          <t>No</t>
        </is>
      </c>
      <c r="L823" t="inlineStr">
        <is>
          <t>0</t>
        </is>
      </c>
      <c r="M823" t="inlineStr">
        <is>
          <t>Leech, Clifford editor.</t>
        </is>
      </c>
      <c r="N823" t="inlineStr">
        <is>
          <t>Chicago : University of Chicago Press, [1965]</t>
        </is>
      </c>
      <c r="O823" t="inlineStr">
        <is>
          <t>1965</t>
        </is>
      </c>
      <c r="Q823" t="inlineStr">
        <is>
          <t>eng</t>
        </is>
      </c>
      <c r="R823" t="inlineStr">
        <is>
          <t>ilu</t>
        </is>
      </c>
      <c r="S823" t="inlineStr">
        <is>
          <t>Gemini books: patterns of literary criticism</t>
        </is>
      </c>
      <c r="T823" t="inlineStr">
        <is>
          <t xml:space="preserve">PR </t>
        </is>
      </c>
      <c r="U823" t="n">
        <v>2</v>
      </c>
      <c r="V823" t="n">
        <v>2</v>
      </c>
      <c r="W823" t="inlineStr">
        <is>
          <t>1992-12-15</t>
        </is>
      </c>
      <c r="X823" t="inlineStr">
        <is>
          <t>1992-12-15</t>
        </is>
      </c>
      <c r="Y823" t="inlineStr">
        <is>
          <t>1991-05-17</t>
        </is>
      </c>
      <c r="Z823" t="inlineStr">
        <is>
          <t>1991-05-17</t>
        </is>
      </c>
      <c r="AA823" t="n">
        <v>1049</v>
      </c>
      <c r="AB823" t="n">
        <v>932</v>
      </c>
      <c r="AC823" t="n">
        <v>985</v>
      </c>
      <c r="AD823" t="n">
        <v>10</v>
      </c>
      <c r="AE823" t="n">
        <v>10</v>
      </c>
      <c r="AF823" t="n">
        <v>36</v>
      </c>
      <c r="AG823" t="n">
        <v>40</v>
      </c>
      <c r="AH823" t="n">
        <v>10</v>
      </c>
      <c r="AI823" t="n">
        <v>12</v>
      </c>
      <c r="AJ823" t="n">
        <v>7</v>
      </c>
      <c r="AK823" t="n">
        <v>9</v>
      </c>
      <c r="AL823" t="n">
        <v>16</v>
      </c>
      <c r="AM823" t="n">
        <v>18</v>
      </c>
      <c r="AN823" t="n">
        <v>9</v>
      </c>
      <c r="AO823" t="n">
        <v>9</v>
      </c>
      <c r="AP823" t="n">
        <v>0</v>
      </c>
      <c r="AQ823" t="n">
        <v>0</v>
      </c>
      <c r="AR823" t="inlineStr">
        <is>
          <t>No</t>
        </is>
      </c>
      <c r="AS823" t="inlineStr">
        <is>
          <t>No</t>
        </is>
      </c>
      <c r="AU823">
        <f>HYPERLINK("https://creighton-primo.hosted.exlibrisgroup.com/primo-explore/search?tab=default_tab&amp;search_scope=EVERYTHING&amp;vid=01CRU&amp;lang=en_US&amp;offset=0&amp;query=any,contains,991003179639702656","Catalog Record")</f>
        <v/>
      </c>
      <c r="AV823">
        <f>HYPERLINK("http://www.worldcat.org/oclc/711489","WorldCat Record")</f>
        <v/>
      </c>
      <c r="AW823" t="inlineStr">
        <is>
          <t>151013202:eng</t>
        </is>
      </c>
      <c r="AX823" t="inlineStr">
        <is>
          <t>711489</t>
        </is>
      </c>
      <c r="AY823" t="inlineStr">
        <is>
          <t>991003179639702656</t>
        </is>
      </c>
      <c r="AZ823" t="inlineStr">
        <is>
          <t>991003179639702656</t>
        </is>
      </c>
      <c r="BA823" t="inlineStr">
        <is>
          <t>2262051040002656</t>
        </is>
      </c>
      <c r="BB823" t="inlineStr">
        <is>
          <t>BOOK</t>
        </is>
      </c>
      <c r="BE823" t="inlineStr">
        <is>
          <t>32285000596295</t>
        </is>
      </c>
      <c r="BF823" t="inlineStr">
        <is>
          <t>893258132</t>
        </is>
      </c>
    </row>
    <row r="824">
      <c r="A824" t="inlineStr">
        <is>
          <t>No</t>
        </is>
      </c>
      <c r="B824" t="inlineStr">
        <is>
          <t>CURAL</t>
        </is>
      </c>
      <c r="C824" t="inlineStr">
        <is>
          <t>SHELVES</t>
        </is>
      </c>
      <c r="D824" t="inlineStr">
        <is>
          <t>PR2983 .L4 1963</t>
        </is>
      </c>
      <c r="E824" t="inlineStr">
        <is>
          <t>0                      PR 2983000L  4           1963</t>
        </is>
      </c>
      <c r="F824" t="inlineStr">
        <is>
          <t>Shakespeare's tragedies : an anthology of modern criticism / edited by Laurence Lerner.</t>
        </is>
      </c>
      <c r="H824" t="inlineStr">
        <is>
          <t>No</t>
        </is>
      </c>
      <c r="I824" t="inlineStr">
        <is>
          <t>1</t>
        </is>
      </c>
      <c r="J824" t="inlineStr">
        <is>
          <t>No</t>
        </is>
      </c>
      <c r="K824" t="inlineStr">
        <is>
          <t>No</t>
        </is>
      </c>
      <c r="L824" t="inlineStr">
        <is>
          <t>0</t>
        </is>
      </c>
      <c r="M824" t="inlineStr">
        <is>
          <t>Lerner, Laurence.</t>
        </is>
      </c>
      <c r="N824" t="inlineStr">
        <is>
          <t>Baltimore : Penguin Books, [1963]</t>
        </is>
      </c>
      <c r="O824" t="inlineStr">
        <is>
          <t>1963</t>
        </is>
      </c>
      <c r="Q824" t="inlineStr">
        <is>
          <t>eng</t>
        </is>
      </c>
      <c r="R824" t="inlineStr">
        <is>
          <t>mdu</t>
        </is>
      </c>
      <c r="S824" t="inlineStr">
        <is>
          <t>Pelican books ; A645</t>
        </is>
      </c>
      <c r="T824" t="inlineStr">
        <is>
          <t xml:space="preserve">PR </t>
        </is>
      </c>
      <c r="U824" t="n">
        <v>1</v>
      </c>
      <c r="V824" t="n">
        <v>1</v>
      </c>
      <c r="W824" t="inlineStr">
        <is>
          <t>2004-12-15</t>
        </is>
      </c>
      <c r="X824" t="inlineStr">
        <is>
          <t>2004-12-15</t>
        </is>
      </c>
      <c r="Y824" t="inlineStr">
        <is>
          <t>2004-12-15</t>
        </is>
      </c>
      <c r="Z824" t="inlineStr">
        <is>
          <t>2004-12-15</t>
        </is>
      </c>
      <c r="AA824" t="n">
        <v>78</v>
      </c>
      <c r="AB824" t="n">
        <v>62</v>
      </c>
      <c r="AC824" t="n">
        <v>62</v>
      </c>
      <c r="AD824" t="n">
        <v>1</v>
      </c>
      <c r="AE824" t="n">
        <v>1</v>
      </c>
      <c r="AF824" t="n">
        <v>2</v>
      </c>
      <c r="AG824" t="n">
        <v>2</v>
      </c>
      <c r="AH824" t="n">
        <v>0</v>
      </c>
      <c r="AI824" t="n">
        <v>0</v>
      </c>
      <c r="AJ824" t="n">
        <v>0</v>
      </c>
      <c r="AK824" t="n">
        <v>0</v>
      </c>
      <c r="AL824" t="n">
        <v>2</v>
      </c>
      <c r="AM824" t="n">
        <v>2</v>
      </c>
      <c r="AN824" t="n">
        <v>0</v>
      </c>
      <c r="AO824" t="n">
        <v>0</v>
      </c>
      <c r="AP824" t="n">
        <v>0</v>
      </c>
      <c r="AQ824" t="n">
        <v>0</v>
      </c>
      <c r="AR824" t="inlineStr">
        <is>
          <t>No</t>
        </is>
      </c>
      <c r="AS824" t="inlineStr">
        <is>
          <t>No</t>
        </is>
      </c>
      <c r="AU824">
        <f>HYPERLINK("https://creighton-primo.hosted.exlibrisgroup.com/primo-explore/search?tab=default_tab&amp;search_scope=EVERYTHING&amp;vid=01CRU&amp;lang=en_US&amp;offset=0&amp;query=any,contains,991004439019702656","Catalog Record")</f>
        <v/>
      </c>
      <c r="AV824">
        <f>HYPERLINK("http://www.worldcat.org/oclc/5234902","WorldCat Record")</f>
        <v/>
      </c>
      <c r="AW824" t="inlineStr">
        <is>
          <t>9463544748:eng</t>
        </is>
      </c>
      <c r="AX824" t="inlineStr">
        <is>
          <t>5234902</t>
        </is>
      </c>
      <c r="AY824" t="inlineStr">
        <is>
          <t>991004439019702656</t>
        </is>
      </c>
      <c r="AZ824" t="inlineStr">
        <is>
          <t>991004439019702656</t>
        </is>
      </c>
      <c r="BA824" t="inlineStr">
        <is>
          <t>2272087380002656</t>
        </is>
      </c>
      <c r="BB824" t="inlineStr">
        <is>
          <t>BOOK</t>
        </is>
      </c>
      <c r="BE824" t="inlineStr">
        <is>
          <t>32285005017735</t>
        </is>
      </c>
      <c r="BF824" t="inlineStr">
        <is>
          <t>893800971</t>
        </is>
      </c>
    </row>
    <row r="825">
      <c r="A825" t="inlineStr">
        <is>
          <t>No</t>
        </is>
      </c>
      <c r="B825" t="inlineStr">
        <is>
          <t>CURAL</t>
        </is>
      </c>
      <c r="C825" t="inlineStr">
        <is>
          <t>SHELVES</t>
        </is>
      </c>
      <c r="D825" t="inlineStr">
        <is>
          <t>PR2983 .M33</t>
        </is>
      </c>
      <c r="E825" t="inlineStr">
        <is>
          <t>0                      PR 2983000M  33</t>
        </is>
      </c>
      <c r="F825" t="inlineStr">
        <is>
          <t>Killing the king : three studies in Shakespeare's tragic structure / by Maynard Mack, Jr.</t>
        </is>
      </c>
      <c r="H825" t="inlineStr">
        <is>
          <t>No</t>
        </is>
      </c>
      <c r="I825" t="inlineStr">
        <is>
          <t>1</t>
        </is>
      </c>
      <c r="J825" t="inlineStr">
        <is>
          <t>No</t>
        </is>
      </c>
      <c r="K825" t="inlineStr">
        <is>
          <t>No</t>
        </is>
      </c>
      <c r="L825" t="inlineStr">
        <is>
          <t>0</t>
        </is>
      </c>
      <c r="M825" t="inlineStr">
        <is>
          <t>Mack, Maynard, 1942-</t>
        </is>
      </c>
      <c r="N825" t="inlineStr">
        <is>
          <t>New Haven : Yale University Press, 1973.</t>
        </is>
      </c>
      <c r="O825" t="inlineStr">
        <is>
          <t>1973</t>
        </is>
      </c>
      <c r="Q825" t="inlineStr">
        <is>
          <t>eng</t>
        </is>
      </c>
      <c r="R825" t="inlineStr">
        <is>
          <t>ctu</t>
        </is>
      </c>
      <c r="S825" t="inlineStr">
        <is>
          <t>Yale studies in English ; 180</t>
        </is>
      </c>
      <c r="T825" t="inlineStr">
        <is>
          <t xml:space="preserve">PR </t>
        </is>
      </c>
      <c r="U825" t="n">
        <v>2</v>
      </c>
      <c r="V825" t="n">
        <v>2</v>
      </c>
      <c r="W825" t="inlineStr">
        <is>
          <t>1994-09-24</t>
        </is>
      </c>
      <c r="X825" t="inlineStr">
        <is>
          <t>1994-09-24</t>
        </is>
      </c>
      <c r="Y825" t="inlineStr">
        <is>
          <t>1991-08-27</t>
        </is>
      </c>
      <c r="Z825" t="inlineStr">
        <is>
          <t>1991-08-27</t>
        </is>
      </c>
      <c r="AA825" t="n">
        <v>980</v>
      </c>
      <c r="AB825" t="n">
        <v>779</v>
      </c>
      <c r="AC825" t="n">
        <v>780</v>
      </c>
      <c r="AD825" t="n">
        <v>9</v>
      </c>
      <c r="AE825" t="n">
        <v>9</v>
      </c>
      <c r="AF825" t="n">
        <v>40</v>
      </c>
      <c r="AG825" t="n">
        <v>40</v>
      </c>
      <c r="AH825" t="n">
        <v>16</v>
      </c>
      <c r="AI825" t="n">
        <v>16</v>
      </c>
      <c r="AJ825" t="n">
        <v>7</v>
      </c>
      <c r="AK825" t="n">
        <v>7</v>
      </c>
      <c r="AL825" t="n">
        <v>18</v>
      </c>
      <c r="AM825" t="n">
        <v>18</v>
      </c>
      <c r="AN825" t="n">
        <v>7</v>
      </c>
      <c r="AO825" t="n">
        <v>7</v>
      </c>
      <c r="AP825" t="n">
        <v>0</v>
      </c>
      <c r="AQ825" t="n">
        <v>0</v>
      </c>
      <c r="AR825" t="inlineStr">
        <is>
          <t>No</t>
        </is>
      </c>
      <c r="AS825" t="inlineStr">
        <is>
          <t>No</t>
        </is>
      </c>
      <c r="AU825">
        <f>HYPERLINK("https://creighton-primo.hosted.exlibrisgroup.com/primo-explore/search?tab=default_tab&amp;search_scope=EVERYTHING&amp;vid=01CRU&amp;lang=en_US&amp;offset=0&amp;query=any,contains,991003044329702656","Catalog Record")</f>
        <v/>
      </c>
      <c r="AV825">
        <f>HYPERLINK("http://www.worldcat.org/oclc/605162","WorldCat Record")</f>
        <v/>
      </c>
      <c r="AW825" t="inlineStr">
        <is>
          <t>197281442:eng</t>
        </is>
      </c>
      <c r="AX825" t="inlineStr">
        <is>
          <t>605162</t>
        </is>
      </c>
      <c r="AY825" t="inlineStr">
        <is>
          <t>991003044329702656</t>
        </is>
      </c>
      <c r="AZ825" t="inlineStr">
        <is>
          <t>991003044329702656</t>
        </is>
      </c>
      <c r="BA825" t="inlineStr">
        <is>
          <t>2263353640002656</t>
        </is>
      </c>
      <c r="BB825" t="inlineStr">
        <is>
          <t>BOOK</t>
        </is>
      </c>
      <c r="BD825" t="inlineStr">
        <is>
          <t>9780300014501</t>
        </is>
      </c>
      <c r="BE825" t="inlineStr">
        <is>
          <t>32285000697655</t>
        </is>
      </c>
      <c r="BF825" t="inlineStr">
        <is>
          <t>893592133</t>
        </is>
      </c>
    </row>
    <row r="826">
      <c r="A826" t="inlineStr">
        <is>
          <t>No</t>
        </is>
      </c>
      <c r="B826" t="inlineStr">
        <is>
          <t>CURAL</t>
        </is>
      </c>
      <c r="C826" t="inlineStr">
        <is>
          <t>SHELVES</t>
        </is>
      </c>
      <c r="D826" t="inlineStr">
        <is>
          <t>PR2983 .M37 1984</t>
        </is>
      </c>
      <c r="E826" t="inlineStr">
        <is>
          <t>0                      PR 2983000M  37          1984</t>
        </is>
      </c>
      <c r="F826" t="inlineStr">
        <is>
          <t>A picture of Shakespeare's tragedies / Robert Marchant.</t>
        </is>
      </c>
      <c r="H826" t="inlineStr">
        <is>
          <t>No</t>
        </is>
      </c>
      <c r="I826" t="inlineStr">
        <is>
          <t>1</t>
        </is>
      </c>
      <c r="J826" t="inlineStr">
        <is>
          <t>No</t>
        </is>
      </c>
      <c r="K826" t="inlineStr">
        <is>
          <t>No</t>
        </is>
      </c>
      <c r="L826" t="inlineStr">
        <is>
          <t>0</t>
        </is>
      </c>
      <c r="M826" t="inlineStr">
        <is>
          <t>Marchant, Robert.</t>
        </is>
      </c>
      <c r="N826" t="inlineStr">
        <is>
          <t>Retford, Notts., England : Brynmill, 1984.</t>
        </is>
      </c>
      <c r="O826" t="inlineStr">
        <is>
          <t>1984</t>
        </is>
      </c>
      <c r="Q826" t="inlineStr">
        <is>
          <t>eng</t>
        </is>
      </c>
      <c r="R826" t="inlineStr">
        <is>
          <t>enk</t>
        </is>
      </c>
      <c r="T826" t="inlineStr">
        <is>
          <t xml:space="preserve">PR </t>
        </is>
      </c>
      <c r="U826" t="n">
        <v>2</v>
      </c>
      <c r="V826" t="n">
        <v>2</v>
      </c>
      <c r="W826" t="inlineStr">
        <is>
          <t>1996-11-25</t>
        </is>
      </c>
      <c r="X826" t="inlineStr">
        <is>
          <t>1996-11-25</t>
        </is>
      </c>
      <c r="Y826" t="inlineStr">
        <is>
          <t>1991-08-22</t>
        </is>
      </c>
      <c r="Z826" t="inlineStr">
        <is>
          <t>1991-08-22</t>
        </is>
      </c>
      <c r="AA826" t="n">
        <v>201</v>
      </c>
      <c r="AB826" t="n">
        <v>163</v>
      </c>
      <c r="AC826" t="n">
        <v>166</v>
      </c>
      <c r="AD826" t="n">
        <v>2</v>
      </c>
      <c r="AE826" t="n">
        <v>2</v>
      </c>
      <c r="AF826" t="n">
        <v>11</v>
      </c>
      <c r="AG826" t="n">
        <v>11</v>
      </c>
      <c r="AH826" t="n">
        <v>3</v>
      </c>
      <c r="AI826" t="n">
        <v>3</v>
      </c>
      <c r="AJ826" t="n">
        <v>2</v>
      </c>
      <c r="AK826" t="n">
        <v>2</v>
      </c>
      <c r="AL826" t="n">
        <v>10</v>
      </c>
      <c r="AM826" t="n">
        <v>10</v>
      </c>
      <c r="AN826" t="n">
        <v>1</v>
      </c>
      <c r="AO826" t="n">
        <v>1</v>
      </c>
      <c r="AP826" t="n">
        <v>0</v>
      </c>
      <c r="AQ826" t="n">
        <v>0</v>
      </c>
      <c r="AR826" t="inlineStr">
        <is>
          <t>No</t>
        </is>
      </c>
      <c r="AS826" t="inlineStr">
        <is>
          <t>Yes</t>
        </is>
      </c>
      <c r="AT826">
        <f>HYPERLINK("http://catalog.hathitrust.org/Record/000382564","HathiTrust Record")</f>
        <v/>
      </c>
      <c r="AU826">
        <f>HYPERLINK("https://creighton-primo.hosted.exlibrisgroup.com/primo-explore/search?tab=default_tab&amp;search_scope=EVERYTHING&amp;vid=01CRU&amp;lang=en_US&amp;offset=0&amp;query=any,contains,991000593839702656","Catalog Record")</f>
        <v/>
      </c>
      <c r="AV826">
        <f>HYPERLINK("http://www.worldcat.org/oclc/14357865","WorldCat Record")</f>
        <v/>
      </c>
      <c r="AW826" t="inlineStr">
        <is>
          <t>1002865:eng</t>
        </is>
      </c>
      <c r="AX826" t="inlineStr">
        <is>
          <t>14357865</t>
        </is>
      </c>
      <c r="AY826" t="inlineStr">
        <is>
          <t>991000593839702656</t>
        </is>
      </c>
      <c r="AZ826" t="inlineStr">
        <is>
          <t>991000593839702656</t>
        </is>
      </c>
      <c r="BA826" t="inlineStr">
        <is>
          <t>2257609500002656</t>
        </is>
      </c>
      <c r="BB826" t="inlineStr">
        <is>
          <t>BOOK</t>
        </is>
      </c>
      <c r="BD826" t="inlineStr">
        <is>
          <t>9780907839088</t>
        </is>
      </c>
      <c r="BE826" t="inlineStr">
        <is>
          <t>32285000697671</t>
        </is>
      </c>
      <c r="BF826" t="inlineStr">
        <is>
          <t>893620621</t>
        </is>
      </c>
    </row>
    <row r="827">
      <c r="A827" t="inlineStr">
        <is>
          <t>No</t>
        </is>
      </c>
      <c r="B827" t="inlineStr">
        <is>
          <t>CURAL</t>
        </is>
      </c>
      <c r="C827" t="inlineStr">
        <is>
          <t>SHELVES</t>
        </is>
      </c>
      <c r="D827" t="inlineStr">
        <is>
          <t>PR2983 .M377 1991</t>
        </is>
      </c>
      <c r="E827" t="inlineStr">
        <is>
          <t>0                      PR 2983000M  377         1991</t>
        </is>
      </c>
      <c r="F827" t="inlineStr">
        <is>
          <t>Shakespeare's tragic cosmos / T. McAlindon.</t>
        </is>
      </c>
      <c r="H827" t="inlineStr">
        <is>
          <t>No</t>
        </is>
      </c>
      <c r="I827" t="inlineStr">
        <is>
          <t>1</t>
        </is>
      </c>
      <c r="J827" t="inlineStr">
        <is>
          <t>No</t>
        </is>
      </c>
      <c r="K827" t="inlineStr">
        <is>
          <t>No</t>
        </is>
      </c>
      <c r="L827" t="inlineStr">
        <is>
          <t>0</t>
        </is>
      </c>
      <c r="M827" t="inlineStr">
        <is>
          <t>McAlindon, T. (Thomas)</t>
        </is>
      </c>
      <c r="N827" t="inlineStr">
        <is>
          <t>Cambridge [England] ; New York : Cambridge University Press, 1991.</t>
        </is>
      </c>
      <c r="O827" t="inlineStr">
        <is>
          <t>1991</t>
        </is>
      </c>
      <c r="Q827" t="inlineStr">
        <is>
          <t>eng</t>
        </is>
      </c>
      <c r="R827" t="inlineStr">
        <is>
          <t>enk</t>
        </is>
      </c>
      <c r="T827" t="inlineStr">
        <is>
          <t xml:space="preserve">PR </t>
        </is>
      </c>
      <c r="U827" t="n">
        <v>3</v>
      </c>
      <c r="V827" t="n">
        <v>3</v>
      </c>
      <c r="W827" t="inlineStr">
        <is>
          <t>1992-03-26</t>
        </is>
      </c>
      <c r="X827" t="inlineStr">
        <is>
          <t>1992-03-26</t>
        </is>
      </c>
      <c r="Y827" t="inlineStr">
        <is>
          <t>1991-05-14</t>
        </is>
      </c>
      <c r="Z827" t="inlineStr">
        <is>
          <t>1991-05-14</t>
        </is>
      </c>
      <c r="AA827" t="n">
        <v>608</v>
      </c>
      <c r="AB827" t="n">
        <v>424</v>
      </c>
      <c r="AC827" t="n">
        <v>468</v>
      </c>
      <c r="AD827" t="n">
        <v>4</v>
      </c>
      <c r="AE827" t="n">
        <v>5</v>
      </c>
      <c r="AF827" t="n">
        <v>26</v>
      </c>
      <c r="AG827" t="n">
        <v>31</v>
      </c>
      <c r="AH827" t="n">
        <v>8</v>
      </c>
      <c r="AI827" t="n">
        <v>12</v>
      </c>
      <c r="AJ827" t="n">
        <v>6</v>
      </c>
      <c r="AK827" t="n">
        <v>7</v>
      </c>
      <c r="AL827" t="n">
        <v>17</v>
      </c>
      <c r="AM827" t="n">
        <v>17</v>
      </c>
      <c r="AN827" t="n">
        <v>3</v>
      </c>
      <c r="AO827" t="n">
        <v>4</v>
      </c>
      <c r="AP827" t="n">
        <v>0</v>
      </c>
      <c r="AQ827" t="n">
        <v>0</v>
      </c>
      <c r="AR827" t="inlineStr">
        <is>
          <t>No</t>
        </is>
      </c>
      <c r="AS827" t="inlineStr">
        <is>
          <t>No</t>
        </is>
      </c>
      <c r="AU827">
        <f>HYPERLINK("https://creighton-primo.hosted.exlibrisgroup.com/primo-explore/search?tab=default_tab&amp;search_scope=EVERYTHING&amp;vid=01CRU&amp;lang=en_US&amp;offset=0&amp;query=any,contains,991001668309702656","Catalog Record")</f>
        <v/>
      </c>
      <c r="AV827">
        <f>HYPERLINK("http://www.worldcat.org/oclc/21231240","WorldCat Record")</f>
        <v/>
      </c>
      <c r="AW827" t="inlineStr">
        <is>
          <t>23223194:eng</t>
        </is>
      </c>
      <c r="AX827" t="inlineStr">
        <is>
          <t>21231240</t>
        </is>
      </c>
      <c r="AY827" t="inlineStr">
        <is>
          <t>991001668309702656</t>
        </is>
      </c>
      <c r="AZ827" t="inlineStr">
        <is>
          <t>991001668309702656</t>
        </is>
      </c>
      <c r="BA827" t="inlineStr">
        <is>
          <t>2262565430002656</t>
        </is>
      </c>
      <c r="BB827" t="inlineStr">
        <is>
          <t>BOOK</t>
        </is>
      </c>
      <c r="BD827" t="inlineStr">
        <is>
          <t>9780521390415</t>
        </is>
      </c>
      <c r="BE827" t="inlineStr">
        <is>
          <t>32285000572957</t>
        </is>
      </c>
      <c r="BF827" t="inlineStr">
        <is>
          <t>893503577</t>
        </is>
      </c>
    </row>
    <row r="828">
      <c r="A828" t="inlineStr">
        <is>
          <t>No</t>
        </is>
      </c>
      <c r="B828" t="inlineStr">
        <is>
          <t>CURAL</t>
        </is>
      </c>
      <c r="C828" t="inlineStr">
        <is>
          <t>SHELVES</t>
        </is>
      </c>
      <c r="D828" t="inlineStr">
        <is>
          <t>PR2983 .S5</t>
        </is>
      </c>
      <c r="E828" t="inlineStr">
        <is>
          <t>0                      PR 2983000S  5</t>
        </is>
      </c>
      <c r="F828" t="inlineStr">
        <is>
          <t>Shakespearean tragedy and the Elizabethan compromise.</t>
        </is>
      </c>
      <c r="H828" t="inlineStr">
        <is>
          <t>No</t>
        </is>
      </c>
      <c r="I828" t="inlineStr">
        <is>
          <t>1</t>
        </is>
      </c>
      <c r="J828" t="inlineStr">
        <is>
          <t>No</t>
        </is>
      </c>
      <c r="K828" t="inlineStr">
        <is>
          <t>No</t>
        </is>
      </c>
      <c r="L828" t="inlineStr">
        <is>
          <t>0</t>
        </is>
      </c>
      <c r="M828" t="inlineStr">
        <is>
          <t>Siegel, Paul N.</t>
        </is>
      </c>
      <c r="N828" t="inlineStr">
        <is>
          <t>New York, New York University Press, 1957.</t>
        </is>
      </c>
      <c r="O828" t="inlineStr">
        <is>
          <t>1957</t>
        </is>
      </c>
      <c r="Q828" t="inlineStr">
        <is>
          <t>eng</t>
        </is>
      </c>
      <c r="R828" t="inlineStr">
        <is>
          <t>nyu</t>
        </is>
      </c>
      <c r="T828" t="inlineStr">
        <is>
          <t xml:space="preserve">PR </t>
        </is>
      </c>
      <c r="U828" t="n">
        <v>3</v>
      </c>
      <c r="V828" t="n">
        <v>3</v>
      </c>
      <c r="W828" t="inlineStr">
        <is>
          <t>2000-03-30</t>
        </is>
      </c>
      <c r="X828" t="inlineStr">
        <is>
          <t>2000-03-30</t>
        </is>
      </c>
      <c r="Y828" t="inlineStr">
        <is>
          <t>1997-08-06</t>
        </is>
      </c>
      <c r="Z828" t="inlineStr">
        <is>
          <t>1997-08-06</t>
        </is>
      </c>
      <c r="AA828" t="n">
        <v>613</v>
      </c>
      <c r="AB828" t="n">
        <v>544</v>
      </c>
      <c r="AC828" t="n">
        <v>652</v>
      </c>
      <c r="AD828" t="n">
        <v>4</v>
      </c>
      <c r="AE828" t="n">
        <v>4</v>
      </c>
      <c r="AF828" t="n">
        <v>31</v>
      </c>
      <c r="AG828" t="n">
        <v>34</v>
      </c>
      <c r="AH828" t="n">
        <v>14</v>
      </c>
      <c r="AI828" t="n">
        <v>14</v>
      </c>
      <c r="AJ828" t="n">
        <v>7</v>
      </c>
      <c r="AK828" t="n">
        <v>8</v>
      </c>
      <c r="AL828" t="n">
        <v>17</v>
      </c>
      <c r="AM828" t="n">
        <v>19</v>
      </c>
      <c r="AN828" t="n">
        <v>3</v>
      </c>
      <c r="AO828" t="n">
        <v>3</v>
      </c>
      <c r="AP828" t="n">
        <v>0</v>
      </c>
      <c r="AQ828" t="n">
        <v>0</v>
      </c>
      <c r="AR828" t="inlineStr">
        <is>
          <t>No</t>
        </is>
      </c>
      <c r="AS828" t="inlineStr">
        <is>
          <t>No</t>
        </is>
      </c>
      <c r="AU828">
        <f>HYPERLINK("https://creighton-primo.hosted.exlibrisgroup.com/primo-explore/search?tab=default_tab&amp;search_scope=EVERYTHING&amp;vid=01CRU&amp;lang=en_US&amp;offset=0&amp;query=any,contains,991002454479702656","Catalog Record")</f>
        <v/>
      </c>
      <c r="AV828">
        <f>HYPERLINK("http://www.worldcat.org/oclc/353842","WorldCat Record")</f>
        <v/>
      </c>
      <c r="AW828" t="inlineStr">
        <is>
          <t>499079:eng</t>
        </is>
      </c>
      <c r="AX828" t="inlineStr">
        <is>
          <t>353842</t>
        </is>
      </c>
      <c r="AY828" t="inlineStr">
        <is>
          <t>991002454479702656</t>
        </is>
      </c>
      <c r="AZ828" t="inlineStr">
        <is>
          <t>991002454479702656</t>
        </is>
      </c>
      <c r="BA828" t="inlineStr">
        <is>
          <t>2267832000002656</t>
        </is>
      </c>
      <c r="BB828" t="inlineStr">
        <is>
          <t>BOOK</t>
        </is>
      </c>
      <c r="BE828" t="inlineStr">
        <is>
          <t>32285003021069</t>
        </is>
      </c>
      <c r="BF828" t="inlineStr">
        <is>
          <t>893609878</t>
        </is>
      </c>
    </row>
    <row r="829">
      <c r="A829" t="inlineStr">
        <is>
          <t>No</t>
        </is>
      </c>
      <c r="B829" t="inlineStr">
        <is>
          <t>CURAL</t>
        </is>
      </c>
      <c r="C829" t="inlineStr">
        <is>
          <t>SHELVES</t>
        </is>
      </c>
      <c r="D829" t="inlineStr">
        <is>
          <t>PR2983 .S8 1956</t>
        </is>
      </c>
      <c r="E829" t="inlineStr">
        <is>
          <t>0                      PR 2983000S  8           1956</t>
        </is>
      </c>
      <c r="F829" t="inlineStr">
        <is>
          <t>Unity in Shakespearian tragedy; the interplay of theme and character.</t>
        </is>
      </c>
      <c r="H829" t="inlineStr">
        <is>
          <t>No</t>
        </is>
      </c>
      <c r="I829" t="inlineStr">
        <is>
          <t>1</t>
        </is>
      </c>
      <c r="J829" t="inlineStr">
        <is>
          <t>No</t>
        </is>
      </c>
      <c r="K829" t="inlineStr">
        <is>
          <t>No</t>
        </is>
      </c>
      <c r="L829" t="inlineStr">
        <is>
          <t>0</t>
        </is>
      </c>
      <c r="M829" t="inlineStr">
        <is>
          <t>Stirling, Brents, 1904-1995.</t>
        </is>
      </c>
      <c r="N829" t="inlineStr">
        <is>
          <t>New York, Columbia University Press, 1956.</t>
        </is>
      </c>
      <c r="O829" t="inlineStr">
        <is>
          <t>1956</t>
        </is>
      </c>
      <c r="Q829" t="inlineStr">
        <is>
          <t>eng</t>
        </is>
      </c>
      <c r="R829" t="inlineStr">
        <is>
          <t>nyu</t>
        </is>
      </c>
      <c r="T829" t="inlineStr">
        <is>
          <t xml:space="preserve">PR </t>
        </is>
      </c>
      <c r="U829" t="n">
        <v>1</v>
      </c>
      <c r="V829" t="n">
        <v>1</v>
      </c>
      <c r="W829" t="inlineStr">
        <is>
          <t>1998-12-03</t>
        </is>
      </c>
      <c r="X829" t="inlineStr">
        <is>
          <t>1998-12-03</t>
        </is>
      </c>
      <c r="Y829" t="inlineStr">
        <is>
          <t>1997-08-06</t>
        </is>
      </c>
      <c r="Z829" t="inlineStr">
        <is>
          <t>1997-08-06</t>
        </is>
      </c>
      <c r="AA829" t="n">
        <v>521</v>
      </c>
      <c r="AB829" t="n">
        <v>451</v>
      </c>
      <c r="AC829" t="n">
        <v>948</v>
      </c>
      <c r="AD829" t="n">
        <v>2</v>
      </c>
      <c r="AE829" t="n">
        <v>9</v>
      </c>
      <c r="AF829" t="n">
        <v>29</v>
      </c>
      <c r="AG829" t="n">
        <v>48</v>
      </c>
      <c r="AH829" t="n">
        <v>14</v>
      </c>
      <c r="AI829" t="n">
        <v>20</v>
      </c>
      <c r="AJ829" t="n">
        <v>6</v>
      </c>
      <c r="AK829" t="n">
        <v>10</v>
      </c>
      <c r="AL829" t="n">
        <v>18</v>
      </c>
      <c r="AM829" t="n">
        <v>23</v>
      </c>
      <c r="AN829" t="n">
        <v>1</v>
      </c>
      <c r="AO829" t="n">
        <v>8</v>
      </c>
      <c r="AP829" t="n">
        <v>0</v>
      </c>
      <c r="AQ829" t="n">
        <v>0</v>
      </c>
      <c r="AR829" t="inlineStr">
        <is>
          <t>No</t>
        </is>
      </c>
      <c r="AS829" t="inlineStr">
        <is>
          <t>Yes</t>
        </is>
      </c>
      <c r="AT829">
        <f>HYPERLINK("http://catalog.hathitrust.org/Record/001112235","HathiTrust Record")</f>
        <v/>
      </c>
      <c r="AU829">
        <f>HYPERLINK("https://creighton-primo.hosted.exlibrisgroup.com/primo-explore/search?tab=default_tab&amp;search_scope=EVERYTHING&amp;vid=01CRU&amp;lang=en_US&amp;offset=0&amp;query=any,contains,991001860729702656","Catalog Record")</f>
        <v/>
      </c>
      <c r="AV829">
        <f>HYPERLINK("http://www.worldcat.org/oclc/237908","WorldCat Record")</f>
        <v/>
      </c>
      <c r="AW829" t="inlineStr">
        <is>
          <t>536183:eng</t>
        </is>
      </c>
      <c r="AX829" t="inlineStr">
        <is>
          <t>237908</t>
        </is>
      </c>
      <c r="AY829" t="inlineStr">
        <is>
          <t>991001860729702656</t>
        </is>
      </c>
      <c r="AZ829" t="inlineStr">
        <is>
          <t>991001860729702656</t>
        </is>
      </c>
      <c r="BA829" t="inlineStr">
        <is>
          <t>2256575340002656</t>
        </is>
      </c>
      <c r="BB829" t="inlineStr">
        <is>
          <t>BOOK</t>
        </is>
      </c>
      <c r="BE829" t="inlineStr">
        <is>
          <t>32285003021085</t>
        </is>
      </c>
      <c r="BF829" t="inlineStr">
        <is>
          <t>893898117</t>
        </is>
      </c>
    </row>
    <row r="830">
      <c r="A830" t="inlineStr">
        <is>
          <t>No</t>
        </is>
      </c>
      <c r="B830" t="inlineStr">
        <is>
          <t>CURAL</t>
        </is>
      </c>
      <c r="C830" t="inlineStr">
        <is>
          <t>SHELVES</t>
        </is>
      </c>
      <c r="D830" t="inlineStr">
        <is>
          <t>PR2983 .W37 1994</t>
        </is>
      </c>
      <c r="E830" t="inlineStr">
        <is>
          <t>0                      PR 2983000W  37          1994</t>
        </is>
      </c>
      <c r="F830" t="inlineStr">
        <is>
          <t>Christian settings in Shakespeare's tragedies / D. Douglas Waters.</t>
        </is>
      </c>
      <c r="H830" t="inlineStr">
        <is>
          <t>No</t>
        </is>
      </c>
      <c r="I830" t="inlineStr">
        <is>
          <t>1</t>
        </is>
      </c>
      <c r="J830" t="inlineStr">
        <is>
          <t>No</t>
        </is>
      </c>
      <c r="K830" t="inlineStr">
        <is>
          <t>No</t>
        </is>
      </c>
      <c r="L830" t="inlineStr">
        <is>
          <t>0</t>
        </is>
      </c>
      <c r="M830" t="inlineStr">
        <is>
          <t>Waters, D. Douglas, 1929-</t>
        </is>
      </c>
      <c r="N830" t="inlineStr">
        <is>
          <t>Rutherford, [N.J.] : Fairleigh Dickinson University Press, c1994.</t>
        </is>
      </c>
      <c r="O830" t="inlineStr">
        <is>
          <t>1994</t>
        </is>
      </c>
      <c r="Q830" t="inlineStr">
        <is>
          <t>eng</t>
        </is>
      </c>
      <c r="R830" t="inlineStr">
        <is>
          <t>nju</t>
        </is>
      </c>
      <c r="T830" t="inlineStr">
        <is>
          <t xml:space="preserve">PR </t>
        </is>
      </c>
      <c r="U830" t="n">
        <v>2</v>
      </c>
      <c r="V830" t="n">
        <v>2</v>
      </c>
      <c r="W830" t="inlineStr">
        <is>
          <t>2004-04-23</t>
        </is>
      </c>
      <c r="X830" t="inlineStr">
        <is>
          <t>2004-04-23</t>
        </is>
      </c>
      <c r="Y830" t="inlineStr">
        <is>
          <t>1995-12-18</t>
        </is>
      </c>
      <c r="Z830" t="inlineStr">
        <is>
          <t>1995-12-18</t>
        </is>
      </c>
      <c r="AA830" t="n">
        <v>441</v>
      </c>
      <c r="AB830" t="n">
        <v>369</v>
      </c>
      <c r="AC830" t="n">
        <v>371</v>
      </c>
      <c r="AD830" t="n">
        <v>5</v>
      </c>
      <c r="AE830" t="n">
        <v>5</v>
      </c>
      <c r="AF830" t="n">
        <v>18</v>
      </c>
      <c r="AG830" t="n">
        <v>18</v>
      </c>
      <c r="AH830" t="n">
        <v>5</v>
      </c>
      <c r="AI830" t="n">
        <v>5</v>
      </c>
      <c r="AJ830" t="n">
        <v>3</v>
      </c>
      <c r="AK830" t="n">
        <v>3</v>
      </c>
      <c r="AL830" t="n">
        <v>11</v>
      </c>
      <c r="AM830" t="n">
        <v>11</v>
      </c>
      <c r="AN830" t="n">
        <v>4</v>
      </c>
      <c r="AO830" t="n">
        <v>4</v>
      </c>
      <c r="AP830" t="n">
        <v>0</v>
      </c>
      <c r="AQ830" t="n">
        <v>0</v>
      </c>
      <c r="AR830" t="inlineStr">
        <is>
          <t>No</t>
        </is>
      </c>
      <c r="AS830" t="inlineStr">
        <is>
          <t>Yes</t>
        </is>
      </c>
      <c r="AT830">
        <f>HYPERLINK("http://catalog.hathitrust.org/Record/002895646","HathiTrust Record")</f>
        <v/>
      </c>
      <c r="AU830">
        <f>HYPERLINK("https://creighton-primo.hosted.exlibrisgroup.com/primo-explore/search?tab=default_tab&amp;search_scope=EVERYTHING&amp;vid=01CRU&amp;lang=en_US&amp;offset=0&amp;query=any,contains,991002230669702656","Catalog Record")</f>
        <v/>
      </c>
      <c r="AV830">
        <f>HYPERLINK("http://www.worldcat.org/oclc/28722439","WorldCat Record")</f>
        <v/>
      </c>
      <c r="AW830" t="inlineStr">
        <is>
          <t>31170999:eng</t>
        </is>
      </c>
      <c r="AX830" t="inlineStr">
        <is>
          <t>28722439</t>
        </is>
      </c>
      <c r="AY830" t="inlineStr">
        <is>
          <t>991002230669702656</t>
        </is>
      </c>
      <c r="AZ830" t="inlineStr">
        <is>
          <t>991002230669702656</t>
        </is>
      </c>
      <c r="BA830" t="inlineStr">
        <is>
          <t>2263030220002656</t>
        </is>
      </c>
      <c r="BB830" t="inlineStr">
        <is>
          <t>BOOK</t>
        </is>
      </c>
      <c r="BD830" t="inlineStr">
        <is>
          <t>9780838635285</t>
        </is>
      </c>
      <c r="BE830" t="inlineStr">
        <is>
          <t>32285002111846</t>
        </is>
      </c>
      <c r="BF830" t="inlineStr">
        <is>
          <t>893691357</t>
        </is>
      </c>
    </row>
    <row r="831">
      <c r="A831" t="inlineStr">
        <is>
          <t>No</t>
        </is>
      </c>
      <c r="B831" t="inlineStr">
        <is>
          <t>CURAL</t>
        </is>
      </c>
      <c r="C831" t="inlineStr">
        <is>
          <t>SHELVES</t>
        </is>
      </c>
      <c r="D831" t="inlineStr">
        <is>
          <t>PR2983 .Y6 1990</t>
        </is>
      </c>
      <c r="E831" t="inlineStr">
        <is>
          <t>0                      PR 2983000Y  6           1990</t>
        </is>
      </c>
      <c r="F831" t="inlineStr">
        <is>
          <t>The action to the word : structure and style in Shakespearean tragedy / David Young.</t>
        </is>
      </c>
      <c r="H831" t="inlineStr">
        <is>
          <t>No</t>
        </is>
      </c>
      <c r="I831" t="inlineStr">
        <is>
          <t>1</t>
        </is>
      </c>
      <c r="J831" t="inlineStr">
        <is>
          <t>No</t>
        </is>
      </c>
      <c r="K831" t="inlineStr">
        <is>
          <t>No</t>
        </is>
      </c>
      <c r="L831" t="inlineStr">
        <is>
          <t>0</t>
        </is>
      </c>
      <c r="M831" t="inlineStr">
        <is>
          <t>Young, David, 1936-</t>
        </is>
      </c>
      <c r="N831" t="inlineStr">
        <is>
          <t>New Haven : Yale University Press, c1990.</t>
        </is>
      </c>
      <c r="O831" t="inlineStr">
        <is>
          <t>1990</t>
        </is>
      </c>
      <c r="Q831" t="inlineStr">
        <is>
          <t>eng</t>
        </is>
      </c>
      <c r="R831" t="inlineStr">
        <is>
          <t>ctu</t>
        </is>
      </c>
      <c r="T831" t="inlineStr">
        <is>
          <t xml:space="preserve">PR </t>
        </is>
      </c>
      <c r="U831" t="n">
        <v>5</v>
      </c>
      <c r="V831" t="n">
        <v>5</v>
      </c>
      <c r="W831" t="inlineStr">
        <is>
          <t>1999-12-02</t>
        </is>
      </c>
      <c r="X831" t="inlineStr">
        <is>
          <t>1999-12-02</t>
        </is>
      </c>
      <c r="Y831" t="inlineStr">
        <is>
          <t>1990-10-13</t>
        </is>
      </c>
      <c r="Z831" t="inlineStr">
        <is>
          <t>1990-10-13</t>
        </is>
      </c>
      <c r="AA831" t="n">
        <v>772</v>
      </c>
      <c r="AB831" t="n">
        <v>651</v>
      </c>
      <c r="AC831" t="n">
        <v>790</v>
      </c>
      <c r="AD831" t="n">
        <v>8</v>
      </c>
      <c r="AE831" t="n">
        <v>8</v>
      </c>
      <c r="AF831" t="n">
        <v>40</v>
      </c>
      <c r="AG831" t="n">
        <v>46</v>
      </c>
      <c r="AH831" t="n">
        <v>13</v>
      </c>
      <c r="AI831" t="n">
        <v>18</v>
      </c>
      <c r="AJ831" t="n">
        <v>8</v>
      </c>
      <c r="AK831" t="n">
        <v>10</v>
      </c>
      <c r="AL831" t="n">
        <v>20</v>
      </c>
      <c r="AM831" t="n">
        <v>22</v>
      </c>
      <c r="AN831" t="n">
        <v>7</v>
      </c>
      <c r="AO831" t="n">
        <v>7</v>
      </c>
      <c r="AP831" t="n">
        <v>0</v>
      </c>
      <c r="AQ831" t="n">
        <v>0</v>
      </c>
      <c r="AR831" t="inlineStr">
        <is>
          <t>No</t>
        </is>
      </c>
      <c r="AS831" t="inlineStr">
        <is>
          <t>No</t>
        </is>
      </c>
      <c r="AU831">
        <f>HYPERLINK("https://creighton-primo.hosted.exlibrisgroup.com/primo-explore/search?tab=default_tab&amp;search_scope=EVERYTHING&amp;vid=01CRU&amp;lang=en_US&amp;offset=0&amp;query=any,contains,991001493359702656","Catalog Record")</f>
        <v/>
      </c>
      <c r="AV831">
        <f>HYPERLINK("http://www.worldcat.org/oclc/19740289","WorldCat Record")</f>
        <v/>
      </c>
      <c r="AW831" t="inlineStr">
        <is>
          <t>836700942:eng</t>
        </is>
      </c>
      <c r="AX831" t="inlineStr">
        <is>
          <t>19740289</t>
        </is>
      </c>
      <c r="AY831" t="inlineStr">
        <is>
          <t>991001493359702656</t>
        </is>
      </c>
      <c r="AZ831" t="inlineStr">
        <is>
          <t>991001493359702656</t>
        </is>
      </c>
      <c r="BA831" t="inlineStr">
        <is>
          <t>2264508170002656</t>
        </is>
      </c>
      <c r="BB831" t="inlineStr">
        <is>
          <t>BOOK</t>
        </is>
      </c>
      <c r="BD831" t="inlineStr">
        <is>
          <t>9780300045345</t>
        </is>
      </c>
      <c r="BE831" t="inlineStr">
        <is>
          <t>32285000310440</t>
        </is>
      </c>
      <c r="BF831" t="inlineStr">
        <is>
          <t>893534569</t>
        </is>
      </c>
    </row>
    <row r="832">
      <c r="A832" t="inlineStr">
        <is>
          <t>No</t>
        </is>
      </c>
      <c r="B832" t="inlineStr">
        <is>
          <t>CURAL</t>
        </is>
      </c>
      <c r="C832" t="inlineStr">
        <is>
          <t>SHELVES</t>
        </is>
      </c>
      <c r="D832" t="inlineStr">
        <is>
          <t>PR2984 .P7 1968</t>
        </is>
      </c>
      <c r="E832" t="inlineStr">
        <is>
          <t>0                      PR 2984000P  7           1968</t>
        </is>
      </c>
      <c r="F832" t="inlineStr">
        <is>
          <t>William Shakespeare : the poems / by F.T. Prince.</t>
        </is>
      </c>
      <c r="H832" t="inlineStr">
        <is>
          <t>No</t>
        </is>
      </c>
      <c r="I832" t="inlineStr">
        <is>
          <t>1</t>
        </is>
      </c>
      <c r="J832" t="inlineStr">
        <is>
          <t>No</t>
        </is>
      </c>
      <c r="K832" t="inlineStr">
        <is>
          <t>No</t>
        </is>
      </c>
      <c r="L832" t="inlineStr">
        <is>
          <t>0</t>
        </is>
      </c>
      <c r="M832" t="inlineStr">
        <is>
          <t>Prince, F. T. (Frank Templeton), 1912-2003.</t>
        </is>
      </c>
      <c r="N832" t="inlineStr">
        <is>
          <t>London : Published for the British Council and the National Book League by Longmans, Greene, 1968, c1963.</t>
        </is>
      </c>
      <c r="O832" t="inlineStr">
        <is>
          <t>1968</t>
        </is>
      </c>
      <c r="Q832" t="inlineStr">
        <is>
          <t>eng</t>
        </is>
      </c>
      <c r="R832" t="inlineStr">
        <is>
          <t>enk</t>
        </is>
      </c>
      <c r="S832" t="inlineStr">
        <is>
          <t>Bibliographical series of supplements to British book news on writers and their work ; no. 165</t>
        </is>
      </c>
      <c r="T832" t="inlineStr">
        <is>
          <t xml:space="preserve">PR </t>
        </is>
      </c>
      <c r="U832" t="n">
        <v>1</v>
      </c>
      <c r="V832" t="n">
        <v>1</v>
      </c>
      <c r="W832" t="inlineStr">
        <is>
          <t>2006-11-27</t>
        </is>
      </c>
      <c r="X832" t="inlineStr">
        <is>
          <t>2006-11-27</t>
        </is>
      </c>
      <c r="Y832" t="inlineStr">
        <is>
          <t>1997-08-06</t>
        </is>
      </c>
      <c r="Z832" t="inlineStr">
        <is>
          <t>1997-08-06</t>
        </is>
      </c>
      <c r="AA832" t="n">
        <v>133</v>
      </c>
      <c r="AB832" t="n">
        <v>102</v>
      </c>
      <c r="AC832" t="n">
        <v>453</v>
      </c>
      <c r="AD832" t="n">
        <v>1</v>
      </c>
      <c r="AE832" t="n">
        <v>5</v>
      </c>
      <c r="AF832" t="n">
        <v>6</v>
      </c>
      <c r="AG832" t="n">
        <v>29</v>
      </c>
      <c r="AH832" t="n">
        <v>2</v>
      </c>
      <c r="AI832" t="n">
        <v>12</v>
      </c>
      <c r="AJ832" t="n">
        <v>3</v>
      </c>
      <c r="AK832" t="n">
        <v>7</v>
      </c>
      <c r="AL832" t="n">
        <v>3</v>
      </c>
      <c r="AM832" t="n">
        <v>16</v>
      </c>
      <c r="AN832" t="n">
        <v>0</v>
      </c>
      <c r="AO832" t="n">
        <v>4</v>
      </c>
      <c r="AP832" t="n">
        <v>0</v>
      </c>
      <c r="AQ832" t="n">
        <v>0</v>
      </c>
      <c r="AR832" t="inlineStr">
        <is>
          <t>No</t>
        </is>
      </c>
      <c r="AS832" t="inlineStr">
        <is>
          <t>No</t>
        </is>
      </c>
      <c r="AU832">
        <f>HYPERLINK("https://creighton-primo.hosted.exlibrisgroup.com/primo-explore/search?tab=default_tab&amp;search_scope=EVERYTHING&amp;vid=01CRU&amp;lang=en_US&amp;offset=0&amp;query=any,contains,991004143689702656","Catalog Record")</f>
        <v/>
      </c>
      <c r="AV832">
        <f>HYPERLINK("http://www.worldcat.org/oclc/2505302","WorldCat Record")</f>
        <v/>
      </c>
      <c r="AW832" t="inlineStr">
        <is>
          <t>181171468:eng</t>
        </is>
      </c>
      <c r="AX832" t="inlineStr">
        <is>
          <t>2505302</t>
        </is>
      </c>
      <c r="AY832" t="inlineStr">
        <is>
          <t>991004143689702656</t>
        </is>
      </c>
      <c r="AZ832" t="inlineStr">
        <is>
          <t>991004143689702656</t>
        </is>
      </c>
      <c r="BA832" t="inlineStr">
        <is>
          <t>2255730230002656</t>
        </is>
      </c>
      <c r="BB832" t="inlineStr">
        <is>
          <t>BOOK</t>
        </is>
      </c>
      <c r="BE832" t="inlineStr">
        <is>
          <t>32285003021101</t>
        </is>
      </c>
      <c r="BF832" t="inlineStr">
        <is>
          <t>893794535</t>
        </is>
      </c>
    </row>
    <row r="833">
      <c r="A833" t="inlineStr">
        <is>
          <t>No</t>
        </is>
      </c>
      <c r="B833" t="inlineStr">
        <is>
          <t>CURAL</t>
        </is>
      </c>
      <c r="C833" t="inlineStr">
        <is>
          <t>SHELVES</t>
        </is>
      </c>
      <c r="D833" t="inlineStr">
        <is>
          <t>PR2984 .S69</t>
        </is>
      </c>
      <c r="E833" t="inlineStr">
        <is>
          <t>0                      PR 2984000S  69</t>
        </is>
      </c>
      <c r="F833" t="inlineStr">
        <is>
          <t>Shakespeare's sonnets: a record of 20th-century criticism.</t>
        </is>
      </c>
      <c r="H833" t="inlineStr">
        <is>
          <t>No</t>
        </is>
      </c>
      <c r="I833" t="inlineStr">
        <is>
          <t>1</t>
        </is>
      </c>
      <c r="J833" t="inlineStr">
        <is>
          <t>No</t>
        </is>
      </c>
      <c r="K833" t="inlineStr">
        <is>
          <t>No</t>
        </is>
      </c>
      <c r="L833" t="inlineStr">
        <is>
          <t>0</t>
        </is>
      </c>
      <c r="M833" t="inlineStr">
        <is>
          <t>Hayashi, Tetsumaro.</t>
        </is>
      </c>
      <c r="N833" t="inlineStr">
        <is>
          <t>Metuchen, N.J., Scarecrow Press, 1972.</t>
        </is>
      </c>
      <c r="O833" t="inlineStr">
        <is>
          <t>1972</t>
        </is>
      </c>
      <c r="Q833" t="inlineStr">
        <is>
          <t>eng</t>
        </is>
      </c>
      <c r="R833" t="inlineStr">
        <is>
          <t>nju</t>
        </is>
      </c>
      <c r="T833" t="inlineStr">
        <is>
          <t xml:space="preserve">PR </t>
        </is>
      </c>
      <c r="U833" t="n">
        <v>4</v>
      </c>
      <c r="V833" t="n">
        <v>4</v>
      </c>
      <c r="W833" t="inlineStr">
        <is>
          <t>2003-05-05</t>
        </is>
      </c>
      <c r="X833" t="inlineStr">
        <is>
          <t>2003-05-05</t>
        </is>
      </c>
      <c r="Y833" t="inlineStr">
        <is>
          <t>1997-08-06</t>
        </is>
      </c>
      <c r="Z833" t="inlineStr">
        <is>
          <t>1997-08-06</t>
        </is>
      </c>
      <c r="AA833" t="n">
        <v>473</v>
      </c>
      <c r="AB833" t="n">
        <v>389</v>
      </c>
      <c r="AC833" t="n">
        <v>396</v>
      </c>
      <c r="AD833" t="n">
        <v>3</v>
      </c>
      <c r="AE833" t="n">
        <v>3</v>
      </c>
      <c r="AF833" t="n">
        <v>15</v>
      </c>
      <c r="AG833" t="n">
        <v>15</v>
      </c>
      <c r="AH833" t="n">
        <v>4</v>
      </c>
      <c r="AI833" t="n">
        <v>4</v>
      </c>
      <c r="AJ833" t="n">
        <v>4</v>
      </c>
      <c r="AK833" t="n">
        <v>4</v>
      </c>
      <c r="AL833" t="n">
        <v>9</v>
      </c>
      <c r="AM833" t="n">
        <v>9</v>
      </c>
      <c r="AN833" t="n">
        <v>2</v>
      </c>
      <c r="AO833" t="n">
        <v>2</v>
      </c>
      <c r="AP833" t="n">
        <v>0</v>
      </c>
      <c r="AQ833" t="n">
        <v>0</v>
      </c>
      <c r="AR833" t="inlineStr">
        <is>
          <t>No</t>
        </is>
      </c>
      <c r="AS833" t="inlineStr">
        <is>
          <t>Yes</t>
        </is>
      </c>
      <c r="AT833">
        <f>HYPERLINK("http://catalog.hathitrust.org/Record/001018071","HathiTrust Record")</f>
        <v/>
      </c>
      <c r="AU833">
        <f>HYPERLINK("https://creighton-primo.hosted.exlibrisgroup.com/primo-explore/search?tab=default_tab&amp;search_scope=EVERYTHING&amp;vid=01CRU&amp;lang=en_US&amp;offset=0&amp;query=any,contains,991002006899702656","Catalog Record")</f>
        <v/>
      </c>
      <c r="AV833">
        <f>HYPERLINK("http://www.worldcat.org/oclc/258307","WorldCat Record")</f>
        <v/>
      </c>
      <c r="AW833" t="inlineStr">
        <is>
          <t>468728:eng</t>
        </is>
      </c>
      <c r="AX833" t="inlineStr">
        <is>
          <t>258307</t>
        </is>
      </c>
      <c r="AY833" t="inlineStr">
        <is>
          <t>991002006899702656</t>
        </is>
      </c>
      <c r="AZ833" t="inlineStr">
        <is>
          <t>991002006899702656</t>
        </is>
      </c>
      <c r="BA833" t="inlineStr">
        <is>
          <t>2271420240002656</t>
        </is>
      </c>
      <c r="BB833" t="inlineStr">
        <is>
          <t>BOOK</t>
        </is>
      </c>
      <c r="BD833" t="inlineStr">
        <is>
          <t>9780810804623</t>
        </is>
      </c>
      <c r="BE833" t="inlineStr">
        <is>
          <t>32285003021127</t>
        </is>
      </c>
      <c r="BF833" t="inlineStr">
        <is>
          <t>893866688</t>
        </is>
      </c>
    </row>
    <row r="834">
      <c r="A834" t="inlineStr">
        <is>
          <t>No</t>
        </is>
      </c>
      <c r="B834" t="inlineStr">
        <is>
          <t>CURAL</t>
        </is>
      </c>
      <c r="C834" t="inlineStr">
        <is>
          <t>SHELVES</t>
        </is>
      </c>
      <c r="D834" t="inlineStr">
        <is>
          <t>PR2986 .P3</t>
        </is>
      </c>
      <c r="E834" t="inlineStr">
        <is>
          <t>0                      PR 2986000P  3</t>
        </is>
      </c>
      <c r="F834" t="inlineStr">
        <is>
          <t>The slave of life; a study of Shakespeare and the idea of justice.</t>
        </is>
      </c>
      <c r="H834" t="inlineStr">
        <is>
          <t>No</t>
        </is>
      </c>
      <c r="I834" t="inlineStr">
        <is>
          <t>1</t>
        </is>
      </c>
      <c r="J834" t="inlineStr">
        <is>
          <t>No</t>
        </is>
      </c>
      <c r="K834" t="inlineStr">
        <is>
          <t>No</t>
        </is>
      </c>
      <c r="L834" t="inlineStr">
        <is>
          <t>0</t>
        </is>
      </c>
      <c r="M834" t="inlineStr">
        <is>
          <t>Parker, Marion.</t>
        </is>
      </c>
      <c r="N834" t="inlineStr">
        <is>
          <t>London, Chatto &amp; Windus, 1955.</t>
        </is>
      </c>
      <c r="O834" t="inlineStr">
        <is>
          <t>1955</t>
        </is>
      </c>
      <c r="Q834" t="inlineStr">
        <is>
          <t>eng</t>
        </is>
      </c>
      <c r="R834" t="inlineStr">
        <is>
          <t>enk</t>
        </is>
      </c>
      <c r="T834" t="inlineStr">
        <is>
          <t xml:space="preserve">PR </t>
        </is>
      </c>
      <c r="U834" t="n">
        <v>0</v>
      </c>
      <c r="V834" t="n">
        <v>0</v>
      </c>
      <c r="W834" t="inlineStr">
        <is>
          <t>2003-03-14</t>
        </is>
      </c>
      <c r="X834" t="inlineStr">
        <is>
          <t>2003-03-14</t>
        </is>
      </c>
      <c r="Y834" t="inlineStr">
        <is>
          <t>1997-09-04</t>
        </is>
      </c>
      <c r="Z834" t="inlineStr">
        <is>
          <t>1997-09-04</t>
        </is>
      </c>
      <c r="AA834" t="n">
        <v>570</v>
      </c>
      <c r="AB834" t="n">
        <v>457</v>
      </c>
      <c r="AC834" t="n">
        <v>460</v>
      </c>
      <c r="AD834" t="n">
        <v>2</v>
      </c>
      <c r="AE834" t="n">
        <v>2</v>
      </c>
      <c r="AF834" t="n">
        <v>30</v>
      </c>
      <c r="AG834" t="n">
        <v>30</v>
      </c>
      <c r="AH834" t="n">
        <v>12</v>
      </c>
      <c r="AI834" t="n">
        <v>12</v>
      </c>
      <c r="AJ834" t="n">
        <v>6</v>
      </c>
      <c r="AK834" t="n">
        <v>6</v>
      </c>
      <c r="AL834" t="n">
        <v>20</v>
      </c>
      <c r="AM834" t="n">
        <v>20</v>
      </c>
      <c r="AN834" t="n">
        <v>1</v>
      </c>
      <c r="AO834" t="n">
        <v>1</v>
      </c>
      <c r="AP834" t="n">
        <v>0</v>
      </c>
      <c r="AQ834" t="n">
        <v>0</v>
      </c>
      <c r="AR834" t="inlineStr">
        <is>
          <t>No</t>
        </is>
      </c>
      <c r="AS834" t="inlineStr">
        <is>
          <t>Yes</t>
        </is>
      </c>
      <c r="AT834">
        <f>HYPERLINK("http://catalog.hathitrust.org/Record/001112236","HathiTrust Record")</f>
        <v/>
      </c>
      <c r="AU834">
        <f>HYPERLINK("https://creighton-primo.hosted.exlibrisgroup.com/primo-explore/search?tab=default_tab&amp;search_scope=EVERYTHING&amp;vid=01CRU&amp;lang=en_US&amp;offset=0&amp;query=any,contains,991003749549702656","Catalog Record")</f>
        <v/>
      </c>
      <c r="AV834">
        <f>HYPERLINK("http://www.worldcat.org/oclc/1423955","WorldCat Record")</f>
        <v/>
      </c>
      <c r="AW834" t="inlineStr">
        <is>
          <t>2294310:eng</t>
        </is>
      </c>
      <c r="AX834" t="inlineStr">
        <is>
          <t>1423955</t>
        </is>
      </c>
      <c r="AY834" t="inlineStr">
        <is>
          <t>991003749549702656</t>
        </is>
      </c>
      <c r="AZ834" t="inlineStr">
        <is>
          <t>991003749549702656</t>
        </is>
      </c>
      <c r="BA834" t="inlineStr">
        <is>
          <t>2272268600002656</t>
        </is>
      </c>
      <c r="BB834" t="inlineStr">
        <is>
          <t>BOOK</t>
        </is>
      </c>
      <c r="BE834" t="inlineStr">
        <is>
          <t>32285003162350</t>
        </is>
      </c>
      <c r="BF834" t="inlineStr">
        <is>
          <t>893875112</t>
        </is>
      </c>
    </row>
    <row r="835">
      <c r="A835" t="inlineStr">
        <is>
          <t>No</t>
        </is>
      </c>
      <c r="B835" t="inlineStr">
        <is>
          <t>CURAL</t>
        </is>
      </c>
      <c r="C835" t="inlineStr">
        <is>
          <t>SHELVES</t>
        </is>
      </c>
      <c r="D835" t="inlineStr">
        <is>
          <t>PR2987 .S42</t>
        </is>
      </c>
      <c r="E835" t="inlineStr">
        <is>
          <t>0                      PR 2987000S  42</t>
        </is>
      </c>
      <c r="F835" t="inlineStr">
        <is>
          <t>A Shakspere study guide / by I. J. Semper.</t>
        </is>
      </c>
      <c r="H835" t="inlineStr">
        <is>
          <t>No</t>
        </is>
      </c>
      <c r="I835" t="inlineStr">
        <is>
          <t>1</t>
        </is>
      </c>
      <c r="J835" t="inlineStr">
        <is>
          <t>No</t>
        </is>
      </c>
      <c r="K835" t="inlineStr">
        <is>
          <t>No</t>
        </is>
      </c>
      <c r="L835" t="inlineStr">
        <is>
          <t>0</t>
        </is>
      </c>
      <c r="M835" t="inlineStr">
        <is>
          <t>Semper, I. J. (Isidore Joseph), 1883-</t>
        </is>
      </c>
      <c r="N835" t="inlineStr">
        <is>
          <t>New York ; London : The Century co., [c1931]</t>
        </is>
      </c>
      <c r="O835" t="inlineStr">
        <is>
          <t>1931</t>
        </is>
      </c>
      <c r="Q835" t="inlineStr">
        <is>
          <t>eng</t>
        </is>
      </c>
      <c r="R835" t="inlineStr">
        <is>
          <t xml:space="preserve">vp </t>
        </is>
      </c>
      <c r="S835" t="inlineStr">
        <is>
          <t>The Century Catholic college texts.</t>
        </is>
      </c>
      <c r="T835" t="inlineStr">
        <is>
          <t xml:space="preserve">PR </t>
        </is>
      </c>
      <c r="U835" t="n">
        <v>5</v>
      </c>
      <c r="V835" t="n">
        <v>5</v>
      </c>
      <c r="W835" t="inlineStr">
        <is>
          <t>2003-10-24</t>
        </is>
      </c>
      <c r="X835" t="inlineStr">
        <is>
          <t>2003-10-24</t>
        </is>
      </c>
      <c r="Y835" t="inlineStr">
        <is>
          <t>1994-04-08</t>
        </is>
      </c>
      <c r="Z835" t="inlineStr">
        <is>
          <t>1994-04-08</t>
        </is>
      </c>
      <c r="AA835" t="n">
        <v>52</v>
      </c>
      <c r="AB835" t="n">
        <v>52</v>
      </c>
      <c r="AC835" t="n">
        <v>54</v>
      </c>
      <c r="AD835" t="n">
        <v>1</v>
      </c>
      <c r="AE835" t="n">
        <v>1</v>
      </c>
      <c r="AF835" t="n">
        <v>11</v>
      </c>
      <c r="AG835" t="n">
        <v>11</v>
      </c>
      <c r="AH835" t="n">
        <v>5</v>
      </c>
      <c r="AI835" t="n">
        <v>5</v>
      </c>
      <c r="AJ835" t="n">
        <v>2</v>
      </c>
      <c r="AK835" t="n">
        <v>2</v>
      </c>
      <c r="AL835" t="n">
        <v>7</v>
      </c>
      <c r="AM835" t="n">
        <v>7</v>
      </c>
      <c r="AN835" t="n">
        <v>0</v>
      </c>
      <c r="AO835" t="n">
        <v>0</v>
      </c>
      <c r="AP835" t="n">
        <v>0</v>
      </c>
      <c r="AQ835" t="n">
        <v>0</v>
      </c>
      <c r="AR835" t="inlineStr">
        <is>
          <t>No</t>
        </is>
      </c>
      <c r="AS835" t="inlineStr">
        <is>
          <t>No</t>
        </is>
      </c>
      <c r="AU835">
        <f>HYPERLINK("https://creighton-primo.hosted.exlibrisgroup.com/primo-explore/search?tab=default_tab&amp;search_scope=EVERYTHING&amp;vid=01CRU&amp;lang=en_US&amp;offset=0&amp;query=any,contains,991003920739702656","Catalog Record")</f>
        <v/>
      </c>
      <c r="AV835">
        <f>HYPERLINK("http://www.worldcat.org/oclc/1870093","WorldCat Record")</f>
        <v/>
      </c>
      <c r="AW835" t="inlineStr">
        <is>
          <t>500268715:eng</t>
        </is>
      </c>
      <c r="AX835" t="inlineStr">
        <is>
          <t>1870093</t>
        </is>
      </c>
      <c r="AY835" t="inlineStr">
        <is>
          <t>991003920739702656</t>
        </is>
      </c>
      <c r="AZ835" t="inlineStr">
        <is>
          <t>991003920739702656</t>
        </is>
      </c>
      <c r="BA835" t="inlineStr">
        <is>
          <t>2255829650002656</t>
        </is>
      </c>
      <c r="BB835" t="inlineStr">
        <is>
          <t>BOOK</t>
        </is>
      </c>
      <c r="BE835" t="inlineStr">
        <is>
          <t>32285001874550</t>
        </is>
      </c>
      <c r="BF835" t="inlineStr">
        <is>
          <t>893599211</t>
        </is>
      </c>
    </row>
    <row r="836">
      <c r="A836" t="inlineStr">
        <is>
          <t>No</t>
        </is>
      </c>
      <c r="B836" t="inlineStr">
        <is>
          <t>CURAL</t>
        </is>
      </c>
      <c r="C836" t="inlineStr">
        <is>
          <t>SHELVES</t>
        </is>
      </c>
      <c r="D836" t="inlineStr">
        <is>
          <t>PR2987 .T366 1999</t>
        </is>
      </c>
      <c r="E836" t="inlineStr">
        <is>
          <t>0                      PR 2987000T  366         1999</t>
        </is>
      </c>
      <c r="F836" t="inlineStr">
        <is>
          <t>Teaching Shakespeare through performance / edited by Milla Cozart Riggio.</t>
        </is>
      </c>
      <c r="H836" t="inlineStr">
        <is>
          <t>No</t>
        </is>
      </c>
      <c r="I836" t="inlineStr">
        <is>
          <t>1</t>
        </is>
      </c>
      <c r="J836" t="inlineStr">
        <is>
          <t>No</t>
        </is>
      </c>
      <c r="K836" t="inlineStr">
        <is>
          <t>No</t>
        </is>
      </c>
      <c r="L836" t="inlineStr">
        <is>
          <t>0</t>
        </is>
      </c>
      <c r="N836" t="inlineStr">
        <is>
          <t>New York : Modern Language Association of America, 1999.</t>
        </is>
      </c>
      <c r="O836" t="inlineStr">
        <is>
          <t>1999</t>
        </is>
      </c>
      <c r="Q836" t="inlineStr">
        <is>
          <t>eng</t>
        </is>
      </c>
      <c r="R836" t="inlineStr">
        <is>
          <t>nyu</t>
        </is>
      </c>
      <c r="S836" t="inlineStr">
        <is>
          <t>Options for teaching, 1079-2562 ; 14</t>
        </is>
      </c>
      <c r="T836" t="inlineStr">
        <is>
          <t xml:space="preserve">PR </t>
        </is>
      </c>
      <c r="U836" t="n">
        <v>1</v>
      </c>
      <c r="V836" t="n">
        <v>1</v>
      </c>
      <c r="W836" t="inlineStr">
        <is>
          <t>2004-07-26</t>
        </is>
      </c>
      <c r="X836" t="inlineStr">
        <is>
          <t>2004-07-26</t>
        </is>
      </c>
      <c r="Y836" t="inlineStr">
        <is>
          <t>2001-05-29</t>
        </is>
      </c>
      <c r="Z836" t="inlineStr">
        <is>
          <t>2001-05-29</t>
        </is>
      </c>
      <c r="AA836" t="n">
        <v>667</v>
      </c>
      <c r="AB836" t="n">
        <v>591</v>
      </c>
      <c r="AC836" t="n">
        <v>594</v>
      </c>
      <c r="AD836" t="n">
        <v>5</v>
      </c>
      <c r="AE836" t="n">
        <v>5</v>
      </c>
      <c r="AF836" t="n">
        <v>33</v>
      </c>
      <c r="AG836" t="n">
        <v>33</v>
      </c>
      <c r="AH836" t="n">
        <v>12</v>
      </c>
      <c r="AI836" t="n">
        <v>12</v>
      </c>
      <c r="AJ836" t="n">
        <v>9</v>
      </c>
      <c r="AK836" t="n">
        <v>9</v>
      </c>
      <c r="AL836" t="n">
        <v>16</v>
      </c>
      <c r="AM836" t="n">
        <v>16</v>
      </c>
      <c r="AN836" t="n">
        <v>4</v>
      </c>
      <c r="AO836" t="n">
        <v>4</v>
      </c>
      <c r="AP836" t="n">
        <v>0</v>
      </c>
      <c r="AQ836" t="n">
        <v>0</v>
      </c>
      <c r="AR836" t="inlineStr">
        <is>
          <t>No</t>
        </is>
      </c>
      <c r="AS836" t="inlineStr">
        <is>
          <t>No</t>
        </is>
      </c>
      <c r="AU836">
        <f>HYPERLINK("https://creighton-primo.hosted.exlibrisgroup.com/primo-explore/search?tab=default_tab&amp;search_scope=EVERYTHING&amp;vid=01CRU&amp;lang=en_US&amp;offset=0&amp;query=any,contains,991003505239702656","Catalog Record")</f>
        <v/>
      </c>
      <c r="AV836">
        <f>HYPERLINK("http://www.worldcat.org/oclc/40901248","WorldCat Record")</f>
        <v/>
      </c>
      <c r="AW836" t="inlineStr">
        <is>
          <t>23399350:eng</t>
        </is>
      </c>
      <c r="AX836" t="inlineStr">
        <is>
          <t>40901248</t>
        </is>
      </c>
      <c r="AY836" t="inlineStr">
        <is>
          <t>991003505239702656</t>
        </is>
      </c>
      <c r="AZ836" t="inlineStr">
        <is>
          <t>991003505239702656</t>
        </is>
      </c>
      <c r="BA836" t="inlineStr">
        <is>
          <t>2258108210002656</t>
        </is>
      </c>
      <c r="BB836" t="inlineStr">
        <is>
          <t>BOOK</t>
        </is>
      </c>
      <c r="BD836" t="inlineStr">
        <is>
          <t>9780873523721</t>
        </is>
      </c>
      <c r="BE836" t="inlineStr">
        <is>
          <t>32285004318878</t>
        </is>
      </c>
      <c r="BF836" t="inlineStr">
        <is>
          <t>893422634</t>
        </is>
      </c>
    </row>
    <row r="837">
      <c r="A837" t="inlineStr">
        <is>
          <t>No</t>
        </is>
      </c>
      <c r="B837" t="inlineStr">
        <is>
          <t>CURAL</t>
        </is>
      </c>
      <c r="C837" t="inlineStr">
        <is>
          <t>SHELVES</t>
        </is>
      </c>
      <c r="D837" t="inlineStr">
        <is>
          <t>PR2989 .C63</t>
        </is>
      </c>
      <c r="E837" t="inlineStr">
        <is>
          <t>0                      PR 2989000C  63</t>
        </is>
      </c>
      <c r="F837" t="inlineStr">
        <is>
          <t>Shakespeare's four giants : [Hamlet, Macbeth, Othello, King Lear]</t>
        </is>
      </c>
      <c r="H837" t="inlineStr">
        <is>
          <t>No</t>
        </is>
      </c>
      <c r="I837" t="inlineStr">
        <is>
          <t>1</t>
        </is>
      </c>
      <c r="J837" t="inlineStr">
        <is>
          <t>No</t>
        </is>
      </c>
      <c r="K837" t="inlineStr">
        <is>
          <t>No</t>
        </is>
      </c>
      <c r="L837" t="inlineStr">
        <is>
          <t>0</t>
        </is>
      </c>
      <c r="M837" t="inlineStr">
        <is>
          <t>Coles, Blanche.</t>
        </is>
      </c>
      <c r="N837" t="inlineStr">
        <is>
          <t>Rindge, N.H. : R. R. Smith, 1957.</t>
        </is>
      </c>
      <c r="O837" t="inlineStr">
        <is>
          <t>1957</t>
        </is>
      </c>
      <c r="Q837" t="inlineStr">
        <is>
          <t>eng</t>
        </is>
      </c>
      <c r="R837" t="inlineStr">
        <is>
          <t>nhu</t>
        </is>
      </c>
      <c r="T837" t="inlineStr">
        <is>
          <t xml:space="preserve">PR </t>
        </is>
      </c>
      <c r="U837" t="n">
        <v>2</v>
      </c>
      <c r="V837" t="n">
        <v>2</v>
      </c>
      <c r="W837" t="inlineStr">
        <is>
          <t>1993-04-20</t>
        </is>
      </c>
      <c r="X837" t="inlineStr">
        <is>
          <t>1993-04-20</t>
        </is>
      </c>
      <c r="Y837" t="inlineStr">
        <is>
          <t>1991-11-06</t>
        </is>
      </c>
      <c r="Z837" t="inlineStr">
        <is>
          <t>1991-11-06</t>
        </is>
      </c>
      <c r="AA837" t="n">
        <v>345</v>
      </c>
      <c r="AB837" t="n">
        <v>330</v>
      </c>
      <c r="AC837" t="n">
        <v>340</v>
      </c>
      <c r="AD837" t="n">
        <v>2</v>
      </c>
      <c r="AE837" t="n">
        <v>2</v>
      </c>
      <c r="AF837" t="n">
        <v>13</v>
      </c>
      <c r="AG837" t="n">
        <v>13</v>
      </c>
      <c r="AH837" t="n">
        <v>6</v>
      </c>
      <c r="AI837" t="n">
        <v>6</v>
      </c>
      <c r="AJ837" t="n">
        <v>3</v>
      </c>
      <c r="AK837" t="n">
        <v>3</v>
      </c>
      <c r="AL837" t="n">
        <v>6</v>
      </c>
      <c r="AM837" t="n">
        <v>6</v>
      </c>
      <c r="AN837" t="n">
        <v>1</v>
      </c>
      <c r="AO837" t="n">
        <v>1</v>
      </c>
      <c r="AP837" t="n">
        <v>0</v>
      </c>
      <c r="AQ837" t="n">
        <v>0</v>
      </c>
      <c r="AR837" t="inlineStr">
        <is>
          <t>Yes</t>
        </is>
      </c>
      <c r="AS837" t="inlineStr">
        <is>
          <t>No</t>
        </is>
      </c>
      <c r="AT837">
        <f>HYPERLINK("http://catalog.hathitrust.org/Record/001004530","HathiTrust Record")</f>
        <v/>
      </c>
      <c r="AU837">
        <f>HYPERLINK("https://creighton-primo.hosted.exlibrisgroup.com/primo-explore/search?tab=default_tab&amp;search_scope=EVERYTHING&amp;vid=01CRU&amp;lang=en_US&amp;offset=0&amp;query=any,contains,991002299659702656","Catalog Record")</f>
        <v/>
      </c>
      <c r="AV837">
        <f>HYPERLINK("http://www.worldcat.org/oclc/317030","WorldCat Record")</f>
        <v/>
      </c>
      <c r="AW837" t="inlineStr">
        <is>
          <t>1388862:eng</t>
        </is>
      </c>
      <c r="AX837" t="inlineStr">
        <is>
          <t>317030</t>
        </is>
      </c>
      <c r="AY837" t="inlineStr">
        <is>
          <t>991002299659702656</t>
        </is>
      </c>
      <c r="AZ837" t="inlineStr">
        <is>
          <t>991002299659702656</t>
        </is>
      </c>
      <c r="BA837" t="inlineStr">
        <is>
          <t>2267634830002656</t>
        </is>
      </c>
      <c r="BB837" t="inlineStr">
        <is>
          <t>BOOK</t>
        </is>
      </c>
      <c r="BE837" t="inlineStr">
        <is>
          <t>32285000804400</t>
        </is>
      </c>
      <c r="BF837" t="inlineStr">
        <is>
          <t>893421183</t>
        </is>
      </c>
    </row>
    <row r="838">
      <c r="A838" t="inlineStr">
        <is>
          <t>No</t>
        </is>
      </c>
      <c r="B838" t="inlineStr">
        <is>
          <t>CURAL</t>
        </is>
      </c>
      <c r="C838" t="inlineStr">
        <is>
          <t>SHELVES</t>
        </is>
      </c>
      <c r="D838" t="inlineStr">
        <is>
          <t>PR2989 .G73 1983</t>
        </is>
      </c>
      <c r="E838" t="inlineStr">
        <is>
          <t>0                      PR 2989000G  73          1983</t>
        </is>
      </c>
      <c r="F838" t="inlineStr">
        <is>
          <t>Public and private man in Shakespeare / J.M. Gregson.</t>
        </is>
      </c>
      <c r="H838" t="inlineStr">
        <is>
          <t>No</t>
        </is>
      </c>
      <c r="I838" t="inlineStr">
        <is>
          <t>1</t>
        </is>
      </c>
      <c r="J838" t="inlineStr">
        <is>
          <t>No</t>
        </is>
      </c>
      <c r="K838" t="inlineStr">
        <is>
          <t>No</t>
        </is>
      </c>
      <c r="L838" t="inlineStr">
        <is>
          <t>0</t>
        </is>
      </c>
      <c r="M838" t="inlineStr">
        <is>
          <t>Gregson, J. M.</t>
        </is>
      </c>
      <c r="N838" t="inlineStr">
        <is>
          <t>Totowa, N.J. : Barnes &amp; Noble, 1983.</t>
        </is>
      </c>
      <c r="O838" t="inlineStr">
        <is>
          <t>1983</t>
        </is>
      </c>
      <c r="Q838" t="inlineStr">
        <is>
          <t>eng</t>
        </is>
      </c>
      <c r="R838" t="inlineStr">
        <is>
          <t>nju</t>
        </is>
      </c>
      <c r="T838" t="inlineStr">
        <is>
          <t xml:space="preserve">PR </t>
        </is>
      </c>
      <c r="U838" t="n">
        <v>2</v>
      </c>
      <c r="V838" t="n">
        <v>2</v>
      </c>
      <c r="W838" t="inlineStr">
        <is>
          <t>1994-11-12</t>
        </is>
      </c>
      <c r="X838" t="inlineStr">
        <is>
          <t>1994-11-12</t>
        </is>
      </c>
      <c r="Y838" t="inlineStr">
        <is>
          <t>1991-08-22</t>
        </is>
      </c>
      <c r="Z838" t="inlineStr">
        <is>
          <t>1991-08-22</t>
        </is>
      </c>
      <c r="AA838" t="n">
        <v>434</v>
      </c>
      <c r="AB838" t="n">
        <v>346</v>
      </c>
      <c r="AC838" t="n">
        <v>355</v>
      </c>
      <c r="AD838" t="n">
        <v>4</v>
      </c>
      <c r="AE838" t="n">
        <v>4</v>
      </c>
      <c r="AF838" t="n">
        <v>22</v>
      </c>
      <c r="AG838" t="n">
        <v>22</v>
      </c>
      <c r="AH838" t="n">
        <v>10</v>
      </c>
      <c r="AI838" t="n">
        <v>10</v>
      </c>
      <c r="AJ838" t="n">
        <v>4</v>
      </c>
      <c r="AK838" t="n">
        <v>4</v>
      </c>
      <c r="AL838" t="n">
        <v>9</v>
      </c>
      <c r="AM838" t="n">
        <v>9</v>
      </c>
      <c r="AN838" t="n">
        <v>3</v>
      </c>
      <c r="AO838" t="n">
        <v>3</v>
      </c>
      <c r="AP838" t="n">
        <v>0</v>
      </c>
      <c r="AQ838" t="n">
        <v>0</v>
      </c>
      <c r="AR838" t="inlineStr">
        <is>
          <t>No</t>
        </is>
      </c>
      <c r="AS838" t="inlineStr">
        <is>
          <t>Yes</t>
        </is>
      </c>
      <c r="AT838">
        <f>HYPERLINK("http://catalog.hathitrust.org/Record/000277991","HathiTrust Record")</f>
        <v/>
      </c>
      <c r="AU838">
        <f>HYPERLINK("https://creighton-primo.hosted.exlibrisgroup.com/primo-explore/search?tab=default_tab&amp;search_scope=EVERYTHING&amp;vid=01CRU&amp;lang=en_US&amp;offset=0&amp;query=any,contains,991000172149702656","Catalog Record")</f>
        <v/>
      </c>
      <c r="AV838">
        <f>HYPERLINK("http://www.worldcat.org/oclc/9324675","WorldCat Record")</f>
        <v/>
      </c>
      <c r="AW838" t="inlineStr">
        <is>
          <t>24137201:eng</t>
        </is>
      </c>
      <c r="AX838" t="inlineStr">
        <is>
          <t>9324675</t>
        </is>
      </c>
      <c r="AY838" t="inlineStr">
        <is>
          <t>991000172149702656</t>
        </is>
      </c>
      <c r="AZ838" t="inlineStr">
        <is>
          <t>991000172149702656</t>
        </is>
      </c>
      <c r="BA838" t="inlineStr">
        <is>
          <t>2257090870002656</t>
        </is>
      </c>
      <c r="BB838" t="inlineStr">
        <is>
          <t>BOOK</t>
        </is>
      </c>
      <c r="BD838" t="inlineStr">
        <is>
          <t>9780389203940</t>
        </is>
      </c>
      <c r="BE838" t="inlineStr">
        <is>
          <t>32285000697838</t>
        </is>
      </c>
      <c r="BF838" t="inlineStr">
        <is>
          <t>893327096</t>
        </is>
      </c>
    </row>
    <row r="839">
      <c r="A839" t="inlineStr">
        <is>
          <t>No</t>
        </is>
      </c>
      <c r="B839" t="inlineStr">
        <is>
          <t>CURAL</t>
        </is>
      </c>
      <c r="C839" t="inlineStr">
        <is>
          <t>SHELVES</t>
        </is>
      </c>
      <c r="D839" t="inlineStr">
        <is>
          <t>PR2989 .H3 1975</t>
        </is>
      </c>
      <c r="E839" t="inlineStr">
        <is>
          <t>0                      PR 2989000H  3           1975</t>
        </is>
      </c>
      <c r="F839" t="inlineStr">
        <is>
          <t>Characters of Shakespeare's plays / with an introd. by Sir Arthur Quiller-Couch.</t>
        </is>
      </c>
      <c r="H839" t="inlineStr">
        <is>
          <t>No</t>
        </is>
      </c>
      <c r="I839" t="inlineStr">
        <is>
          <t>1</t>
        </is>
      </c>
      <c r="J839" t="inlineStr">
        <is>
          <t>No</t>
        </is>
      </c>
      <c r="K839" t="inlineStr">
        <is>
          <t>No</t>
        </is>
      </c>
      <c r="L839" t="inlineStr">
        <is>
          <t>0</t>
        </is>
      </c>
      <c r="M839" t="inlineStr">
        <is>
          <t>Hazlitt, William, 1778-1830.</t>
        </is>
      </c>
      <c r="N839" t="inlineStr">
        <is>
          <t>London : Oxford University Press, [1975]</t>
        </is>
      </c>
      <c r="O839" t="inlineStr">
        <is>
          <t>1975</t>
        </is>
      </c>
      <c r="Q839" t="inlineStr">
        <is>
          <t>eng</t>
        </is>
      </c>
      <c r="R839" t="inlineStr">
        <is>
          <t xml:space="preserve">xx </t>
        </is>
      </c>
      <c r="S839" t="inlineStr">
        <is>
          <t>The World's classics, 205</t>
        </is>
      </c>
      <c r="T839" t="inlineStr">
        <is>
          <t xml:space="preserve">PR </t>
        </is>
      </c>
      <c r="U839" t="n">
        <v>7</v>
      </c>
      <c r="V839" t="n">
        <v>7</v>
      </c>
      <c r="W839" t="inlineStr">
        <is>
          <t>1998-12-16</t>
        </is>
      </c>
      <c r="X839" t="inlineStr">
        <is>
          <t>1998-12-16</t>
        </is>
      </c>
      <c r="Y839" t="inlineStr">
        <is>
          <t>1991-11-06</t>
        </is>
      </c>
      <c r="Z839" t="inlineStr">
        <is>
          <t>1991-11-06</t>
        </is>
      </c>
      <c r="AA839" t="n">
        <v>52</v>
      </c>
      <c r="AB839" t="n">
        <v>48</v>
      </c>
      <c r="AC839" t="n">
        <v>1081</v>
      </c>
      <c r="AD839" t="n">
        <v>2</v>
      </c>
      <c r="AE839" t="n">
        <v>9</v>
      </c>
      <c r="AF839" t="n">
        <v>0</v>
      </c>
      <c r="AG839" t="n">
        <v>40</v>
      </c>
      <c r="AH839" t="n">
        <v>0</v>
      </c>
      <c r="AI839" t="n">
        <v>19</v>
      </c>
      <c r="AJ839" t="n">
        <v>0</v>
      </c>
      <c r="AK839" t="n">
        <v>10</v>
      </c>
      <c r="AL839" t="n">
        <v>0</v>
      </c>
      <c r="AM839" t="n">
        <v>14</v>
      </c>
      <c r="AN839" t="n">
        <v>0</v>
      </c>
      <c r="AO839" t="n">
        <v>5</v>
      </c>
      <c r="AP839" t="n">
        <v>0</v>
      </c>
      <c r="AQ839" t="n">
        <v>0</v>
      </c>
      <c r="AR839" t="inlineStr">
        <is>
          <t>No</t>
        </is>
      </c>
      <c r="AS839" t="inlineStr">
        <is>
          <t>No</t>
        </is>
      </c>
      <c r="AU839">
        <f>HYPERLINK("https://creighton-primo.hosted.exlibrisgroup.com/primo-explore/search?tab=default_tab&amp;search_scope=EVERYTHING&amp;vid=01CRU&amp;lang=en_US&amp;offset=0&amp;query=any,contains,991004223029702656","Catalog Record")</f>
        <v/>
      </c>
      <c r="AV839">
        <f>HYPERLINK("http://www.worldcat.org/oclc/2718735","WorldCat Record")</f>
        <v/>
      </c>
      <c r="AW839" t="inlineStr">
        <is>
          <t>2908436935:eng</t>
        </is>
      </c>
      <c r="AX839" t="inlineStr">
        <is>
          <t>2718735</t>
        </is>
      </c>
      <c r="AY839" t="inlineStr">
        <is>
          <t>991004223029702656</t>
        </is>
      </c>
      <c r="AZ839" t="inlineStr">
        <is>
          <t>991004223029702656</t>
        </is>
      </c>
      <c r="BA839" t="inlineStr">
        <is>
          <t>2271255310002656</t>
        </is>
      </c>
      <c r="BB839" t="inlineStr">
        <is>
          <t>BOOK</t>
        </is>
      </c>
      <c r="BE839" t="inlineStr">
        <is>
          <t>32285000804384</t>
        </is>
      </c>
      <c r="BF839" t="inlineStr">
        <is>
          <t>893794620</t>
        </is>
      </c>
    </row>
    <row r="840">
      <c r="A840" t="inlineStr">
        <is>
          <t>No</t>
        </is>
      </c>
      <c r="B840" t="inlineStr">
        <is>
          <t>CURAL</t>
        </is>
      </c>
      <c r="C840" t="inlineStr">
        <is>
          <t>SHELVES</t>
        </is>
      </c>
      <c r="D840" t="inlineStr">
        <is>
          <t>PR2989 .P3</t>
        </is>
      </c>
      <c r="E840" t="inlineStr">
        <is>
          <t>0                      PR 2989000P  3</t>
        </is>
      </c>
      <c r="F840" t="inlineStr">
        <is>
          <t>Political characters of Shakespeare / [by] John Palmer.</t>
        </is>
      </c>
      <c r="H840" t="inlineStr">
        <is>
          <t>No</t>
        </is>
      </c>
      <c r="I840" t="inlineStr">
        <is>
          <t>1</t>
        </is>
      </c>
      <c r="J840" t="inlineStr">
        <is>
          <t>No</t>
        </is>
      </c>
      <c r="K840" t="inlineStr">
        <is>
          <t>No</t>
        </is>
      </c>
      <c r="L840" t="inlineStr">
        <is>
          <t>0</t>
        </is>
      </c>
      <c r="M840" t="inlineStr">
        <is>
          <t>Palmer, John, 1885-1944.</t>
        </is>
      </c>
      <c r="N840" t="inlineStr">
        <is>
          <t>London : Macmillan and Co., limited, 1945.</t>
        </is>
      </c>
      <c r="O840" t="inlineStr">
        <is>
          <t>1945</t>
        </is>
      </c>
      <c r="Q840" t="inlineStr">
        <is>
          <t>eng</t>
        </is>
      </c>
      <c r="R840" t="inlineStr">
        <is>
          <t>enk</t>
        </is>
      </c>
      <c r="T840" t="inlineStr">
        <is>
          <t xml:space="preserve">PR </t>
        </is>
      </c>
      <c r="U840" t="n">
        <v>6</v>
      </c>
      <c r="V840" t="n">
        <v>6</v>
      </c>
      <c r="W840" t="inlineStr">
        <is>
          <t>2010-10-07</t>
        </is>
      </c>
      <c r="X840" t="inlineStr">
        <is>
          <t>2010-10-07</t>
        </is>
      </c>
      <c r="Y840" t="inlineStr">
        <is>
          <t>1991-11-06</t>
        </is>
      </c>
      <c r="Z840" t="inlineStr">
        <is>
          <t>1991-11-06</t>
        </is>
      </c>
      <c r="AA840" t="n">
        <v>476</v>
      </c>
      <c r="AB840" t="n">
        <v>373</v>
      </c>
      <c r="AC840" t="n">
        <v>585</v>
      </c>
      <c r="AD840" t="n">
        <v>5</v>
      </c>
      <c r="AE840" t="n">
        <v>5</v>
      </c>
      <c r="AF840" t="n">
        <v>22</v>
      </c>
      <c r="AG840" t="n">
        <v>34</v>
      </c>
      <c r="AH840" t="n">
        <v>8</v>
      </c>
      <c r="AI840" t="n">
        <v>16</v>
      </c>
      <c r="AJ840" t="n">
        <v>7</v>
      </c>
      <c r="AK840" t="n">
        <v>8</v>
      </c>
      <c r="AL840" t="n">
        <v>10</v>
      </c>
      <c r="AM840" t="n">
        <v>17</v>
      </c>
      <c r="AN840" t="n">
        <v>4</v>
      </c>
      <c r="AO840" t="n">
        <v>4</v>
      </c>
      <c r="AP840" t="n">
        <v>0</v>
      </c>
      <c r="AQ840" t="n">
        <v>0</v>
      </c>
      <c r="AR840" t="inlineStr">
        <is>
          <t>No</t>
        </is>
      </c>
      <c r="AS840" t="inlineStr">
        <is>
          <t>Yes</t>
        </is>
      </c>
      <c r="AT840">
        <f>HYPERLINK("http://catalog.hathitrust.org/Record/001112250","HathiTrust Record")</f>
        <v/>
      </c>
      <c r="AU840">
        <f>HYPERLINK("https://creighton-primo.hosted.exlibrisgroup.com/primo-explore/search?tab=default_tab&amp;search_scope=EVERYTHING&amp;vid=01CRU&amp;lang=en_US&amp;offset=0&amp;query=any,contains,991000198649702656","Catalog Record")</f>
        <v/>
      </c>
      <c r="AV840">
        <f>HYPERLINK("http://www.worldcat.org/oclc/9446731","WorldCat Record")</f>
        <v/>
      </c>
      <c r="AW840" t="inlineStr">
        <is>
          <t>3768968228:eng</t>
        </is>
      </c>
      <c r="AX840" t="inlineStr">
        <is>
          <t>9446731</t>
        </is>
      </c>
      <c r="AY840" t="inlineStr">
        <is>
          <t>991000198649702656</t>
        </is>
      </c>
      <c r="AZ840" t="inlineStr">
        <is>
          <t>991000198649702656</t>
        </is>
      </c>
      <c r="BA840" t="inlineStr">
        <is>
          <t>2264288090002656</t>
        </is>
      </c>
      <c r="BB840" t="inlineStr">
        <is>
          <t>BOOK</t>
        </is>
      </c>
      <c r="BE840" t="inlineStr">
        <is>
          <t>32285000804368</t>
        </is>
      </c>
      <c r="BF840" t="inlineStr">
        <is>
          <t>893601569</t>
        </is>
      </c>
    </row>
    <row r="841">
      <c r="A841" t="inlineStr">
        <is>
          <t>No</t>
        </is>
      </c>
      <c r="B841" t="inlineStr">
        <is>
          <t>CURAL</t>
        </is>
      </c>
      <c r="C841" t="inlineStr">
        <is>
          <t>SHELVES</t>
        </is>
      </c>
      <c r="D841" t="inlineStr">
        <is>
          <t>PR2989 .S3</t>
        </is>
      </c>
      <c r="E841" t="inlineStr">
        <is>
          <t>0                      PR 2989000S  3</t>
        </is>
      </c>
      <c r="F841" t="inlineStr">
        <is>
          <t>Character problems in Shakespeare's plays : a guide to the better understanding of the dramatist / by Levin L. Schücking.</t>
        </is>
      </c>
      <c r="H841" t="inlineStr">
        <is>
          <t>No</t>
        </is>
      </c>
      <c r="I841" t="inlineStr">
        <is>
          <t>1</t>
        </is>
      </c>
      <c r="J841" t="inlineStr">
        <is>
          <t>No</t>
        </is>
      </c>
      <c r="K841" t="inlineStr">
        <is>
          <t>No</t>
        </is>
      </c>
      <c r="L841" t="inlineStr">
        <is>
          <t>0</t>
        </is>
      </c>
      <c r="M841" t="inlineStr">
        <is>
          <t>Schücking, Levin Ludwig, 1878-1964.</t>
        </is>
      </c>
      <c r="N841" t="inlineStr">
        <is>
          <t>London : G. G. Harrap &amp; co., ltd., [1922]</t>
        </is>
      </c>
      <c r="O841" t="inlineStr">
        <is>
          <t>1922</t>
        </is>
      </c>
      <c r="Q841" t="inlineStr">
        <is>
          <t>eng</t>
        </is>
      </c>
      <c r="R841" t="inlineStr">
        <is>
          <t>enk</t>
        </is>
      </c>
      <c r="T841" t="inlineStr">
        <is>
          <t xml:space="preserve">PR </t>
        </is>
      </c>
      <c r="U841" t="n">
        <v>6</v>
      </c>
      <c r="V841" t="n">
        <v>6</v>
      </c>
      <c r="W841" t="inlineStr">
        <is>
          <t>1998-12-16</t>
        </is>
      </c>
      <c r="X841" t="inlineStr">
        <is>
          <t>1998-12-16</t>
        </is>
      </c>
      <c r="Y841" t="inlineStr">
        <is>
          <t>1991-11-06</t>
        </is>
      </c>
      <c r="Z841" t="inlineStr">
        <is>
          <t>1991-11-06</t>
        </is>
      </c>
      <c r="AA841" t="n">
        <v>187</v>
      </c>
      <c r="AB841" t="n">
        <v>134</v>
      </c>
      <c r="AC841" t="n">
        <v>629</v>
      </c>
      <c r="AD841" t="n">
        <v>2</v>
      </c>
      <c r="AE841" t="n">
        <v>4</v>
      </c>
      <c r="AF841" t="n">
        <v>9</v>
      </c>
      <c r="AG841" t="n">
        <v>32</v>
      </c>
      <c r="AH841" t="n">
        <v>5</v>
      </c>
      <c r="AI841" t="n">
        <v>14</v>
      </c>
      <c r="AJ841" t="n">
        <v>3</v>
      </c>
      <c r="AK841" t="n">
        <v>7</v>
      </c>
      <c r="AL841" t="n">
        <v>4</v>
      </c>
      <c r="AM841" t="n">
        <v>16</v>
      </c>
      <c r="AN841" t="n">
        <v>1</v>
      </c>
      <c r="AO841" t="n">
        <v>3</v>
      </c>
      <c r="AP841" t="n">
        <v>0</v>
      </c>
      <c r="AQ841" t="n">
        <v>0</v>
      </c>
      <c r="AR841" t="inlineStr">
        <is>
          <t>Yes</t>
        </is>
      </c>
      <c r="AS841" t="inlineStr">
        <is>
          <t>No</t>
        </is>
      </c>
      <c r="AT841">
        <f>HYPERLINK("http://catalog.hathitrust.org/Record/100762359","HathiTrust Record")</f>
        <v/>
      </c>
      <c r="AU841">
        <f>HYPERLINK("https://creighton-primo.hosted.exlibrisgroup.com/primo-explore/search?tab=default_tab&amp;search_scope=EVERYTHING&amp;vid=01CRU&amp;lang=en_US&amp;offset=0&amp;query=any,contains,991001207129702656","Catalog Record")</f>
        <v/>
      </c>
      <c r="AV841">
        <f>HYPERLINK("http://www.worldcat.org/oclc/192360","WorldCat Record")</f>
        <v/>
      </c>
      <c r="AW841" t="inlineStr">
        <is>
          <t>4159977555:eng</t>
        </is>
      </c>
      <c r="AX841" t="inlineStr">
        <is>
          <t>192360</t>
        </is>
      </c>
      <c r="AY841" t="inlineStr">
        <is>
          <t>991001207129702656</t>
        </is>
      </c>
      <c r="AZ841" t="inlineStr">
        <is>
          <t>991001207129702656</t>
        </is>
      </c>
      <c r="BA841" t="inlineStr">
        <is>
          <t>2256492350002656</t>
        </is>
      </c>
      <c r="BB841" t="inlineStr">
        <is>
          <t>BOOK</t>
        </is>
      </c>
      <c r="BE841" t="inlineStr">
        <is>
          <t>32285000804350</t>
        </is>
      </c>
      <c r="BF841" t="inlineStr">
        <is>
          <t>893503195</t>
        </is>
      </c>
    </row>
    <row r="842">
      <c r="A842" t="inlineStr">
        <is>
          <t>No</t>
        </is>
      </c>
      <c r="B842" t="inlineStr">
        <is>
          <t>CURAL</t>
        </is>
      </c>
      <c r="C842" t="inlineStr">
        <is>
          <t>SHELVES</t>
        </is>
      </c>
      <c r="D842" t="inlineStr">
        <is>
          <t>PR2989 .S45</t>
        </is>
      </c>
      <c r="E842" t="inlineStr">
        <is>
          <t>0                      PR 2989000S  45</t>
        </is>
      </c>
      <c r="F842" t="inlineStr">
        <is>
          <t>Character and society in Shakespeare.</t>
        </is>
      </c>
      <c r="H842" t="inlineStr">
        <is>
          <t>No</t>
        </is>
      </c>
      <c r="I842" t="inlineStr">
        <is>
          <t>1</t>
        </is>
      </c>
      <c r="J842" t="inlineStr">
        <is>
          <t>No</t>
        </is>
      </c>
      <c r="K842" t="inlineStr">
        <is>
          <t>No</t>
        </is>
      </c>
      <c r="L842" t="inlineStr">
        <is>
          <t>0</t>
        </is>
      </c>
      <c r="M842" t="inlineStr">
        <is>
          <t>Sewell, Arthur.</t>
        </is>
      </c>
      <c r="N842" t="inlineStr">
        <is>
          <t>Oxford : Clarendon Press, 1951.</t>
        </is>
      </c>
      <c r="O842" t="inlineStr">
        <is>
          <t>1951</t>
        </is>
      </c>
      <c r="Q842" t="inlineStr">
        <is>
          <t>eng</t>
        </is>
      </c>
      <c r="R842" t="inlineStr">
        <is>
          <t>enk</t>
        </is>
      </c>
      <c r="T842" t="inlineStr">
        <is>
          <t xml:space="preserve">PR </t>
        </is>
      </c>
      <c r="U842" t="n">
        <v>7</v>
      </c>
      <c r="V842" t="n">
        <v>7</v>
      </c>
      <c r="W842" t="inlineStr">
        <is>
          <t>1997-10-09</t>
        </is>
      </c>
      <c r="X842" t="inlineStr">
        <is>
          <t>1997-10-09</t>
        </is>
      </c>
      <c r="Y842" t="inlineStr">
        <is>
          <t>1991-11-06</t>
        </is>
      </c>
      <c r="Z842" t="inlineStr">
        <is>
          <t>1991-11-06</t>
        </is>
      </c>
      <c r="AA842" t="n">
        <v>602</v>
      </c>
      <c r="AB842" t="n">
        <v>470</v>
      </c>
      <c r="AC842" t="n">
        <v>534</v>
      </c>
      <c r="AD842" t="n">
        <v>4</v>
      </c>
      <c r="AE842" t="n">
        <v>4</v>
      </c>
      <c r="AF842" t="n">
        <v>28</v>
      </c>
      <c r="AG842" t="n">
        <v>28</v>
      </c>
      <c r="AH842" t="n">
        <v>10</v>
      </c>
      <c r="AI842" t="n">
        <v>10</v>
      </c>
      <c r="AJ842" t="n">
        <v>5</v>
      </c>
      <c r="AK842" t="n">
        <v>5</v>
      </c>
      <c r="AL842" t="n">
        <v>18</v>
      </c>
      <c r="AM842" t="n">
        <v>18</v>
      </c>
      <c r="AN842" t="n">
        <v>3</v>
      </c>
      <c r="AO842" t="n">
        <v>3</v>
      </c>
      <c r="AP842" t="n">
        <v>0</v>
      </c>
      <c r="AQ842" t="n">
        <v>0</v>
      </c>
      <c r="AR842" t="inlineStr">
        <is>
          <t>No</t>
        </is>
      </c>
      <c r="AS842" t="inlineStr">
        <is>
          <t>Yes</t>
        </is>
      </c>
      <c r="AT842">
        <f>HYPERLINK("http://catalog.hathitrust.org/Record/001112242","HathiTrust Record")</f>
        <v/>
      </c>
      <c r="AU842">
        <f>HYPERLINK("https://creighton-primo.hosted.exlibrisgroup.com/primo-explore/search?tab=default_tab&amp;search_scope=EVERYTHING&amp;vid=01CRU&amp;lang=en_US&amp;offset=0&amp;query=any,contains,991004357919702656","Catalog Record")</f>
        <v/>
      </c>
      <c r="AV842">
        <f>HYPERLINK("http://www.worldcat.org/oclc/3150287","WorldCat Record")</f>
        <v/>
      </c>
      <c r="AW842" t="inlineStr">
        <is>
          <t>1390891:eng</t>
        </is>
      </c>
      <c r="AX842" t="inlineStr">
        <is>
          <t>3150287</t>
        </is>
      </c>
      <c r="AY842" t="inlineStr">
        <is>
          <t>991004357919702656</t>
        </is>
      </c>
      <c r="AZ842" t="inlineStr">
        <is>
          <t>991004357919702656</t>
        </is>
      </c>
      <c r="BA842" t="inlineStr">
        <is>
          <t>2260055760002656</t>
        </is>
      </c>
      <c r="BB842" t="inlineStr">
        <is>
          <t>BOOK</t>
        </is>
      </c>
      <c r="BE842" t="inlineStr">
        <is>
          <t>32285000804343</t>
        </is>
      </c>
      <c r="BF842" t="inlineStr">
        <is>
          <t>893712492</t>
        </is>
      </c>
    </row>
    <row r="843">
      <c r="A843" t="inlineStr">
        <is>
          <t>No</t>
        </is>
      </c>
      <c r="B843" t="inlineStr">
        <is>
          <t>CURAL</t>
        </is>
      </c>
      <c r="C843" t="inlineStr">
        <is>
          <t>SHELVES</t>
        </is>
      </c>
      <c r="D843" t="inlineStr">
        <is>
          <t>PR2989 .S67 1965</t>
        </is>
      </c>
      <c r="E843" t="inlineStr">
        <is>
          <t>0                      PR 2989000S  67          1965</t>
        </is>
      </c>
      <c r="F843" t="inlineStr">
        <is>
          <t>Character and motive in Shakespeare : some recent appraisals examined / by J.I.M. Stewart.</t>
        </is>
      </c>
      <c r="H843" t="inlineStr">
        <is>
          <t>No</t>
        </is>
      </c>
      <c r="I843" t="inlineStr">
        <is>
          <t>1</t>
        </is>
      </c>
      <c r="J843" t="inlineStr">
        <is>
          <t>No</t>
        </is>
      </c>
      <c r="K843" t="inlineStr">
        <is>
          <t>No</t>
        </is>
      </c>
      <c r="L843" t="inlineStr">
        <is>
          <t>0</t>
        </is>
      </c>
      <c r="M843" t="inlineStr">
        <is>
          <t>Stewart, J. I. M. (John Innes Mackintosh), 1906-1994.</t>
        </is>
      </c>
      <c r="N843" t="inlineStr">
        <is>
          <t>[London] : Longmans, [1965]</t>
        </is>
      </c>
      <c r="O843" t="inlineStr">
        <is>
          <t>1965</t>
        </is>
      </c>
      <c r="P843" t="inlineStr">
        <is>
          <t>Pbk. ed.</t>
        </is>
      </c>
      <c r="Q843" t="inlineStr">
        <is>
          <t>eng</t>
        </is>
      </c>
      <c r="R843" t="inlineStr">
        <is>
          <t>enk</t>
        </is>
      </c>
      <c r="T843" t="inlineStr">
        <is>
          <t xml:space="preserve">PR </t>
        </is>
      </c>
      <c r="U843" t="n">
        <v>3</v>
      </c>
      <c r="V843" t="n">
        <v>3</v>
      </c>
      <c r="W843" t="inlineStr">
        <is>
          <t>2003-11-24</t>
        </is>
      </c>
      <c r="X843" t="inlineStr">
        <is>
          <t>2003-11-24</t>
        </is>
      </c>
      <c r="Y843" t="inlineStr">
        <is>
          <t>2001-07-12</t>
        </is>
      </c>
      <c r="Z843" t="inlineStr">
        <is>
          <t>2001-07-12</t>
        </is>
      </c>
      <c r="AA843" t="n">
        <v>68</v>
      </c>
      <c r="AB843" t="n">
        <v>26</v>
      </c>
      <c r="AC843" t="n">
        <v>853</v>
      </c>
      <c r="AD843" t="n">
        <v>1</v>
      </c>
      <c r="AE843" t="n">
        <v>7</v>
      </c>
      <c r="AF843" t="n">
        <v>1</v>
      </c>
      <c r="AG843" t="n">
        <v>44</v>
      </c>
      <c r="AH843" t="n">
        <v>1</v>
      </c>
      <c r="AI843" t="n">
        <v>21</v>
      </c>
      <c r="AJ843" t="n">
        <v>1</v>
      </c>
      <c r="AK843" t="n">
        <v>7</v>
      </c>
      <c r="AL843" t="n">
        <v>0</v>
      </c>
      <c r="AM843" t="n">
        <v>21</v>
      </c>
      <c r="AN843" t="n">
        <v>0</v>
      </c>
      <c r="AO843" t="n">
        <v>6</v>
      </c>
      <c r="AP843" t="n">
        <v>0</v>
      </c>
      <c r="AQ843" t="n">
        <v>0</v>
      </c>
      <c r="AR843" t="inlineStr">
        <is>
          <t>No</t>
        </is>
      </c>
      <c r="AS843" t="inlineStr">
        <is>
          <t>Yes</t>
        </is>
      </c>
      <c r="AT843">
        <f>HYPERLINK("http://catalog.hathitrust.org/Record/009920257","HathiTrust Record")</f>
        <v/>
      </c>
      <c r="AU843">
        <f>HYPERLINK("https://creighton-primo.hosted.exlibrisgroup.com/primo-explore/search?tab=default_tab&amp;search_scope=EVERYTHING&amp;vid=01CRU&amp;lang=en_US&amp;offset=0&amp;query=any,contains,991003567879702656","Catalog Record")</f>
        <v/>
      </c>
      <c r="AV843">
        <f>HYPERLINK("http://www.worldcat.org/oclc/10989201","WorldCat Record")</f>
        <v/>
      </c>
      <c r="AW843" t="inlineStr">
        <is>
          <t>9094333428:eng</t>
        </is>
      </c>
      <c r="AX843" t="inlineStr">
        <is>
          <t>10989201</t>
        </is>
      </c>
      <c r="AY843" t="inlineStr">
        <is>
          <t>991003567879702656</t>
        </is>
      </c>
      <c r="AZ843" t="inlineStr">
        <is>
          <t>991003567879702656</t>
        </is>
      </c>
      <c r="BA843" t="inlineStr">
        <is>
          <t>2257738950002656</t>
        </is>
      </c>
      <c r="BB843" t="inlineStr">
        <is>
          <t>BOOK</t>
        </is>
      </c>
      <c r="BE843" t="inlineStr">
        <is>
          <t>32285004332218</t>
        </is>
      </c>
      <c r="BF843" t="inlineStr">
        <is>
          <t>893416521</t>
        </is>
      </c>
    </row>
    <row r="844">
      <c r="A844" t="inlineStr">
        <is>
          <t>No</t>
        </is>
      </c>
      <c r="B844" t="inlineStr">
        <is>
          <t>CURAL</t>
        </is>
      </c>
      <c r="C844" t="inlineStr">
        <is>
          <t>SHELVES</t>
        </is>
      </c>
      <c r="D844" t="inlineStr">
        <is>
          <t>PR2989 .S7 1966</t>
        </is>
      </c>
      <c r="E844" t="inlineStr">
        <is>
          <t>0                      PR 2989000S  7           1966</t>
        </is>
      </c>
      <c r="F844" t="inlineStr">
        <is>
          <t>Shakespeare's young lovers : the Alexander lectures at the University of Toronto, 1935.</t>
        </is>
      </c>
      <c r="H844" t="inlineStr">
        <is>
          <t>No</t>
        </is>
      </c>
      <c r="I844" t="inlineStr">
        <is>
          <t>1</t>
        </is>
      </c>
      <c r="J844" t="inlineStr">
        <is>
          <t>No</t>
        </is>
      </c>
      <c r="K844" t="inlineStr">
        <is>
          <t>No</t>
        </is>
      </c>
      <c r="L844" t="inlineStr">
        <is>
          <t>0</t>
        </is>
      </c>
      <c r="M844" t="inlineStr">
        <is>
          <t>Stoll, Elmer Edgar, 1874-1959.</t>
        </is>
      </c>
      <c r="N844" t="inlineStr">
        <is>
          <t>New York : AMS Press, 1966.</t>
        </is>
      </c>
      <c r="O844" t="inlineStr">
        <is>
          <t>1966</t>
        </is>
      </c>
      <c r="Q844" t="inlineStr">
        <is>
          <t>eng</t>
        </is>
      </c>
      <c r="R844" t="inlineStr">
        <is>
          <t>nyu</t>
        </is>
      </c>
      <c r="T844" t="inlineStr">
        <is>
          <t xml:space="preserve">PR </t>
        </is>
      </c>
      <c r="U844" t="n">
        <v>5</v>
      </c>
      <c r="V844" t="n">
        <v>5</v>
      </c>
      <c r="W844" t="inlineStr">
        <is>
          <t>1998-04-24</t>
        </is>
      </c>
      <c r="X844" t="inlineStr">
        <is>
          <t>1998-04-24</t>
        </is>
      </c>
      <c r="Y844" t="inlineStr">
        <is>
          <t>1991-11-06</t>
        </is>
      </c>
      <c r="Z844" t="inlineStr">
        <is>
          <t>1991-11-06</t>
        </is>
      </c>
      <c r="AA844" t="n">
        <v>289</v>
      </c>
      <c r="AB844" t="n">
        <v>257</v>
      </c>
      <c r="AC844" t="n">
        <v>672</v>
      </c>
      <c r="AD844" t="n">
        <v>3</v>
      </c>
      <c r="AE844" t="n">
        <v>7</v>
      </c>
      <c r="AF844" t="n">
        <v>11</v>
      </c>
      <c r="AG844" t="n">
        <v>37</v>
      </c>
      <c r="AH844" t="n">
        <v>4</v>
      </c>
      <c r="AI844" t="n">
        <v>15</v>
      </c>
      <c r="AJ844" t="n">
        <v>2</v>
      </c>
      <c r="AK844" t="n">
        <v>6</v>
      </c>
      <c r="AL844" t="n">
        <v>8</v>
      </c>
      <c r="AM844" t="n">
        <v>20</v>
      </c>
      <c r="AN844" t="n">
        <v>2</v>
      </c>
      <c r="AO844" t="n">
        <v>6</v>
      </c>
      <c r="AP844" t="n">
        <v>0</v>
      </c>
      <c r="AQ844" t="n">
        <v>0</v>
      </c>
      <c r="AR844" t="inlineStr">
        <is>
          <t>No</t>
        </is>
      </c>
      <c r="AS844" t="inlineStr">
        <is>
          <t>Yes</t>
        </is>
      </c>
      <c r="AT844">
        <f>HYPERLINK("http://catalog.hathitrust.org/Record/102071258","HathiTrust Record")</f>
        <v/>
      </c>
      <c r="AU844">
        <f>HYPERLINK("https://creighton-primo.hosted.exlibrisgroup.com/primo-explore/search?tab=default_tab&amp;search_scope=EVERYTHING&amp;vid=01CRU&amp;lang=en_US&amp;offset=0&amp;query=any,contains,991002465229702656","Catalog Record")</f>
        <v/>
      </c>
      <c r="AV844">
        <f>HYPERLINK("http://www.worldcat.org/oclc/357437","WorldCat Record")</f>
        <v/>
      </c>
      <c r="AW844" t="inlineStr">
        <is>
          <t>474818:eng</t>
        </is>
      </c>
      <c r="AX844" t="inlineStr">
        <is>
          <t>357437</t>
        </is>
      </c>
      <c r="AY844" t="inlineStr">
        <is>
          <t>991002465229702656</t>
        </is>
      </c>
      <c r="AZ844" t="inlineStr">
        <is>
          <t>991002465229702656</t>
        </is>
      </c>
      <c r="BA844" t="inlineStr">
        <is>
          <t>2263000320002656</t>
        </is>
      </c>
      <c r="BB844" t="inlineStr">
        <is>
          <t>BOOK</t>
        </is>
      </c>
      <c r="BE844" t="inlineStr">
        <is>
          <t>32285000804327</t>
        </is>
      </c>
      <c r="BF844" t="inlineStr">
        <is>
          <t>893873548</t>
        </is>
      </c>
    </row>
    <row r="845">
      <c r="A845" t="inlineStr">
        <is>
          <t>No</t>
        </is>
      </c>
      <c r="B845" t="inlineStr">
        <is>
          <t>CURAL</t>
        </is>
      </c>
      <c r="C845" t="inlineStr">
        <is>
          <t>SHELVES</t>
        </is>
      </c>
      <c r="D845" t="inlineStr">
        <is>
          <t>PR2991 .C73 1997</t>
        </is>
      </c>
      <c r="E845" t="inlineStr">
        <is>
          <t>0                      PR 2991000C  73          1997</t>
        </is>
      </c>
      <c r="F845" t="inlineStr">
        <is>
          <t>The learning, wit, and wisdom of Shakespeare's Renaissance women / John W. Crawford.</t>
        </is>
      </c>
      <c r="H845" t="inlineStr">
        <is>
          <t>No</t>
        </is>
      </c>
      <c r="I845" t="inlineStr">
        <is>
          <t>1</t>
        </is>
      </c>
      <c r="J845" t="inlineStr">
        <is>
          <t>No</t>
        </is>
      </c>
      <c r="K845" t="inlineStr">
        <is>
          <t>No</t>
        </is>
      </c>
      <c r="L845" t="inlineStr">
        <is>
          <t>0</t>
        </is>
      </c>
      <c r="M845" t="inlineStr">
        <is>
          <t>Crawford, John W.</t>
        </is>
      </c>
      <c r="N845" t="inlineStr">
        <is>
          <t>Lewiston : Edwin Mellen Press, c1997.</t>
        </is>
      </c>
      <c r="O845" t="inlineStr">
        <is>
          <t>1997</t>
        </is>
      </c>
      <c r="Q845" t="inlineStr">
        <is>
          <t>eng</t>
        </is>
      </c>
      <c r="R845" t="inlineStr">
        <is>
          <t>nyu</t>
        </is>
      </c>
      <c r="S845" t="inlineStr">
        <is>
          <t>Studies in Renaissance literature ; v. 14</t>
        </is>
      </c>
      <c r="T845" t="inlineStr">
        <is>
          <t xml:space="preserve">PR </t>
        </is>
      </c>
      <c r="U845" t="n">
        <v>5</v>
      </c>
      <c r="V845" t="n">
        <v>5</v>
      </c>
      <c r="W845" t="inlineStr">
        <is>
          <t>2008-11-17</t>
        </is>
      </c>
      <c r="X845" t="inlineStr">
        <is>
          <t>2008-11-17</t>
        </is>
      </c>
      <c r="Y845" t="inlineStr">
        <is>
          <t>2000-01-24</t>
        </is>
      </c>
      <c r="Z845" t="inlineStr">
        <is>
          <t>2000-01-24</t>
        </is>
      </c>
      <c r="AA845" t="n">
        <v>178</v>
      </c>
      <c r="AB845" t="n">
        <v>149</v>
      </c>
      <c r="AC845" t="n">
        <v>154</v>
      </c>
      <c r="AD845" t="n">
        <v>1</v>
      </c>
      <c r="AE845" t="n">
        <v>1</v>
      </c>
      <c r="AF845" t="n">
        <v>13</v>
      </c>
      <c r="AG845" t="n">
        <v>13</v>
      </c>
      <c r="AH845" t="n">
        <v>3</v>
      </c>
      <c r="AI845" t="n">
        <v>3</v>
      </c>
      <c r="AJ845" t="n">
        <v>5</v>
      </c>
      <c r="AK845" t="n">
        <v>5</v>
      </c>
      <c r="AL845" t="n">
        <v>8</v>
      </c>
      <c r="AM845" t="n">
        <v>8</v>
      </c>
      <c r="AN845" t="n">
        <v>0</v>
      </c>
      <c r="AO845" t="n">
        <v>0</v>
      </c>
      <c r="AP845" t="n">
        <v>0</v>
      </c>
      <c r="AQ845" t="n">
        <v>0</v>
      </c>
      <c r="AR845" t="inlineStr">
        <is>
          <t>No</t>
        </is>
      </c>
      <c r="AS845" t="inlineStr">
        <is>
          <t>No</t>
        </is>
      </c>
      <c r="AU845">
        <f>HYPERLINK("https://creighton-primo.hosted.exlibrisgroup.com/primo-explore/search?tab=default_tab&amp;search_scope=EVERYTHING&amp;vid=01CRU&amp;lang=en_US&amp;offset=0&amp;query=any,contains,991002743129702656","Catalog Record")</f>
        <v/>
      </c>
      <c r="AV845">
        <f>HYPERLINK("http://www.worldcat.org/oclc/36011724","WorldCat Record")</f>
        <v/>
      </c>
      <c r="AW845" t="inlineStr">
        <is>
          <t>596657:eng</t>
        </is>
      </c>
      <c r="AX845" t="inlineStr">
        <is>
          <t>36011724</t>
        </is>
      </c>
      <c r="AY845" t="inlineStr">
        <is>
          <t>991002743129702656</t>
        </is>
      </c>
      <c r="AZ845" t="inlineStr">
        <is>
          <t>991002743129702656</t>
        </is>
      </c>
      <c r="BA845" t="inlineStr">
        <is>
          <t>2254951700002656</t>
        </is>
      </c>
      <c r="BB845" t="inlineStr">
        <is>
          <t>BOOK</t>
        </is>
      </c>
      <c r="BD845" t="inlineStr">
        <is>
          <t>9780773487376</t>
        </is>
      </c>
      <c r="BE845" t="inlineStr">
        <is>
          <t>32285003643359</t>
        </is>
      </c>
      <c r="BF845" t="inlineStr">
        <is>
          <t>893415589</t>
        </is>
      </c>
    </row>
    <row r="846">
      <c r="A846" t="inlineStr">
        <is>
          <t>No</t>
        </is>
      </c>
      <c r="B846" t="inlineStr">
        <is>
          <t>CURAL</t>
        </is>
      </c>
      <c r="C846" t="inlineStr">
        <is>
          <t>SHELVES</t>
        </is>
      </c>
      <c r="D846" t="inlineStr">
        <is>
          <t>PR2991 .R86 1989</t>
        </is>
      </c>
      <c r="E846" t="inlineStr">
        <is>
          <t>0                      PR 2991000R  86          1989</t>
        </is>
      </c>
      <c r="F846" t="inlineStr">
        <is>
          <t>Clamorous voices : Shakespeare's women today / Carol Rutter with Sinead Cusack ... [et al.] ; edited by Faith Evans.</t>
        </is>
      </c>
      <c r="H846" t="inlineStr">
        <is>
          <t>No</t>
        </is>
      </c>
      <c r="I846" t="inlineStr">
        <is>
          <t>1</t>
        </is>
      </c>
      <c r="J846" t="inlineStr">
        <is>
          <t>No</t>
        </is>
      </c>
      <c r="K846" t="inlineStr">
        <is>
          <t>No</t>
        </is>
      </c>
      <c r="L846" t="inlineStr">
        <is>
          <t>0</t>
        </is>
      </c>
      <c r="M846" t="inlineStr">
        <is>
          <t>Rutter, Carol Chillington.</t>
        </is>
      </c>
      <c r="N846" t="inlineStr">
        <is>
          <t>New York, N.Y. : Routledge, c1989.</t>
        </is>
      </c>
      <c r="O846" t="inlineStr">
        <is>
          <t>1989</t>
        </is>
      </c>
      <c r="Q846" t="inlineStr">
        <is>
          <t>eng</t>
        </is>
      </c>
      <c r="R846" t="inlineStr">
        <is>
          <t>nyu</t>
        </is>
      </c>
      <c r="T846" t="inlineStr">
        <is>
          <t xml:space="preserve">PR </t>
        </is>
      </c>
      <c r="U846" t="n">
        <v>7</v>
      </c>
      <c r="V846" t="n">
        <v>7</v>
      </c>
      <c r="W846" t="inlineStr">
        <is>
          <t>1998-05-01</t>
        </is>
      </c>
      <c r="X846" t="inlineStr">
        <is>
          <t>1998-05-01</t>
        </is>
      </c>
      <c r="Y846" t="inlineStr">
        <is>
          <t>1990-08-08</t>
        </is>
      </c>
      <c r="Z846" t="inlineStr">
        <is>
          <t>1990-08-08</t>
        </is>
      </c>
      <c r="AA846" t="n">
        <v>496</v>
      </c>
      <c r="AB846" t="n">
        <v>445</v>
      </c>
      <c r="AC846" t="n">
        <v>510</v>
      </c>
      <c r="AD846" t="n">
        <v>5</v>
      </c>
      <c r="AE846" t="n">
        <v>6</v>
      </c>
      <c r="AF846" t="n">
        <v>26</v>
      </c>
      <c r="AG846" t="n">
        <v>32</v>
      </c>
      <c r="AH846" t="n">
        <v>10</v>
      </c>
      <c r="AI846" t="n">
        <v>11</v>
      </c>
      <c r="AJ846" t="n">
        <v>5</v>
      </c>
      <c r="AK846" t="n">
        <v>6</v>
      </c>
      <c r="AL846" t="n">
        <v>11</v>
      </c>
      <c r="AM846" t="n">
        <v>15</v>
      </c>
      <c r="AN846" t="n">
        <v>4</v>
      </c>
      <c r="AO846" t="n">
        <v>5</v>
      </c>
      <c r="AP846" t="n">
        <v>0</v>
      </c>
      <c r="AQ846" t="n">
        <v>0</v>
      </c>
      <c r="AR846" t="inlineStr">
        <is>
          <t>No</t>
        </is>
      </c>
      <c r="AS846" t="inlineStr">
        <is>
          <t>Yes</t>
        </is>
      </c>
      <c r="AT846">
        <f>HYPERLINK("http://catalog.hathitrust.org/Record/007585791","HathiTrust Record")</f>
        <v/>
      </c>
      <c r="AU846">
        <f>HYPERLINK("https://creighton-primo.hosted.exlibrisgroup.com/primo-explore/search?tab=default_tab&amp;search_scope=EVERYTHING&amp;vid=01CRU&amp;lang=en_US&amp;offset=0&amp;query=any,contains,991001516279702656","Catalog Record")</f>
        <v/>
      </c>
      <c r="AV846">
        <f>HYPERLINK("http://www.worldcat.org/oclc/19922599","WorldCat Record")</f>
        <v/>
      </c>
      <c r="AW846" t="inlineStr">
        <is>
          <t>893814:eng</t>
        </is>
      </c>
      <c r="AX846" t="inlineStr">
        <is>
          <t>19922599</t>
        </is>
      </c>
      <c r="AY846" t="inlineStr">
        <is>
          <t>991001516279702656</t>
        </is>
      </c>
      <c r="AZ846" t="inlineStr">
        <is>
          <t>991001516279702656</t>
        </is>
      </c>
      <c r="BA846" t="inlineStr">
        <is>
          <t>2267541340002656</t>
        </is>
      </c>
      <c r="BB846" t="inlineStr">
        <is>
          <t>BOOK</t>
        </is>
      </c>
      <c r="BD846" t="inlineStr">
        <is>
          <t>9780878300372</t>
        </is>
      </c>
      <c r="BE846" t="inlineStr">
        <is>
          <t>32285000242726</t>
        </is>
      </c>
      <c r="BF846" t="inlineStr">
        <is>
          <t>893615178</t>
        </is>
      </c>
    </row>
    <row r="847">
      <c r="A847" t="inlineStr">
        <is>
          <t>No</t>
        </is>
      </c>
      <c r="B847" t="inlineStr">
        <is>
          <t>CURAL</t>
        </is>
      </c>
      <c r="C847" t="inlineStr">
        <is>
          <t>SHELVES</t>
        </is>
      </c>
      <c r="D847" t="inlineStr">
        <is>
          <t>PR2991 .S4</t>
        </is>
      </c>
      <c r="E847" t="inlineStr">
        <is>
          <t>0                      PR 2991000S  4</t>
        </is>
      </c>
      <c r="F847" t="inlineStr">
        <is>
          <t>The slandered woman in Shakespeare / Joyce H. Sexton. --</t>
        </is>
      </c>
      <c r="H847" t="inlineStr">
        <is>
          <t>No</t>
        </is>
      </c>
      <c r="I847" t="inlineStr">
        <is>
          <t>1</t>
        </is>
      </c>
      <c r="J847" t="inlineStr">
        <is>
          <t>No</t>
        </is>
      </c>
      <c r="K847" t="inlineStr">
        <is>
          <t>No</t>
        </is>
      </c>
      <c r="L847" t="inlineStr">
        <is>
          <t>0</t>
        </is>
      </c>
      <c r="M847" t="inlineStr">
        <is>
          <t>Sexton, Joyce H. (Joyce Hengerer)</t>
        </is>
      </c>
      <c r="N847" t="inlineStr">
        <is>
          <t>Victoria, B.C. : English Literary Studies, University of Victoria, 1978.</t>
        </is>
      </c>
      <c r="O847" t="inlineStr">
        <is>
          <t>1978</t>
        </is>
      </c>
      <c r="Q847" t="inlineStr">
        <is>
          <t>eng</t>
        </is>
      </c>
      <c r="R847" t="inlineStr">
        <is>
          <t>bcc</t>
        </is>
      </c>
      <c r="S847" t="inlineStr">
        <is>
          <t>ELS monograph series ; no. 12</t>
        </is>
      </c>
      <c r="T847" t="inlineStr">
        <is>
          <t xml:space="preserve">PR </t>
        </is>
      </c>
      <c r="U847" t="n">
        <v>4</v>
      </c>
      <c r="V847" t="n">
        <v>4</v>
      </c>
      <c r="W847" t="inlineStr">
        <is>
          <t>1996-02-17</t>
        </is>
      </c>
      <c r="X847" t="inlineStr">
        <is>
          <t>1996-02-17</t>
        </is>
      </c>
      <c r="Y847" t="inlineStr">
        <is>
          <t>1991-08-14</t>
        </is>
      </c>
      <c r="Z847" t="inlineStr">
        <is>
          <t>1991-08-14</t>
        </is>
      </c>
      <c r="AA847" t="n">
        <v>355</v>
      </c>
      <c r="AB847" t="n">
        <v>285</v>
      </c>
      <c r="AC847" t="n">
        <v>287</v>
      </c>
      <c r="AD847" t="n">
        <v>3</v>
      </c>
      <c r="AE847" t="n">
        <v>3</v>
      </c>
      <c r="AF847" t="n">
        <v>24</v>
      </c>
      <c r="AG847" t="n">
        <v>24</v>
      </c>
      <c r="AH847" t="n">
        <v>7</v>
      </c>
      <c r="AI847" t="n">
        <v>7</v>
      </c>
      <c r="AJ847" t="n">
        <v>5</v>
      </c>
      <c r="AK847" t="n">
        <v>5</v>
      </c>
      <c r="AL847" t="n">
        <v>17</v>
      </c>
      <c r="AM847" t="n">
        <v>17</v>
      </c>
      <c r="AN847" t="n">
        <v>2</v>
      </c>
      <c r="AO847" t="n">
        <v>2</v>
      </c>
      <c r="AP847" t="n">
        <v>0</v>
      </c>
      <c r="AQ847" t="n">
        <v>0</v>
      </c>
      <c r="AR847" t="inlineStr">
        <is>
          <t>No</t>
        </is>
      </c>
      <c r="AS847" t="inlineStr">
        <is>
          <t>Yes</t>
        </is>
      </c>
      <c r="AT847">
        <f>HYPERLINK("http://catalog.hathitrust.org/Record/000218899","HathiTrust Record")</f>
        <v/>
      </c>
      <c r="AU847">
        <f>HYPERLINK("https://creighton-primo.hosted.exlibrisgroup.com/primo-explore/search?tab=default_tab&amp;search_scope=EVERYTHING&amp;vid=01CRU&amp;lang=en_US&amp;offset=0&amp;query=any,contains,991004625729702656","Catalog Record")</f>
        <v/>
      </c>
      <c r="AV847">
        <f>HYPERLINK("http://www.worldcat.org/oclc/4338537","WorldCat Record")</f>
        <v/>
      </c>
      <c r="AW847" t="inlineStr">
        <is>
          <t>3857470876:eng</t>
        </is>
      </c>
      <c r="AX847" t="inlineStr">
        <is>
          <t>4338537</t>
        </is>
      </c>
      <c r="AY847" t="inlineStr">
        <is>
          <t>991004625729702656</t>
        </is>
      </c>
      <c r="AZ847" t="inlineStr">
        <is>
          <t>991004625729702656</t>
        </is>
      </c>
      <c r="BA847" t="inlineStr">
        <is>
          <t>2259701390002656</t>
        </is>
      </c>
      <c r="BB847" t="inlineStr">
        <is>
          <t>BOOK</t>
        </is>
      </c>
      <c r="BD847" t="inlineStr">
        <is>
          <t>9780092064227</t>
        </is>
      </c>
      <c r="BE847" t="inlineStr">
        <is>
          <t>32285000696392</t>
        </is>
      </c>
      <c r="BF847" t="inlineStr">
        <is>
          <t>893319452</t>
        </is>
      </c>
    </row>
    <row r="848">
      <c r="A848" t="inlineStr">
        <is>
          <t>No</t>
        </is>
      </c>
      <c r="B848" t="inlineStr">
        <is>
          <t>CURAL</t>
        </is>
      </c>
      <c r="C848" t="inlineStr">
        <is>
          <t>SHELVES</t>
        </is>
      </c>
      <c r="D848" t="inlineStr">
        <is>
          <t>PR2992.H4 B7</t>
        </is>
      </c>
      <c r="E848" t="inlineStr">
        <is>
          <t>0                      PR 2992000H  4                  B  7</t>
        </is>
      </c>
      <c r="F848" t="inlineStr">
        <is>
          <t>Hero &amp; saint: Shakespeare and the Graeco-Roman heroic tradition, by Reuben A. Brower.</t>
        </is>
      </c>
      <c r="H848" t="inlineStr">
        <is>
          <t>No</t>
        </is>
      </c>
      <c r="I848" t="inlineStr">
        <is>
          <t>1</t>
        </is>
      </c>
      <c r="J848" t="inlineStr">
        <is>
          <t>No</t>
        </is>
      </c>
      <c r="K848" t="inlineStr">
        <is>
          <t>No</t>
        </is>
      </c>
      <c r="L848" t="inlineStr">
        <is>
          <t>0</t>
        </is>
      </c>
      <c r="M848" t="inlineStr">
        <is>
          <t>Brower, Reuben A. (Reuben Arthur), 1908-1975.</t>
        </is>
      </c>
      <c r="N848" t="inlineStr">
        <is>
          <t>New York, Oxford University Press, 1971.</t>
        </is>
      </c>
      <c r="O848" t="inlineStr">
        <is>
          <t>1971</t>
        </is>
      </c>
      <c r="Q848" t="inlineStr">
        <is>
          <t>eng</t>
        </is>
      </c>
      <c r="R848" t="inlineStr">
        <is>
          <t>nyu</t>
        </is>
      </c>
      <c r="T848" t="inlineStr">
        <is>
          <t xml:space="preserve">PR </t>
        </is>
      </c>
      <c r="U848" t="n">
        <v>1</v>
      </c>
      <c r="V848" t="n">
        <v>1</v>
      </c>
      <c r="W848" t="inlineStr">
        <is>
          <t>2000-12-07</t>
        </is>
      </c>
      <c r="X848" t="inlineStr">
        <is>
          <t>2000-12-07</t>
        </is>
      </c>
      <c r="Y848" t="inlineStr">
        <is>
          <t>1997-08-06</t>
        </is>
      </c>
      <c r="Z848" t="inlineStr">
        <is>
          <t>1997-08-06</t>
        </is>
      </c>
      <c r="AA848" t="n">
        <v>935</v>
      </c>
      <c r="AB848" t="n">
        <v>872</v>
      </c>
      <c r="AC848" t="n">
        <v>917</v>
      </c>
      <c r="AD848" t="n">
        <v>8</v>
      </c>
      <c r="AE848" t="n">
        <v>8</v>
      </c>
      <c r="AF848" t="n">
        <v>47</v>
      </c>
      <c r="AG848" t="n">
        <v>48</v>
      </c>
      <c r="AH848" t="n">
        <v>19</v>
      </c>
      <c r="AI848" t="n">
        <v>20</v>
      </c>
      <c r="AJ848" t="n">
        <v>10</v>
      </c>
      <c r="AK848" t="n">
        <v>10</v>
      </c>
      <c r="AL848" t="n">
        <v>24</v>
      </c>
      <c r="AM848" t="n">
        <v>24</v>
      </c>
      <c r="AN848" t="n">
        <v>7</v>
      </c>
      <c r="AO848" t="n">
        <v>7</v>
      </c>
      <c r="AP848" t="n">
        <v>0</v>
      </c>
      <c r="AQ848" t="n">
        <v>0</v>
      </c>
      <c r="AR848" t="inlineStr">
        <is>
          <t>No</t>
        </is>
      </c>
      <c r="AS848" t="inlineStr">
        <is>
          <t>Yes</t>
        </is>
      </c>
      <c r="AT848">
        <f>HYPERLINK("http://catalog.hathitrust.org/Record/001366651","HathiTrust Record")</f>
        <v/>
      </c>
      <c r="AU848">
        <f>HYPERLINK("https://creighton-primo.hosted.exlibrisgroup.com/primo-explore/search?tab=default_tab&amp;search_scope=EVERYTHING&amp;vid=01CRU&amp;lang=en_US&amp;offset=0&amp;query=any,contains,991001269339702656","Catalog Record")</f>
        <v/>
      </c>
      <c r="AV848">
        <f>HYPERLINK("http://www.worldcat.org/oclc/211060","WorldCat Record")</f>
        <v/>
      </c>
      <c r="AW848" t="inlineStr">
        <is>
          <t>476617396:eng</t>
        </is>
      </c>
      <c r="AX848" t="inlineStr">
        <is>
          <t>211060</t>
        </is>
      </c>
      <c r="AY848" t="inlineStr">
        <is>
          <t>991001269339702656</t>
        </is>
      </c>
      <c r="AZ848" t="inlineStr">
        <is>
          <t>991001269339702656</t>
        </is>
      </c>
      <c r="BA848" t="inlineStr">
        <is>
          <t>2262449200002656</t>
        </is>
      </c>
      <c r="BB848" t="inlineStr">
        <is>
          <t>BOOK</t>
        </is>
      </c>
      <c r="BD848" t="inlineStr">
        <is>
          <t>9780195015157</t>
        </is>
      </c>
      <c r="BE848" t="inlineStr">
        <is>
          <t>32285003021226</t>
        </is>
      </c>
      <c r="BF848" t="inlineStr">
        <is>
          <t>893315656</t>
        </is>
      </c>
    </row>
    <row r="849">
      <c r="A849" t="inlineStr">
        <is>
          <t>No</t>
        </is>
      </c>
      <c r="B849" t="inlineStr">
        <is>
          <t>CURAL</t>
        </is>
      </c>
      <c r="C849" t="inlineStr">
        <is>
          <t>SHELVES</t>
        </is>
      </c>
      <c r="D849" t="inlineStr">
        <is>
          <t>PR2992.V5 C5</t>
        </is>
      </c>
      <c r="E849" t="inlineStr">
        <is>
          <t>0                      PR 2992000V  5                  C  5</t>
        </is>
      </c>
      <c r="F849" t="inlineStr">
        <is>
          <t>Demi-devils : the character of Shakespeare's villains.</t>
        </is>
      </c>
      <c r="H849" t="inlineStr">
        <is>
          <t>No</t>
        </is>
      </c>
      <c r="I849" t="inlineStr">
        <is>
          <t>1</t>
        </is>
      </c>
      <c r="J849" t="inlineStr">
        <is>
          <t>No</t>
        </is>
      </c>
      <c r="K849" t="inlineStr">
        <is>
          <t>No</t>
        </is>
      </c>
      <c r="L849" t="inlineStr">
        <is>
          <t>0</t>
        </is>
      </c>
      <c r="M849" t="inlineStr">
        <is>
          <t>Coe, Charles Norton.</t>
        </is>
      </c>
      <c r="N849" t="inlineStr">
        <is>
          <t>New York : Bookman Associates [1963]</t>
        </is>
      </c>
      <c r="O849" t="inlineStr">
        <is>
          <t>1963</t>
        </is>
      </c>
      <c r="Q849" t="inlineStr">
        <is>
          <t>eng</t>
        </is>
      </c>
      <c r="R849" t="inlineStr">
        <is>
          <t>nyu</t>
        </is>
      </c>
      <c r="T849" t="inlineStr">
        <is>
          <t xml:space="preserve">PR </t>
        </is>
      </c>
      <c r="U849" t="n">
        <v>2</v>
      </c>
      <c r="V849" t="n">
        <v>2</v>
      </c>
      <c r="W849" t="inlineStr">
        <is>
          <t>1998-12-17</t>
        </is>
      </c>
      <c r="X849" t="inlineStr">
        <is>
          <t>1998-12-17</t>
        </is>
      </c>
      <c r="Y849" t="inlineStr">
        <is>
          <t>1997-08-06</t>
        </is>
      </c>
      <c r="Z849" t="inlineStr">
        <is>
          <t>1997-08-06</t>
        </is>
      </c>
      <c r="AA849" t="n">
        <v>406</v>
      </c>
      <c r="AB849" t="n">
        <v>358</v>
      </c>
      <c r="AC849" t="n">
        <v>378</v>
      </c>
      <c r="AD849" t="n">
        <v>3</v>
      </c>
      <c r="AE849" t="n">
        <v>3</v>
      </c>
      <c r="AF849" t="n">
        <v>12</v>
      </c>
      <c r="AG849" t="n">
        <v>12</v>
      </c>
      <c r="AH849" t="n">
        <v>5</v>
      </c>
      <c r="AI849" t="n">
        <v>5</v>
      </c>
      <c r="AJ849" t="n">
        <v>3</v>
      </c>
      <c r="AK849" t="n">
        <v>3</v>
      </c>
      <c r="AL849" t="n">
        <v>6</v>
      </c>
      <c r="AM849" t="n">
        <v>6</v>
      </c>
      <c r="AN849" t="n">
        <v>2</v>
      </c>
      <c r="AO849" t="n">
        <v>2</v>
      </c>
      <c r="AP849" t="n">
        <v>0</v>
      </c>
      <c r="AQ849" t="n">
        <v>0</v>
      </c>
      <c r="AR849" t="inlineStr">
        <is>
          <t>Yes</t>
        </is>
      </c>
      <c r="AS849" t="inlineStr">
        <is>
          <t>No</t>
        </is>
      </c>
      <c r="AT849">
        <f>HYPERLINK("http://catalog.hathitrust.org/Record/001112252","HathiTrust Record")</f>
        <v/>
      </c>
      <c r="AU849">
        <f>HYPERLINK("https://creighton-primo.hosted.exlibrisgroup.com/primo-explore/search?tab=default_tab&amp;search_scope=EVERYTHING&amp;vid=01CRU&amp;lang=en_US&amp;offset=0&amp;query=any,contains,991002453319702656","Catalog Record")</f>
        <v/>
      </c>
      <c r="AV849">
        <f>HYPERLINK("http://www.worldcat.org/oclc/353448","WorldCat Record")</f>
        <v/>
      </c>
      <c r="AW849" t="inlineStr">
        <is>
          <t>285551287:eng</t>
        </is>
      </c>
      <c r="AX849" t="inlineStr">
        <is>
          <t>353448</t>
        </is>
      </c>
      <c r="AY849" t="inlineStr">
        <is>
          <t>991002453319702656</t>
        </is>
      </c>
      <c r="AZ849" t="inlineStr">
        <is>
          <t>991002453319702656</t>
        </is>
      </c>
      <c r="BA849" t="inlineStr">
        <is>
          <t>2267885250002656</t>
        </is>
      </c>
      <c r="BB849" t="inlineStr">
        <is>
          <t>BOOK</t>
        </is>
      </c>
      <c r="BE849" t="inlineStr">
        <is>
          <t>32285003021242</t>
        </is>
      </c>
      <c r="BF849" t="inlineStr">
        <is>
          <t>893341459</t>
        </is>
      </c>
    </row>
    <row r="850">
      <c r="A850" t="inlineStr">
        <is>
          <t>No</t>
        </is>
      </c>
      <c r="B850" t="inlineStr">
        <is>
          <t>CURAL</t>
        </is>
      </c>
      <c r="C850" t="inlineStr">
        <is>
          <t>SHELVES</t>
        </is>
      </c>
      <c r="D850" t="inlineStr">
        <is>
          <t>PR2992.V5 C6</t>
        </is>
      </c>
      <c r="E850" t="inlineStr">
        <is>
          <t>0                      PR 2992000V  5                  C  6</t>
        </is>
      </c>
      <c r="F850" t="inlineStr">
        <is>
          <t>Shakespeare's villains.</t>
        </is>
      </c>
      <c r="H850" t="inlineStr">
        <is>
          <t>No</t>
        </is>
      </c>
      <c r="I850" t="inlineStr">
        <is>
          <t>1</t>
        </is>
      </c>
      <c r="J850" t="inlineStr">
        <is>
          <t>No</t>
        </is>
      </c>
      <c r="K850" t="inlineStr">
        <is>
          <t>No</t>
        </is>
      </c>
      <c r="L850" t="inlineStr">
        <is>
          <t>0</t>
        </is>
      </c>
      <c r="M850" t="inlineStr">
        <is>
          <t>Coe, Charles Norton.</t>
        </is>
      </c>
      <c r="N850" t="inlineStr">
        <is>
          <t>New York : Bookman Associates, [1957]</t>
        </is>
      </c>
      <c r="O850" t="inlineStr">
        <is>
          <t>1957</t>
        </is>
      </c>
      <c r="Q850" t="inlineStr">
        <is>
          <t>eng</t>
        </is>
      </c>
      <c r="R850" t="inlineStr">
        <is>
          <t>nyu</t>
        </is>
      </c>
      <c r="T850" t="inlineStr">
        <is>
          <t xml:space="preserve">PR </t>
        </is>
      </c>
      <c r="U850" t="n">
        <v>5</v>
      </c>
      <c r="V850" t="n">
        <v>5</v>
      </c>
      <c r="W850" t="inlineStr">
        <is>
          <t>1998-12-17</t>
        </is>
      </c>
      <c r="X850" t="inlineStr">
        <is>
          <t>1998-12-17</t>
        </is>
      </c>
      <c r="Y850" t="inlineStr">
        <is>
          <t>1991-01-11</t>
        </is>
      </c>
      <c r="Z850" t="inlineStr">
        <is>
          <t>1991-01-11</t>
        </is>
      </c>
      <c r="AA850" t="n">
        <v>368</v>
      </c>
      <c r="AB850" t="n">
        <v>339</v>
      </c>
      <c r="AC850" t="n">
        <v>502</v>
      </c>
      <c r="AD850" t="n">
        <v>4</v>
      </c>
      <c r="AE850" t="n">
        <v>5</v>
      </c>
      <c r="AF850" t="n">
        <v>16</v>
      </c>
      <c r="AG850" t="n">
        <v>20</v>
      </c>
      <c r="AH850" t="n">
        <v>6</v>
      </c>
      <c r="AI850" t="n">
        <v>7</v>
      </c>
      <c r="AJ850" t="n">
        <v>3</v>
      </c>
      <c r="AK850" t="n">
        <v>4</v>
      </c>
      <c r="AL850" t="n">
        <v>7</v>
      </c>
      <c r="AM850" t="n">
        <v>10</v>
      </c>
      <c r="AN850" t="n">
        <v>3</v>
      </c>
      <c r="AO850" t="n">
        <v>3</v>
      </c>
      <c r="AP850" t="n">
        <v>0</v>
      </c>
      <c r="AQ850" t="n">
        <v>0</v>
      </c>
      <c r="AR850" t="inlineStr">
        <is>
          <t>Yes</t>
        </is>
      </c>
      <c r="AS850" t="inlineStr">
        <is>
          <t>No</t>
        </is>
      </c>
      <c r="AT850">
        <f>HYPERLINK("http://catalog.hathitrust.org/Record/001018949","HathiTrust Record")</f>
        <v/>
      </c>
      <c r="AU850">
        <f>HYPERLINK("https://creighton-primo.hosted.exlibrisgroup.com/primo-explore/search?tab=default_tab&amp;search_scope=EVERYTHING&amp;vid=01CRU&amp;lang=en_US&amp;offset=0&amp;query=any,contains,991003417769702656","Catalog Record")</f>
        <v/>
      </c>
      <c r="AV850">
        <f>HYPERLINK("http://www.worldcat.org/oclc/959216","WorldCat Record")</f>
        <v/>
      </c>
      <c r="AW850" t="inlineStr">
        <is>
          <t>474395:eng</t>
        </is>
      </c>
      <c r="AX850" t="inlineStr">
        <is>
          <t>959216</t>
        </is>
      </c>
      <c r="AY850" t="inlineStr">
        <is>
          <t>991003417769702656</t>
        </is>
      </c>
      <c r="AZ850" t="inlineStr">
        <is>
          <t>991003417769702656</t>
        </is>
      </c>
      <c r="BA850" t="inlineStr">
        <is>
          <t>2268759920002656</t>
        </is>
      </c>
      <c r="BB850" t="inlineStr">
        <is>
          <t>BOOK</t>
        </is>
      </c>
      <c r="BE850" t="inlineStr">
        <is>
          <t>32285000428234</t>
        </is>
      </c>
      <c r="BF850" t="inlineStr">
        <is>
          <t>893717634</t>
        </is>
      </c>
    </row>
    <row r="851">
      <c r="A851" t="inlineStr">
        <is>
          <t>No</t>
        </is>
      </c>
      <c r="B851" t="inlineStr">
        <is>
          <t>CURAL</t>
        </is>
      </c>
      <c r="C851" t="inlineStr">
        <is>
          <t>SHELVES</t>
        </is>
      </c>
      <c r="D851" t="inlineStr">
        <is>
          <t>PR2993.F2 S3</t>
        </is>
      </c>
      <c r="E851" t="inlineStr">
        <is>
          <t>0                      PR 2993000F  2                  S  3</t>
        </is>
      </c>
      <c r="F851" t="inlineStr">
        <is>
          <t>Shakespeare's typological satire : a study of the Falstaff-Oldcastle problem / Alice-Lyle Scoufos.</t>
        </is>
      </c>
      <c r="H851" t="inlineStr">
        <is>
          <t>No</t>
        </is>
      </c>
      <c r="I851" t="inlineStr">
        <is>
          <t>1</t>
        </is>
      </c>
      <c r="J851" t="inlineStr">
        <is>
          <t>No</t>
        </is>
      </c>
      <c r="K851" t="inlineStr">
        <is>
          <t>No</t>
        </is>
      </c>
      <c r="L851" t="inlineStr">
        <is>
          <t>0</t>
        </is>
      </c>
      <c r="M851" t="inlineStr">
        <is>
          <t>Scoufos, Alice-Lyle, 1921-</t>
        </is>
      </c>
      <c r="N851" t="inlineStr">
        <is>
          <t>Athens : Ohio University Press, c1978.</t>
        </is>
      </c>
      <c r="O851" t="inlineStr">
        <is>
          <t>1978</t>
        </is>
      </c>
      <c r="Q851" t="inlineStr">
        <is>
          <t>eng</t>
        </is>
      </c>
      <c r="R851" t="inlineStr">
        <is>
          <t>ohu</t>
        </is>
      </c>
      <c r="T851" t="inlineStr">
        <is>
          <t xml:space="preserve">PR </t>
        </is>
      </c>
      <c r="U851" t="n">
        <v>3</v>
      </c>
      <c r="V851" t="n">
        <v>3</v>
      </c>
      <c r="W851" t="inlineStr">
        <is>
          <t>2005-06-30</t>
        </is>
      </c>
      <c r="X851" t="inlineStr">
        <is>
          <t>2005-06-30</t>
        </is>
      </c>
      <c r="Y851" t="inlineStr">
        <is>
          <t>1991-08-22</t>
        </is>
      </c>
      <c r="Z851" t="inlineStr">
        <is>
          <t>1991-08-22</t>
        </is>
      </c>
      <c r="AA851" t="n">
        <v>425</v>
      </c>
      <c r="AB851" t="n">
        <v>345</v>
      </c>
      <c r="AC851" t="n">
        <v>354</v>
      </c>
      <c r="AD851" t="n">
        <v>3</v>
      </c>
      <c r="AE851" t="n">
        <v>3</v>
      </c>
      <c r="AF851" t="n">
        <v>21</v>
      </c>
      <c r="AG851" t="n">
        <v>22</v>
      </c>
      <c r="AH851" t="n">
        <v>7</v>
      </c>
      <c r="AI851" t="n">
        <v>8</v>
      </c>
      <c r="AJ851" t="n">
        <v>6</v>
      </c>
      <c r="AK851" t="n">
        <v>6</v>
      </c>
      <c r="AL851" t="n">
        <v>12</v>
      </c>
      <c r="AM851" t="n">
        <v>12</v>
      </c>
      <c r="AN851" t="n">
        <v>2</v>
      </c>
      <c r="AO851" t="n">
        <v>2</v>
      </c>
      <c r="AP851" t="n">
        <v>0</v>
      </c>
      <c r="AQ851" t="n">
        <v>0</v>
      </c>
      <c r="AR851" t="inlineStr">
        <is>
          <t>No</t>
        </is>
      </c>
      <c r="AS851" t="inlineStr">
        <is>
          <t>Yes</t>
        </is>
      </c>
      <c r="AT851">
        <f>HYPERLINK("http://catalog.hathitrust.org/Record/000719252","HathiTrust Record")</f>
        <v/>
      </c>
      <c r="AU851">
        <f>HYPERLINK("https://creighton-primo.hosted.exlibrisgroup.com/primo-explore/search?tab=default_tab&amp;search_scope=EVERYTHING&amp;vid=01CRU&amp;lang=en_US&amp;offset=0&amp;query=any,contains,991004575279702656","Catalog Record")</f>
        <v/>
      </c>
      <c r="AV851">
        <f>HYPERLINK("http://www.worldcat.org/oclc/4037275","WorldCat Record")</f>
        <v/>
      </c>
      <c r="AW851" t="inlineStr">
        <is>
          <t>143898572:eng</t>
        </is>
      </c>
      <c r="AX851" t="inlineStr">
        <is>
          <t>4037275</t>
        </is>
      </c>
      <c r="AY851" t="inlineStr">
        <is>
          <t>991004575279702656</t>
        </is>
      </c>
      <c r="AZ851" t="inlineStr">
        <is>
          <t>991004575279702656</t>
        </is>
      </c>
      <c r="BA851" t="inlineStr">
        <is>
          <t>2269137150002656</t>
        </is>
      </c>
      <c r="BB851" t="inlineStr">
        <is>
          <t>BOOK</t>
        </is>
      </c>
      <c r="BD851" t="inlineStr">
        <is>
          <t>9780821403907</t>
        </is>
      </c>
      <c r="BE851" t="inlineStr">
        <is>
          <t>32285000697986</t>
        </is>
      </c>
      <c r="BF851" t="inlineStr">
        <is>
          <t>893235667</t>
        </is>
      </c>
    </row>
    <row r="852">
      <c r="A852" t="inlineStr">
        <is>
          <t>No</t>
        </is>
      </c>
      <c r="B852" t="inlineStr">
        <is>
          <t>CURAL</t>
        </is>
      </c>
      <c r="C852" t="inlineStr">
        <is>
          <t>SHELVES</t>
        </is>
      </c>
      <c r="D852" t="inlineStr">
        <is>
          <t>PR2995 .B3</t>
        </is>
      </c>
      <c r="E852" t="inlineStr">
        <is>
          <t>0                      PR 2995000B  3</t>
        </is>
      </c>
      <c r="F852" t="inlineStr">
        <is>
          <t>The development of Shakespeare as a dramatist, by George Pierce Baker ...</t>
        </is>
      </c>
      <c r="H852" t="inlineStr">
        <is>
          <t>No</t>
        </is>
      </c>
      <c r="I852" t="inlineStr">
        <is>
          <t>1</t>
        </is>
      </c>
      <c r="J852" t="inlineStr">
        <is>
          <t>No</t>
        </is>
      </c>
      <c r="K852" t="inlineStr">
        <is>
          <t>No</t>
        </is>
      </c>
      <c r="L852" t="inlineStr">
        <is>
          <t>0</t>
        </is>
      </c>
      <c r="M852" t="inlineStr">
        <is>
          <t>Baker, George Pierce, 1866-1935.</t>
        </is>
      </c>
      <c r="N852" t="inlineStr">
        <is>
          <t>New York, The Macmillan Company; London, Macmillan &amp; Co., ltd., 1907.</t>
        </is>
      </c>
      <c r="O852" t="inlineStr">
        <is>
          <t>1907</t>
        </is>
      </c>
      <c r="Q852" t="inlineStr">
        <is>
          <t>eng</t>
        </is>
      </c>
      <c r="R852" t="inlineStr">
        <is>
          <t>nyu</t>
        </is>
      </c>
      <c r="T852" t="inlineStr">
        <is>
          <t xml:space="preserve">PR </t>
        </is>
      </c>
      <c r="U852" t="n">
        <v>1</v>
      </c>
      <c r="V852" t="n">
        <v>1</v>
      </c>
      <c r="W852" t="inlineStr">
        <is>
          <t>2007-11-25</t>
        </is>
      </c>
      <c r="X852" t="inlineStr">
        <is>
          <t>2007-11-25</t>
        </is>
      </c>
      <c r="Y852" t="inlineStr">
        <is>
          <t>1997-08-06</t>
        </is>
      </c>
      <c r="Z852" t="inlineStr">
        <is>
          <t>1997-08-06</t>
        </is>
      </c>
      <c r="AA852" t="n">
        <v>619</v>
      </c>
      <c r="AB852" t="n">
        <v>560</v>
      </c>
      <c r="AC852" t="n">
        <v>960</v>
      </c>
      <c r="AD852" t="n">
        <v>6</v>
      </c>
      <c r="AE852" t="n">
        <v>11</v>
      </c>
      <c r="AF852" t="n">
        <v>32</v>
      </c>
      <c r="AG852" t="n">
        <v>53</v>
      </c>
      <c r="AH852" t="n">
        <v>13</v>
      </c>
      <c r="AI852" t="n">
        <v>23</v>
      </c>
      <c r="AJ852" t="n">
        <v>5</v>
      </c>
      <c r="AK852" t="n">
        <v>7</v>
      </c>
      <c r="AL852" t="n">
        <v>18</v>
      </c>
      <c r="AM852" t="n">
        <v>24</v>
      </c>
      <c r="AN852" t="n">
        <v>5</v>
      </c>
      <c r="AO852" t="n">
        <v>10</v>
      </c>
      <c r="AP852" t="n">
        <v>0</v>
      </c>
      <c r="AQ852" t="n">
        <v>0</v>
      </c>
      <c r="AR852" t="inlineStr">
        <is>
          <t>Yes</t>
        </is>
      </c>
      <c r="AS852" t="inlineStr">
        <is>
          <t>No</t>
        </is>
      </c>
      <c r="AT852">
        <f>HYPERLINK("http://catalog.hathitrust.org/Record/001112258","HathiTrust Record")</f>
        <v/>
      </c>
      <c r="AU852">
        <f>HYPERLINK("https://creighton-primo.hosted.exlibrisgroup.com/primo-explore/search?tab=default_tab&amp;search_scope=EVERYTHING&amp;vid=01CRU&amp;lang=en_US&amp;offset=0&amp;query=any,contains,991002453349702656","Catalog Record")</f>
        <v/>
      </c>
      <c r="AV852">
        <f>HYPERLINK("http://www.worldcat.org/oclc/353452","WorldCat Record")</f>
        <v/>
      </c>
      <c r="AW852" t="inlineStr">
        <is>
          <t>474315:eng</t>
        </is>
      </c>
      <c r="AX852" t="inlineStr">
        <is>
          <t>353452</t>
        </is>
      </c>
      <c r="AY852" t="inlineStr">
        <is>
          <t>991002453349702656</t>
        </is>
      </c>
      <c r="AZ852" t="inlineStr">
        <is>
          <t>991002453349702656</t>
        </is>
      </c>
      <c r="BA852" t="inlineStr">
        <is>
          <t>2267881100002656</t>
        </is>
      </c>
      <c r="BB852" t="inlineStr">
        <is>
          <t>BOOK</t>
        </is>
      </c>
      <c r="BE852" t="inlineStr">
        <is>
          <t>32285003021283</t>
        </is>
      </c>
      <c r="BF852" t="inlineStr">
        <is>
          <t>893898768</t>
        </is>
      </c>
    </row>
    <row r="853">
      <c r="A853" t="inlineStr">
        <is>
          <t>No</t>
        </is>
      </c>
      <c r="B853" t="inlineStr">
        <is>
          <t>CURAL</t>
        </is>
      </c>
      <c r="C853" t="inlineStr">
        <is>
          <t>SHELVES</t>
        </is>
      </c>
      <c r="D853" t="inlineStr">
        <is>
          <t>PR2995 .H561</t>
        </is>
      </c>
      <c r="E853" t="inlineStr">
        <is>
          <t>0                      PR 2995000H  561</t>
        </is>
      </c>
      <c r="F853" t="inlineStr">
        <is>
          <t>Shakespeare and Burbage : the sound of Shakespeare as devised to suit the voice and talents of his principal player / by Martin Holmes ; with an introd. by J. C. Trewin. --</t>
        </is>
      </c>
      <c r="H853" t="inlineStr">
        <is>
          <t>No</t>
        </is>
      </c>
      <c r="I853" t="inlineStr">
        <is>
          <t>1</t>
        </is>
      </c>
      <c r="J853" t="inlineStr">
        <is>
          <t>No</t>
        </is>
      </c>
      <c r="K853" t="inlineStr">
        <is>
          <t>No</t>
        </is>
      </c>
      <c r="L853" t="inlineStr">
        <is>
          <t>0</t>
        </is>
      </c>
      <c r="M853" t="inlineStr">
        <is>
          <t>Holmes, Martin R., 1905-1997.</t>
        </is>
      </c>
      <c r="N853" t="inlineStr">
        <is>
          <t>London : Phillimore, Totowa, N. J. : Rowman and Littlefield, 1978.</t>
        </is>
      </c>
      <c r="O853" t="inlineStr">
        <is>
          <t>1978</t>
        </is>
      </c>
      <c r="Q853" t="inlineStr">
        <is>
          <t>eng</t>
        </is>
      </c>
      <c r="R853" t="inlineStr">
        <is>
          <t>enk</t>
        </is>
      </c>
      <c r="T853" t="inlineStr">
        <is>
          <t xml:space="preserve">PR </t>
        </is>
      </c>
      <c r="U853" t="n">
        <v>2</v>
      </c>
      <c r="V853" t="n">
        <v>2</v>
      </c>
      <c r="W853" t="inlineStr">
        <is>
          <t>1994-04-24</t>
        </is>
      </c>
      <c r="X853" t="inlineStr">
        <is>
          <t>1994-04-24</t>
        </is>
      </c>
      <c r="Y853" t="inlineStr">
        <is>
          <t>1991-08-22</t>
        </is>
      </c>
      <c r="Z853" t="inlineStr">
        <is>
          <t>1991-08-22</t>
        </is>
      </c>
      <c r="AA853" t="n">
        <v>401</v>
      </c>
      <c r="AB853" t="n">
        <v>282</v>
      </c>
      <c r="AC853" t="n">
        <v>289</v>
      </c>
      <c r="AD853" t="n">
        <v>3</v>
      </c>
      <c r="AE853" t="n">
        <v>3</v>
      </c>
      <c r="AF853" t="n">
        <v>15</v>
      </c>
      <c r="AG853" t="n">
        <v>15</v>
      </c>
      <c r="AH853" t="n">
        <v>5</v>
      </c>
      <c r="AI853" t="n">
        <v>5</v>
      </c>
      <c r="AJ853" t="n">
        <v>3</v>
      </c>
      <c r="AK853" t="n">
        <v>3</v>
      </c>
      <c r="AL853" t="n">
        <v>10</v>
      </c>
      <c r="AM853" t="n">
        <v>10</v>
      </c>
      <c r="AN853" t="n">
        <v>2</v>
      </c>
      <c r="AO853" t="n">
        <v>2</v>
      </c>
      <c r="AP853" t="n">
        <v>0</v>
      </c>
      <c r="AQ853" t="n">
        <v>0</v>
      </c>
      <c r="AR853" t="inlineStr">
        <is>
          <t>No</t>
        </is>
      </c>
      <c r="AS853" t="inlineStr">
        <is>
          <t>No</t>
        </is>
      </c>
      <c r="AU853">
        <f>HYPERLINK("https://creighton-primo.hosted.exlibrisgroup.com/primo-explore/search?tab=default_tab&amp;search_scope=EVERYTHING&amp;vid=01CRU&amp;lang=en_US&amp;offset=0&amp;query=any,contains,991004601539702656","Catalog Record")</f>
        <v/>
      </c>
      <c r="AV853">
        <f>HYPERLINK("http://www.worldcat.org/oclc/4177542","WorldCat Record")</f>
        <v/>
      </c>
      <c r="AW853" t="inlineStr">
        <is>
          <t>285266231:eng</t>
        </is>
      </c>
      <c r="AX853" t="inlineStr">
        <is>
          <t>4177542</t>
        </is>
      </c>
      <c r="AY853" t="inlineStr">
        <is>
          <t>991004601539702656</t>
        </is>
      </c>
      <c r="AZ853" t="inlineStr">
        <is>
          <t>991004601539702656</t>
        </is>
      </c>
      <c r="BA853" t="inlineStr">
        <is>
          <t>2272471260002656</t>
        </is>
      </c>
      <c r="BB853" t="inlineStr">
        <is>
          <t>BOOK</t>
        </is>
      </c>
      <c r="BD853" t="inlineStr">
        <is>
          <t>9780850333060</t>
        </is>
      </c>
      <c r="BE853" t="inlineStr">
        <is>
          <t>32285000698026</t>
        </is>
      </c>
      <c r="BF853" t="inlineStr">
        <is>
          <t>893423986</t>
        </is>
      </c>
    </row>
    <row r="854">
      <c r="A854" t="inlineStr">
        <is>
          <t>No</t>
        </is>
      </c>
      <c r="B854" t="inlineStr">
        <is>
          <t>CURAL</t>
        </is>
      </c>
      <c r="C854" t="inlineStr">
        <is>
          <t>SHELVES</t>
        </is>
      </c>
      <c r="D854" t="inlineStr">
        <is>
          <t>PR2995 .S8</t>
        </is>
      </c>
      <c r="E854" t="inlineStr">
        <is>
          <t>0                      PR 2995000S  8</t>
        </is>
      </c>
      <c r="F854" t="inlineStr">
        <is>
          <t>Shakespeare's stagecraft / by J.L. Styan.</t>
        </is>
      </c>
      <c r="H854" t="inlineStr">
        <is>
          <t>No</t>
        </is>
      </c>
      <c r="I854" t="inlineStr">
        <is>
          <t>1</t>
        </is>
      </c>
      <c r="J854" t="inlineStr">
        <is>
          <t>No</t>
        </is>
      </c>
      <c r="K854" t="inlineStr">
        <is>
          <t>No</t>
        </is>
      </c>
      <c r="L854" t="inlineStr">
        <is>
          <t>0</t>
        </is>
      </c>
      <c r="M854" t="inlineStr">
        <is>
          <t>Styan, J. L.</t>
        </is>
      </c>
      <c r="N854" t="inlineStr">
        <is>
          <t>Cambridge : Cambridge U.P., 1967.</t>
        </is>
      </c>
      <c r="O854" t="inlineStr">
        <is>
          <t>1967</t>
        </is>
      </c>
      <c r="Q854" t="inlineStr">
        <is>
          <t>eng</t>
        </is>
      </c>
      <c r="R854" t="inlineStr">
        <is>
          <t>enk</t>
        </is>
      </c>
      <c r="T854" t="inlineStr">
        <is>
          <t xml:space="preserve">PR </t>
        </is>
      </c>
      <c r="U854" t="n">
        <v>2</v>
      </c>
      <c r="V854" t="n">
        <v>2</v>
      </c>
      <c r="W854" t="inlineStr">
        <is>
          <t>1997-09-30</t>
        </is>
      </c>
      <c r="X854" t="inlineStr">
        <is>
          <t>1997-09-30</t>
        </is>
      </c>
      <c r="Y854" t="inlineStr">
        <is>
          <t>1990-08-30</t>
        </is>
      </c>
      <c r="Z854" t="inlineStr">
        <is>
          <t>1990-08-30</t>
        </is>
      </c>
      <c r="AA854" t="n">
        <v>1258</v>
      </c>
      <c r="AB854" t="n">
        <v>1044</v>
      </c>
      <c r="AC854" t="n">
        <v>1099</v>
      </c>
      <c r="AD854" t="n">
        <v>7</v>
      </c>
      <c r="AE854" t="n">
        <v>7</v>
      </c>
      <c r="AF854" t="n">
        <v>46</v>
      </c>
      <c r="AG854" t="n">
        <v>47</v>
      </c>
      <c r="AH854" t="n">
        <v>20</v>
      </c>
      <c r="AI854" t="n">
        <v>20</v>
      </c>
      <c r="AJ854" t="n">
        <v>10</v>
      </c>
      <c r="AK854" t="n">
        <v>10</v>
      </c>
      <c r="AL854" t="n">
        <v>22</v>
      </c>
      <c r="AM854" t="n">
        <v>23</v>
      </c>
      <c r="AN854" t="n">
        <v>6</v>
      </c>
      <c r="AO854" t="n">
        <v>6</v>
      </c>
      <c r="AP854" t="n">
        <v>0</v>
      </c>
      <c r="AQ854" t="n">
        <v>0</v>
      </c>
      <c r="AR854" t="inlineStr">
        <is>
          <t>No</t>
        </is>
      </c>
      <c r="AS854" t="inlineStr">
        <is>
          <t>Yes</t>
        </is>
      </c>
      <c r="AT854">
        <f>HYPERLINK("http://catalog.hathitrust.org/Record/001112260","HathiTrust Record")</f>
        <v/>
      </c>
      <c r="AU854">
        <f>HYPERLINK("https://creighton-primo.hosted.exlibrisgroup.com/primo-explore/search?tab=default_tab&amp;search_scope=EVERYTHING&amp;vid=01CRU&amp;lang=en_US&amp;offset=0&amp;query=any,contains,991002453479702656","Catalog Record")</f>
        <v/>
      </c>
      <c r="AV854">
        <f>HYPERLINK("http://www.worldcat.org/oclc/353472","WorldCat Record")</f>
        <v/>
      </c>
      <c r="AW854" t="inlineStr">
        <is>
          <t>503157:eng</t>
        </is>
      </c>
      <c r="AX854" t="inlineStr">
        <is>
          <t>353472</t>
        </is>
      </c>
      <c r="AY854" t="inlineStr">
        <is>
          <t>991002453479702656</t>
        </is>
      </c>
      <c r="AZ854" t="inlineStr">
        <is>
          <t>991002453479702656</t>
        </is>
      </c>
      <c r="BA854" t="inlineStr">
        <is>
          <t>2267898940002656</t>
        </is>
      </c>
      <c r="BB854" t="inlineStr">
        <is>
          <t>BOOK</t>
        </is>
      </c>
      <c r="BE854" t="inlineStr">
        <is>
          <t>32285000284355</t>
        </is>
      </c>
      <c r="BF854" t="inlineStr">
        <is>
          <t>893415212</t>
        </is>
      </c>
    </row>
    <row r="855">
      <c r="A855" t="inlineStr">
        <is>
          <t>No</t>
        </is>
      </c>
      <c r="B855" t="inlineStr">
        <is>
          <t>CURAL</t>
        </is>
      </c>
      <c r="C855" t="inlineStr">
        <is>
          <t>SHELVES</t>
        </is>
      </c>
      <c r="D855" t="inlineStr">
        <is>
          <t>PR2997.A53 D6</t>
        </is>
      </c>
      <c r="E855" t="inlineStr">
        <is>
          <t>0                      PR 2997000A  53                 D  6</t>
        </is>
      </c>
      <c r="F855" t="inlineStr">
        <is>
          <t>Shakespeare's speaking pictures : studies in iconic imagery / John Doebler.</t>
        </is>
      </c>
      <c r="H855" t="inlineStr">
        <is>
          <t>No</t>
        </is>
      </c>
      <c r="I855" t="inlineStr">
        <is>
          <t>1</t>
        </is>
      </c>
      <c r="J855" t="inlineStr">
        <is>
          <t>No</t>
        </is>
      </c>
      <c r="K855" t="inlineStr">
        <is>
          <t>No</t>
        </is>
      </c>
      <c r="L855" t="inlineStr">
        <is>
          <t>0</t>
        </is>
      </c>
      <c r="M855" t="inlineStr">
        <is>
          <t>Doebler, John.</t>
        </is>
      </c>
      <c r="N855" t="inlineStr">
        <is>
          <t>Albuquerque : University of New Mexico Press, [1974]</t>
        </is>
      </c>
      <c r="O855" t="inlineStr">
        <is>
          <t>1974</t>
        </is>
      </c>
      <c r="P855" t="inlineStr">
        <is>
          <t>1st ed.</t>
        </is>
      </c>
      <c r="Q855" t="inlineStr">
        <is>
          <t>eng</t>
        </is>
      </c>
      <c r="R855" t="inlineStr">
        <is>
          <t>nmu</t>
        </is>
      </c>
      <c r="T855" t="inlineStr">
        <is>
          <t xml:space="preserve">PR </t>
        </is>
      </c>
      <c r="U855" t="n">
        <v>1</v>
      </c>
      <c r="V855" t="n">
        <v>1</v>
      </c>
      <c r="W855" t="inlineStr">
        <is>
          <t>2008-07-01</t>
        </is>
      </c>
      <c r="X855" t="inlineStr">
        <is>
          <t>2008-07-01</t>
        </is>
      </c>
      <c r="Y855" t="inlineStr">
        <is>
          <t>1991-11-06</t>
        </is>
      </c>
      <c r="Z855" t="inlineStr">
        <is>
          <t>1991-11-06</t>
        </is>
      </c>
      <c r="AA855" t="n">
        <v>569</v>
      </c>
      <c r="AB855" t="n">
        <v>465</v>
      </c>
      <c r="AC855" t="n">
        <v>472</v>
      </c>
      <c r="AD855" t="n">
        <v>7</v>
      </c>
      <c r="AE855" t="n">
        <v>7</v>
      </c>
      <c r="AF855" t="n">
        <v>30</v>
      </c>
      <c r="AG855" t="n">
        <v>30</v>
      </c>
      <c r="AH855" t="n">
        <v>7</v>
      </c>
      <c r="AI855" t="n">
        <v>7</v>
      </c>
      <c r="AJ855" t="n">
        <v>10</v>
      </c>
      <c r="AK855" t="n">
        <v>10</v>
      </c>
      <c r="AL855" t="n">
        <v>14</v>
      </c>
      <c r="AM855" t="n">
        <v>14</v>
      </c>
      <c r="AN855" t="n">
        <v>6</v>
      </c>
      <c r="AO855" t="n">
        <v>6</v>
      </c>
      <c r="AP855" t="n">
        <v>0</v>
      </c>
      <c r="AQ855" t="n">
        <v>0</v>
      </c>
      <c r="AR855" t="inlineStr">
        <is>
          <t>No</t>
        </is>
      </c>
      <c r="AS855" t="inlineStr">
        <is>
          <t>Yes</t>
        </is>
      </c>
      <c r="AT855">
        <f>HYPERLINK("http://catalog.hathitrust.org/Record/001018986","HathiTrust Record")</f>
        <v/>
      </c>
      <c r="AU855">
        <f>HYPERLINK("https://creighton-primo.hosted.exlibrisgroup.com/primo-explore/search?tab=default_tab&amp;search_scope=EVERYTHING&amp;vid=01CRU&amp;lang=en_US&amp;offset=0&amp;query=any,contains,991003747669702656","Catalog Record")</f>
        <v/>
      </c>
      <c r="AV855">
        <f>HYPERLINK("http://www.worldcat.org/oclc/1420114","WorldCat Record")</f>
        <v/>
      </c>
      <c r="AW855" t="inlineStr">
        <is>
          <t>290989550:eng</t>
        </is>
      </c>
      <c r="AX855" t="inlineStr">
        <is>
          <t>1420114</t>
        </is>
      </c>
      <c r="AY855" t="inlineStr">
        <is>
          <t>991003747669702656</t>
        </is>
      </c>
      <c r="AZ855" t="inlineStr">
        <is>
          <t>991003747669702656</t>
        </is>
      </c>
      <c r="BA855" t="inlineStr">
        <is>
          <t>2270914710002656</t>
        </is>
      </c>
      <c r="BB855" t="inlineStr">
        <is>
          <t>BOOK</t>
        </is>
      </c>
      <c r="BD855" t="inlineStr">
        <is>
          <t>9780826303493</t>
        </is>
      </c>
      <c r="BE855" t="inlineStr">
        <is>
          <t>32285000804251</t>
        </is>
      </c>
      <c r="BF855" t="inlineStr">
        <is>
          <t>893324421</t>
        </is>
      </c>
    </row>
    <row r="856">
      <c r="A856" t="inlineStr">
        <is>
          <t>No</t>
        </is>
      </c>
      <c r="B856" t="inlineStr">
        <is>
          <t>CURAL</t>
        </is>
      </c>
      <c r="C856" t="inlineStr">
        <is>
          <t>SHELVES</t>
        </is>
      </c>
      <c r="D856" t="inlineStr">
        <is>
          <t>PR2997.G4 B48 1984</t>
        </is>
      </c>
      <c r="E856" t="inlineStr">
        <is>
          <t>0                      PR 2997000G  4                  B  48          1984</t>
        </is>
      </c>
      <c r="F856" t="inlineStr">
        <is>
          <t>Action is eloquence : Shakespeare's language of gesture / David Bevington.</t>
        </is>
      </c>
      <c r="H856" t="inlineStr">
        <is>
          <t>No</t>
        </is>
      </c>
      <c r="I856" t="inlineStr">
        <is>
          <t>1</t>
        </is>
      </c>
      <c r="J856" t="inlineStr">
        <is>
          <t>No</t>
        </is>
      </c>
      <c r="K856" t="inlineStr">
        <is>
          <t>No</t>
        </is>
      </c>
      <c r="L856" t="inlineStr">
        <is>
          <t>0</t>
        </is>
      </c>
      <c r="M856" t="inlineStr">
        <is>
          <t>Bevington, David M.</t>
        </is>
      </c>
      <c r="N856" t="inlineStr">
        <is>
          <t>Cambridge, Mass. : Harvard University Press, 1984.</t>
        </is>
      </c>
      <c r="O856" t="inlineStr">
        <is>
          <t>1984</t>
        </is>
      </c>
      <c r="Q856" t="inlineStr">
        <is>
          <t>eng</t>
        </is>
      </c>
      <c r="R856" t="inlineStr">
        <is>
          <t>mau</t>
        </is>
      </c>
      <c r="T856" t="inlineStr">
        <is>
          <t xml:space="preserve">PR </t>
        </is>
      </c>
      <c r="U856" t="n">
        <v>2</v>
      </c>
      <c r="V856" t="n">
        <v>2</v>
      </c>
      <c r="W856" t="inlineStr">
        <is>
          <t>2007-04-19</t>
        </is>
      </c>
      <c r="X856" t="inlineStr">
        <is>
          <t>2007-04-19</t>
        </is>
      </c>
      <c r="Y856" t="inlineStr">
        <is>
          <t>1991-10-03</t>
        </is>
      </c>
      <c r="Z856" t="inlineStr">
        <is>
          <t>1991-10-03</t>
        </is>
      </c>
      <c r="AA856" t="n">
        <v>590</v>
      </c>
      <c r="AB856" t="n">
        <v>461</v>
      </c>
      <c r="AC856" t="n">
        <v>472</v>
      </c>
      <c r="AD856" t="n">
        <v>4</v>
      </c>
      <c r="AE856" t="n">
        <v>4</v>
      </c>
      <c r="AF856" t="n">
        <v>27</v>
      </c>
      <c r="AG856" t="n">
        <v>27</v>
      </c>
      <c r="AH856" t="n">
        <v>12</v>
      </c>
      <c r="AI856" t="n">
        <v>12</v>
      </c>
      <c r="AJ856" t="n">
        <v>7</v>
      </c>
      <c r="AK856" t="n">
        <v>7</v>
      </c>
      <c r="AL856" t="n">
        <v>13</v>
      </c>
      <c r="AM856" t="n">
        <v>13</v>
      </c>
      <c r="AN856" t="n">
        <v>3</v>
      </c>
      <c r="AO856" t="n">
        <v>3</v>
      </c>
      <c r="AP856" t="n">
        <v>0</v>
      </c>
      <c r="AQ856" t="n">
        <v>0</v>
      </c>
      <c r="AR856" t="inlineStr">
        <is>
          <t>No</t>
        </is>
      </c>
      <c r="AS856" t="inlineStr">
        <is>
          <t>No</t>
        </is>
      </c>
      <c r="AU856">
        <f>HYPERLINK("https://creighton-primo.hosted.exlibrisgroup.com/primo-explore/search?tab=default_tab&amp;search_scope=EVERYTHING&amp;vid=01CRU&amp;lang=en_US&amp;offset=0&amp;query=any,contains,991000365909702656","Catalog Record")</f>
        <v/>
      </c>
      <c r="AV856">
        <f>HYPERLINK("http://www.worldcat.org/oclc/10402774","WorldCat Record")</f>
        <v/>
      </c>
      <c r="AW856" t="inlineStr">
        <is>
          <t>2804755:eng</t>
        </is>
      </c>
      <c r="AX856" t="inlineStr">
        <is>
          <t>10402774</t>
        </is>
      </c>
      <c r="AY856" t="inlineStr">
        <is>
          <t>991000365909702656</t>
        </is>
      </c>
      <c r="AZ856" t="inlineStr">
        <is>
          <t>991000365909702656</t>
        </is>
      </c>
      <c r="BA856" t="inlineStr">
        <is>
          <t>2269272920002656</t>
        </is>
      </c>
      <c r="BB856" t="inlineStr">
        <is>
          <t>BOOK</t>
        </is>
      </c>
      <c r="BD856" t="inlineStr">
        <is>
          <t>9780674003552</t>
        </is>
      </c>
      <c r="BE856" t="inlineStr">
        <is>
          <t>32285000770858</t>
        </is>
      </c>
      <c r="BF856" t="inlineStr">
        <is>
          <t>893595487</t>
        </is>
      </c>
    </row>
    <row r="857">
      <c r="A857" t="inlineStr">
        <is>
          <t>No</t>
        </is>
      </c>
      <c r="B857" t="inlineStr">
        <is>
          <t>CURAL</t>
        </is>
      </c>
      <c r="C857" t="inlineStr">
        <is>
          <t>SHELVES</t>
        </is>
      </c>
      <c r="D857" t="inlineStr">
        <is>
          <t>PR2997.P8 P37 1996</t>
        </is>
      </c>
      <c r="E857" t="inlineStr">
        <is>
          <t>0                      PR 2997000P  8                  P  37          1996</t>
        </is>
      </c>
      <c r="F857" t="inlineStr">
        <is>
          <t>Shakespeare from the margins : language, culture, context / Patricia Parker.</t>
        </is>
      </c>
      <c r="H857" t="inlineStr">
        <is>
          <t>No</t>
        </is>
      </c>
      <c r="I857" t="inlineStr">
        <is>
          <t>1</t>
        </is>
      </c>
      <c r="J857" t="inlineStr">
        <is>
          <t>No</t>
        </is>
      </c>
      <c r="K857" t="inlineStr">
        <is>
          <t>No</t>
        </is>
      </c>
      <c r="L857" t="inlineStr">
        <is>
          <t>0</t>
        </is>
      </c>
      <c r="M857" t="inlineStr">
        <is>
          <t>Parker, Patricia A., 1946-</t>
        </is>
      </c>
      <c r="N857" t="inlineStr">
        <is>
          <t>Chicago : University of Chicago Press, 1996.</t>
        </is>
      </c>
      <c r="O857" t="inlineStr">
        <is>
          <t>1996</t>
        </is>
      </c>
      <c r="Q857" t="inlineStr">
        <is>
          <t>eng</t>
        </is>
      </c>
      <c r="R857" t="inlineStr">
        <is>
          <t>ilu</t>
        </is>
      </c>
      <c r="T857" t="inlineStr">
        <is>
          <t xml:space="preserve">PR </t>
        </is>
      </c>
      <c r="U857" t="n">
        <v>4</v>
      </c>
      <c r="V857" t="n">
        <v>4</v>
      </c>
      <c r="W857" t="inlineStr">
        <is>
          <t>2009-05-05</t>
        </is>
      </c>
      <c r="X857" t="inlineStr">
        <is>
          <t>2009-05-05</t>
        </is>
      </c>
      <c r="Y857" t="inlineStr">
        <is>
          <t>1997-05-07</t>
        </is>
      </c>
      <c r="Z857" t="inlineStr">
        <is>
          <t>1997-05-07</t>
        </is>
      </c>
      <c r="AA857" t="n">
        <v>774</v>
      </c>
      <c r="AB857" t="n">
        <v>615</v>
      </c>
      <c r="AC857" t="n">
        <v>619</v>
      </c>
      <c r="AD857" t="n">
        <v>5</v>
      </c>
      <c r="AE857" t="n">
        <v>5</v>
      </c>
      <c r="AF857" t="n">
        <v>39</v>
      </c>
      <c r="AG857" t="n">
        <v>39</v>
      </c>
      <c r="AH857" t="n">
        <v>17</v>
      </c>
      <c r="AI857" t="n">
        <v>17</v>
      </c>
      <c r="AJ857" t="n">
        <v>9</v>
      </c>
      <c r="AK857" t="n">
        <v>9</v>
      </c>
      <c r="AL857" t="n">
        <v>20</v>
      </c>
      <c r="AM857" t="n">
        <v>20</v>
      </c>
      <c r="AN857" t="n">
        <v>4</v>
      </c>
      <c r="AO857" t="n">
        <v>4</v>
      </c>
      <c r="AP857" t="n">
        <v>0</v>
      </c>
      <c r="AQ857" t="n">
        <v>0</v>
      </c>
      <c r="AR857" t="inlineStr">
        <is>
          <t>No</t>
        </is>
      </c>
      <c r="AS857" t="inlineStr">
        <is>
          <t>No</t>
        </is>
      </c>
      <c r="AU857">
        <f>HYPERLINK("https://creighton-primo.hosted.exlibrisgroup.com/primo-explore/search?tab=default_tab&amp;search_scope=EVERYTHING&amp;vid=01CRU&amp;lang=en_US&amp;offset=0&amp;query=any,contains,991002533399702656","Catalog Record")</f>
        <v/>
      </c>
      <c r="AV857">
        <f>HYPERLINK("http://www.worldcat.org/oclc/32923273","WorldCat Record")</f>
        <v/>
      </c>
      <c r="AW857" t="inlineStr">
        <is>
          <t>806762780:eng</t>
        </is>
      </c>
      <c r="AX857" t="inlineStr">
        <is>
          <t>32923273</t>
        </is>
      </c>
      <c r="AY857" t="inlineStr">
        <is>
          <t>991002533399702656</t>
        </is>
      </c>
      <c r="AZ857" t="inlineStr">
        <is>
          <t>991002533399702656</t>
        </is>
      </c>
      <c r="BA857" t="inlineStr">
        <is>
          <t>2262019010002656</t>
        </is>
      </c>
      <c r="BB857" t="inlineStr">
        <is>
          <t>BOOK</t>
        </is>
      </c>
      <c r="BD857" t="inlineStr">
        <is>
          <t>9780226645841</t>
        </is>
      </c>
      <c r="BE857" t="inlineStr">
        <is>
          <t>32285002605755</t>
        </is>
      </c>
      <c r="BF857" t="inlineStr">
        <is>
          <t>893704188</t>
        </is>
      </c>
    </row>
    <row r="858">
      <c r="A858" t="inlineStr">
        <is>
          <t>No</t>
        </is>
      </c>
      <c r="B858" t="inlineStr">
        <is>
          <t>CURAL</t>
        </is>
      </c>
      <c r="C858" t="inlineStr">
        <is>
          <t>SHELVES</t>
        </is>
      </c>
      <c r="D858" t="inlineStr">
        <is>
          <t>PR2997.R4 B7 1989</t>
        </is>
      </c>
      <c r="E858" t="inlineStr">
        <is>
          <t>0                      PR 2997000R  4                  B  7           1989</t>
        </is>
      </c>
      <c r="F858" t="inlineStr">
        <is>
          <t>Onstage and offstage worlds in Shakespeare's plays / Anthony Brennan.</t>
        </is>
      </c>
      <c r="H858" t="inlineStr">
        <is>
          <t>No</t>
        </is>
      </c>
      <c r="I858" t="inlineStr">
        <is>
          <t>1</t>
        </is>
      </c>
      <c r="J858" t="inlineStr">
        <is>
          <t>No</t>
        </is>
      </c>
      <c r="K858" t="inlineStr">
        <is>
          <t>No</t>
        </is>
      </c>
      <c r="L858" t="inlineStr">
        <is>
          <t>0</t>
        </is>
      </c>
      <c r="M858" t="inlineStr">
        <is>
          <t>Brennan, Anthony.</t>
        </is>
      </c>
      <c r="N858" t="inlineStr">
        <is>
          <t>London ; New York : Routledge, 1989.</t>
        </is>
      </c>
      <c r="O858" t="inlineStr">
        <is>
          <t>1989</t>
        </is>
      </c>
      <c r="Q858" t="inlineStr">
        <is>
          <t>eng</t>
        </is>
      </c>
      <c r="R858" t="inlineStr">
        <is>
          <t>enk</t>
        </is>
      </c>
      <c r="T858" t="inlineStr">
        <is>
          <t xml:space="preserve">PR </t>
        </is>
      </c>
      <c r="U858" t="n">
        <v>2</v>
      </c>
      <c r="V858" t="n">
        <v>2</v>
      </c>
      <c r="W858" t="inlineStr">
        <is>
          <t>2006-11-19</t>
        </is>
      </c>
      <c r="X858" t="inlineStr">
        <is>
          <t>2006-11-19</t>
        </is>
      </c>
      <c r="Y858" t="inlineStr">
        <is>
          <t>1990-08-10</t>
        </is>
      </c>
      <c r="Z858" t="inlineStr">
        <is>
          <t>1990-08-10</t>
        </is>
      </c>
      <c r="AA858" t="n">
        <v>375</v>
      </c>
      <c r="AB858" t="n">
        <v>258</v>
      </c>
      <c r="AC858" t="n">
        <v>266</v>
      </c>
      <c r="AD858" t="n">
        <v>2</v>
      </c>
      <c r="AE858" t="n">
        <v>2</v>
      </c>
      <c r="AF858" t="n">
        <v>11</v>
      </c>
      <c r="AG858" t="n">
        <v>11</v>
      </c>
      <c r="AH858" t="n">
        <v>2</v>
      </c>
      <c r="AI858" t="n">
        <v>2</v>
      </c>
      <c r="AJ858" t="n">
        <v>3</v>
      </c>
      <c r="AK858" t="n">
        <v>3</v>
      </c>
      <c r="AL858" t="n">
        <v>7</v>
      </c>
      <c r="AM858" t="n">
        <v>7</v>
      </c>
      <c r="AN858" t="n">
        <v>1</v>
      </c>
      <c r="AO858" t="n">
        <v>1</v>
      </c>
      <c r="AP858" t="n">
        <v>0</v>
      </c>
      <c r="AQ858" t="n">
        <v>0</v>
      </c>
      <c r="AR858" t="inlineStr">
        <is>
          <t>No</t>
        </is>
      </c>
      <c r="AS858" t="inlineStr">
        <is>
          <t>Yes</t>
        </is>
      </c>
      <c r="AT858">
        <f>HYPERLINK("http://catalog.hathitrust.org/Record/001837146","HathiTrust Record")</f>
        <v/>
      </c>
      <c r="AU858">
        <f>HYPERLINK("https://creighton-primo.hosted.exlibrisgroup.com/primo-explore/search?tab=default_tab&amp;search_scope=EVERYTHING&amp;vid=01CRU&amp;lang=en_US&amp;offset=0&amp;query=any,contains,991001424649702656","Catalog Record")</f>
        <v/>
      </c>
      <c r="AV858">
        <f>HYPERLINK("http://www.worldcat.org/oclc/18988842","WorldCat Record")</f>
        <v/>
      </c>
      <c r="AW858" t="inlineStr">
        <is>
          <t>19190742:eng</t>
        </is>
      </c>
      <c r="AX858" t="inlineStr">
        <is>
          <t>18988842</t>
        </is>
      </c>
      <c r="AY858" t="inlineStr">
        <is>
          <t>991001424649702656</t>
        </is>
      </c>
      <c r="AZ858" t="inlineStr">
        <is>
          <t>991001424649702656</t>
        </is>
      </c>
      <c r="BA858" t="inlineStr">
        <is>
          <t>2262636890002656</t>
        </is>
      </c>
      <c r="BB858" t="inlineStr">
        <is>
          <t>BOOK</t>
        </is>
      </c>
      <c r="BE858" t="inlineStr">
        <is>
          <t>32285000243252</t>
        </is>
      </c>
      <c r="BF858" t="inlineStr">
        <is>
          <t>893615108</t>
        </is>
      </c>
    </row>
    <row r="859">
      <c r="A859" t="inlineStr">
        <is>
          <t>No</t>
        </is>
      </c>
      <c r="B859" t="inlineStr">
        <is>
          <t>CURAL</t>
        </is>
      </c>
      <c r="C859" t="inlineStr">
        <is>
          <t>SHELVES</t>
        </is>
      </c>
      <c r="D859" t="inlineStr">
        <is>
          <t>PR2997.S55 R68 1987</t>
        </is>
      </c>
      <c r="E859" t="inlineStr">
        <is>
          <t>0                      PR 2997000S  55                 R  68          1987</t>
        </is>
      </c>
      <c r="F859" t="inlineStr">
        <is>
          <t>Silence in Shakespeare : drama, power, and gender / by Harvey Rovine.</t>
        </is>
      </c>
      <c r="H859" t="inlineStr">
        <is>
          <t>No</t>
        </is>
      </c>
      <c r="I859" t="inlineStr">
        <is>
          <t>1</t>
        </is>
      </c>
      <c r="J859" t="inlineStr">
        <is>
          <t>No</t>
        </is>
      </c>
      <c r="K859" t="inlineStr">
        <is>
          <t>No</t>
        </is>
      </c>
      <c r="L859" t="inlineStr">
        <is>
          <t>0</t>
        </is>
      </c>
      <c r="M859" t="inlineStr">
        <is>
          <t>Rovine, Harvey, 1946-</t>
        </is>
      </c>
      <c r="N859" t="inlineStr">
        <is>
          <t>Ann Arbor, Mich. : UMI Research Press, c1987.</t>
        </is>
      </c>
      <c r="O859" t="inlineStr">
        <is>
          <t>1987</t>
        </is>
      </c>
      <c r="Q859" t="inlineStr">
        <is>
          <t>eng</t>
        </is>
      </c>
      <c r="R859" t="inlineStr">
        <is>
          <t>miu</t>
        </is>
      </c>
      <c r="S859" t="inlineStr">
        <is>
          <t>Theater and dramatic studies ; no. 45</t>
        </is>
      </c>
      <c r="T859" t="inlineStr">
        <is>
          <t xml:space="preserve">PR </t>
        </is>
      </c>
      <c r="U859" t="n">
        <v>5</v>
      </c>
      <c r="V859" t="n">
        <v>5</v>
      </c>
      <c r="W859" t="inlineStr">
        <is>
          <t>1996-11-20</t>
        </is>
      </c>
      <c r="X859" t="inlineStr">
        <is>
          <t>1996-11-20</t>
        </is>
      </c>
      <c r="Y859" t="inlineStr">
        <is>
          <t>1990-01-14</t>
        </is>
      </c>
      <c r="Z859" t="inlineStr">
        <is>
          <t>1990-01-14</t>
        </is>
      </c>
      <c r="AA859" t="n">
        <v>434</v>
      </c>
      <c r="AB859" t="n">
        <v>349</v>
      </c>
      <c r="AC859" t="n">
        <v>358</v>
      </c>
      <c r="AD859" t="n">
        <v>3</v>
      </c>
      <c r="AE859" t="n">
        <v>3</v>
      </c>
      <c r="AF859" t="n">
        <v>13</v>
      </c>
      <c r="AG859" t="n">
        <v>14</v>
      </c>
      <c r="AH859" t="n">
        <v>3</v>
      </c>
      <c r="AI859" t="n">
        <v>4</v>
      </c>
      <c r="AJ859" t="n">
        <v>4</v>
      </c>
      <c r="AK859" t="n">
        <v>4</v>
      </c>
      <c r="AL859" t="n">
        <v>7</v>
      </c>
      <c r="AM859" t="n">
        <v>8</v>
      </c>
      <c r="AN859" t="n">
        <v>2</v>
      </c>
      <c r="AO859" t="n">
        <v>2</v>
      </c>
      <c r="AP859" t="n">
        <v>0</v>
      </c>
      <c r="AQ859" t="n">
        <v>0</v>
      </c>
      <c r="AR859" t="inlineStr">
        <is>
          <t>No</t>
        </is>
      </c>
      <c r="AS859" t="inlineStr">
        <is>
          <t>No</t>
        </is>
      </c>
      <c r="AU859">
        <f>HYPERLINK("https://creighton-primo.hosted.exlibrisgroup.com/primo-explore/search?tab=default_tab&amp;search_scope=EVERYTHING&amp;vid=01CRU&amp;lang=en_US&amp;offset=0&amp;query=any,contains,991001084909702656","Catalog Record")</f>
        <v/>
      </c>
      <c r="AV859">
        <f>HYPERLINK("http://www.worldcat.org/oclc/16095208","WorldCat Record")</f>
        <v/>
      </c>
      <c r="AW859" t="inlineStr">
        <is>
          <t>836642300:eng</t>
        </is>
      </c>
      <c r="AX859" t="inlineStr">
        <is>
          <t>16095208</t>
        </is>
      </c>
      <c r="AY859" t="inlineStr">
        <is>
          <t>991001084909702656</t>
        </is>
      </c>
      <c r="AZ859" t="inlineStr">
        <is>
          <t>991001084909702656</t>
        </is>
      </c>
      <c r="BA859" t="inlineStr">
        <is>
          <t>2260235660002656</t>
        </is>
      </c>
      <c r="BB859" t="inlineStr">
        <is>
          <t>BOOK</t>
        </is>
      </c>
      <c r="BD859" t="inlineStr">
        <is>
          <t>9780835718271</t>
        </is>
      </c>
      <c r="BE859" t="inlineStr">
        <is>
          <t>32285000027549</t>
        </is>
      </c>
      <c r="BF859" t="inlineStr">
        <is>
          <t>893621071</t>
        </is>
      </c>
    </row>
    <row r="860">
      <c r="A860" t="inlineStr">
        <is>
          <t>No</t>
        </is>
      </c>
      <c r="B860" t="inlineStr">
        <is>
          <t>CURAL</t>
        </is>
      </c>
      <c r="C860" t="inlineStr">
        <is>
          <t>SHELVES</t>
        </is>
      </c>
      <c r="D860" t="inlineStr">
        <is>
          <t>PR2997.S7 A7 1965</t>
        </is>
      </c>
      <c r="E860" t="inlineStr">
        <is>
          <t>0                      PR 2997000S  7                  A  7           1965</t>
        </is>
      </c>
      <c r="F860" t="inlineStr">
        <is>
          <t>The soliloquies of Shakespeare : a study in technic / by Morris LeRoy Arnold, PH.D.</t>
        </is>
      </c>
      <c r="H860" t="inlineStr">
        <is>
          <t>No</t>
        </is>
      </c>
      <c r="I860" t="inlineStr">
        <is>
          <t>1</t>
        </is>
      </c>
      <c r="J860" t="inlineStr">
        <is>
          <t>No</t>
        </is>
      </c>
      <c r="K860" t="inlineStr">
        <is>
          <t>No</t>
        </is>
      </c>
      <c r="L860" t="inlineStr">
        <is>
          <t>0</t>
        </is>
      </c>
      <c r="M860" t="inlineStr">
        <is>
          <t>Arnold, Morris LeRoy, 1881-1958.</t>
        </is>
      </c>
      <c r="N860" t="inlineStr">
        <is>
          <t>New York : The Columbia university press, 1965, c1911.</t>
        </is>
      </c>
      <c r="O860" t="inlineStr">
        <is>
          <t>1965</t>
        </is>
      </c>
      <c r="Q860" t="inlineStr">
        <is>
          <t>eng</t>
        </is>
      </c>
      <c r="R860" t="inlineStr">
        <is>
          <t>nyu</t>
        </is>
      </c>
      <c r="S860" t="inlineStr">
        <is>
          <t>Columbia University studies in English</t>
        </is>
      </c>
      <c r="T860" t="inlineStr">
        <is>
          <t xml:space="preserve">PR </t>
        </is>
      </c>
      <c r="U860" t="n">
        <v>5</v>
      </c>
      <c r="V860" t="n">
        <v>5</v>
      </c>
      <c r="W860" t="inlineStr">
        <is>
          <t>1999-02-19</t>
        </is>
      </c>
      <c r="X860" t="inlineStr">
        <is>
          <t>1999-02-19</t>
        </is>
      </c>
      <c r="Y860" t="inlineStr">
        <is>
          <t>1991-11-06</t>
        </is>
      </c>
      <c r="Z860" t="inlineStr">
        <is>
          <t>1991-11-06</t>
        </is>
      </c>
      <c r="AA860" t="n">
        <v>173</v>
      </c>
      <c r="AB860" t="n">
        <v>140</v>
      </c>
      <c r="AC860" t="n">
        <v>239</v>
      </c>
      <c r="AD860" t="n">
        <v>2</v>
      </c>
      <c r="AE860" t="n">
        <v>2</v>
      </c>
      <c r="AF860" t="n">
        <v>7</v>
      </c>
      <c r="AG860" t="n">
        <v>12</v>
      </c>
      <c r="AH860" t="n">
        <v>4</v>
      </c>
      <c r="AI860" t="n">
        <v>7</v>
      </c>
      <c r="AJ860" t="n">
        <v>2</v>
      </c>
      <c r="AK860" t="n">
        <v>4</v>
      </c>
      <c r="AL860" t="n">
        <v>2</v>
      </c>
      <c r="AM860" t="n">
        <v>3</v>
      </c>
      <c r="AN860" t="n">
        <v>1</v>
      </c>
      <c r="AO860" t="n">
        <v>1</v>
      </c>
      <c r="AP860" t="n">
        <v>0</v>
      </c>
      <c r="AQ860" t="n">
        <v>0</v>
      </c>
      <c r="AR860" t="inlineStr">
        <is>
          <t>Yes</t>
        </is>
      </c>
      <c r="AS860" t="inlineStr">
        <is>
          <t>No</t>
        </is>
      </c>
      <c r="AT860">
        <f>HYPERLINK("http://catalog.hathitrust.org/Record/006675643","HathiTrust Record")</f>
        <v/>
      </c>
      <c r="AU860">
        <f>HYPERLINK("https://creighton-primo.hosted.exlibrisgroup.com/primo-explore/search?tab=default_tab&amp;search_scope=EVERYTHING&amp;vid=01CRU&amp;lang=en_US&amp;offset=0&amp;query=any,contains,991004047489702656","Catalog Record")</f>
        <v/>
      </c>
      <c r="AV860">
        <f>HYPERLINK("http://www.worldcat.org/oclc/2203712","WorldCat Record")</f>
        <v/>
      </c>
      <c r="AW860" t="inlineStr">
        <is>
          <t>3835800:eng</t>
        </is>
      </c>
      <c r="AX860" t="inlineStr">
        <is>
          <t>2203712</t>
        </is>
      </c>
      <c r="AY860" t="inlineStr">
        <is>
          <t>991004047489702656</t>
        </is>
      </c>
      <c r="AZ860" t="inlineStr">
        <is>
          <t>991004047489702656</t>
        </is>
      </c>
      <c r="BA860" t="inlineStr">
        <is>
          <t>2259192190002656</t>
        </is>
      </c>
      <c r="BB860" t="inlineStr">
        <is>
          <t>BOOK</t>
        </is>
      </c>
      <c r="BE860" t="inlineStr">
        <is>
          <t>32285000804236</t>
        </is>
      </c>
      <c r="BF860" t="inlineStr">
        <is>
          <t>893318736</t>
        </is>
      </c>
    </row>
    <row r="861">
      <c r="A861" t="inlineStr">
        <is>
          <t>No</t>
        </is>
      </c>
      <c r="B861" t="inlineStr">
        <is>
          <t>CURAL</t>
        </is>
      </c>
      <c r="C861" t="inlineStr">
        <is>
          <t>SHELVES</t>
        </is>
      </c>
      <c r="D861" t="inlineStr">
        <is>
          <t>PR2997.T5 T8</t>
        </is>
      </c>
      <c r="E861" t="inlineStr">
        <is>
          <t>0                      PR 2997000T  5                  T  8</t>
        </is>
      </c>
      <c r="F861" t="inlineStr">
        <is>
          <t>Shakespeare and the nature of time : moral and philosophical themes in some plays and poems of William Shakespeare.</t>
        </is>
      </c>
      <c r="H861" t="inlineStr">
        <is>
          <t>No</t>
        </is>
      </c>
      <c r="I861" t="inlineStr">
        <is>
          <t>1</t>
        </is>
      </c>
      <c r="J861" t="inlineStr">
        <is>
          <t>No</t>
        </is>
      </c>
      <c r="K861" t="inlineStr">
        <is>
          <t>No</t>
        </is>
      </c>
      <c r="L861" t="inlineStr">
        <is>
          <t>0</t>
        </is>
      </c>
      <c r="M861" t="inlineStr">
        <is>
          <t>Turner, Frederick, 1943-</t>
        </is>
      </c>
      <c r="N861" t="inlineStr">
        <is>
          <t>Oxford : Clarendon Press, 1971.</t>
        </is>
      </c>
      <c r="O861" t="inlineStr">
        <is>
          <t>1971</t>
        </is>
      </c>
      <c r="Q861" t="inlineStr">
        <is>
          <t>eng</t>
        </is>
      </c>
      <c r="R861" t="inlineStr">
        <is>
          <t>enk</t>
        </is>
      </c>
      <c r="T861" t="inlineStr">
        <is>
          <t xml:space="preserve">PR </t>
        </is>
      </c>
      <c r="U861" t="n">
        <v>3</v>
      </c>
      <c r="V861" t="n">
        <v>3</v>
      </c>
      <c r="W861" t="inlineStr">
        <is>
          <t>1995-09-28</t>
        </is>
      </c>
      <c r="X861" t="inlineStr">
        <is>
          <t>1995-09-28</t>
        </is>
      </c>
      <c r="Y861" t="inlineStr">
        <is>
          <t>1994-04-20</t>
        </is>
      </c>
      <c r="Z861" t="inlineStr">
        <is>
          <t>1994-04-20</t>
        </is>
      </c>
      <c r="AA861" t="n">
        <v>746</v>
      </c>
      <c r="AB861" t="n">
        <v>565</v>
      </c>
      <c r="AC861" t="n">
        <v>572</v>
      </c>
      <c r="AD861" t="n">
        <v>4</v>
      </c>
      <c r="AE861" t="n">
        <v>4</v>
      </c>
      <c r="AF861" t="n">
        <v>25</v>
      </c>
      <c r="AG861" t="n">
        <v>25</v>
      </c>
      <c r="AH861" t="n">
        <v>7</v>
      </c>
      <c r="AI861" t="n">
        <v>7</v>
      </c>
      <c r="AJ861" t="n">
        <v>8</v>
      </c>
      <c r="AK861" t="n">
        <v>8</v>
      </c>
      <c r="AL861" t="n">
        <v>14</v>
      </c>
      <c r="AM861" t="n">
        <v>14</v>
      </c>
      <c r="AN861" t="n">
        <v>3</v>
      </c>
      <c r="AO861" t="n">
        <v>3</v>
      </c>
      <c r="AP861" t="n">
        <v>0</v>
      </c>
      <c r="AQ861" t="n">
        <v>0</v>
      </c>
      <c r="AR861" t="inlineStr">
        <is>
          <t>No</t>
        </is>
      </c>
      <c r="AS861" t="inlineStr">
        <is>
          <t>No</t>
        </is>
      </c>
      <c r="AU861">
        <f>HYPERLINK("https://creighton-primo.hosted.exlibrisgroup.com/primo-explore/search?tab=default_tab&amp;search_scope=EVERYTHING&amp;vid=01CRU&amp;lang=en_US&amp;offset=0&amp;query=any,contains,991001238039702656","Catalog Record")</f>
        <v/>
      </c>
      <c r="AV861">
        <f>HYPERLINK("http://www.worldcat.org/oclc/207185","WorldCat Record")</f>
        <v/>
      </c>
      <c r="AW861" t="inlineStr">
        <is>
          <t>366703986:eng</t>
        </is>
      </c>
      <c r="AX861" t="inlineStr">
        <is>
          <t>207185</t>
        </is>
      </c>
      <c r="AY861" t="inlineStr">
        <is>
          <t>991001238039702656</t>
        </is>
      </c>
      <c r="AZ861" t="inlineStr">
        <is>
          <t>991001238039702656</t>
        </is>
      </c>
      <c r="BA861" t="inlineStr">
        <is>
          <t>2267159890002656</t>
        </is>
      </c>
      <c r="BB861" t="inlineStr">
        <is>
          <t>BOOK</t>
        </is>
      </c>
      <c r="BD861" t="inlineStr">
        <is>
          <t>9780198120063</t>
        </is>
      </c>
      <c r="BE861" t="inlineStr">
        <is>
          <t>32285001889913</t>
        </is>
      </c>
      <c r="BF861" t="inlineStr">
        <is>
          <t>893596312</t>
        </is>
      </c>
    </row>
    <row r="862">
      <c r="A862" t="inlineStr">
        <is>
          <t>No</t>
        </is>
      </c>
      <c r="B862" t="inlineStr">
        <is>
          <t>CURAL</t>
        </is>
      </c>
      <c r="C862" t="inlineStr">
        <is>
          <t>SHELVES</t>
        </is>
      </c>
      <c r="D862" t="inlineStr">
        <is>
          <t>PR3001 .B8</t>
        </is>
      </c>
      <c r="E862" t="inlineStr">
        <is>
          <t>0                      PR 3001000B  8</t>
        </is>
      </c>
      <c r="F862" t="inlineStr">
        <is>
          <t>The psychology of Shakespeare. By John Charles Bucknill.</t>
        </is>
      </c>
      <c r="H862" t="inlineStr">
        <is>
          <t>No</t>
        </is>
      </c>
      <c r="I862" t="inlineStr">
        <is>
          <t>1</t>
        </is>
      </c>
      <c r="J862" t="inlineStr">
        <is>
          <t>No</t>
        </is>
      </c>
      <c r="K862" t="inlineStr">
        <is>
          <t>No</t>
        </is>
      </c>
      <c r="L862" t="inlineStr">
        <is>
          <t>0</t>
        </is>
      </c>
      <c r="M862" t="inlineStr">
        <is>
          <t>Bucknill, John Charles, 1817-1897.</t>
        </is>
      </c>
      <c r="N862" t="inlineStr">
        <is>
          <t>London, Longman, Brown, Green, Longmans &amp; Roberts, 1859.</t>
        </is>
      </c>
      <c r="O862" t="inlineStr">
        <is>
          <t>1859</t>
        </is>
      </c>
      <c r="Q862" t="inlineStr">
        <is>
          <t>eng</t>
        </is>
      </c>
      <c r="R862" t="inlineStr">
        <is>
          <t>enk</t>
        </is>
      </c>
      <c r="T862" t="inlineStr">
        <is>
          <t xml:space="preserve">PR </t>
        </is>
      </c>
      <c r="U862" t="n">
        <v>5</v>
      </c>
      <c r="V862" t="n">
        <v>5</v>
      </c>
      <c r="W862" t="inlineStr">
        <is>
          <t>2001-04-22</t>
        </is>
      </c>
      <c r="X862" t="inlineStr">
        <is>
          <t>2001-04-22</t>
        </is>
      </c>
      <c r="Y862" t="inlineStr">
        <is>
          <t>1997-08-06</t>
        </is>
      </c>
      <c r="Z862" t="inlineStr">
        <is>
          <t>1997-08-06</t>
        </is>
      </c>
      <c r="AA862" t="n">
        <v>94</v>
      </c>
      <c r="AB862" t="n">
        <v>66</v>
      </c>
      <c r="AC862" t="n">
        <v>165</v>
      </c>
      <c r="AD862" t="n">
        <v>3</v>
      </c>
      <c r="AE862" t="n">
        <v>3</v>
      </c>
      <c r="AF862" t="n">
        <v>5</v>
      </c>
      <c r="AG862" t="n">
        <v>9</v>
      </c>
      <c r="AH862" t="n">
        <v>0</v>
      </c>
      <c r="AI862" t="n">
        <v>1</v>
      </c>
      <c r="AJ862" t="n">
        <v>1</v>
      </c>
      <c r="AK862" t="n">
        <v>2</v>
      </c>
      <c r="AL862" t="n">
        <v>3</v>
      </c>
      <c r="AM862" t="n">
        <v>5</v>
      </c>
      <c r="AN862" t="n">
        <v>2</v>
      </c>
      <c r="AO862" t="n">
        <v>2</v>
      </c>
      <c r="AP862" t="n">
        <v>0</v>
      </c>
      <c r="AQ862" t="n">
        <v>0</v>
      </c>
      <c r="AR862" t="inlineStr">
        <is>
          <t>Yes</t>
        </is>
      </c>
      <c r="AS862" t="inlineStr">
        <is>
          <t>No</t>
        </is>
      </c>
      <c r="AT862">
        <f>HYPERLINK("http://catalog.hathitrust.org/Record/001019090","HathiTrust Record")</f>
        <v/>
      </c>
      <c r="AU862">
        <f>HYPERLINK("https://creighton-primo.hosted.exlibrisgroup.com/primo-explore/search?tab=default_tab&amp;search_scope=EVERYTHING&amp;vid=01CRU&amp;lang=en_US&amp;offset=0&amp;query=any,contains,991004414349702656","Catalog Record")</f>
        <v/>
      </c>
      <c r="AV862">
        <f>HYPERLINK("http://www.worldcat.org/oclc/3356744","WorldCat Record")</f>
        <v/>
      </c>
      <c r="AW862" t="inlineStr">
        <is>
          <t>3754878952:eng</t>
        </is>
      </c>
      <c r="AX862" t="inlineStr">
        <is>
          <t>3356744</t>
        </is>
      </c>
      <c r="AY862" t="inlineStr">
        <is>
          <t>991004414349702656</t>
        </is>
      </c>
      <c r="AZ862" t="inlineStr">
        <is>
          <t>991004414349702656</t>
        </is>
      </c>
      <c r="BA862" t="inlineStr">
        <is>
          <t>2258467360002656</t>
        </is>
      </c>
      <c r="BB862" t="inlineStr">
        <is>
          <t>BOOK</t>
        </is>
      </c>
      <c r="BE862" t="inlineStr">
        <is>
          <t>32285003021481</t>
        </is>
      </c>
      <c r="BF862" t="inlineStr">
        <is>
          <t>893712554</t>
        </is>
      </c>
    </row>
    <row r="863">
      <c r="A863" t="inlineStr">
        <is>
          <t>No</t>
        </is>
      </c>
      <c r="B863" t="inlineStr">
        <is>
          <t>CURAL</t>
        </is>
      </c>
      <c r="C863" t="inlineStr">
        <is>
          <t>SHELVES</t>
        </is>
      </c>
      <c r="D863" t="inlineStr">
        <is>
          <t>PR3001 .C4 1981</t>
        </is>
      </c>
      <c r="E863" t="inlineStr">
        <is>
          <t>0                      PR 3001000C  4           1981</t>
        </is>
      </c>
      <c r="F863" t="inlineStr">
        <is>
          <t>Infirm glory : Shakespeare and the Renaissance image of man / Sukanta Chaudhuri.</t>
        </is>
      </c>
      <c r="H863" t="inlineStr">
        <is>
          <t>No</t>
        </is>
      </c>
      <c r="I863" t="inlineStr">
        <is>
          <t>1</t>
        </is>
      </c>
      <c r="J863" t="inlineStr">
        <is>
          <t>No</t>
        </is>
      </c>
      <c r="K863" t="inlineStr">
        <is>
          <t>No</t>
        </is>
      </c>
      <c r="L863" t="inlineStr">
        <is>
          <t>0</t>
        </is>
      </c>
      <c r="M863" t="inlineStr">
        <is>
          <t>Chaudhuri, Sukanta, 1950-</t>
        </is>
      </c>
      <c r="N863" t="inlineStr">
        <is>
          <t>Oxford ; New York : Oxford University Press, 1981.</t>
        </is>
      </c>
      <c r="O863" t="inlineStr">
        <is>
          <t>1981</t>
        </is>
      </c>
      <c r="Q863" t="inlineStr">
        <is>
          <t>eng</t>
        </is>
      </c>
      <c r="R863" t="inlineStr">
        <is>
          <t>enk</t>
        </is>
      </c>
      <c r="T863" t="inlineStr">
        <is>
          <t xml:space="preserve">PR </t>
        </is>
      </c>
      <c r="U863" t="n">
        <v>1</v>
      </c>
      <c r="V863" t="n">
        <v>1</v>
      </c>
      <c r="W863" t="inlineStr">
        <is>
          <t>2001-07-12</t>
        </is>
      </c>
      <c r="X863" t="inlineStr">
        <is>
          <t>2001-07-12</t>
        </is>
      </c>
      <c r="Y863" t="inlineStr">
        <is>
          <t>2001-07-11</t>
        </is>
      </c>
      <c r="Z863" t="inlineStr">
        <is>
          <t>2001-07-11</t>
        </is>
      </c>
      <c r="AA863" t="n">
        <v>580</v>
      </c>
      <c r="AB863" t="n">
        <v>462</v>
      </c>
      <c r="AC863" t="n">
        <v>471</v>
      </c>
      <c r="AD863" t="n">
        <v>5</v>
      </c>
      <c r="AE863" t="n">
        <v>5</v>
      </c>
      <c r="AF863" t="n">
        <v>25</v>
      </c>
      <c r="AG863" t="n">
        <v>25</v>
      </c>
      <c r="AH863" t="n">
        <v>9</v>
      </c>
      <c r="AI863" t="n">
        <v>9</v>
      </c>
      <c r="AJ863" t="n">
        <v>6</v>
      </c>
      <c r="AK863" t="n">
        <v>6</v>
      </c>
      <c r="AL863" t="n">
        <v>11</v>
      </c>
      <c r="AM863" t="n">
        <v>11</v>
      </c>
      <c r="AN863" t="n">
        <v>4</v>
      </c>
      <c r="AO863" t="n">
        <v>4</v>
      </c>
      <c r="AP863" t="n">
        <v>0</v>
      </c>
      <c r="AQ863" t="n">
        <v>0</v>
      </c>
      <c r="AR863" t="inlineStr">
        <is>
          <t>No</t>
        </is>
      </c>
      <c r="AS863" t="inlineStr">
        <is>
          <t>Yes</t>
        </is>
      </c>
      <c r="AT863">
        <f>HYPERLINK("http://catalog.hathitrust.org/Record/000222809","HathiTrust Record")</f>
        <v/>
      </c>
      <c r="AU863">
        <f>HYPERLINK("https://creighton-primo.hosted.exlibrisgroup.com/primo-explore/search?tab=default_tab&amp;search_scope=EVERYTHING&amp;vid=01CRU&amp;lang=en_US&amp;offset=0&amp;query=any,contains,991003566279702656","Catalog Record")</f>
        <v/>
      </c>
      <c r="AV863">
        <f>HYPERLINK("http://www.worldcat.org/oclc/7558123","WorldCat Record")</f>
        <v/>
      </c>
      <c r="AW863" t="inlineStr">
        <is>
          <t>197257251:eng</t>
        </is>
      </c>
      <c r="AX863" t="inlineStr">
        <is>
          <t>7558123</t>
        </is>
      </c>
      <c r="AY863" t="inlineStr">
        <is>
          <t>991003566279702656</t>
        </is>
      </c>
      <c r="AZ863" t="inlineStr">
        <is>
          <t>991003566279702656</t>
        </is>
      </c>
      <c r="BA863" t="inlineStr">
        <is>
          <t>2260801280002656</t>
        </is>
      </c>
      <c r="BB863" t="inlineStr">
        <is>
          <t>BOOK</t>
        </is>
      </c>
      <c r="BD863" t="inlineStr">
        <is>
          <t>9780198128014</t>
        </is>
      </c>
      <c r="BE863" t="inlineStr">
        <is>
          <t>32285004331673</t>
        </is>
      </c>
      <c r="BF863" t="inlineStr">
        <is>
          <t>893611174</t>
        </is>
      </c>
    </row>
    <row r="864">
      <c r="A864" t="inlineStr">
        <is>
          <t>No</t>
        </is>
      </c>
      <c r="B864" t="inlineStr">
        <is>
          <t>CURAL</t>
        </is>
      </c>
      <c r="C864" t="inlineStr">
        <is>
          <t>SHELVES</t>
        </is>
      </c>
      <c r="D864" t="inlineStr">
        <is>
          <t>PR3001 .F3</t>
        </is>
      </c>
      <c r="E864" t="inlineStr">
        <is>
          <t>0                      PR 3001000F  3</t>
        </is>
      </c>
      <c r="F864" t="inlineStr">
        <is>
          <t>The design within; psychoanalytic approaches to Shakespeare [compiled by] M. D. Faber.</t>
        </is>
      </c>
      <c r="H864" t="inlineStr">
        <is>
          <t>No</t>
        </is>
      </c>
      <c r="I864" t="inlineStr">
        <is>
          <t>1</t>
        </is>
      </c>
      <c r="J864" t="inlineStr">
        <is>
          <t>No</t>
        </is>
      </c>
      <c r="K864" t="inlineStr">
        <is>
          <t>No</t>
        </is>
      </c>
      <c r="L864" t="inlineStr">
        <is>
          <t>0</t>
        </is>
      </c>
      <c r="M864" t="inlineStr">
        <is>
          <t>Faber, M. D. (Mel D.) compiler.</t>
        </is>
      </c>
      <c r="N864" t="inlineStr">
        <is>
          <t>New York, Science House, 1970.</t>
        </is>
      </c>
      <c r="O864" t="inlineStr">
        <is>
          <t>1970</t>
        </is>
      </c>
      <c r="Q864" t="inlineStr">
        <is>
          <t>eng</t>
        </is>
      </c>
      <c r="R864" t="inlineStr">
        <is>
          <t>nyu</t>
        </is>
      </c>
      <c r="T864" t="inlineStr">
        <is>
          <t xml:space="preserve">PR </t>
        </is>
      </c>
      <c r="U864" t="n">
        <v>3</v>
      </c>
      <c r="V864" t="n">
        <v>3</v>
      </c>
      <c r="W864" t="inlineStr">
        <is>
          <t>2008-03-07</t>
        </is>
      </c>
      <c r="X864" t="inlineStr">
        <is>
          <t>2008-03-07</t>
        </is>
      </c>
      <c r="Y864" t="inlineStr">
        <is>
          <t>1997-08-06</t>
        </is>
      </c>
      <c r="Z864" t="inlineStr">
        <is>
          <t>1997-08-06</t>
        </is>
      </c>
      <c r="AA864" t="n">
        <v>965</v>
      </c>
      <c r="AB864" t="n">
        <v>883</v>
      </c>
      <c r="AC864" t="n">
        <v>913</v>
      </c>
      <c r="AD864" t="n">
        <v>9</v>
      </c>
      <c r="AE864" t="n">
        <v>9</v>
      </c>
      <c r="AF864" t="n">
        <v>37</v>
      </c>
      <c r="AG864" t="n">
        <v>37</v>
      </c>
      <c r="AH864" t="n">
        <v>13</v>
      </c>
      <c r="AI864" t="n">
        <v>13</v>
      </c>
      <c r="AJ864" t="n">
        <v>8</v>
      </c>
      <c r="AK864" t="n">
        <v>8</v>
      </c>
      <c r="AL864" t="n">
        <v>14</v>
      </c>
      <c r="AM864" t="n">
        <v>14</v>
      </c>
      <c r="AN864" t="n">
        <v>8</v>
      </c>
      <c r="AO864" t="n">
        <v>8</v>
      </c>
      <c r="AP864" t="n">
        <v>0</v>
      </c>
      <c r="AQ864" t="n">
        <v>0</v>
      </c>
      <c r="AR864" t="inlineStr">
        <is>
          <t>No</t>
        </is>
      </c>
      <c r="AS864" t="inlineStr">
        <is>
          <t>No</t>
        </is>
      </c>
      <c r="AU864">
        <f>HYPERLINK("https://creighton-primo.hosted.exlibrisgroup.com/primo-explore/search?tab=default_tab&amp;search_scope=EVERYTHING&amp;vid=01CRU&amp;lang=en_US&amp;offset=0&amp;query=any,contains,991000427469702656","Catalog Record")</f>
        <v/>
      </c>
      <c r="AV864">
        <f>HYPERLINK("http://www.worldcat.org/oclc/75382","WorldCat Record")</f>
        <v/>
      </c>
      <c r="AW864" t="inlineStr">
        <is>
          <t>234982180:eng</t>
        </is>
      </c>
      <c r="AX864" t="inlineStr">
        <is>
          <t>75382</t>
        </is>
      </c>
      <c r="AY864" t="inlineStr">
        <is>
          <t>991000427469702656</t>
        </is>
      </c>
      <c r="AZ864" t="inlineStr">
        <is>
          <t>991000427469702656</t>
        </is>
      </c>
      <c r="BA864" t="inlineStr">
        <is>
          <t>2255786760002656</t>
        </is>
      </c>
      <c r="BB864" t="inlineStr">
        <is>
          <t>BOOK</t>
        </is>
      </c>
      <c r="BD864" t="inlineStr">
        <is>
          <t>9780876680247</t>
        </is>
      </c>
      <c r="BE864" t="inlineStr">
        <is>
          <t>32285003021499</t>
        </is>
      </c>
      <c r="BF864" t="inlineStr">
        <is>
          <t>893438241</t>
        </is>
      </c>
    </row>
    <row r="865">
      <c r="A865" t="inlineStr">
        <is>
          <t>No</t>
        </is>
      </c>
      <c r="B865" t="inlineStr">
        <is>
          <t>CURAL</t>
        </is>
      </c>
      <c r="C865" t="inlineStr">
        <is>
          <t>SHELVES</t>
        </is>
      </c>
      <c r="D865" t="inlineStr">
        <is>
          <t>PR3004 .H56 1992</t>
        </is>
      </c>
      <c r="E865" t="inlineStr">
        <is>
          <t>0                      PR 3004000H  56          1992</t>
        </is>
      </c>
      <c r="F865" t="inlineStr">
        <is>
          <t>Shakespearean subversions : the trickster and the play-text / Richard Hillman.</t>
        </is>
      </c>
      <c r="H865" t="inlineStr">
        <is>
          <t>No</t>
        </is>
      </c>
      <c r="I865" t="inlineStr">
        <is>
          <t>1</t>
        </is>
      </c>
      <c r="J865" t="inlineStr">
        <is>
          <t>No</t>
        </is>
      </c>
      <c r="K865" t="inlineStr">
        <is>
          <t>No</t>
        </is>
      </c>
      <c r="L865" t="inlineStr">
        <is>
          <t>0</t>
        </is>
      </c>
      <c r="M865" t="inlineStr">
        <is>
          <t>Hillman, Richard, 1949-</t>
        </is>
      </c>
      <c r="N865" t="inlineStr">
        <is>
          <t>London ; New York : Routledge, 1992.</t>
        </is>
      </c>
      <c r="O865" t="inlineStr">
        <is>
          <t>1992</t>
        </is>
      </c>
      <c r="Q865" t="inlineStr">
        <is>
          <t>eng</t>
        </is>
      </c>
      <c r="R865" t="inlineStr">
        <is>
          <t>enk</t>
        </is>
      </c>
      <c r="T865" t="inlineStr">
        <is>
          <t xml:space="preserve">PR </t>
        </is>
      </c>
      <c r="U865" t="n">
        <v>2</v>
      </c>
      <c r="V865" t="n">
        <v>2</v>
      </c>
      <c r="W865" t="inlineStr">
        <is>
          <t>1994-04-19</t>
        </is>
      </c>
      <c r="X865" t="inlineStr">
        <is>
          <t>1994-04-19</t>
        </is>
      </c>
      <c r="Y865" t="inlineStr">
        <is>
          <t>1993-01-05</t>
        </is>
      </c>
      <c r="Z865" t="inlineStr">
        <is>
          <t>1993-01-05</t>
        </is>
      </c>
      <c r="AA865" t="n">
        <v>450</v>
      </c>
      <c r="AB865" t="n">
        <v>317</v>
      </c>
      <c r="AC865" t="n">
        <v>319</v>
      </c>
      <c r="AD865" t="n">
        <v>3</v>
      </c>
      <c r="AE865" t="n">
        <v>3</v>
      </c>
      <c r="AF865" t="n">
        <v>23</v>
      </c>
      <c r="AG865" t="n">
        <v>23</v>
      </c>
      <c r="AH865" t="n">
        <v>11</v>
      </c>
      <c r="AI865" t="n">
        <v>11</v>
      </c>
      <c r="AJ865" t="n">
        <v>4</v>
      </c>
      <c r="AK865" t="n">
        <v>4</v>
      </c>
      <c r="AL865" t="n">
        <v>13</v>
      </c>
      <c r="AM865" t="n">
        <v>13</v>
      </c>
      <c r="AN865" t="n">
        <v>2</v>
      </c>
      <c r="AO865" t="n">
        <v>2</v>
      </c>
      <c r="AP865" t="n">
        <v>0</v>
      </c>
      <c r="AQ865" t="n">
        <v>0</v>
      </c>
      <c r="AR865" t="inlineStr">
        <is>
          <t>No</t>
        </is>
      </c>
      <c r="AS865" t="inlineStr">
        <is>
          <t>Yes</t>
        </is>
      </c>
      <c r="AT865">
        <f>HYPERLINK("http://catalog.hathitrust.org/Record/002861700","HathiTrust Record")</f>
        <v/>
      </c>
      <c r="AU865">
        <f>HYPERLINK("https://creighton-primo.hosted.exlibrisgroup.com/primo-explore/search?tab=default_tab&amp;search_scope=EVERYTHING&amp;vid=01CRU&amp;lang=en_US&amp;offset=0&amp;query=any,contains,991001928589702656","Catalog Record")</f>
        <v/>
      </c>
      <c r="AV865">
        <f>HYPERLINK("http://www.worldcat.org/oclc/24373533","WorldCat Record")</f>
        <v/>
      </c>
      <c r="AW865" t="inlineStr">
        <is>
          <t>222021516:eng</t>
        </is>
      </c>
      <c r="AX865" t="inlineStr">
        <is>
          <t>24373533</t>
        </is>
      </c>
      <c r="AY865" t="inlineStr">
        <is>
          <t>991001928589702656</t>
        </is>
      </c>
      <c r="AZ865" t="inlineStr">
        <is>
          <t>991001928589702656</t>
        </is>
      </c>
      <c r="BA865" t="inlineStr">
        <is>
          <t>2268653330002656</t>
        </is>
      </c>
      <c r="BB865" t="inlineStr">
        <is>
          <t>BOOK</t>
        </is>
      </c>
      <c r="BD865" t="inlineStr">
        <is>
          <t>9780415070201</t>
        </is>
      </c>
      <c r="BE865" t="inlineStr">
        <is>
          <t>32285001404366</t>
        </is>
      </c>
      <c r="BF865" t="inlineStr">
        <is>
          <t>893444864</t>
        </is>
      </c>
    </row>
    <row r="866">
      <c r="A866" t="inlineStr">
        <is>
          <t>No</t>
        </is>
      </c>
      <c r="B866" t="inlineStr">
        <is>
          <t>CURAL</t>
        </is>
      </c>
      <c r="C866" t="inlineStr">
        <is>
          <t>SHELVES</t>
        </is>
      </c>
      <c r="D866" t="inlineStr">
        <is>
          <t>PR3007 .H57 1972b</t>
        </is>
      </c>
      <c r="E866" t="inlineStr">
        <is>
          <t>0                      PR 3007000H  57          1972b</t>
        </is>
      </c>
      <c r="F866" t="inlineStr">
        <is>
          <t>Full circle : Shakespeare and moral development.</t>
        </is>
      </c>
      <c r="H866" t="inlineStr">
        <is>
          <t>No</t>
        </is>
      </c>
      <c r="I866" t="inlineStr">
        <is>
          <t>1</t>
        </is>
      </c>
      <c r="J866" t="inlineStr">
        <is>
          <t>No</t>
        </is>
      </c>
      <c r="K866" t="inlineStr">
        <is>
          <t>No</t>
        </is>
      </c>
      <c r="L866" t="inlineStr">
        <is>
          <t>0</t>
        </is>
      </c>
      <c r="M866" t="inlineStr">
        <is>
          <t>Hobson, Alan.</t>
        </is>
      </c>
      <c r="N866" t="inlineStr">
        <is>
          <t>New York : Barnes &amp; Noble, [1972]</t>
        </is>
      </c>
      <c r="O866" t="inlineStr">
        <is>
          <t>1972</t>
        </is>
      </c>
      <c r="Q866" t="inlineStr">
        <is>
          <t>eng</t>
        </is>
      </c>
      <c r="R866" t="inlineStr">
        <is>
          <t>nyu</t>
        </is>
      </c>
      <c r="T866" t="inlineStr">
        <is>
          <t xml:space="preserve">PR </t>
        </is>
      </c>
      <c r="U866" t="n">
        <v>6</v>
      </c>
      <c r="V866" t="n">
        <v>6</v>
      </c>
      <c r="W866" t="inlineStr">
        <is>
          <t>2000-04-12</t>
        </is>
      </c>
      <c r="X866" t="inlineStr">
        <is>
          <t>2000-04-12</t>
        </is>
      </c>
      <c r="Y866" t="inlineStr">
        <is>
          <t>1997-08-06</t>
        </is>
      </c>
      <c r="Z866" t="inlineStr">
        <is>
          <t>1997-08-06</t>
        </is>
      </c>
      <c r="AA866" t="n">
        <v>398</v>
      </c>
      <c r="AB866" t="n">
        <v>380</v>
      </c>
      <c r="AC866" t="n">
        <v>524</v>
      </c>
      <c r="AD866" t="n">
        <v>4</v>
      </c>
      <c r="AE866" t="n">
        <v>5</v>
      </c>
      <c r="AF866" t="n">
        <v>21</v>
      </c>
      <c r="AG866" t="n">
        <v>29</v>
      </c>
      <c r="AH866" t="n">
        <v>8</v>
      </c>
      <c r="AI866" t="n">
        <v>10</v>
      </c>
      <c r="AJ866" t="n">
        <v>5</v>
      </c>
      <c r="AK866" t="n">
        <v>7</v>
      </c>
      <c r="AL866" t="n">
        <v>11</v>
      </c>
      <c r="AM866" t="n">
        <v>17</v>
      </c>
      <c r="AN866" t="n">
        <v>2</v>
      </c>
      <c r="AO866" t="n">
        <v>3</v>
      </c>
      <c r="AP866" t="n">
        <v>0</v>
      </c>
      <c r="AQ866" t="n">
        <v>0</v>
      </c>
      <c r="AR866" t="inlineStr">
        <is>
          <t>No</t>
        </is>
      </c>
      <c r="AS866" t="inlineStr">
        <is>
          <t>Yes</t>
        </is>
      </c>
      <c r="AT866">
        <f>HYPERLINK("http://catalog.hathitrust.org/Record/008322033","HathiTrust Record")</f>
        <v/>
      </c>
      <c r="AU866">
        <f>HYPERLINK("https://creighton-primo.hosted.exlibrisgroup.com/primo-explore/search?tab=default_tab&amp;search_scope=EVERYTHING&amp;vid=01CRU&amp;lang=en_US&amp;offset=0&amp;query=any,contains,991004202929702656","Catalog Record")</f>
        <v/>
      </c>
      <c r="AV866">
        <f>HYPERLINK("http://www.worldcat.org/oclc/2656488","WorldCat Record")</f>
        <v/>
      </c>
      <c r="AW866" t="inlineStr">
        <is>
          <t>1465705:eng</t>
        </is>
      </c>
      <c r="AX866" t="inlineStr">
        <is>
          <t>2656488</t>
        </is>
      </c>
      <c r="AY866" t="inlineStr">
        <is>
          <t>991004202929702656</t>
        </is>
      </c>
      <c r="AZ866" t="inlineStr">
        <is>
          <t>991004202929702656</t>
        </is>
      </c>
      <c r="BA866" t="inlineStr">
        <is>
          <t>2255751280002656</t>
        </is>
      </c>
      <c r="BB866" t="inlineStr">
        <is>
          <t>BOOK</t>
        </is>
      </c>
      <c r="BD866" t="inlineStr">
        <is>
          <t>9780389045847</t>
        </is>
      </c>
      <c r="BE866" t="inlineStr">
        <is>
          <t>32285003021549</t>
        </is>
      </c>
      <c r="BF866" t="inlineStr">
        <is>
          <t>893900943</t>
        </is>
      </c>
    </row>
    <row r="867">
      <c r="A867" t="inlineStr">
        <is>
          <t>No</t>
        </is>
      </c>
      <c r="B867" t="inlineStr">
        <is>
          <t>CURAL</t>
        </is>
      </c>
      <c r="C867" t="inlineStr">
        <is>
          <t>SHELVES</t>
        </is>
      </c>
      <c r="D867" t="inlineStr">
        <is>
          <t>PR3007 .S8</t>
        </is>
      </c>
      <c r="E867" t="inlineStr">
        <is>
          <t>0                      PR 3007000S  8</t>
        </is>
      </c>
      <c r="F867" t="inlineStr">
        <is>
          <t>Shakespeare's world of images : the development of his moral ideas.</t>
        </is>
      </c>
      <c r="H867" t="inlineStr">
        <is>
          <t>No</t>
        </is>
      </c>
      <c r="I867" t="inlineStr">
        <is>
          <t>1</t>
        </is>
      </c>
      <c r="J867" t="inlineStr">
        <is>
          <t>No</t>
        </is>
      </c>
      <c r="K867" t="inlineStr">
        <is>
          <t>No</t>
        </is>
      </c>
      <c r="L867" t="inlineStr">
        <is>
          <t>0</t>
        </is>
      </c>
      <c r="M867" t="inlineStr">
        <is>
          <t>Stauffer, Donald A. (Donald Alfred), 1902-1952.</t>
        </is>
      </c>
      <c r="N867" t="inlineStr">
        <is>
          <t>New York : Norton, [1949]</t>
        </is>
      </c>
      <c r="O867" t="inlineStr">
        <is>
          <t>1949</t>
        </is>
      </c>
      <c r="P867" t="inlineStr">
        <is>
          <t>[1st ed.]</t>
        </is>
      </c>
      <c r="Q867" t="inlineStr">
        <is>
          <t>eng</t>
        </is>
      </c>
      <c r="R867" t="inlineStr">
        <is>
          <t>nyu</t>
        </is>
      </c>
      <c r="T867" t="inlineStr">
        <is>
          <t xml:space="preserve">PR </t>
        </is>
      </c>
      <c r="U867" t="n">
        <v>1</v>
      </c>
      <c r="V867" t="n">
        <v>1</v>
      </c>
      <c r="W867" t="inlineStr">
        <is>
          <t>2006-03-02</t>
        </is>
      </c>
      <c r="X867" t="inlineStr">
        <is>
          <t>2006-03-02</t>
        </is>
      </c>
      <c r="Y867" t="inlineStr">
        <is>
          <t>1992-04-23</t>
        </is>
      </c>
      <c r="Z867" t="inlineStr">
        <is>
          <t>1992-04-23</t>
        </is>
      </c>
      <c r="AA867" t="n">
        <v>597</v>
      </c>
      <c r="AB867" t="n">
        <v>518</v>
      </c>
      <c r="AC867" t="n">
        <v>873</v>
      </c>
      <c r="AD867" t="n">
        <v>5</v>
      </c>
      <c r="AE867" t="n">
        <v>7</v>
      </c>
      <c r="AF867" t="n">
        <v>27</v>
      </c>
      <c r="AG867" t="n">
        <v>40</v>
      </c>
      <c r="AH867" t="n">
        <v>12</v>
      </c>
      <c r="AI867" t="n">
        <v>17</v>
      </c>
      <c r="AJ867" t="n">
        <v>4</v>
      </c>
      <c r="AK867" t="n">
        <v>7</v>
      </c>
      <c r="AL867" t="n">
        <v>14</v>
      </c>
      <c r="AM867" t="n">
        <v>18</v>
      </c>
      <c r="AN867" t="n">
        <v>4</v>
      </c>
      <c r="AO867" t="n">
        <v>6</v>
      </c>
      <c r="AP867" t="n">
        <v>0</v>
      </c>
      <c r="AQ867" t="n">
        <v>0</v>
      </c>
      <c r="AR867" t="inlineStr">
        <is>
          <t>No</t>
        </is>
      </c>
      <c r="AS867" t="inlineStr">
        <is>
          <t>Yes</t>
        </is>
      </c>
      <c r="AT867">
        <f>HYPERLINK("http://catalog.hathitrust.org/Record/001112265","HathiTrust Record")</f>
        <v/>
      </c>
      <c r="AU867">
        <f>HYPERLINK("https://creighton-primo.hosted.exlibrisgroup.com/primo-explore/search?tab=default_tab&amp;search_scope=EVERYTHING&amp;vid=01CRU&amp;lang=en_US&amp;offset=0&amp;query=any,contains,991003413459702656","Catalog Record")</f>
        <v/>
      </c>
      <c r="AV867">
        <f>HYPERLINK("http://www.worldcat.org/oclc/952004","WorldCat Record")</f>
        <v/>
      </c>
      <c r="AW867" t="inlineStr">
        <is>
          <t>1894546:eng</t>
        </is>
      </c>
      <c r="AX867" t="inlineStr">
        <is>
          <t>952004</t>
        </is>
      </c>
      <c r="AY867" t="inlineStr">
        <is>
          <t>991003413459702656</t>
        </is>
      </c>
      <c r="AZ867" t="inlineStr">
        <is>
          <t>991003413459702656</t>
        </is>
      </c>
      <c r="BA867" t="inlineStr">
        <is>
          <t>2261706380002656</t>
        </is>
      </c>
      <c r="BB867" t="inlineStr">
        <is>
          <t>BOOK</t>
        </is>
      </c>
      <c r="BE867" t="inlineStr">
        <is>
          <t>32285001085280</t>
        </is>
      </c>
      <c r="BF867" t="inlineStr">
        <is>
          <t>893499267</t>
        </is>
      </c>
    </row>
    <row r="868">
      <c r="A868" t="inlineStr">
        <is>
          <t>No</t>
        </is>
      </c>
      <c r="B868" t="inlineStr">
        <is>
          <t>CURAL</t>
        </is>
      </c>
      <c r="C868" t="inlineStr">
        <is>
          <t>SHELVES</t>
        </is>
      </c>
      <c r="D868" t="inlineStr">
        <is>
          <t>PR3009 .R72</t>
        </is>
      </c>
      <c r="E868" t="inlineStr">
        <is>
          <t>0                      PR 3009000R  72</t>
        </is>
      </c>
      <c r="F868" t="inlineStr">
        <is>
          <t>Classical mythology in Shakespeare.</t>
        </is>
      </c>
      <c r="H868" t="inlineStr">
        <is>
          <t>No</t>
        </is>
      </c>
      <c r="I868" t="inlineStr">
        <is>
          <t>1</t>
        </is>
      </c>
      <c r="J868" t="inlineStr">
        <is>
          <t>No</t>
        </is>
      </c>
      <c r="K868" t="inlineStr">
        <is>
          <t>No</t>
        </is>
      </c>
      <c r="L868" t="inlineStr">
        <is>
          <t>0</t>
        </is>
      </c>
      <c r="M868" t="inlineStr">
        <is>
          <t>Root, Robert K. (Robert Kilburn), 1877-1950.</t>
        </is>
      </c>
      <c r="N868" t="inlineStr">
        <is>
          <t>New York, Gordian Press, 1965.</t>
        </is>
      </c>
      <c r="O868" t="inlineStr">
        <is>
          <t>1965</t>
        </is>
      </c>
      <c r="Q868" t="inlineStr">
        <is>
          <t>eng</t>
        </is>
      </c>
      <c r="R868" t="inlineStr">
        <is>
          <t>nyu</t>
        </is>
      </c>
      <c r="S868" t="inlineStr">
        <is>
          <t>Yale studies in English ; 19</t>
        </is>
      </c>
      <c r="T868" t="inlineStr">
        <is>
          <t xml:space="preserve">PR </t>
        </is>
      </c>
      <c r="U868" t="n">
        <v>2</v>
      </c>
      <c r="V868" t="n">
        <v>2</v>
      </c>
      <c r="W868" t="inlineStr">
        <is>
          <t>2009-11-16</t>
        </is>
      </c>
      <c r="X868" t="inlineStr">
        <is>
          <t>2009-11-16</t>
        </is>
      </c>
      <c r="Y868" t="inlineStr">
        <is>
          <t>1997-08-06</t>
        </is>
      </c>
      <c r="Z868" t="inlineStr">
        <is>
          <t>1997-08-06</t>
        </is>
      </c>
      <c r="AA868" t="n">
        <v>854</v>
      </c>
      <c r="AB868" t="n">
        <v>808</v>
      </c>
      <c r="AC868" t="n">
        <v>1011</v>
      </c>
      <c r="AD868" t="n">
        <v>8</v>
      </c>
      <c r="AE868" t="n">
        <v>11</v>
      </c>
      <c r="AF868" t="n">
        <v>46</v>
      </c>
      <c r="AG868" t="n">
        <v>53</v>
      </c>
      <c r="AH868" t="n">
        <v>21</v>
      </c>
      <c r="AI868" t="n">
        <v>22</v>
      </c>
      <c r="AJ868" t="n">
        <v>8</v>
      </c>
      <c r="AK868" t="n">
        <v>10</v>
      </c>
      <c r="AL868" t="n">
        <v>20</v>
      </c>
      <c r="AM868" t="n">
        <v>23</v>
      </c>
      <c r="AN868" t="n">
        <v>7</v>
      </c>
      <c r="AO868" t="n">
        <v>10</v>
      </c>
      <c r="AP868" t="n">
        <v>0</v>
      </c>
      <c r="AQ868" t="n">
        <v>0</v>
      </c>
      <c r="AR868" t="inlineStr">
        <is>
          <t>No</t>
        </is>
      </c>
      <c r="AS868" t="inlineStr">
        <is>
          <t>Yes</t>
        </is>
      </c>
      <c r="AT868">
        <f>HYPERLINK("http://catalog.hathitrust.org/Record/001019016","HathiTrust Record")</f>
        <v/>
      </c>
      <c r="AU868">
        <f>HYPERLINK("https://creighton-primo.hosted.exlibrisgroup.com/primo-explore/search?tab=default_tab&amp;search_scope=EVERYTHING&amp;vid=01CRU&amp;lang=en_US&amp;offset=0&amp;query=any,contains,991002435859702656","Catalog Record")</f>
        <v/>
      </c>
      <c r="AV868">
        <f>HYPERLINK("http://www.worldcat.org/oclc/348885","WorldCat Record")</f>
        <v/>
      </c>
      <c r="AW868" t="inlineStr">
        <is>
          <t>536182:eng</t>
        </is>
      </c>
      <c r="AX868" t="inlineStr">
        <is>
          <t>348885</t>
        </is>
      </c>
      <c r="AY868" t="inlineStr">
        <is>
          <t>991002435859702656</t>
        </is>
      </c>
      <c r="AZ868" t="inlineStr">
        <is>
          <t>991002435859702656</t>
        </is>
      </c>
      <c r="BA868" t="inlineStr">
        <is>
          <t>2271403960002656</t>
        </is>
      </c>
      <c r="BB868" t="inlineStr">
        <is>
          <t>BOOK</t>
        </is>
      </c>
      <c r="BE868" t="inlineStr">
        <is>
          <t>32285003021556</t>
        </is>
      </c>
      <c r="BF868" t="inlineStr">
        <is>
          <t>893409096</t>
        </is>
      </c>
    </row>
    <row r="869">
      <c r="A869" t="inlineStr">
        <is>
          <t>No</t>
        </is>
      </c>
      <c r="B869" t="inlineStr">
        <is>
          <t>CURAL</t>
        </is>
      </c>
      <c r="C869" t="inlineStr">
        <is>
          <t>SHELVES</t>
        </is>
      </c>
      <c r="D869" t="inlineStr">
        <is>
          <t>PR3011 .F7</t>
        </is>
      </c>
      <c r="E869" t="inlineStr">
        <is>
          <t>0                      PR 3011000F  7</t>
        </is>
      </c>
      <c r="F869" t="inlineStr">
        <is>
          <t>Shakespeare and Christian doctrine.</t>
        </is>
      </c>
      <c r="H869" t="inlineStr">
        <is>
          <t>No</t>
        </is>
      </c>
      <c r="I869" t="inlineStr">
        <is>
          <t>1</t>
        </is>
      </c>
      <c r="J869" t="inlineStr">
        <is>
          <t>No</t>
        </is>
      </c>
      <c r="K869" t="inlineStr">
        <is>
          <t>No</t>
        </is>
      </c>
      <c r="L869" t="inlineStr">
        <is>
          <t>0</t>
        </is>
      </c>
      <c r="M869" t="inlineStr">
        <is>
          <t>Frye, Roland Mushat.</t>
        </is>
      </c>
      <c r="N869" t="inlineStr">
        <is>
          <t>Princeton, N.J., Princeton University Press, 1963.</t>
        </is>
      </c>
      <c r="O869" t="inlineStr">
        <is>
          <t>1963</t>
        </is>
      </c>
      <c r="Q869" t="inlineStr">
        <is>
          <t>eng</t>
        </is>
      </c>
      <c r="R869" t="inlineStr">
        <is>
          <t>nju</t>
        </is>
      </c>
      <c r="T869" t="inlineStr">
        <is>
          <t xml:space="preserve">PR </t>
        </is>
      </c>
      <c r="U869" t="n">
        <v>3</v>
      </c>
      <c r="V869" t="n">
        <v>3</v>
      </c>
      <c r="W869" t="inlineStr">
        <is>
          <t>2005-11-17</t>
        </is>
      </c>
      <c r="X869" t="inlineStr">
        <is>
          <t>2005-11-17</t>
        </is>
      </c>
      <c r="Y869" t="inlineStr">
        <is>
          <t>1997-08-06</t>
        </is>
      </c>
      <c r="Z869" t="inlineStr">
        <is>
          <t>1997-08-06</t>
        </is>
      </c>
      <c r="AA869" t="n">
        <v>1275</v>
      </c>
      <c r="AB869" t="n">
        <v>1089</v>
      </c>
      <c r="AC869" t="n">
        <v>1193</v>
      </c>
      <c r="AD869" t="n">
        <v>13</v>
      </c>
      <c r="AE869" t="n">
        <v>13</v>
      </c>
      <c r="AF869" t="n">
        <v>56</v>
      </c>
      <c r="AG869" t="n">
        <v>56</v>
      </c>
      <c r="AH869" t="n">
        <v>23</v>
      </c>
      <c r="AI869" t="n">
        <v>23</v>
      </c>
      <c r="AJ869" t="n">
        <v>10</v>
      </c>
      <c r="AK869" t="n">
        <v>10</v>
      </c>
      <c r="AL869" t="n">
        <v>26</v>
      </c>
      <c r="AM869" t="n">
        <v>26</v>
      </c>
      <c r="AN869" t="n">
        <v>10</v>
      </c>
      <c r="AO869" t="n">
        <v>10</v>
      </c>
      <c r="AP869" t="n">
        <v>0</v>
      </c>
      <c r="AQ869" t="n">
        <v>0</v>
      </c>
      <c r="AR869" t="inlineStr">
        <is>
          <t>No</t>
        </is>
      </c>
      <c r="AS869" t="inlineStr">
        <is>
          <t>No</t>
        </is>
      </c>
      <c r="AU869">
        <f>HYPERLINK("https://creighton-primo.hosted.exlibrisgroup.com/primo-explore/search?tab=default_tab&amp;search_scope=EVERYTHING&amp;vid=01CRU&amp;lang=en_US&amp;offset=0&amp;query=any,contains,991002072609702656","Catalog Record")</f>
        <v/>
      </c>
      <c r="AV869">
        <f>HYPERLINK("http://www.worldcat.org/oclc/263649","WorldCat Record")</f>
        <v/>
      </c>
      <c r="AW869" t="inlineStr">
        <is>
          <t>1377700:eng</t>
        </is>
      </c>
      <c r="AX869" t="inlineStr">
        <is>
          <t>263649</t>
        </is>
      </c>
      <c r="AY869" t="inlineStr">
        <is>
          <t>991002072609702656</t>
        </is>
      </c>
      <c r="AZ869" t="inlineStr">
        <is>
          <t>991002072609702656</t>
        </is>
      </c>
      <c r="BA869" t="inlineStr">
        <is>
          <t>2268700240002656</t>
        </is>
      </c>
      <c r="BB869" t="inlineStr">
        <is>
          <t>BOOK</t>
        </is>
      </c>
      <c r="BE869" t="inlineStr">
        <is>
          <t>32285003021580</t>
        </is>
      </c>
      <c r="BF869" t="inlineStr">
        <is>
          <t>893232540</t>
        </is>
      </c>
    </row>
    <row r="870">
      <c r="A870" t="inlineStr">
        <is>
          <t>No</t>
        </is>
      </c>
      <c r="B870" t="inlineStr">
        <is>
          <t>CURAL</t>
        </is>
      </c>
      <c r="C870" t="inlineStr">
        <is>
          <t>SHELVES</t>
        </is>
      </c>
      <c r="D870" t="inlineStr">
        <is>
          <t>PR3011 .M33</t>
        </is>
      </c>
      <c r="E870" t="inlineStr">
        <is>
          <t>0                      PR 3011000M  33</t>
        </is>
      </c>
      <c r="F870" t="inlineStr">
        <is>
          <t>Shakespeare's Catholicism, by Sister Maura.</t>
        </is>
      </c>
      <c r="H870" t="inlineStr">
        <is>
          <t>No</t>
        </is>
      </c>
      <c r="I870" t="inlineStr">
        <is>
          <t>1</t>
        </is>
      </c>
      <c r="J870" t="inlineStr">
        <is>
          <t>No</t>
        </is>
      </c>
      <c r="K870" t="inlineStr">
        <is>
          <t>No</t>
        </is>
      </c>
      <c r="L870" t="inlineStr">
        <is>
          <t>0</t>
        </is>
      </c>
      <c r="M870" t="inlineStr">
        <is>
          <t>Maura, Sister, 1881-1957.</t>
        </is>
      </c>
      <c r="N870" t="inlineStr">
        <is>
          <t>Cambridge, The Riverside press, 1924.</t>
        </is>
      </c>
      <c r="O870" t="inlineStr">
        <is>
          <t>1924</t>
        </is>
      </c>
      <c r="Q870" t="inlineStr">
        <is>
          <t>eng</t>
        </is>
      </c>
      <c r="R870" t="inlineStr">
        <is>
          <t xml:space="preserve">xx </t>
        </is>
      </c>
      <c r="T870" t="inlineStr">
        <is>
          <t xml:space="preserve">PR </t>
        </is>
      </c>
      <c r="U870" t="n">
        <v>1</v>
      </c>
      <c r="V870" t="n">
        <v>1</v>
      </c>
      <c r="W870" t="inlineStr">
        <is>
          <t>2005-11-17</t>
        </is>
      </c>
      <c r="X870" t="inlineStr">
        <is>
          <t>2005-11-17</t>
        </is>
      </c>
      <c r="Y870" t="inlineStr">
        <is>
          <t>1997-08-06</t>
        </is>
      </c>
      <c r="Z870" t="inlineStr">
        <is>
          <t>1997-08-06</t>
        </is>
      </c>
      <c r="AA870" t="n">
        <v>62</v>
      </c>
      <c r="AB870" t="n">
        <v>45</v>
      </c>
      <c r="AC870" t="n">
        <v>51</v>
      </c>
      <c r="AD870" t="n">
        <v>1</v>
      </c>
      <c r="AE870" t="n">
        <v>1</v>
      </c>
      <c r="AF870" t="n">
        <v>10</v>
      </c>
      <c r="AG870" t="n">
        <v>10</v>
      </c>
      <c r="AH870" t="n">
        <v>1</v>
      </c>
      <c r="AI870" t="n">
        <v>1</v>
      </c>
      <c r="AJ870" t="n">
        <v>4</v>
      </c>
      <c r="AK870" t="n">
        <v>4</v>
      </c>
      <c r="AL870" t="n">
        <v>9</v>
      </c>
      <c r="AM870" t="n">
        <v>9</v>
      </c>
      <c r="AN870" t="n">
        <v>0</v>
      </c>
      <c r="AO870" t="n">
        <v>0</v>
      </c>
      <c r="AP870" t="n">
        <v>0</v>
      </c>
      <c r="AQ870" t="n">
        <v>0</v>
      </c>
      <c r="AR870" t="inlineStr">
        <is>
          <t>Yes</t>
        </is>
      </c>
      <c r="AS870" t="inlineStr">
        <is>
          <t>No</t>
        </is>
      </c>
      <c r="AT870">
        <f>HYPERLINK("http://catalog.hathitrust.org/Record/101863578","HathiTrust Record")</f>
        <v/>
      </c>
      <c r="AU870">
        <f>HYPERLINK("https://creighton-primo.hosted.exlibrisgroup.com/primo-explore/search?tab=default_tab&amp;search_scope=EVERYTHING&amp;vid=01CRU&amp;lang=en_US&amp;offset=0&amp;query=any,contains,991004761119702656","Catalog Record")</f>
        <v/>
      </c>
      <c r="AV870">
        <f>HYPERLINK("http://www.worldcat.org/oclc/5003039","WorldCat Record")</f>
        <v/>
      </c>
      <c r="AW870" t="inlineStr">
        <is>
          <t>4222156348:eng</t>
        </is>
      </c>
      <c r="AX870" t="inlineStr">
        <is>
          <t>5003039</t>
        </is>
      </c>
      <c r="AY870" t="inlineStr">
        <is>
          <t>991004761119702656</t>
        </is>
      </c>
      <c r="AZ870" t="inlineStr">
        <is>
          <t>991004761119702656</t>
        </is>
      </c>
      <c r="BA870" t="inlineStr">
        <is>
          <t>2262684310002656</t>
        </is>
      </c>
      <c r="BB870" t="inlineStr">
        <is>
          <t>BOOK</t>
        </is>
      </c>
      <c r="BE870" t="inlineStr">
        <is>
          <t>32285003021598</t>
        </is>
      </c>
      <c r="BF870" t="inlineStr">
        <is>
          <t>893688116</t>
        </is>
      </c>
    </row>
    <row r="871">
      <c r="A871" t="inlineStr">
        <is>
          <t>No</t>
        </is>
      </c>
      <c r="B871" t="inlineStr">
        <is>
          <t>CURAL</t>
        </is>
      </c>
      <c r="C871" t="inlineStr">
        <is>
          <t>SHELVES</t>
        </is>
      </c>
      <c r="D871" t="inlineStr">
        <is>
          <t>PR3011 .M5</t>
        </is>
      </c>
      <c r="E871" t="inlineStr">
        <is>
          <t>0                      PR 3011000M  5</t>
        </is>
      </c>
      <c r="F871" t="inlineStr">
        <is>
          <t>Shakespeare's religious background.</t>
        </is>
      </c>
      <c r="H871" t="inlineStr">
        <is>
          <t>No</t>
        </is>
      </c>
      <c r="I871" t="inlineStr">
        <is>
          <t>1</t>
        </is>
      </c>
      <c r="J871" t="inlineStr">
        <is>
          <t>No</t>
        </is>
      </c>
      <c r="K871" t="inlineStr">
        <is>
          <t>No</t>
        </is>
      </c>
      <c r="L871" t="inlineStr">
        <is>
          <t>0</t>
        </is>
      </c>
      <c r="M871" t="inlineStr">
        <is>
          <t>Milward, Peter.</t>
        </is>
      </c>
      <c r="N871" t="inlineStr">
        <is>
          <t>London, Sidgwick &amp; Jackson [1973]</t>
        </is>
      </c>
      <c r="O871" t="inlineStr">
        <is>
          <t>1973</t>
        </is>
      </c>
      <c r="Q871" t="inlineStr">
        <is>
          <t>eng</t>
        </is>
      </c>
      <c r="R871" t="inlineStr">
        <is>
          <t>enk</t>
        </is>
      </c>
      <c r="T871" t="inlineStr">
        <is>
          <t xml:space="preserve">PR </t>
        </is>
      </c>
      <c r="U871" t="n">
        <v>3</v>
      </c>
      <c r="V871" t="n">
        <v>3</v>
      </c>
      <c r="W871" t="inlineStr">
        <is>
          <t>2008-10-01</t>
        </is>
      </c>
      <c r="X871" t="inlineStr">
        <is>
          <t>2008-10-01</t>
        </is>
      </c>
      <c r="Y871" t="inlineStr">
        <is>
          <t>1997-08-06</t>
        </is>
      </c>
      <c r="Z871" t="inlineStr">
        <is>
          <t>1997-08-06</t>
        </is>
      </c>
      <c r="AA871" t="n">
        <v>207</v>
      </c>
      <c r="AB871" t="n">
        <v>71</v>
      </c>
      <c r="AC871" t="n">
        <v>929</v>
      </c>
      <c r="AD871" t="n">
        <v>2</v>
      </c>
      <c r="AE871" t="n">
        <v>10</v>
      </c>
      <c r="AF871" t="n">
        <v>6</v>
      </c>
      <c r="AG871" t="n">
        <v>51</v>
      </c>
      <c r="AH871" t="n">
        <v>1</v>
      </c>
      <c r="AI871" t="n">
        <v>19</v>
      </c>
      <c r="AJ871" t="n">
        <v>0</v>
      </c>
      <c r="AK871" t="n">
        <v>10</v>
      </c>
      <c r="AL871" t="n">
        <v>5</v>
      </c>
      <c r="AM871" t="n">
        <v>24</v>
      </c>
      <c r="AN871" t="n">
        <v>1</v>
      </c>
      <c r="AO871" t="n">
        <v>9</v>
      </c>
      <c r="AP871" t="n">
        <v>0</v>
      </c>
      <c r="AQ871" t="n">
        <v>0</v>
      </c>
      <c r="AR871" t="inlineStr">
        <is>
          <t>No</t>
        </is>
      </c>
      <c r="AS871" t="inlineStr">
        <is>
          <t>Yes</t>
        </is>
      </c>
      <c r="AT871">
        <f>HYPERLINK("http://catalog.hathitrust.org/Record/001019024","HathiTrust Record")</f>
        <v/>
      </c>
      <c r="AU871">
        <f>HYPERLINK("https://creighton-primo.hosted.exlibrisgroup.com/primo-explore/search?tab=default_tab&amp;search_scope=EVERYTHING&amp;vid=01CRU&amp;lang=en_US&amp;offset=0&amp;query=any,contains,991003208019702656","Catalog Record")</f>
        <v/>
      </c>
      <c r="AV871">
        <f>HYPERLINK("http://www.worldcat.org/oclc/733437","WorldCat Record")</f>
        <v/>
      </c>
      <c r="AW871" t="inlineStr">
        <is>
          <t>1743423:eng</t>
        </is>
      </c>
      <c r="AX871" t="inlineStr">
        <is>
          <t>733437</t>
        </is>
      </c>
      <c r="AY871" t="inlineStr">
        <is>
          <t>991003208019702656</t>
        </is>
      </c>
      <c r="AZ871" t="inlineStr">
        <is>
          <t>991003208019702656</t>
        </is>
      </c>
      <c r="BA871" t="inlineStr">
        <is>
          <t>2258855220002656</t>
        </is>
      </c>
      <c r="BB871" t="inlineStr">
        <is>
          <t>BOOK</t>
        </is>
      </c>
      <c r="BD871" t="inlineStr">
        <is>
          <t>9780283979316</t>
        </is>
      </c>
      <c r="BE871" t="inlineStr">
        <is>
          <t>32285003021606</t>
        </is>
      </c>
      <c r="BF871" t="inlineStr">
        <is>
          <t>893535381</t>
        </is>
      </c>
    </row>
    <row r="872">
      <c r="A872" t="inlineStr">
        <is>
          <t>No</t>
        </is>
      </c>
      <c r="B872" t="inlineStr">
        <is>
          <t>CURAL</t>
        </is>
      </c>
      <c r="C872" t="inlineStr">
        <is>
          <t>SHELVES</t>
        </is>
      </c>
      <c r="D872" t="inlineStr">
        <is>
          <t>PR3011 .S5</t>
        </is>
      </c>
      <c r="E872" t="inlineStr">
        <is>
          <t>0                      PR 3011000S  5</t>
        </is>
      </c>
      <c r="F872" t="inlineStr">
        <is>
          <t>The religion of Shakespeare, chiefly from the writings of the late Mr. Richard Simpson, M.A. By Henry Sebastian Bowden.</t>
        </is>
      </c>
      <c r="H872" t="inlineStr">
        <is>
          <t>No</t>
        </is>
      </c>
      <c r="I872" t="inlineStr">
        <is>
          <t>1</t>
        </is>
      </c>
      <c r="J872" t="inlineStr">
        <is>
          <t>No</t>
        </is>
      </c>
      <c r="K872" t="inlineStr">
        <is>
          <t>No</t>
        </is>
      </c>
      <c r="L872" t="inlineStr">
        <is>
          <t>0</t>
        </is>
      </c>
      <c r="M872" t="inlineStr">
        <is>
          <t>Simpson, Richard, 1820-1876.</t>
        </is>
      </c>
      <c r="N872" t="inlineStr">
        <is>
          <t>London, Burns &amp; Oates; New York, Benziger Bros., 1899.</t>
        </is>
      </c>
      <c r="O872" t="inlineStr">
        <is>
          <t>1899</t>
        </is>
      </c>
      <c r="Q872" t="inlineStr">
        <is>
          <t>eng</t>
        </is>
      </c>
      <c r="R872" t="inlineStr">
        <is>
          <t>enk</t>
        </is>
      </c>
      <c r="T872" t="inlineStr">
        <is>
          <t xml:space="preserve">PR </t>
        </is>
      </c>
      <c r="U872" t="n">
        <v>3</v>
      </c>
      <c r="V872" t="n">
        <v>3</v>
      </c>
      <c r="W872" t="inlineStr">
        <is>
          <t>1999-11-09</t>
        </is>
      </c>
      <c r="X872" t="inlineStr">
        <is>
          <t>1999-11-09</t>
        </is>
      </c>
      <c r="Y872" t="inlineStr">
        <is>
          <t>1997-08-06</t>
        </is>
      </c>
      <c r="Z872" t="inlineStr">
        <is>
          <t>1997-08-06</t>
        </is>
      </c>
      <c r="AA872" t="n">
        <v>57</v>
      </c>
      <c r="AB872" t="n">
        <v>42</v>
      </c>
      <c r="AC872" t="n">
        <v>175</v>
      </c>
      <c r="AD872" t="n">
        <v>1</v>
      </c>
      <c r="AE872" t="n">
        <v>3</v>
      </c>
      <c r="AF872" t="n">
        <v>2</v>
      </c>
      <c r="AG872" t="n">
        <v>22</v>
      </c>
      <c r="AH872" t="n">
        <v>2</v>
      </c>
      <c r="AI872" t="n">
        <v>8</v>
      </c>
      <c r="AJ872" t="n">
        <v>0</v>
      </c>
      <c r="AK872" t="n">
        <v>5</v>
      </c>
      <c r="AL872" t="n">
        <v>1</v>
      </c>
      <c r="AM872" t="n">
        <v>14</v>
      </c>
      <c r="AN872" t="n">
        <v>0</v>
      </c>
      <c r="AO872" t="n">
        <v>2</v>
      </c>
      <c r="AP872" t="n">
        <v>0</v>
      </c>
      <c r="AQ872" t="n">
        <v>0</v>
      </c>
      <c r="AR872" t="inlineStr">
        <is>
          <t>Yes</t>
        </is>
      </c>
      <c r="AS872" t="inlineStr">
        <is>
          <t>No</t>
        </is>
      </c>
      <c r="AT872">
        <f>HYPERLINK("http://catalog.hathitrust.org/Record/001019028","HathiTrust Record")</f>
        <v/>
      </c>
      <c r="AU872">
        <f>HYPERLINK("https://creighton-primo.hosted.exlibrisgroup.com/primo-explore/search?tab=default_tab&amp;search_scope=EVERYTHING&amp;vid=01CRU&amp;lang=en_US&amp;offset=0&amp;query=any,contains,991001599899702656","Catalog Record")</f>
        <v/>
      </c>
      <c r="AV872">
        <f>HYPERLINK("http://www.worldcat.org/oclc/20659493","WorldCat Record")</f>
        <v/>
      </c>
      <c r="AW872" t="inlineStr">
        <is>
          <t>10678329494:eng</t>
        </is>
      </c>
      <c r="AX872" t="inlineStr">
        <is>
          <t>20659493</t>
        </is>
      </c>
      <c r="AY872" t="inlineStr">
        <is>
          <t>991001599899702656</t>
        </is>
      </c>
      <c r="AZ872" t="inlineStr">
        <is>
          <t>991001599899702656</t>
        </is>
      </c>
      <c r="BA872" t="inlineStr">
        <is>
          <t>2261227060002656</t>
        </is>
      </c>
      <c r="BB872" t="inlineStr">
        <is>
          <t>BOOK</t>
        </is>
      </c>
      <c r="BE872" t="inlineStr">
        <is>
          <t>32285003021630</t>
        </is>
      </c>
      <c r="BF872" t="inlineStr">
        <is>
          <t>893516307</t>
        </is>
      </c>
    </row>
    <row r="873">
      <c r="A873" t="inlineStr">
        <is>
          <t>No</t>
        </is>
      </c>
      <c r="B873" t="inlineStr">
        <is>
          <t>CURAL</t>
        </is>
      </c>
      <c r="C873" t="inlineStr">
        <is>
          <t>SHELVES</t>
        </is>
      </c>
      <c r="D873" t="inlineStr">
        <is>
          <t>PR3012 .N6</t>
        </is>
      </c>
      <c r="E873" t="inlineStr">
        <is>
          <t>0                      PR 3012000N  6</t>
        </is>
      </c>
      <c r="F873" t="inlineStr">
        <is>
          <t>Shakespeare's Biblical knowledge and use of the Book of common prayer, as exemplified in the plays of the First folio, by Richmond Noble.</t>
        </is>
      </c>
      <c r="H873" t="inlineStr">
        <is>
          <t>No</t>
        </is>
      </c>
      <c r="I873" t="inlineStr">
        <is>
          <t>1</t>
        </is>
      </c>
      <c r="J873" t="inlineStr">
        <is>
          <t>No</t>
        </is>
      </c>
      <c r="K873" t="inlineStr">
        <is>
          <t>No</t>
        </is>
      </c>
      <c r="L873" t="inlineStr">
        <is>
          <t>0</t>
        </is>
      </c>
      <c r="M873" t="inlineStr">
        <is>
          <t>Noble, Richmond Samuel Howe, -1940.</t>
        </is>
      </c>
      <c r="N873" t="inlineStr">
        <is>
          <t>London, Society for promoting Christian knowledge; New York, The Macmillan company [1935]</t>
        </is>
      </c>
      <c r="O873" t="inlineStr">
        <is>
          <t>1935</t>
        </is>
      </c>
      <c r="Q873" t="inlineStr">
        <is>
          <t>eng</t>
        </is>
      </c>
      <c r="R873" t="inlineStr">
        <is>
          <t>enk</t>
        </is>
      </c>
      <c r="T873" t="inlineStr">
        <is>
          <t xml:space="preserve">PR </t>
        </is>
      </c>
      <c r="U873" t="n">
        <v>1</v>
      </c>
      <c r="V873" t="n">
        <v>1</v>
      </c>
      <c r="W873" t="inlineStr">
        <is>
          <t>2005-11-17</t>
        </is>
      </c>
      <c r="X873" t="inlineStr">
        <is>
          <t>2005-11-17</t>
        </is>
      </c>
      <c r="Y873" t="inlineStr">
        <is>
          <t>1997-08-06</t>
        </is>
      </c>
      <c r="Z873" t="inlineStr">
        <is>
          <t>1997-08-06</t>
        </is>
      </c>
      <c r="AA873" t="n">
        <v>347</v>
      </c>
      <c r="AB873" t="n">
        <v>283</v>
      </c>
      <c r="AC873" t="n">
        <v>660</v>
      </c>
      <c r="AD873" t="n">
        <v>4</v>
      </c>
      <c r="AE873" t="n">
        <v>7</v>
      </c>
      <c r="AF873" t="n">
        <v>20</v>
      </c>
      <c r="AG873" t="n">
        <v>40</v>
      </c>
      <c r="AH873" t="n">
        <v>5</v>
      </c>
      <c r="AI873" t="n">
        <v>16</v>
      </c>
      <c r="AJ873" t="n">
        <v>5</v>
      </c>
      <c r="AK873" t="n">
        <v>8</v>
      </c>
      <c r="AL873" t="n">
        <v>11</v>
      </c>
      <c r="AM873" t="n">
        <v>20</v>
      </c>
      <c r="AN873" t="n">
        <v>3</v>
      </c>
      <c r="AO873" t="n">
        <v>6</v>
      </c>
      <c r="AP873" t="n">
        <v>0</v>
      </c>
      <c r="AQ873" t="n">
        <v>0</v>
      </c>
      <c r="AR873" t="inlineStr">
        <is>
          <t>No</t>
        </is>
      </c>
      <c r="AS873" t="inlineStr">
        <is>
          <t>No</t>
        </is>
      </c>
      <c r="AT873">
        <f>HYPERLINK("http://catalog.hathitrust.org/Record/001373801","HathiTrust Record")</f>
        <v/>
      </c>
      <c r="AU873">
        <f>HYPERLINK("https://creighton-primo.hosted.exlibrisgroup.com/primo-explore/search?tab=default_tab&amp;search_scope=EVERYTHING&amp;vid=01CRU&amp;lang=en_US&amp;offset=0&amp;query=any,contains,991004232129702656","Catalog Record")</f>
        <v/>
      </c>
      <c r="AV873">
        <f>HYPERLINK("http://www.worldcat.org/oclc/2750601","WorldCat Record")</f>
        <v/>
      </c>
      <c r="AW873" t="inlineStr">
        <is>
          <t>1300648:eng</t>
        </is>
      </c>
      <c r="AX873" t="inlineStr">
        <is>
          <t>2750601</t>
        </is>
      </c>
      <c r="AY873" t="inlineStr">
        <is>
          <t>991004232129702656</t>
        </is>
      </c>
      <c r="AZ873" t="inlineStr">
        <is>
          <t>991004232129702656</t>
        </is>
      </c>
      <c r="BA873" t="inlineStr">
        <is>
          <t>2264040730002656</t>
        </is>
      </c>
      <c r="BB873" t="inlineStr">
        <is>
          <t>BOOK</t>
        </is>
      </c>
      <c r="BE873" t="inlineStr">
        <is>
          <t>32285003021655</t>
        </is>
      </c>
      <c r="BF873" t="inlineStr">
        <is>
          <t>893788446</t>
        </is>
      </c>
    </row>
    <row r="874">
      <c r="A874" t="inlineStr">
        <is>
          <t>No</t>
        </is>
      </c>
      <c r="B874" t="inlineStr">
        <is>
          <t>CURAL</t>
        </is>
      </c>
      <c r="C874" t="inlineStr">
        <is>
          <t>SHELVES</t>
        </is>
      </c>
      <c r="D874" t="inlineStr">
        <is>
          <t>PR3014 .C43 1993</t>
        </is>
      </c>
      <c r="E874" t="inlineStr">
        <is>
          <t>0                      PR 3014000C  43          1993</t>
        </is>
      </c>
      <c r="F874" t="inlineStr">
        <is>
          <t>Notorious identity : materializing the subject in Shakespeare / Linda Charnes.</t>
        </is>
      </c>
      <c r="H874" t="inlineStr">
        <is>
          <t>No</t>
        </is>
      </c>
      <c r="I874" t="inlineStr">
        <is>
          <t>1</t>
        </is>
      </c>
      <c r="J874" t="inlineStr">
        <is>
          <t>No</t>
        </is>
      </c>
      <c r="K874" t="inlineStr">
        <is>
          <t>No</t>
        </is>
      </c>
      <c r="L874" t="inlineStr">
        <is>
          <t>0</t>
        </is>
      </c>
      <c r="M874" t="inlineStr">
        <is>
          <t>Charnes, Linda.</t>
        </is>
      </c>
      <c r="N874" t="inlineStr">
        <is>
          <t>Cambridge, Mass. : Harvard University Press, 1993.</t>
        </is>
      </c>
      <c r="O874" t="inlineStr">
        <is>
          <t>1993</t>
        </is>
      </c>
      <c r="Q874" t="inlineStr">
        <is>
          <t>eng</t>
        </is>
      </c>
      <c r="R874" t="inlineStr">
        <is>
          <t>mau</t>
        </is>
      </c>
      <c r="T874" t="inlineStr">
        <is>
          <t xml:space="preserve">PR </t>
        </is>
      </c>
      <c r="U874" t="n">
        <v>0</v>
      </c>
      <c r="V874" t="n">
        <v>0</v>
      </c>
      <c r="W874" t="inlineStr">
        <is>
          <t>2006-05-02</t>
        </is>
      </c>
      <c r="X874" t="inlineStr">
        <is>
          <t>2006-05-02</t>
        </is>
      </c>
      <c r="Y874" t="inlineStr">
        <is>
          <t>1995-01-10</t>
        </is>
      </c>
      <c r="Z874" t="inlineStr">
        <is>
          <t>1995-01-10</t>
        </is>
      </c>
      <c r="AA874" t="n">
        <v>504</v>
      </c>
      <c r="AB874" t="n">
        <v>380</v>
      </c>
      <c r="AC874" t="n">
        <v>427</v>
      </c>
      <c r="AD874" t="n">
        <v>4</v>
      </c>
      <c r="AE874" t="n">
        <v>4</v>
      </c>
      <c r="AF874" t="n">
        <v>24</v>
      </c>
      <c r="AG874" t="n">
        <v>28</v>
      </c>
      <c r="AH874" t="n">
        <v>6</v>
      </c>
      <c r="AI874" t="n">
        <v>10</v>
      </c>
      <c r="AJ874" t="n">
        <v>6</v>
      </c>
      <c r="AK874" t="n">
        <v>7</v>
      </c>
      <c r="AL874" t="n">
        <v>16</v>
      </c>
      <c r="AM874" t="n">
        <v>16</v>
      </c>
      <c r="AN874" t="n">
        <v>3</v>
      </c>
      <c r="AO874" t="n">
        <v>3</v>
      </c>
      <c r="AP874" t="n">
        <v>0</v>
      </c>
      <c r="AQ874" t="n">
        <v>0</v>
      </c>
      <c r="AR874" t="inlineStr">
        <is>
          <t>No</t>
        </is>
      </c>
      <c r="AS874" t="inlineStr">
        <is>
          <t>Yes</t>
        </is>
      </c>
      <c r="AT874">
        <f>HYPERLINK("http://catalog.hathitrust.org/Record/002784022","HathiTrust Record")</f>
        <v/>
      </c>
      <c r="AU874">
        <f>HYPERLINK("https://creighton-primo.hosted.exlibrisgroup.com/primo-explore/search?tab=default_tab&amp;search_scope=EVERYTHING&amp;vid=01CRU&amp;lang=en_US&amp;offset=0&amp;query=any,contains,991002152499702656","Catalog Record")</f>
        <v/>
      </c>
      <c r="AV874">
        <f>HYPERLINK("http://www.worldcat.org/oclc/27728085","WorldCat Record")</f>
        <v/>
      </c>
      <c r="AW874" t="inlineStr">
        <is>
          <t>346477:eng</t>
        </is>
      </c>
      <c r="AX874" t="inlineStr">
        <is>
          <t>27728085</t>
        </is>
      </c>
      <c r="AY874" t="inlineStr">
        <is>
          <t>991002152499702656</t>
        </is>
      </c>
      <c r="AZ874" t="inlineStr">
        <is>
          <t>991002152499702656</t>
        </is>
      </c>
      <c r="BA874" t="inlineStr">
        <is>
          <t>2266392900002656</t>
        </is>
      </c>
      <c r="BB874" t="inlineStr">
        <is>
          <t>BOOK</t>
        </is>
      </c>
      <c r="BD874" t="inlineStr">
        <is>
          <t>9780674627802</t>
        </is>
      </c>
      <c r="BE874" t="inlineStr">
        <is>
          <t>32285001991990</t>
        </is>
      </c>
      <c r="BF874" t="inlineStr">
        <is>
          <t>893590978</t>
        </is>
      </c>
    </row>
    <row r="875">
      <c r="A875" t="inlineStr">
        <is>
          <t>No</t>
        </is>
      </c>
      <c r="B875" t="inlineStr">
        <is>
          <t>CURAL</t>
        </is>
      </c>
      <c r="C875" t="inlineStr">
        <is>
          <t>SHELVES</t>
        </is>
      </c>
      <c r="D875" t="inlineStr">
        <is>
          <t>PR3014 .L3</t>
        </is>
      </c>
      <c r="E875" t="inlineStr">
        <is>
          <t>0                      PR 3014000L  3</t>
        </is>
      </c>
      <c r="F875" t="inlineStr">
        <is>
          <t>Where Shakespeare set his stage, by Elise Lathrop; decorations by G.W. Hood.</t>
        </is>
      </c>
      <c r="H875" t="inlineStr">
        <is>
          <t>No</t>
        </is>
      </c>
      <c r="I875" t="inlineStr">
        <is>
          <t>1</t>
        </is>
      </c>
      <c r="J875" t="inlineStr">
        <is>
          <t>No</t>
        </is>
      </c>
      <c r="K875" t="inlineStr">
        <is>
          <t>No</t>
        </is>
      </c>
      <c r="L875" t="inlineStr">
        <is>
          <t>0</t>
        </is>
      </c>
      <c r="M875" t="inlineStr">
        <is>
          <t>Lathrop, Elise.</t>
        </is>
      </c>
      <c r="N875" t="inlineStr">
        <is>
          <t>[New York, J. Pott &amp; Co., 1906]</t>
        </is>
      </c>
      <c r="O875" t="inlineStr">
        <is>
          <t>1906</t>
        </is>
      </c>
      <c r="Q875" t="inlineStr">
        <is>
          <t>eng</t>
        </is>
      </c>
      <c r="R875" t="inlineStr">
        <is>
          <t>nyu</t>
        </is>
      </c>
      <c r="T875" t="inlineStr">
        <is>
          <t xml:space="preserve">PR </t>
        </is>
      </c>
      <c r="U875" t="n">
        <v>2</v>
      </c>
      <c r="V875" t="n">
        <v>2</v>
      </c>
      <c r="W875" t="inlineStr">
        <is>
          <t>2007-11-21</t>
        </is>
      </c>
      <c r="X875" t="inlineStr">
        <is>
          <t>2007-11-21</t>
        </is>
      </c>
      <c r="Y875" t="inlineStr">
        <is>
          <t>1997-08-06</t>
        </is>
      </c>
      <c r="Z875" t="inlineStr">
        <is>
          <t>1997-08-06</t>
        </is>
      </c>
      <c r="AA875" t="n">
        <v>164</v>
      </c>
      <c r="AB875" t="n">
        <v>155</v>
      </c>
      <c r="AC875" t="n">
        <v>251</v>
      </c>
      <c r="AD875" t="n">
        <v>3</v>
      </c>
      <c r="AE875" t="n">
        <v>3</v>
      </c>
      <c r="AF875" t="n">
        <v>9</v>
      </c>
      <c r="AG875" t="n">
        <v>12</v>
      </c>
      <c r="AH875" t="n">
        <v>2</v>
      </c>
      <c r="AI875" t="n">
        <v>2</v>
      </c>
      <c r="AJ875" t="n">
        <v>1</v>
      </c>
      <c r="AK875" t="n">
        <v>4</v>
      </c>
      <c r="AL875" t="n">
        <v>4</v>
      </c>
      <c r="AM875" t="n">
        <v>5</v>
      </c>
      <c r="AN875" t="n">
        <v>2</v>
      </c>
      <c r="AO875" t="n">
        <v>2</v>
      </c>
      <c r="AP875" t="n">
        <v>0</v>
      </c>
      <c r="AQ875" t="n">
        <v>0</v>
      </c>
      <c r="AR875" t="inlineStr">
        <is>
          <t>Yes</t>
        </is>
      </c>
      <c r="AS875" t="inlineStr">
        <is>
          <t>No</t>
        </is>
      </c>
      <c r="AT875">
        <f>HYPERLINK("http://catalog.hathitrust.org/Record/002139696","HathiTrust Record")</f>
        <v/>
      </c>
      <c r="AU875">
        <f>HYPERLINK("https://creighton-primo.hosted.exlibrisgroup.com/primo-explore/search?tab=default_tab&amp;search_scope=EVERYTHING&amp;vid=01CRU&amp;lang=en_US&amp;offset=0&amp;query=any,contains,991002452329702656","Catalog Record")</f>
        <v/>
      </c>
      <c r="AV875">
        <f>HYPERLINK("http://www.worldcat.org/oclc/353185","WorldCat Record")</f>
        <v/>
      </c>
      <c r="AW875" t="inlineStr">
        <is>
          <t>1226743:eng</t>
        </is>
      </c>
      <c r="AX875" t="inlineStr">
        <is>
          <t>353185</t>
        </is>
      </c>
      <c r="AY875" t="inlineStr">
        <is>
          <t>991002452329702656</t>
        </is>
      </c>
      <c r="AZ875" t="inlineStr">
        <is>
          <t>991002452329702656</t>
        </is>
      </c>
      <c r="BA875" t="inlineStr">
        <is>
          <t>2268006470002656</t>
        </is>
      </c>
      <c r="BB875" t="inlineStr">
        <is>
          <t>BOOK</t>
        </is>
      </c>
      <c r="BE875" t="inlineStr">
        <is>
          <t>32285003021663</t>
        </is>
      </c>
      <c r="BF875" t="inlineStr">
        <is>
          <t>893609875</t>
        </is>
      </c>
    </row>
    <row r="876">
      <c r="A876" t="inlineStr">
        <is>
          <t>No</t>
        </is>
      </c>
      <c r="B876" t="inlineStr">
        <is>
          <t>CURAL</t>
        </is>
      </c>
      <c r="C876" t="inlineStr">
        <is>
          <t>SHELVES</t>
        </is>
      </c>
      <c r="D876" t="inlineStr">
        <is>
          <t>PR3014 .R6 1966</t>
        </is>
      </c>
      <c r="E876" t="inlineStr">
        <is>
          <t>0                      PR 3014000R  6           1966</t>
        </is>
      </c>
      <c r="F876" t="inlineStr">
        <is>
          <t>Shakespeare and English history / by William Hudson Rogers.</t>
        </is>
      </c>
      <c r="H876" t="inlineStr">
        <is>
          <t>No</t>
        </is>
      </c>
      <c r="I876" t="inlineStr">
        <is>
          <t>1</t>
        </is>
      </c>
      <c r="J876" t="inlineStr">
        <is>
          <t>No</t>
        </is>
      </c>
      <c r="K876" t="inlineStr">
        <is>
          <t>No</t>
        </is>
      </c>
      <c r="L876" t="inlineStr">
        <is>
          <t>0</t>
        </is>
      </c>
      <c r="M876" t="inlineStr">
        <is>
          <t>Rogers, William Hudson, 1894-1975.</t>
        </is>
      </c>
      <c r="N876" t="inlineStr">
        <is>
          <t>Totowa, N.J. : Littlefield, 1966.</t>
        </is>
      </c>
      <c r="O876" t="inlineStr">
        <is>
          <t>1966</t>
        </is>
      </c>
      <c r="Q876" t="inlineStr">
        <is>
          <t>eng</t>
        </is>
      </c>
      <c r="R876" t="inlineStr">
        <is>
          <t>nju</t>
        </is>
      </c>
      <c r="S876" t="inlineStr">
        <is>
          <t>Littlefield quality paperbacks, 31</t>
        </is>
      </c>
      <c r="T876" t="inlineStr">
        <is>
          <t xml:space="preserve">PR </t>
        </is>
      </c>
      <c r="U876" t="n">
        <v>1</v>
      </c>
      <c r="V876" t="n">
        <v>1</v>
      </c>
      <c r="W876" t="inlineStr">
        <is>
          <t>2004-12-14</t>
        </is>
      </c>
      <c r="X876" t="inlineStr">
        <is>
          <t>2004-12-14</t>
        </is>
      </c>
      <c r="Y876" t="inlineStr">
        <is>
          <t>2004-12-14</t>
        </is>
      </c>
      <c r="Z876" t="inlineStr">
        <is>
          <t>2004-12-14</t>
        </is>
      </c>
      <c r="AA876" t="n">
        <v>392</v>
      </c>
      <c r="AB876" t="n">
        <v>371</v>
      </c>
      <c r="AC876" t="n">
        <v>373</v>
      </c>
      <c r="AD876" t="n">
        <v>2</v>
      </c>
      <c r="AE876" t="n">
        <v>2</v>
      </c>
      <c r="AF876" t="n">
        <v>13</v>
      </c>
      <c r="AG876" t="n">
        <v>13</v>
      </c>
      <c r="AH876" t="n">
        <v>8</v>
      </c>
      <c r="AI876" t="n">
        <v>8</v>
      </c>
      <c r="AJ876" t="n">
        <v>3</v>
      </c>
      <c r="AK876" t="n">
        <v>3</v>
      </c>
      <c r="AL876" t="n">
        <v>8</v>
      </c>
      <c r="AM876" t="n">
        <v>8</v>
      </c>
      <c r="AN876" t="n">
        <v>1</v>
      </c>
      <c r="AO876" t="n">
        <v>1</v>
      </c>
      <c r="AP876" t="n">
        <v>0</v>
      </c>
      <c r="AQ876" t="n">
        <v>0</v>
      </c>
      <c r="AR876" t="inlineStr">
        <is>
          <t>No</t>
        </is>
      </c>
      <c r="AS876" t="inlineStr">
        <is>
          <t>No</t>
        </is>
      </c>
      <c r="AU876">
        <f>HYPERLINK("https://creighton-primo.hosted.exlibrisgroup.com/primo-explore/search?tab=default_tab&amp;search_scope=EVERYTHING&amp;vid=01CRU&amp;lang=en_US&amp;offset=0&amp;query=any,contains,991004437849702656","Catalog Record")</f>
        <v/>
      </c>
      <c r="AV876">
        <f>HYPERLINK("http://www.worldcat.org/oclc/546985","WorldCat Record")</f>
        <v/>
      </c>
      <c r="AW876" t="inlineStr">
        <is>
          <t>1580284:eng</t>
        </is>
      </c>
      <c r="AX876" t="inlineStr">
        <is>
          <t>546985</t>
        </is>
      </c>
      <c r="AY876" t="inlineStr">
        <is>
          <t>991004437849702656</t>
        </is>
      </c>
      <c r="AZ876" t="inlineStr">
        <is>
          <t>991004437849702656</t>
        </is>
      </c>
      <c r="BA876" t="inlineStr">
        <is>
          <t>2264962270002656</t>
        </is>
      </c>
      <c r="BB876" t="inlineStr">
        <is>
          <t>BOOK</t>
        </is>
      </c>
      <c r="BE876" t="inlineStr">
        <is>
          <t>32285005017362</t>
        </is>
      </c>
      <c r="BF876" t="inlineStr">
        <is>
          <t>893888696</t>
        </is>
      </c>
    </row>
    <row r="877">
      <c r="A877" t="inlineStr">
        <is>
          <t>No</t>
        </is>
      </c>
      <c r="B877" t="inlineStr">
        <is>
          <t>CURAL</t>
        </is>
      </c>
      <c r="C877" t="inlineStr">
        <is>
          <t>SHELVES</t>
        </is>
      </c>
      <c r="D877" t="inlineStr">
        <is>
          <t>PR3017 .B55 1981</t>
        </is>
      </c>
      <c r="E877" t="inlineStr">
        <is>
          <t>0                      PR 3017000B  55          1981</t>
        </is>
      </c>
      <c r="F877" t="inlineStr">
        <is>
          <t>Shakespeare's politics / Allan Bloom with Harry V. Jaffa.</t>
        </is>
      </c>
      <c r="H877" t="inlineStr">
        <is>
          <t>No</t>
        </is>
      </c>
      <c r="I877" t="inlineStr">
        <is>
          <t>1</t>
        </is>
      </c>
      <c r="J877" t="inlineStr">
        <is>
          <t>No</t>
        </is>
      </c>
      <c r="K877" t="inlineStr">
        <is>
          <t>No</t>
        </is>
      </c>
      <c r="L877" t="inlineStr">
        <is>
          <t>0</t>
        </is>
      </c>
      <c r="M877" t="inlineStr">
        <is>
          <t>Bloom, Allan, 1930-1992.</t>
        </is>
      </c>
      <c r="N877" t="inlineStr">
        <is>
          <t>Chicago : University of Chicago Press, 1981, c1964.</t>
        </is>
      </c>
      <c r="O877" t="inlineStr">
        <is>
          <t>1981</t>
        </is>
      </c>
      <c r="Q877" t="inlineStr">
        <is>
          <t>eng</t>
        </is>
      </c>
      <c r="R877" t="inlineStr">
        <is>
          <t>ilu</t>
        </is>
      </c>
      <c r="T877" t="inlineStr">
        <is>
          <t xml:space="preserve">PR </t>
        </is>
      </c>
      <c r="U877" t="n">
        <v>2</v>
      </c>
      <c r="V877" t="n">
        <v>2</v>
      </c>
      <c r="W877" t="inlineStr">
        <is>
          <t>2001-07-12</t>
        </is>
      </c>
      <c r="X877" t="inlineStr">
        <is>
          <t>2001-07-12</t>
        </is>
      </c>
      <c r="Y877" t="inlineStr">
        <is>
          <t>2001-07-12</t>
        </is>
      </c>
      <c r="Z877" t="inlineStr">
        <is>
          <t>2001-07-12</t>
        </is>
      </c>
      <c r="AA877" t="n">
        <v>286</v>
      </c>
      <c r="AB877" t="n">
        <v>232</v>
      </c>
      <c r="AC877" t="n">
        <v>730</v>
      </c>
      <c r="AD877" t="n">
        <v>1</v>
      </c>
      <c r="AE877" t="n">
        <v>4</v>
      </c>
      <c r="AF877" t="n">
        <v>14</v>
      </c>
      <c r="AG877" t="n">
        <v>40</v>
      </c>
      <c r="AH877" t="n">
        <v>9</v>
      </c>
      <c r="AI877" t="n">
        <v>17</v>
      </c>
      <c r="AJ877" t="n">
        <v>2</v>
      </c>
      <c r="AK877" t="n">
        <v>8</v>
      </c>
      <c r="AL877" t="n">
        <v>5</v>
      </c>
      <c r="AM877" t="n">
        <v>21</v>
      </c>
      <c r="AN877" t="n">
        <v>0</v>
      </c>
      <c r="AO877" t="n">
        <v>3</v>
      </c>
      <c r="AP877" t="n">
        <v>1</v>
      </c>
      <c r="AQ877" t="n">
        <v>1</v>
      </c>
      <c r="AR877" t="inlineStr">
        <is>
          <t>No</t>
        </is>
      </c>
      <c r="AS877" t="inlineStr">
        <is>
          <t>No</t>
        </is>
      </c>
      <c r="AU877">
        <f>HYPERLINK("https://creighton-primo.hosted.exlibrisgroup.com/primo-explore/search?tab=default_tab&amp;search_scope=EVERYTHING&amp;vid=01CRU&amp;lang=en_US&amp;offset=0&amp;query=any,contains,991003567899702656","Catalog Record")</f>
        <v/>
      </c>
      <c r="AV877">
        <f>HYPERLINK("http://www.worldcat.org/oclc/7554121","WorldCat Record")</f>
        <v/>
      </c>
      <c r="AW877" t="inlineStr">
        <is>
          <t>48553481:eng</t>
        </is>
      </c>
      <c r="AX877" t="inlineStr">
        <is>
          <t>7554121</t>
        </is>
      </c>
      <c r="AY877" t="inlineStr">
        <is>
          <t>991003567899702656</t>
        </is>
      </c>
      <c r="AZ877" t="inlineStr">
        <is>
          <t>991003567899702656</t>
        </is>
      </c>
      <c r="BA877" t="inlineStr">
        <is>
          <t>2264802270002656</t>
        </is>
      </c>
      <c r="BB877" t="inlineStr">
        <is>
          <t>BOOK</t>
        </is>
      </c>
      <c r="BD877" t="inlineStr">
        <is>
          <t>9780226060415</t>
        </is>
      </c>
      <c r="BE877" t="inlineStr">
        <is>
          <t>32285004332192</t>
        </is>
      </c>
      <c r="BF877" t="inlineStr">
        <is>
          <t>893324197</t>
        </is>
      </c>
    </row>
    <row r="878">
      <c r="A878" t="inlineStr">
        <is>
          <t>No</t>
        </is>
      </c>
      <c r="B878" t="inlineStr">
        <is>
          <t>CURAL</t>
        </is>
      </c>
      <c r="C878" t="inlineStr">
        <is>
          <t>SHELVES</t>
        </is>
      </c>
      <c r="D878" t="inlineStr">
        <is>
          <t>PR3017 .C53</t>
        </is>
      </c>
      <c r="E878" t="inlineStr">
        <is>
          <t>0                      PR 3017000C  53</t>
        </is>
      </c>
      <c r="F878" t="inlineStr">
        <is>
          <t>Murder under trust, or, The topical Macbeth and other Jacobean matters / Arthur Melville Clark.</t>
        </is>
      </c>
      <c r="H878" t="inlineStr">
        <is>
          <t>No</t>
        </is>
      </c>
      <c r="I878" t="inlineStr">
        <is>
          <t>1</t>
        </is>
      </c>
      <c r="J878" t="inlineStr">
        <is>
          <t>No</t>
        </is>
      </c>
      <c r="K878" t="inlineStr">
        <is>
          <t>No</t>
        </is>
      </c>
      <c r="L878" t="inlineStr">
        <is>
          <t>0</t>
        </is>
      </c>
      <c r="M878" t="inlineStr">
        <is>
          <t>Clark, Arthur Melville, 1895-</t>
        </is>
      </c>
      <c r="N878" t="inlineStr">
        <is>
          <t>Edinburgh : Scottish Academic Press, 1981.</t>
        </is>
      </c>
      <c r="O878" t="inlineStr">
        <is>
          <t>1981</t>
        </is>
      </c>
      <c r="Q878" t="inlineStr">
        <is>
          <t>eng</t>
        </is>
      </c>
      <c r="R878" t="inlineStr">
        <is>
          <t>stk</t>
        </is>
      </c>
      <c r="T878" t="inlineStr">
        <is>
          <t xml:space="preserve">PR </t>
        </is>
      </c>
      <c r="U878" t="n">
        <v>3</v>
      </c>
      <c r="V878" t="n">
        <v>3</v>
      </c>
      <c r="W878" t="inlineStr">
        <is>
          <t>1995-03-15</t>
        </is>
      </c>
      <c r="X878" t="inlineStr">
        <is>
          <t>1995-03-15</t>
        </is>
      </c>
      <c r="Y878" t="inlineStr">
        <is>
          <t>1991-10-03</t>
        </is>
      </c>
      <c r="Z878" t="inlineStr">
        <is>
          <t>1991-10-03</t>
        </is>
      </c>
      <c r="AA878" t="n">
        <v>323</v>
      </c>
      <c r="AB878" t="n">
        <v>232</v>
      </c>
      <c r="AC878" t="n">
        <v>249</v>
      </c>
      <c r="AD878" t="n">
        <v>3</v>
      </c>
      <c r="AE878" t="n">
        <v>3</v>
      </c>
      <c r="AF878" t="n">
        <v>11</v>
      </c>
      <c r="AG878" t="n">
        <v>13</v>
      </c>
      <c r="AH878" t="n">
        <v>2</v>
      </c>
      <c r="AI878" t="n">
        <v>3</v>
      </c>
      <c r="AJ878" t="n">
        <v>2</v>
      </c>
      <c r="AK878" t="n">
        <v>3</v>
      </c>
      <c r="AL878" t="n">
        <v>8</v>
      </c>
      <c r="AM878" t="n">
        <v>8</v>
      </c>
      <c r="AN878" t="n">
        <v>2</v>
      </c>
      <c r="AO878" t="n">
        <v>2</v>
      </c>
      <c r="AP878" t="n">
        <v>0</v>
      </c>
      <c r="AQ878" t="n">
        <v>0</v>
      </c>
      <c r="AR878" t="inlineStr">
        <is>
          <t>No</t>
        </is>
      </c>
      <c r="AS878" t="inlineStr">
        <is>
          <t>Yes</t>
        </is>
      </c>
      <c r="AT878">
        <f>HYPERLINK("http://catalog.hathitrust.org/Record/000224342","HathiTrust Record")</f>
        <v/>
      </c>
      <c r="AU878">
        <f>HYPERLINK("https://creighton-primo.hosted.exlibrisgroup.com/primo-explore/search?tab=default_tab&amp;search_scope=EVERYTHING&amp;vid=01CRU&amp;lang=en_US&amp;offset=0&amp;query=any,contains,991005223089702656","Catalog Record")</f>
        <v/>
      </c>
      <c r="AV878">
        <f>HYPERLINK("http://www.worldcat.org/oclc/8248721","WorldCat Record")</f>
        <v/>
      </c>
      <c r="AW878" t="inlineStr">
        <is>
          <t>444901:eng</t>
        </is>
      </c>
      <c r="AX878" t="inlineStr">
        <is>
          <t>8248721</t>
        </is>
      </c>
      <c r="AY878" t="inlineStr">
        <is>
          <t>991005223089702656</t>
        </is>
      </c>
      <c r="AZ878" t="inlineStr">
        <is>
          <t>991005223089702656</t>
        </is>
      </c>
      <c r="BA878" t="inlineStr">
        <is>
          <t>2261761760002656</t>
        </is>
      </c>
      <c r="BB878" t="inlineStr">
        <is>
          <t>BOOK</t>
        </is>
      </c>
      <c r="BD878" t="inlineStr">
        <is>
          <t>9780707303123</t>
        </is>
      </c>
      <c r="BE878" t="inlineStr">
        <is>
          <t>32285000770957</t>
        </is>
      </c>
      <c r="BF878" t="inlineStr">
        <is>
          <t>893350932</t>
        </is>
      </c>
    </row>
    <row r="879">
      <c r="A879" t="inlineStr">
        <is>
          <t>No</t>
        </is>
      </c>
      <c r="B879" t="inlineStr">
        <is>
          <t>CURAL</t>
        </is>
      </c>
      <c r="C879" t="inlineStr">
        <is>
          <t>SHELVES</t>
        </is>
      </c>
      <c r="D879" t="inlineStr">
        <is>
          <t>PR3017 .C59 1993</t>
        </is>
      </c>
      <c r="E879" t="inlineStr">
        <is>
          <t>0                      PR 3017000C  59          1993</t>
        </is>
      </c>
      <c r="F879" t="inlineStr">
        <is>
          <t>The politics of Shakespeare / Derek Cohen.</t>
        </is>
      </c>
      <c r="H879" t="inlineStr">
        <is>
          <t>No</t>
        </is>
      </c>
      <c r="I879" t="inlineStr">
        <is>
          <t>1</t>
        </is>
      </c>
      <c r="J879" t="inlineStr">
        <is>
          <t>No</t>
        </is>
      </c>
      <c r="K879" t="inlineStr">
        <is>
          <t>No</t>
        </is>
      </c>
      <c r="L879" t="inlineStr">
        <is>
          <t>0</t>
        </is>
      </c>
      <c r="M879" t="inlineStr">
        <is>
          <t>Cohen, Derek.</t>
        </is>
      </c>
      <c r="N879" t="inlineStr">
        <is>
          <t>New York : St. Martin's Press, 1993.</t>
        </is>
      </c>
      <c r="O879" t="inlineStr">
        <is>
          <t>1993</t>
        </is>
      </c>
      <c r="Q879" t="inlineStr">
        <is>
          <t>eng</t>
        </is>
      </c>
      <c r="R879" t="inlineStr">
        <is>
          <t>nyu</t>
        </is>
      </c>
      <c r="T879" t="inlineStr">
        <is>
          <t xml:space="preserve">PR </t>
        </is>
      </c>
      <c r="U879" t="n">
        <v>2</v>
      </c>
      <c r="V879" t="n">
        <v>2</v>
      </c>
      <c r="W879" t="inlineStr">
        <is>
          <t>2007-12-08</t>
        </is>
      </c>
      <c r="X879" t="inlineStr">
        <is>
          <t>2007-12-08</t>
        </is>
      </c>
      <c r="Y879" t="inlineStr">
        <is>
          <t>1995-11-20</t>
        </is>
      </c>
      <c r="Z879" t="inlineStr">
        <is>
          <t>1995-11-20</t>
        </is>
      </c>
      <c r="AA879" t="n">
        <v>258</v>
      </c>
      <c r="AB879" t="n">
        <v>195</v>
      </c>
      <c r="AC879" t="n">
        <v>222</v>
      </c>
      <c r="AD879" t="n">
        <v>2</v>
      </c>
      <c r="AE879" t="n">
        <v>2</v>
      </c>
      <c r="AF879" t="n">
        <v>8</v>
      </c>
      <c r="AG879" t="n">
        <v>10</v>
      </c>
      <c r="AH879" t="n">
        <v>1</v>
      </c>
      <c r="AI879" t="n">
        <v>2</v>
      </c>
      <c r="AJ879" t="n">
        <v>3</v>
      </c>
      <c r="AK879" t="n">
        <v>3</v>
      </c>
      <c r="AL879" t="n">
        <v>6</v>
      </c>
      <c r="AM879" t="n">
        <v>8</v>
      </c>
      <c r="AN879" t="n">
        <v>1</v>
      </c>
      <c r="AO879" t="n">
        <v>1</v>
      </c>
      <c r="AP879" t="n">
        <v>0</v>
      </c>
      <c r="AQ879" t="n">
        <v>0</v>
      </c>
      <c r="AR879" t="inlineStr">
        <is>
          <t>No</t>
        </is>
      </c>
      <c r="AS879" t="inlineStr">
        <is>
          <t>No</t>
        </is>
      </c>
      <c r="AU879">
        <f>HYPERLINK("https://creighton-primo.hosted.exlibrisgroup.com/primo-explore/search?tab=default_tab&amp;search_scope=EVERYTHING&amp;vid=01CRU&amp;lang=en_US&amp;offset=0&amp;query=any,contains,991002179749702656","Catalog Record")</f>
        <v/>
      </c>
      <c r="AV879">
        <f>HYPERLINK("http://www.worldcat.org/oclc/28064958","WorldCat Record")</f>
        <v/>
      </c>
      <c r="AW879" t="inlineStr">
        <is>
          <t>331011:eng</t>
        </is>
      </c>
      <c r="AX879" t="inlineStr">
        <is>
          <t>28064958</t>
        </is>
      </c>
      <c r="AY879" t="inlineStr">
        <is>
          <t>991002179749702656</t>
        </is>
      </c>
      <c r="AZ879" t="inlineStr">
        <is>
          <t>991002179749702656</t>
        </is>
      </c>
      <c r="BA879" t="inlineStr">
        <is>
          <t>2255044030002656</t>
        </is>
      </c>
      <c r="BB879" t="inlineStr">
        <is>
          <t>BOOK</t>
        </is>
      </c>
      <c r="BD879" t="inlineStr">
        <is>
          <t>9780312101879</t>
        </is>
      </c>
      <c r="BE879" t="inlineStr">
        <is>
          <t>32285002104098</t>
        </is>
      </c>
      <c r="BF879" t="inlineStr">
        <is>
          <t>893703753</t>
        </is>
      </c>
    </row>
    <row r="880">
      <c r="A880" t="inlineStr">
        <is>
          <t>No</t>
        </is>
      </c>
      <c r="B880" t="inlineStr">
        <is>
          <t>CURAL</t>
        </is>
      </c>
      <c r="C880" t="inlineStr">
        <is>
          <t>SHELVES</t>
        </is>
      </c>
      <c r="D880" t="inlineStr">
        <is>
          <t>PR3017 .G3 1917a</t>
        </is>
      </c>
      <c r="E880" t="inlineStr">
        <is>
          <t>0                      PR 3017000G  3           1917a</t>
        </is>
      </c>
      <c r="F880" t="inlineStr">
        <is>
          <t>Shakespeare and the founders of liberty in America, by Charles Mills Gayley ...</t>
        </is>
      </c>
      <c r="H880" t="inlineStr">
        <is>
          <t>No</t>
        </is>
      </c>
      <c r="I880" t="inlineStr">
        <is>
          <t>1</t>
        </is>
      </c>
      <c r="J880" t="inlineStr">
        <is>
          <t>No</t>
        </is>
      </c>
      <c r="K880" t="inlineStr">
        <is>
          <t>No</t>
        </is>
      </c>
      <c r="L880" t="inlineStr">
        <is>
          <t>0</t>
        </is>
      </c>
      <c r="M880" t="inlineStr">
        <is>
          <t>Gayley, Charles Mills, 1858-1932.</t>
        </is>
      </c>
      <c r="N880" t="inlineStr">
        <is>
          <t>New York, The Macmillan Company, 1917.</t>
        </is>
      </c>
      <c r="O880" t="inlineStr">
        <is>
          <t>1917</t>
        </is>
      </c>
      <c r="Q880" t="inlineStr">
        <is>
          <t>eng</t>
        </is>
      </c>
      <c r="R880" t="inlineStr">
        <is>
          <t>nyu</t>
        </is>
      </c>
      <c r="S880" t="inlineStr">
        <is>
          <t>Semicentennial publications of the University of California, 1868-1918</t>
        </is>
      </c>
      <c r="T880" t="inlineStr">
        <is>
          <t xml:space="preserve">PR </t>
        </is>
      </c>
      <c r="U880" t="n">
        <v>2</v>
      </c>
      <c r="V880" t="n">
        <v>2</v>
      </c>
      <c r="W880" t="inlineStr">
        <is>
          <t>2010-08-26</t>
        </is>
      </c>
      <c r="X880" t="inlineStr">
        <is>
          <t>2010-08-26</t>
        </is>
      </c>
      <c r="Y880" t="inlineStr">
        <is>
          <t>1997-08-06</t>
        </is>
      </c>
      <c r="Z880" t="inlineStr">
        <is>
          <t>1997-08-06</t>
        </is>
      </c>
      <c r="AA880" t="n">
        <v>118</v>
      </c>
      <c r="AB880" t="n">
        <v>113</v>
      </c>
      <c r="AC880" t="n">
        <v>320</v>
      </c>
      <c r="AD880" t="n">
        <v>1</v>
      </c>
      <c r="AE880" t="n">
        <v>2</v>
      </c>
      <c r="AF880" t="n">
        <v>8</v>
      </c>
      <c r="AG880" t="n">
        <v>19</v>
      </c>
      <c r="AH880" t="n">
        <v>1</v>
      </c>
      <c r="AI880" t="n">
        <v>8</v>
      </c>
      <c r="AJ880" t="n">
        <v>2</v>
      </c>
      <c r="AK880" t="n">
        <v>5</v>
      </c>
      <c r="AL880" t="n">
        <v>5</v>
      </c>
      <c r="AM880" t="n">
        <v>10</v>
      </c>
      <c r="AN880" t="n">
        <v>0</v>
      </c>
      <c r="AO880" t="n">
        <v>1</v>
      </c>
      <c r="AP880" t="n">
        <v>0</v>
      </c>
      <c r="AQ880" t="n">
        <v>0</v>
      </c>
      <c r="AR880" t="inlineStr">
        <is>
          <t>Yes</t>
        </is>
      </c>
      <c r="AS880" t="inlineStr">
        <is>
          <t>No</t>
        </is>
      </c>
      <c r="AT880">
        <f>HYPERLINK("http://catalog.hathitrust.org/Record/006504350","HathiTrust Record")</f>
        <v/>
      </c>
      <c r="AU880">
        <f>HYPERLINK("https://creighton-primo.hosted.exlibrisgroup.com/primo-explore/search?tab=default_tab&amp;search_scope=EVERYTHING&amp;vid=01CRU&amp;lang=en_US&amp;offset=0&amp;query=any,contains,991005142539702656","Catalog Record")</f>
        <v/>
      </c>
      <c r="AV880">
        <f>HYPERLINK("http://www.worldcat.org/oclc/7632115","WorldCat Record")</f>
        <v/>
      </c>
      <c r="AW880" t="inlineStr">
        <is>
          <t>2317421:eng</t>
        </is>
      </c>
      <c r="AX880" t="inlineStr">
        <is>
          <t>7632115</t>
        </is>
      </c>
      <c r="AY880" t="inlineStr">
        <is>
          <t>991005142539702656</t>
        </is>
      </c>
      <c r="AZ880" t="inlineStr">
        <is>
          <t>991005142539702656</t>
        </is>
      </c>
      <c r="BA880" t="inlineStr">
        <is>
          <t>2264308970002656</t>
        </is>
      </c>
      <c r="BB880" t="inlineStr">
        <is>
          <t>BOOK</t>
        </is>
      </c>
      <c r="BE880" t="inlineStr">
        <is>
          <t>32285003021671</t>
        </is>
      </c>
      <c r="BF880" t="inlineStr">
        <is>
          <t>893600691</t>
        </is>
      </c>
    </row>
    <row r="881">
      <c r="A881" t="inlineStr">
        <is>
          <t>No</t>
        </is>
      </c>
      <c r="B881" t="inlineStr">
        <is>
          <t>CURAL</t>
        </is>
      </c>
      <c r="C881" t="inlineStr">
        <is>
          <t>SHELVES</t>
        </is>
      </c>
      <c r="D881" t="inlineStr">
        <is>
          <t>PR3017 .H36 1992</t>
        </is>
      </c>
      <c r="E881" t="inlineStr">
        <is>
          <t>0                      PR 3017000H  36          1992</t>
        </is>
      </c>
      <c r="F881" t="inlineStr">
        <is>
          <t>Shakespeare and the politics of Protestant England / Donna B. Hamilton.</t>
        </is>
      </c>
      <c r="H881" t="inlineStr">
        <is>
          <t>No</t>
        </is>
      </c>
      <c r="I881" t="inlineStr">
        <is>
          <t>1</t>
        </is>
      </c>
      <c r="J881" t="inlineStr">
        <is>
          <t>No</t>
        </is>
      </c>
      <c r="K881" t="inlineStr">
        <is>
          <t>No</t>
        </is>
      </c>
      <c r="L881" t="inlineStr">
        <is>
          <t>0</t>
        </is>
      </c>
      <c r="M881" t="inlineStr">
        <is>
          <t>Hamilton, Donna B.</t>
        </is>
      </c>
      <c r="N881" t="inlineStr">
        <is>
          <t>Lexington, Ky. : University Press of Kentucky, c1992.</t>
        </is>
      </c>
      <c r="O881" t="inlineStr">
        <is>
          <t>1992</t>
        </is>
      </c>
      <c r="Q881" t="inlineStr">
        <is>
          <t>eng</t>
        </is>
      </c>
      <c r="R881" t="inlineStr">
        <is>
          <t>kyu</t>
        </is>
      </c>
      <c r="T881" t="inlineStr">
        <is>
          <t xml:space="preserve">PR </t>
        </is>
      </c>
      <c r="U881" t="n">
        <v>4</v>
      </c>
      <c r="V881" t="n">
        <v>4</v>
      </c>
      <c r="W881" t="inlineStr">
        <is>
          <t>2010-04-06</t>
        </is>
      </c>
      <c r="X881" t="inlineStr">
        <is>
          <t>2010-04-06</t>
        </is>
      </c>
      <c r="Y881" t="inlineStr">
        <is>
          <t>1993-10-08</t>
        </is>
      </c>
      <c r="Z881" t="inlineStr">
        <is>
          <t>1993-10-08</t>
        </is>
      </c>
      <c r="AA881" t="n">
        <v>475</v>
      </c>
      <c r="AB881" t="n">
        <v>394</v>
      </c>
      <c r="AC881" t="n">
        <v>417</v>
      </c>
      <c r="AD881" t="n">
        <v>3</v>
      </c>
      <c r="AE881" t="n">
        <v>3</v>
      </c>
      <c r="AF881" t="n">
        <v>24</v>
      </c>
      <c r="AG881" t="n">
        <v>24</v>
      </c>
      <c r="AH881" t="n">
        <v>8</v>
      </c>
      <c r="AI881" t="n">
        <v>8</v>
      </c>
      <c r="AJ881" t="n">
        <v>8</v>
      </c>
      <c r="AK881" t="n">
        <v>8</v>
      </c>
      <c r="AL881" t="n">
        <v>13</v>
      </c>
      <c r="AM881" t="n">
        <v>13</v>
      </c>
      <c r="AN881" t="n">
        <v>2</v>
      </c>
      <c r="AO881" t="n">
        <v>2</v>
      </c>
      <c r="AP881" t="n">
        <v>0</v>
      </c>
      <c r="AQ881" t="n">
        <v>0</v>
      </c>
      <c r="AR881" t="inlineStr">
        <is>
          <t>No</t>
        </is>
      </c>
      <c r="AS881" t="inlineStr">
        <is>
          <t>No</t>
        </is>
      </c>
      <c r="AU881">
        <f>HYPERLINK("https://creighton-primo.hosted.exlibrisgroup.com/primo-explore/search?tab=default_tab&amp;search_scope=EVERYTHING&amp;vid=01CRU&amp;lang=en_US&amp;offset=0&amp;query=any,contains,991001979999702656","Catalog Record")</f>
        <v/>
      </c>
      <c r="AV881">
        <f>HYPERLINK("http://www.worldcat.org/oclc/25130892","WorldCat Record")</f>
        <v/>
      </c>
      <c r="AW881" t="inlineStr">
        <is>
          <t>30817775:eng</t>
        </is>
      </c>
      <c r="AX881" t="inlineStr">
        <is>
          <t>25130892</t>
        </is>
      </c>
      <c r="AY881" t="inlineStr">
        <is>
          <t>991001979999702656</t>
        </is>
      </c>
      <c r="AZ881" t="inlineStr">
        <is>
          <t>991001979999702656</t>
        </is>
      </c>
      <c r="BA881" t="inlineStr">
        <is>
          <t>2265557430002656</t>
        </is>
      </c>
      <c r="BB881" t="inlineStr">
        <is>
          <t>BOOK</t>
        </is>
      </c>
      <c r="BD881" t="inlineStr">
        <is>
          <t>9780813117904</t>
        </is>
      </c>
      <c r="BE881" t="inlineStr">
        <is>
          <t>32285001769958</t>
        </is>
      </c>
      <c r="BF881" t="inlineStr">
        <is>
          <t>893773083</t>
        </is>
      </c>
    </row>
    <row r="882">
      <c r="A882" t="inlineStr">
        <is>
          <t>No</t>
        </is>
      </c>
      <c r="B882" t="inlineStr">
        <is>
          <t>CURAL</t>
        </is>
      </c>
      <c r="C882" t="inlineStr">
        <is>
          <t>SHELVES</t>
        </is>
      </c>
      <c r="D882" t="inlineStr">
        <is>
          <t>PR3017 .J3 1969a</t>
        </is>
      </c>
      <c r="E882" t="inlineStr">
        <is>
          <t>0                      PR 3017000J  3           1969a</t>
        </is>
      </c>
      <c r="F882" t="inlineStr">
        <is>
          <t>The hidden Shakespeare ; a study of the poet's undercover activity in the theatre [by] Thomas Jameson.</t>
        </is>
      </c>
      <c r="H882" t="inlineStr">
        <is>
          <t>No</t>
        </is>
      </c>
      <c r="I882" t="inlineStr">
        <is>
          <t>1</t>
        </is>
      </c>
      <c r="J882" t="inlineStr">
        <is>
          <t>No</t>
        </is>
      </c>
      <c r="K882" t="inlineStr">
        <is>
          <t>No</t>
        </is>
      </c>
      <c r="L882" t="inlineStr">
        <is>
          <t>0</t>
        </is>
      </c>
      <c r="M882" t="inlineStr">
        <is>
          <t>Jameson, Thomas H. (Thomas Hugh), 1911-</t>
        </is>
      </c>
      <c r="N882" t="inlineStr">
        <is>
          <t>[New York] Minerva Press, [c1967, 1969 printing]</t>
        </is>
      </c>
      <c r="O882" t="inlineStr">
        <is>
          <t>1967</t>
        </is>
      </c>
      <c r="Q882" t="inlineStr">
        <is>
          <t>eng</t>
        </is>
      </c>
      <c r="R882" t="inlineStr">
        <is>
          <t>nyu</t>
        </is>
      </c>
      <c r="T882" t="inlineStr">
        <is>
          <t xml:space="preserve">PR </t>
        </is>
      </c>
      <c r="U882" t="n">
        <v>5</v>
      </c>
      <c r="V882" t="n">
        <v>5</v>
      </c>
      <c r="W882" t="inlineStr">
        <is>
          <t>1994-10-18</t>
        </is>
      </c>
      <c r="X882" t="inlineStr">
        <is>
          <t>1994-10-18</t>
        </is>
      </c>
      <c r="Y882" t="inlineStr">
        <is>
          <t>1991-10-03</t>
        </is>
      </c>
      <c r="Z882" t="inlineStr">
        <is>
          <t>1991-10-03</t>
        </is>
      </c>
      <c r="AA882" t="n">
        <v>47</v>
      </c>
      <c r="AB882" t="n">
        <v>42</v>
      </c>
      <c r="AC882" t="n">
        <v>639</v>
      </c>
      <c r="AD882" t="n">
        <v>2</v>
      </c>
      <c r="AE882" t="n">
        <v>7</v>
      </c>
      <c r="AF882" t="n">
        <v>4</v>
      </c>
      <c r="AG882" t="n">
        <v>27</v>
      </c>
      <c r="AH882" t="n">
        <v>1</v>
      </c>
      <c r="AI882" t="n">
        <v>10</v>
      </c>
      <c r="AJ882" t="n">
        <v>1</v>
      </c>
      <c r="AK882" t="n">
        <v>5</v>
      </c>
      <c r="AL882" t="n">
        <v>2</v>
      </c>
      <c r="AM882" t="n">
        <v>15</v>
      </c>
      <c r="AN882" t="n">
        <v>1</v>
      </c>
      <c r="AO882" t="n">
        <v>4</v>
      </c>
      <c r="AP882" t="n">
        <v>0</v>
      </c>
      <c r="AQ882" t="n">
        <v>0</v>
      </c>
      <c r="AR882" t="inlineStr">
        <is>
          <t>No</t>
        </is>
      </c>
      <c r="AS882" t="inlineStr">
        <is>
          <t>No</t>
        </is>
      </c>
      <c r="AU882">
        <f>HYPERLINK("https://creighton-primo.hosted.exlibrisgroup.com/primo-explore/search?tab=default_tab&amp;search_scope=EVERYTHING&amp;vid=01CRU&amp;lang=en_US&amp;offset=0&amp;query=any,contains,991004785629702656","Catalog Record")</f>
        <v/>
      </c>
      <c r="AV882">
        <f>HYPERLINK("http://www.worldcat.org/oclc/5140521","WorldCat Record")</f>
        <v/>
      </c>
      <c r="AW882" t="inlineStr">
        <is>
          <t>1424709:eng</t>
        </is>
      </c>
      <c r="AX882" t="inlineStr">
        <is>
          <t>5140521</t>
        </is>
      </c>
      <c r="AY882" t="inlineStr">
        <is>
          <t>991004785629702656</t>
        </is>
      </c>
      <c r="AZ882" t="inlineStr">
        <is>
          <t>991004785629702656</t>
        </is>
      </c>
      <c r="BA882" t="inlineStr">
        <is>
          <t>2258903890002656</t>
        </is>
      </c>
      <c r="BB882" t="inlineStr">
        <is>
          <t>BOOK</t>
        </is>
      </c>
      <c r="BE882" t="inlineStr">
        <is>
          <t>32285000770965</t>
        </is>
      </c>
      <c r="BF882" t="inlineStr">
        <is>
          <t>893418017</t>
        </is>
      </c>
    </row>
    <row r="883">
      <c r="A883" t="inlineStr">
        <is>
          <t>No</t>
        </is>
      </c>
      <c r="B883" t="inlineStr">
        <is>
          <t>CURAL</t>
        </is>
      </c>
      <c r="C883" t="inlineStr">
        <is>
          <t>SHELVES</t>
        </is>
      </c>
      <c r="D883" t="inlineStr">
        <is>
          <t>PR3017 .P5 1940a</t>
        </is>
      </c>
      <c r="E883" t="inlineStr">
        <is>
          <t>0                      PR 3017000P  5           1940a</t>
        </is>
      </c>
      <c r="F883" t="inlineStr">
        <is>
          <t>The state in Shakespeare's Greek and Roman plays / by James Emerson Phillips, Jr.</t>
        </is>
      </c>
      <c r="H883" t="inlineStr">
        <is>
          <t>No</t>
        </is>
      </c>
      <c r="I883" t="inlineStr">
        <is>
          <t>1</t>
        </is>
      </c>
      <c r="J883" t="inlineStr">
        <is>
          <t>No</t>
        </is>
      </c>
      <c r="K883" t="inlineStr">
        <is>
          <t>No</t>
        </is>
      </c>
      <c r="L883" t="inlineStr">
        <is>
          <t>0</t>
        </is>
      </c>
      <c r="M883" t="inlineStr">
        <is>
          <t>Phillips, James Emerson, 1912-1979.</t>
        </is>
      </c>
      <c r="N883" t="inlineStr">
        <is>
          <t>New York : Columbia University Press, 1940.</t>
        </is>
      </c>
      <c r="O883" t="inlineStr">
        <is>
          <t>1940</t>
        </is>
      </c>
      <c r="Q883" t="inlineStr">
        <is>
          <t>eng</t>
        </is>
      </c>
      <c r="R883" t="inlineStr">
        <is>
          <t>nyu</t>
        </is>
      </c>
      <c r="S883" t="inlineStr">
        <is>
          <t>Columbia University studies in English and comparative literature ; no. 149</t>
        </is>
      </c>
      <c r="T883" t="inlineStr">
        <is>
          <t xml:space="preserve">PR </t>
        </is>
      </c>
      <c r="U883" t="n">
        <v>4</v>
      </c>
      <c r="V883" t="n">
        <v>4</v>
      </c>
      <c r="W883" t="inlineStr">
        <is>
          <t>2010-10-07</t>
        </is>
      </c>
      <c r="X883" t="inlineStr">
        <is>
          <t>2010-10-07</t>
        </is>
      </c>
      <c r="Y883" t="inlineStr">
        <is>
          <t>1997-08-06</t>
        </is>
      </c>
      <c r="Z883" t="inlineStr">
        <is>
          <t>1997-08-06</t>
        </is>
      </c>
      <c r="AA883" t="n">
        <v>223</v>
      </c>
      <c r="AB883" t="n">
        <v>191</v>
      </c>
      <c r="AC883" t="n">
        <v>452</v>
      </c>
      <c r="AD883" t="n">
        <v>3</v>
      </c>
      <c r="AE883" t="n">
        <v>6</v>
      </c>
      <c r="AF883" t="n">
        <v>14</v>
      </c>
      <c r="AG883" t="n">
        <v>24</v>
      </c>
      <c r="AH883" t="n">
        <v>5</v>
      </c>
      <c r="AI883" t="n">
        <v>8</v>
      </c>
      <c r="AJ883" t="n">
        <v>2</v>
      </c>
      <c r="AK883" t="n">
        <v>5</v>
      </c>
      <c r="AL883" t="n">
        <v>8</v>
      </c>
      <c r="AM883" t="n">
        <v>11</v>
      </c>
      <c r="AN883" t="n">
        <v>2</v>
      </c>
      <c r="AO883" t="n">
        <v>5</v>
      </c>
      <c r="AP883" t="n">
        <v>0</v>
      </c>
      <c r="AQ883" t="n">
        <v>0</v>
      </c>
      <c r="AR883" t="inlineStr">
        <is>
          <t>No</t>
        </is>
      </c>
      <c r="AS883" t="inlineStr">
        <is>
          <t>Yes</t>
        </is>
      </c>
      <c r="AT883">
        <f>HYPERLINK("http://catalog.hathitrust.org/Record/001112270","HathiTrust Record")</f>
        <v/>
      </c>
      <c r="AU883">
        <f>HYPERLINK("https://creighton-primo.hosted.exlibrisgroup.com/primo-explore/search?tab=default_tab&amp;search_scope=EVERYTHING&amp;vid=01CRU&amp;lang=en_US&amp;offset=0&amp;query=any,contains,991002335779702656","Catalog Record")</f>
        <v/>
      </c>
      <c r="AV883">
        <f>HYPERLINK("http://www.worldcat.org/oclc/323147","WorldCat Record")</f>
        <v/>
      </c>
      <c r="AW883" t="inlineStr">
        <is>
          <t>1406209:eng</t>
        </is>
      </c>
      <c r="AX883" t="inlineStr">
        <is>
          <t>323147</t>
        </is>
      </c>
      <c r="AY883" t="inlineStr">
        <is>
          <t>991002335779702656</t>
        </is>
      </c>
      <c r="AZ883" t="inlineStr">
        <is>
          <t>991002335779702656</t>
        </is>
      </c>
      <c r="BA883" t="inlineStr">
        <is>
          <t>2256691860002656</t>
        </is>
      </c>
      <c r="BB883" t="inlineStr">
        <is>
          <t>BOOK</t>
        </is>
      </c>
      <c r="BE883" t="inlineStr">
        <is>
          <t>32285003021689</t>
        </is>
      </c>
      <c r="BF883" t="inlineStr">
        <is>
          <t>893779687</t>
        </is>
      </c>
    </row>
    <row r="884">
      <c r="A884" t="inlineStr">
        <is>
          <t>No</t>
        </is>
      </c>
      <c r="B884" t="inlineStr">
        <is>
          <t>CURAL</t>
        </is>
      </c>
      <c r="C884" t="inlineStr">
        <is>
          <t>SHELVES</t>
        </is>
      </c>
      <c r="D884" t="inlineStr">
        <is>
          <t>PR3017 .R48 1985</t>
        </is>
      </c>
      <c r="E884" t="inlineStr">
        <is>
          <t>0                      PR 3017000R  48          1985</t>
        </is>
      </c>
      <c r="F884" t="inlineStr">
        <is>
          <t>Shakespeare's defense of poetry : A midsummer night's dream and The tempest / Diana Akers Rhoads.</t>
        </is>
      </c>
      <c r="H884" t="inlineStr">
        <is>
          <t>No</t>
        </is>
      </c>
      <c r="I884" t="inlineStr">
        <is>
          <t>1</t>
        </is>
      </c>
      <c r="J884" t="inlineStr">
        <is>
          <t>No</t>
        </is>
      </c>
      <c r="K884" t="inlineStr">
        <is>
          <t>No</t>
        </is>
      </c>
      <c r="L884" t="inlineStr">
        <is>
          <t>0</t>
        </is>
      </c>
      <c r="M884" t="inlineStr">
        <is>
          <t>Rhoads, Diana Akers, 1944-</t>
        </is>
      </c>
      <c r="N884" t="inlineStr">
        <is>
          <t>Lanham, MD : University Press of America, c1985.</t>
        </is>
      </c>
      <c r="O884" t="inlineStr">
        <is>
          <t>1985</t>
        </is>
      </c>
      <c r="Q884" t="inlineStr">
        <is>
          <t>eng</t>
        </is>
      </c>
      <c r="R884" t="inlineStr">
        <is>
          <t>mdu</t>
        </is>
      </c>
      <c r="T884" t="inlineStr">
        <is>
          <t xml:space="preserve">PR </t>
        </is>
      </c>
      <c r="U884" t="n">
        <v>3</v>
      </c>
      <c r="V884" t="n">
        <v>3</v>
      </c>
      <c r="W884" t="inlineStr">
        <is>
          <t>2006-04-04</t>
        </is>
      </c>
      <c r="X884" t="inlineStr">
        <is>
          <t>2006-04-04</t>
        </is>
      </c>
      <c r="Y884" t="inlineStr">
        <is>
          <t>1991-10-03</t>
        </is>
      </c>
      <c r="Z884" t="inlineStr">
        <is>
          <t>1991-10-03</t>
        </is>
      </c>
      <c r="AA884" t="n">
        <v>217</v>
      </c>
      <c r="AB884" t="n">
        <v>166</v>
      </c>
      <c r="AC884" t="n">
        <v>174</v>
      </c>
      <c r="AD884" t="n">
        <v>3</v>
      </c>
      <c r="AE884" t="n">
        <v>3</v>
      </c>
      <c r="AF884" t="n">
        <v>9</v>
      </c>
      <c r="AG884" t="n">
        <v>9</v>
      </c>
      <c r="AH884" t="n">
        <v>1</v>
      </c>
      <c r="AI884" t="n">
        <v>1</v>
      </c>
      <c r="AJ884" t="n">
        <v>1</v>
      </c>
      <c r="AK884" t="n">
        <v>1</v>
      </c>
      <c r="AL884" t="n">
        <v>7</v>
      </c>
      <c r="AM884" t="n">
        <v>7</v>
      </c>
      <c r="AN884" t="n">
        <v>2</v>
      </c>
      <c r="AO884" t="n">
        <v>2</v>
      </c>
      <c r="AP884" t="n">
        <v>0</v>
      </c>
      <c r="AQ884" t="n">
        <v>0</v>
      </c>
      <c r="AR884" t="inlineStr">
        <is>
          <t>No</t>
        </is>
      </c>
      <c r="AS884" t="inlineStr">
        <is>
          <t>Yes</t>
        </is>
      </c>
      <c r="AT884">
        <f>HYPERLINK("http://catalog.hathitrust.org/Record/000669013","HathiTrust Record")</f>
        <v/>
      </c>
      <c r="AU884">
        <f>HYPERLINK("https://creighton-primo.hosted.exlibrisgroup.com/primo-explore/search?tab=default_tab&amp;search_scope=EVERYTHING&amp;vid=01CRU&amp;lang=en_US&amp;offset=0&amp;query=any,contains,991000701869702656","Catalog Record")</f>
        <v/>
      </c>
      <c r="AV884">
        <f>HYPERLINK("http://www.worldcat.org/oclc/12550769","WorldCat Record")</f>
        <v/>
      </c>
      <c r="AW884" t="inlineStr">
        <is>
          <t>4845029:eng</t>
        </is>
      </c>
      <c r="AX884" t="inlineStr">
        <is>
          <t>12550769</t>
        </is>
      </c>
      <c r="AY884" t="inlineStr">
        <is>
          <t>991000701869702656</t>
        </is>
      </c>
      <c r="AZ884" t="inlineStr">
        <is>
          <t>991000701869702656</t>
        </is>
      </c>
      <c r="BA884" t="inlineStr">
        <is>
          <t>2267253500002656</t>
        </is>
      </c>
      <c r="BB884" t="inlineStr">
        <is>
          <t>BOOK</t>
        </is>
      </c>
      <c r="BD884" t="inlineStr">
        <is>
          <t>9780819149800</t>
        </is>
      </c>
      <c r="BE884" t="inlineStr">
        <is>
          <t>32285000770999</t>
        </is>
      </c>
      <c r="BF884" t="inlineStr">
        <is>
          <t>893327508</t>
        </is>
      </c>
    </row>
    <row r="885">
      <c r="A885" t="inlineStr">
        <is>
          <t>No</t>
        </is>
      </c>
      <c r="B885" t="inlineStr">
        <is>
          <t>CURAL</t>
        </is>
      </c>
      <c r="C885" t="inlineStr">
        <is>
          <t>SHELVES</t>
        </is>
      </c>
      <c r="D885" t="inlineStr">
        <is>
          <t>PR3017 .S5 1981</t>
        </is>
      </c>
      <c r="E885" t="inlineStr">
        <is>
          <t>0                      PR 3017000S  5           1981</t>
        </is>
      </c>
      <c r="F885" t="inlineStr">
        <is>
          <t>Shakespeare as political thinker / edited by John Alvis and Thomas G. West.</t>
        </is>
      </c>
      <c r="H885" t="inlineStr">
        <is>
          <t>No</t>
        </is>
      </c>
      <c r="I885" t="inlineStr">
        <is>
          <t>1</t>
        </is>
      </c>
      <c r="J885" t="inlineStr">
        <is>
          <t>No</t>
        </is>
      </c>
      <c r="K885" t="inlineStr">
        <is>
          <t>No</t>
        </is>
      </c>
      <c r="L885" t="inlineStr">
        <is>
          <t>0</t>
        </is>
      </c>
      <c r="N885" t="inlineStr">
        <is>
          <t>Durham, N.C. : Carolina Academic Press, 1981.</t>
        </is>
      </c>
      <c r="O885" t="inlineStr">
        <is>
          <t>1981</t>
        </is>
      </c>
      <c r="Q885" t="inlineStr">
        <is>
          <t>eng</t>
        </is>
      </c>
      <c r="R885" t="inlineStr">
        <is>
          <t>ncu</t>
        </is>
      </c>
      <c r="T885" t="inlineStr">
        <is>
          <t xml:space="preserve">PR </t>
        </is>
      </c>
      <c r="U885" t="n">
        <v>2</v>
      </c>
      <c r="V885" t="n">
        <v>2</v>
      </c>
      <c r="W885" t="inlineStr">
        <is>
          <t>1994-11-18</t>
        </is>
      </c>
      <c r="X885" t="inlineStr">
        <is>
          <t>1994-11-18</t>
        </is>
      </c>
      <c r="Y885" t="inlineStr">
        <is>
          <t>1991-10-03</t>
        </is>
      </c>
      <c r="Z885" t="inlineStr">
        <is>
          <t>1991-10-03</t>
        </is>
      </c>
      <c r="AA885" t="n">
        <v>347</v>
      </c>
      <c r="AB885" t="n">
        <v>282</v>
      </c>
      <c r="AC885" t="n">
        <v>526</v>
      </c>
      <c r="AD885" t="n">
        <v>2</v>
      </c>
      <c r="AE885" t="n">
        <v>3</v>
      </c>
      <c r="AF885" t="n">
        <v>14</v>
      </c>
      <c r="AG885" t="n">
        <v>31</v>
      </c>
      <c r="AH885" t="n">
        <v>5</v>
      </c>
      <c r="AI885" t="n">
        <v>14</v>
      </c>
      <c r="AJ885" t="n">
        <v>1</v>
      </c>
      <c r="AK885" t="n">
        <v>5</v>
      </c>
      <c r="AL885" t="n">
        <v>10</v>
      </c>
      <c r="AM885" t="n">
        <v>16</v>
      </c>
      <c r="AN885" t="n">
        <v>1</v>
      </c>
      <c r="AO885" t="n">
        <v>2</v>
      </c>
      <c r="AP885" t="n">
        <v>0</v>
      </c>
      <c r="AQ885" t="n">
        <v>1</v>
      </c>
      <c r="AR885" t="inlineStr">
        <is>
          <t>No</t>
        </is>
      </c>
      <c r="AS885" t="inlineStr">
        <is>
          <t>Yes</t>
        </is>
      </c>
      <c r="AT885">
        <f>HYPERLINK("http://catalog.hathitrust.org/Record/000304843","HathiTrust Record")</f>
        <v/>
      </c>
      <c r="AU885">
        <f>HYPERLINK("https://creighton-primo.hosted.exlibrisgroup.com/primo-explore/search?tab=default_tab&amp;search_scope=EVERYTHING&amp;vid=01CRU&amp;lang=en_US&amp;offset=0&amp;query=any,contains,991005178999702656","Catalog Record")</f>
        <v/>
      </c>
      <c r="AV885">
        <f>HYPERLINK("http://www.worldcat.org/oclc/7935840","WorldCat Record")</f>
        <v/>
      </c>
      <c r="AW885" t="inlineStr">
        <is>
          <t>507927140:eng</t>
        </is>
      </c>
      <c r="AX885" t="inlineStr">
        <is>
          <t>7935840</t>
        </is>
      </c>
      <c r="AY885" t="inlineStr">
        <is>
          <t>991005178999702656</t>
        </is>
      </c>
      <c r="AZ885" t="inlineStr">
        <is>
          <t>991005178999702656</t>
        </is>
      </c>
      <c r="BA885" t="inlineStr">
        <is>
          <t>2270122040002656</t>
        </is>
      </c>
      <c r="BB885" t="inlineStr">
        <is>
          <t>BOOK</t>
        </is>
      </c>
      <c r="BD885" t="inlineStr">
        <is>
          <t>9780890890967</t>
        </is>
      </c>
      <c r="BE885" t="inlineStr">
        <is>
          <t>32285000771005</t>
        </is>
      </c>
      <c r="BF885" t="inlineStr">
        <is>
          <t>893533319</t>
        </is>
      </c>
    </row>
    <row r="886">
      <c r="A886" t="inlineStr">
        <is>
          <t>No</t>
        </is>
      </c>
      <c r="B886" t="inlineStr">
        <is>
          <t>CURAL</t>
        </is>
      </c>
      <c r="C886" t="inlineStr">
        <is>
          <t>SHELVES</t>
        </is>
      </c>
      <c r="D886" t="inlineStr">
        <is>
          <t>PR3024 .C6 1993</t>
        </is>
      </c>
      <c r="E886" t="inlineStr">
        <is>
          <t>0                      PR 3024000C  6           1993</t>
        </is>
      </c>
      <c r="F886" t="inlineStr">
        <is>
          <t>Shakespeare's culture of violence / Derek Cohen.</t>
        </is>
      </c>
      <c r="H886" t="inlineStr">
        <is>
          <t>No</t>
        </is>
      </c>
      <c r="I886" t="inlineStr">
        <is>
          <t>1</t>
        </is>
      </c>
      <c r="J886" t="inlineStr">
        <is>
          <t>No</t>
        </is>
      </c>
      <c r="K886" t="inlineStr">
        <is>
          <t>No</t>
        </is>
      </c>
      <c r="L886" t="inlineStr">
        <is>
          <t>0</t>
        </is>
      </c>
      <c r="M886" t="inlineStr">
        <is>
          <t>Cohen, Derek.</t>
        </is>
      </c>
      <c r="N886" t="inlineStr">
        <is>
          <t>New York, N.Y. : St. Martin's Press, 1993.</t>
        </is>
      </c>
      <c r="O886" t="inlineStr">
        <is>
          <t>1993</t>
        </is>
      </c>
      <c r="Q886" t="inlineStr">
        <is>
          <t>eng</t>
        </is>
      </c>
      <c r="R886" t="inlineStr">
        <is>
          <t>nyu</t>
        </is>
      </c>
      <c r="T886" t="inlineStr">
        <is>
          <t xml:space="preserve">PR </t>
        </is>
      </c>
      <c r="U886" t="n">
        <v>3</v>
      </c>
      <c r="V886" t="n">
        <v>3</v>
      </c>
      <c r="W886" t="inlineStr">
        <is>
          <t>2004-11-17</t>
        </is>
      </c>
      <c r="X886" t="inlineStr">
        <is>
          <t>2004-11-17</t>
        </is>
      </c>
      <c r="Y886" t="inlineStr">
        <is>
          <t>1996-02-02</t>
        </is>
      </c>
      <c r="Z886" t="inlineStr">
        <is>
          <t>1996-02-02</t>
        </is>
      </c>
      <c r="AA886" t="n">
        <v>312</v>
      </c>
      <c r="AB886" t="n">
        <v>240</v>
      </c>
      <c r="AC886" t="n">
        <v>261</v>
      </c>
      <c r="AD886" t="n">
        <v>3</v>
      </c>
      <c r="AE886" t="n">
        <v>3</v>
      </c>
      <c r="AF886" t="n">
        <v>13</v>
      </c>
      <c r="AG886" t="n">
        <v>14</v>
      </c>
      <c r="AH886" t="n">
        <v>4</v>
      </c>
      <c r="AI886" t="n">
        <v>5</v>
      </c>
      <c r="AJ886" t="n">
        <v>4</v>
      </c>
      <c r="AK886" t="n">
        <v>4</v>
      </c>
      <c r="AL886" t="n">
        <v>5</v>
      </c>
      <c r="AM886" t="n">
        <v>6</v>
      </c>
      <c r="AN886" t="n">
        <v>2</v>
      </c>
      <c r="AO886" t="n">
        <v>2</v>
      </c>
      <c r="AP886" t="n">
        <v>0</v>
      </c>
      <c r="AQ886" t="n">
        <v>0</v>
      </c>
      <c r="AR886" t="inlineStr">
        <is>
          <t>No</t>
        </is>
      </c>
      <c r="AS886" t="inlineStr">
        <is>
          <t>No</t>
        </is>
      </c>
      <c r="AU886">
        <f>HYPERLINK("https://creighton-primo.hosted.exlibrisgroup.com/primo-explore/search?tab=default_tab&amp;search_scope=EVERYTHING&amp;vid=01CRU&amp;lang=en_US&amp;offset=0&amp;query=any,contains,991001925049702656","Catalog Record")</f>
        <v/>
      </c>
      <c r="AV886">
        <f>HYPERLINK("http://www.worldcat.org/oclc/24318552","WorldCat Record")</f>
        <v/>
      </c>
      <c r="AW886" t="inlineStr">
        <is>
          <t>26393818:eng</t>
        </is>
      </c>
      <c r="AX886" t="inlineStr">
        <is>
          <t>24318552</t>
        </is>
      </c>
      <c r="AY886" t="inlineStr">
        <is>
          <t>991001925049702656</t>
        </is>
      </c>
      <c r="AZ886" t="inlineStr">
        <is>
          <t>991001925049702656</t>
        </is>
      </c>
      <c r="BA886" t="inlineStr">
        <is>
          <t>2272671150002656</t>
        </is>
      </c>
      <c r="BB886" t="inlineStr">
        <is>
          <t>BOOK</t>
        </is>
      </c>
      <c r="BD886" t="inlineStr">
        <is>
          <t>9780312072582</t>
        </is>
      </c>
      <c r="BE886" t="inlineStr">
        <is>
          <t>32285002127719</t>
        </is>
      </c>
      <c r="BF886" t="inlineStr">
        <is>
          <t>893872893</t>
        </is>
      </c>
    </row>
    <row r="887">
      <c r="A887" t="inlineStr">
        <is>
          <t>No</t>
        </is>
      </c>
      <c r="B887" t="inlineStr">
        <is>
          <t>CURAL</t>
        </is>
      </c>
      <c r="C887" t="inlineStr">
        <is>
          <t>SHELVES</t>
        </is>
      </c>
      <c r="D887" t="inlineStr">
        <is>
          <t>PR3024 .E7 1985</t>
        </is>
      </c>
      <c r="E887" t="inlineStr">
        <is>
          <t>0                      PR 3024000E  7           1985</t>
        </is>
      </c>
      <c r="F887" t="inlineStr">
        <is>
          <t>Patriarchal structures in Shakespeare's drama / Peter Erickson.</t>
        </is>
      </c>
      <c r="H887" t="inlineStr">
        <is>
          <t>No</t>
        </is>
      </c>
      <c r="I887" t="inlineStr">
        <is>
          <t>1</t>
        </is>
      </c>
      <c r="J887" t="inlineStr">
        <is>
          <t>No</t>
        </is>
      </c>
      <c r="K887" t="inlineStr">
        <is>
          <t>No</t>
        </is>
      </c>
      <c r="L887" t="inlineStr">
        <is>
          <t>0</t>
        </is>
      </c>
      <c r="M887" t="inlineStr">
        <is>
          <t>Erickson, Peter.</t>
        </is>
      </c>
      <c r="N887" t="inlineStr">
        <is>
          <t>Berkeley : University of California Press, c1985.</t>
        </is>
      </c>
      <c r="O887" t="inlineStr">
        <is>
          <t>1985</t>
        </is>
      </c>
      <c r="Q887" t="inlineStr">
        <is>
          <t>eng</t>
        </is>
      </c>
      <c r="R887" t="inlineStr">
        <is>
          <t>cau</t>
        </is>
      </c>
      <c r="T887" t="inlineStr">
        <is>
          <t xml:space="preserve">PR </t>
        </is>
      </c>
      <c r="U887" t="n">
        <v>6</v>
      </c>
      <c r="V887" t="n">
        <v>6</v>
      </c>
      <c r="W887" t="inlineStr">
        <is>
          <t>2002-04-19</t>
        </is>
      </c>
      <c r="X887" t="inlineStr">
        <is>
          <t>2002-04-19</t>
        </is>
      </c>
      <c r="Y887" t="inlineStr">
        <is>
          <t>1991-10-03</t>
        </is>
      </c>
      <c r="Z887" t="inlineStr">
        <is>
          <t>1991-10-03</t>
        </is>
      </c>
      <c r="AA887" t="n">
        <v>586</v>
      </c>
      <c r="AB887" t="n">
        <v>462</v>
      </c>
      <c r="AC887" t="n">
        <v>463</v>
      </c>
      <c r="AD887" t="n">
        <v>4</v>
      </c>
      <c r="AE887" t="n">
        <v>4</v>
      </c>
      <c r="AF887" t="n">
        <v>28</v>
      </c>
      <c r="AG887" t="n">
        <v>28</v>
      </c>
      <c r="AH887" t="n">
        <v>11</v>
      </c>
      <c r="AI887" t="n">
        <v>11</v>
      </c>
      <c r="AJ887" t="n">
        <v>6</v>
      </c>
      <c r="AK887" t="n">
        <v>6</v>
      </c>
      <c r="AL887" t="n">
        <v>18</v>
      </c>
      <c r="AM887" t="n">
        <v>18</v>
      </c>
      <c r="AN887" t="n">
        <v>3</v>
      </c>
      <c r="AO887" t="n">
        <v>3</v>
      </c>
      <c r="AP887" t="n">
        <v>0</v>
      </c>
      <c r="AQ887" t="n">
        <v>0</v>
      </c>
      <c r="AR887" t="inlineStr">
        <is>
          <t>No</t>
        </is>
      </c>
      <c r="AS887" t="inlineStr">
        <is>
          <t>No</t>
        </is>
      </c>
      <c r="AU887">
        <f>HYPERLINK("https://creighton-primo.hosted.exlibrisgroup.com/primo-explore/search?tab=default_tab&amp;search_scope=EVERYTHING&amp;vid=01CRU&amp;lang=en_US&amp;offset=0&amp;query=any,contains,991000368009702656","Catalog Record")</f>
        <v/>
      </c>
      <c r="AV887">
        <f>HYPERLINK("http://www.worldcat.org/oclc/10404520","WorldCat Record")</f>
        <v/>
      </c>
      <c r="AW887" t="inlineStr">
        <is>
          <t>2902252:eng</t>
        </is>
      </c>
      <c r="AX887" t="inlineStr">
        <is>
          <t>10404520</t>
        </is>
      </c>
      <c r="AY887" t="inlineStr">
        <is>
          <t>991000368009702656</t>
        </is>
      </c>
      <c r="AZ887" t="inlineStr">
        <is>
          <t>991000368009702656</t>
        </is>
      </c>
      <c r="BA887" t="inlineStr">
        <is>
          <t>2270205240002656</t>
        </is>
      </c>
      <c r="BB887" t="inlineStr">
        <is>
          <t>BOOK</t>
        </is>
      </c>
      <c r="BD887" t="inlineStr">
        <is>
          <t>9780520048065</t>
        </is>
      </c>
      <c r="BE887" t="inlineStr">
        <is>
          <t>32285000771013</t>
        </is>
      </c>
      <c r="BF887" t="inlineStr">
        <is>
          <t>893413287</t>
        </is>
      </c>
    </row>
    <row r="888">
      <c r="A888" t="inlineStr">
        <is>
          <t>No</t>
        </is>
      </c>
      <c r="B888" t="inlineStr">
        <is>
          <t>CURAL</t>
        </is>
      </c>
      <c r="C888" t="inlineStr">
        <is>
          <t>SHELVES</t>
        </is>
      </c>
      <c r="D888" t="inlineStr">
        <is>
          <t>PR3026 .G7</t>
        </is>
      </c>
      <c r="E888" t="inlineStr">
        <is>
          <t>0                      PR 3026000G  7</t>
        </is>
      </c>
      <c r="F888" t="inlineStr">
        <is>
          <t>Criminal types in Shakespeare / by August Goll. Authorized translation from the Danish by Mrs. Charles Weekes.</t>
        </is>
      </c>
      <c r="H888" t="inlineStr">
        <is>
          <t>No</t>
        </is>
      </c>
      <c r="I888" t="inlineStr">
        <is>
          <t>1</t>
        </is>
      </c>
      <c r="J888" t="inlineStr">
        <is>
          <t>No</t>
        </is>
      </c>
      <c r="K888" t="inlineStr">
        <is>
          <t>No</t>
        </is>
      </c>
      <c r="L888" t="inlineStr">
        <is>
          <t>0</t>
        </is>
      </c>
      <c r="M888" t="inlineStr">
        <is>
          <t>Goll, August, 1866-1936.</t>
        </is>
      </c>
      <c r="N888" t="inlineStr">
        <is>
          <t>London, Methuen [1909]</t>
        </is>
      </c>
      <c r="O888" t="inlineStr">
        <is>
          <t>1909</t>
        </is>
      </c>
      <c r="Q888" t="inlineStr">
        <is>
          <t>eng</t>
        </is>
      </c>
      <c r="R888" t="inlineStr">
        <is>
          <t xml:space="preserve">xx </t>
        </is>
      </c>
      <c r="T888" t="inlineStr">
        <is>
          <t xml:space="preserve">PR </t>
        </is>
      </c>
      <c r="U888" t="n">
        <v>1</v>
      </c>
      <c r="V888" t="n">
        <v>1</v>
      </c>
      <c r="W888" t="inlineStr">
        <is>
          <t>2004-11-09</t>
        </is>
      </c>
      <c r="X888" t="inlineStr">
        <is>
          <t>2004-11-09</t>
        </is>
      </c>
      <c r="Y888" t="inlineStr">
        <is>
          <t>1997-08-06</t>
        </is>
      </c>
      <c r="Z888" t="inlineStr">
        <is>
          <t>1997-08-06</t>
        </is>
      </c>
      <c r="AA888" t="n">
        <v>59</v>
      </c>
      <c r="AB888" t="n">
        <v>48</v>
      </c>
      <c r="AC888" t="n">
        <v>319</v>
      </c>
      <c r="AD888" t="n">
        <v>2</v>
      </c>
      <c r="AE888" t="n">
        <v>4</v>
      </c>
      <c r="AF888" t="n">
        <v>3</v>
      </c>
      <c r="AG888" t="n">
        <v>18</v>
      </c>
      <c r="AH888" t="n">
        <v>0</v>
      </c>
      <c r="AI888" t="n">
        <v>4</v>
      </c>
      <c r="AJ888" t="n">
        <v>1</v>
      </c>
      <c r="AK888" t="n">
        <v>5</v>
      </c>
      <c r="AL888" t="n">
        <v>1</v>
      </c>
      <c r="AM888" t="n">
        <v>9</v>
      </c>
      <c r="AN888" t="n">
        <v>1</v>
      </c>
      <c r="AO888" t="n">
        <v>3</v>
      </c>
      <c r="AP888" t="n">
        <v>1</v>
      </c>
      <c r="AQ888" t="n">
        <v>2</v>
      </c>
      <c r="AR888" t="inlineStr">
        <is>
          <t>Yes</t>
        </is>
      </c>
      <c r="AS888" t="inlineStr">
        <is>
          <t>No</t>
        </is>
      </c>
      <c r="AT888">
        <f>HYPERLINK("http://catalog.hathitrust.org/Record/001366913","HathiTrust Record")</f>
        <v/>
      </c>
      <c r="AU888">
        <f>HYPERLINK("https://creighton-primo.hosted.exlibrisgroup.com/primo-explore/search?tab=default_tab&amp;search_scope=EVERYTHING&amp;vid=01CRU&amp;lang=en_US&amp;offset=0&amp;query=any,contains,991004368809702656","Catalog Record")</f>
        <v/>
      </c>
      <c r="AV888">
        <f>HYPERLINK("http://www.worldcat.org/oclc/3183915","WorldCat Record")</f>
        <v/>
      </c>
      <c r="AW888" t="inlineStr">
        <is>
          <t>8653665:eng</t>
        </is>
      </c>
      <c r="AX888" t="inlineStr">
        <is>
          <t>3183915</t>
        </is>
      </c>
      <c r="AY888" t="inlineStr">
        <is>
          <t>991004368809702656</t>
        </is>
      </c>
      <c r="AZ888" t="inlineStr">
        <is>
          <t>991004368809702656</t>
        </is>
      </c>
      <c r="BA888" t="inlineStr">
        <is>
          <t>2262406290002656</t>
        </is>
      </c>
      <c r="BB888" t="inlineStr">
        <is>
          <t>BOOK</t>
        </is>
      </c>
      <c r="BE888" t="inlineStr">
        <is>
          <t>32285003023834</t>
        </is>
      </c>
      <c r="BF888" t="inlineStr">
        <is>
          <t>893349935</t>
        </is>
      </c>
    </row>
    <row r="889">
      <c r="A889" t="inlineStr">
        <is>
          <t>No</t>
        </is>
      </c>
      <c r="B889" t="inlineStr">
        <is>
          <t>CURAL</t>
        </is>
      </c>
      <c r="C889" t="inlineStr">
        <is>
          <t>SHELVES</t>
        </is>
      </c>
      <c r="D889" t="inlineStr">
        <is>
          <t>PR3034 .B7 1981</t>
        </is>
      </c>
      <c r="E889" t="inlineStr">
        <is>
          <t>0                      PR 3034000B  7           1981</t>
        </is>
      </c>
      <c r="F889" t="inlineStr">
        <is>
          <t>Shakespeare and the dance / Alan Brissenden.</t>
        </is>
      </c>
      <c r="H889" t="inlineStr">
        <is>
          <t>No</t>
        </is>
      </c>
      <c r="I889" t="inlineStr">
        <is>
          <t>1</t>
        </is>
      </c>
      <c r="J889" t="inlineStr">
        <is>
          <t>No</t>
        </is>
      </c>
      <c r="K889" t="inlineStr">
        <is>
          <t>No</t>
        </is>
      </c>
      <c r="L889" t="inlineStr">
        <is>
          <t>0</t>
        </is>
      </c>
      <c r="M889" t="inlineStr">
        <is>
          <t>Brissenden, Alan.</t>
        </is>
      </c>
      <c r="N889" t="inlineStr">
        <is>
          <t>Atlantic Highlands, N.J. : Humanities Press, 1981.</t>
        </is>
      </c>
      <c r="O889" t="inlineStr">
        <is>
          <t>1981</t>
        </is>
      </c>
      <c r="Q889" t="inlineStr">
        <is>
          <t>eng</t>
        </is>
      </c>
      <c r="R889" t="inlineStr">
        <is>
          <t>nju</t>
        </is>
      </c>
      <c r="T889" t="inlineStr">
        <is>
          <t xml:space="preserve">PR </t>
        </is>
      </c>
      <c r="U889" t="n">
        <v>1</v>
      </c>
      <c r="V889" t="n">
        <v>1</v>
      </c>
      <c r="W889" t="inlineStr">
        <is>
          <t>2010-05-01</t>
        </is>
      </c>
      <c r="X889" t="inlineStr">
        <is>
          <t>2010-05-01</t>
        </is>
      </c>
      <c r="Y889" t="inlineStr">
        <is>
          <t>1991-10-03</t>
        </is>
      </c>
      <c r="Z889" t="inlineStr">
        <is>
          <t>1991-10-03</t>
        </is>
      </c>
      <c r="AA889" t="n">
        <v>382</v>
      </c>
      <c r="AB889" t="n">
        <v>336</v>
      </c>
      <c r="AC889" t="n">
        <v>426</v>
      </c>
      <c r="AD889" t="n">
        <v>4</v>
      </c>
      <c r="AE889" t="n">
        <v>5</v>
      </c>
      <c r="AF889" t="n">
        <v>16</v>
      </c>
      <c r="AG889" t="n">
        <v>21</v>
      </c>
      <c r="AH889" t="n">
        <v>3</v>
      </c>
      <c r="AI889" t="n">
        <v>5</v>
      </c>
      <c r="AJ889" t="n">
        <v>6</v>
      </c>
      <c r="AK889" t="n">
        <v>7</v>
      </c>
      <c r="AL889" t="n">
        <v>8</v>
      </c>
      <c r="AM889" t="n">
        <v>10</v>
      </c>
      <c r="AN889" t="n">
        <v>3</v>
      </c>
      <c r="AO889" t="n">
        <v>4</v>
      </c>
      <c r="AP889" t="n">
        <v>0</v>
      </c>
      <c r="AQ889" t="n">
        <v>0</v>
      </c>
      <c r="AR889" t="inlineStr">
        <is>
          <t>No</t>
        </is>
      </c>
      <c r="AS889" t="inlineStr">
        <is>
          <t>Yes</t>
        </is>
      </c>
      <c r="AT889">
        <f>HYPERLINK("http://catalog.hathitrust.org/Record/000229545","HathiTrust Record")</f>
        <v/>
      </c>
      <c r="AU889">
        <f>HYPERLINK("https://creighton-primo.hosted.exlibrisgroup.com/primo-explore/search?tab=default_tab&amp;search_scope=EVERYTHING&amp;vid=01CRU&amp;lang=en_US&amp;offset=0&amp;query=any,contains,991004927579702656","Catalog Record")</f>
        <v/>
      </c>
      <c r="AV889">
        <f>HYPERLINK("http://www.worldcat.org/oclc/6087112","WorldCat Record")</f>
        <v/>
      </c>
      <c r="AW889" t="inlineStr">
        <is>
          <t>1063945:eng</t>
        </is>
      </c>
      <c r="AX889" t="inlineStr">
        <is>
          <t>6087112</t>
        </is>
      </c>
      <c r="AY889" t="inlineStr">
        <is>
          <t>991004927579702656</t>
        </is>
      </c>
      <c r="AZ889" t="inlineStr">
        <is>
          <t>991004927579702656</t>
        </is>
      </c>
      <c r="BA889" t="inlineStr">
        <is>
          <t>2259522920002656</t>
        </is>
      </c>
      <c r="BB889" t="inlineStr">
        <is>
          <t>BOOK</t>
        </is>
      </c>
      <c r="BD889" t="inlineStr">
        <is>
          <t>9780391018105</t>
        </is>
      </c>
      <c r="BE889" t="inlineStr">
        <is>
          <t>32285000771021</t>
        </is>
      </c>
      <c r="BF889" t="inlineStr">
        <is>
          <t>893248128</t>
        </is>
      </c>
    </row>
    <row r="890">
      <c r="A890" t="inlineStr">
        <is>
          <t>No</t>
        </is>
      </c>
      <c r="B890" t="inlineStr">
        <is>
          <t>CURAL</t>
        </is>
      </c>
      <c r="C890" t="inlineStr">
        <is>
          <t>SHELVES</t>
        </is>
      </c>
      <c r="D890" t="inlineStr">
        <is>
          <t>PR3034 .K47</t>
        </is>
      </c>
      <c r="E890" t="inlineStr">
        <is>
          <t>0                      PR 3034000K  47</t>
        </is>
      </c>
      <c r="F890" t="inlineStr">
        <is>
          <t>The playwright as magician : Shakespeare's image of the poet in the English public theater / Alvin B. Kernan.</t>
        </is>
      </c>
      <c r="H890" t="inlineStr">
        <is>
          <t>No</t>
        </is>
      </c>
      <c r="I890" t="inlineStr">
        <is>
          <t>1</t>
        </is>
      </c>
      <c r="J890" t="inlineStr">
        <is>
          <t>No</t>
        </is>
      </c>
      <c r="K890" t="inlineStr">
        <is>
          <t>No</t>
        </is>
      </c>
      <c r="L890" t="inlineStr">
        <is>
          <t>0</t>
        </is>
      </c>
      <c r="M890" t="inlineStr">
        <is>
          <t>Kernan, Alvin B.</t>
        </is>
      </c>
      <c r="N890" t="inlineStr">
        <is>
          <t>New Haven : Yale University Press, 1979.</t>
        </is>
      </c>
      <c r="O890" t="inlineStr">
        <is>
          <t>1979</t>
        </is>
      </c>
      <c r="Q890" t="inlineStr">
        <is>
          <t>eng</t>
        </is>
      </c>
      <c r="R890" t="inlineStr">
        <is>
          <t>ctu</t>
        </is>
      </c>
      <c r="T890" t="inlineStr">
        <is>
          <t xml:space="preserve">PR </t>
        </is>
      </c>
      <c r="U890" t="n">
        <v>3</v>
      </c>
      <c r="V890" t="n">
        <v>3</v>
      </c>
      <c r="W890" t="inlineStr">
        <is>
          <t>1997-10-06</t>
        </is>
      </c>
      <c r="X890" t="inlineStr">
        <is>
          <t>1997-10-06</t>
        </is>
      </c>
      <c r="Y890" t="inlineStr">
        <is>
          <t>1991-10-03</t>
        </is>
      </c>
      <c r="Z890" t="inlineStr">
        <is>
          <t>1991-10-03</t>
        </is>
      </c>
      <c r="AA890" t="n">
        <v>967</v>
      </c>
      <c r="AB890" t="n">
        <v>789</v>
      </c>
      <c r="AC890" t="n">
        <v>790</v>
      </c>
      <c r="AD890" t="n">
        <v>7</v>
      </c>
      <c r="AE890" t="n">
        <v>7</v>
      </c>
      <c r="AF890" t="n">
        <v>38</v>
      </c>
      <c r="AG890" t="n">
        <v>38</v>
      </c>
      <c r="AH890" t="n">
        <v>13</v>
      </c>
      <c r="AI890" t="n">
        <v>13</v>
      </c>
      <c r="AJ890" t="n">
        <v>10</v>
      </c>
      <c r="AK890" t="n">
        <v>10</v>
      </c>
      <c r="AL890" t="n">
        <v>21</v>
      </c>
      <c r="AM890" t="n">
        <v>21</v>
      </c>
      <c r="AN890" t="n">
        <v>6</v>
      </c>
      <c r="AO890" t="n">
        <v>6</v>
      </c>
      <c r="AP890" t="n">
        <v>0</v>
      </c>
      <c r="AQ890" t="n">
        <v>0</v>
      </c>
      <c r="AR890" t="inlineStr">
        <is>
          <t>No</t>
        </is>
      </c>
      <c r="AS890" t="inlineStr">
        <is>
          <t>No</t>
        </is>
      </c>
      <c r="AU890">
        <f>HYPERLINK("https://creighton-primo.hosted.exlibrisgroup.com/primo-explore/search?tab=default_tab&amp;search_scope=EVERYTHING&amp;vid=01CRU&amp;lang=en_US&amp;offset=0&amp;query=any,contains,991004713159702656","Catalog Record")</f>
        <v/>
      </c>
      <c r="AV890">
        <f>HYPERLINK("http://www.worldcat.org/oclc/4774994","WorldCat Record")</f>
        <v/>
      </c>
      <c r="AW890" t="inlineStr">
        <is>
          <t>889749507:eng</t>
        </is>
      </c>
      <c r="AX890" t="inlineStr">
        <is>
          <t>4774994</t>
        </is>
      </c>
      <c r="AY890" t="inlineStr">
        <is>
          <t>991004713159702656</t>
        </is>
      </c>
      <c r="AZ890" t="inlineStr">
        <is>
          <t>991004713159702656</t>
        </is>
      </c>
      <c r="BA890" t="inlineStr">
        <is>
          <t>2256842850002656</t>
        </is>
      </c>
      <c r="BB890" t="inlineStr">
        <is>
          <t>BOOK</t>
        </is>
      </c>
      <c r="BD890" t="inlineStr">
        <is>
          <t>9780300023794</t>
        </is>
      </c>
      <c r="BE890" t="inlineStr">
        <is>
          <t>32285000771047</t>
        </is>
      </c>
      <c r="BF890" t="inlineStr">
        <is>
          <t>893612681</t>
        </is>
      </c>
    </row>
    <row r="891">
      <c r="A891" t="inlineStr">
        <is>
          <t>No</t>
        </is>
      </c>
      <c r="B891" t="inlineStr">
        <is>
          <t>CURAL</t>
        </is>
      </c>
      <c r="C891" t="inlineStr">
        <is>
          <t>SHELVES</t>
        </is>
      </c>
      <c r="D891" t="inlineStr">
        <is>
          <t>PR3037 .T4 1966</t>
        </is>
      </c>
      <c r="E891" t="inlineStr">
        <is>
          <t>0                      PR 3037000T  4           1966</t>
        </is>
      </c>
      <c r="F891" t="inlineStr">
        <is>
          <t>Shakespeare and the classics.</t>
        </is>
      </c>
      <c r="H891" t="inlineStr">
        <is>
          <t>No</t>
        </is>
      </c>
      <c r="I891" t="inlineStr">
        <is>
          <t>1</t>
        </is>
      </c>
      <c r="J891" t="inlineStr">
        <is>
          <t>No</t>
        </is>
      </c>
      <c r="K891" t="inlineStr">
        <is>
          <t>No</t>
        </is>
      </c>
      <c r="L891" t="inlineStr">
        <is>
          <t>0</t>
        </is>
      </c>
      <c r="M891" t="inlineStr">
        <is>
          <t>Thomson, J. A. K. (James Alexander Kerr), 1879-1959.</t>
        </is>
      </c>
      <c r="N891" t="inlineStr">
        <is>
          <t>New York, Barnes &amp; Noble, [c1952,1966]</t>
        </is>
      </c>
      <c r="O891" t="inlineStr">
        <is>
          <t>1966</t>
        </is>
      </c>
      <c r="Q891" t="inlineStr">
        <is>
          <t>eng</t>
        </is>
      </c>
      <c r="R891" t="inlineStr">
        <is>
          <t>nyu</t>
        </is>
      </c>
      <c r="T891" t="inlineStr">
        <is>
          <t xml:space="preserve">PR </t>
        </is>
      </c>
      <c r="U891" t="n">
        <v>3</v>
      </c>
      <c r="V891" t="n">
        <v>3</v>
      </c>
      <c r="W891" t="inlineStr">
        <is>
          <t>2010-10-07</t>
        </is>
      </c>
      <c r="X891" t="inlineStr">
        <is>
          <t>2010-10-07</t>
        </is>
      </c>
      <c r="Y891" t="inlineStr">
        <is>
          <t>1997-08-06</t>
        </is>
      </c>
      <c r="Z891" t="inlineStr">
        <is>
          <t>1997-08-06</t>
        </is>
      </c>
      <c r="AA891" t="n">
        <v>111</v>
      </c>
      <c r="AB891" t="n">
        <v>108</v>
      </c>
      <c r="AC891" t="n">
        <v>877</v>
      </c>
      <c r="AD891" t="n">
        <v>1</v>
      </c>
      <c r="AE891" t="n">
        <v>7</v>
      </c>
      <c r="AF891" t="n">
        <v>4</v>
      </c>
      <c r="AG891" t="n">
        <v>44</v>
      </c>
      <c r="AH891" t="n">
        <v>3</v>
      </c>
      <c r="AI891" t="n">
        <v>17</v>
      </c>
      <c r="AJ891" t="n">
        <v>0</v>
      </c>
      <c r="AK891" t="n">
        <v>9</v>
      </c>
      <c r="AL891" t="n">
        <v>1</v>
      </c>
      <c r="AM891" t="n">
        <v>22</v>
      </c>
      <c r="AN891" t="n">
        <v>0</v>
      </c>
      <c r="AO891" t="n">
        <v>6</v>
      </c>
      <c r="AP891" t="n">
        <v>0</v>
      </c>
      <c r="AQ891" t="n">
        <v>0</v>
      </c>
      <c r="AR891" t="inlineStr">
        <is>
          <t>No</t>
        </is>
      </c>
      <c r="AS891" t="inlineStr">
        <is>
          <t>No</t>
        </is>
      </c>
      <c r="AU891">
        <f>HYPERLINK("https://creighton-primo.hosted.exlibrisgroup.com/primo-explore/search?tab=default_tab&amp;search_scope=EVERYTHING&amp;vid=01CRU&amp;lang=en_US&amp;offset=0&amp;query=any,contains,991004145849702656","Catalog Record")</f>
        <v/>
      </c>
      <c r="AV891">
        <f>HYPERLINK("http://www.worldcat.org/oclc/2509893","WorldCat Record")</f>
        <v/>
      </c>
      <c r="AW891" t="inlineStr">
        <is>
          <t>445088:eng</t>
        </is>
      </c>
      <c r="AX891" t="inlineStr">
        <is>
          <t>2509893</t>
        </is>
      </c>
      <c r="AY891" t="inlineStr">
        <is>
          <t>991004145849702656</t>
        </is>
      </c>
      <c r="AZ891" t="inlineStr">
        <is>
          <t>991004145849702656</t>
        </is>
      </c>
      <c r="BA891" t="inlineStr">
        <is>
          <t>2262317960002656</t>
        </is>
      </c>
      <c r="BB891" t="inlineStr">
        <is>
          <t>BOOK</t>
        </is>
      </c>
      <c r="BE891" t="inlineStr">
        <is>
          <t>32285003021804</t>
        </is>
      </c>
      <c r="BF891" t="inlineStr">
        <is>
          <t>893259377</t>
        </is>
      </c>
    </row>
    <row r="892">
      <c r="A892" t="inlineStr">
        <is>
          <t>No</t>
        </is>
      </c>
      <c r="B892" t="inlineStr">
        <is>
          <t>CURAL</t>
        </is>
      </c>
      <c r="C892" t="inlineStr">
        <is>
          <t>SHELVES</t>
        </is>
      </c>
      <c r="D892" t="inlineStr">
        <is>
          <t>PR3041 .K4 1969</t>
        </is>
      </c>
      <c r="E892" t="inlineStr">
        <is>
          <t>0                      PR 3041000K  4           1969</t>
        </is>
      </c>
      <c r="F892" t="inlineStr">
        <is>
          <t>Shakespeare's flowers / by Jessia Kerr ; illustrated by Anne Ophelia Dowden.</t>
        </is>
      </c>
      <c r="H892" t="inlineStr">
        <is>
          <t>No</t>
        </is>
      </c>
      <c r="I892" t="inlineStr">
        <is>
          <t>1</t>
        </is>
      </c>
      <c r="J892" t="inlineStr">
        <is>
          <t>No</t>
        </is>
      </c>
      <c r="K892" t="inlineStr">
        <is>
          <t>No</t>
        </is>
      </c>
      <c r="L892" t="inlineStr">
        <is>
          <t>0</t>
        </is>
      </c>
      <c r="M892" t="inlineStr">
        <is>
          <t>Kerr, Jessica.</t>
        </is>
      </c>
      <c r="N892" t="inlineStr">
        <is>
          <t>New York : Crowell, [1969]</t>
        </is>
      </c>
      <c r="O892" t="inlineStr">
        <is>
          <t>1969</t>
        </is>
      </c>
      <c r="Q892" t="inlineStr">
        <is>
          <t>eng</t>
        </is>
      </c>
      <c r="R892" t="inlineStr">
        <is>
          <t>nyu</t>
        </is>
      </c>
      <c r="T892" t="inlineStr">
        <is>
          <t xml:space="preserve">PR </t>
        </is>
      </c>
      <c r="U892" t="n">
        <v>3</v>
      </c>
      <c r="V892" t="n">
        <v>3</v>
      </c>
      <c r="W892" t="inlineStr">
        <is>
          <t>2003-01-13</t>
        </is>
      </c>
      <c r="X892" t="inlineStr">
        <is>
          <t>2003-01-13</t>
        </is>
      </c>
      <c r="Y892" t="inlineStr">
        <is>
          <t>1990-09-11</t>
        </is>
      </c>
      <c r="Z892" t="inlineStr">
        <is>
          <t>1990-09-11</t>
        </is>
      </c>
      <c r="AA892" t="n">
        <v>656</v>
      </c>
      <c r="AB892" t="n">
        <v>633</v>
      </c>
      <c r="AC892" t="n">
        <v>1524</v>
      </c>
      <c r="AD892" t="n">
        <v>3</v>
      </c>
      <c r="AE892" t="n">
        <v>5</v>
      </c>
      <c r="AF892" t="n">
        <v>12</v>
      </c>
      <c r="AG892" t="n">
        <v>21</v>
      </c>
      <c r="AH892" t="n">
        <v>4</v>
      </c>
      <c r="AI892" t="n">
        <v>11</v>
      </c>
      <c r="AJ892" t="n">
        <v>2</v>
      </c>
      <c r="AK892" t="n">
        <v>5</v>
      </c>
      <c r="AL892" t="n">
        <v>6</v>
      </c>
      <c r="AM892" t="n">
        <v>9</v>
      </c>
      <c r="AN892" t="n">
        <v>2</v>
      </c>
      <c r="AO892" t="n">
        <v>2</v>
      </c>
      <c r="AP892" t="n">
        <v>0</v>
      </c>
      <c r="AQ892" t="n">
        <v>0</v>
      </c>
      <c r="AR892" t="inlineStr">
        <is>
          <t>No</t>
        </is>
      </c>
      <c r="AS892" t="inlineStr">
        <is>
          <t>Yes</t>
        </is>
      </c>
      <c r="AT892">
        <f>HYPERLINK("http://catalog.hathitrust.org/Record/001019076","HathiTrust Record")</f>
        <v/>
      </c>
      <c r="AU892">
        <f>HYPERLINK("https://creighton-primo.hosted.exlibrisgroup.com/primo-explore/search?tab=default_tab&amp;search_scope=EVERYTHING&amp;vid=01CRU&amp;lang=en_US&amp;offset=0&amp;query=any,contains,991000038739702656","Catalog Record")</f>
        <v/>
      </c>
      <c r="AV892">
        <f>HYPERLINK("http://www.worldcat.org/oclc/21328","WorldCat Record")</f>
        <v/>
      </c>
      <c r="AW892" t="inlineStr">
        <is>
          <t>395181:eng</t>
        </is>
      </c>
      <c r="AX892" t="inlineStr">
        <is>
          <t>21328</t>
        </is>
      </c>
      <c r="AY892" t="inlineStr">
        <is>
          <t>991000038739702656</t>
        </is>
      </c>
      <c r="AZ892" t="inlineStr">
        <is>
          <t>991000038739702656</t>
        </is>
      </c>
      <c r="BA892" t="inlineStr">
        <is>
          <t>2261540020002656</t>
        </is>
      </c>
      <c r="BB892" t="inlineStr">
        <is>
          <t>BOOK</t>
        </is>
      </c>
      <c r="BD892" t="inlineStr">
        <is>
          <t>9780690731637</t>
        </is>
      </c>
      <c r="BE892" t="inlineStr">
        <is>
          <t>32285000295013</t>
        </is>
      </c>
      <c r="BF892" t="inlineStr">
        <is>
          <t>893683112</t>
        </is>
      </c>
    </row>
    <row r="893">
      <c r="A893" t="inlineStr">
        <is>
          <t>No</t>
        </is>
      </c>
      <c r="B893" t="inlineStr">
        <is>
          <t>CURAL</t>
        </is>
      </c>
      <c r="C893" t="inlineStr">
        <is>
          <t>SHELVES</t>
        </is>
      </c>
      <c r="D893" t="inlineStr">
        <is>
          <t>PR3044 .D4 1973</t>
        </is>
      </c>
      <c r="E893" t="inlineStr">
        <is>
          <t>0                      PR 3044000D  4           1973</t>
        </is>
      </c>
      <c r="F893" t="inlineStr">
        <is>
          <t>World of Shakespeare: animals &amp; monsters. With a foreword by Sir Ralph Richardson.</t>
        </is>
      </c>
      <c r="H893" t="inlineStr">
        <is>
          <t>No</t>
        </is>
      </c>
      <c r="I893" t="inlineStr">
        <is>
          <t>1</t>
        </is>
      </c>
      <c r="J893" t="inlineStr">
        <is>
          <t>No</t>
        </is>
      </c>
      <c r="K893" t="inlineStr">
        <is>
          <t>No</t>
        </is>
      </c>
      <c r="L893" t="inlineStr">
        <is>
          <t>0</t>
        </is>
      </c>
      <c r="M893" t="inlineStr">
        <is>
          <t>Dent, Alan.</t>
        </is>
      </c>
      <c r="N893" t="inlineStr">
        <is>
          <t>New York, Taplinger Pub. Co. [1973, c1972]</t>
        </is>
      </c>
      <c r="O893" t="inlineStr">
        <is>
          <t>1973</t>
        </is>
      </c>
      <c r="Q893" t="inlineStr">
        <is>
          <t>eng</t>
        </is>
      </c>
      <c r="R893" t="inlineStr">
        <is>
          <t>nyu</t>
        </is>
      </c>
      <c r="T893" t="inlineStr">
        <is>
          <t xml:space="preserve">PR </t>
        </is>
      </c>
      <c r="U893" t="n">
        <v>3</v>
      </c>
      <c r="V893" t="n">
        <v>3</v>
      </c>
      <c r="W893" t="inlineStr">
        <is>
          <t>2008-11-05</t>
        </is>
      </c>
      <c r="X893" t="inlineStr">
        <is>
          <t>2008-11-05</t>
        </is>
      </c>
      <c r="Y893" t="inlineStr">
        <is>
          <t>1997-08-06</t>
        </is>
      </c>
      <c r="Z893" t="inlineStr">
        <is>
          <t>1997-08-06</t>
        </is>
      </c>
      <c r="AA893" t="n">
        <v>333</v>
      </c>
      <c r="AB893" t="n">
        <v>315</v>
      </c>
      <c r="AC893" t="n">
        <v>415</v>
      </c>
      <c r="AD893" t="n">
        <v>3</v>
      </c>
      <c r="AE893" t="n">
        <v>3</v>
      </c>
      <c r="AF893" t="n">
        <v>9</v>
      </c>
      <c r="AG893" t="n">
        <v>13</v>
      </c>
      <c r="AH893" t="n">
        <v>2</v>
      </c>
      <c r="AI893" t="n">
        <v>2</v>
      </c>
      <c r="AJ893" t="n">
        <v>1</v>
      </c>
      <c r="AK893" t="n">
        <v>3</v>
      </c>
      <c r="AL893" t="n">
        <v>4</v>
      </c>
      <c r="AM893" t="n">
        <v>7</v>
      </c>
      <c r="AN893" t="n">
        <v>2</v>
      </c>
      <c r="AO893" t="n">
        <v>2</v>
      </c>
      <c r="AP893" t="n">
        <v>0</v>
      </c>
      <c r="AQ893" t="n">
        <v>0</v>
      </c>
      <c r="AR893" t="inlineStr">
        <is>
          <t>No</t>
        </is>
      </c>
      <c r="AS893" t="inlineStr">
        <is>
          <t>Yes</t>
        </is>
      </c>
      <c r="AT893">
        <f>HYPERLINK("http://catalog.hathitrust.org/Record/012271384","HathiTrust Record")</f>
        <v/>
      </c>
      <c r="AU893">
        <f>HYPERLINK("https://creighton-primo.hosted.exlibrisgroup.com/primo-explore/search?tab=default_tab&amp;search_scope=EVERYTHING&amp;vid=01CRU&amp;lang=en_US&amp;offset=0&amp;query=any,contains,991003154399702656","Catalog Record")</f>
        <v/>
      </c>
      <c r="AV893">
        <f>HYPERLINK("http://www.worldcat.org/oclc/693369","WorldCat Record")</f>
        <v/>
      </c>
      <c r="AW893" t="inlineStr">
        <is>
          <t>449418:eng</t>
        </is>
      </c>
      <c r="AX893" t="inlineStr">
        <is>
          <t>693369</t>
        </is>
      </c>
      <c r="AY893" t="inlineStr">
        <is>
          <t>991003154399702656</t>
        </is>
      </c>
      <c r="AZ893" t="inlineStr">
        <is>
          <t>991003154399702656</t>
        </is>
      </c>
      <c r="BA893" t="inlineStr">
        <is>
          <t>2266483960002656</t>
        </is>
      </c>
      <c r="BB893" t="inlineStr">
        <is>
          <t>BOOK</t>
        </is>
      </c>
      <c r="BD893" t="inlineStr">
        <is>
          <t>9780800802745</t>
        </is>
      </c>
      <c r="BE893" t="inlineStr">
        <is>
          <t>32285003021838</t>
        </is>
      </c>
      <c r="BF893" t="inlineStr">
        <is>
          <t>893698704</t>
        </is>
      </c>
    </row>
    <row r="894">
      <c r="A894" t="inlineStr">
        <is>
          <t>No</t>
        </is>
      </c>
      <c r="B894" t="inlineStr">
        <is>
          <t>CURAL</t>
        </is>
      </c>
      <c r="C894" t="inlineStr">
        <is>
          <t>SHELVES</t>
        </is>
      </c>
      <c r="D894" t="inlineStr">
        <is>
          <t>PR3069.A42 W37 1984</t>
        </is>
      </c>
      <c r="E894" t="inlineStr">
        <is>
          <t>0                      PR 3069000A  42                 W  37          1984</t>
        </is>
      </c>
      <c r="F894" t="inlineStr">
        <is>
          <t>Shakespeare and the hazards of ambition / Robert N. Watson.</t>
        </is>
      </c>
      <c r="H894" t="inlineStr">
        <is>
          <t>No</t>
        </is>
      </c>
      <c r="I894" t="inlineStr">
        <is>
          <t>1</t>
        </is>
      </c>
      <c r="J894" t="inlineStr">
        <is>
          <t>No</t>
        </is>
      </c>
      <c r="K894" t="inlineStr">
        <is>
          <t>No</t>
        </is>
      </c>
      <c r="L894" t="inlineStr">
        <is>
          <t>0</t>
        </is>
      </c>
      <c r="M894" t="inlineStr">
        <is>
          <t>Watson, Robert N.</t>
        </is>
      </c>
      <c r="N894" t="inlineStr">
        <is>
          <t>Cambridge, Mass. : Harvard University Press, 1984.</t>
        </is>
      </c>
      <c r="O894" t="inlineStr">
        <is>
          <t>1984</t>
        </is>
      </c>
      <c r="Q894" t="inlineStr">
        <is>
          <t>eng</t>
        </is>
      </c>
      <c r="R894" t="inlineStr">
        <is>
          <t>mau</t>
        </is>
      </c>
      <c r="T894" t="inlineStr">
        <is>
          <t xml:space="preserve">PR </t>
        </is>
      </c>
      <c r="U894" t="n">
        <v>2</v>
      </c>
      <c r="V894" t="n">
        <v>2</v>
      </c>
      <c r="W894" t="inlineStr">
        <is>
          <t>2010-02-11</t>
        </is>
      </c>
      <c r="X894" t="inlineStr">
        <is>
          <t>2010-02-11</t>
        </is>
      </c>
      <c r="Y894" t="inlineStr">
        <is>
          <t>1991-10-03</t>
        </is>
      </c>
      <c r="Z894" t="inlineStr">
        <is>
          <t>1991-10-03</t>
        </is>
      </c>
      <c r="AA894" t="n">
        <v>630</v>
      </c>
      <c r="AB894" t="n">
        <v>517</v>
      </c>
      <c r="AC894" t="n">
        <v>527</v>
      </c>
      <c r="AD894" t="n">
        <v>4</v>
      </c>
      <c r="AE894" t="n">
        <v>4</v>
      </c>
      <c r="AF894" t="n">
        <v>31</v>
      </c>
      <c r="AG894" t="n">
        <v>31</v>
      </c>
      <c r="AH894" t="n">
        <v>14</v>
      </c>
      <c r="AI894" t="n">
        <v>14</v>
      </c>
      <c r="AJ894" t="n">
        <v>9</v>
      </c>
      <c r="AK894" t="n">
        <v>9</v>
      </c>
      <c r="AL894" t="n">
        <v>15</v>
      </c>
      <c r="AM894" t="n">
        <v>15</v>
      </c>
      <c r="AN894" t="n">
        <v>3</v>
      </c>
      <c r="AO894" t="n">
        <v>3</v>
      </c>
      <c r="AP894" t="n">
        <v>0</v>
      </c>
      <c r="AQ894" t="n">
        <v>0</v>
      </c>
      <c r="AR894" t="inlineStr">
        <is>
          <t>No</t>
        </is>
      </c>
      <c r="AS894" t="inlineStr">
        <is>
          <t>Yes</t>
        </is>
      </c>
      <c r="AT894">
        <f>HYPERLINK("http://catalog.hathitrust.org/Record/000559608","HathiTrust Record")</f>
        <v/>
      </c>
      <c r="AU894">
        <f>HYPERLINK("https://creighton-primo.hosted.exlibrisgroup.com/primo-explore/search?tab=default_tab&amp;search_scope=EVERYTHING&amp;vid=01CRU&amp;lang=en_US&amp;offset=0&amp;query=any,contains,991000389199702656","Catalog Record")</f>
        <v/>
      </c>
      <c r="AV894">
        <f>HYPERLINK("http://www.worldcat.org/oclc/10533395","WorldCat Record")</f>
        <v/>
      </c>
      <c r="AW894" t="inlineStr">
        <is>
          <t>2684194:eng</t>
        </is>
      </c>
      <c r="AX894" t="inlineStr">
        <is>
          <t>10533395</t>
        </is>
      </c>
      <c r="AY894" t="inlineStr">
        <is>
          <t>991000389199702656</t>
        </is>
      </c>
      <c r="AZ894" t="inlineStr">
        <is>
          <t>991000389199702656</t>
        </is>
      </c>
      <c r="BA894" t="inlineStr">
        <is>
          <t>2257485890002656</t>
        </is>
      </c>
      <c r="BB894" t="inlineStr">
        <is>
          <t>BOOK</t>
        </is>
      </c>
      <c r="BD894" t="inlineStr">
        <is>
          <t>9780674803909</t>
        </is>
      </c>
      <c r="BE894" t="inlineStr">
        <is>
          <t>32285000771070</t>
        </is>
      </c>
      <c r="BF894" t="inlineStr">
        <is>
          <t>893589394</t>
        </is>
      </c>
    </row>
    <row r="895">
      <c r="A895" t="inlineStr">
        <is>
          <t>No</t>
        </is>
      </c>
      <c r="B895" t="inlineStr">
        <is>
          <t>CURAL</t>
        </is>
      </c>
      <c r="C895" t="inlineStr">
        <is>
          <t>SHELVES</t>
        </is>
      </c>
      <c r="D895" t="inlineStr">
        <is>
          <t>PR3069.D67 G3</t>
        </is>
      </c>
      <c r="E895" t="inlineStr">
        <is>
          <t>0                      PR 3069000D  67                 G  3</t>
        </is>
      </c>
      <c r="F895" t="inlineStr">
        <is>
          <t>Dream in Shakespeare : from metaphor to metamorphosis / [by] Marjorie B. Garber.</t>
        </is>
      </c>
      <c r="H895" t="inlineStr">
        <is>
          <t>No</t>
        </is>
      </c>
      <c r="I895" t="inlineStr">
        <is>
          <t>1</t>
        </is>
      </c>
      <c r="J895" t="inlineStr">
        <is>
          <t>No</t>
        </is>
      </c>
      <c r="K895" t="inlineStr">
        <is>
          <t>No</t>
        </is>
      </c>
      <c r="L895" t="inlineStr">
        <is>
          <t>0</t>
        </is>
      </c>
      <c r="M895" t="inlineStr">
        <is>
          <t>Garber, Marjorie B.</t>
        </is>
      </c>
      <c r="N895" t="inlineStr">
        <is>
          <t>New Haven : Yale University Press, 1974.</t>
        </is>
      </c>
      <c r="O895" t="inlineStr">
        <is>
          <t>1974</t>
        </is>
      </c>
      <c r="Q895" t="inlineStr">
        <is>
          <t>eng</t>
        </is>
      </c>
      <c r="R895" t="inlineStr">
        <is>
          <t>ctu</t>
        </is>
      </c>
      <c r="T895" t="inlineStr">
        <is>
          <t xml:space="preserve">PR </t>
        </is>
      </c>
      <c r="U895" t="n">
        <v>2</v>
      </c>
      <c r="V895" t="n">
        <v>2</v>
      </c>
      <c r="W895" t="inlineStr">
        <is>
          <t>1995-08-25</t>
        </is>
      </c>
      <c r="X895" t="inlineStr">
        <is>
          <t>1995-08-25</t>
        </is>
      </c>
      <c r="Y895" t="inlineStr">
        <is>
          <t>1991-11-06</t>
        </is>
      </c>
      <c r="Z895" t="inlineStr">
        <is>
          <t>1991-11-06</t>
        </is>
      </c>
      <c r="AA895" t="n">
        <v>934</v>
      </c>
      <c r="AB895" t="n">
        <v>781</v>
      </c>
      <c r="AC895" t="n">
        <v>845</v>
      </c>
      <c r="AD895" t="n">
        <v>5</v>
      </c>
      <c r="AE895" t="n">
        <v>5</v>
      </c>
      <c r="AF895" t="n">
        <v>40</v>
      </c>
      <c r="AG895" t="n">
        <v>41</v>
      </c>
      <c r="AH895" t="n">
        <v>16</v>
      </c>
      <c r="AI895" t="n">
        <v>16</v>
      </c>
      <c r="AJ895" t="n">
        <v>9</v>
      </c>
      <c r="AK895" t="n">
        <v>10</v>
      </c>
      <c r="AL895" t="n">
        <v>22</v>
      </c>
      <c r="AM895" t="n">
        <v>22</v>
      </c>
      <c r="AN895" t="n">
        <v>4</v>
      </c>
      <c r="AO895" t="n">
        <v>4</v>
      </c>
      <c r="AP895" t="n">
        <v>0</v>
      </c>
      <c r="AQ895" t="n">
        <v>0</v>
      </c>
      <c r="AR895" t="inlineStr">
        <is>
          <t>No</t>
        </is>
      </c>
      <c r="AS895" t="inlineStr">
        <is>
          <t>No</t>
        </is>
      </c>
      <c r="AU895">
        <f>HYPERLINK("https://creighton-primo.hosted.exlibrisgroup.com/primo-explore/search?tab=default_tab&amp;search_scope=EVERYTHING&amp;vid=01CRU&amp;lang=en_US&amp;offset=0&amp;query=any,contains,991003342619702656","Catalog Record")</f>
        <v/>
      </c>
      <c r="AV895">
        <f>HYPERLINK("http://www.worldcat.org/oclc/873870","WorldCat Record")</f>
        <v/>
      </c>
      <c r="AW895" t="inlineStr">
        <is>
          <t>309239299:eng</t>
        </is>
      </c>
      <c r="AX895" t="inlineStr">
        <is>
          <t>873870</t>
        </is>
      </c>
      <c r="AY895" t="inlineStr">
        <is>
          <t>991003342619702656</t>
        </is>
      </c>
      <c r="AZ895" t="inlineStr">
        <is>
          <t>991003342619702656</t>
        </is>
      </c>
      <c r="BA895" t="inlineStr">
        <is>
          <t>2261924850002656</t>
        </is>
      </c>
      <c r="BB895" t="inlineStr">
        <is>
          <t>BOOK</t>
        </is>
      </c>
      <c r="BD895" t="inlineStr">
        <is>
          <t>9780300017069</t>
        </is>
      </c>
      <c r="BE895" t="inlineStr">
        <is>
          <t>32285000804210</t>
        </is>
      </c>
      <c r="BF895" t="inlineStr">
        <is>
          <t>893698931</t>
        </is>
      </c>
    </row>
    <row r="896">
      <c r="A896" t="inlineStr">
        <is>
          <t>No</t>
        </is>
      </c>
      <c r="B896" t="inlineStr">
        <is>
          <t>CURAL</t>
        </is>
      </c>
      <c r="C896" t="inlineStr">
        <is>
          <t>SHELVES</t>
        </is>
      </c>
      <c r="D896" t="inlineStr">
        <is>
          <t>PR3069.F37 S86 1983</t>
        </is>
      </c>
      <c r="E896" t="inlineStr">
        <is>
          <t>0                      PR 3069000F  37                 S  86          1983</t>
        </is>
      </c>
      <c r="F896" t="inlineStr">
        <is>
          <t>Shakespeare's restorations of the father / David Sundelson.</t>
        </is>
      </c>
      <c r="H896" t="inlineStr">
        <is>
          <t>No</t>
        </is>
      </c>
      <c r="I896" t="inlineStr">
        <is>
          <t>1</t>
        </is>
      </c>
      <c r="J896" t="inlineStr">
        <is>
          <t>No</t>
        </is>
      </c>
      <c r="K896" t="inlineStr">
        <is>
          <t>No</t>
        </is>
      </c>
      <c r="L896" t="inlineStr">
        <is>
          <t>0</t>
        </is>
      </c>
      <c r="M896" t="inlineStr">
        <is>
          <t>Sundelson, David, 1946-</t>
        </is>
      </c>
      <c r="N896" t="inlineStr">
        <is>
          <t>New Brunswick, N.J. : Rutgers University Press, c1983.</t>
        </is>
      </c>
      <c r="O896" t="inlineStr">
        <is>
          <t>1983</t>
        </is>
      </c>
      <c r="Q896" t="inlineStr">
        <is>
          <t>eng</t>
        </is>
      </c>
      <c r="R896" t="inlineStr">
        <is>
          <t>nju</t>
        </is>
      </c>
      <c r="T896" t="inlineStr">
        <is>
          <t xml:space="preserve">PR </t>
        </is>
      </c>
      <c r="U896" t="n">
        <v>1</v>
      </c>
      <c r="V896" t="n">
        <v>1</v>
      </c>
      <c r="W896" t="inlineStr">
        <is>
          <t>1992-11-16</t>
        </is>
      </c>
      <c r="X896" t="inlineStr">
        <is>
          <t>1992-11-16</t>
        </is>
      </c>
      <c r="Y896" t="inlineStr">
        <is>
          <t>1991-10-03</t>
        </is>
      </c>
      <c r="Z896" t="inlineStr">
        <is>
          <t>1991-10-03</t>
        </is>
      </c>
      <c r="AA896" t="n">
        <v>651</v>
      </c>
      <c r="AB896" t="n">
        <v>562</v>
      </c>
      <c r="AC896" t="n">
        <v>564</v>
      </c>
      <c r="AD896" t="n">
        <v>5</v>
      </c>
      <c r="AE896" t="n">
        <v>5</v>
      </c>
      <c r="AF896" t="n">
        <v>32</v>
      </c>
      <c r="AG896" t="n">
        <v>32</v>
      </c>
      <c r="AH896" t="n">
        <v>15</v>
      </c>
      <c r="AI896" t="n">
        <v>15</v>
      </c>
      <c r="AJ896" t="n">
        <v>6</v>
      </c>
      <c r="AK896" t="n">
        <v>6</v>
      </c>
      <c r="AL896" t="n">
        <v>15</v>
      </c>
      <c r="AM896" t="n">
        <v>15</v>
      </c>
      <c r="AN896" t="n">
        <v>4</v>
      </c>
      <c r="AO896" t="n">
        <v>4</v>
      </c>
      <c r="AP896" t="n">
        <v>0</v>
      </c>
      <c r="AQ896" t="n">
        <v>0</v>
      </c>
      <c r="AR896" t="inlineStr">
        <is>
          <t>No</t>
        </is>
      </c>
      <c r="AS896" t="inlineStr">
        <is>
          <t>Yes</t>
        </is>
      </c>
      <c r="AT896">
        <f>HYPERLINK("http://catalog.hathitrust.org/Record/000158693","HathiTrust Record")</f>
        <v/>
      </c>
      <c r="AU896">
        <f>HYPERLINK("https://creighton-primo.hosted.exlibrisgroup.com/primo-explore/search?tab=default_tab&amp;search_scope=EVERYTHING&amp;vid=01CRU&amp;lang=en_US&amp;offset=0&amp;query=any,contains,991000121039702656","Catalog Record")</f>
        <v/>
      </c>
      <c r="AV896">
        <f>HYPERLINK("http://www.worldcat.org/oclc/9066556","WorldCat Record")</f>
        <v/>
      </c>
      <c r="AW896" t="inlineStr">
        <is>
          <t>43147066:eng</t>
        </is>
      </c>
      <c r="AX896" t="inlineStr">
        <is>
          <t>9066556</t>
        </is>
      </c>
      <c r="AY896" t="inlineStr">
        <is>
          <t>991000121039702656</t>
        </is>
      </c>
      <c r="AZ896" t="inlineStr">
        <is>
          <t>991000121039702656</t>
        </is>
      </c>
      <c r="BA896" t="inlineStr">
        <is>
          <t>2269735730002656</t>
        </is>
      </c>
      <c r="BB896" t="inlineStr">
        <is>
          <t>BOOK</t>
        </is>
      </c>
      <c r="BD896" t="inlineStr">
        <is>
          <t>9780813509808</t>
        </is>
      </c>
      <c r="BE896" t="inlineStr">
        <is>
          <t>32285000771096</t>
        </is>
      </c>
      <c r="BF896" t="inlineStr">
        <is>
          <t>893595302</t>
        </is>
      </c>
    </row>
    <row r="897">
      <c r="A897" t="inlineStr">
        <is>
          <t>No</t>
        </is>
      </c>
      <c r="B897" t="inlineStr">
        <is>
          <t>CURAL</t>
        </is>
      </c>
      <c r="C897" t="inlineStr">
        <is>
          <t>SHELVES</t>
        </is>
      </c>
      <c r="D897" t="inlineStr">
        <is>
          <t>PR3069.H6 C6 1973c</t>
        </is>
      </c>
      <c r="E897" t="inlineStr">
        <is>
          <t>0                      PR 3069000H  6                  C  6           1973c</t>
        </is>
      </c>
      <c r="F897" t="inlineStr">
        <is>
          <t>When honour's at the stake: ideas of honour in Shakespeare's plays.</t>
        </is>
      </c>
      <c r="H897" t="inlineStr">
        <is>
          <t>No</t>
        </is>
      </c>
      <c r="I897" t="inlineStr">
        <is>
          <t>1</t>
        </is>
      </c>
      <c r="J897" t="inlineStr">
        <is>
          <t>No</t>
        </is>
      </c>
      <c r="K897" t="inlineStr">
        <is>
          <t>No</t>
        </is>
      </c>
      <c r="L897" t="inlineStr">
        <is>
          <t>0</t>
        </is>
      </c>
      <c r="M897" t="inlineStr">
        <is>
          <t>Council, Norman.</t>
        </is>
      </c>
      <c r="N897" t="inlineStr">
        <is>
          <t>London, Allen and Unwin, 1973.</t>
        </is>
      </c>
      <c r="O897" t="inlineStr">
        <is>
          <t>1973</t>
        </is>
      </c>
      <c r="Q897" t="inlineStr">
        <is>
          <t>eng</t>
        </is>
      </c>
      <c r="R897" t="inlineStr">
        <is>
          <t>enk</t>
        </is>
      </c>
      <c r="T897" t="inlineStr">
        <is>
          <t xml:space="preserve">PR </t>
        </is>
      </c>
      <c r="U897" t="n">
        <v>2</v>
      </c>
      <c r="V897" t="n">
        <v>2</v>
      </c>
      <c r="W897" t="inlineStr">
        <is>
          <t>2004-11-10</t>
        </is>
      </c>
      <c r="X897" t="inlineStr">
        <is>
          <t>2004-11-10</t>
        </is>
      </c>
      <c r="Y897" t="inlineStr">
        <is>
          <t>1997-08-06</t>
        </is>
      </c>
      <c r="Z897" t="inlineStr">
        <is>
          <t>1997-08-06</t>
        </is>
      </c>
      <c r="AA897" t="n">
        <v>352</v>
      </c>
      <c r="AB897" t="n">
        <v>214</v>
      </c>
      <c r="AC897" t="n">
        <v>699</v>
      </c>
      <c r="AD897" t="n">
        <v>3</v>
      </c>
      <c r="AE897" t="n">
        <v>6</v>
      </c>
      <c r="AF897" t="n">
        <v>11</v>
      </c>
      <c r="AG897" t="n">
        <v>38</v>
      </c>
      <c r="AH897" t="n">
        <v>2</v>
      </c>
      <c r="AI897" t="n">
        <v>15</v>
      </c>
      <c r="AJ897" t="n">
        <v>2</v>
      </c>
      <c r="AK897" t="n">
        <v>9</v>
      </c>
      <c r="AL897" t="n">
        <v>7</v>
      </c>
      <c r="AM897" t="n">
        <v>18</v>
      </c>
      <c r="AN897" t="n">
        <v>2</v>
      </c>
      <c r="AO897" t="n">
        <v>4</v>
      </c>
      <c r="AP897" t="n">
        <v>0</v>
      </c>
      <c r="AQ897" t="n">
        <v>0</v>
      </c>
      <c r="AR897" t="inlineStr">
        <is>
          <t>No</t>
        </is>
      </c>
      <c r="AS897" t="inlineStr">
        <is>
          <t>Yes</t>
        </is>
      </c>
      <c r="AT897">
        <f>HYPERLINK("http://catalog.hathitrust.org/Record/001019103","HathiTrust Record")</f>
        <v/>
      </c>
      <c r="AU897">
        <f>HYPERLINK("https://creighton-primo.hosted.exlibrisgroup.com/primo-explore/search?tab=default_tab&amp;search_scope=EVERYTHING&amp;vid=01CRU&amp;lang=en_US&amp;offset=0&amp;query=any,contains,991003091359702656","Catalog Record")</f>
        <v/>
      </c>
      <c r="AV897">
        <f>HYPERLINK("http://www.worldcat.org/oclc/641526","WorldCat Record")</f>
        <v/>
      </c>
      <c r="AW897" t="inlineStr">
        <is>
          <t>1795341:eng</t>
        </is>
      </c>
      <c r="AX897" t="inlineStr">
        <is>
          <t>641526</t>
        </is>
      </c>
      <c r="AY897" t="inlineStr">
        <is>
          <t>991003091359702656</t>
        </is>
      </c>
      <c r="AZ897" t="inlineStr">
        <is>
          <t>991003091359702656</t>
        </is>
      </c>
      <c r="BA897" t="inlineStr">
        <is>
          <t>2263986210002656</t>
        </is>
      </c>
      <c r="BB897" t="inlineStr">
        <is>
          <t>BOOK</t>
        </is>
      </c>
      <c r="BD897" t="inlineStr">
        <is>
          <t>9780048200136</t>
        </is>
      </c>
      <c r="BE897" t="inlineStr">
        <is>
          <t>32285003021879</t>
        </is>
      </c>
      <c r="BF897" t="inlineStr">
        <is>
          <t>893899613</t>
        </is>
      </c>
    </row>
    <row r="898">
      <c r="A898" t="inlineStr">
        <is>
          <t>No</t>
        </is>
      </c>
      <c r="B898" t="inlineStr">
        <is>
          <t>CURAL</t>
        </is>
      </c>
      <c r="C898" t="inlineStr">
        <is>
          <t>SHELVES</t>
        </is>
      </c>
      <c r="D898" t="inlineStr">
        <is>
          <t>PR3069.I57 T39 1982</t>
        </is>
      </c>
      <c r="E898" t="inlineStr">
        <is>
          <t>0                      PR 3069000I  57                 T  39          1982</t>
        </is>
      </c>
      <c r="F898" t="inlineStr">
        <is>
          <t>Shakespeare's darker purpose : a question of incest / by Mark Taylor.</t>
        </is>
      </c>
      <c r="H898" t="inlineStr">
        <is>
          <t>No</t>
        </is>
      </c>
      <c r="I898" t="inlineStr">
        <is>
          <t>1</t>
        </is>
      </c>
      <c r="J898" t="inlineStr">
        <is>
          <t>No</t>
        </is>
      </c>
      <c r="K898" t="inlineStr">
        <is>
          <t>No</t>
        </is>
      </c>
      <c r="L898" t="inlineStr">
        <is>
          <t>0</t>
        </is>
      </c>
      <c r="M898" t="inlineStr">
        <is>
          <t>Taylor, Mark, 1939-</t>
        </is>
      </c>
      <c r="N898" t="inlineStr">
        <is>
          <t>New York, N.Y. : AMS Press, c1982.</t>
        </is>
      </c>
      <c r="O898" t="inlineStr">
        <is>
          <t>1982</t>
        </is>
      </c>
      <c r="Q898" t="inlineStr">
        <is>
          <t>eng</t>
        </is>
      </c>
      <c r="R898" t="inlineStr">
        <is>
          <t>nyu</t>
        </is>
      </c>
      <c r="S898" t="inlineStr">
        <is>
          <t>AMS studies in the Renaissance, 0195-80ll ; no. 7</t>
        </is>
      </c>
      <c r="T898" t="inlineStr">
        <is>
          <t xml:space="preserve">PR </t>
        </is>
      </c>
      <c r="U898" t="n">
        <v>3</v>
      </c>
      <c r="V898" t="n">
        <v>3</v>
      </c>
      <c r="W898" t="inlineStr">
        <is>
          <t>1997-11-18</t>
        </is>
      </c>
      <c r="X898" t="inlineStr">
        <is>
          <t>1997-11-18</t>
        </is>
      </c>
      <c r="Y898" t="inlineStr">
        <is>
          <t>1991-10-03</t>
        </is>
      </c>
      <c r="Z898" t="inlineStr">
        <is>
          <t>1991-10-03</t>
        </is>
      </c>
      <c r="AA898" t="n">
        <v>347</v>
      </c>
      <c r="AB898" t="n">
        <v>263</v>
      </c>
      <c r="AC898" t="n">
        <v>263</v>
      </c>
      <c r="AD898" t="n">
        <v>3</v>
      </c>
      <c r="AE898" t="n">
        <v>3</v>
      </c>
      <c r="AF898" t="n">
        <v>14</v>
      </c>
      <c r="AG898" t="n">
        <v>14</v>
      </c>
      <c r="AH898" t="n">
        <v>3</v>
      </c>
      <c r="AI898" t="n">
        <v>3</v>
      </c>
      <c r="AJ898" t="n">
        <v>5</v>
      </c>
      <c r="AK898" t="n">
        <v>5</v>
      </c>
      <c r="AL898" t="n">
        <v>6</v>
      </c>
      <c r="AM898" t="n">
        <v>6</v>
      </c>
      <c r="AN898" t="n">
        <v>2</v>
      </c>
      <c r="AO898" t="n">
        <v>2</v>
      </c>
      <c r="AP898" t="n">
        <v>0</v>
      </c>
      <c r="AQ898" t="n">
        <v>0</v>
      </c>
      <c r="AR898" t="inlineStr">
        <is>
          <t>No</t>
        </is>
      </c>
      <c r="AS898" t="inlineStr">
        <is>
          <t>No</t>
        </is>
      </c>
      <c r="AU898">
        <f>HYPERLINK("https://creighton-primo.hosted.exlibrisgroup.com/primo-explore/search?tab=default_tab&amp;search_scope=EVERYTHING&amp;vid=01CRU&amp;lang=en_US&amp;offset=0&amp;query=any,contains,991000007629702656","Catalog Record")</f>
        <v/>
      </c>
      <c r="AV898">
        <f>HYPERLINK("http://www.worldcat.org/oclc/8532536","WorldCat Record")</f>
        <v/>
      </c>
      <c r="AW898" t="inlineStr">
        <is>
          <t>502050478:eng</t>
        </is>
      </c>
      <c r="AX898" t="inlineStr">
        <is>
          <t>8532536</t>
        </is>
      </c>
      <c r="AY898" t="inlineStr">
        <is>
          <t>991000007629702656</t>
        </is>
      </c>
      <c r="AZ898" t="inlineStr">
        <is>
          <t>991000007629702656</t>
        </is>
      </c>
      <c r="BA898" t="inlineStr">
        <is>
          <t>2269370930002656</t>
        </is>
      </c>
      <c r="BB898" t="inlineStr">
        <is>
          <t>BOOK</t>
        </is>
      </c>
      <c r="BD898" t="inlineStr">
        <is>
          <t>9780404622770</t>
        </is>
      </c>
      <c r="BE898" t="inlineStr">
        <is>
          <t>32285000771104</t>
        </is>
      </c>
      <c r="BF898" t="inlineStr">
        <is>
          <t>893412991</t>
        </is>
      </c>
    </row>
    <row r="899">
      <c r="A899" t="inlineStr">
        <is>
          <t>No</t>
        </is>
      </c>
      <c r="B899" t="inlineStr">
        <is>
          <t>CURAL</t>
        </is>
      </c>
      <c r="C899" t="inlineStr">
        <is>
          <t>SHELVES</t>
        </is>
      </c>
      <c r="D899" t="inlineStr">
        <is>
          <t>PR3069.I8 L48 1989b</t>
        </is>
      </c>
      <c r="E899" t="inlineStr">
        <is>
          <t>0                      PR 3069000I  8                  L  48          1989b</t>
        </is>
      </c>
      <c r="F899" t="inlineStr">
        <is>
          <t>Shakespeare's Italian settings and plays / Murray J. Levith.</t>
        </is>
      </c>
      <c r="H899" t="inlineStr">
        <is>
          <t>No</t>
        </is>
      </c>
      <c r="I899" t="inlineStr">
        <is>
          <t>1</t>
        </is>
      </c>
      <c r="J899" t="inlineStr">
        <is>
          <t>No</t>
        </is>
      </c>
      <c r="K899" t="inlineStr">
        <is>
          <t>No</t>
        </is>
      </c>
      <c r="L899" t="inlineStr">
        <is>
          <t>0</t>
        </is>
      </c>
      <c r="M899" t="inlineStr">
        <is>
          <t>Levith, Murray J.</t>
        </is>
      </c>
      <c r="N899" t="inlineStr">
        <is>
          <t>Basingstoke : Macmillan, 1989.</t>
        </is>
      </c>
      <c r="O899" t="inlineStr">
        <is>
          <t>1989</t>
        </is>
      </c>
      <c r="Q899" t="inlineStr">
        <is>
          <t>eng</t>
        </is>
      </c>
      <c r="R899" t="inlineStr">
        <is>
          <t>enk</t>
        </is>
      </c>
      <c r="S899" t="inlineStr">
        <is>
          <t>Contemporary interpretations of Shakespeare</t>
        </is>
      </c>
      <c r="T899" t="inlineStr">
        <is>
          <t xml:space="preserve">PR </t>
        </is>
      </c>
      <c r="U899" t="n">
        <v>4</v>
      </c>
      <c r="V899" t="n">
        <v>4</v>
      </c>
      <c r="W899" t="inlineStr">
        <is>
          <t>2004-04-12</t>
        </is>
      </c>
      <c r="X899" t="inlineStr">
        <is>
          <t>2004-04-12</t>
        </is>
      </c>
      <c r="Y899" t="inlineStr">
        <is>
          <t>1989-11-01</t>
        </is>
      </c>
      <c r="Z899" t="inlineStr">
        <is>
          <t>1989-11-01</t>
        </is>
      </c>
      <c r="AA899" t="n">
        <v>113</v>
      </c>
      <c r="AB899" t="n">
        <v>40</v>
      </c>
      <c r="AC899" t="n">
        <v>357</v>
      </c>
      <c r="AD899" t="n">
        <v>2</v>
      </c>
      <c r="AE899" t="n">
        <v>3</v>
      </c>
      <c r="AF899" t="n">
        <v>3</v>
      </c>
      <c r="AG899" t="n">
        <v>20</v>
      </c>
      <c r="AH899" t="n">
        <v>0</v>
      </c>
      <c r="AI899" t="n">
        <v>6</v>
      </c>
      <c r="AJ899" t="n">
        <v>2</v>
      </c>
      <c r="AK899" t="n">
        <v>5</v>
      </c>
      <c r="AL899" t="n">
        <v>2</v>
      </c>
      <c r="AM899" t="n">
        <v>15</v>
      </c>
      <c r="AN899" t="n">
        <v>1</v>
      </c>
      <c r="AO899" t="n">
        <v>2</v>
      </c>
      <c r="AP899" t="n">
        <v>0</v>
      </c>
      <c r="AQ899" t="n">
        <v>0</v>
      </c>
      <c r="AR899" t="inlineStr">
        <is>
          <t>No</t>
        </is>
      </c>
      <c r="AS899" t="inlineStr">
        <is>
          <t>Yes</t>
        </is>
      </c>
      <c r="AT899">
        <f>HYPERLINK("http://catalog.hathitrust.org/Record/001105357","HathiTrust Record")</f>
        <v/>
      </c>
      <c r="AU899">
        <f>HYPERLINK("https://creighton-primo.hosted.exlibrisgroup.com/primo-explore/search?tab=default_tab&amp;search_scope=EVERYTHING&amp;vid=01CRU&amp;lang=en_US&amp;offset=0&amp;query=any,contains,991001044029702656","Catalog Record")</f>
        <v/>
      </c>
      <c r="AV899">
        <f>HYPERLINK("http://www.worldcat.org/oclc/15594373","WorldCat Record")</f>
        <v/>
      </c>
      <c r="AW899" t="inlineStr">
        <is>
          <t>10681107:eng</t>
        </is>
      </c>
      <c r="AX899" t="inlineStr">
        <is>
          <t>15594373</t>
        </is>
      </c>
      <c r="AY899" t="inlineStr">
        <is>
          <t>991001044029702656</t>
        </is>
      </c>
      <c r="AZ899" t="inlineStr">
        <is>
          <t>991001044029702656</t>
        </is>
      </c>
      <c r="BA899" t="inlineStr">
        <is>
          <t>2254729300002656</t>
        </is>
      </c>
      <c r="BB899" t="inlineStr">
        <is>
          <t>BOOK</t>
        </is>
      </c>
      <c r="BD899" t="inlineStr">
        <is>
          <t>9780333439661</t>
        </is>
      </c>
      <c r="BE899" t="inlineStr">
        <is>
          <t>32285000010891</t>
        </is>
      </c>
      <c r="BF899" t="inlineStr">
        <is>
          <t>893791118</t>
        </is>
      </c>
    </row>
    <row r="900">
      <c r="A900" t="inlineStr">
        <is>
          <t>No</t>
        </is>
      </c>
      <c r="B900" t="inlineStr">
        <is>
          <t>CURAL</t>
        </is>
      </c>
      <c r="C900" t="inlineStr">
        <is>
          <t>SHELVES</t>
        </is>
      </c>
      <c r="D900" t="inlineStr">
        <is>
          <t>PR3069.L6 H35 1989</t>
        </is>
      </c>
      <c r="E900" t="inlineStr">
        <is>
          <t>0                      PR 3069000L  6                  H  35          1989</t>
        </is>
      </c>
      <c r="F900" t="inlineStr">
        <is>
          <t>The structure of love : representational patterns and Shakespeare's love tragedies / Michael Hall.</t>
        </is>
      </c>
      <c r="H900" t="inlineStr">
        <is>
          <t>No</t>
        </is>
      </c>
      <c r="I900" t="inlineStr">
        <is>
          <t>1</t>
        </is>
      </c>
      <c r="J900" t="inlineStr">
        <is>
          <t>No</t>
        </is>
      </c>
      <c r="K900" t="inlineStr">
        <is>
          <t>No</t>
        </is>
      </c>
      <c r="L900" t="inlineStr">
        <is>
          <t>0</t>
        </is>
      </c>
      <c r="M900" t="inlineStr">
        <is>
          <t>Hall, Michael, 1951-</t>
        </is>
      </c>
      <c r="N900" t="inlineStr">
        <is>
          <t>Charlottesville : University Press of Virginia, 1989.</t>
        </is>
      </c>
      <c r="O900" t="inlineStr">
        <is>
          <t>1989</t>
        </is>
      </c>
      <c r="Q900" t="inlineStr">
        <is>
          <t>eng</t>
        </is>
      </c>
      <c r="R900" t="inlineStr">
        <is>
          <t>vau</t>
        </is>
      </c>
      <c r="T900" t="inlineStr">
        <is>
          <t xml:space="preserve">PR </t>
        </is>
      </c>
      <c r="U900" t="n">
        <v>3</v>
      </c>
      <c r="V900" t="n">
        <v>3</v>
      </c>
      <c r="W900" t="inlineStr">
        <is>
          <t>1997-12-11</t>
        </is>
      </c>
      <c r="X900" t="inlineStr">
        <is>
          <t>1997-12-11</t>
        </is>
      </c>
      <c r="Y900" t="inlineStr">
        <is>
          <t>1991-10-03</t>
        </is>
      </c>
      <c r="Z900" t="inlineStr">
        <is>
          <t>1991-10-03</t>
        </is>
      </c>
      <c r="AA900" t="n">
        <v>359</v>
      </c>
      <c r="AB900" t="n">
        <v>293</v>
      </c>
      <c r="AC900" t="n">
        <v>294</v>
      </c>
      <c r="AD900" t="n">
        <v>3</v>
      </c>
      <c r="AE900" t="n">
        <v>3</v>
      </c>
      <c r="AF900" t="n">
        <v>14</v>
      </c>
      <c r="AG900" t="n">
        <v>14</v>
      </c>
      <c r="AH900" t="n">
        <v>2</v>
      </c>
      <c r="AI900" t="n">
        <v>2</v>
      </c>
      <c r="AJ900" t="n">
        <v>3</v>
      </c>
      <c r="AK900" t="n">
        <v>3</v>
      </c>
      <c r="AL900" t="n">
        <v>10</v>
      </c>
      <c r="AM900" t="n">
        <v>10</v>
      </c>
      <c r="AN900" t="n">
        <v>2</v>
      </c>
      <c r="AO900" t="n">
        <v>2</v>
      </c>
      <c r="AP900" t="n">
        <v>0</v>
      </c>
      <c r="AQ900" t="n">
        <v>0</v>
      </c>
      <c r="AR900" t="inlineStr">
        <is>
          <t>No</t>
        </is>
      </c>
      <c r="AS900" t="inlineStr">
        <is>
          <t>No</t>
        </is>
      </c>
      <c r="AU900">
        <f>HYPERLINK("https://creighton-primo.hosted.exlibrisgroup.com/primo-explore/search?tab=default_tab&amp;search_scope=EVERYTHING&amp;vid=01CRU&amp;lang=en_US&amp;offset=0&amp;query=any,contains,991001308399702656","Catalog Record")</f>
        <v/>
      </c>
      <c r="AV900">
        <f>HYPERLINK("http://www.worldcat.org/oclc/18134624","WorldCat Record")</f>
        <v/>
      </c>
      <c r="AW900" t="inlineStr">
        <is>
          <t>375688781:eng</t>
        </is>
      </c>
      <c r="AX900" t="inlineStr">
        <is>
          <t>18134624</t>
        </is>
      </c>
      <c r="AY900" t="inlineStr">
        <is>
          <t>991001308399702656</t>
        </is>
      </c>
      <c r="AZ900" t="inlineStr">
        <is>
          <t>991001308399702656</t>
        </is>
      </c>
      <c r="BA900" t="inlineStr">
        <is>
          <t>2259808560002656</t>
        </is>
      </c>
      <c r="BB900" t="inlineStr">
        <is>
          <t>BOOK</t>
        </is>
      </c>
      <c r="BD900" t="inlineStr">
        <is>
          <t>9780813912073</t>
        </is>
      </c>
      <c r="BE900" t="inlineStr">
        <is>
          <t>32285000771120</t>
        </is>
      </c>
      <c r="BF900" t="inlineStr">
        <is>
          <t>893244031</t>
        </is>
      </c>
    </row>
    <row r="901">
      <c r="A901" t="inlineStr">
        <is>
          <t>No</t>
        </is>
      </c>
      <c r="B901" t="inlineStr">
        <is>
          <t>CURAL</t>
        </is>
      </c>
      <c r="C901" t="inlineStr">
        <is>
          <t>SHELVES</t>
        </is>
      </c>
      <c r="D901" t="inlineStr">
        <is>
          <t>PR3069.L6 H6</t>
        </is>
      </c>
      <c r="E901" t="inlineStr">
        <is>
          <t>0                      PR 3069000L  6                  H  6</t>
        </is>
      </c>
      <c r="F901" t="inlineStr">
        <is>
          <t>Shakespeare's philosophy of love.</t>
        </is>
      </c>
      <c r="H901" t="inlineStr">
        <is>
          <t>No</t>
        </is>
      </c>
      <c r="I901" t="inlineStr">
        <is>
          <t>1</t>
        </is>
      </c>
      <c r="J901" t="inlineStr">
        <is>
          <t>No</t>
        </is>
      </c>
      <c r="K901" t="inlineStr">
        <is>
          <t>No</t>
        </is>
      </c>
      <c r="L901" t="inlineStr">
        <is>
          <t>0</t>
        </is>
      </c>
      <c r="M901" t="inlineStr">
        <is>
          <t>Horne, Herman Harrell, 1874-1946.</t>
        </is>
      </c>
      <c r="N901" t="inlineStr">
        <is>
          <t>[Raleigh, N.C. : Printed by Edwards &amp; Broughton Co.], 1945.</t>
        </is>
      </c>
      <c r="O901" t="inlineStr">
        <is>
          <t>1945</t>
        </is>
      </c>
      <c r="Q901" t="inlineStr">
        <is>
          <t>eng</t>
        </is>
      </c>
      <c r="R901" t="inlineStr">
        <is>
          <t xml:space="preserve">xx </t>
        </is>
      </c>
      <c r="T901" t="inlineStr">
        <is>
          <t xml:space="preserve">PR </t>
        </is>
      </c>
      <c r="U901" t="n">
        <v>6</v>
      </c>
      <c r="V901" t="n">
        <v>6</v>
      </c>
      <c r="W901" t="inlineStr">
        <is>
          <t>2008-11-30</t>
        </is>
      </c>
      <c r="X901" t="inlineStr">
        <is>
          <t>2008-11-30</t>
        </is>
      </c>
      <c r="Y901" t="inlineStr">
        <is>
          <t>1991-11-06</t>
        </is>
      </c>
      <c r="Z901" t="inlineStr">
        <is>
          <t>1991-11-06</t>
        </is>
      </c>
      <c r="AA901" t="n">
        <v>304</v>
      </c>
      <c r="AB901" t="n">
        <v>294</v>
      </c>
      <c r="AC901" t="n">
        <v>305</v>
      </c>
      <c r="AD901" t="n">
        <v>6</v>
      </c>
      <c r="AE901" t="n">
        <v>6</v>
      </c>
      <c r="AF901" t="n">
        <v>20</v>
      </c>
      <c r="AG901" t="n">
        <v>20</v>
      </c>
      <c r="AH901" t="n">
        <v>7</v>
      </c>
      <c r="AI901" t="n">
        <v>7</v>
      </c>
      <c r="AJ901" t="n">
        <v>0</v>
      </c>
      <c r="AK901" t="n">
        <v>0</v>
      </c>
      <c r="AL901" t="n">
        <v>12</v>
      </c>
      <c r="AM901" t="n">
        <v>12</v>
      </c>
      <c r="AN901" t="n">
        <v>5</v>
      </c>
      <c r="AO901" t="n">
        <v>5</v>
      </c>
      <c r="AP901" t="n">
        <v>0</v>
      </c>
      <c r="AQ901" t="n">
        <v>0</v>
      </c>
      <c r="AR901" t="inlineStr">
        <is>
          <t>Yes</t>
        </is>
      </c>
      <c r="AS901" t="inlineStr">
        <is>
          <t>No</t>
        </is>
      </c>
      <c r="AT901">
        <f>HYPERLINK("http://catalog.hathitrust.org/Record/001110941","HathiTrust Record")</f>
        <v/>
      </c>
      <c r="AU901">
        <f>HYPERLINK("https://creighton-primo.hosted.exlibrisgroup.com/primo-explore/search?tab=default_tab&amp;search_scope=EVERYTHING&amp;vid=01CRU&amp;lang=en_US&amp;offset=0&amp;query=any,contains,991003420679702656","Catalog Record")</f>
        <v/>
      </c>
      <c r="AV901">
        <f>HYPERLINK("http://www.worldcat.org/oclc/961557","WorldCat Record")</f>
        <v/>
      </c>
      <c r="AW901" t="inlineStr">
        <is>
          <t>1913283:eng</t>
        </is>
      </c>
      <c r="AX901" t="inlineStr">
        <is>
          <t>961557</t>
        </is>
      </c>
      <c r="AY901" t="inlineStr">
        <is>
          <t>991003420679702656</t>
        </is>
      </c>
      <c r="AZ901" t="inlineStr">
        <is>
          <t>991003420679702656</t>
        </is>
      </c>
      <c r="BA901" t="inlineStr">
        <is>
          <t>2256108880002656</t>
        </is>
      </c>
      <c r="BB901" t="inlineStr">
        <is>
          <t>BOOK</t>
        </is>
      </c>
      <c r="BE901" t="inlineStr">
        <is>
          <t>32285000803709</t>
        </is>
      </c>
      <c r="BF901" t="inlineStr">
        <is>
          <t>893240193</t>
        </is>
      </c>
    </row>
    <row r="902">
      <c r="A902" t="inlineStr">
        <is>
          <t>No</t>
        </is>
      </c>
      <c r="B902" t="inlineStr">
        <is>
          <t>CURAL</t>
        </is>
      </c>
      <c r="C902" t="inlineStr">
        <is>
          <t>SHELVES</t>
        </is>
      </c>
      <c r="D902" t="inlineStr">
        <is>
          <t>PR3069.L6 K5</t>
        </is>
      </c>
      <c r="E902" t="inlineStr">
        <is>
          <t>0                      PR 3069000L  6                  K  5</t>
        </is>
      </c>
      <c r="F902" t="inlineStr">
        <is>
          <t>Shakespeare and the experience of love / Arthur Kirsch.</t>
        </is>
      </c>
      <c r="H902" t="inlineStr">
        <is>
          <t>No</t>
        </is>
      </c>
      <c r="I902" t="inlineStr">
        <is>
          <t>1</t>
        </is>
      </c>
      <c r="J902" t="inlineStr">
        <is>
          <t>No</t>
        </is>
      </c>
      <c r="K902" t="inlineStr">
        <is>
          <t>No</t>
        </is>
      </c>
      <c r="L902" t="inlineStr">
        <is>
          <t>0</t>
        </is>
      </c>
      <c r="M902" t="inlineStr">
        <is>
          <t>Kirsch, Arthur C.</t>
        </is>
      </c>
      <c r="N902" t="inlineStr">
        <is>
          <t>Cambridge [Eng.] ; New York : Cambridge University Press, 1981.</t>
        </is>
      </c>
      <c r="O902" t="inlineStr">
        <is>
          <t>1981</t>
        </is>
      </c>
      <c r="Q902" t="inlineStr">
        <is>
          <t>eng</t>
        </is>
      </c>
      <c r="R902" t="inlineStr">
        <is>
          <t>enk</t>
        </is>
      </c>
      <c r="T902" t="inlineStr">
        <is>
          <t xml:space="preserve">PR </t>
        </is>
      </c>
      <c r="U902" t="n">
        <v>1</v>
      </c>
      <c r="V902" t="n">
        <v>1</v>
      </c>
      <c r="W902" t="inlineStr">
        <is>
          <t>2008-11-30</t>
        </is>
      </c>
      <c r="X902" t="inlineStr">
        <is>
          <t>2008-11-30</t>
        </is>
      </c>
      <c r="Y902" t="inlineStr">
        <is>
          <t>1991-10-03</t>
        </is>
      </c>
      <c r="Z902" t="inlineStr">
        <is>
          <t>1991-10-03</t>
        </is>
      </c>
      <c r="AA902" t="n">
        <v>699</v>
      </c>
      <c r="AB902" t="n">
        <v>545</v>
      </c>
      <c r="AC902" t="n">
        <v>552</v>
      </c>
      <c r="AD902" t="n">
        <v>3</v>
      </c>
      <c r="AE902" t="n">
        <v>3</v>
      </c>
      <c r="AF902" t="n">
        <v>22</v>
      </c>
      <c r="AG902" t="n">
        <v>22</v>
      </c>
      <c r="AH902" t="n">
        <v>7</v>
      </c>
      <c r="AI902" t="n">
        <v>7</v>
      </c>
      <c r="AJ902" t="n">
        <v>7</v>
      </c>
      <c r="AK902" t="n">
        <v>7</v>
      </c>
      <c r="AL902" t="n">
        <v>12</v>
      </c>
      <c r="AM902" t="n">
        <v>12</v>
      </c>
      <c r="AN902" t="n">
        <v>2</v>
      </c>
      <c r="AO902" t="n">
        <v>2</v>
      </c>
      <c r="AP902" t="n">
        <v>0</v>
      </c>
      <c r="AQ902" t="n">
        <v>0</v>
      </c>
      <c r="AR902" t="inlineStr">
        <is>
          <t>No</t>
        </is>
      </c>
      <c r="AS902" t="inlineStr">
        <is>
          <t>No</t>
        </is>
      </c>
      <c r="AU902">
        <f>HYPERLINK("https://creighton-primo.hosted.exlibrisgroup.com/primo-explore/search?tab=default_tab&amp;search_scope=EVERYTHING&amp;vid=01CRU&amp;lang=en_US&amp;offset=0&amp;query=any,contains,991005089249702656","Catalog Record")</f>
        <v/>
      </c>
      <c r="AV902">
        <f>HYPERLINK("http://www.worldcat.org/oclc/7205534","WorldCat Record")</f>
        <v/>
      </c>
      <c r="AW902" t="inlineStr">
        <is>
          <t>25493382:eng</t>
        </is>
      </c>
      <c r="AX902" t="inlineStr">
        <is>
          <t>7205534</t>
        </is>
      </c>
      <c r="AY902" t="inlineStr">
        <is>
          <t>991005089249702656</t>
        </is>
      </c>
      <c r="AZ902" t="inlineStr">
        <is>
          <t>991005089249702656</t>
        </is>
      </c>
      <c r="BA902" t="inlineStr">
        <is>
          <t>2264574120002656</t>
        </is>
      </c>
      <c r="BB902" t="inlineStr">
        <is>
          <t>BOOK</t>
        </is>
      </c>
      <c r="BD902" t="inlineStr">
        <is>
          <t>9780521238250</t>
        </is>
      </c>
      <c r="BE902" t="inlineStr">
        <is>
          <t>32285000771138</t>
        </is>
      </c>
      <c r="BF902" t="inlineStr">
        <is>
          <t>893628529</t>
        </is>
      </c>
    </row>
    <row r="903">
      <c r="A903" t="inlineStr">
        <is>
          <t>No</t>
        </is>
      </c>
      <c r="B903" t="inlineStr">
        <is>
          <t>CURAL</t>
        </is>
      </c>
      <c r="C903" t="inlineStr">
        <is>
          <t>SHELVES</t>
        </is>
      </c>
      <c r="D903" t="inlineStr">
        <is>
          <t>PR3069.R6 C3</t>
        </is>
      </c>
      <c r="E903" t="inlineStr">
        <is>
          <t>0                      PR 3069000R  6                  C  3</t>
        </is>
      </c>
      <c r="F903" t="inlineStr">
        <is>
          <t>Shakespeare's Rome, Republic and Empire / Paul A. Cantor.</t>
        </is>
      </c>
      <c r="H903" t="inlineStr">
        <is>
          <t>No</t>
        </is>
      </c>
      <c r="I903" t="inlineStr">
        <is>
          <t>1</t>
        </is>
      </c>
      <c r="J903" t="inlineStr">
        <is>
          <t>No</t>
        </is>
      </c>
      <c r="K903" t="inlineStr">
        <is>
          <t>No</t>
        </is>
      </c>
      <c r="L903" t="inlineStr">
        <is>
          <t>0</t>
        </is>
      </c>
      <c r="M903" t="inlineStr">
        <is>
          <t>Cantor, Paul A. (Paul Arthur), 1945-</t>
        </is>
      </c>
      <c r="N903" t="inlineStr">
        <is>
          <t>Ithaca, N.Y. : Cornell University Press, 1976.</t>
        </is>
      </c>
      <c r="O903" t="inlineStr">
        <is>
          <t>1976</t>
        </is>
      </c>
      <c r="Q903" t="inlineStr">
        <is>
          <t>eng</t>
        </is>
      </c>
      <c r="R903" t="inlineStr">
        <is>
          <t>nyu</t>
        </is>
      </c>
      <c r="T903" t="inlineStr">
        <is>
          <t xml:space="preserve">PR </t>
        </is>
      </c>
      <c r="U903" t="n">
        <v>2</v>
      </c>
      <c r="V903" t="n">
        <v>2</v>
      </c>
      <c r="W903" t="inlineStr">
        <is>
          <t>2010-04-15</t>
        </is>
      </c>
      <c r="X903" t="inlineStr">
        <is>
          <t>2010-04-15</t>
        </is>
      </c>
      <c r="Y903" t="inlineStr">
        <is>
          <t>1991-10-03</t>
        </is>
      </c>
      <c r="Z903" t="inlineStr">
        <is>
          <t>1991-10-03</t>
        </is>
      </c>
      <c r="AA903" t="n">
        <v>762</v>
      </c>
      <c r="AB903" t="n">
        <v>615</v>
      </c>
      <c r="AC903" t="n">
        <v>662</v>
      </c>
      <c r="AD903" t="n">
        <v>6</v>
      </c>
      <c r="AE903" t="n">
        <v>6</v>
      </c>
      <c r="AF903" t="n">
        <v>36</v>
      </c>
      <c r="AG903" t="n">
        <v>38</v>
      </c>
      <c r="AH903" t="n">
        <v>14</v>
      </c>
      <c r="AI903" t="n">
        <v>15</v>
      </c>
      <c r="AJ903" t="n">
        <v>8</v>
      </c>
      <c r="AK903" t="n">
        <v>9</v>
      </c>
      <c r="AL903" t="n">
        <v>18</v>
      </c>
      <c r="AM903" t="n">
        <v>19</v>
      </c>
      <c r="AN903" t="n">
        <v>5</v>
      </c>
      <c r="AO903" t="n">
        <v>5</v>
      </c>
      <c r="AP903" t="n">
        <v>0</v>
      </c>
      <c r="AQ903" t="n">
        <v>0</v>
      </c>
      <c r="AR903" t="inlineStr">
        <is>
          <t>No</t>
        </is>
      </c>
      <c r="AS903" t="inlineStr">
        <is>
          <t>Yes</t>
        </is>
      </c>
      <c r="AT903">
        <f>HYPERLINK("http://catalog.hathitrust.org/Record/000710223","HathiTrust Record")</f>
        <v/>
      </c>
      <c r="AU903">
        <f>HYPERLINK("https://creighton-primo.hosted.exlibrisgroup.com/primo-explore/search?tab=default_tab&amp;search_scope=EVERYTHING&amp;vid=01CRU&amp;lang=en_US&amp;offset=0&amp;query=any,contains,991003953039702656","Catalog Record")</f>
        <v/>
      </c>
      <c r="AV903">
        <f>HYPERLINK("http://www.worldcat.org/oclc/1959461","WorldCat Record")</f>
        <v/>
      </c>
      <c r="AW903" t="inlineStr">
        <is>
          <t>2637693:eng</t>
        </is>
      </c>
      <c r="AX903" t="inlineStr">
        <is>
          <t>1959461</t>
        </is>
      </c>
      <c r="AY903" t="inlineStr">
        <is>
          <t>991003953039702656</t>
        </is>
      </c>
      <c r="AZ903" t="inlineStr">
        <is>
          <t>991003953039702656</t>
        </is>
      </c>
      <c r="BA903" t="inlineStr">
        <is>
          <t>2266123950002656</t>
        </is>
      </c>
      <c r="BB903" t="inlineStr">
        <is>
          <t>BOOK</t>
        </is>
      </c>
      <c r="BD903" t="inlineStr">
        <is>
          <t>9780801409677</t>
        </is>
      </c>
      <c r="BE903" t="inlineStr">
        <is>
          <t>32285000771161</t>
        </is>
      </c>
      <c r="BF903" t="inlineStr">
        <is>
          <t>893593099</t>
        </is>
      </c>
    </row>
    <row r="904">
      <c r="A904" t="inlineStr">
        <is>
          <t>No</t>
        </is>
      </c>
      <c r="B904" t="inlineStr">
        <is>
          <t>CURAL</t>
        </is>
      </c>
      <c r="C904" t="inlineStr">
        <is>
          <t>SHELVES</t>
        </is>
      </c>
      <c r="D904" t="inlineStr">
        <is>
          <t>PR3069.R6 P6 1983</t>
        </is>
      </c>
      <c r="E904" t="inlineStr">
        <is>
          <t>0                      PR 3069000R  6                  P  6           1983</t>
        </is>
      </c>
      <c r="F904" t="inlineStr">
        <is>
          <t>Rome and Romans according to Shakespeare / Michael Platt.</t>
        </is>
      </c>
      <c r="H904" t="inlineStr">
        <is>
          <t>No</t>
        </is>
      </c>
      <c r="I904" t="inlineStr">
        <is>
          <t>1</t>
        </is>
      </c>
      <c r="J904" t="inlineStr">
        <is>
          <t>No</t>
        </is>
      </c>
      <c r="K904" t="inlineStr">
        <is>
          <t>No</t>
        </is>
      </c>
      <c r="L904" t="inlineStr">
        <is>
          <t>0</t>
        </is>
      </c>
      <c r="M904" t="inlineStr">
        <is>
          <t>Platt, Michael.</t>
        </is>
      </c>
      <c r="N904" t="inlineStr">
        <is>
          <t>Lanham, MD : University Press of America, c1983.</t>
        </is>
      </c>
      <c r="O904" t="inlineStr">
        <is>
          <t>1983</t>
        </is>
      </c>
      <c r="P904" t="inlineStr">
        <is>
          <t>Rev. ed.</t>
        </is>
      </c>
      <c r="Q904" t="inlineStr">
        <is>
          <t>eng</t>
        </is>
      </c>
      <c r="R904" t="inlineStr">
        <is>
          <t>mdu</t>
        </is>
      </c>
      <c r="T904" t="inlineStr">
        <is>
          <t xml:space="preserve">PR </t>
        </is>
      </c>
      <c r="U904" t="n">
        <v>4</v>
      </c>
      <c r="V904" t="n">
        <v>4</v>
      </c>
      <c r="W904" t="inlineStr">
        <is>
          <t>2010-10-07</t>
        </is>
      </c>
      <c r="X904" t="inlineStr">
        <is>
          <t>2010-10-07</t>
        </is>
      </c>
      <c r="Y904" t="inlineStr">
        <is>
          <t>1991-10-03</t>
        </is>
      </c>
      <c r="Z904" t="inlineStr">
        <is>
          <t>1991-10-03</t>
        </is>
      </c>
      <c r="AA904" t="n">
        <v>276</v>
      </c>
      <c r="AB904" t="n">
        <v>227</v>
      </c>
      <c r="AC904" t="n">
        <v>227</v>
      </c>
      <c r="AD904" t="n">
        <v>2</v>
      </c>
      <c r="AE904" t="n">
        <v>2</v>
      </c>
      <c r="AF904" t="n">
        <v>9</v>
      </c>
      <c r="AG904" t="n">
        <v>9</v>
      </c>
      <c r="AH904" t="n">
        <v>2</v>
      </c>
      <c r="AI904" t="n">
        <v>2</v>
      </c>
      <c r="AJ904" t="n">
        <v>1</v>
      </c>
      <c r="AK904" t="n">
        <v>1</v>
      </c>
      <c r="AL904" t="n">
        <v>8</v>
      </c>
      <c r="AM904" t="n">
        <v>8</v>
      </c>
      <c r="AN904" t="n">
        <v>1</v>
      </c>
      <c r="AO904" t="n">
        <v>1</v>
      </c>
      <c r="AP904" t="n">
        <v>0</v>
      </c>
      <c r="AQ904" t="n">
        <v>0</v>
      </c>
      <c r="AR904" t="inlineStr">
        <is>
          <t>No</t>
        </is>
      </c>
      <c r="AS904" t="inlineStr">
        <is>
          <t>No</t>
        </is>
      </c>
      <c r="AU904">
        <f>HYPERLINK("https://creighton-primo.hosted.exlibrisgroup.com/primo-explore/search?tab=default_tab&amp;search_scope=EVERYTHING&amp;vid=01CRU&amp;lang=en_US&amp;offset=0&amp;query=any,contains,991000294009702656","Catalog Record")</f>
        <v/>
      </c>
      <c r="AV904">
        <f>HYPERLINK("http://www.worldcat.org/oclc/9971432","WorldCat Record")</f>
        <v/>
      </c>
      <c r="AW904" t="inlineStr">
        <is>
          <t>5090800667:eng</t>
        </is>
      </c>
      <c r="AX904" t="inlineStr">
        <is>
          <t>9971432</t>
        </is>
      </c>
      <c r="AY904" t="inlineStr">
        <is>
          <t>991000294009702656</t>
        </is>
      </c>
      <c r="AZ904" t="inlineStr">
        <is>
          <t>991000294009702656</t>
        </is>
      </c>
      <c r="BA904" t="inlineStr">
        <is>
          <t>2257819440002656</t>
        </is>
      </c>
      <c r="BB904" t="inlineStr">
        <is>
          <t>BOOK</t>
        </is>
      </c>
      <c r="BD904" t="inlineStr">
        <is>
          <t>9780819136251</t>
        </is>
      </c>
      <c r="BE904" t="inlineStr">
        <is>
          <t>32285000771187</t>
        </is>
      </c>
      <c r="BF904" t="inlineStr">
        <is>
          <t>893902958</t>
        </is>
      </c>
    </row>
    <row r="905">
      <c r="A905" t="inlineStr">
        <is>
          <t>No</t>
        </is>
      </c>
      <c r="B905" t="inlineStr">
        <is>
          <t>CURAL</t>
        </is>
      </c>
      <c r="C905" t="inlineStr">
        <is>
          <t>SHELVES</t>
        </is>
      </c>
      <c r="D905" t="inlineStr">
        <is>
          <t>PR3069.R6 T47 1989</t>
        </is>
      </c>
      <c r="E905" t="inlineStr">
        <is>
          <t>0                      PR 3069000R  6                  T  47          1989</t>
        </is>
      </c>
      <c r="F905" t="inlineStr">
        <is>
          <t>Shakespeare's Roman worlds / Vivian Thomas.</t>
        </is>
      </c>
      <c r="H905" t="inlineStr">
        <is>
          <t>No</t>
        </is>
      </c>
      <c r="I905" t="inlineStr">
        <is>
          <t>1</t>
        </is>
      </c>
      <c r="J905" t="inlineStr">
        <is>
          <t>No</t>
        </is>
      </c>
      <c r="K905" t="inlineStr">
        <is>
          <t>No</t>
        </is>
      </c>
      <c r="L905" t="inlineStr">
        <is>
          <t>0</t>
        </is>
      </c>
      <c r="M905" t="inlineStr">
        <is>
          <t>Thomas, Vivian.</t>
        </is>
      </c>
      <c r="N905" t="inlineStr">
        <is>
          <t>London ; New York : Routledge, c1989.</t>
        </is>
      </c>
      <c r="O905" t="inlineStr">
        <is>
          <t>1989</t>
        </is>
      </c>
      <c r="Q905" t="inlineStr">
        <is>
          <t>eng</t>
        </is>
      </c>
      <c r="R905" t="inlineStr">
        <is>
          <t>enk</t>
        </is>
      </c>
      <c r="T905" t="inlineStr">
        <is>
          <t xml:space="preserve">PR </t>
        </is>
      </c>
      <c r="U905" t="n">
        <v>5</v>
      </c>
      <c r="V905" t="n">
        <v>5</v>
      </c>
      <c r="W905" t="inlineStr">
        <is>
          <t>2010-10-07</t>
        </is>
      </c>
      <c r="X905" t="inlineStr">
        <is>
          <t>2010-10-07</t>
        </is>
      </c>
      <c r="Y905" t="inlineStr">
        <is>
          <t>1990-04-07</t>
        </is>
      </c>
      <c r="Z905" t="inlineStr">
        <is>
          <t>1990-04-07</t>
        </is>
      </c>
      <c r="AA905" t="n">
        <v>542</v>
      </c>
      <c r="AB905" t="n">
        <v>426</v>
      </c>
      <c r="AC905" t="n">
        <v>430</v>
      </c>
      <c r="AD905" t="n">
        <v>4</v>
      </c>
      <c r="AE905" t="n">
        <v>4</v>
      </c>
      <c r="AF905" t="n">
        <v>25</v>
      </c>
      <c r="AG905" t="n">
        <v>25</v>
      </c>
      <c r="AH905" t="n">
        <v>8</v>
      </c>
      <c r="AI905" t="n">
        <v>8</v>
      </c>
      <c r="AJ905" t="n">
        <v>6</v>
      </c>
      <c r="AK905" t="n">
        <v>6</v>
      </c>
      <c r="AL905" t="n">
        <v>15</v>
      </c>
      <c r="AM905" t="n">
        <v>15</v>
      </c>
      <c r="AN905" t="n">
        <v>3</v>
      </c>
      <c r="AO905" t="n">
        <v>3</v>
      </c>
      <c r="AP905" t="n">
        <v>0</v>
      </c>
      <c r="AQ905" t="n">
        <v>0</v>
      </c>
      <c r="AR905" t="inlineStr">
        <is>
          <t>No</t>
        </is>
      </c>
      <c r="AS905" t="inlineStr">
        <is>
          <t>Yes</t>
        </is>
      </c>
      <c r="AT905">
        <f>HYPERLINK("http://catalog.hathitrust.org/Record/001831324","HathiTrust Record")</f>
        <v/>
      </c>
      <c r="AU905">
        <f>HYPERLINK("https://creighton-primo.hosted.exlibrisgroup.com/primo-explore/search?tab=default_tab&amp;search_scope=EVERYTHING&amp;vid=01CRU&amp;lang=en_US&amp;offset=0&amp;query=any,contains,991001434229702656","Catalog Record")</f>
        <v/>
      </c>
      <c r="AV905">
        <f>HYPERLINK("http://www.worldcat.org/oclc/19126047","WorldCat Record")</f>
        <v/>
      </c>
      <c r="AW905" t="inlineStr">
        <is>
          <t>18617330:eng</t>
        </is>
      </c>
      <c r="AX905" t="inlineStr">
        <is>
          <t>19126047</t>
        </is>
      </c>
      <c r="AY905" t="inlineStr">
        <is>
          <t>991001434229702656</t>
        </is>
      </c>
      <c r="AZ905" t="inlineStr">
        <is>
          <t>991001434229702656</t>
        </is>
      </c>
      <c r="BA905" t="inlineStr">
        <is>
          <t>2271494670002656</t>
        </is>
      </c>
      <c r="BB905" t="inlineStr">
        <is>
          <t>BOOK</t>
        </is>
      </c>
      <c r="BD905" t="inlineStr">
        <is>
          <t>9780415007566</t>
        </is>
      </c>
      <c r="BE905" t="inlineStr">
        <is>
          <t>32285000093756</t>
        </is>
      </c>
      <c r="BF905" t="inlineStr">
        <is>
          <t>893503421</t>
        </is>
      </c>
    </row>
    <row r="906">
      <c r="A906" t="inlineStr">
        <is>
          <t>No</t>
        </is>
      </c>
      <c r="B906" t="inlineStr">
        <is>
          <t>CURAL</t>
        </is>
      </c>
      <c r="C906" t="inlineStr">
        <is>
          <t>SHELVES</t>
        </is>
      </c>
      <c r="D906" t="inlineStr">
        <is>
          <t>PR3069.S4 D74 1983</t>
        </is>
      </c>
      <c r="E906" t="inlineStr">
        <is>
          <t>0                      PR 3069000S  4                  D  74          1983</t>
        </is>
      </c>
      <c r="F906" t="inlineStr">
        <is>
          <t>Identity in Shakespearean drama / James P. Driscoll.</t>
        </is>
      </c>
      <c r="H906" t="inlineStr">
        <is>
          <t>No</t>
        </is>
      </c>
      <c r="I906" t="inlineStr">
        <is>
          <t>1</t>
        </is>
      </c>
      <c r="J906" t="inlineStr">
        <is>
          <t>No</t>
        </is>
      </c>
      <c r="K906" t="inlineStr">
        <is>
          <t>No</t>
        </is>
      </c>
      <c r="L906" t="inlineStr">
        <is>
          <t>0</t>
        </is>
      </c>
      <c r="M906" t="inlineStr">
        <is>
          <t>Driscoll, James P., 1946-</t>
        </is>
      </c>
      <c r="N906" t="inlineStr">
        <is>
          <t>Lewisburg : Bucknell University Press ; London : Associated University Presses, c1983.</t>
        </is>
      </c>
      <c r="O906" t="inlineStr">
        <is>
          <t>1983</t>
        </is>
      </c>
      <c r="Q906" t="inlineStr">
        <is>
          <t>eng</t>
        </is>
      </c>
      <c r="R906" t="inlineStr">
        <is>
          <t>pau</t>
        </is>
      </c>
      <c r="T906" t="inlineStr">
        <is>
          <t xml:space="preserve">PR </t>
        </is>
      </c>
      <c r="U906" t="n">
        <v>1</v>
      </c>
      <c r="V906" t="n">
        <v>1</v>
      </c>
      <c r="W906" t="inlineStr">
        <is>
          <t>1992-04-14</t>
        </is>
      </c>
      <c r="X906" t="inlineStr">
        <is>
          <t>1992-04-14</t>
        </is>
      </c>
      <c r="Y906" t="inlineStr">
        <is>
          <t>1991-10-03</t>
        </is>
      </c>
      <c r="Z906" t="inlineStr">
        <is>
          <t>1991-10-03</t>
        </is>
      </c>
      <c r="AA906" t="n">
        <v>388</v>
      </c>
      <c r="AB906" t="n">
        <v>321</v>
      </c>
      <c r="AC906" t="n">
        <v>323</v>
      </c>
      <c r="AD906" t="n">
        <v>3</v>
      </c>
      <c r="AE906" t="n">
        <v>3</v>
      </c>
      <c r="AF906" t="n">
        <v>16</v>
      </c>
      <c r="AG906" t="n">
        <v>16</v>
      </c>
      <c r="AH906" t="n">
        <v>4</v>
      </c>
      <c r="AI906" t="n">
        <v>4</v>
      </c>
      <c r="AJ906" t="n">
        <v>5</v>
      </c>
      <c r="AK906" t="n">
        <v>5</v>
      </c>
      <c r="AL906" t="n">
        <v>11</v>
      </c>
      <c r="AM906" t="n">
        <v>11</v>
      </c>
      <c r="AN906" t="n">
        <v>2</v>
      </c>
      <c r="AO906" t="n">
        <v>2</v>
      </c>
      <c r="AP906" t="n">
        <v>0</v>
      </c>
      <c r="AQ906" t="n">
        <v>0</v>
      </c>
      <c r="AR906" t="inlineStr">
        <is>
          <t>No</t>
        </is>
      </c>
      <c r="AS906" t="inlineStr">
        <is>
          <t>Yes</t>
        </is>
      </c>
      <c r="AT906">
        <f>HYPERLINK("http://catalog.hathitrust.org/Record/000237268","HathiTrust Record")</f>
        <v/>
      </c>
      <c r="AU906">
        <f>HYPERLINK("https://creighton-primo.hosted.exlibrisgroup.com/primo-explore/search?tab=default_tab&amp;search_scope=EVERYTHING&amp;vid=01CRU&amp;lang=en_US&amp;offset=0&amp;query=any,contains,991000123309702656","Catalog Record")</f>
        <v/>
      </c>
      <c r="AV906">
        <f>HYPERLINK("http://www.worldcat.org/oclc/9081534","WorldCat Record")</f>
        <v/>
      </c>
      <c r="AW906" t="inlineStr">
        <is>
          <t>3856647765:eng</t>
        </is>
      </c>
      <c r="AX906" t="inlineStr">
        <is>
          <t>9081534</t>
        </is>
      </c>
      <c r="AY906" t="inlineStr">
        <is>
          <t>991000123309702656</t>
        </is>
      </c>
      <c r="AZ906" t="inlineStr">
        <is>
          <t>991000123309702656</t>
        </is>
      </c>
      <c r="BA906" t="inlineStr">
        <is>
          <t>2256085280002656</t>
        </is>
      </c>
      <c r="BB906" t="inlineStr">
        <is>
          <t>BOOK</t>
        </is>
      </c>
      <c r="BD906" t="inlineStr">
        <is>
          <t>9780838750247</t>
        </is>
      </c>
      <c r="BE906" t="inlineStr">
        <is>
          <t>32285000771195</t>
        </is>
      </c>
      <c r="BF906" t="inlineStr">
        <is>
          <t>893320826</t>
        </is>
      </c>
    </row>
    <row r="907">
      <c r="A907" t="inlineStr">
        <is>
          <t>No</t>
        </is>
      </c>
      <c r="B907" t="inlineStr">
        <is>
          <t>CURAL</t>
        </is>
      </c>
      <c r="C907" t="inlineStr">
        <is>
          <t>SHELVES</t>
        </is>
      </c>
      <c r="D907" t="inlineStr">
        <is>
          <t>PR3069.S45 F7</t>
        </is>
      </c>
      <c r="E907" t="inlineStr">
        <is>
          <t>0                      PR 3069000S  45                 F  7</t>
        </is>
      </c>
      <c r="F907" t="inlineStr">
        <is>
          <t>Shakespeare's division of experience / Marilyn French.</t>
        </is>
      </c>
      <c r="H907" t="inlineStr">
        <is>
          <t>No</t>
        </is>
      </c>
      <c r="I907" t="inlineStr">
        <is>
          <t>1</t>
        </is>
      </c>
      <c r="J907" t="inlineStr">
        <is>
          <t>No</t>
        </is>
      </c>
      <c r="K907" t="inlineStr">
        <is>
          <t>No</t>
        </is>
      </c>
      <c r="L907" t="inlineStr">
        <is>
          <t>0</t>
        </is>
      </c>
      <c r="M907" t="inlineStr">
        <is>
          <t>French, Marilyn, 1929-2009.</t>
        </is>
      </c>
      <c r="N907" t="inlineStr">
        <is>
          <t>New York : Summit Books, c1981.</t>
        </is>
      </c>
      <c r="O907" t="inlineStr">
        <is>
          <t>1980</t>
        </is>
      </c>
      <c r="Q907" t="inlineStr">
        <is>
          <t>eng</t>
        </is>
      </c>
      <c r="R907" t="inlineStr">
        <is>
          <t>nyu</t>
        </is>
      </c>
      <c r="T907" t="inlineStr">
        <is>
          <t xml:space="preserve">PR </t>
        </is>
      </c>
      <c r="U907" t="n">
        <v>1</v>
      </c>
      <c r="V907" t="n">
        <v>1</v>
      </c>
      <c r="W907" t="inlineStr">
        <is>
          <t>1992-01-09</t>
        </is>
      </c>
      <c r="X907" t="inlineStr">
        <is>
          <t>1992-01-09</t>
        </is>
      </c>
      <c r="Y907" t="inlineStr">
        <is>
          <t>1991-10-03</t>
        </is>
      </c>
      <c r="Z907" t="inlineStr">
        <is>
          <t>1991-10-03</t>
        </is>
      </c>
      <c r="AA907" t="n">
        <v>916</v>
      </c>
      <c r="AB907" t="n">
        <v>810</v>
      </c>
      <c r="AC907" t="n">
        <v>910</v>
      </c>
      <c r="AD907" t="n">
        <v>6</v>
      </c>
      <c r="AE907" t="n">
        <v>6</v>
      </c>
      <c r="AF907" t="n">
        <v>36</v>
      </c>
      <c r="AG907" t="n">
        <v>43</v>
      </c>
      <c r="AH907" t="n">
        <v>17</v>
      </c>
      <c r="AI907" t="n">
        <v>22</v>
      </c>
      <c r="AJ907" t="n">
        <v>8</v>
      </c>
      <c r="AK907" t="n">
        <v>9</v>
      </c>
      <c r="AL907" t="n">
        <v>14</v>
      </c>
      <c r="AM907" t="n">
        <v>19</v>
      </c>
      <c r="AN907" t="n">
        <v>4</v>
      </c>
      <c r="AO907" t="n">
        <v>4</v>
      </c>
      <c r="AP907" t="n">
        <v>0</v>
      </c>
      <c r="AQ907" t="n">
        <v>0</v>
      </c>
      <c r="AR907" t="inlineStr">
        <is>
          <t>No</t>
        </is>
      </c>
      <c r="AS907" t="inlineStr">
        <is>
          <t>Yes</t>
        </is>
      </c>
      <c r="AT907">
        <f>HYPERLINK("http://catalog.hathitrust.org/Record/000126260","HathiTrust Record")</f>
        <v/>
      </c>
      <c r="AU907">
        <f>HYPERLINK("https://creighton-primo.hosted.exlibrisgroup.com/primo-explore/search?tab=default_tab&amp;search_scope=EVERYTHING&amp;vid=01CRU&amp;lang=en_US&amp;offset=0&amp;query=any,contains,991005040639702656","Catalog Record")</f>
        <v/>
      </c>
      <c r="AV907">
        <f>HYPERLINK("http://www.worldcat.org/oclc/6790340","WorldCat Record")</f>
        <v/>
      </c>
      <c r="AW907" t="inlineStr">
        <is>
          <t>197414774:eng</t>
        </is>
      </c>
      <c r="AX907" t="inlineStr">
        <is>
          <t>6790340</t>
        </is>
      </c>
      <c r="AY907" t="inlineStr">
        <is>
          <t>991005040639702656</t>
        </is>
      </c>
      <c r="AZ907" t="inlineStr">
        <is>
          <t>991005040639702656</t>
        </is>
      </c>
      <c r="BA907" t="inlineStr">
        <is>
          <t>2271822120002656</t>
        </is>
      </c>
      <c r="BB907" t="inlineStr">
        <is>
          <t>BOOK</t>
        </is>
      </c>
      <c r="BD907" t="inlineStr">
        <is>
          <t>9780671448653</t>
        </is>
      </c>
      <c r="BE907" t="inlineStr">
        <is>
          <t>32285000771203</t>
        </is>
      </c>
      <c r="BF907" t="inlineStr">
        <is>
          <t>893613042</t>
        </is>
      </c>
    </row>
    <row r="908">
      <c r="A908" t="inlineStr">
        <is>
          <t>No</t>
        </is>
      </c>
      <c r="B908" t="inlineStr">
        <is>
          <t>CURAL</t>
        </is>
      </c>
      <c r="C908" t="inlineStr">
        <is>
          <t>SHELVES</t>
        </is>
      </c>
      <c r="D908" t="inlineStr">
        <is>
          <t>PR3071 .E93 1989</t>
        </is>
      </c>
      <c r="E908" t="inlineStr">
        <is>
          <t>0                      PR 3071000E  93          1989</t>
        </is>
      </c>
      <c r="F908" t="inlineStr">
        <is>
          <t>Signifying nothing : truth's true contents in Shakespeare's text / Malcolm Evans ; with a foreword by Terry Eagleton.</t>
        </is>
      </c>
      <c r="H908" t="inlineStr">
        <is>
          <t>No</t>
        </is>
      </c>
      <c r="I908" t="inlineStr">
        <is>
          <t>1</t>
        </is>
      </c>
      <c r="J908" t="inlineStr">
        <is>
          <t>No</t>
        </is>
      </c>
      <c r="K908" t="inlineStr">
        <is>
          <t>No</t>
        </is>
      </c>
      <c r="L908" t="inlineStr">
        <is>
          <t>0</t>
        </is>
      </c>
      <c r="M908" t="inlineStr">
        <is>
          <t>Evans, Malcolm, 1948-</t>
        </is>
      </c>
      <c r="N908" t="inlineStr">
        <is>
          <t>Athens : University of Georgia Press, c1989.</t>
        </is>
      </c>
      <c r="O908" t="inlineStr">
        <is>
          <t>1989</t>
        </is>
      </c>
      <c r="P908" t="inlineStr">
        <is>
          <t>2nd ed.</t>
        </is>
      </c>
      <c r="Q908" t="inlineStr">
        <is>
          <t>eng</t>
        </is>
      </c>
      <c r="R908" t="inlineStr">
        <is>
          <t>gau</t>
        </is>
      </c>
      <c r="T908" t="inlineStr">
        <is>
          <t xml:space="preserve">PR </t>
        </is>
      </c>
      <c r="U908" t="n">
        <v>2</v>
      </c>
      <c r="V908" t="n">
        <v>2</v>
      </c>
      <c r="W908" t="inlineStr">
        <is>
          <t>1999-02-21</t>
        </is>
      </c>
      <c r="X908" t="inlineStr">
        <is>
          <t>1999-02-21</t>
        </is>
      </c>
      <c r="Y908" t="inlineStr">
        <is>
          <t>1990-08-10</t>
        </is>
      </c>
      <c r="Z908" t="inlineStr">
        <is>
          <t>1990-08-10</t>
        </is>
      </c>
      <c r="AA908" t="n">
        <v>102</v>
      </c>
      <c r="AB908" t="n">
        <v>87</v>
      </c>
      <c r="AC908" t="n">
        <v>579</v>
      </c>
      <c r="AD908" t="n">
        <v>1</v>
      </c>
      <c r="AE908" t="n">
        <v>4</v>
      </c>
      <c r="AF908" t="n">
        <v>6</v>
      </c>
      <c r="AG908" t="n">
        <v>32</v>
      </c>
      <c r="AH908" t="n">
        <v>2</v>
      </c>
      <c r="AI908" t="n">
        <v>14</v>
      </c>
      <c r="AJ908" t="n">
        <v>0</v>
      </c>
      <c r="AK908" t="n">
        <v>9</v>
      </c>
      <c r="AL908" t="n">
        <v>5</v>
      </c>
      <c r="AM908" t="n">
        <v>16</v>
      </c>
      <c r="AN908" t="n">
        <v>0</v>
      </c>
      <c r="AO908" t="n">
        <v>3</v>
      </c>
      <c r="AP908" t="n">
        <v>0</v>
      </c>
      <c r="AQ908" t="n">
        <v>0</v>
      </c>
      <c r="AR908" t="inlineStr">
        <is>
          <t>No</t>
        </is>
      </c>
      <c r="AS908" t="inlineStr">
        <is>
          <t>No</t>
        </is>
      </c>
      <c r="AU908">
        <f>HYPERLINK("https://creighton-primo.hosted.exlibrisgroup.com/primo-explore/search?tab=default_tab&amp;search_scope=EVERYTHING&amp;vid=01CRU&amp;lang=en_US&amp;offset=0&amp;query=any,contains,991001665019702656","Catalog Record")</f>
        <v/>
      </c>
      <c r="AV908">
        <f>HYPERLINK("http://www.worldcat.org/oclc/21210200","WorldCat Record")</f>
        <v/>
      </c>
      <c r="AW908" t="inlineStr">
        <is>
          <t>5220337:eng</t>
        </is>
      </c>
      <c r="AX908" t="inlineStr">
        <is>
          <t>21210200</t>
        </is>
      </c>
      <c r="AY908" t="inlineStr">
        <is>
          <t>991001665019702656</t>
        </is>
      </c>
      <c r="AZ908" t="inlineStr">
        <is>
          <t>991001665019702656</t>
        </is>
      </c>
      <c r="BA908" t="inlineStr">
        <is>
          <t>2264886150002656</t>
        </is>
      </c>
      <c r="BB908" t="inlineStr">
        <is>
          <t>BOOK</t>
        </is>
      </c>
      <c r="BE908" t="inlineStr">
        <is>
          <t>32285000243005</t>
        </is>
      </c>
      <c r="BF908" t="inlineStr">
        <is>
          <t>893509797</t>
        </is>
      </c>
    </row>
    <row r="909">
      <c r="A909" t="inlineStr">
        <is>
          <t>No</t>
        </is>
      </c>
      <c r="B909" t="inlineStr">
        <is>
          <t>CURAL</t>
        </is>
      </c>
      <c r="C909" t="inlineStr">
        <is>
          <t>SHELVES</t>
        </is>
      </c>
      <c r="D909" t="inlineStr">
        <is>
          <t>PR3072 .B7 1971</t>
        </is>
      </c>
      <c r="E909" t="inlineStr">
        <is>
          <t>0                      PR 3072000B  7           1971</t>
        </is>
      </c>
      <c r="F909" t="inlineStr">
        <is>
          <t>Shakespeare's dramatic style; Romeo and Juliet, As you like it, Julius Caesar, Twelfth night, Macbeth.</t>
        </is>
      </c>
      <c r="H909" t="inlineStr">
        <is>
          <t>No</t>
        </is>
      </c>
      <c r="I909" t="inlineStr">
        <is>
          <t>1</t>
        </is>
      </c>
      <c r="J909" t="inlineStr">
        <is>
          <t>No</t>
        </is>
      </c>
      <c r="K909" t="inlineStr">
        <is>
          <t>No</t>
        </is>
      </c>
      <c r="L909" t="inlineStr">
        <is>
          <t>0</t>
        </is>
      </c>
      <c r="M909" t="inlineStr">
        <is>
          <t>Brown, John Russell.</t>
        </is>
      </c>
      <c r="N909" t="inlineStr">
        <is>
          <t>New York, Barnes &amp; Noble [1971]</t>
        </is>
      </c>
      <c r="O909" t="inlineStr">
        <is>
          <t>1971</t>
        </is>
      </c>
      <c r="Q909" t="inlineStr">
        <is>
          <t>eng</t>
        </is>
      </c>
      <c r="R909" t="inlineStr">
        <is>
          <t>nyu</t>
        </is>
      </c>
      <c r="T909" t="inlineStr">
        <is>
          <t xml:space="preserve">PR </t>
        </is>
      </c>
      <c r="U909" t="n">
        <v>3</v>
      </c>
      <c r="V909" t="n">
        <v>3</v>
      </c>
      <c r="W909" t="inlineStr">
        <is>
          <t>2010-05-03</t>
        </is>
      </c>
      <c r="X909" t="inlineStr">
        <is>
          <t>2010-05-03</t>
        </is>
      </c>
      <c r="Y909" t="inlineStr">
        <is>
          <t>1997-08-06</t>
        </is>
      </c>
      <c r="Z909" t="inlineStr">
        <is>
          <t>1997-08-06</t>
        </is>
      </c>
      <c r="AA909" t="n">
        <v>596</v>
      </c>
      <c r="AB909" t="n">
        <v>575</v>
      </c>
      <c r="AC909" t="n">
        <v>777</v>
      </c>
      <c r="AD909" t="n">
        <v>7</v>
      </c>
      <c r="AE909" t="n">
        <v>8</v>
      </c>
      <c r="AF909" t="n">
        <v>33</v>
      </c>
      <c r="AG909" t="n">
        <v>41</v>
      </c>
      <c r="AH909" t="n">
        <v>11</v>
      </c>
      <c r="AI909" t="n">
        <v>16</v>
      </c>
      <c r="AJ909" t="n">
        <v>8</v>
      </c>
      <c r="AK909" t="n">
        <v>10</v>
      </c>
      <c r="AL909" t="n">
        <v>17</v>
      </c>
      <c r="AM909" t="n">
        <v>20</v>
      </c>
      <c r="AN909" t="n">
        <v>5</v>
      </c>
      <c r="AO909" t="n">
        <v>6</v>
      </c>
      <c r="AP909" t="n">
        <v>0</v>
      </c>
      <c r="AQ909" t="n">
        <v>0</v>
      </c>
      <c r="AR909" t="inlineStr">
        <is>
          <t>No</t>
        </is>
      </c>
      <c r="AS909" t="inlineStr">
        <is>
          <t>Yes</t>
        </is>
      </c>
      <c r="AT909">
        <f>HYPERLINK("http://catalog.hathitrust.org/Record/001019158","HathiTrust Record")</f>
        <v/>
      </c>
      <c r="AU909">
        <f>HYPERLINK("https://creighton-primo.hosted.exlibrisgroup.com/primo-explore/search?tab=default_tab&amp;search_scope=EVERYTHING&amp;vid=01CRU&amp;lang=en_US&amp;offset=0&amp;query=any,contains,991000718689702656","Catalog Record")</f>
        <v/>
      </c>
      <c r="AV909">
        <f>HYPERLINK("http://www.worldcat.org/oclc/125973","WorldCat Record")</f>
        <v/>
      </c>
      <c r="AW909" t="inlineStr">
        <is>
          <t>1073155623:eng</t>
        </is>
      </c>
      <c r="AX909" t="inlineStr">
        <is>
          <t>125973</t>
        </is>
      </c>
      <c r="AY909" t="inlineStr">
        <is>
          <t>991000718689702656</t>
        </is>
      </c>
      <c r="AZ909" t="inlineStr">
        <is>
          <t>991000718689702656</t>
        </is>
      </c>
      <c r="BA909" t="inlineStr">
        <is>
          <t>2260220070002656</t>
        </is>
      </c>
      <c r="BB909" t="inlineStr">
        <is>
          <t>BOOK</t>
        </is>
      </c>
      <c r="BD909" t="inlineStr">
        <is>
          <t>9780389040644</t>
        </is>
      </c>
      <c r="BE909" t="inlineStr">
        <is>
          <t>32285003022166</t>
        </is>
      </c>
      <c r="BF909" t="inlineStr">
        <is>
          <t>893432232</t>
        </is>
      </c>
    </row>
    <row r="910">
      <c r="A910" t="inlineStr">
        <is>
          <t>No</t>
        </is>
      </c>
      <c r="B910" t="inlineStr">
        <is>
          <t>CURAL</t>
        </is>
      </c>
      <c r="C910" t="inlineStr">
        <is>
          <t>SHELVES</t>
        </is>
      </c>
      <c r="D910" t="inlineStr">
        <is>
          <t>PR3072 .M5</t>
        </is>
      </c>
      <c r="E910" t="inlineStr">
        <is>
          <t>0                      PR 3072000M  5</t>
        </is>
      </c>
      <c r="F910" t="inlineStr">
        <is>
          <t>Shakespeare's use of the arts of language.</t>
        </is>
      </c>
      <c r="H910" t="inlineStr">
        <is>
          <t>No</t>
        </is>
      </c>
      <c r="I910" t="inlineStr">
        <is>
          <t>1</t>
        </is>
      </c>
      <c r="J910" t="inlineStr">
        <is>
          <t>No</t>
        </is>
      </c>
      <c r="K910" t="inlineStr">
        <is>
          <t>No</t>
        </is>
      </c>
      <c r="L910" t="inlineStr">
        <is>
          <t>0</t>
        </is>
      </c>
      <c r="M910" t="inlineStr">
        <is>
          <t>Miriam Joseph, Sister, 1898-1982.</t>
        </is>
      </c>
      <c r="N910" t="inlineStr">
        <is>
          <t>New York, Columbia Univ. Press, 1947.</t>
        </is>
      </c>
      <c r="O910" t="inlineStr">
        <is>
          <t>1947</t>
        </is>
      </c>
      <c r="Q910" t="inlineStr">
        <is>
          <t>eng</t>
        </is>
      </c>
      <c r="R910" t="inlineStr">
        <is>
          <t>nyu</t>
        </is>
      </c>
      <c r="S910" t="inlineStr">
        <is>
          <t>Columbia University studies in English and comparative literature ; no. 165</t>
        </is>
      </c>
      <c r="T910" t="inlineStr">
        <is>
          <t xml:space="preserve">PR </t>
        </is>
      </c>
      <c r="U910" t="n">
        <v>5</v>
      </c>
      <c r="V910" t="n">
        <v>5</v>
      </c>
      <c r="W910" t="inlineStr">
        <is>
          <t>2009-11-02</t>
        </is>
      </c>
      <c r="X910" t="inlineStr">
        <is>
          <t>2009-11-02</t>
        </is>
      </c>
      <c r="Y910" t="inlineStr">
        <is>
          <t>1997-08-06</t>
        </is>
      </c>
      <c r="Z910" t="inlineStr">
        <is>
          <t>1997-08-06</t>
        </is>
      </c>
      <c r="AA910" t="n">
        <v>439</v>
      </c>
      <c r="AB910" t="n">
        <v>400</v>
      </c>
      <c r="AC910" t="n">
        <v>820</v>
      </c>
      <c r="AD910" t="n">
        <v>5</v>
      </c>
      <c r="AE910" t="n">
        <v>10</v>
      </c>
      <c r="AF910" t="n">
        <v>29</v>
      </c>
      <c r="AG910" t="n">
        <v>48</v>
      </c>
      <c r="AH910" t="n">
        <v>12</v>
      </c>
      <c r="AI910" t="n">
        <v>20</v>
      </c>
      <c r="AJ910" t="n">
        <v>3</v>
      </c>
      <c r="AK910" t="n">
        <v>8</v>
      </c>
      <c r="AL910" t="n">
        <v>17</v>
      </c>
      <c r="AM910" t="n">
        <v>24</v>
      </c>
      <c r="AN910" t="n">
        <v>4</v>
      </c>
      <c r="AO910" t="n">
        <v>9</v>
      </c>
      <c r="AP910" t="n">
        <v>0</v>
      </c>
      <c r="AQ910" t="n">
        <v>0</v>
      </c>
      <c r="AR910" t="inlineStr">
        <is>
          <t>No</t>
        </is>
      </c>
      <c r="AS910" t="inlineStr">
        <is>
          <t>No</t>
        </is>
      </c>
      <c r="AU910">
        <f>HYPERLINK("https://creighton-primo.hosted.exlibrisgroup.com/primo-explore/search?tab=default_tab&amp;search_scope=EVERYTHING&amp;vid=01CRU&amp;lang=en_US&amp;offset=0&amp;query=any,contains,991005093639702656","Catalog Record")</f>
        <v/>
      </c>
      <c r="AV910">
        <f>HYPERLINK("http://www.worldcat.org/oclc/7253998","WorldCat Record")</f>
        <v/>
      </c>
      <c r="AW910" t="inlineStr">
        <is>
          <t>1404515:eng</t>
        </is>
      </c>
      <c r="AX910" t="inlineStr">
        <is>
          <t>7253998</t>
        </is>
      </c>
      <c r="AY910" t="inlineStr">
        <is>
          <t>991005093639702656</t>
        </is>
      </c>
      <c r="AZ910" t="inlineStr">
        <is>
          <t>991005093639702656</t>
        </is>
      </c>
      <c r="BA910" t="inlineStr">
        <is>
          <t>2271651530002656</t>
        </is>
      </c>
      <c r="BB910" t="inlineStr">
        <is>
          <t>BOOK</t>
        </is>
      </c>
      <c r="BE910" t="inlineStr">
        <is>
          <t>32285003022216</t>
        </is>
      </c>
      <c r="BF910" t="inlineStr">
        <is>
          <t>893789424</t>
        </is>
      </c>
    </row>
    <row r="911">
      <c r="A911" t="inlineStr">
        <is>
          <t>No</t>
        </is>
      </c>
      <c r="B911" t="inlineStr">
        <is>
          <t>CURAL</t>
        </is>
      </c>
      <c r="C911" t="inlineStr">
        <is>
          <t>SHELVES</t>
        </is>
      </c>
      <c r="D911" t="inlineStr">
        <is>
          <t>PR3072 .S4</t>
        </is>
      </c>
      <c r="E911" t="inlineStr">
        <is>
          <t>0                      PR 3072000S  4</t>
        </is>
      </c>
      <c r="F911" t="inlineStr">
        <is>
          <t>Shakespeare's styles : essays in honour of Kenneth Muir / edited by Philip Edwards, Inga-Stina Ewbank, and G. K. Hunter.</t>
        </is>
      </c>
      <c r="H911" t="inlineStr">
        <is>
          <t>No</t>
        </is>
      </c>
      <c r="I911" t="inlineStr">
        <is>
          <t>1</t>
        </is>
      </c>
      <c r="J911" t="inlineStr">
        <is>
          <t>No</t>
        </is>
      </c>
      <c r="K911" t="inlineStr">
        <is>
          <t>No</t>
        </is>
      </c>
      <c r="L911" t="inlineStr">
        <is>
          <t>0</t>
        </is>
      </c>
      <c r="N911" t="inlineStr">
        <is>
          <t>Cambridge ; New York : Cambridge University Press, 1980.</t>
        </is>
      </c>
      <c r="O911" t="inlineStr">
        <is>
          <t>1980</t>
        </is>
      </c>
      <c r="Q911" t="inlineStr">
        <is>
          <t>eng</t>
        </is>
      </c>
      <c r="R911" t="inlineStr">
        <is>
          <t>enk</t>
        </is>
      </c>
      <c r="T911" t="inlineStr">
        <is>
          <t xml:space="preserve">PR </t>
        </is>
      </c>
      <c r="U911" t="n">
        <v>3</v>
      </c>
      <c r="V911" t="n">
        <v>3</v>
      </c>
      <c r="W911" t="inlineStr">
        <is>
          <t>2010-05-03</t>
        </is>
      </c>
      <c r="X911" t="inlineStr">
        <is>
          <t>2010-05-03</t>
        </is>
      </c>
      <c r="Y911" t="inlineStr">
        <is>
          <t>1991-10-03</t>
        </is>
      </c>
      <c r="Z911" t="inlineStr">
        <is>
          <t>1991-10-03</t>
        </is>
      </c>
      <c r="AA911" t="n">
        <v>694</v>
      </c>
      <c r="AB911" t="n">
        <v>494</v>
      </c>
      <c r="AC911" t="n">
        <v>506</v>
      </c>
      <c r="AD911" t="n">
        <v>3</v>
      </c>
      <c r="AE911" t="n">
        <v>3</v>
      </c>
      <c r="AF911" t="n">
        <v>25</v>
      </c>
      <c r="AG911" t="n">
        <v>25</v>
      </c>
      <c r="AH911" t="n">
        <v>7</v>
      </c>
      <c r="AI911" t="n">
        <v>7</v>
      </c>
      <c r="AJ911" t="n">
        <v>8</v>
      </c>
      <c r="AK911" t="n">
        <v>8</v>
      </c>
      <c r="AL911" t="n">
        <v>16</v>
      </c>
      <c r="AM911" t="n">
        <v>16</v>
      </c>
      <c r="AN911" t="n">
        <v>2</v>
      </c>
      <c r="AO911" t="n">
        <v>2</v>
      </c>
      <c r="AP911" t="n">
        <v>0</v>
      </c>
      <c r="AQ911" t="n">
        <v>0</v>
      </c>
      <c r="AR911" t="inlineStr">
        <is>
          <t>No</t>
        </is>
      </c>
      <c r="AS911" t="inlineStr">
        <is>
          <t>No</t>
        </is>
      </c>
      <c r="AU911">
        <f>HYPERLINK("https://creighton-primo.hosted.exlibrisgroup.com/primo-explore/search?tab=default_tab&amp;search_scope=EVERYTHING&amp;vid=01CRU&amp;lang=en_US&amp;offset=0&amp;query=any,contains,991004807869702656","Catalog Record")</f>
        <v/>
      </c>
      <c r="AV911">
        <f>HYPERLINK("http://www.worldcat.org/oclc/5264121","WorldCat Record")</f>
        <v/>
      </c>
      <c r="AW911" t="inlineStr">
        <is>
          <t>795196536:eng</t>
        </is>
      </c>
      <c r="AX911" t="inlineStr">
        <is>
          <t>5264121</t>
        </is>
      </c>
      <c r="AY911" t="inlineStr">
        <is>
          <t>991004807869702656</t>
        </is>
      </c>
      <c r="AZ911" t="inlineStr">
        <is>
          <t>991004807869702656</t>
        </is>
      </c>
      <c r="BA911" t="inlineStr">
        <is>
          <t>2258588770002656</t>
        </is>
      </c>
      <c r="BB911" t="inlineStr">
        <is>
          <t>BOOK</t>
        </is>
      </c>
      <c r="BD911" t="inlineStr">
        <is>
          <t>9780521227643</t>
        </is>
      </c>
      <c r="BE911" t="inlineStr">
        <is>
          <t>32285000771344</t>
        </is>
      </c>
      <c r="BF911" t="inlineStr">
        <is>
          <t>893319666</t>
        </is>
      </c>
    </row>
    <row r="912">
      <c r="A912" t="inlineStr">
        <is>
          <t>No</t>
        </is>
      </c>
      <c r="B912" t="inlineStr">
        <is>
          <t>CURAL</t>
        </is>
      </c>
      <c r="C912" t="inlineStr">
        <is>
          <t>SHELVES</t>
        </is>
      </c>
      <c r="D912" t="inlineStr">
        <is>
          <t>PR3081 .A7 1963</t>
        </is>
      </c>
      <c r="E912" t="inlineStr">
        <is>
          <t>0                      PR 3081000A  7           1963</t>
        </is>
      </c>
      <c r="F912" t="inlineStr">
        <is>
          <t>Shakespeare's imagination : a study of the psychology of association and inspiration / by Edward A. Armstrong.</t>
        </is>
      </c>
      <c r="H912" t="inlineStr">
        <is>
          <t>No</t>
        </is>
      </c>
      <c r="I912" t="inlineStr">
        <is>
          <t>1</t>
        </is>
      </c>
      <c r="J912" t="inlineStr">
        <is>
          <t>No</t>
        </is>
      </c>
      <c r="K912" t="inlineStr">
        <is>
          <t>No</t>
        </is>
      </c>
      <c r="L912" t="inlineStr">
        <is>
          <t>0</t>
        </is>
      </c>
      <c r="M912" t="inlineStr">
        <is>
          <t>Armstrong, Edward Allworthy.</t>
        </is>
      </c>
      <c r="N912" t="inlineStr">
        <is>
          <t>Lincoln : University of Nebraska Press, 1963.</t>
        </is>
      </c>
      <c r="O912" t="inlineStr">
        <is>
          <t>1963</t>
        </is>
      </c>
      <c r="Q912" t="inlineStr">
        <is>
          <t>eng</t>
        </is>
      </c>
      <c r="R912" t="inlineStr">
        <is>
          <t>nbu</t>
        </is>
      </c>
      <c r="S912" t="inlineStr">
        <is>
          <t>A Bison book</t>
        </is>
      </c>
      <c r="T912" t="inlineStr">
        <is>
          <t xml:space="preserve">PR </t>
        </is>
      </c>
      <c r="U912" t="n">
        <v>1</v>
      </c>
      <c r="V912" t="n">
        <v>1</v>
      </c>
      <c r="W912" t="inlineStr">
        <is>
          <t>2001-07-12</t>
        </is>
      </c>
      <c r="X912" t="inlineStr">
        <is>
          <t>2001-07-12</t>
        </is>
      </c>
      <c r="Y912" t="inlineStr">
        <is>
          <t>2001-07-12</t>
        </is>
      </c>
      <c r="Z912" t="inlineStr">
        <is>
          <t>2001-07-12</t>
        </is>
      </c>
      <c r="AA912" t="n">
        <v>651</v>
      </c>
      <c r="AB912" t="n">
        <v>584</v>
      </c>
      <c r="AC912" t="n">
        <v>837</v>
      </c>
      <c r="AD912" t="n">
        <v>7</v>
      </c>
      <c r="AE912" t="n">
        <v>10</v>
      </c>
      <c r="AF912" t="n">
        <v>28</v>
      </c>
      <c r="AG912" t="n">
        <v>45</v>
      </c>
      <c r="AH912" t="n">
        <v>11</v>
      </c>
      <c r="AI912" t="n">
        <v>19</v>
      </c>
      <c r="AJ912" t="n">
        <v>5</v>
      </c>
      <c r="AK912" t="n">
        <v>9</v>
      </c>
      <c r="AL912" t="n">
        <v>13</v>
      </c>
      <c r="AM912" t="n">
        <v>22</v>
      </c>
      <c r="AN912" t="n">
        <v>4</v>
      </c>
      <c r="AO912" t="n">
        <v>7</v>
      </c>
      <c r="AP912" t="n">
        <v>0</v>
      </c>
      <c r="AQ912" t="n">
        <v>0</v>
      </c>
      <c r="AR912" t="inlineStr">
        <is>
          <t>No</t>
        </is>
      </c>
      <c r="AS912" t="inlineStr">
        <is>
          <t>Yes</t>
        </is>
      </c>
      <c r="AT912">
        <f>HYPERLINK("http://catalog.hathitrust.org/Record/001019186","HathiTrust Record")</f>
        <v/>
      </c>
      <c r="AU912">
        <f>HYPERLINK("https://creighton-primo.hosted.exlibrisgroup.com/primo-explore/search?tab=default_tab&amp;search_scope=EVERYTHING&amp;vid=01CRU&amp;lang=en_US&amp;offset=0&amp;query=any,contains,991003567759702656","Catalog Record")</f>
        <v/>
      </c>
      <c r="AV912">
        <f>HYPERLINK("http://www.worldcat.org/oclc/353614","WorldCat Record")</f>
        <v/>
      </c>
      <c r="AW912" t="inlineStr">
        <is>
          <t>455048:eng</t>
        </is>
      </c>
      <c r="AX912" t="inlineStr">
        <is>
          <t>353614</t>
        </is>
      </c>
      <c r="AY912" t="inlineStr">
        <is>
          <t>991003567759702656</t>
        </is>
      </c>
      <c r="AZ912" t="inlineStr">
        <is>
          <t>991003567759702656</t>
        </is>
      </c>
      <c r="BA912" t="inlineStr">
        <is>
          <t>2267910670002656</t>
        </is>
      </c>
      <c r="BB912" t="inlineStr">
        <is>
          <t>BOOK</t>
        </is>
      </c>
      <c r="BE912" t="inlineStr">
        <is>
          <t>32285004332143</t>
        </is>
      </c>
      <c r="BF912" t="inlineStr">
        <is>
          <t>893330446</t>
        </is>
      </c>
    </row>
    <row r="913">
      <c r="A913" t="inlineStr">
        <is>
          <t>No</t>
        </is>
      </c>
      <c r="B913" t="inlineStr">
        <is>
          <t>CURAL</t>
        </is>
      </c>
      <c r="C913" t="inlineStr">
        <is>
          <t>SHELVES</t>
        </is>
      </c>
      <c r="D913" t="inlineStr">
        <is>
          <t>PR3081 .E5 1966</t>
        </is>
      </c>
      <c r="E913" t="inlineStr">
        <is>
          <t>0                      PR 3081000E  5           1966</t>
        </is>
      </c>
      <c r="F913" t="inlineStr">
        <is>
          <t>Shakspeare's vocabulary; its etymological elements. Upsala, Printed at the University Press, 1903.</t>
        </is>
      </c>
      <c r="H913" t="inlineStr">
        <is>
          <t>No</t>
        </is>
      </c>
      <c r="I913" t="inlineStr">
        <is>
          <t>1</t>
        </is>
      </c>
      <c r="J913" t="inlineStr">
        <is>
          <t>No</t>
        </is>
      </c>
      <c r="K913" t="inlineStr">
        <is>
          <t>No</t>
        </is>
      </c>
      <c r="L913" t="inlineStr">
        <is>
          <t>0</t>
        </is>
      </c>
      <c r="M913" t="inlineStr">
        <is>
          <t>Ekwall, Eilert, 1877-1964.</t>
        </is>
      </c>
      <c r="N913" t="inlineStr">
        <is>
          <t>New York, AMS Press, 1966.</t>
        </is>
      </c>
      <c r="O913" t="inlineStr">
        <is>
          <t>1966</t>
        </is>
      </c>
      <c r="Q913" t="inlineStr">
        <is>
          <t>eng</t>
        </is>
      </c>
      <c r="R913" t="inlineStr">
        <is>
          <t>nyu</t>
        </is>
      </c>
      <c r="T913" t="inlineStr">
        <is>
          <t xml:space="preserve">PR </t>
        </is>
      </c>
      <c r="U913" t="n">
        <v>4</v>
      </c>
      <c r="V913" t="n">
        <v>4</v>
      </c>
      <c r="W913" t="inlineStr">
        <is>
          <t>2007-04-28</t>
        </is>
      </c>
      <c r="X913" t="inlineStr">
        <is>
          <t>2007-04-28</t>
        </is>
      </c>
      <c r="Y913" t="inlineStr">
        <is>
          <t>1997-08-06</t>
        </is>
      </c>
      <c r="Z913" t="inlineStr">
        <is>
          <t>1997-08-06</t>
        </is>
      </c>
      <c r="AA913" t="n">
        <v>218</v>
      </c>
      <c r="AB913" t="n">
        <v>193</v>
      </c>
      <c r="AC913" t="n">
        <v>201</v>
      </c>
      <c r="AD913" t="n">
        <v>2</v>
      </c>
      <c r="AE913" t="n">
        <v>2</v>
      </c>
      <c r="AF913" t="n">
        <v>10</v>
      </c>
      <c r="AG913" t="n">
        <v>10</v>
      </c>
      <c r="AH913" t="n">
        <v>0</v>
      </c>
      <c r="AI913" t="n">
        <v>0</v>
      </c>
      <c r="AJ913" t="n">
        <v>3</v>
      </c>
      <c r="AK913" t="n">
        <v>3</v>
      </c>
      <c r="AL913" t="n">
        <v>7</v>
      </c>
      <c r="AM913" t="n">
        <v>7</v>
      </c>
      <c r="AN913" t="n">
        <v>1</v>
      </c>
      <c r="AO913" t="n">
        <v>1</v>
      </c>
      <c r="AP913" t="n">
        <v>0</v>
      </c>
      <c r="AQ913" t="n">
        <v>0</v>
      </c>
      <c r="AR913" t="inlineStr">
        <is>
          <t>No</t>
        </is>
      </c>
      <c r="AS913" t="inlineStr">
        <is>
          <t>Yes</t>
        </is>
      </c>
      <c r="AT913">
        <f>HYPERLINK("http://catalog.hathitrust.org/Record/009913569","HathiTrust Record")</f>
        <v/>
      </c>
      <c r="AU913">
        <f>HYPERLINK("https://creighton-primo.hosted.exlibrisgroup.com/primo-explore/search?tab=default_tab&amp;search_scope=EVERYTHING&amp;vid=01CRU&amp;lang=en_US&amp;offset=0&amp;query=any,contains,991000058249702656","Catalog Record")</f>
        <v/>
      </c>
      <c r="AV913">
        <f>HYPERLINK("http://www.worldcat.org/oclc/24058","WorldCat Record")</f>
        <v/>
      </c>
      <c r="AW913" t="inlineStr">
        <is>
          <t>1150989851:eng</t>
        </is>
      </c>
      <c r="AX913" t="inlineStr">
        <is>
          <t>24058</t>
        </is>
      </c>
      <c r="AY913" t="inlineStr">
        <is>
          <t>991000058249702656</t>
        </is>
      </c>
      <c r="AZ913" t="inlineStr">
        <is>
          <t>991000058249702656</t>
        </is>
      </c>
      <c r="BA913" t="inlineStr">
        <is>
          <t>2266705700002656</t>
        </is>
      </c>
      <c r="BB913" t="inlineStr">
        <is>
          <t>BOOK</t>
        </is>
      </c>
      <c r="BE913" t="inlineStr">
        <is>
          <t>32285003022240</t>
        </is>
      </c>
      <c r="BF913" t="inlineStr">
        <is>
          <t>893871367</t>
        </is>
      </c>
    </row>
    <row r="914">
      <c r="A914" t="inlineStr">
        <is>
          <t>No</t>
        </is>
      </c>
      <c r="B914" t="inlineStr">
        <is>
          <t>CURAL</t>
        </is>
      </c>
      <c r="C914" t="inlineStr">
        <is>
          <t>SHELVES</t>
        </is>
      </c>
      <c r="D914" t="inlineStr">
        <is>
          <t>PR3081 .S64 1935a</t>
        </is>
      </c>
      <c r="E914" t="inlineStr">
        <is>
          <t>0                      PR 3081000S  64          1935a</t>
        </is>
      </c>
      <c r="F914" t="inlineStr">
        <is>
          <t>Shakespeare's imagery, and what it tells us, by Caroline F.E. Spurgeon ... with charts and illustrations ...</t>
        </is>
      </c>
      <c r="H914" t="inlineStr">
        <is>
          <t>No</t>
        </is>
      </c>
      <c r="I914" t="inlineStr">
        <is>
          <t>1</t>
        </is>
      </c>
      <c r="J914" t="inlineStr">
        <is>
          <t>No</t>
        </is>
      </c>
      <c r="K914" t="inlineStr">
        <is>
          <t>No</t>
        </is>
      </c>
      <c r="L914" t="inlineStr">
        <is>
          <t>0</t>
        </is>
      </c>
      <c r="M914" t="inlineStr">
        <is>
          <t>Spurgeon, Caroline F. E. (Caroline Frances Eleanor), 1869-1942.</t>
        </is>
      </c>
      <c r="N914" t="inlineStr">
        <is>
          <t>New York, The Macmillan Company; Cambridge, Eng., The University Press, 1935.</t>
        </is>
      </c>
      <c r="O914" t="inlineStr">
        <is>
          <t>1935</t>
        </is>
      </c>
      <c r="Q914" t="inlineStr">
        <is>
          <t>eng</t>
        </is>
      </c>
      <c r="R914" t="inlineStr">
        <is>
          <t>nyu</t>
        </is>
      </c>
      <c r="T914" t="inlineStr">
        <is>
          <t xml:space="preserve">PR </t>
        </is>
      </c>
      <c r="U914" t="n">
        <v>3</v>
      </c>
      <c r="V914" t="n">
        <v>3</v>
      </c>
      <c r="W914" t="inlineStr">
        <is>
          <t>2000-03-30</t>
        </is>
      </c>
      <c r="X914" t="inlineStr">
        <is>
          <t>2000-03-30</t>
        </is>
      </c>
      <c r="Y914" t="inlineStr">
        <is>
          <t>1997-08-06</t>
        </is>
      </c>
      <c r="Z914" t="inlineStr">
        <is>
          <t>1997-08-06</t>
        </is>
      </c>
      <c r="AA914" t="n">
        <v>395</v>
      </c>
      <c r="AB914" t="n">
        <v>366</v>
      </c>
      <c r="AC914" t="n">
        <v>1696</v>
      </c>
      <c r="AD914" t="n">
        <v>6</v>
      </c>
      <c r="AE914" t="n">
        <v>19</v>
      </c>
      <c r="AF914" t="n">
        <v>12</v>
      </c>
      <c r="AG914" t="n">
        <v>63</v>
      </c>
      <c r="AH914" t="n">
        <v>4</v>
      </c>
      <c r="AI914" t="n">
        <v>26</v>
      </c>
      <c r="AJ914" t="n">
        <v>3</v>
      </c>
      <c r="AK914" t="n">
        <v>10</v>
      </c>
      <c r="AL914" t="n">
        <v>5</v>
      </c>
      <c r="AM914" t="n">
        <v>26</v>
      </c>
      <c r="AN914" t="n">
        <v>3</v>
      </c>
      <c r="AO914" t="n">
        <v>14</v>
      </c>
      <c r="AP914" t="n">
        <v>0</v>
      </c>
      <c r="AQ914" t="n">
        <v>0</v>
      </c>
      <c r="AR914" t="inlineStr">
        <is>
          <t>No</t>
        </is>
      </c>
      <c r="AS914" t="inlineStr">
        <is>
          <t>No</t>
        </is>
      </c>
      <c r="AT914">
        <f>HYPERLINK("http://catalog.hathitrust.org/Record/006058437","HathiTrust Record")</f>
        <v/>
      </c>
      <c r="AU914">
        <f>HYPERLINK("https://creighton-primo.hosted.exlibrisgroup.com/primo-explore/search?tab=default_tab&amp;search_scope=EVERYTHING&amp;vid=01CRU&amp;lang=en_US&amp;offset=0&amp;query=any,contains,991003348939702656","Catalog Record")</f>
        <v/>
      </c>
      <c r="AV914">
        <f>HYPERLINK("http://www.worldcat.org/oclc/881224","WorldCat Record")</f>
        <v/>
      </c>
      <c r="AW914" t="inlineStr">
        <is>
          <t>104397816:eng</t>
        </is>
      </c>
      <c r="AX914" t="inlineStr">
        <is>
          <t>881224</t>
        </is>
      </c>
      <c r="AY914" t="inlineStr">
        <is>
          <t>991003348939702656</t>
        </is>
      </c>
      <c r="AZ914" t="inlineStr">
        <is>
          <t>991003348939702656</t>
        </is>
      </c>
      <c r="BA914" t="inlineStr">
        <is>
          <t>2259727930002656</t>
        </is>
      </c>
      <c r="BB914" t="inlineStr">
        <is>
          <t>BOOK</t>
        </is>
      </c>
      <c r="BE914" t="inlineStr">
        <is>
          <t>32285003022273</t>
        </is>
      </c>
      <c r="BF914" t="inlineStr">
        <is>
          <t>893610944</t>
        </is>
      </c>
    </row>
    <row r="915">
      <c r="A915" t="inlineStr">
        <is>
          <t>No</t>
        </is>
      </c>
      <c r="B915" t="inlineStr">
        <is>
          <t>CURAL</t>
        </is>
      </c>
      <c r="C915" t="inlineStr">
        <is>
          <t>SHELVES</t>
        </is>
      </c>
      <c r="D915" t="inlineStr">
        <is>
          <t>PR3085 .T37 1987</t>
        </is>
      </c>
      <c r="E915" t="inlineStr">
        <is>
          <t>0                      PR 3085000T  37          1987</t>
        </is>
      </c>
      <c r="F915" t="inlineStr">
        <is>
          <t>Shakespeare's verse : iambic pentameter and the poet's idiosyncrasies / Marina Tarlinskaja.</t>
        </is>
      </c>
      <c r="H915" t="inlineStr">
        <is>
          <t>No</t>
        </is>
      </c>
      <c r="I915" t="inlineStr">
        <is>
          <t>1</t>
        </is>
      </c>
      <c r="J915" t="inlineStr">
        <is>
          <t>No</t>
        </is>
      </c>
      <c r="K915" t="inlineStr">
        <is>
          <t>No</t>
        </is>
      </c>
      <c r="L915" t="inlineStr">
        <is>
          <t>0</t>
        </is>
      </c>
      <c r="M915" t="inlineStr">
        <is>
          <t>Tarlinskaja, Marina.</t>
        </is>
      </c>
      <c r="N915" t="inlineStr">
        <is>
          <t>New York : P. Lang, c1987.</t>
        </is>
      </c>
      <c r="O915" t="inlineStr">
        <is>
          <t>1987</t>
        </is>
      </c>
      <c r="Q915" t="inlineStr">
        <is>
          <t>eng</t>
        </is>
      </c>
      <c r="R915" t="inlineStr">
        <is>
          <t>nyu</t>
        </is>
      </c>
      <c r="S915" t="inlineStr">
        <is>
          <t>American university studies. Series IV, English language and literature ; v. 41</t>
        </is>
      </c>
      <c r="T915" t="inlineStr">
        <is>
          <t xml:space="preserve">PR </t>
        </is>
      </c>
      <c r="U915" t="n">
        <v>1</v>
      </c>
      <c r="V915" t="n">
        <v>1</v>
      </c>
      <c r="W915" t="inlineStr">
        <is>
          <t>1998-11-16</t>
        </is>
      </c>
      <c r="X915" t="inlineStr">
        <is>
          <t>1998-11-16</t>
        </is>
      </c>
      <c r="Y915" t="inlineStr">
        <is>
          <t>1991-10-03</t>
        </is>
      </c>
      <c r="Z915" t="inlineStr">
        <is>
          <t>1991-10-03</t>
        </is>
      </c>
      <c r="AA915" t="n">
        <v>185</v>
      </c>
      <c r="AB915" t="n">
        <v>140</v>
      </c>
      <c r="AC915" t="n">
        <v>141</v>
      </c>
      <c r="AD915" t="n">
        <v>1</v>
      </c>
      <c r="AE915" t="n">
        <v>1</v>
      </c>
      <c r="AF915" t="n">
        <v>8</v>
      </c>
      <c r="AG915" t="n">
        <v>8</v>
      </c>
      <c r="AH915" t="n">
        <v>3</v>
      </c>
      <c r="AI915" t="n">
        <v>3</v>
      </c>
      <c r="AJ915" t="n">
        <v>2</v>
      </c>
      <c r="AK915" t="n">
        <v>2</v>
      </c>
      <c r="AL915" t="n">
        <v>7</v>
      </c>
      <c r="AM915" t="n">
        <v>7</v>
      </c>
      <c r="AN915" t="n">
        <v>0</v>
      </c>
      <c r="AO915" t="n">
        <v>0</v>
      </c>
      <c r="AP915" t="n">
        <v>0</v>
      </c>
      <c r="AQ915" t="n">
        <v>0</v>
      </c>
      <c r="AR915" t="inlineStr">
        <is>
          <t>No</t>
        </is>
      </c>
      <c r="AS915" t="inlineStr">
        <is>
          <t>Yes</t>
        </is>
      </c>
      <c r="AT915">
        <f>HYPERLINK("http://catalog.hathitrust.org/Record/003269530","HathiTrust Record")</f>
        <v/>
      </c>
      <c r="AU915">
        <f>HYPERLINK("https://creighton-primo.hosted.exlibrisgroup.com/primo-explore/search?tab=default_tab&amp;search_scope=EVERYTHING&amp;vid=01CRU&amp;lang=en_US&amp;offset=0&amp;query=any,contains,991000961069702656","Catalog Record")</f>
        <v/>
      </c>
      <c r="AV915">
        <f>HYPERLINK("http://www.worldcat.org/oclc/14818726","WorldCat Record")</f>
        <v/>
      </c>
      <c r="AW915" t="inlineStr">
        <is>
          <t>8538587:eng</t>
        </is>
      </c>
      <c r="AX915" t="inlineStr">
        <is>
          <t>14818726</t>
        </is>
      </c>
      <c r="AY915" t="inlineStr">
        <is>
          <t>991000961069702656</t>
        </is>
      </c>
      <c r="AZ915" t="inlineStr">
        <is>
          <t>991000961069702656</t>
        </is>
      </c>
      <c r="BA915" t="inlineStr">
        <is>
          <t>2263886860002656</t>
        </is>
      </c>
      <c r="BB915" t="inlineStr">
        <is>
          <t>BOOK</t>
        </is>
      </c>
      <c r="BD915" t="inlineStr">
        <is>
          <t>9780820403441</t>
        </is>
      </c>
      <c r="BE915" t="inlineStr">
        <is>
          <t>32285000771385</t>
        </is>
      </c>
      <c r="BF915" t="inlineStr">
        <is>
          <t>893878496</t>
        </is>
      </c>
    </row>
    <row r="916">
      <c r="A916" t="inlineStr">
        <is>
          <t>No</t>
        </is>
      </c>
      <c r="B916" t="inlineStr">
        <is>
          <t>CURAL</t>
        </is>
      </c>
      <c r="C916" t="inlineStr">
        <is>
          <t>SHELVES</t>
        </is>
      </c>
      <c r="D916" t="inlineStr">
        <is>
          <t>PR3091 .B475 1993</t>
        </is>
      </c>
      <c r="E916" t="inlineStr">
        <is>
          <t>0                      PR 3091000B  475         1993</t>
        </is>
      </c>
      <c r="F916" t="inlineStr">
        <is>
          <t>Shakespeare in performance : castings and metamorphoses / Ralph Berry.</t>
        </is>
      </c>
      <c r="H916" t="inlineStr">
        <is>
          <t>No</t>
        </is>
      </c>
      <c r="I916" t="inlineStr">
        <is>
          <t>1</t>
        </is>
      </c>
      <c r="J916" t="inlineStr">
        <is>
          <t>No</t>
        </is>
      </c>
      <c r="K916" t="inlineStr">
        <is>
          <t>No</t>
        </is>
      </c>
      <c r="L916" t="inlineStr">
        <is>
          <t>0</t>
        </is>
      </c>
      <c r="M916" t="inlineStr">
        <is>
          <t>Berry, Ralph, 1931-</t>
        </is>
      </c>
      <c r="N916" t="inlineStr">
        <is>
          <t>New York : St. Martin's Press, 1993.</t>
        </is>
      </c>
      <c r="O916" t="inlineStr">
        <is>
          <t>1993</t>
        </is>
      </c>
      <c r="Q916" t="inlineStr">
        <is>
          <t>eng</t>
        </is>
      </c>
      <c r="R916" t="inlineStr">
        <is>
          <t>nyu</t>
        </is>
      </c>
      <c r="T916" t="inlineStr">
        <is>
          <t xml:space="preserve">PR </t>
        </is>
      </c>
      <c r="U916" t="n">
        <v>1</v>
      </c>
      <c r="V916" t="n">
        <v>1</v>
      </c>
      <c r="W916" t="inlineStr">
        <is>
          <t>1998-11-30</t>
        </is>
      </c>
      <c r="X916" t="inlineStr">
        <is>
          <t>1998-11-30</t>
        </is>
      </c>
      <c r="Y916" t="inlineStr">
        <is>
          <t>1996-02-02</t>
        </is>
      </c>
      <c r="Z916" t="inlineStr">
        <is>
          <t>1996-02-02</t>
        </is>
      </c>
      <c r="AA916" t="n">
        <v>290</v>
      </c>
      <c r="AB916" t="n">
        <v>235</v>
      </c>
      <c r="AC916" t="n">
        <v>270</v>
      </c>
      <c r="AD916" t="n">
        <v>2</v>
      </c>
      <c r="AE916" t="n">
        <v>2</v>
      </c>
      <c r="AF916" t="n">
        <v>18</v>
      </c>
      <c r="AG916" t="n">
        <v>18</v>
      </c>
      <c r="AH916" t="n">
        <v>4</v>
      </c>
      <c r="AI916" t="n">
        <v>4</v>
      </c>
      <c r="AJ916" t="n">
        <v>6</v>
      </c>
      <c r="AK916" t="n">
        <v>6</v>
      </c>
      <c r="AL916" t="n">
        <v>14</v>
      </c>
      <c r="AM916" t="n">
        <v>14</v>
      </c>
      <c r="AN916" t="n">
        <v>1</v>
      </c>
      <c r="AO916" t="n">
        <v>1</v>
      </c>
      <c r="AP916" t="n">
        <v>0</v>
      </c>
      <c r="AQ916" t="n">
        <v>0</v>
      </c>
      <c r="AR916" t="inlineStr">
        <is>
          <t>No</t>
        </is>
      </c>
      <c r="AS916" t="inlineStr">
        <is>
          <t>No</t>
        </is>
      </c>
      <c r="AU916">
        <f>HYPERLINK("https://creighton-primo.hosted.exlibrisgroup.com/primo-explore/search?tab=default_tab&amp;search_scope=EVERYTHING&amp;vid=01CRU&amp;lang=en_US&amp;offset=0&amp;query=any,contains,991002065639702656","Catalog Record")</f>
        <v/>
      </c>
      <c r="AV916">
        <f>HYPERLINK("http://www.worldcat.org/oclc/26402965","WorldCat Record")</f>
        <v/>
      </c>
      <c r="AW916" t="inlineStr">
        <is>
          <t>836912325:eng</t>
        </is>
      </c>
      <c r="AX916" t="inlineStr">
        <is>
          <t>26402965</t>
        </is>
      </c>
      <c r="AY916" t="inlineStr">
        <is>
          <t>991002065639702656</t>
        </is>
      </c>
      <c r="AZ916" t="inlineStr">
        <is>
          <t>991002065639702656</t>
        </is>
      </c>
      <c r="BA916" t="inlineStr">
        <is>
          <t>2266619010002656</t>
        </is>
      </c>
      <c r="BB916" t="inlineStr">
        <is>
          <t>BOOK</t>
        </is>
      </c>
      <c r="BD916" t="inlineStr">
        <is>
          <t>9780312090166</t>
        </is>
      </c>
      <c r="BE916" t="inlineStr">
        <is>
          <t>32285002127727</t>
        </is>
      </c>
      <c r="BF916" t="inlineStr">
        <is>
          <t>893238602</t>
        </is>
      </c>
    </row>
    <row r="917">
      <c r="A917" t="inlineStr">
        <is>
          <t>No</t>
        </is>
      </c>
      <c r="B917" t="inlineStr">
        <is>
          <t>CURAL</t>
        </is>
      </c>
      <c r="C917" t="inlineStr">
        <is>
          <t>SHELVES</t>
        </is>
      </c>
      <c r="D917" t="inlineStr">
        <is>
          <t>PR3091 .B68 1981</t>
        </is>
      </c>
      <c r="E917" t="inlineStr">
        <is>
          <t>0                      PR 3091000B  68          1981</t>
        </is>
      </c>
      <c r="F917" t="inlineStr">
        <is>
          <t>Discovering Shakespeare : a new guide to the plays / John Russell Brown.</t>
        </is>
      </c>
      <c r="H917" t="inlineStr">
        <is>
          <t>No</t>
        </is>
      </c>
      <c r="I917" t="inlineStr">
        <is>
          <t>1</t>
        </is>
      </c>
      <c r="J917" t="inlineStr">
        <is>
          <t>No</t>
        </is>
      </c>
      <c r="K917" t="inlineStr">
        <is>
          <t>No</t>
        </is>
      </c>
      <c r="L917" t="inlineStr">
        <is>
          <t>0</t>
        </is>
      </c>
      <c r="M917" t="inlineStr">
        <is>
          <t>Brown, John Russell.</t>
        </is>
      </c>
      <c r="N917" t="inlineStr">
        <is>
          <t>New York : Columbia University Press, 1981.</t>
        </is>
      </c>
      <c r="O917" t="inlineStr">
        <is>
          <t>1981</t>
        </is>
      </c>
      <c r="Q917" t="inlineStr">
        <is>
          <t>eng</t>
        </is>
      </c>
      <c r="R917" t="inlineStr">
        <is>
          <t>nyu</t>
        </is>
      </c>
      <c r="T917" t="inlineStr">
        <is>
          <t xml:space="preserve">PR </t>
        </is>
      </c>
      <c r="U917" t="n">
        <v>4</v>
      </c>
      <c r="V917" t="n">
        <v>4</v>
      </c>
      <c r="W917" t="inlineStr">
        <is>
          <t>2010-05-03</t>
        </is>
      </c>
      <c r="X917" t="inlineStr">
        <is>
          <t>2010-05-03</t>
        </is>
      </c>
      <c r="Y917" t="inlineStr">
        <is>
          <t>1991-10-03</t>
        </is>
      </c>
      <c r="Z917" t="inlineStr">
        <is>
          <t>1991-10-03</t>
        </is>
      </c>
      <c r="AA917" t="n">
        <v>800</v>
      </c>
      <c r="AB917" t="n">
        <v>727</v>
      </c>
      <c r="AC917" t="n">
        <v>762</v>
      </c>
      <c r="AD917" t="n">
        <v>5</v>
      </c>
      <c r="AE917" t="n">
        <v>6</v>
      </c>
      <c r="AF917" t="n">
        <v>37</v>
      </c>
      <c r="AG917" t="n">
        <v>38</v>
      </c>
      <c r="AH917" t="n">
        <v>18</v>
      </c>
      <c r="AI917" t="n">
        <v>18</v>
      </c>
      <c r="AJ917" t="n">
        <v>6</v>
      </c>
      <c r="AK917" t="n">
        <v>6</v>
      </c>
      <c r="AL917" t="n">
        <v>18</v>
      </c>
      <c r="AM917" t="n">
        <v>18</v>
      </c>
      <c r="AN917" t="n">
        <v>4</v>
      </c>
      <c r="AO917" t="n">
        <v>5</v>
      </c>
      <c r="AP917" t="n">
        <v>0</v>
      </c>
      <c r="AQ917" t="n">
        <v>0</v>
      </c>
      <c r="AR917" t="inlineStr">
        <is>
          <t>No</t>
        </is>
      </c>
      <c r="AS917" t="inlineStr">
        <is>
          <t>No</t>
        </is>
      </c>
      <c r="AU917">
        <f>HYPERLINK("https://creighton-primo.hosted.exlibrisgroup.com/primo-explore/search?tab=default_tab&amp;search_scope=EVERYTHING&amp;vid=01CRU&amp;lang=en_US&amp;offset=0&amp;query=any,contains,991005137099702656","Catalog Record")</f>
        <v/>
      </c>
      <c r="AV917">
        <f>HYPERLINK("http://www.worldcat.org/oclc/7578048","WorldCat Record")</f>
        <v/>
      </c>
      <c r="AW917" t="inlineStr">
        <is>
          <t>881401665:eng</t>
        </is>
      </c>
      <c r="AX917" t="inlineStr">
        <is>
          <t>7578048</t>
        </is>
      </c>
      <c r="AY917" t="inlineStr">
        <is>
          <t>991005137099702656</t>
        </is>
      </c>
      <c r="AZ917" t="inlineStr">
        <is>
          <t>991005137099702656</t>
        </is>
      </c>
      <c r="BA917" t="inlineStr">
        <is>
          <t>2264939430002656</t>
        </is>
      </c>
      <c r="BB917" t="inlineStr">
        <is>
          <t>BOOK</t>
        </is>
      </c>
      <c r="BD917" t="inlineStr">
        <is>
          <t>9780231053587</t>
        </is>
      </c>
      <c r="BE917" t="inlineStr">
        <is>
          <t>32285000771419</t>
        </is>
      </c>
      <c r="BF917" t="inlineStr">
        <is>
          <t>893236344</t>
        </is>
      </c>
    </row>
    <row r="918">
      <c r="A918" t="inlineStr">
        <is>
          <t>No</t>
        </is>
      </c>
      <c r="B918" t="inlineStr">
        <is>
          <t>CURAL</t>
        </is>
      </c>
      <c r="C918" t="inlineStr">
        <is>
          <t>SHELVES</t>
        </is>
      </c>
      <c r="D918" t="inlineStr">
        <is>
          <t>PR3091 .D33 1988</t>
        </is>
      </c>
      <c r="E918" t="inlineStr">
        <is>
          <t>0                      PR 3091000D  33          1988</t>
        </is>
      </c>
      <c r="F918" t="inlineStr">
        <is>
          <t>Watching Shakespeare : a playgoers' guide / Anthony B. Dawson.</t>
        </is>
      </c>
      <c r="H918" t="inlineStr">
        <is>
          <t>No</t>
        </is>
      </c>
      <c r="I918" t="inlineStr">
        <is>
          <t>1</t>
        </is>
      </c>
      <c r="J918" t="inlineStr">
        <is>
          <t>No</t>
        </is>
      </c>
      <c r="K918" t="inlineStr">
        <is>
          <t>No</t>
        </is>
      </c>
      <c r="L918" t="inlineStr">
        <is>
          <t>0</t>
        </is>
      </c>
      <c r="M918" t="inlineStr">
        <is>
          <t>Dawson, Anthony B.</t>
        </is>
      </c>
      <c r="N918" t="inlineStr">
        <is>
          <t>New York : St. Martin's Press, 1988.</t>
        </is>
      </c>
      <c r="O918" t="inlineStr">
        <is>
          <t>1988</t>
        </is>
      </c>
      <c r="Q918" t="inlineStr">
        <is>
          <t>eng</t>
        </is>
      </c>
      <c r="R918" t="inlineStr">
        <is>
          <t>nyu</t>
        </is>
      </c>
      <c r="T918" t="inlineStr">
        <is>
          <t xml:space="preserve">PR </t>
        </is>
      </c>
      <c r="U918" t="n">
        <v>3</v>
      </c>
      <c r="V918" t="n">
        <v>3</v>
      </c>
      <c r="W918" t="inlineStr">
        <is>
          <t>2006-11-19</t>
        </is>
      </c>
      <c r="X918" t="inlineStr">
        <is>
          <t>2006-11-19</t>
        </is>
      </c>
      <c r="Y918" t="inlineStr">
        <is>
          <t>1991-10-03</t>
        </is>
      </c>
      <c r="Z918" t="inlineStr">
        <is>
          <t>1991-10-03</t>
        </is>
      </c>
      <c r="AA918" t="n">
        <v>251</v>
      </c>
      <c r="AB918" t="n">
        <v>223</v>
      </c>
      <c r="AC918" t="n">
        <v>260</v>
      </c>
      <c r="AD918" t="n">
        <v>3</v>
      </c>
      <c r="AE918" t="n">
        <v>3</v>
      </c>
      <c r="AF918" t="n">
        <v>9</v>
      </c>
      <c r="AG918" t="n">
        <v>12</v>
      </c>
      <c r="AH918" t="n">
        <v>1</v>
      </c>
      <c r="AI918" t="n">
        <v>2</v>
      </c>
      <c r="AJ918" t="n">
        <v>3</v>
      </c>
      <c r="AK918" t="n">
        <v>4</v>
      </c>
      <c r="AL918" t="n">
        <v>5</v>
      </c>
      <c r="AM918" t="n">
        <v>8</v>
      </c>
      <c r="AN918" t="n">
        <v>2</v>
      </c>
      <c r="AO918" t="n">
        <v>2</v>
      </c>
      <c r="AP918" t="n">
        <v>0</v>
      </c>
      <c r="AQ918" t="n">
        <v>0</v>
      </c>
      <c r="AR918" t="inlineStr">
        <is>
          <t>No</t>
        </is>
      </c>
      <c r="AS918" t="inlineStr">
        <is>
          <t>No</t>
        </is>
      </c>
      <c r="AU918">
        <f>HYPERLINK("https://creighton-primo.hosted.exlibrisgroup.com/primo-explore/search?tab=default_tab&amp;search_scope=EVERYTHING&amp;vid=01CRU&amp;lang=en_US&amp;offset=0&amp;query=any,contains,991001133229702656","Catalog Record")</f>
        <v/>
      </c>
      <c r="AV918">
        <f>HYPERLINK("http://www.worldcat.org/oclc/16685247","WorldCat Record")</f>
        <v/>
      </c>
      <c r="AW918" t="inlineStr">
        <is>
          <t>10685380:eng</t>
        </is>
      </c>
      <c r="AX918" t="inlineStr">
        <is>
          <t>16685247</t>
        </is>
      </c>
      <c r="AY918" t="inlineStr">
        <is>
          <t>991001133229702656</t>
        </is>
      </c>
      <c r="AZ918" t="inlineStr">
        <is>
          <t>991001133229702656</t>
        </is>
      </c>
      <c r="BA918" t="inlineStr">
        <is>
          <t>2271392080002656</t>
        </is>
      </c>
      <c r="BB918" t="inlineStr">
        <is>
          <t>BOOK</t>
        </is>
      </c>
      <c r="BD918" t="inlineStr">
        <is>
          <t>9780312015633</t>
        </is>
      </c>
      <c r="BE918" t="inlineStr">
        <is>
          <t>32285000771427</t>
        </is>
      </c>
      <c r="BF918" t="inlineStr">
        <is>
          <t>893261742</t>
        </is>
      </c>
    </row>
    <row r="919">
      <c r="A919" t="inlineStr">
        <is>
          <t>No</t>
        </is>
      </c>
      <c r="B919" t="inlineStr">
        <is>
          <t>CURAL</t>
        </is>
      </c>
      <c r="C919" t="inlineStr">
        <is>
          <t>SHELVES</t>
        </is>
      </c>
      <c r="D919" t="inlineStr">
        <is>
          <t>PR3091 .D4</t>
        </is>
      </c>
      <c r="E919" t="inlineStr">
        <is>
          <t>0                      PR 3091000D  4</t>
        </is>
      </c>
      <c r="F919" t="inlineStr">
        <is>
          <t>Shakespearean stage production: then &amp; now; a manual for the scholar-player.</t>
        </is>
      </c>
      <c r="H919" t="inlineStr">
        <is>
          <t>No</t>
        </is>
      </c>
      <c r="I919" t="inlineStr">
        <is>
          <t>1</t>
        </is>
      </c>
      <c r="J919" t="inlineStr">
        <is>
          <t>No</t>
        </is>
      </c>
      <c r="K919" t="inlineStr">
        <is>
          <t>No</t>
        </is>
      </c>
      <c r="L919" t="inlineStr">
        <is>
          <t>0</t>
        </is>
      </c>
      <c r="M919" t="inlineStr">
        <is>
          <t>De Banke, Cécile.</t>
        </is>
      </c>
      <c r="N919" t="inlineStr">
        <is>
          <t>New York, McGraw-Hill [1953]</t>
        </is>
      </c>
      <c r="O919" t="inlineStr">
        <is>
          <t>1953</t>
        </is>
      </c>
      <c r="Q919" t="inlineStr">
        <is>
          <t>eng</t>
        </is>
      </c>
      <c r="R919" t="inlineStr">
        <is>
          <t>nyu</t>
        </is>
      </c>
      <c r="T919" t="inlineStr">
        <is>
          <t xml:space="preserve">PR </t>
        </is>
      </c>
      <c r="U919" t="n">
        <v>4</v>
      </c>
      <c r="V919" t="n">
        <v>4</v>
      </c>
      <c r="W919" t="inlineStr">
        <is>
          <t>2006-11-19</t>
        </is>
      </c>
      <c r="X919" t="inlineStr">
        <is>
          <t>2006-11-19</t>
        </is>
      </c>
      <c r="Y919" t="inlineStr">
        <is>
          <t>1997-08-06</t>
        </is>
      </c>
      <c r="Z919" t="inlineStr">
        <is>
          <t>1997-08-06</t>
        </is>
      </c>
      <c r="AA919" t="n">
        <v>485</v>
      </c>
      <c r="AB919" t="n">
        <v>454</v>
      </c>
      <c r="AC919" t="n">
        <v>601</v>
      </c>
      <c r="AD919" t="n">
        <v>8</v>
      </c>
      <c r="AE919" t="n">
        <v>8</v>
      </c>
      <c r="AF919" t="n">
        <v>28</v>
      </c>
      <c r="AG919" t="n">
        <v>33</v>
      </c>
      <c r="AH919" t="n">
        <v>14</v>
      </c>
      <c r="AI919" t="n">
        <v>15</v>
      </c>
      <c r="AJ919" t="n">
        <v>4</v>
      </c>
      <c r="AK919" t="n">
        <v>4</v>
      </c>
      <c r="AL919" t="n">
        <v>9</v>
      </c>
      <c r="AM919" t="n">
        <v>14</v>
      </c>
      <c r="AN919" t="n">
        <v>7</v>
      </c>
      <c r="AO919" t="n">
        <v>7</v>
      </c>
      <c r="AP919" t="n">
        <v>0</v>
      </c>
      <c r="AQ919" t="n">
        <v>0</v>
      </c>
      <c r="AR919" t="inlineStr">
        <is>
          <t>Yes</t>
        </is>
      </c>
      <c r="AS919" t="inlineStr">
        <is>
          <t>No</t>
        </is>
      </c>
      <c r="AT919">
        <f>HYPERLINK("http://catalog.hathitrust.org/Record/001019206","HathiTrust Record")</f>
        <v/>
      </c>
      <c r="AU919">
        <f>HYPERLINK("https://creighton-primo.hosted.exlibrisgroup.com/primo-explore/search?tab=default_tab&amp;search_scope=EVERYTHING&amp;vid=01CRU&amp;lang=en_US&amp;offset=0&amp;query=any,contains,991001859499702656","Catalog Record")</f>
        <v/>
      </c>
      <c r="AV919">
        <f>HYPERLINK("http://www.worldcat.org/oclc/237902","WorldCat Record")</f>
        <v/>
      </c>
      <c r="AW919" t="inlineStr">
        <is>
          <t>1881975005:eng</t>
        </is>
      </c>
      <c r="AX919" t="inlineStr">
        <is>
          <t>237902</t>
        </is>
      </c>
      <c r="AY919" t="inlineStr">
        <is>
          <t>991001859499702656</t>
        </is>
      </c>
      <c r="AZ919" t="inlineStr">
        <is>
          <t>991001859499702656</t>
        </is>
      </c>
      <c r="BA919" t="inlineStr">
        <is>
          <t>2256575660002656</t>
        </is>
      </c>
      <c r="BB919" t="inlineStr">
        <is>
          <t>BOOK</t>
        </is>
      </c>
      <c r="BE919" t="inlineStr">
        <is>
          <t>32285003022356</t>
        </is>
      </c>
      <c r="BF919" t="inlineStr">
        <is>
          <t>893602942</t>
        </is>
      </c>
    </row>
    <row r="920">
      <c r="A920" t="inlineStr">
        <is>
          <t>No</t>
        </is>
      </c>
      <c r="B920" t="inlineStr">
        <is>
          <t>CURAL</t>
        </is>
      </c>
      <c r="C920" t="inlineStr">
        <is>
          <t>SHELVES</t>
        </is>
      </c>
      <c r="D920" t="inlineStr">
        <is>
          <t>PR3091 .H36</t>
        </is>
      </c>
      <c r="E920" t="inlineStr">
        <is>
          <t>0                      PR 3091000H  36</t>
        </is>
      </c>
      <c r="F920" t="inlineStr">
        <is>
          <t>Shakespeare's audience, by Alfred Harbage.</t>
        </is>
      </c>
      <c r="H920" t="inlineStr">
        <is>
          <t>No</t>
        </is>
      </c>
      <c r="I920" t="inlineStr">
        <is>
          <t>1</t>
        </is>
      </c>
      <c r="J920" t="inlineStr">
        <is>
          <t>No</t>
        </is>
      </c>
      <c r="K920" t="inlineStr">
        <is>
          <t>No</t>
        </is>
      </c>
      <c r="L920" t="inlineStr">
        <is>
          <t>0</t>
        </is>
      </c>
      <c r="M920" t="inlineStr">
        <is>
          <t>Harbage, Alfred, 1901-1976.</t>
        </is>
      </c>
      <c r="N920" t="inlineStr">
        <is>
          <t>New York, Columbia university press, 1941.</t>
        </is>
      </c>
      <c r="O920" t="inlineStr">
        <is>
          <t>1941</t>
        </is>
      </c>
      <c r="Q920" t="inlineStr">
        <is>
          <t>eng</t>
        </is>
      </c>
      <c r="R920" t="inlineStr">
        <is>
          <t>nyu</t>
        </is>
      </c>
      <c r="T920" t="inlineStr">
        <is>
          <t xml:space="preserve">PR </t>
        </is>
      </c>
      <c r="U920" t="n">
        <v>1</v>
      </c>
      <c r="V920" t="n">
        <v>1</v>
      </c>
      <c r="W920" t="inlineStr">
        <is>
          <t>2002-02-20</t>
        </is>
      </c>
      <c r="X920" t="inlineStr">
        <is>
          <t>2002-02-20</t>
        </is>
      </c>
      <c r="Y920" t="inlineStr">
        <is>
          <t>1997-08-06</t>
        </is>
      </c>
      <c r="Z920" t="inlineStr">
        <is>
          <t>1997-08-06</t>
        </is>
      </c>
      <c r="AA920" t="n">
        <v>1108</v>
      </c>
      <c r="AB920" t="n">
        <v>973</v>
      </c>
      <c r="AC920" t="n">
        <v>1103</v>
      </c>
      <c r="AD920" t="n">
        <v>9</v>
      </c>
      <c r="AE920" t="n">
        <v>10</v>
      </c>
      <c r="AF920" t="n">
        <v>45</v>
      </c>
      <c r="AG920" t="n">
        <v>48</v>
      </c>
      <c r="AH920" t="n">
        <v>20</v>
      </c>
      <c r="AI920" t="n">
        <v>22</v>
      </c>
      <c r="AJ920" t="n">
        <v>9</v>
      </c>
      <c r="AK920" t="n">
        <v>9</v>
      </c>
      <c r="AL920" t="n">
        <v>21</v>
      </c>
      <c r="AM920" t="n">
        <v>21</v>
      </c>
      <c r="AN920" t="n">
        <v>6</v>
      </c>
      <c r="AO920" t="n">
        <v>7</v>
      </c>
      <c r="AP920" t="n">
        <v>0</v>
      </c>
      <c r="AQ920" t="n">
        <v>0</v>
      </c>
      <c r="AR920" t="inlineStr">
        <is>
          <t>Yes</t>
        </is>
      </c>
      <c r="AS920" t="inlineStr">
        <is>
          <t>No</t>
        </is>
      </c>
      <c r="AT920">
        <f>HYPERLINK("http://catalog.hathitrust.org/Record/001019210","HathiTrust Record")</f>
        <v/>
      </c>
      <c r="AU920">
        <f>HYPERLINK("https://creighton-primo.hosted.exlibrisgroup.com/primo-explore/search?tab=default_tab&amp;search_scope=EVERYTHING&amp;vid=01CRU&amp;lang=en_US&amp;offset=0&amp;query=any,contains,991002452599702656","Catalog Record")</f>
        <v/>
      </c>
      <c r="AV920">
        <f>HYPERLINK("http://www.worldcat.org/oclc/353236","WorldCat Record")</f>
        <v/>
      </c>
      <c r="AW920" t="inlineStr">
        <is>
          <t>420582:eng</t>
        </is>
      </c>
      <c r="AX920" t="inlineStr">
        <is>
          <t>353236</t>
        </is>
      </c>
      <c r="AY920" t="inlineStr">
        <is>
          <t>991002452599702656</t>
        </is>
      </c>
      <c r="AZ920" t="inlineStr">
        <is>
          <t>991002452599702656</t>
        </is>
      </c>
      <c r="BA920" t="inlineStr">
        <is>
          <t>2267938440002656</t>
        </is>
      </c>
      <c r="BB920" t="inlineStr">
        <is>
          <t>BOOK</t>
        </is>
      </c>
      <c r="BE920" t="inlineStr">
        <is>
          <t>32285003022372</t>
        </is>
      </c>
      <c r="BF920" t="inlineStr">
        <is>
          <t>893697799</t>
        </is>
      </c>
    </row>
    <row r="921">
      <c r="A921" t="inlineStr">
        <is>
          <t>No</t>
        </is>
      </c>
      <c r="B921" t="inlineStr">
        <is>
          <t>CURAL</t>
        </is>
      </c>
      <c r="C921" t="inlineStr">
        <is>
          <t>SHELVES</t>
        </is>
      </c>
      <c r="D921" t="inlineStr">
        <is>
          <t>PR3091 .J6</t>
        </is>
      </c>
      <c r="E921" t="inlineStr">
        <is>
          <t>0                      PR 3091000J  6</t>
        </is>
      </c>
      <c r="F921" t="inlineStr">
        <is>
          <t>Acting Shakespeare.</t>
        </is>
      </c>
      <c r="H921" t="inlineStr">
        <is>
          <t>No</t>
        </is>
      </c>
      <c r="I921" t="inlineStr">
        <is>
          <t>1</t>
        </is>
      </c>
      <c r="J921" t="inlineStr">
        <is>
          <t>No</t>
        </is>
      </c>
      <c r="K921" t="inlineStr">
        <is>
          <t>No</t>
        </is>
      </c>
      <c r="L921" t="inlineStr">
        <is>
          <t>0</t>
        </is>
      </c>
      <c r="M921" t="inlineStr">
        <is>
          <t>Joseph, Bertram Leon.</t>
        </is>
      </c>
      <c r="N921" t="inlineStr">
        <is>
          <t>[New York] Theatre Arts Books [1960]</t>
        </is>
      </c>
      <c r="O921" t="inlineStr">
        <is>
          <t>1960</t>
        </is>
      </c>
      <c r="Q921" t="inlineStr">
        <is>
          <t>eng</t>
        </is>
      </c>
      <c r="R921" t="inlineStr">
        <is>
          <t>nyu</t>
        </is>
      </c>
      <c r="T921" t="inlineStr">
        <is>
          <t xml:space="preserve">PR </t>
        </is>
      </c>
      <c r="U921" t="n">
        <v>1</v>
      </c>
      <c r="V921" t="n">
        <v>1</v>
      </c>
      <c r="W921" t="inlineStr">
        <is>
          <t>2006-04-22</t>
        </is>
      </c>
      <c r="X921" t="inlineStr">
        <is>
          <t>2006-04-22</t>
        </is>
      </c>
      <c r="Y921" t="inlineStr">
        <is>
          <t>1997-08-06</t>
        </is>
      </c>
      <c r="Z921" t="inlineStr">
        <is>
          <t>1997-08-06</t>
        </is>
      </c>
      <c r="AA921" t="n">
        <v>281</v>
      </c>
      <c r="AB921" t="n">
        <v>272</v>
      </c>
      <c r="AC921" t="n">
        <v>877</v>
      </c>
      <c r="AD921" t="n">
        <v>4</v>
      </c>
      <c r="AE921" t="n">
        <v>7</v>
      </c>
      <c r="AF921" t="n">
        <v>13</v>
      </c>
      <c r="AG921" t="n">
        <v>40</v>
      </c>
      <c r="AH921" t="n">
        <v>7</v>
      </c>
      <c r="AI921" t="n">
        <v>17</v>
      </c>
      <c r="AJ921" t="n">
        <v>2</v>
      </c>
      <c r="AK921" t="n">
        <v>7</v>
      </c>
      <c r="AL921" t="n">
        <v>3</v>
      </c>
      <c r="AM921" t="n">
        <v>20</v>
      </c>
      <c r="AN921" t="n">
        <v>3</v>
      </c>
      <c r="AO921" t="n">
        <v>6</v>
      </c>
      <c r="AP921" t="n">
        <v>0</v>
      </c>
      <c r="AQ921" t="n">
        <v>0</v>
      </c>
      <c r="AR921" t="inlineStr">
        <is>
          <t>No</t>
        </is>
      </c>
      <c r="AS921" t="inlineStr">
        <is>
          <t>No</t>
        </is>
      </c>
      <c r="AT921">
        <f>HYPERLINK("http://catalog.hathitrust.org/Record/001367249","HathiTrust Record")</f>
        <v/>
      </c>
      <c r="AU921">
        <f>HYPERLINK("https://creighton-primo.hosted.exlibrisgroup.com/primo-explore/search?tab=default_tab&amp;search_scope=EVERYTHING&amp;vid=01CRU&amp;lang=en_US&amp;offset=0&amp;query=any,contains,991001168439702656","Catalog Record")</f>
        <v/>
      </c>
      <c r="AV921">
        <f>HYPERLINK("http://www.worldcat.org/oclc/187685","WorldCat Record")</f>
        <v/>
      </c>
      <c r="AW921" t="inlineStr">
        <is>
          <t>537911:eng</t>
        </is>
      </c>
      <c r="AX921" t="inlineStr">
        <is>
          <t>187685</t>
        </is>
      </c>
      <c r="AY921" t="inlineStr">
        <is>
          <t>991001168439702656</t>
        </is>
      </c>
      <c r="AZ921" t="inlineStr">
        <is>
          <t>991001168439702656</t>
        </is>
      </c>
      <c r="BA921" t="inlineStr">
        <is>
          <t>2265415560002656</t>
        </is>
      </c>
      <c r="BB921" t="inlineStr">
        <is>
          <t>BOOK</t>
        </is>
      </c>
      <c r="BE921" t="inlineStr">
        <is>
          <t>32285003022398</t>
        </is>
      </c>
      <c r="BF921" t="inlineStr">
        <is>
          <t>893778610</t>
        </is>
      </c>
    </row>
    <row r="922">
      <c r="A922" t="inlineStr">
        <is>
          <t>No</t>
        </is>
      </c>
      <c r="B922" t="inlineStr">
        <is>
          <t>CURAL</t>
        </is>
      </c>
      <c r="C922" t="inlineStr">
        <is>
          <t>SHELVES</t>
        </is>
      </c>
      <c r="D922" t="inlineStr">
        <is>
          <t>PR3091 .K4</t>
        </is>
      </c>
      <c r="E922" t="inlineStr">
        <is>
          <t>0                      PR 3091000K  4</t>
        </is>
      </c>
      <c r="F922" t="inlineStr">
        <is>
          <t>Shakespearian costume for stage and screen by F.M. Kelly ... with nine plates and ninety three line drawings</t>
        </is>
      </c>
      <c r="H922" t="inlineStr">
        <is>
          <t>No</t>
        </is>
      </c>
      <c r="I922" t="inlineStr">
        <is>
          <t>1</t>
        </is>
      </c>
      <c r="J922" t="inlineStr">
        <is>
          <t>No</t>
        </is>
      </c>
      <c r="K922" t="inlineStr">
        <is>
          <t>No</t>
        </is>
      </c>
      <c r="L922" t="inlineStr">
        <is>
          <t>0</t>
        </is>
      </c>
      <c r="M922" t="inlineStr">
        <is>
          <t>Kelly, Francis Michael, 1879-1945.</t>
        </is>
      </c>
      <c r="N922" t="inlineStr">
        <is>
          <t>London, A. and C. Black 1938</t>
        </is>
      </c>
      <c r="O922" t="inlineStr">
        <is>
          <t>1938</t>
        </is>
      </c>
      <c r="Q922" t="inlineStr">
        <is>
          <t>eng</t>
        </is>
      </c>
      <c r="R922" t="inlineStr">
        <is>
          <t xml:space="preserve">xx </t>
        </is>
      </c>
      <c r="T922" t="inlineStr">
        <is>
          <t xml:space="preserve">PR </t>
        </is>
      </c>
      <c r="U922" t="n">
        <v>3</v>
      </c>
      <c r="V922" t="n">
        <v>3</v>
      </c>
      <c r="W922" t="inlineStr">
        <is>
          <t>2006-11-19</t>
        </is>
      </c>
      <c r="X922" t="inlineStr">
        <is>
          <t>2006-11-19</t>
        </is>
      </c>
      <c r="Y922" t="inlineStr">
        <is>
          <t>1997-08-06</t>
        </is>
      </c>
      <c r="Z922" t="inlineStr">
        <is>
          <t>1997-08-06</t>
        </is>
      </c>
      <c r="AA922" t="n">
        <v>184</v>
      </c>
      <c r="AB922" t="n">
        <v>126</v>
      </c>
      <c r="AC922" t="n">
        <v>379</v>
      </c>
      <c r="AD922" t="n">
        <v>1</v>
      </c>
      <c r="AE922" t="n">
        <v>3</v>
      </c>
      <c r="AF922" t="n">
        <v>5</v>
      </c>
      <c r="AG922" t="n">
        <v>16</v>
      </c>
      <c r="AH922" t="n">
        <v>2</v>
      </c>
      <c r="AI922" t="n">
        <v>6</v>
      </c>
      <c r="AJ922" t="n">
        <v>0</v>
      </c>
      <c r="AK922" t="n">
        <v>3</v>
      </c>
      <c r="AL922" t="n">
        <v>5</v>
      </c>
      <c r="AM922" t="n">
        <v>9</v>
      </c>
      <c r="AN922" t="n">
        <v>0</v>
      </c>
      <c r="AO922" t="n">
        <v>2</v>
      </c>
      <c r="AP922" t="n">
        <v>0</v>
      </c>
      <c r="AQ922" t="n">
        <v>0</v>
      </c>
      <c r="AR922" t="inlineStr">
        <is>
          <t>No</t>
        </is>
      </c>
      <c r="AS922" t="inlineStr">
        <is>
          <t>No</t>
        </is>
      </c>
      <c r="AT922">
        <f>HYPERLINK("http://catalog.hathitrust.org/Record/000570555","HathiTrust Record")</f>
        <v/>
      </c>
      <c r="AU922">
        <f>HYPERLINK("https://creighton-primo.hosted.exlibrisgroup.com/primo-explore/search?tab=default_tab&amp;search_scope=EVERYTHING&amp;vid=01CRU&amp;lang=en_US&amp;offset=0&amp;query=any,contains,991003812609702656","Catalog Record")</f>
        <v/>
      </c>
      <c r="AV922">
        <f>HYPERLINK("http://www.worldcat.org/oclc/1541533","WorldCat Record")</f>
        <v/>
      </c>
      <c r="AW922" t="inlineStr">
        <is>
          <t>1306671:eng</t>
        </is>
      </c>
      <c r="AX922" t="inlineStr">
        <is>
          <t>1541533</t>
        </is>
      </c>
      <c r="AY922" t="inlineStr">
        <is>
          <t>991003812609702656</t>
        </is>
      </c>
      <c r="AZ922" t="inlineStr">
        <is>
          <t>991003812609702656</t>
        </is>
      </c>
      <c r="BA922" t="inlineStr">
        <is>
          <t>2264950780002656</t>
        </is>
      </c>
      <c r="BB922" t="inlineStr">
        <is>
          <t>BOOK</t>
        </is>
      </c>
      <c r="BE922" t="inlineStr">
        <is>
          <t>32285003022406</t>
        </is>
      </c>
      <c r="BF922" t="inlineStr">
        <is>
          <t>893512388</t>
        </is>
      </c>
    </row>
    <row r="923">
      <c r="A923" t="inlineStr">
        <is>
          <t>No</t>
        </is>
      </c>
      <c r="B923" t="inlineStr">
        <is>
          <t>CURAL</t>
        </is>
      </c>
      <c r="C923" t="inlineStr">
        <is>
          <t>SHELVES</t>
        </is>
      </c>
      <c r="D923" t="inlineStr">
        <is>
          <t>PR3091 .K6 1936</t>
        </is>
      </c>
      <c r="E923" t="inlineStr">
        <is>
          <t>0                      PR 3091000K  6           1936</t>
        </is>
      </c>
      <c r="F923" t="inlineStr">
        <is>
          <t>Principles of Shakespearian production; with especial reference to the tragedies.</t>
        </is>
      </c>
      <c r="H923" t="inlineStr">
        <is>
          <t>No</t>
        </is>
      </c>
      <c r="I923" t="inlineStr">
        <is>
          <t>1</t>
        </is>
      </c>
      <c r="J923" t="inlineStr">
        <is>
          <t>No</t>
        </is>
      </c>
      <c r="K923" t="inlineStr">
        <is>
          <t>No</t>
        </is>
      </c>
      <c r="L923" t="inlineStr">
        <is>
          <t>0</t>
        </is>
      </c>
      <c r="M923" t="inlineStr">
        <is>
          <t>Knight, G. Wilson (George Wilson), 1897-1985.</t>
        </is>
      </c>
      <c r="N923" t="inlineStr">
        <is>
          <t>New York, Macmillan, 1937.</t>
        </is>
      </c>
      <c r="O923" t="inlineStr">
        <is>
          <t>1937</t>
        </is>
      </c>
      <c r="Q923" t="inlineStr">
        <is>
          <t>eng</t>
        </is>
      </c>
      <c r="R923" t="inlineStr">
        <is>
          <t>nyu</t>
        </is>
      </c>
      <c r="T923" t="inlineStr">
        <is>
          <t xml:space="preserve">PR </t>
        </is>
      </c>
      <c r="U923" t="n">
        <v>2</v>
      </c>
      <c r="V923" t="n">
        <v>2</v>
      </c>
      <c r="W923" t="inlineStr">
        <is>
          <t>2006-11-19</t>
        </is>
      </c>
      <c r="X923" t="inlineStr">
        <is>
          <t>2006-11-19</t>
        </is>
      </c>
      <c r="Y923" t="inlineStr">
        <is>
          <t>1997-08-06</t>
        </is>
      </c>
      <c r="Z923" t="inlineStr">
        <is>
          <t>1997-08-06</t>
        </is>
      </c>
      <c r="AA923" t="n">
        <v>119</v>
      </c>
      <c r="AB923" t="n">
        <v>116</v>
      </c>
      <c r="AC923" t="n">
        <v>345</v>
      </c>
      <c r="AD923" t="n">
        <v>2</v>
      </c>
      <c r="AE923" t="n">
        <v>3</v>
      </c>
      <c r="AF923" t="n">
        <v>3</v>
      </c>
      <c r="AG923" t="n">
        <v>25</v>
      </c>
      <c r="AH923" t="n">
        <v>1</v>
      </c>
      <c r="AI923" t="n">
        <v>9</v>
      </c>
      <c r="AJ923" t="n">
        <v>0</v>
      </c>
      <c r="AK923" t="n">
        <v>3</v>
      </c>
      <c r="AL923" t="n">
        <v>2</v>
      </c>
      <c r="AM923" t="n">
        <v>18</v>
      </c>
      <c r="AN923" t="n">
        <v>1</v>
      </c>
      <c r="AO923" t="n">
        <v>2</v>
      </c>
      <c r="AP923" t="n">
        <v>0</v>
      </c>
      <c r="AQ923" t="n">
        <v>0</v>
      </c>
      <c r="AR923" t="inlineStr">
        <is>
          <t>No</t>
        </is>
      </c>
      <c r="AS923" t="inlineStr">
        <is>
          <t>No</t>
        </is>
      </c>
      <c r="AU923">
        <f>HYPERLINK("https://creighton-primo.hosted.exlibrisgroup.com/primo-explore/search?tab=default_tab&amp;search_scope=EVERYTHING&amp;vid=01CRU&amp;lang=en_US&amp;offset=0&amp;query=any,contains,991001861379702656","Catalog Record")</f>
        <v/>
      </c>
      <c r="AV923">
        <f>HYPERLINK("http://www.worldcat.org/oclc/643086","WorldCat Record")</f>
        <v/>
      </c>
      <c r="AW923" t="inlineStr">
        <is>
          <t>3855559956:eng</t>
        </is>
      </c>
      <c r="AX923" t="inlineStr">
        <is>
          <t>643086</t>
        </is>
      </c>
      <c r="AY923" t="inlineStr">
        <is>
          <t>991001861379702656</t>
        </is>
      </c>
      <c r="AZ923" t="inlineStr">
        <is>
          <t>991001861379702656</t>
        </is>
      </c>
      <c r="BA923" t="inlineStr">
        <is>
          <t>2256576480002656</t>
        </is>
      </c>
      <c r="BB923" t="inlineStr">
        <is>
          <t>BOOK</t>
        </is>
      </c>
      <c r="BE923" t="inlineStr">
        <is>
          <t>32285003022414</t>
        </is>
      </c>
      <c r="BF923" t="inlineStr">
        <is>
          <t>893497489</t>
        </is>
      </c>
    </row>
    <row r="924">
      <c r="A924" t="inlineStr">
        <is>
          <t>No</t>
        </is>
      </c>
      <c r="B924" t="inlineStr">
        <is>
          <t>CURAL</t>
        </is>
      </c>
      <c r="C924" t="inlineStr">
        <is>
          <t>SHELVES</t>
        </is>
      </c>
      <c r="D924" t="inlineStr">
        <is>
          <t>PR3091 .S37</t>
        </is>
      </c>
      <c r="E924" t="inlineStr">
        <is>
          <t>0                      PR 3091000S  37</t>
        </is>
      </c>
      <c r="F924" t="inlineStr">
        <is>
          <t>Shakespeare, the theatrical dimension / edited by Philip C. McGuire and David A. Samuelson.</t>
        </is>
      </c>
      <c r="H924" t="inlineStr">
        <is>
          <t>No</t>
        </is>
      </c>
      <c r="I924" t="inlineStr">
        <is>
          <t>1</t>
        </is>
      </c>
      <c r="J924" t="inlineStr">
        <is>
          <t>No</t>
        </is>
      </c>
      <c r="K924" t="inlineStr">
        <is>
          <t>No</t>
        </is>
      </c>
      <c r="L924" t="inlineStr">
        <is>
          <t>0</t>
        </is>
      </c>
      <c r="N924" t="inlineStr">
        <is>
          <t>New York : AMS Press, 1979.</t>
        </is>
      </c>
      <c r="O924" t="inlineStr">
        <is>
          <t>1979</t>
        </is>
      </c>
      <c r="P924" t="inlineStr">
        <is>
          <t>1st AMS Press ed.</t>
        </is>
      </c>
      <c r="Q924" t="inlineStr">
        <is>
          <t>eng</t>
        </is>
      </c>
      <c r="R924" t="inlineStr">
        <is>
          <t>nyu</t>
        </is>
      </c>
      <c r="S924" t="inlineStr">
        <is>
          <t>AMS studies in the Renaissance ; 3</t>
        </is>
      </c>
      <c r="T924" t="inlineStr">
        <is>
          <t xml:space="preserve">PR </t>
        </is>
      </c>
      <c r="U924" t="n">
        <v>2</v>
      </c>
      <c r="V924" t="n">
        <v>2</v>
      </c>
      <c r="W924" t="inlineStr">
        <is>
          <t>1992-05-14</t>
        </is>
      </c>
      <c r="X924" t="inlineStr">
        <is>
          <t>1992-05-14</t>
        </is>
      </c>
      <c r="Y924" t="inlineStr">
        <is>
          <t>1992-05-14</t>
        </is>
      </c>
      <c r="Z924" t="inlineStr">
        <is>
          <t>1992-05-14</t>
        </is>
      </c>
      <c r="AA924" t="n">
        <v>446</v>
      </c>
      <c r="AB924" t="n">
        <v>343</v>
      </c>
      <c r="AC924" t="n">
        <v>348</v>
      </c>
      <c r="AD924" t="n">
        <v>4</v>
      </c>
      <c r="AE924" t="n">
        <v>4</v>
      </c>
      <c r="AF924" t="n">
        <v>18</v>
      </c>
      <c r="AG924" t="n">
        <v>18</v>
      </c>
      <c r="AH924" t="n">
        <v>5</v>
      </c>
      <c r="AI924" t="n">
        <v>5</v>
      </c>
      <c r="AJ924" t="n">
        <v>4</v>
      </c>
      <c r="AK924" t="n">
        <v>4</v>
      </c>
      <c r="AL924" t="n">
        <v>11</v>
      </c>
      <c r="AM924" t="n">
        <v>11</v>
      </c>
      <c r="AN924" t="n">
        <v>3</v>
      </c>
      <c r="AO924" t="n">
        <v>3</v>
      </c>
      <c r="AP924" t="n">
        <v>0</v>
      </c>
      <c r="AQ924" t="n">
        <v>0</v>
      </c>
      <c r="AR924" t="inlineStr">
        <is>
          <t>No</t>
        </is>
      </c>
      <c r="AS924" t="inlineStr">
        <is>
          <t>No</t>
        </is>
      </c>
      <c r="AU924">
        <f>HYPERLINK("https://creighton-primo.hosted.exlibrisgroup.com/primo-explore/search?tab=default_tab&amp;search_scope=EVERYTHING&amp;vid=01CRU&amp;lang=en_US&amp;offset=0&amp;query=any,contains,991004562049702656","Catalog Record")</f>
        <v/>
      </c>
      <c r="AV924">
        <f>HYPERLINK("http://www.worldcat.org/oclc/4003563","WorldCat Record")</f>
        <v/>
      </c>
      <c r="AW924" t="inlineStr">
        <is>
          <t>475476:eng</t>
        </is>
      </c>
      <c r="AX924" t="inlineStr">
        <is>
          <t>4003563</t>
        </is>
      </c>
      <c r="AY924" t="inlineStr">
        <is>
          <t>991004562049702656</t>
        </is>
      </c>
      <c r="AZ924" t="inlineStr">
        <is>
          <t>991004562049702656</t>
        </is>
      </c>
      <c r="BA924" t="inlineStr">
        <is>
          <t>2267741040002656</t>
        </is>
      </c>
      <c r="BB924" t="inlineStr">
        <is>
          <t>BOOK</t>
        </is>
      </c>
      <c r="BD924" t="inlineStr">
        <is>
          <t>9780404160029</t>
        </is>
      </c>
      <c r="BE924" t="inlineStr">
        <is>
          <t>32285001110120</t>
        </is>
      </c>
      <c r="BF924" t="inlineStr">
        <is>
          <t>893782380</t>
        </is>
      </c>
    </row>
    <row r="925">
      <c r="A925" t="inlineStr">
        <is>
          <t>No</t>
        </is>
      </c>
      <c r="B925" t="inlineStr">
        <is>
          <t>CURAL</t>
        </is>
      </c>
      <c r="C925" t="inlineStr">
        <is>
          <t>SHELVES</t>
        </is>
      </c>
      <c r="D925" t="inlineStr">
        <is>
          <t>PR3091 .S5 1982</t>
        </is>
      </c>
      <c r="E925" t="inlineStr">
        <is>
          <t>0                      PR 3091000S  5           1982</t>
        </is>
      </c>
      <c r="F925" t="inlineStr">
        <is>
          <t>Shakespeare, the director / Ann Pasternak Slater.</t>
        </is>
      </c>
      <c r="H925" t="inlineStr">
        <is>
          <t>No</t>
        </is>
      </c>
      <c r="I925" t="inlineStr">
        <is>
          <t>1</t>
        </is>
      </c>
      <c r="J925" t="inlineStr">
        <is>
          <t>No</t>
        </is>
      </c>
      <c r="K925" t="inlineStr">
        <is>
          <t>No</t>
        </is>
      </c>
      <c r="L925" t="inlineStr">
        <is>
          <t>0</t>
        </is>
      </c>
      <c r="M925" t="inlineStr">
        <is>
          <t>Slater, Ann.</t>
        </is>
      </c>
      <c r="N925" t="inlineStr">
        <is>
          <t>Totowa, N.J. : Barnes &amp; Noble Books, c1982.</t>
        </is>
      </c>
      <c r="O925" t="inlineStr">
        <is>
          <t>1982</t>
        </is>
      </c>
      <c r="Q925" t="inlineStr">
        <is>
          <t>eng</t>
        </is>
      </c>
      <c r="R925" t="inlineStr">
        <is>
          <t>nju</t>
        </is>
      </c>
      <c r="T925" t="inlineStr">
        <is>
          <t xml:space="preserve">PR </t>
        </is>
      </c>
      <c r="U925" t="n">
        <v>3</v>
      </c>
      <c r="V925" t="n">
        <v>3</v>
      </c>
      <c r="W925" t="inlineStr">
        <is>
          <t>1993-12-01</t>
        </is>
      </c>
      <c r="X925" t="inlineStr">
        <is>
          <t>1993-12-01</t>
        </is>
      </c>
      <c r="Y925" t="inlineStr">
        <is>
          <t>1992-04-22</t>
        </is>
      </c>
      <c r="Z925" t="inlineStr">
        <is>
          <t>1992-04-22</t>
        </is>
      </c>
      <c r="AA925" t="n">
        <v>441</v>
      </c>
      <c r="AB925" t="n">
        <v>368</v>
      </c>
      <c r="AC925" t="n">
        <v>505</v>
      </c>
      <c r="AD925" t="n">
        <v>2</v>
      </c>
      <c r="AE925" t="n">
        <v>5</v>
      </c>
      <c r="AF925" t="n">
        <v>17</v>
      </c>
      <c r="AG925" t="n">
        <v>27</v>
      </c>
      <c r="AH925" t="n">
        <v>6</v>
      </c>
      <c r="AI925" t="n">
        <v>9</v>
      </c>
      <c r="AJ925" t="n">
        <v>4</v>
      </c>
      <c r="AK925" t="n">
        <v>8</v>
      </c>
      <c r="AL925" t="n">
        <v>11</v>
      </c>
      <c r="AM925" t="n">
        <v>13</v>
      </c>
      <c r="AN925" t="n">
        <v>1</v>
      </c>
      <c r="AO925" t="n">
        <v>4</v>
      </c>
      <c r="AP925" t="n">
        <v>0</v>
      </c>
      <c r="AQ925" t="n">
        <v>0</v>
      </c>
      <c r="AR925" t="inlineStr">
        <is>
          <t>No</t>
        </is>
      </c>
      <c r="AS925" t="inlineStr">
        <is>
          <t>Yes</t>
        </is>
      </c>
      <c r="AT925">
        <f>HYPERLINK("http://catalog.hathitrust.org/Record/000768120","HathiTrust Record")</f>
        <v/>
      </c>
      <c r="AU925">
        <f>HYPERLINK("https://creighton-primo.hosted.exlibrisgroup.com/primo-explore/search?tab=default_tab&amp;search_scope=EVERYTHING&amp;vid=01CRU&amp;lang=en_US&amp;offset=0&amp;query=any,contains,991005238049702656","Catalog Record")</f>
        <v/>
      </c>
      <c r="AV925">
        <f>HYPERLINK("http://www.worldcat.org/oclc/8389563","WorldCat Record")</f>
        <v/>
      </c>
      <c r="AW925" t="inlineStr">
        <is>
          <t>458836:eng</t>
        </is>
      </c>
      <c r="AX925" t="inlineStr">
        <is>
          <t>8389563</t>
        </is>
      </c>
      <c r="AY925" t="inlineStr">
        <is>
          <t>991005238049702656</t>
        </is>
      </c>
      <c r="AZ925" t="inlineStr">
        <is>
          <t>991005238049702656</t>
        </is>
      </c>
      <c r="BA925" t="inlineStr">
        <is>
          <t>2261119700002656</t>
        </is>
      </c>
      <c r="BB925" t="inlineStr">
        <is>
          <t>BOOK</t>
        </is>
      </c>
      <c r="BD925" t="inlineStr">
        <is>
          <t>9780389203049</t>
        </is>
      </c>
      <c r="BE925" t="inlineStr">
        <is>
          <t>32285001036770</t>
        </is>
      </c>
      <c r="BF925" t="inlineStr">
        <is>
          <t>893808054</t>
        </is>
      </c>
    </row>
    <row r="926">
      <c r="A926" t="inlineStr">
        <is>
          <t>No</t>
        </is>
      </c>
      <c r="B926" t="inlineStr">
        <is>
          <t>CURAL</t>
        </is>
      </c>
      <c r="C926" t="inlineStr">
        <is>
          <t>SHELVES</t>
        </is>
      </c>
      <c r="D926" t="inlineStr">
        <is>
          <t>PR3091 .S68 1971</t>
        </is>
      </c>
      <c r="E926" t="inlineStr">
        <is>
          <t>0                      PR 3091000S  68          1971</t>
        </is>
      </c>
      <c r="F926" t="inlineStr">
        <is>
          <t>Shakespeare's plays today : some customs and conventions of the stage / by Arthur Colby Sprague and J. C. Trewin.</t>
        </is>
      </c>
      <c r="H926" t="inlineStr">
        <is>
          <t>No</t>
        </is>
      </c>
      <c r="I926" t="inlineStr">
        <is>
          <t>1</t>
        </is>
      </c>
      <c r="J926" t="inlineStr">
        <is>
          <t>No</t>
        </is>
      </c>
      <c r="K926" t="inlineStr">
        <is>
          <t>No</t>
        </is>
      </c>
      <c r="L926" t="inlineStr">
        <is>
          <t>0</t>
        </is>
      </c>
      <c r="M926" t="inlineStr">
        <is>
          <t>Sprague, Arthur Colby, 1895-1991.</t>
        </is>
      </c>
      <c r="N926" t="inlineStr">
        <is>
          <t>Columbia : University of South Carolina Press, [1971, c1970]</t>
        </is>
      </c>
      <c r="O926" t="inlineStr">
        <is>
          <t>1971</t>
        </is>
      </c>
      <c r="Q926" t="inlineStr">
        <is>
          <t>eng</t>
        </is>
      </c>
      <c r="R926" t="inlineStr">
        <is>
          <t>scu</t>
        </is>
      </c>
      <c r="T926" t="inlineStr">
        <is>
          <t xml:space="preserve">PR </t>
        </is>
      </c>
      <c r="U926" t="n">
        <v>3</v>
      </c>
      <c r="V926" t="n">
        <v>3</v>
      </c>
      <c r="W926" t="inlineStr">
        <is>
          <t>2010-05-03</t>
        </is>
      </c>
      <c r="X926" t="inlineStr">
        <is>
          <t>2010-05-03</t>
        </is>
      </c>
      <c r="Y926" t="inlineStr">
        <is>
          <t>1990-09-04</t>
        </is>
      </c>
      <c r="Z926" t="inlineStr">
        <is>
          <t>1990-09-04</t>
        </is>
      </c>
      <c r="AA926" t="n">
        <v>665</v>
      </c>
      <c r="AB926" t="n">
        <v>630</v>
      </c>
      <c r="AC926" t="n">
        <v>706</v>
      </c>
      <c r="AD926" t="n">
        <v>5</v>
      </c>
      <c r="AE926" t="n">
        <v>5</v>
      </c>
      <c r="AF926" t="n">
        <v>32</v>
      </c>
      <c r="AG926" t="n">
        <v>33</v>
      </c>
      <c r="AH926" t="n">
        <v>17</v>
      </c>
      <c r="AI926" t="n">
        <v>17</v>
      </c>
      <c r="AJ926" t="n">
        <v>7</v>
      </c>
      <c r="AK926" t="n">
        <v>7</v>
      </c>
      <c r="AL926" t="n">
        <v>13</v>
      </c>
      <c r="AM926" t="n">
        <v>14</v>
      </c>
      <c r="AN926" t="n">
        <v>3</v>
      </c>
      <c r="AO926" t="n">
        <v>3</v>
      </c>
      <c r="AP926" t="n">
        <v>0</v>
      </c>
      <c r="AQ926" t="n">
        <v>0</v>
      </c>
      <c r="AR926" t="inlineStr">
        <is>
          <t>No</t>
        </is>
      </c>
      <c r="AS926" t="inlineStr">
        <is>
          <t>No</t>
        </is>
      </c>
      <c r="AU926">
        <f>HYPERLINK("https://creighton-primo.hosted.exlibrisgroup.com/primo-explore/search?tab=default_tab&amp;search_scope=EVERYTHING&amp;vid=01CRU&amp;lang=en_US&amp;offset=0&amp;query=any,contains,991000710059702656","Catalog Record")</f>
        <v/>
      </c>
      <c r="AV926">
        <f>HYPERLINK("http://www.worldcat.org/oclc/124676","WorldCat Record")</f>
        <v/>
      </c>
      <c r="AW926" t="inlineStr">
        <is>
          <t>146716028:eng</t>
        </is>
      </c>
      <c r="AX926" t="inlineStr">
        <is>
          <t>124676</t>
        </is>
      </c>
      <c r="AY926" t="inlineStr">
        <is>
          <t>991000710059702656</t>
        </is>
      </c>
      <c r="AZ926" t="inlineStr">
        <is>
          <t>991000710059702656</t>
        </is>
      </c>
      <c r="BA926" t="inlineStr">
        <is>
          <t>2259841270002656</t>
        </is>
      </c>
      <c r="BB926" t="inlineStr">
        <is>
          <t>BOOK</t>
        </is>
      </c>
      <c r="BD926" t="inlineStr">
        <is>
          <t>9780872492059</t>
        </is>
      </c>
      <c r="BE926" t="inlineStr">
        <is>
          <t>32285000284900</t>
        </is>
      </c>
      <c r="BF926" t="inlineStr">
        <is>
          <t>893714822</t>
        </is>
      </c>
    </row>
    <row r="927">
      <c r="A927" t="inlineStr">
        <is>
          <t>No</t>
        </is>
      </c>
      <c r="B927" t="inlineStr">
        <is>
          <t>CURAL</t>
        </is>
      </c>
      <c r="C927" t="inlineStr">
        <is>
          <t>SHELVES</t>
        </is>
      </c>
      <c r="D927" t="inlineStr">
        <is>
          <t>PR3091 .W5 ser.1</t>
        </is>
      </c>
      <c r="E927" t="inlineStr">
        <is>
          <t>0                      PR 3091000W  5                                                       ser.1</t>
        </is>
      </c>
      <c r="F927" t="inlineStr">
        <is>
          <t>Shakespeare on the stage : first series.</t>
        </is>
      </c>
      <c r="G927" t="inlineStr">
        <is>
          <t>ser.1*</t>
        </is>
      </c>
      <c r="H927" t="inlineStr">
        <is>
          <t>No</t>
        </is>
      </c>
      <c r="I927" t="inlineStr">
        <is>
          <t>1</t>
        </is>
      </c>
      <c r="J927" t="inlineStr">
        <is>
          <t>No</t>
        </is>
      </c>
      <c r="K927" t="inlineStr">
        <is>
          <t>No</t>
        </is>
      </c>
      <c r="L927" t="inlineStr">
        <is>
          <t>0</t>
        </is>
      </c>
      <c r="M927" t="inlineStr">
        <is>
          <t>Winter, William, 1836-1917.</t>
        </is>
      </c>
      <c r="N927" t="inlineStr">
        <is>
          <t>New York, B. Blom [1969]</t>
        </is>
      </c>
      <c r="O927" t="inlineStr">
        <is>
          <t>1969</t>
        </is>
      </c>
      <c r="Q927" t="inlineStr">
        <is>
          <t>eng</t>
        </is>
      </c>
      <c r="R927" t="inlineStr">
        <is>
          <t>nyu</t>
        </is>
      </c>
      <c r="T927" t="inlineStr">
        <is>
          <t xml:space="preserve">PR </t>
        </is>
      </c>
      <c r="U927" t="n">
        <v>1</v>
      </c>
      <c r="V927" t="n">
        <v>1</v>
      </c>
      <c r="W927" t="inlineStr">
        <is>
          <t>2002-12-05</t>
        </is>
      </c>
      <c r="X927" t="inlineStr">
        <is>
          <t>2002-12-05</t>
        </is>
      </c>
      <c r="Y927" t="inlineStr">
        <is>
          <t>1998-04-22</t>
        </is>
      </c>
      <c r="Z927" t="inlineStr">
        <is>
          <t>1998-04-22</t>
        </is>
      </c>
      <c r="AA927" t="n">
        <v>342</v>
      </c>
      <c r="AB927" t="n">
        <v>314</v>
      </c>
      <c r="AC927" t="n">
        <v>323</v>
      </c>
      <c r="AD927" t="n">
        <v>4</v>
      </c>
      <c r="AE927" t="n">
        <v>4</v>
      </c>
      <c r="AF927" t="n">
        <v>14</v>
      </c>
      <c r="AG927" t="n">
        <v>14</v>
      </c>
      <c r="AH927" t="n">
        <v>8</v>
      </c>
      <c r="AI927" t="n">
        <v>8</v>
      </c>
      <c r="AJ927" t="n">
        <v>1</v>
      </c>
      <c r="AK927" t="n">
        <v>1</v>
      </c>
      <c r="AL927" t="n">
        <v>6</v>
      </c>
      <c r="AM927" t="n">
        <v>6</v>
      </c>
      <c r="AN927" t="n">
        <v>3</v>
      </c>
      <c r="AO927" t="n">
        <v>3</v>
      </c>
      <c r="AP927" t="n">
        <v>0</v>
      </c>
      <c r="AQ927" t="n">
        <v>0</v>
      </c>
      <c r="AR927" t="inlineStr">
        <is>
          <t>Yes</t>
        </is>
      </c>
      <c r="AS927" t="inlineStr">
        <is>
          <t>No</t>
        </is>
      </c>
      <c r="AT927">
        <f>HYPERLINK("http://catalog.hathitrust.org/Record/007112338","HathiTrust Record")</f>
        <v/>
      </c>
      <c r="AU927">
        <f>HYPERLINK("https://creighton-primo.hosted.exlibrisgroup.com/primo-explore/search?tab=default_tab&amp;search_scope=EVERYTHING&amp;vid=01CRU&amp;lang=en_US&amp;offset=0&amp;query=any,contains,991000064599702656","Catalog Record")</f>
        <v/>
      </c>
      <c r="AV927">
        <f>HYPERLINK("http://www.worldcat.org/oclc/26186","WorldCat Record")</f>
        <v/>
      </c>
      <c r="AW927" t="inlineStr">
        <is>
          <t>10677852417:eng</t>
        </is>
      </c>
      <c r="AX927" t="inlineStr">
        <is>
          <t>26186</t>
        </is>
      </c>
      <c r="AY927" t="inlineStr">
        <is>
          <t>991000064599702656</t>
        </is>
      </c>
      <c r="AZ927" t="inlineStr">
        <is>
          <t>991000064599702656</t>
        </is>
      </c>
      <c r="BA927" t="inlineStr">
        <is>
          <t>2265657870002656</t>
        </is>
      </c>
      <c r="BB927" t="inlineStr">
        <is>
          <t>BOOK</t>
        </is>
      </c>
      <c r="BE927" t="inlineStr">
        <is>
          <t>32285003395091</t>
        </is>
      </c>
      <c r="BF927" t="inlineStr">
        <is>
          <t>893777648</t>
        </is>
      </c>
    </row>
    <row r="928">
      <c r="A928" t="inlineStr">
        <is>
          <t>No</t>
        </is>
      </c>
      <c r="B928" t="inlineStr">
        <is>
          <t>CURAL</t>
        </is>
      </c>
      <c r="C928" t="inlineStr">
        <is>
          <t>SHELVES</t>
        </is>
      </c>
      <c r="D928" t="inlineStr">
        <is>
          <t>PR3093 .A53 1999</t>
        </is>
      </c>
      <c r="E928" t="inlineStr">
        <is>
          <t>0                      PR 3093000A  53          1999</t>
        </is>
      </c>
      <c r="F928" t="inlineStr">
        <is>
          <t>Orson Welles, Shakespeare, and popular culture / Michael Anderegg.</t>
        </is>
      </c>
      <c r="H928" t="inlineStr">
        <is>
          <t>No</t>
        </is>
      </c>
      <c r="I928" t="inlineStr">
        <is>
          <t>1</t>
        </is>
      </c>
      <c r="J928" t="inlineStr">
        <is>
          <t>No</t>
        </is>
      </c>
      <c r="K928" t="inlineStr">
        <is>
          <t>No</t>
        </is>
      </c>
      <c r="L928" t="inlineStr">
        <is>
          <t>0</t>
        </is>
      </c>
      <c r="M928" t="inlineStr">
        <is>
          <t>Anderegg, Michael A.</t>
        </is>
      </c>
      <c r="N928" t="inlineStr">
        <is>
          <t>New York : Columbia University Press, c1999.</t>
        </is>
      </c>
      <c r="O928" t="inlineStr">
        <is>
          <t>1999</t>
        </is>
      </c>
      <c r="Q928" t="inlineStr">
        <is>
          <t>eng</t>
        </is>
      </c>
      <c r="R928" t="inlineStr">
        <is>
          <t>nyu</t>
        </is>
      </c>
      <c r="S928" t="inlineStr">
        <is>
          <t>Film and culture</t>
        </is>
      </c>
      <c r="T928" t="inlineStr">
        <is>
          <t xml:space="preserve">PR </t>
        </is>
      </c>
      <c r="U928" t="n">
        <v>2</v>
      </c>
      <c r="V928" t="n">
        <v>2</v>
      </c>
      <c r="W928" t="inlineStr">
        <is>
          <t>2006-11-26</t>
        </is>
      </c>
      <c r="X928" t="inlineStr">
        <is>
          <t>2006-11-26</t>
        </is>
      </c>
      <c r="Y928" t="inlineStr">
        <is>
          <t>1999-09-08</t>
        </is>
      </c>
      <c r="Z928" t="inlineStr">
        <is>
          <t>1999-09-08</t>
        </is>
      </c>
      <c r="AA928" t="n">
        <v>614</v>
      </c>
      <c r="AB928" t="n">
        <v>494</v>
      </c>
      <c r="AC928" t="n">
        <v>499</v>
      </c>
      <c r="AD928" t="n">
        <v>3</v>
      </c>
      <c r="AE928" t="n">
        <v>3</v>
      </c>
      <c r="AF928" t="n">
        <v>25</v>
      </c>
      <c r="AG928" t="n">
        <v>25</v>
      </c>
      <c r="AH928" t="n">
        <v>12</v>
      </c>
      <c r="AI928" t="n">
        <v>12</v>
      </c>
      <c r="AJ928" t="n">
        <v>6</v>
      </c>
      <c r="AK928" t="n">
        <v>6</v>
      </c>
      <c r="AL928" t="n">
        <v>13</v>
      </c>
      <c r="AM928" t="n">
        <v>13</v>
      </c>
      <c r="AN928" t="n">
        <v>2</v>
      </c>
      <c r="AO928" t="n">
        <v>2</v>
      </c>
      <c r="AP928" t="n">
        <v>0</v>
      </c>
      <c r="AQ928" t="n">
        <v>0</v>
      </c>
      <c r="AR928" t="inlineStr">
        <is>
          <t>No</t>
        </is>
      </c>
      <c r="AS928" t="inlineStr">
        <is>
          <t>No</t>
        </is>
      </c>
      <c r="AU928">
        <f>HYPERLINK("https://creighton-primo.hosted.exlibrisgroup.com/primo-explore/search?tab=default_tab&amp;search_scope=EVERYTHING&amp;vid=01CRU&amp;lang=en_US&amp;offset=0&amp;query=any,contains,991002941859702656","Catalog Record")</f>
        <v/>
      </c>
      <c r="AV928">
        <f>HYPERLINK("http://www.worldcat.org/oclc/39162322","WorldCat Record")</f>
        <v/>
      </c>
      <c r="AW928" t="inlineStr">
        <is>
          <t>1063176:eng</t>
        </is>
      </c>
      <c r="AX928" t="inlineStr">
        <is>
          <t>39162322</t>
        </is>
      </c>
      <c r="AY928" t="inlineStr">
        <is>
          <t>991002941859702656</t>
        </is>
      </c>
      <c r="AZ928" t="inlineStr">
        <is>
          <t>991002941859702656</t>
        </is>
      </c>
      <c r="BA928" t="inlineStr">
        <is>
          <t>2269311450002656</t>
        </is>
      </c>
      <c r="BB928" t="inlineStr">
        <is>
          <t>BOOK</t>
        </is>
      </c>
      <c r="BD928" t="inlineStr">
        <is>
          <t>9780231112284</t>
        </is>
      </c>
      <c r="BE928" t="inlineStr">
        <is>
          <t>32285003586822</t>
        </is>
      </c>
      <c r="BF928" t="inlineStr">
        <is>
          <t>893415827</t>
        </is>
      </c>
    </row>
    <row r="929">
      <c r="A929" t="inlineStr">
        <is>
          <t>No</t>
        </is>
      </c>
      <c r="B929" t="inlineStr">
        <is>
          <t>CURAL</t>
        </is>
      </c>
      <c r="C929" t="inlineStr">
        <is>
          <t>SHELVES</t>
        </is>
      </c>
      <c r="D929" t="inlineStr">
        <is>
          <t>PR3093 .B8 1991</t>
        </is>
      </c>
      <c r="E929" t="inlineStr">
        <is>
          <t>0                      PR 3093000B  8           1991</t>
        </is>
      </c>
      <c r="F929" t="inlineStr">
        <is>
          <t>Still in movement : Shakespeare on screen / Lorne M. Buchman.</t>
        </is>
      </c>
      <c r="H929" t="inlineStr">
        <is>
          <t>No</t>
        </is>
      </c>
      <c r="I929" t="inlineStr">
        <is>
          <t>1</t>
        </is>
      </c>
      <c r="J929" t="inlineStr">
        <is>
          <t>No</t>
        </is>
      </c>
      <c r="K929" t="inlineStr">
        <is>
          <t>No</t>
        </is>
      </c>
      <c r="L929" t="inlineStr">
        <is>
          <t>0</t>
        </is>
      </c>
      <c r="M929" t="inlineStr">
        <is>
          <t>Buchman, Lorne Michael.</t>
        </is>
      </c>
      <c r="N929" t="inlineStr">
        <is>
          <t>New York : Oxford University Press, 1991.</t>
        </is>
      </c>
      <c r="O929" t="inlineStr">
        <is>
          <t>1991</t>
        </is>
      </c>
      <c r="Q929" t="inlineStr">
        <is>
          <t>eng</t>
        </is>
      </c>
      <c r="R929" t="inlineStr">
        <is>
          <t>nyu</t>
        </is>
      </c>
      <c r="T929" t="inlineStr">
        <is>
          <t xml:space="preserve">PR </t>
        </is>
      </c>
      <c r="U929" t="n">
        <v>3</v>
      </c>
      <c r="V929" t="n">
        <v>3</v>
      </c>
      <c r="W929" t="inlineStr">
        <is>
          <t>1999-04-11</t>
        </is>
      </c>
      <c r="X929" t="inlineStr">
        <is>
          <t>1999-04-11</t>
        </is>
      </c>
      <c r="Y929" t="inlineStr">
        <is>
          <t>1993-10-26</t>
        </is>
      </c>
      <c r="Z929" t="inlineStr">
        <is>
          <t>1993-10-26</t>
        </is>
      </c>
      <c r="AA929" t="n">
        <v>580</v>
      </c>
      <c r="AB929" t="n">
        <v>457</v>
      </c>
      <c r="AC929" t="n">
        <v>464</v>
      </c>
      <c r="AD929" t="n">
        <v>4</v>
      </c>
      <c r="AE929" t="n">
        <v>4</v>
      </c>
      <c r="AF929" t="n">
        <v>29</v>
      </c>
      <c r="AG929" t="n">
        <v>29</v>
      </c>
      <c r="AH929" t="n">
        <v>11</v>
      </c>
      <c r="AI929" t="n">
        <v>11</v>
      </c>
      <c r="AJ929" t="n">
        <v>6</v>
      </c>
      <c r="AK929" t="n">
        <v>6</v>
      </c>
      <c r="AL929" t="n">
        <v>16</v>
      </c>
      <c r="AM929" t="n">
        <v>16</v>
      </c>
      <c r="AN929" t="n">
        <v>3</v>
      </c>
      <c r="AO929" t="n">
        <v>3</v>
      </c>
      <c r="AP929" t="n">
        <v>0</v>
      </c>
      <c r="AQ929" t="n">
        <v>0</v>
      </c>
      <c r="AR929" t="inlineStr">
        <is>
          <t>No</t>
        </is>
      </c>
      <c r="AS929" t="inlineStr">
        <is>
          <t>Yes</t>
        </is>
      </c>
      <c r="AT929">
        <f>HYPERLINK("http://catalog.hathitrust.org/Record/002446410","HathiTrust Record")</f>
        <v/>
      </c>
      <c r="AU929">
        <f>HYPERLINK("https://creighton-primo.hosted.exlibrisgroup.com/primo-explore/search?tab=default_tab&amp;search_scope=EVERYTHING&amp;vid=01CRU&amp;lang=en_US&amp;offset=0&amp;query=any,contains,991001725599702656","Catalog Record")</f>
        <v/>
      </c>
      <c r="AV929">
        <f>HYPERLINK("http://www.worldcat.org/oclc/21876058","WorldCat Record")</f>
        <v/>
      </c>
      <c r="AW929" t="inlineStr">
        <is>
          <t>23284146:eng</t>
        </is>
      </c>
      <c r="AX929" t="inlineStr">
        <is>
          <t>21876058</t>
        </is>
      </c>
      <c r="AY929" t="inlineStr">
        <is>
          <t>991001725599702656</t>
        </is>
      </c>
      <c r="AZ929" t="inlineStr">
        <is>
          <t>991001725599702656</t>
        </is>
      </c>
      <c r="BA929" t="inlineStr">
        <is>
          <t>2267146230002656</t>
        </is>
      </c>
      <c r="BB929" t="inlineStr">
        <is>
          <t>BOOK</t>
        </is>
      </c>
      <c r="BD929" t="inlineStr">
        <is>
          <t>9780195065411</t>
        </is>
      </c>
      <c r="BE929" t="inlineStr">
        <is>
          <t>32285001788362</t>
        </is>
      </c>
      <c r="BF929" t="inlineStr">
        <is>
          <t>893256448</t>
        </is>
      </c>
    </row>
    <row r="930">
      <c r="A930" t="inlineStr">
        <is>
          <t>No</t>
        </is>
      </c>
      <c r="B930" t="inlineStr">
        <is>
          <t>CURAL</t>
        </is>
      </c>
      <c r="C930" t="inlineStr">
        <is>
          <t>SHELVES</t>
        </is>
      </c>
      <c r="D930" t="inlineStr">
        <is>
          <t>PR3093 .D66 1990</t>
        </is>
      </c>
      <c r="E930" t="inlineStr">
        <is>
          <t>0                      PR 3093000D  66          1990</t>
        </is>
      </c>
      <c r="F930" t="inlineStr">
        <is>
          <t>Shakespearean films/Shakespearean directors / Peter S. Donaldson.</t>
        </is>
      </c>
      <c r="H930" t="inlineStr">
        <is>
          <t>No</t>
        </is>
      </c>
      <c r="I930" t="inlineStr">
        <is>
          <t>1</t>
        </is>
      </c>
      <c r="J930" t="inlineStr">
        <is>
          <t>No</t>
        </is>
      </c>
      <c r="K930" t="inlineStr">
        <is>
          <t>No</t>
        </is>
      </c>
      <c r="L930" t="inlineStr">
        <is>
          <t>0</t>
        </is>
      </c>
      <c r="M930" t="inlineStr">
        <is>
          <t>Donaldson, Peter Samuel, 1942-</t>
        </is>
      </c>
      <c r="N930" t="inlineStr">
        <is>
          <t>Boston : Unwin Hyman, 1990.</t>
        </is>
      </c>
      <c r="O930" t="inlineStr">
        <is>
          <t>1990</t>
        </is>
      </c>
      <c r="Q930" t="inlineStr">
        <is>
          <t>eng</t>
        </is>
      </c>
      <c r="R930" t="inlineStr">
        <is>
          <t>mau</t>
        </is>
      </c>
      <c r="S930" t="inlineStr">
        <is>
          <t>Media and popular culture</t>
        </is>
      </c>
      <c r="T930" t="inlineStr">
        <is>
          <t xml:space="preserve">PR </t>
        </is>
      </c>
      <c r="U930" t="n">
        <v>4</v>
      </c>
      <c r="V930" t="n">
        <v>4</v>
      </c>
      <c r="W930" t="inlineStr">
        <is>
          <t>2005-11-18</t>
        </is>
      </c>
      <c r="X930" t="inlineStr">
        <is>
          <t>2005-11-18</t>
        </is>
      </c>
      <c r="Y930" t="inlineStr">
        <is>
          <t>1991-03-11</t>
        </is>
      </c>
      <c r="Z930" t="inlineStr">
        <is>
          <t>1991-03-11</t>
        </is>
      </c>
      <c r="AA930" t="n">
        <v>463</v>
      </c>
      <c r="AB930" t="n">
        <v>318</v>
      </c>
      <c r="AC930" t="n">
        <v>346</v>
      </c>
      <c r="AD930" t="n">
        <v>4</v>
      </c>
      <c r="AE930" t="n">
        <v>4</v>
      </c>
      <c r="AF930" t="n">
        <v>24</v>
      </c>
      <c r="AG930" t="n">
        <v>24</v>
      </c>
      <c r="AH930" t="n">
        <v>7</v>
      </c>
      <c r="AI930" t="n">
        <v>7</v>
      </c>
      <c r="AJ930" t="n">
        <v>5</v>
      </c>
      <c r="AK930" t="n">
        <v>5</v>
      </c>
      <c r="AL930" t="n">
        <v>14</v>
      </c>
      <c r="AM930" t="n">
        <v>14</v>
      </c>
      <c r="AN930" t="n">
        <v>3</v>
      </c>
      <c r="AO930" t="n">
        <v>3</v>
      </c>
      <c r="AP930" t="n">
        <v>0</v>
      </c>
      <c r="AQ930" t="n">
        <v>0</v>
      </c>
      <c r="AR930" t="inlineStr">
        <is>
          <t>No</t>
        </is>
      </c>
      <c r="AS930" t="inlineStr">
        <is>
          <t>No</t>
        </is>
      </c>
      <c r="AU930">
        <f>HYPERLINK("https://creighton-primo.hosted.exlibrisgroup.com/primo-explore/search?tab=default_tab&amp;search_scope=EVERYTHING&amp;vid=01CRU&amp;lang=en_US&amp;offset=0&amp;query=any,contains,991001633379702656","Catalog Record")</f>
        <v/>
      </c>
      <c r="AV930">
        <f>HYPERLINK("http://www.worldcat.org/oclc/20932886","WorldCat Record")</f>
        <v/>
      </c>
      <c r="AW930" t="inlineStr">
        <is>
          <t>22549612:eng</t>
        </is>
      </c>
      <c r="AX930" t="inlineStr">
        <is>
          <t>20932886</t>
        </is>
      </c>
      <c r="AY930" t="inlineStr">
        <is>
          <t>991001633379702656</t>
        </is>
      </c>
      <c r="AZ930" t="inlineStr">
        <is>
          <t>991001633379702656</t>
        </is>
      </c>
      <c r="BA930" t="inlineStr">
        <is>
          <t>2265642180002656</t>
        </is>
      </c>
      <c r="BB930" t="inlineStr">
        <is>
          <t>BOOK</t>
        </is>
      </c>
      <c r="BD930" t="inlineStr">
        <is>
          <t>9780044452300</t>
        </is>
      </c>
      <c r="BE930" t="inlineStr">
        <is>
          <t>32285000511682</t>
        </is>
      </c>
      <c r="BF930" t="inlineStr">
        <is>
          <t>893340561</t>
        </is>
      </c>
    </row>
    <row r="931">
      <c r="A931" t="inlineStr">
        <is>
          <t>No</t>
        </is>
      </c>
      <c r="B931" t="inlineStr">
        <is>
          <t>CURAL</t>
        </is>
      </c>
      <c r="C931" t="inlineStr">
        <is>
          <t>SHELVES</t>
        </is>
      </c>
      <c r="D931" t="inlineStr">
        <is>
          <t>PR3093 .J6</t>
        </is>
      </c>
      <c r="E931" t="inlineStr">
        <is>
          <t>0                      PR 3093000J  6</t>
        </is>
      </c>
      <c r="F931" t="inlineStr">
        <is>
          <t>Shakespeare on film / Jack J. Jorgens.</t>
        </is>
      </c>
      <c r="H931" t="inlineStr">
        <is>
          <t>No</t>
        </is>
      </c>
      <c r="I931" t="inlineStr">
        <is>
          <t>1</t>
        </is>
      </c>
      <c r="J931" t="inlineStr">
        <is>
          <t>No</t>
        </is>
      </c>
      <c r="K931" t="inlineStr">
        <is>
          <t>No</t>
        </is>
      </c>
      <c r="L931" t="inlineStr">
        <is>
          <t>0</t>
        </is>
      </c>
      <c r="M931" t="inlineStr">
        <is>
          <t>Jorgens, Jack J., 1943-</t>
        </is>
      </c>
      <c r="N931" t="inlineStr">
        <is>
          <t>Bloomington : Indiana University Press, c1977.</t>
        </is>
      </c>
      <c r="O931" t="inlineStr">
        <is>
          <t>1977</t>
        </is>
      </c>
      <c r="Q931" t="inlineStr">
        <is>
          <t>eng</t>
        </is>
      </c>
      <c r="R931" t="inlineStr">
        <is>
          <t>inu</t>
        </is>
      </c>
      <c r="T931" t="inlineStr">
        <is>
          <t xml:space="preserve">PR </t>
        </is>
      </c>
      <c r="U931" t="n">
        <v>3</v>
      </c>
      <c r="V931" t="n">
        <v>3</v>
      </c>
      <c r="W931" t="inlineStr">
        <is>
          <t>2006-11-19</t>
        </is>
      </c>
      <c r="X931" t="inlineStr">
        <is>
          <t>2006-11-19</t>
        </is>
      </c>
      <c r="Y931" t="inlineStr">
        <is>
          <t>1991-10-04</t>
        </is>
      </c>
      <c r="Z931" t="inlineStr">
        <is>
          <t>1991-10-04</t>
        </is>
      </c>
      <c r="AA931" t="n">
        <v>1032</v>
      </c>
      <c r="AB931" t="n">
        <v>893</v>
      </c>
      <c r="AC931" t="n">
        <v>971</v>
      </c>
      <c r="AD931" t="n">
        <v>7</v>
      </c>
      <c r="AE931" t="n">
        <v>7</v>
      </c>
      <c r="AF931" t="n">
        <v>36</v>
      </c>
      <c r="AG931" t="n">
        <v>40</v>
      </c>
      <c r="AH931" t="n">
        <v>16</v>
      </c>
      <c r="AI931" t="n">
        <v>18</v>
      </c>
      <c r="AJ931" t="n">
        <v>6</v>
      </c>
      <c r="AK931" t="n">
        <v>7</v>
      </c>
      <c r="AL931" t="n">
        <v>16</v>
      </c>
      <c r="AM931" t="n">
        <v>19</v>
      </c>
      <c r="AN931" t="n">
        <v>6</v>
      </c>
      <c r="AO931" t="n">
        <v>6</v>
      </c>
      <c r="AP931" t="n">
        <v>0</v>
      </c>
      <c r="AQ931" t="n">
        <v>0</v>
      </c>
      <c r="AR931" t="inlineStr">
        <is>
          <t>No</t>
        </is>
      </c>
      <c r="AS931" t="inlineStr">
        <is>
          <t>Yes</t>
        </is>
      </c>
      <c r="AT931">
        <f>HYPERLINK("http://catalog.hathitrust.org/Record/000738696","HathiTrust Record")</f>
        <v/>
      </c>
      <c r="AU931">
        <f>HYPERLINK("https://creighton-primo.hosted.exlibrisgroup.com/primo-explore/search?tab=default_tab&amp;search_scope=EVERYTHING&amp;vid=01CRU&amp;lang=en_US&amp;offset=0&amp;query=any,contains,991004083029702656","Catalog Record")</f>
        <v/>
      </c>
      <c r="AV931">
        <f>HYPERLINK("http://www.worldcat.org/oclc/2331245","WorldCat Record")</f>
        <v/>
      </c>
      <c r="AW931" t="inlineStr">
        <is>
          <t>4822559:eng</t>
        </is>
      </c>
      <c r="AX931" t="inlineStr">
        <is>
          <t>2331245</t>
        </is>
      </c>
      <c r="AY931" t="inlineStr">
        <is>
          <t>991004083029702656</t>
        </is>
      </c>
      <c r="AZ931" t="inlineStr">
        <is>
          <t>991004083029702656</t>
        </is>
      </c>
      <c r="BA931" t="inlineStr">
        <is>
          <t>2263565250002656</t>
        </is>
      </c>
      <c r="BB931" t="inlineStr">
        <is>
          <t>BOOK</t>
        </is>
      </c>
      <c r="BD931" t="inlineStr">
        <is>
          <t>9780253351968</t>
        </is>
      </c>
      <c r="BE931" t="inlineStr">
        <is>
          <t>32285000771468</t>
        </is>
      </c>
      <c r="BF931" t="inlineStr">
        <is>
          <t>893417208</t>
        </is>
      </c>
    </row>
    <row r="932">
      <c r="A932" t="inlineStr">
        <is>
          <t>No</t>
        </is>
      </c>
      <c r="B932" t="inlineStr">
        <is>
          <t>CURAL</t>
        </is>
      </c>
      <c r="C932" t="inlineStr">
        <is>
          <t>SHELVES</t>
        </is>
      </c>
      <c r="D932" t="inlineStr">
        <is>
          <t>PR3093 .M3</t>
        </is>
      </c>
      <c r="E932" t="inlineStr">
        <is>
          <t>0                      PR 3093000M  3</t>
        </is>
      </c>
      <c r="F932" t="inlineStr">
        <is>
          <t>Shakespeare and the film.</t>
        </is>
      </c>
      <c r="H932" t="inlineStr">
        <is>
          <t>No</t>
        </is>
      </c>
      <c r="I932" t="inlineStr">
        <is>
          <t>1</t>
        </is>
      </c>
      <c r="J932" t="inlineStr">
        <is>
          <t>No</t>
        </is>
      </c>
      <c r="K932" t="inlineStr">
        <is>
          <t>No</t>
        </is>
      </c>
      <c r="L932" t="inlineStr">
        <is>
          <t>0</t>
        </is>
      </c>
      <c r="M932" t="inlineStr">
        <is>
          <t>Manvell, Roger, 1909-1987.</t>
        </is>
      </c>
      <c r="N932" t="inlineStr">
        <is>
          <t>New York : Praeger, [1971]</t>
        </is>
      </c>
      <c r="O932" t="inlineStr">
        <is>
          <t>1971</t>
        </is>
      </c>
      <c r="Q932" t="inlineStr">
        <is>
          <t>eng</t>
        </is>
      </c>
      <c r="R932" t="inlineStr">
        <is>
          <t>nyu</t>
        </is>
      </c>
      <c r="T932" t="inlineStr">
        <is>
          <t xml:space="preserve">PR </t>
        </is>
      </c>
      <c r="U932" t="n">
        <v>2</v>
      </c>
      <c r="V932" t="n">
        <v>2</v>
      </c>
      <c r="W932" t="inlineStr">
        <is>
          <t>2006-11-19</t>
        </is>
      </c>
      <c r="X932" t="inlineStr">
        <is>
          <t>2006-11-19</t>
        </is>
      </c>
      <c r="Y932" t="inlineStr">
        <is>
          <t>1991-11-06</t>
        </is>
      </c>
      <c r="Z932" t="inlineStr">
        <is>
          <t>1991-11-06</t>
        </is>
      </c>
      <c r="AA932" t="n">
        <v>776</v>
      </c>
      <c r="AB932" t="n">
        <v>721</v>
      </c>
      <c r="AC932" t="n">
        <v>843</v>
      </c>
      <c r="AD932" t="n">
        <v>7</v>
      </c>
      <c r="AE932" t="n">
        <v>9</v>
      </c>
      <c r="AF932" t="n">
        <v>28</v>
      </c>
      <c r="AG932" t="n">
        <v>33</v>
      </c>
      <c r="AH932" t="n">
        <v>14</v>
      </c>
      <c r="AI932" t="n">
        <v>14</v>
      </c>
      <c r="AJ932" t="n">
        <v>3</v>
      </c>
      <c r="AK932" t="n">
        <v>6</v>
      </c>
      <c r="AL932" t="n">
        <v>10</v>
      </c>
      <c r="AM932" t="n">
        <v>13</v>
      </c>
      <c r="AN932" t="n">
        <v>6</v>
      </c>
      <c r="AO932" t="n">
        <v>7</v>
      </c>
      <c r="AP932" t="n">
        <v>0</v>
      </c>
      <c r="AQ932" t="n">
        <v>0</v>
      </c>
      <c r="AR932" t="inlineStr">
        <is>
          <t>No</t>
        </is>
      </c>
      <c r="AS932" t="inlineStr">
        <is>
          <t>Yes</t>
        </is>
      </c>
      <c r="AT932">
        <f>HYPERLINK("http://catalog.hathitrust.org/Record/000003916","HathiTrust Record")</f>
        <v/>
      </c>
      <c r="AU932">
        <f>HYPERLINK("https://creighton-primo.hosted.exlibrisgroup.com/primo-explore/search?tab=default_tab&amp;search_scope=EVERYTHING&amp;vid=01CRU&amp;lang=en_US&amp;offset=0&amp;query=any,contains,991002143109702656","Catalog Record")</f>
        <v/>
      </c>
      <c r="AV932">
        <f>HYPERLINK("http://www.worldcat.org/oclc/270953","WorldCat Record")</f>
        <v/>
      </c>
      <c r="AW932" t="inlineStr">
        <is>
          <t>102219804:eng</t>
        </is>
      </c>
      <c r="AX932" t="inlineStr">
        <is>
          <t>270953</t>
        </is>
      </c>
      <c r="AY932" t="inlineStr">
        <is>
          <t>991002143109702656</t>
        </is>
      </c>
      <c r="AZ932" t="inlineStr">
        <is>
          <t>991002143109702656</t>
        </is>
      </c>
      <c r="BA932" t="inlineStr">
        <is>
          <t>2263654380002656</t>
        </is>
      </c>
      <c r="BB932" t="inlineStr">
        <is>
          <t>BOOK</t>
        </is>
      </c>
      <c r="BE932" t="inlineStr">
        <is>
          <t>32285000804194</t>
        </is>
      </c>
      <c r="BF932" t="inlineStr">
        <is>
          <t>893316443</t>
        </is>
      </c>
    </row>
    <row r="933">
      <c r="A933" t="inlineStr">
        <is>
          <t>No</t>
        </is>
      </c>
      <c r="B933" t="inlineStr">
        <is>
          <t>CURAL</t>
        </is>
      </c>
      <c r="C933" t="inlineStr">
        <is>
          <t>SHELVES</t>
        </is>
      </c>
      <c r="D933" t="inlineStr">
        <is>
          <t>PR3093 .S54 1988</t>
        </is>
      </c>
      <c r="E933" t="inlineStr">
        <is>
          <t>0                      PR 3093000S  54          1988</t>
        </is>
      </c>
      <c r="F933" t="inlineStr">
        <is>
          <t>Shakespeare on television : an anthology of essays and reviews / edited by J.C. Bulman and H.R. Coursen.</t>
        </is>
      </c>
      <c r="H933" t="inlineStr">
        <is>
          <t>No</t>
        </is>
      </c>
      <c r="I933" t="inlineStr">
        <is>
          <t>1</t>
        </is>
      </c>
      <c r="J933" t="inlineStr">
        <is>
          <t>No</t>
        </is>
      </c>
      <c r="K933" t="inlineStr">
        <is>
          <t>No</t>
        </is>
      </c>
      <c r="L933" t="inlineStr">
        <is>
          <t>0</t>
        </is>
      </c>
      <c r="N933" t="inlineStr">
        <is>
          <t>Hanover : University Press of New England, 1988.</t>
        </is>
      </c>
      <c r="O933" t="inlineStr">
        <is>
          <t>1988</t>
        </is>
      </c>
      <c r="Q933" t="inlineStr">
        <is>
          <t>eng</t>
        </is>
      </c>
      <c r="R933" t="inlineStr">
        <is>
          <t>nhu</t>
        </is>
      </c>
      <c r="T933" t="inlineStr">
        <is>
          <t xml:space="preserve">PR </t>
        </is>
      </c>
      <c r="U933" t="n">
        <v>2</v>
      </c>
      <c r="V933" t="n">
        <v>2</v>
      </c>
      <c r="W933" t="inlineStr">
        <is>
          <t>2006-11-26</t>
        </is>
      </c>
      <c r="X933" t="inlineStr">
        <is>
          <t>2006-11-26</t>
        </is>
      </c>
      <c r="Y933" t="inlineStr">
        <is>
          <t>1991-10-03</t>
        </is>
      </c>
      <c r="Z933" t="inlineStr">
        <is>
          <t>1991-10-03</t>
        </is>
      </c>
      <c r="AA933" t="n">
        <v>651</v>
      </c>
      <c r="AB933" t="n">
        <v>524</v>
      </c>
      <c r="AC933" t="n">
        <v>531</v>
      </c>
      <c r="AD933" t="n">
        <v>7</v>
      </c>
      <c r="AE933" t="n">
        <v>7</v>
      </c>
      <c r="AF933" t="n">
        <v>32</v>
      </c>
      <c r="AG933" t="n">
        <v>32</v>
      </c>
      <c r="AH933" t="n">
        <v>13</v>
      </c>
      <c r="AI933" t="n">
        <v>13</v>
      </c>
      <c r="AJ933" t="n">
        <v>7</v>
      </c>
      <c r="AK933" t="n">
        <v>7</v>
      </c>
      <c r="AL933" t="n">
        <v>14</v>
      </c>
      <c r="AM933" t="n">
        <v>14</v>
      </c>
      <c r="AN933" t="n">
        <v>6</v>
      </c>
      <c r="AO933" t="n">
        <v>6</v>
      </c>
      <c r="AP933" t="n">
        <v>0</v>
      </c>
      <c r="AQ933" t="n">
        <v>0</v>
      </c>
      <c r="AR933" t="inlineStr">
        <is>
          <t>No</t>
        </is>
      </c>
      <c r="AS933" t="inlineStr">
        <is>
          <t>Yes</t>
        </is>
      </c>
      <c r="AT933">
        <f>HYPERLINK("http://catalog.hathitrust.org/Record/000921945","HathiTrust Record")</f>
        <v/>
      </c>
      <c r="AU933">
        <f>HYPERLINK("https://creighton-primo.hosted.exlibrisgroup.com/primo-explore/search?tab=default_tab&amp;search_scope=EVERYTHING&amp;vid=01CRU&amp;lang=en_US&amp;offset=0&amp;query=any,contains,991001169929702656","Catalog Record")</f>
        <v/>
      </c>
      <c r="AV933">
        <f>HYPERLINK("http://www.worldcat.org/oclc/16950569","WorldCat Record")</f>
        <v/>
      </c>
      <c r="AW933" t="inlineStr">
        <is>
          <t>836733603:eng</t>
        </is>
      </c>
      <c r="AX933" t="inlineStr">
        <is>
          <t>16950569</t>
        </is>
      </c>
      <c r="AY933" t="inlineStr">
        <is>
          <t>991001169929702656</t>
        </is>
      </c>
      <c r="AZ933" t="inlineStr">
        <is>
          <t>991001169929702656</t>
        </is>
      </c>
      <c r="BA933" t="inlineStr">
        <is>
          <t>2262900400002656</t>
        </is>
      </c>
      <c r="BB933" t="inlineStr">
        <is>
          <t>BOOK</t>
        </is>
      </c>
      <c r="BD933" t="inlineStr">
        <is>
          <t>9780874514421</t>
        </is>
      </c>
      <c r="BE933" t="inlineStr">
        <is>
          <t>32285000771476</t>
        </is>
      </c>
      <c r="BF933" t="inlineStr">
        <is>
          <t>893891365</t>
        </is>
      </c>
    </row>
    <row r="934">
      <c r="A934" t="inlineStr">
        <is>
          <t>No</t>
        </is>
      </c>
      <c r="B934" t="inlineStr">
        <is>
          <t>CURAL</t>
        </is>
      </c>
      <c r="C934" t="inlineStr">
        <is>
          <t>SHELVES</t>
        </is>
      </c>
      <c r="D934" t="inlineStr">
        <is>
          <t>PR3095 .D38 2001</t>
        </is>
      </c>
      <c r="E934" t="inlineStr">
        <is>
          <t>0                      PR 3095000D  38          2001</t>
        </is>
      </c>
      <c r="F934" t="inlineStr">
        <is>
          <t>The culture of playgoing in Shakespeare's England : a collaborative debate / Anthony B. Dawson and Paul Yachnin.</t>
        </is>
      </c>
      <c r="H934" t="inlineStr">
        <is>
          <t>No</t>
        </is>
      </c>
      <c r="I934" t="inlineStr">
        <is>
          <t>1</t>
        </is>
      </c>
      <c r="J934" t="inlineStr">
        <is>
          <t>No</t>
        </is>
      </c>
      <c r="K934" t="inlineStr">
        <is>
          <t>No</t>
        </is>
      </c>
      <c r="L934" t="inlineStr">
        <is>
          <t>0</t>
        </is>
      </c>
      <c r="M934" t="inlineStr">
        <is>
          <t>Dawson, Anthony B.</t>
        </is>
      </c>
      <c r="N934" t="inlineStr">
        <is>
          <t>Cambridge ; New York : Cambridge University Press, 2001.</t>
        </is>
      </c>
      <c r="O934" t="inlineStr">
        <is>
          <t>2001</t>
        </is>
      </c>
      <c r="Q934" t="inlineStr">
        <is>
          <t>eng</t>
        </is>
      </c>
      <c r="R934" t="inlineStr">
        <is>
          <t>enk</t>
        </is>
      </c>
      <c r="T934" t="inlineStr">
        <is>
          <t xml:space="preserve">PR </t>
        </is>
      </c>
      <c r="U934" t="n">
        <v>1</v>
      </c>
      <c r="V934" t="n">
        <v>1</v>
      </c>
      <c r="W934" t="inlineStr">
        <is>
          <t>2002-11-20</t>
        </is>
      </c>
      <c r="X934" t="inlineStr">
        <is>
          <t>2002-11-20</t>
        </is>
      </c>
      <c r="Y934" t="inlineStr">
        <is>
          <t>2002-11-20</t>
        </is>
      </c>
      <c r="Z934" t="inlineStr">
        <is>
          <t>2002-11-20</t>
        </is>
      </c>
      <c r="AA934" t="n">
        <v>553</v>
      </c>
      <c r="AB934" t="n">
        <v>413</v>
      </c>
      <c r="AC934" t="n">
        <v>430</v>
      </c>
      <c r="AD934" t="n">
        <v>5</v>
      </c>
      <c r="AE934" t="n">
        <v>5</v>
      </c>
      <c r="AF934" t="n">
        <v>30</v>
      </c>
      <c r="AG934" t="n">
        <v>30</v>
      </c>
      <c r="AH934" t="n">
        <v>12</v>
      </c>
      <c r="AI934" t="n">
        <v>12</v>
      </c>
      <c r="AJ934" t="n">
        <v>6</v>
      </c>
      <c r="AK934" t="n">
        <v>6</v>
      </c>
      <c r="AL934" t="n">
        <v>15</v>
      </c>
      <c r="AM934" t="n">
        <v>15</v>
      </c>
      <c r="AN934" t="n">
        <v>4</v>
      </c>
      <c r="AO934" t="n">
        <v>4</v>
      </c>
      <c r="AP934" t="n">
        <v>0</v>
      </c>
      <c r="AQ934" t="n">
        <v>0</v>
      </c>
      <c r="AR934" t="inlineStr">
        <is>
          <t>No</t>
        </is>
      </c>
      <c r="AS934" t="inlineStr">
        <is>
          <t>No</t>
        </is>
      </c>
      <c r="AU934">
        <f>HYPERLINK("https://creighton-primo.hosted.exlibrisgroup.com/primo-explore/search?tab=default_tab&amp;search_scope=EVERYTHING&amp;vid=01CRU&amp;lang=en_US&amp;offset=0&amp;query=any,contains,991003921019702656","Catalog Record")</f>
        <v/>
      </c>
      <c r="AV934">
        <f>HYPERLINK("http://www.worldcat.org/oclc/44811880","WorldCat Record")</f>
        <v/>
      </c>
      <c r="AW934" t="inlineStr">
        <is>
          <t>837067181:eng</t>
        </is>
      </c>
      <c r="AX934" t="inlineStr">
        <is>
          <t>44811880</t>
        </is>
      </c>
      <c r="AY934" t="inlineStr">
        <is>
          <t>991003921019702656</t>
        </is>
      </c>
      <c r="AZ934" t="inlineStr">
        <is>
          <t>991003921019702656</t>
        </is>
      </c>
      <c r="BA934" t="inlineStr">
        <is>
          <t>2271534600002656</t>
        </is>
      </c>
      <c r="BB934" t="inlineStr">
        <is>
          <t>BOOK</t>
        </is>
      </c>
      <c r="BD934" t="inlineStr">
        <is>
          <t>9780521800167</t>
        </is>
      </c>
      <c r="BE934" t="inlineStr">
        <is>
          <t>32285004665336</t>
        </is>
      </c>
      <c r="BF934" t="inlineStr">
        <is>
          <t>893234828</t>
        </is>
      </c>
    </row>
    <row r="935">
      <c r="A935" t="inlineStr">
        <is>
          <t>No</t>
        </is>
      </c>
      <c r="B935" t="inlineStr">
        <is>
          <t>CURAL</t>
        </is>
      </c>
      <c r="C935" t="inlineStr">
        <is>
          <t>SHELVES</t>
        </is>
      </c>
      <c r="D935" t="inlineStr">
        <is>
          <t>PR3095 .N34 1981</t>
        </is>
      </c>
      <c r="E935" t="inlineStr">
        <is>
          <t>0                      PR 3095000N  34          1981</t>
        </is>
      </c>
      <c r="F935" t="inlineStr">
        <is>
          <t>Shakespeare's stage / by A. M. Nagler.</t>
        </is>
      </c>
      <c r="H935" t="inlineStr">
        <is>
          <t>No</t>
        </is>
      </c>
      <c r="I935" t="inlineStr">
        <is>
          <t>1</t>
        </is>
      </c>
      <c r="J935" t="inlineStr">
        <is>
          <t>No</t>
        </is>
      </c>
      <c r="K935" t="inlineStr">
        <is>
          <t>No</t>
        </is>
      </c>
      <c r="L935" t="inlineStr">
        <is>
          <t>0</t>
        </is>
      </c>
      <c r="M935" t="inlineStr">
        <is>
          <t>Nagler, A. M. (Alois Maria), 1907-1993.</t>
        </is>
      </c>
      <c r="N935" t="inlineStr">
        <is>
          <t>New Haven : Yale University Press, c1981.</t>
        </is>
      </c>
      <c r="O935" t="inlineStr">
        <is>
          <t>1981</t>
        </is>
      </c>
      <c r="P935" t="inlineStr">
        <is>
          <t>Enl. ed.</t>
        </is>
      </c>
      <c r="Q935" t="inlineStr">
        <is>
          <t>eng</t>
        </is>
      </c>
      <c r="R935" t="inlineStr">
        <is>
          <t>ctu</t>
        </is>
      </c>
      <c r="T935" t="inlineStr">
        <is>
          <t xml:space="preserve">PR </t>
        </is>
      </c>
      <c r="U935" t="n">
        <v>6</v>
      </c>
      <c r="V935" t="n">
        <v>6</v>
      </c>
      <c r="W935" t="inlineStr">
        <is>
          <t>2010-05-03</t>
        </is>
      </c>
      <c r="X935" t="inlineStr">
        <is>
          <t>2010-05-03</t>
        </is>
      </c>
      <c r="Y935" t="inlineStr">
        <is>
          <t>1991-10-03</t>
        </is>
      </c>
      <c r="Z935" t="inlineStr">
        <is>
          <t>1991-10-03</t>
        </is>
      </c>
      <c r="AA935" t="n">
        <v>417</v>
      </c>
      <c r="AB935" t="n">
        <v>337</v>
      </c>
      <c r="AC935" t="n">
        <v>1140</v>
      </c>
      <c r="AD935" t="n">
        <v>2</v>
      </c>
      <c r="AE935" t="n">
        <v>8</v>
      </c>
      <c r="AF935" t="n">
        <v>15</v>
      </c>
      <c r="AG935" t="n">
        <v>47</v>
      </c>
      <c r="AH935" t="n">
        <v>6</v>
      </c>
      <c r="AI935" t="n">
        <v>21</v>
      </c>
      <c r="AJ935" t="n">
        <v>4</v>
      </c>
      <c r="AK935" t="n">
        <v>8</v>
      </c>
      <c r="AL935" t="n">
        <v>10</v>
      </c>
      <c r="AM935" t="n">
        <v>22</v>
      </c>
      <c r="AN935" t="n">
        <v>1</v>
      </c>
      <c r="AO935" t="n">
        <v>7</v>
      </c>
      <c r="AP935" t="n">
        <v>0</v>
      </c>
      <c r="AQ935" t="n">
        <v>0</v>
      </c>
      <c r="AR935" t="inlineStr">
        <is>
          <t>No</t>
        </is>
      </c>
      <c r="AS935" t="inlineStr">
        <is>
          <t>No</t>
        </is>
      </c>
      <c r="AU935">
        <f>HYPERLINK("https://creighton-primo.hosted.exlibrisgroup.com/primo-explore/search?tab=default_tab&amp;search_scope=EVERYTHING&amp;vid=01CRU&amp;lang=en_US&amp;offset=0&amp;query=any,contains,991005063409702656","Catalog Record")</f>
        <v/>
      </c>
      <c r="AV935">
        <f>HYPERLINK("http://www.worldcat.org/oclc/6942213","WorldCat Record")</f>
        <v/>
      </c>
      <c r="AW935" t="inlineStr">
        <is>
          <t>435783:eng</t>
        </is>
      </c>
      <c r="AX935" t="inlineStr">
        <is>
          <t>6942213</t>
        </is>
      </c>
      <c r="AY935" t="inlineStr">
        <is>
          <t>991005063409702656</t>
        </is>
      </c>
      <c r="AZ935" t="inlineStr">
        <is>
          <t>991005063409702656</t>
        </is>
      </c>
      <c r="BA935" t="inlineStr">
        <is>
          <t>2257448890002656</t>
        </is>
      </c>
      <c r="BB935" t="inlineStr">
        <is>
          <t>BOOK</t>
        </is>
      </c>
      <c r="BD935" t="inlineStr">
        <is>
          <t>9780300026894</t>
        </is>
      </c>
      <c r="BE935" t="inlineStr">
        <is>
          <t>32285000771484</t>
        </is>
      </c>
      <c r="BF935" t="inlineStr">
        <is>
          <t>893688535</t>
        </is>
      </c>
    </row>
    <row r="936">
      <c r="A936" t="inlineStr">
        <is>
          <t>No</t>
        </is>
      </c>
      <c r="B936" t="inlineStr">
        <is>
          <t>CURAL</t>
        </is>
      </c>
      <c r="C936" t="inlineStr">
        <is>
          <t>SHELVES</t>
        </is>
      </c>
      <c r="D936" t="inlineStr">
        <is>
          <t>PR3099 .M3 1981</t>
        </is>
      </c>
      <c r="E936" t="inlineStr">
        <is>
          <t>0                      PR 3099000M  3           1981</t>
        </is>
      </c>
      <c r="F936" t="inlineStr">
        <is>
          <t>Shakespeare refashioned : Elizabethan plays on Edwardian stages / by Cary M. Mazer.</t>
        </is>
      </c>
      <c r="H936" t="inlineStr">
        <is>
          <t>No</t>
        </is>
      </c>
      <c r="I936" t="inlineStr">
        <is>
          <t>1</t>
        </is>
      </c>
      <c r="J936" t="inlineStr">
        <is>
          <t>No</t>
        </is>
      </c>
      <c r="K936" t="inlineStr">
        <is>
          <t>No</t>
        </is>
      </c>
      <c r="L936" t="inlineStr">
        <is>
          <t>0</t>
        </is>
      </c>
      <c r="M936" t="inlineStr">
        <is>
          <t>Mazer, Cary M.</t>
        </is>
      </c>
      <c r="N936" t="inlineStr">
        <is>
          <t>Ann Arbor, Mich. : UMI Research Press, c1981, 1980.</t>
        </is>
      </c>
      <c r="O936" t="inlineStr">
        <is>
          <t>1981</t>
        </is>
      </c>
      <c r="Q936" t="inlineStr">
        <is>
          <t>eng</t>
        </is>
      </c>
      <c r="R936" t="inlineStr">
        <is>
          <t>miu</t>
        </is>
      </c>
      <c r="S936" t="inlineStr">
        <is>
          <t>Theater and dramatic studies ; no. 5</t>
        </is>
      </c>
      <c r="T936" t="inlineStr">
        <is>
          <t xml:space="preserve">PR </t>
        </is>
      </c>
      <c r="U936" t="n">
        <v>3</v>
      </c>
      <c r="V936" t="n">
        <v>3</v>
      </c>
      <c r="W936" t="inlineStr">
        <is>
          <t>1993-03-02</t>
        </is>
      </c>
      <c r="X936" t="inlineStr">
        <is>
          <t>1993-03-02</t>
        </is>
      </c>
      <c r="Y936" t="inlineStr">
        <is>
          <t>1991-10-03</t>
        </is>
      </c>
      <c r="Z936" t="inlineStr">
        <is>
          <t>1991-10-03</t>
        </is>
      </c>
      <c r="AA936" t="n">
        <v>398</v>
      </c>
      <c r="AB936" t="n">
        <v>320</v>
      </c>
      <c r="AC936" t="n">
        <v>326</v>
      </c>
      <c r="AD936" t="n">
        <v>2</v>
      </c>
      <c r="AE936" t="n">
        <v>2</v>
      </c>
      <c r="AF936" t="n">
        <v>11</v>
      </c>
      <c r="AG936" t="n">
        <v>11</v>
      </c>
      <c r="AH936" t="n">
        <v>4</v>
      </c>
      <c r="AI936" t="n">
        <v>4</v>
      </c>
      <c r="AJ936" t="n">
        <v>3</v>
      </c>
      <c r="AK936" t="n">
        <v>3</v>
      </c>
      <c r="AL936" t="n">
        <v>8</v>
      </c>
      <c r="AM936" t="n">
        <v>8</v>
      </c>
      <c r="AN936" t="n">
        <v>1</v>
      </c>
      <c r="AO936" t="n">
        <v>1</v>
      </c>
      <c r="AP936" t="n">
        <v>0</v>
      </c>
      <c r="AQ936" t="n">
        <v>0</v>
      </c>
      <c r="AR936" t="inlineStr">
        <is>
          <t>No</t>
        </is>
      </c>
      <c r="AS936" t="inlineStr">
        <is>
          <t>Yes</t>
        </is>
      </c>
      <c r="AT936">
        <f>HYPERLINK("http://catalog.hathitrust.org/Record/000150094","HathiTrust Record")</f>
        <v/>
      </c>
      <c r="AU936">
        <f>HYPERLINK("https://creighton-primo.hosted.exlibrisgroup.com/primo-explore/search?tab=default_tab&amp;search_scope=EVERYTHING&amp;vid=01CRU&amp;lang=en_US&amp;offset=0&amp;query=any,contains,991005209929702656","Catalog Record")</f>
        <v/>
      </c>
      <c r="AV936">
        <f>HYPERLINK("http://www.worldcat.org/oclc/8157300","WorldCat Record")</f>
        <v/>
      </c>
      <c r="AW936" t="inlineStr">
        <is>
          <t>867831344:eng</t>
        </is>
      </c>
      <c r="AX936" t="inlineStr">
        <is>
          <t>8157300</t>
        </is>
      </c>
      <c r="AY936" t="inlineStr">
        <is>
          <t>991005209929702656</t>
        </is>
      </c>
      <c r="AZ936" t="inlineStr">
        <is>
          <t>991005209929702656</t>
        </is>
      </c>
      <c r="BA936" t="inlineStr">
        <is>
          <t>2269682840002656</t>
        </is>
      </c>
      <c r="BB936" t="inlineStr">
        <is>
          <t>BOOK</t>
        </is>
      </c>
      <c r="BD936" t="inlineStr">
        <is>
          <t>9780835712361</t>
        </is>
      </c>
      <c r="BE936" t="inlineStr">
        <is>
          <t>32285000771518</t>
        </is>
      </c>
      <c r="BF936" t="inlineStr">
        <is>
          <t>893350915</t>
        </is>
      </c>
    </row>
    <row r="937">
      <c r="A937" t="inlineStr">
        <is>
          <t>No</t>
        </is>
      </c>
      <c r="B937" t="inlineStr">
        <is>
          <t>CURAL</t>
        </is>
      </c>
      <c r="C937" t="inlineStr">
        <is>
          <t>SHELVES</t>
        </is>
      </c>
      <c r="D937" t="inlineStr">
        <is>
          <t>PR3099 .S5 1986</t>
        </is>
      </c>
      <c r="E937" t="inlineStr">
        <is>
          <t>0                      PR 3099000S  5           1986</t>
        </is>
      </c>
      <c r="F937" t="inlineStr">
        <is>
          <t>Shakespeare and the Victorian stage / edited by Richard Foulkes.</t>
        </is>
      </c>
      <c r="H937" t="inlineStr">
        <is>
          <t>No</t>
        </is>
      </c>
      <c r="I937" t="inlineStr">
        <is>
          <t>1</t>
        </is>
      </c>
      <c r="J937" t="inlineStr">
        <is>
          <t>No</t>
        </is>
      </c>
      <c r="K937" t="inlineStr">
        <is>
          <t>No</t>
        </is>
      </c>
      <c r="L937" t="inlineStr">
        <is>
          <t>0</t>
        </is>
      </c>
      <c r="N937" t="inlineStr">
        <is>
          <t>Cambridge [Cambridgeshire] ; New York : Cambridge University Press, 1986.</t>
        </is>
      </c>
      <c r="O937" t="inlineStr">
        <is>
          <t>1986</t>
        </is>
      </c>
      <c r="Q937" t="inlineStr">
        <is>
          <t>eng</t>
        </is>
      </c>
      <c r="R937" t="inlineStr">
        <is>
          <t>enk</t>
        </is>
      </c>
      <c r="T937" t="inlineStr">
        <is>
          <t xml:space="preserve">PR </t>
        </is>
      </c>
      <c r="U937" t="n">
        <v>1</v>
      </c>
      <c r="V937" t="n">
        <v>1</v>
      </c>
      <c r="W937" t="inlineStr">
        <is>
          <t>1992-04-22</t>
        </is>
      </c>
      <c r="X937" t="inlineStr">
        <is>
          <t>1992-04-22</t>
        </is>
      </c>
      <c r="Y937" t="inlineStr">
        <is>
          <t>1991-10-03</t>
        </is>
      </c>
      <c r="Z937" t="inlineStr">
        <is>
          <t>1991-10-03</t>
        </is>
      </c>
      <c r="AA937" t="n">
        <v>628</v>
      </c>
      <c r="AB937" t="n">
        <v>477</v>
      </c>
      <c r="AC937" t="n">
        <v>485</v>
      </c>
      <c r="AD937" t="n">
        <v>4</v>
      </c>
      <c r="AE937" t="n">
        <v>4</v>
      </c>
      <c r="AF937" t="n">
        <v>25</v>
      </c>
      <c r="AG937" t="n">
        <v>26</v>
      </c>
      <c r="AH937" t="n">
        <v>8</v>
      </c>
      <c r="AI937" t="n">
        <v>9</v>
      </c>
      <c r="AJ937" t="n">
        <v>7</v>
      </c>
      <c r="AK937" t="n">
        <v>7</v>
      </c>
      <c r="AL937" t="n">
        <v>15</v>
      </c>
      <c r="AM937" t="n">
        <v>15</v>
      </c>
      <c r="AN937" t="n">
        <v>3</v>
      </c>
      <c r="AO937" t="n">
        <v>3</v>
      </c>
      <c r="AP937" t="n">
        <v>0</v>
      </c>
      <c r="AQ937" t="n">
        <v>0</v>
      </c>
      <c r="AR937" t="inlineStr">
        <is>
          <t>No</t>
        </is>
      </c>
      <c r="AS937" t="inlineStr">
        <is>
          <t>No</t>
        </is>
      </c>
      <c r="AU937">
        <f>HYPERLINK("https://creighton-primo.hosted.exlibrisgroup.com/primo-explore/search?tab=default_tab&amp;search_scope=EVERYTHING&amp;vid=01CRU&amp;lang=en_US&amp;offset=0&amp;query=any,contains,991000768419702656","Catalog Record")</f>
        <v/>
      </c>
      <c r="AV937">
        <f>HYPERLINK("http://www.worldcat.org/oclc/13008472","WorldCat Record")</f>
        <v/>
      </c>
      <c r="AW937" t="inlineStr">
        <is>
          <t>5463264:eng</t>
        </is>
      </c>
      <c r="AX937" t="inlineStr">
        <is>
          <t>13008472</t>
        </is>
      </c>
      <c r="AY937" t="inlineStr">
        <is>
          <t>991000768419702656</t>
        </is>
      </c>
      <c r="AZ937" t="inlineStr">
        <is>
          <t>991000768419702656</t>
        </is>
      </c>
      <c r="BA937" t="inlineStr">
        <is>
          <t>2267646690002656</t>
        </is>
      </c>
      <c r="BB937" t="inlineStr">
        <is>
          <t>BOOK</t>
        </is>
      </c>
      <c r="BD937" t="inlineStr">
        <is>
          <t>9780521301107</t>
        </is>
      </c>
      <c r="BE937" t="inlineStr">
        <is>
          <t>32285000771526</t>
        </is>
      </c>
      <c r="BF937" t="inlineStr">
        <is>
          <t>893589721</t>
        </is>
      </c>
    </row>
    <row r="938">
      <c r="A938" t="inlineStr">
        <is>
          <t>No</t>
        </is>
      </c>
      <c r="B938" t="inlineStr">
        <is>
          <t>CURAL</t>
        </is>
      </c>
      <c r="C938" t="inlineStr">
        <is>
          <t>SHELVES</t>
        </is>
      </c>
      <c r="D938" t="inlineStr">
        <is>
          <t>PR3100 .S53 1986</t>
        </is>
      </c>
      <c r="E938" t="inlineStr">
        <is>
          <t>0                      PR 3100000S  53          1986</t>
        </is>
      </c>
      <c r="F938" t="inlineStr">
        <is>
          <t>Shakespeare around the globe : a guide to notable postwar revivals / edited by Samuel L. Leiter ; associate editors, Langdon Brown ... [et al.].</t>
        </is>
      </c>
      <c r="H938" t="inlineStr">
        <is>
          <t>No</t>
        </is>
      </c>
      <c r="I938" t="inlineStr">
        <is>
          <t>1</t>
        </is>
      </c>
      <c r="J938" t="inlineStr">
        <is>
          <t>No</t>
        </is>
      </c>
      <c r="K938" t="inlineStr">
        <is>
          <t>No</t>
        </is>
      </c>
      <c r="L938" t="inlineStr">
        <is>
          <t>0</t>
        </is>
      </c>
      <c r="N938" t="inlineStr">
        <is>
          <t>New York : Greenwood Press, 1986.</t>
        </is>
      </c>
      <c r="O938" t="inlineStr">
        <is>
          <t>1986</t>
        </is>
      </c>
      <c r="Q938" t="inlineStr">
        <is>
          <t>eng</t>
        </is>
      </c>
      <c r="R938" t="inlineStr">
        <is>
          <t>nyu</t>
        </is>
      </c>
      <c r="T938" t="inlineStr">
        <is>
          <t xml:space="preserve">PR </t>
        </is>
      </c>
      <c r="U938" t="n">
        <v>2</v>
      </c>
      <c r="V938" t="n">
        <v>2</v>
      </c>
      <c r="W938" t="inlineStr">
        <is>
          <t>1992-04-22</t>
        </is>
      </c>
      <c r="X938" t="inlineStr">
        <is>
          <t>1992-04-22</t>
        </is>
      </c>
      <c r="Y938" t="inlineStr">
        <is>
          <t>1991-07-03</t>
        </is>
      </c>
      <c r="Z938" t="inlineStr">
        <is>
          <t>1991-07-03</t>
        </is>
      </c>
      <c r="AA938" t="n">
        <v>321</v>
      </c>
      <c r="AB938" t="n">
        <v>247</v>
      </c>
      <c r="AC938" t="n">
        <v>264</v>
      </c>
      <c r="AD938" t="n">
        <v>3</v>
      </c>
      <c r="AE938" t="n">
        <v>3</v>
      </c>
      <c r="AF938" t="n">
        <v>15</v>
      </c>
      <c r="AG938" t="n">
        <v>15</v>
      </c>
      <c r="AH938" t="n">
        <v>2</v>
      </c>
      <c r="AI938" t="n">
        <v>2</v>
      </c>
      <c r="AJ938" t="n">
        <v>6</v>
      </c>
      <c r="AK938" t="n">
        <v>6</v>
      </c>
      <c r="AL938" t="n">
        <v>9</v>
      </c>
      <c r="AM938" t="n">
        <v>9</v>
      </c>
      <c r="AN938" t="n">
        <v>2</v>
      </c>
      <c r="AO938" t="n">
        <v>2</v>
      </c>
      <c r="AP938" t="n">
        <v>0</v>
      </c>
      <c r="AQ938" t="n">
        <v>0</v>
      </c>
      <c r="AR938" t="inlineStr">
        <is>
          <t>No</t>
        </is>
      </c>
      <c r="AS938" t="inlineStr">
        <is>
          <t>Yes</t>
        </is>
      </c>
      <c r="AT938">
        <f>HYPERLINK("http://catalog.hathitrust.org/Record/000673869","HathiTrust Record")</f>
        <v/>
      </c>
      <c r="AU938">
        <f>HYPERLINK("https://creighton-primo.hosted.exlibrisgroup.com/primo-explore/search?tab=default_tab&amp;search_scope=EVERYTHING&amp;vid=01CRU&amp;lang=en_US&amp;offset=0&amp;query=any,contains,991000749409702656","Catalog Record")</f>
        <v/>
      </c>
      <c r="AV938">
        <f>HYPERLINK("http://www.worldcat.org/oclc/12907283","WorldCat Record")</f>
        <v/>
      </c>
      <c r="AW938" t="inlineStr">
        <is>
          <t>836682528:eng</t>
        </is>
      </c>
      <c r="AX938" t="inlineStr">
        <is>
          <t>12907283</t>
        </is>
      </c>
      <c r="AY938" t="inlineStr">
        <is>
          <t>991000749409702656</t>
        </is>
      </c>
      <c r="AZ938" t="inlineStr">
        <is>
          <t>991000749409702656</t>
        </is>
      </c>
      <c r="BA938" t="inlineStr">
        <is>
          <t>2257710900002656</t>
        </is>
      </c>
      <c r="BB938" t="inlineStr">
        <is>
          <t>BOOK</t>
        </is>
      </c>
      <c r="BD938" t="inlineStr">
        <is>
          <t>9780313237560</t>
        </is>
      </c>
      <c r="BE938" t="inlineStr">
        <is>
          <t>32285000659895</t>
        </is>
      </c>
      <c r="BF938" t="inlineStr">
        <is>
          <t>893796961</t>
        </is>
      </c>
    </row>
    <row r="939">
      <c r="A939" t="inlineStr">
        <is>
          <t>No</t>
        </is>
      </c>
      <c r="B939" t="inlineStr">
        <is>
          <t>CURAL</t>
        </is>
      </c>
      <c r="C939" t="inlineStr">
        <is>
          <t>SHELVES</t>
        </is>
      </c>
      <c r="D939" t="inlineStr">
        <is>
          <t>PR3105 .S5</t>
        </is>
      </c>
      <c r="E939" t="inlineStr">
        <is>
          <t>0                      PR 3105000S  5</t>
        </is>
      </c>
      <c r="F939" t="inlineStr">
        <is>
          <t>Shakespeare on the American stage / Charles H. Shattuck.</t>
        </is>
      </c>
      <c r="H939" t="inlineStr">
        <is>
          <t>No</t>
        </is>
      </c>
      <c r="I939" t="inlineStr">
        <is>
          <t>1</t>
        </is>
      </c>
      <c r="J939" t="inlineStr">
        <is>
          <t>No</t>
        </is>
      </c>
      <c r="K939" t="inlineStr">
        <is>
          <t>No</t>
        </is>
      </c>
      <c r="L939" t="inlineStr">
        <is>
          <t>0</t>
        </is>
      </c>
      <c r="M939" t="inlineStr">
        <is>
          <t>Shattuck, Charles Harlen, 1910-</t>
        </is>
      </c>
      <c r="N939" t="inlineStr">
        <is>
          <t>[Washington] : Folger Shakespeare Library, 1976-&lt;c1987 &gt;</t>
        </is>
      </c>
      <c r="O939" t="inlineStr">
        <is>
          <t>1976</t>
        </is>
      </c>
      <c r="Q939" t="inlineStr">
        <is>
          <t>eng</t>
        </is>
      </c>
      <c r="R939" t="inlineStr">
        <is>
          <t>dcu</t>
        </is>
      </c>
      <c r="T939" t="inlineStr">
        <is>
          <t xml:space="preserve">PR </t>
        </is>
      </c>
      <c r="U939" t="n">
        <v>3</v>
      </c>
      <c r="V939" t="n">
        <v>3</v>
      </c>
      <c r="W939" t="inlineStr">
        <is>
          <t>2003-12-16</t>
        </is>
      </c>
      <c r="X939" t="inlineStr">
        <is>
          <t>2003-12-16</t>
        </is>
      </c>
      <c r="Y939" t="inlineStr">
        <is>
          <t>1997-08-06</t>
        </is>
      </c>
      <c r="Z939" t="inlineStr">
        <is>
          <t>1997-08-06</t>
        </is>
      </c>
      <c r="AA939" t="n">
        <v>892</v>
      </c>
      <c r="AB939" t="n">
        <v>836</v>
      </c>
      <c r="AC939" t="n">
        <v>923</v>
      </c>
      <c r="AD939" t="n">
        <v>8</v>
      </c>
      <c r="AE939" t="n">
        <v>9</v>
      </c>
      <c r="AF939" t="n">
        <v>43</v>
      </c>
      <c r="AG939" t="n">
        <v>45</v>
      </c>
      <c r="AH939" t="n">
        <v>18</v>
      </c>
      <c r="AI939" t="n">
        <v>19</v>
      </c>
      <c r="AJ939" t="n">
        <v>9</v>
      </c>
      <c r="AK939" t="n">
        <v>9</v>
      </c>
      <c r="AL939" t="n">
        <v>20</v>
      </c>
      <c r="AM939" t="n">
        <v>21</v>
      </c>
      <c r="AN939" t="n">
        <v>7</v>
      </c>
      <c r="AO939" t="n">
        <v>8</v>
      </c>
      <c r="AP939" t="n">
        <v>0</v>
      </c>
      <c r="AQ939" t="n">
        <v>0</v>
      </c>
      <c r="AR939" t="inlineStr">
        <is>
          <t>No</t>
        </is>
      </c>
      <c r="AS939" t="inlineStr">
        <is>
          <t>Yes</t>
        </is>
      </c>
      <c r="AT939">
        <f>HYPERLINK("http://catalog.hathitrust.org/Record/000686220","HathiTrust Record")</f>
        <v/>
      </c>
      <c r="AU939">
        <f>HYPERLINK("https://creighton-primo.hosted.exlibrisgroup.com/primo-explore/search?tab=default_tab&amp;search_scope=EVERYTHING&amp;vid=01CRU&amp;lang=en_US&amp;offset=0&amp;query=any,contains,991003962499702656","Catalog Record")</f>
        <v/>
      </c>
      <c r="AV939">
        <f>HYPERLINK("http://www.worldcat.org/oclc/1976067","WorldCat Record")</f>
        <v/>
      </c>
      <c r="AW939" t="inlineStr">
        <is>
          <t>481128373:eng</t>
        </is>
      </c>
      <c r="AX939" t="inlineStr">
        <is>
          <t>1976067</t>
        </is>
      </c>
      <c r="AY939" t="inlineStr">
        <is>
          <t>991003962499702656</t>
        </is>
      </c>
      <c r="AZ939" t="inlineStr">
        <is>
          <t>991003962499702656</t>
        </is>
      </c>
      <c r="BA939" t="inlineStr">
        <is>
          <t>2266595250002656</t>
        </is>
      </c>
      <c r="BB939" t="inlineStr">
        <is>
          <t>BOOK</t>
        </is>
      </c>
      <c r="BD939" t="inlineStr">
        <is>
          <t>9780813906515</t>
        </is>
      </c>
      <c r="BE939" t="inlineStr">
        <is>
          <t>32285003022596</t>
        </is>
      </c>
      <c r="BF939" t="inlineStr">
        <is>
          <t>893605463</t>
        </is>
      </c>
    </row>
    <row r="940">
      <c r="A940" t="inlineStr">
        <is>
          <t>No</t>
        </is>
      </c>
      <c r="B940" t="inlineStr">
        <is>
          <t>CURAL</t>
        </is>
      </c>
      <c r="C940" t="inlineStr">
        <is>
          <t>SHELVES</t>
        </is>
      </c>
      <c r="D940" t="inlineStr">
        <is>
          <t>PR311 .A33</t>
        </is>
      </c>
      <c r="E940" t="inlineStr">
        <is>
          <t>0                      PR 0311000A  33</t>
        </is>
      </c>
      <c r="F940" t="inlineStr">
        <is>
          <t>Chaucer, Langland, and the creative imagination / David Aers.</t>
        </is>
      </c>
      <c r="H940" t="inlineStr">
        <is>
          <t>No</t>
        </is>
      </c>
      <c r="I940" t="inlineStr">
        <is>
          <t>1</t>
        </is>
      </c>
      <c r="J940" t="inlineStr">
        <is>
          <t>No</t>
        </is>
      </c>
      <c r="K940" t="inlineStr">
        <is>
          <t>No</t>
        </is>
      </c>
      <c r="L940" t="inlineStr">
        <is>
          <t>0</t>
        </is>
      </c>
      <c r="M940" t="inlineStr">
        <is>
          <t>Aers, David.</t>
        </is>
      </c>
      <c r="N940" t="inlineStr">
        <is>
          <t>London ; Boston : Routledge &amp; Kegan Paul, 1980.</t>
        </is>
      </c>
      <c r="O940" t="inlineStr">
        <is>
          <t>1979</t>
        </is>
      </c>
      <c r="Q940" t="inlineStr">
        <is>
          <t>eng</t>
        </is>
      </c>
      <c r="R940" t="inlineStr">
        <is>
          <t>enk</t>
        </is>
      </c>
      <c r="T940" t="inlineStr">
        <is>
          <t xml:space="preserve">PR </t>
        </is>
      </c>
      <c r="U940" t="n">
        <v>4</v>
      </c>
      <c r="V940" t="n">
        <v>4</v>
      </c>
      <c r="W940" t="inlineStr">
        <is>
          <t>2005-10-31</t>
        </is>
      </c>
      <c r="X940" t="inlineStr">
        <is>
          <t>2005-10-31</t>
        </is>
      </c>
      <c r="Y940" t="inlineStr">
        <is>
          <t>1991-08-28</t>
        </is>
      </c>
      <c r="Z940" t="inlineStr">
        <is>
          <t>1991-08-28</t>
        </is>
      </c>
      <c r="AA940" t="n">
        <v>829</v>
      </c>
      <c r="AB940" t="n">
        <v>658</v>
      </c>
      <c r="AC940" t="n">
        <v>693</v>
      </c>
      <c r="AD940" t="n">
        <v>4</v>
      </c>
      <c r="AE940" t="n">
        <v>4</v>
      </c>
      <c r="AF940" t="n">
        <v>32</v>
      </c>
      <c r="AG940" t="n">
        <v>33</v>
      </c>
      <c r="AH940" t="n">
        <v>14</v>
      </c>
      <c r="AI940" t="n">
        <v>14</v>
      </c>
      <c r="AJ940" t="n">
        <v>6</v>
      </c>
      <c r="AK940" t="n">
        <v>7</v>
      </c>
      <c r="AL940" t="n">
        <v>16</v>
      </c>
      <c r="AM940" t="n">
        <v>17</v>
      </c>
      <c r="AN940" t="n">
        <v>3</v>
      </c>
      <c r="AO940" t="n">
        <v>3</v>
      </c>
      <c r="AP940" t="n">
        <v>0</v>
      </c>
      <c r="AQ940" t="n">
        <v>0</v>
      </c>
      <c r="AR940" t="inlineStr">
        <is>
          <t>No</t>
        </is>
      </c>
      <c r="AS940" t="inlineStr">
        <is>
          <t>No</t>
        </is>
      </c>
      <c r="AU940">
        <f>HYPERLINK("https://creighton-primo.hosted.exlibrisgroup.com/primo-explore/search?tab=default_tab&amp;search_scope=EVERYTHING&amp;vid=01CRU&amp;lang=en_US&amp;offset=0&amp;query=any,contains,991004851539702656","Catalog Record")</f>
        <v/>
      </c>
      <c r="AV940">
        <f>HYPERLINK("http://www.worldcat.org/oclc/5614411","WorldCat Record")</f>
        <v/>
      </c>
      <c r="AW940" t="inlineStr">
        <is>
          <t>18486457:eng</t>
        </is>
      </c>
      <c r="AX940" t="inlineStr">
        <is>
          <t>5614411</t>
        </is>
      </c>
      <c r="AY940" t="inlineStr">
        <is>
          <t>991004851539702656</t>
        </is>
      </c>
      <c r="AZ940" t="inlineStr">
        <is>
          <t>991004851539702656</t>
        </is>
      </c>
      <c r="BA940" t="inlineStr">
        <is>
          <t>2259795240002656</t>
        </is>
      </c>
      <c r="BB940" t="inlineStr">
        <is>
          <t>BOOK</t>
        </is>
      </c>
      <c r="BD940" t="inlineStr">
        <is>
          <t>9780710003515</t>
        </is>
      </c>
      <c r="BE940" t="inlineStr">
        <is>
          <t>32285000730605</t>
        </is>
      </c>
      <c r="BF940" t="inlineStr">
        <is>
          <t>893350443</t>
        </is>
      </c>
    </row>
    <row r="941">
      <c r="A941" t="inlineStr">
        <is>
          <t>No</t>
        </is>
      </c>
      <c r="B941" t="inlineStr">
        <is>
          <t>CURAL</t>
        </is>
      </c>
      <c r="C941" t="inlineStr">
        <is>
          <t>SHELVES</t>
        </is>
      </c>
      <c r="D941" t="inlineStr">
        <is>
          <t>PR311 .S33 1994</t>
        </is>
      </c>
      <c r="E941" t="inlineStr">
        <is>
          <t>0                      PR 0311000S  33          1994</t>
        </is>
      </c>
      <c r="F941" t="inlineStr">
        <is>
          <t>Narrative, authority, and power : the medieval exemplum and the Chaucerian tradition / Larry Scanlon.</t>
        </is>
      </c>
      <c r="H941" t="inlineStr">
        <is>
          <t>No</t>
        </is>
      </c>
      <c r="I941" t="inlineStr">
        <is>
          <t>1</t>
        </is>
      </c>
      <c r="J941" t="inlineStr">
        <is>
          <t>No</t>
        </is>
      </c>
      <c r="K941" t="inlineStr">
        <is>
          <t>No</t>
        </is>
      </c>
      <c r="L941" t="inlineStr">
        <is>
          <t>0</t>
        </is>
      </c>
      <c r="M941" t="inlineStr">
        <is>
          <t>Scanlon, Larry.</t>
        </is>
      </c>
      <c r="N941" t="inlineStr">
        <is>
          <t>Cambridge [England] ; New York, NY, USA : Cambridge University Press, 1994.</t>
        </is>
      </c>
      <c r="O941" t="inlineStr">
        <is>
          <t>1994</t>
        </is>
      </c>
      <c r="Q941" t="inlineStr">
        <is>
          <t>eng</t>
        </is>
      </c>
      <c r="R941" t="inlineStr">
        <is>
          <t>enk</t>
        </is>
      </c>
      <c r="S941" t="inlineStr">
        <is>
          <t>Cambridge studies in medieval literature ; 20</t>
        </is>
      </c>
      <c r="T941" t="inlineStr">
        <is>
          <t xml:space="preserve">PR </t>
        </is>
      </c>
      <c r="U941" t="n">
        <v>4</v>
      </c>
      <c r="V941" t="n">
        <v>4</v>
      </c>
      <c r="W941" t="inlineStr">
        <is>
          <t>2004-11-11</t>
        </is>
      </c>
      <c r="X941" t="inlineStr">
        <is>
          <t>2004-11-11</t>
        </is>
      </c>
      <c r="Y941" t="inlineStr">
        <is>
          <t>1995-02-06</t>
        </is>
      </c>
      <c r="Z941" t="inlineStr">
        <is>
          <t>1995-02-06</t>
        </is>
      </c>
      <c r="AA941" t="n">
        <v>440</v>
      </c>
      <c r="AB941" t="n">
        <v>325</v>
      </c>
      <c r="AC941" t="n">
        <v>341</v>
      </c>
      <c r="AD941" t="n">
        <v>3</v>
      </c>
      <c r="AE941" t="n">
        <v>3</v>
      </c>
      <c r="AF941" t="n">
        <v>22</v>
      </c>
      <c r="AG941" t="n">
        <v>22</v>
      </c>
      <c r="AH941" t="n">
        <v>8</v>
      </c>
      <c r="AI941" t="n">
        <v>8</v>
      </c>
      <c r="AJ941" t="n">
        <v>6</v>
      </c>
      <c r="AK941" t="n">
        <v>6</v>
      </c>
      <c r="AL941" t="n">
        <v>12</v>
      </c>
      <c r="AM941" t="n">
        <v>12</v>
      </c>
      <c r="AN941" t="n">
        <v>2</v>
      </c>
      <c r="AO941" t="n">
        <v>2</v>
      </c>
      <c r="AP941" t="n">
        <v>0</v>
      </c>
      <c r="AQ941" t="n">
        <v>0</v>
      </c>
      <c r="AR941" t="inlineStr">
        <is>
          <t>No</t>
        </is>
      </c>
      <c r="AS941" t="inlineStr">
        <is>
          <t>No</t>
        </is>
      </c>
      <c r="AU941">
        <f>HYPERLINK("https://creighton-primo.hosted.exlibrisgroup.com/primo-explore/search?tab=default_tab&amp;search_scope=EVERYTHING&amp;vid=01CRU&amp;lang=en_US&amp;offset=0&amp;query=any,contains,991002200489702656","Catalog Record")</f>
        <v/>
      </c>
      <c r="AV941">
        <f>HYPERLINK("http://www.worldcat.org/oclc/28293894","WorldCat Record")</f>
        <v/>
      </c>
      <c r="AW941" t="inlineStr">
        <is>
          <t>807475204:eng</t>
        </is>
      </c>
      <c r="AX941" t="inlineStr">
        <is>
          <t>28293894</t>
        </is>
      </c>
      <c r="AY941" t="inlineStr">
        <is>
          <t>991002200489702656</t>
        </is>
      </c>
      <c r="AZ941" t="inlineStr">
        <is>
          <t>991002200489702656</t>
        </is>
      </c>
      <c r="BA941" t="inlineStr">
        <is>
          <t>2259162780002656</t>
        </is>
      </c>
      <c r="BB941" t="inlineStr">
        <is>
          <t>BOOK</t>
        </is>
      </c>
      <c r="BD941" t="inlineStr">
        <is>
          <t>9780521432108</t>
        </is>
      </c>
      <c r="BE941" t="inlineStr">
        <is>
          <t>32285001997401</t>
        </is>
      </c>
      <c r="BF941" t="inlineStr">
        <is>
          <t>893316507</t>
        </is>
      </c>
    </row>
    <row r="942">
      <c r="A942" t="inlineStr">
        <is>
          <t>No</t>
        </is>
      </c>
      <c r="B942" t="inlineStr">
        <is>
          <t>CURAL</t>
        </is>
      </c>
      <c r="C942" t="inlineStr">
        <is>
          <t>SHELVES</t>
        </is>
      </c>
      <c r="D942" t="inlineStr">
        <is>
          <t>PR311 .S7 1957</t>
        </is>
      </c>
      <c r="E942" t="inlineStr">
        <is>
          <t>0                      PR 0311000S  7           1957</t>
        </is>
      </c>
      <c r="F942" t="inlineStr">
        <is>
          <t>Medieval English poetry: the non-Chaucerian tradition.</t>
        </is>
      </c>
      <c r="H942" t="inlineStr">
        <is>
          <t>No</t>
        </is>
      </c>
      <c r="I942" t="inlineStr">
        <is>
          <t>1</t>
        </is>
      </c>
      <c r="J942" t="inlineStr">
        <is>
          <t>No</t>
        </is>
      </c>
      <c r="K942" t="inlineStr">
        <is>
          <t>No</t>
        </is>
      </c>
      <c r="L942" t="inlineStr">
        <is>
          <t>0</t>
        </is>
      </c>
      <c r="M942" t="inlineStr">
        <is>
          <t>Speirs, John, 1906-1979.</t>
        </is>
      </c>
      <c r="N942" t="inlineStr">
        <is>
          <t>London, Faber and Faber [1957]</t>
        </is>
      </c>
      <c r="O942" t="inlineStr">
        <is>
          <t>1957</t>
        </is>
      </c>
      <c r="Q942" t="inlineStr">
        <is>
          <t>eng</t>
        </is>
      </c>
      <c r="R942" t="inlineStr">
        <is>
          <t>enk</t>
        </is>
      </c>
      <c r="T942" t="inlineStr">
        <is>
          <t xml:space="preserve">PR </t>
        </is>
      </c>
      <c r="U942" t="n">
        <v>1</v>
      </c>
      <c r="V942" t="n">
        <v>1</v>
      </c>
      <c r="W942" t="inlineStr">
        <is>
          <t>1998-03-25</t>
        </is>
      </c>
      <c r="X942" t="inlineStr">
        <is>
          <t>1998-03-25</t>
        </is>
      </c>
      <c r="Y942" t="inlineStr">
        <is>
          <t>1997-08-19</t>
        </is>
      </c>
      <c r="Z942" t="inlineStr">
        <is>
          <t>1997-08-19</t>
        </is>
      </c>
      <c r="AA942" t="n">
        <v>925</v>
      </c>
      <c r="AB942" t="n">
        <v>757</v>
      </c>
      <c r="AC942" t="n">
        <v>983</v>
      </c>
      <c r="AD942" t="n">
        <v>6</v>
      </c>
      <c r="AE942" t="n">
        <v>8</v>
      </c>
      <c r="AF942" t="n">
        <v>33</v>
      </c>
      <c r="AG942" t="n">
        <v>40</v>
      </c>
      <c r="AH942" t="n">
        <v>13</v>
      </c>
      <c r="AI942" t="n">
        <v>15</v>
      </c>
      <c r="AJ942" t="n">
        <v>6</v>
      </c>
      <c r="AK942" t="n">
        <v>7</v>
      </c>
      <c r="AL942" t="n">
        <v>18</v>
      </c>
      <c r="AM942" t="n">
        <v>21</v>
      </c>
      <c r="AN942" t="n">
        <v>4</v>
      </c>
      <c r="AO942" t="n">
        <v>6</v>
      </c>
      <c r="AP942" t="n">
        <v>0</v>
      </c>
      <c r="AQ942" t="n">
        <v>0</v>
      </c>
      <c r="AR942" t="inlineStr">
        <is>
          <t>No</t>
        </is>
      </c>
      <c r="AS942" t="inlineStr">
        <is>
          <t>Yes</t>
        </is>
      </c>
      <c r="AT942">
        <f>HYPERLINK("http://catalog.hathitrust.org/Record/006737125","HathiTrust Record")</f>
        <v/>
      </c>
      <c r="AU942">
        <f>HYPERLINK("https://creighton-primo.hosted.exlibrisgroup.com/primo-explore/search?tab=default_tab&amp;search_scope=EVERYTHING&amp;vid=01CRU&amp;lang=en_US&amp;offset=0&amp;query=any,contains,991003332119702656","Catalog Record")</f>
        <v/>
      </c>
      <c r="AV942">
        <f>HYPERLINK("http://www.worldcat.org/oclc/863593","WorldCat Record")</f>
        <v/>
      </c>
      <c r="AW942" t="inlineStr">
        <is>
          <t>1830832:eng</t>
        </is>
      </c>
      <c r="AX942" t="inlineStr">
        <is>
          <t>863593</t>
        </is>
      </c>
      <c r="AY942" t="inlineStr">
        <is>
          <t>991003332119702656</t>
        </is>
      </c>
      <c r="AZ942" t="inlineStr">
        <is>
          <t>991003332119702656</t>
        </is>
      </c>
      <c r="BA942" t="inlineStr">
        <is>
          <t>2264189310002656</t>
        </is>
      </c>
      <c r="BB942" t="inlineStr">
        <is>
          <t>BOOK</t>
        </is>
      </c>
      <c r="BE942" t="inlineStr">
        <is>
          <t>32285003150900</t>
        </is>
      </c>
      <c r="BF942" t="inlineStr">
        <is>
          <t>893787232</t>
        </is>
      </c>
    </row>
    <row r="943">
      <c r="A943" t="inlineStr">
        <is>
          <t>No</t>
        </is>
      </c>
      <c r="B943" t="inlineStr">
        <is>
          <t>CURAL</t>
        </is>
      </c>
      <c r="C943" t="inlineStr">
        <is>
          <t>SHELVES</t>
        </is>
      </c>
      <c r="D943" t="inlineStr">
        <is>
          <t>PR3112 .H8</t>
        </is>
      </c>
      <c r="E943" t="inlineStr">
        <is>
          <t>0                      PR 3112000H  8</t>
        </is>
      </c>
      <c r="F943" t="inlineStr">
        <is>
          <t>Henry Irving, Shakespearean / Alan Hughes ; with a foreword by John Russell Brown.</t>
        </is>
      </c>
      <c r="H943" t="inlineStr">
        <is>
          <t>No</t>
        </is>
      </c>
      <c r="I943" t="inlineStr">
        <is>
          <t>1</t>
        </is>
      </c>
      <c r="J943" t="inlineStr">
        <is>
          <t>No</t>
        </is>
      </c>
      <c r="K943" t="inlineStr">
        <is>
          <t>No</t>
        </is>
      </c>
      <c r="L943" t="inlineStr">
        <is>
          <t>0</t>
        </is>
      </c>
      <c r="M943" t="inlineStr">
        <is>
          <t>Hughes, Alan, 1939-</t>
        </is>
      </c>
      <c r="N943" t="inlineStr">
        <is>
          <t>Cambridge [Eng.] ; New York : Cambridge University Press, 1981.</t>
        </is>
      </c>
      <c r="O943" t="inlineStr">
        <is>
          <t>1981</t>
        </is>
      </c>
      <c r="Q943" t="inlineStr">
        <is>
          <t>eng</t>
        </is>
      </c>
      <c r="R943" t="inlineStr">
        <is>
          <t>enk</t>
        </is>
      </c>
      <c r="T943" t="inlineStr">
        <is>
          <t xml:space="preserve">PR </t>
        </is>
      </c>
      <c r="U943" t="n">
        <v>5</v>
      </c>
      <c r="V943" t="n">
        <v>5</v>
      </c>
      <c r="W943" t="inlineStr">
        <is>
          <t>2010-04-19</t>
        </is>
      </c>
      <c r="X943" t="inlineStr">
        <is>
          <t>2010-04-19</t>
        </is>
      </c>
      <c r="Y943" t="inlineStr">
        <is>
          <t>1991-10-03</t>
        </is>
      </c>
      <c r="Z943" t="inlineStr">
        <is>
          <t>1991-10-03</t>
        </is>
      </c>
      <c r="AA943" t="n">
        <v>576</v>
      </c>
      <c r="AB943" t="n">
        <v>445</v>
      </c>
      <c r="AC943" t="n">
        <v>447</v>
      </c>
      <c r="AD943" t="n">
        <v>6</v>
      </c>
      <c r="AE943" t="n">
        <v>6</v>
      </c>
      <c r="AF943" t="n">
        <v>22</v>
      </c>
      <c r="AG943" t="n">
        <v>22</v>
      </c>
      <c r="AH943" t="n">
        <v>8</v>
      </c>
      <c r="AI943" t="n">
        <v>8</v>
      </c>
      <c r="AJ943" t="n">
        <v>6</v>
      </c>
      <c r="AK943" t="n">
        <v>6</v>
      </c>
      <c r="AL943" t="n">
        <v>8</v>
      </c>
      <c r="AM943" t="n">
        <v>8</v>
      </c>
      <c r="AN943" t="n">
        <v>5</v>
      </c>
      <c r="AO943" t="n">
        <v>5</v>
      </c>
      <c r="AP943" t="n">
        <v>0</v>
      </c>
      <c r="AQ943" t="n">
        <v>0</v>
      </c>
      <c r="AR943" t="inlineStr">
        <is>
          <t>No</t>
        </is>
      </c>
      <c r="AS943" t="inlineStr">
        <is>
          <t>No</t>
        </is>
      </c>
      <c r="AU943">
        <f>HYPERLINK("https://creighton-primo.hosted.exlibrisgroup.com/primo-explore/search?tab=default_tab&amp;search_scope=EVERYTHING&amp;vid=01CRU&amp;lang=en_US&amp;offset=0&amp;query=any,contains,991004903889702656","Catalog Record")</f>
        <v/>
      </c>
      <c r="AV943">
        <f>HYPERLINK("http://www.worldcat.org/oclc/5942903","WorldCat Record")</f>
        <v/>
      </c>
      <c r="AW943" t="inlineStr">
        <is>
          <t>131960305:eng</t>
        </is>
      </c>
      <c r="AX943" t="inlineStr">
        <is>
          <t>5942903</t>
        </is>
      </c>
      <c r="AY943" t="inlineStr">
        <is>
          <t>991004903889702656</t>
        </is>
      </c>
      <c r="AZ943" t="inlineStr">
        <is>
          <t>991004903889702656</t>
        </is>
      </c>
      <c r="BA943" t="inlineStr">
        <is>
          <t>2270869460002656</t>
        </is>
      </c>
      <c r="BB943" t="inlineStr">
        <is>
          <t>BOOK</t>
        </is>
      </c>
      <c r="BD943" t="inlineStr">
        <is>
          <t>9780521221924</t>
        </is>
      </c>
      <c r="BE943" t="inlineStr">
        <is>
          <t>32285000771542</t>
        </is>
      </c>
      <c r="BF943" t="inlineStr">
        <is>
          <t>893353581</t>
        </is>
      </c>
    </row>
    <row r="944">
      <c r="A944" t="inlineStr">
        <is>
          <t>No</t>
        </is>
      </c>
      <c r="B944" t="inlineStr">
        <is>
          <t>CURAL</t>
        </is>
      </c>
      <c r="C944" t="inlineStr">
        <is>
          <t>SHELVES</t>
        </is>
      </c>
      <c r="D944" t="inlineStr">
        <is>
          <t>PR3112 .P55 1985</t>
        </is>
      </c>
      <c r="E944" t="inlineStr">
        <is>
          <t>0                      PR 3112000P  55          1985</t>
        </is>
      </c>
      <c r="F944" t="inlineStr">
        <is>
          <t>Players of Shakespeare : essays in Shakespearean performance / by twelve players with the Royal Shakespeare Company ; edited by Philip Brockbank.</t>
        </is>
      </c>
      <c r="H944" t="inlineStr">
        <is>
          <t>No</t>
        </is>
      </c>
      <c r="I944" t="inlineStr">
        <is>
          <t>1</t>
        </is>
      </c>
      <c r="J944" t="inlineStr">
        <is>
          <t>No</t>
        </is>
      </c>
      <c r="K944" t="inlineStr">
        <is>
          <t>No</t>
        </is>
      </c>
      <c r="L944" t="inlineStr">
        <is>
          <t>0</t>
        </is>
      </c>
      <c r="N944" t="inlineStr">
        <is>
          <t>Cambridge ; New York : Cambridge University Press, 1985.</t>
        </is>
      </c>
      <c r="O944" t="inlineStr">
        <is>
          <t>1985</t>
        </is>
      </c>
      <c r="Q944" t="inlineStr">
        <is>
          <t>eng</t>
        </is>
      </c>
      <c r="R944" t="inlineStr">
        <is>
          <t>enk</t>
        </is>
      </c>
      <c r="T944" t="inlineStr">
        <is>
          <t xml:space="preserve">PR </t>
        </is>
      </c>
      <c r="U944" t="n">
        <v>4</v>
      </c>
      <c r="V944" t="n">
        <v>4</v>
      </c>
      <c r="W944" t="inlineStr">
        <is>
          <t>2006-04-22</t>
        </is>
      </c>
      <c r="X944" t="inlineStr">
        <is>
          <t>2006-04-22</t>
        </is>
      </c>
      <c r="Y944" t="inlineStr">
        <is>
          <t>1991-10-03</t>
        </is>
      </c>
      <c r="Z944" t="inlineStr">
        <is>
          <t>1991-10-03</t>
        </is>
      </c>
      <c r="AA944" t="n">
        <v>846</v>
      </c>
      <c r="AB944" t="n">
        <v>691</v>
      </c>
      <c r="AC944" t="n">
        <v>707</v>
      </c>
      <c r="AD944" t="n">
        <v>8</v>
      </c>
      <c r="AE944" t="n">
        <v>8</v>
      </c>
      <c r="AF944" t="n">
        <v>35</v>
      </c>
      <c r="AG944" t="n">
        <v>36</v>
      </c>
      <c r="AH944" t="n">
        <v>10</v>
      </c>
      <c r="AI944" t="n">
        <v>11</v>
      </c>
      <c r="AJ944" t="n">
        <v>8</v>
      </c>
      <c r="AK944" t="n">
        <v>8</v>
      </c>
      <c r="AL944" t="n">
        <v>19</v>
      </c>
      <c r="AM944" t="n">
        <v>19</v>
      </c>
      <c r="AN944" t="n">
        <v>7</v>
      </c>
      <c r="AO944" t="n">
        <v>7</v>
      </c>
      <c r="AP944" t="n">
        <v>0</v>
      </c>
      <c r="AQ944" t="n">
        <v>0</v>
      </c>
      <c r="AR944" t="inlineStr">
        <is>
          <t>No</t>
        </is>
      </c>
      <c r="AS944" t="inlineStr">
        <is>
          <t>No</t>
        </is>
      </c>
      <c r="AU944">
        <f>HYPERLINK("https://creighton-primo.hosted.exlibrisgroup.com/primo-explore/search?tab=default_tab&amp;search_scope=EVERYTHING&amp;vid=01CRU&amp;lang=en_US&amp;offset=0&amp;query=any,contains,991000546279702656","Catalog Record")</f>
        <v/>
      </c>
      <c r="AV944">
        <f>HYPERLINK("http://www.worldcat.org/oclc/11518427","WorldCat Record")</f>
        <v/>
      </c>
      <c r="AW944" t="inlineStr">
        <is>
          <t>5342492985:eng</t>
        </is>
      </c>
      <c r="AX944" t="inlineStr">
        <is>
          <t>11518427</t>
        </is>
      </c>
      <c r="AY944" t="inlineStr">
        <is>
          <t>991000546279702656</t>
        </is>
      </c>
      <c r="AZ944" t="inlineStr">
        <is>
          <t>991000546279702656</t>
        </is>
      </c>
      <c r="BA944" t="inlineStr">
        <is>
          <t>2269550310002656</t>
        </is>
      </c>
      <c r="BB944" t="inlineStr">
        <is>
          <t>BOOK</t>
        </is>
      </c>
      <c r="BD944" t="inlineStr">
        <is>
          <t>9780521244282</t>
        </is>
      </c>
      <c r="BE944" t="inlineStr">
        <is>
          <t>32285000771559</t>
        </is>
      </c>
      <c r="BF944" t="inlineStr">
        <is>
          <t>893249452</t>
        </is>
      </c>
    </row>
    <row r="945">
      <c r="A945" t="inlineStr">
        <is>
          <t>No</t>
        </is>
      </c>
      <c r="B945" t="inlineStr">
        <is>
          <t>CURAL</t>
        </is>
      </c>
      <c r="C945" t="inlineStr">
        <is>
          <t>SHELVES</t>
        </is>
      </c>
      <c r="D945" t="inlineStr">
        <is>
          <t>PR313 .K3 1989</t>
        </is>
      </c>
      <c r="E945" t="inlineStr">
        <is>
          <t>0                      PR 0313000K  3           1989</t>
        </is>
      </c>
      <c r="F945" t="inlineStr">
        <is>
          <t>Chaucer and Langland : historical and textual approaches / George Kane.</t>
        </is>
      </c>
      <c r="H945" t="inlineStr">
        <is>
          <t>No</t>
        </is>
      </c>
      <c r="I945" t="inlineStr">
        <is>
          <t>1</t>
        </is>
      </c>
      <c r="J945" t="inlineStr">
        <is>
          <t>No</t>
        </is>
      </c>
      <c r="K945" t="inlineStr">
        <is>
          <t>No</t>
        </is>
      </c>
      <c r="L945" t="inlineStr">
        <is>
          <t>0</t>
        </is>
      </c>
      <c r="M945" t="inlineStr">
        <is>
          <t>Kane, George.</t>
        </is>
      </c>
      <c r="N945" t="inlineStr">
        <is>
          <t>Berkeley : University of California Press, 1989.</t>
        </is>
      </c>
      <c r="O945" t="inlineStr">
        <is>
          <t>1989</t>
        </is>
      </c>
      <c r="Q945" t="inlineStr">
        <is>
          <t>eng</t>
        </is>
      </c>
      <c r="R945" t="inlineStr">
        <is>
          <t>enk</t>
        </is>
      </c>
      <c r="T945" t="inlineStr">
        <is>
          <t xml:space="preserve">PR </t>
        </is>
      </c>
      <c r="U945" t="n">
        <v>4</v>
      </c>
      <c r="V945" t="n">
        <v>4</v>
      </c>
      <c r="W945" t="inlineStr">
        <is>
          <t>2000-02-13</t>
        </is>
      </c>
      <c r="X945" t="inlineStr">
        <is>
          <t>2000-02-13</t>
        </is>
      </c>
      <c r="Y945" t="inlineStr">
        <is>
          <t>1991-08-28</t>
        </is>
      </c>
      <c r="Z945" t="inlineStr">
        <is>
          <t>1991-08-28</t>
        </is>
      </c>
      <c r="AA945" t="n">
        <v>436</v>
      </c>
      <c r="AB945" t="n">
        <v>382</v>
      </c>
      <c r="AC945" t="n">
        <v>474</v>
      </c>
      <c r="AD945" t="n">
        <v>2</v>
      </c>
      <c r="AE945" t="n">
        <v>2</v>
      </c>
      <c r="AF945" t="n">
        <v>23</v>
      </c>
      <c r="AG945" t="n">
        <v>26</v>
      </c>
      <c r="AH945" t="n">
        <v>10</v>
      </c>
      <c r="AI945" t="n">
        <v>11</v>
      </c>
      <c r="AJ945" t="n">
        <v>6</v>
      </c>
      <c r="AK945" t="n">
        <v>8</v>
      </c>
      <c r="AL945" t="n">
        <v>15</v>
      </c>
      <c r="AM945" t="n">
        <v>16</v>
      </c>
      <c r="AN945" t="n">
        <v>1</v>
      </c>
      <c r="AO945" t="n">
        <v>1</v>
      </c>
      <c r="AP945" t="n">
        <v>0</v>
      </c>
      <c r="AQ945" t="n">
        <v>0</v>
      </c>
      <c r="AR945" t="inlineStr">
        <is>
          <t>No</t>
        </is>
      </c>
      <c r="AS945" t="inlineStr">
        <is>
          <t>No</t>
        </is>
      </c>
      <c r="AU945">
        <f>HYPERLINK("https://creighton-primo.hosted.exlibrisgroup.com/primo-explore/search?tab=default_tab&amp;search_scope=EVERYTHING&amp;vid=01CRU&amp;lang=en_US&amp;offset=0&amp;query=any,contains,991001256079702656","Catalog Record")</f>
        <v/>
      </c>
      <c r="AV945">
        <f>HYPERLINK("http://www.worldcat.org/oclc/17731719","WorldCat Record")</f>
        <v/>
      </c>
      <c r="AW945" t="inlineStr">
        <is>
          <t>16738554:eng</t>
        </is>
      </c>
      <c r="AX945" t="inlineStr">
        <is>
          <t>17731719</t>
        </is>
      </c>
      <c r="AY945" t="inlineStr">
        <is>
          <t>991001256079702656</t>
        </is>
      </c>
      <c r="AZ945" t="inlineStr">
        <is>
          <t>991001256079702656</t>
        </is>
      </c>
      <c r="BA945" t="inlineStr">
        <is>
          <t>2271946780002656</t>
        </is>
      </c>
      <c r="BB945" t="inlineStr">
        <is>
          <t>BOOK</t>
        </is>
      </c>
      <c r="BD945" t="inlineStr">
        <is>
          <t>9780520063167</t>
        </is>
      </c>
      <c r="BE945" t="inlineStr">
        <is>
          <t>32285000730654</t>
        </is>
      </c>
      <c r="BF945" t="inlineStr">
        <is>
          <t>893684194</t>
        </is>
      </c>
    </row>
    <row r="946">
      <c r="A946" t="inlineStr">
        <is>
          <t>No</t>
        </is>
      </c>
      <c r="B946" t="inlineStr">
        <is>
          <t>CURAL</t>
        </is>
      </c>
      <c r="C946" t="inlineStr">
        <is>
          <t>SHELVES</t>
        </is>
      </c>
      <c r="D946" t="inlineStr">
        <is>
          <t>PR315 .S7</t>
        </is>
      </c>
      <c r="E946" t="inlineStr">
        <is>
          <t>0                      PR 0315000S  7</t>
        </is>
      </c>
      <c r="F946" t="inlineStr">
        <is>
          <t>The Gawain-poet; a critical study by A. C. Spearing.</t>
        </is>
      </c>
      <c r="H946" t="inlineStr">
        <is>
          <t>No</t>
        </is>
      </c>
      <c r="I946" t="inlineStr">
        <is>
          <t>1</t>
        </is>
      </c>
      <c r="J946" t="inlineStr">
        <is>
          <t>No</t>
        </is>
      </c>
      <c r="K946" t="inlineStr">
        <is>
          <t>No</t>
        </is>
      </c>
      <c r="L946" t="inlineStr">
        <is>
          <t>0</t>
        </is>
      </c>
      <c r="M946" t="inlineStr">
        <is>
          <t>Spearing, A. C.</t>
        </is>
      </c>
      <c r="N946" t="inlineStr">
        <is>
          <t>Cambridge [Eng.] University Press, 1970.</t>
        </is>
      </c>
      <c r="O946" t="inlineStr">
        <is>
          <t>1970</t>
        </is>
      </c>
      <c r="Q946" t="inlineStr">
        <is>
          <t>eng</t>
        </is>
      </c>
      <c r="R946" t="inlineStr">
        <is>
          <t>enk</t>
        </is>
      </c>
      <c r="T946" t="inlineStr">
        <is>
          <t xml:space="preserve">PR </t>
        </is>
      </c>
      <c r="U946" t="n">
        <v>2</v>
      </c>
      <c r="V946" t="n">
        <v>2</v>
      </c>
      <c r="W946" t="inlineStr">
        <is>
          <t>1998-12-18</t>
        </is>
      </c>
      <c r="X946" t="inlineStr">
        <is>
          <t>1998-12-18</t>
        </is>
      </c>
      <c r="Y946" t="inlineStr">
        <is>
          <t>1997-08-19</t>
        </is>
      </c>
      <c r="Z946" t="inlineStr">
        <is>
          <t>1997-08-19</t>
        </is>
      </c>
      <c r="AA946" t="n">
        <v>900</v>
      </c>
      <c r="AB946" t="n">
        <v>680</v>
      </c>
      <c r="AC946" t="n">
        <v>701</v>
      </c>
      <c r="AD946" t="n">
        <v>8</v>
      </c>
      <c r="AE946" t="n">
        <v>8</v>
      </c>
      <c r="AF946" t="n">
        <v>36</v>
      </c>
      <c r="AG946" t="n">
        <v>37</v>
      </c>
      <c r="AH946" t="n">
        <v>14</v>
      </c>
      <c r="AI946" t="n">
        <v>15</v>
      </c>
      <c r="AJ946" t="n">
        <v>7</v>
      </c>
      <c r="AK946" t="n">
        <v>7</v>
      </c>
      <c r="AL946" t="n">
        <v>18</v>
      </c>
      <c r="AM946" t="n">
        <v>19</v>
      </c>
      <c r="AN946" t="n">
        <v>7</v>
      </c>
      <c r="AO946" t="n">
        <v>7</v>
      </c>
      <c r="AP946" t="n">
        <v>0</v>
      </c>
      <c r="AQ946" t="n">
        <v>0</v>
      </c>
      <c r="AR946" t="inlineStr">
        <is>
          <t>No</t>
        </is>
      </c>
      <c r="AS946" t="inlineStr">
        <is>
          <t>No</t>
        </is>
      </c>
      <c r="AU946">
        <f>HYPERLINK("https://creighton-primo.hosted.exlibrisgroup.com/primo-explore/search?tab=default_tab&amp;search_scope=EVERYTHING&amp;vid=01CRU&amp;lang=en_US&amp;offset=0&amp;query=any,contains,991000718809702656","Catalog Record")</f>
        <v/>
      </c>
      <c r="AV946">
        <f>HYPERLINK("http://www.worldcat.org/oclc/125992","WorldCat Record")</f>
        <v/>
      </c>
      <c r="AW946" t="inlineStr">
        <is>
          <t>807292056:eng</t>
        </is>
      </c>
      <c r="AX946" t="inlineStr">
        <is>
          <t>125992</t>
        </is>
      </c>
      <c r="AY946" t="inlineStr">
        <is>
          <t>991000718809702656</t>
        </is>
      </c>
      <c r="AZ946" t="inlineStr">
        <is>
          <t>991000718809702656</t>
        </is>
      </c>
      <c r="BA946" t="inlineStr">
        <is>
          <t>2260223940002656</t>
        </is>
      </c>
      <c r="BB946" t="inlineStr">
        <is>
          <t>BOOK</t>
        </is>
      </c>
      <c r="BD946" t="inlineStr">
        <is>
          <t>9780521078511</t>
        </is>
      </c>
      <c r="BE946" t="inlineStr">
        <is>
          <t>32285003150926</t>
        </is>
      </c>
      <c r="BF946" t="inlineStr">
        <is>
          <t>893225240</t>
        </is>
      </c>
    </row>
    <row r="947">
      <c r="A947" t="inlineStr">
        <is>
          <t>No</t>
        </is>
      </c>
      <c r="B947" t="inlineStr">
        <is>
          <t>CURAL</t>
        </is>
      </c>
      <c r="C947" t="inlineStr">
        <is>
          <t>SHELVES</t>
        </is>
      </c>
      <c r="D947" t="inlineStr">
        <is>
          <t>PR317.B4 C8 1972</t>
        </is>
      </c>
      <c r="E947" t="inlineStr">
        <is>
          <t>0                      PR 0317000B  4                  C  8           1972</t>
        </is>
      </c>
      <c r="F947" t="inlineStr">
        <is>
          <t>The Middle English ideal of personal beauty : as found in the metrical romances, chronicles, and legends of the XIII, XIV, and XV centuries / Baltimore, J. H. Furst Co., 1916.</t>
        </is>
      </c>
      <c r="H947" t="inlineStr">
        <is>
          <t>No</t>
        </is>
      </c>
      <c r="I947" t="inlineStr">
        <is>
          <t>1</t>
        </is>
      </c>
      <c r="J947" t="inlineStr">
        <is>
          <t>No</t>
        </is>
      </c>
      <c r="K947" t="inlineStr">
        <is>
          <t>No</t>
        </is>
      </c>
      <c r="L947" t="inlineStr">
        <is>
          <t>0</t>
        </is>
      </c>
      <c r="M947" t="inlineStr">
        <is>
          <t>Curry, Walter Clyde, 1887-1967.</t>
        </is>
      </c>
      <c r="N947" t="inlineStr">
        <is>
          <t>[New York : AMS Press, 1972]</t>
        </is>
      </c>
      <c r="O947" t="inlineStr">
        <is>
          <t>1972</t>
        </is>
      </c>
      <c r="Q947" t="inlineStr">
        <is>
          <t>eng</t>
        </is>
      </c>
      <c r="R947" t="inlineStr">
        <is>
          <t>nyu</t>
        </is>
      </c>
      <c r="T947" t="inlineStr">
        <is>
          <t xml:space="preserve">PR </t>
        </is>
      </c>
      <c r="U947" t="n">
        <v>1</v>
      </c>
      <c r="V947" t="n">
        <v>1</v>
      </c>
      <c r="W947" t="inlineStr">
        <is>
          <t>2002-06-24</t>
        </is>
      </c>
      <c r="X947" t="inlineStr">
        <is>
          <t>2002-06-24</t>
        </is>
      </c>
      <c r="Y947" t="inlineStr">
        <is>
          <t>1991-08-28</t>
        </is>
      </c>
      <c r="Z947" t="inlineStr">
        <is>
          <t>1991-08-28</t>
        </is>
      </c>
      <c r="AA947" t="n">
        <v>147</v>
      </c>
      <c r="AB947" t="n">
        <v>124</v>
      </c>
      <c r="AC947" t="n">
        <v>254</v>
      </c>
      <c r="AD947" t="n">
        <v>1</v>
      </c>
      <c r="AE947" t="n">
        <v>2</v>
      </c>
      <c r="AF947" t="n">
        <v>5</v>
      </c>
      <c r="AG947" t="n">
        <v>8</v>
      </c>
      <c r="AH947" t="n">
        <v>1</v>
      </c>
      <c r="AI947" t="n">
        <v>1</v>
      </c>
      <c r="AJ947" t="n">
        <v>1</v>
      </c>
      <c r="AK947" t="n">
        <v>2</v>
      </c>
      <c r="AL947" t="n">
        <v>3</v>
      </c>
      <c r="AM947" t="n">
        <v>5</v>
      </c>
      <c r="AN947" t="n">
        <v>0</v>
      </c>
      <c r="AO947" t="n">
        <v>1</v>
      </c>
      <c r="AP947" t="n">
        <v>0</v>
      </c>
      <c r="AQ947" t="n">
        <v>0</v>
      </c>
      <c r="AR947" t="inlineStr">
        <is>
          <t>No</t>
        </is>
      </c>
      <c r="AS947" t="inlineStr">
        <is>
          <t>Yes</t>
        </is>
      </c>
      <c r="AT947">
        <f>HYPERLINK("http://catalog.hathitrust.org/Record/012360991","HathiTrust Record")</f>
        <v/>
      </c>
      <c r="AU947">
        <f>HYPERLINK("https://creighton-primo.hosted.exlibrisgroup.com/primo-explore/search?tab=default_tab&amp;search_scope=EVERYTHING&amp;vid=01CRU&amp;lang=en_US&amp;offset=0&amp;query=any,contains,991002003539702656","Catalog Record")</f>
        <v/>
      </c>
      <c r="AV947">
        <f>HYPERLINK("http://www.worldcat.org/oclc/257442","WorldCat Record")</f>
        <v/>
      </c>
      <c r="AW947" t="inlineStr">
        <is>
          <t>1358575:eng</t>
        </is>
      </c>
      <c r="AX947" t="inlineStr">
        <is>
          <t>257442</t>
        </is>
      </c>
      <c r="AY947" t="inlineStr">
        <is>
          <t>991002003539702656</t>
        </is>
      </c>
      <c r="AZ947" t="inlineStr">
        <is>
          <t>991002003539702656</t>
        </is>
      </c>
      <c r="BA947" t="inlineStr">
        <is>
          <t>2269921830002656</t>
        </is>
      </c>
      <c r="BB947" t="inlineStr">
        <is>
          <t>BOOK</t>
        </is>
      </c>
      <c r="BD947" t="inlineStr">
        <is>
          <t>9780404018863</t>
        </is>
      </c>
      <c r="BE947" t="inlineStr">
        <is>
          <t>32285000730688</t>
        </is>
      </c>
      <c r="BF947" t="inlineStr">
        <is>
          <t>893408579</t>
        </is>
      </c>
    </row>
    <row r="948">
      <c r="A948" t="inlineStr">
        <is>
          <t>No</t>
        </is>
      </c>
      <c r="B948" t="inlineStr">
        <is>
          <t>CURAL</t>
        </is>
      </c>
      <c r="C948" t="inlineStr">
        <is>
          <t>SHELVES</t>
        </is>
      </c>
      <c r="D948" t="inlineStr">
        <is>
          <t>PR317.C65 L4</t>
        </is>
      </c>
      <c r="E948" t="inlineStr">
        <is>
          <t>0                      PR 0317000C  65                 L  4</t>
        </is>
      </c>
      <c r="F948" t="inlineStr">
        <is>
          <t>Laughter in the courts of love : comedy in allegory, from Chaucer to Spenser / by Frances McNeely Leonard.</t>
        </is>
      </c>
      <c r="H948" t="inlineStr">
        <is>
          <t>No</t>
        </is>
      </c>
      <c r="I948" t="inlineStr">
        <is>
          <t>1</t>
        </is>
      </c>
      <c r="J948" t="inlineStr">
        <is>
          <t>No</t>
        </is>
      </c>
      <c r="K948" t="inlineStr">
        <is>
          <t>No</t>
        </is>
      </c>
      <c r="L948" t="inlineStr">
        <is>
          <t>0</t>
        </is>
      </c>
      <c r="M948" t="inlineStr">
        <is>
          <t>Leonard, Frances McNeely, 1936-</t>
        </is>
      </c>
      <c r="N948" t="inlineStr">
        <is>
          <t>Norman, Okla. : Pilgrim Books, c1981.</t>
        </is>
      </c>
      <c r="O948" t="inlineStr">
        <is>
          <t>1981</t>
        </is>
      </c>
      <c r="P948" t="inlineStr">
        <is>
          <t>1st ed.</t>
        </is>
      </c>
      <c r="Q948" t="inlineStr">
        <is>
          <t>eng</t>
        </is>
      </c>
      <c r="R948" t="inlineStr">
        <is>
          <t>oku</t>
        </is>
      </c>
      <c r="T948" t="inlineStr">
        <is>
          <t xml:space="preserve">PR </t>
        </is>
      </c>
      <c r="U948" t="n">
        <v>2</v>
      </c>
      <c r="V948" t="n">
        <v>2</v>
      </c>
      <c r="W948" t="inlineStr">
        <is>
          <t>1998-03-29</t>
        </is>
      </c>
      <c r="X948" t="inlineStr">
        <is>
          <t>1998-03-29</t>
        </is>
      </c>
      <c r="Y948" t="inlineStr">
        <is>
          <t>1991-08-28</t>
        </is>
      </c>
      <c r="Z948" t="inlineStr">
        <is>
          <t>1991-08-28</t>
        </is>
      </c>
      <c r="AA948" t="n">
        <v>595</v>
      </c>
      <c r="AB948" t="n">
        <v>489</v>
      </c>
      <c r="AC948" t="n">
        <v>506</v>
      </c>
      <c r="AD948" t="n">
        <v>4</v>
      </c>
      <c r="AE948" t="n">
        <v>4</v>
      </c>
      <c r="AF948" t="n">
        <v>29</v>
      </c>
      <c r="AG948" t="n">
        <v>30</v>
      </c>
      <c r="AH948" t="n">
        <v>10</v>
      </c>
      <c r="AI948" t="n">
        <v>11</v>
      </c>
      <c r="AJ948" t="n">
        <v>8</v>
      </c>
      <c r="AK948" t="n">
        <v>8</v>
      </c>
      <c r="AL948" t="n">
        <v>17</v>
      </c>
      <c r="AM948" t="n">
        <v>17</v>
      </c>
      <c r="AN948" t="n">
        <v>3</v>
      </c>
      <c r="AO948" t="n">
        <v>3</v>
      </c>
      <c r="AP948" t="n">
        <v>0</v>
      </c>
      <c r="AQ948" t="n">
        <v>0</v>
      </c>
      <c r="AR948" t="inlineStr">
        <is>
          <t>No</t>
        </is>
      </c>
      <c r="AS948" t="inlineStr">
        <is>
          <t>Yes</t>
        </is>
      </c>
      <c r="AT948">
        <f>HYPERLINK("http://catalog.hathitrust.org/Record/000261541","HathiTrust Record")</f>
        <v/>
      </c>
      <c r="AU948">
        <f>HYPERLINK("https://creighton-primo.hosted.exlibrisgroup.com/primo-explore/search?tab=default_tab&amp;search_scope=EVERYTHING&amp;vid=01CRU&amp;lang=en_US&amp;offset=0&amp;query=any,contains,991005132659702656","Catalog Record")</f>
        <v/>
      </c>
      <c r="AV948">
        <f>HYPERLINK("http://www.worldcat.org/oclc/7573684","WorldCat Record")</f>
        <v/>
      </c>
      <c r="AW948" t="inlineStr">
        <is>
          <t>365853162:eng</t>
        </is>
      </c>
      <c r="AX948" t="inlineStr">
        <is>
          <t>7573684</t>
        </is>
      </c>
      <c r="AY948" t="inlineStr">
        <is>
          <t>991005132659702656</t>
        </is>
      </c>
      <c r="AZ948" t="inlineStr">
        <is>
          <t>991005132659702656</t>
        </is>
      </c>
      <c r="BA948" t="inlineStr">
        <is>
          <t>2271557690002656</t>
        </is>
      </c>
      <c r="BB948" t="inlineStr">
        <is>
          <t>BOOK</t>
        </is>
      </c>
      <c r="BD948" t="inlineStr">
        <is>
          <t>9780937664544</t>
        </is>
      </c>
      <c r="BE948" t="inlineStr">
        <is>
          <t>32285000730696</t>
        </is>
      </c>
      <c r="BF948" t="inlineStr">
        <is>
          <t>893326215</t>
        </is>
      </c>
    </row>
    <row r="949">
      <c r="A949" t="inlineStr">
        <is>
          <t>No</t>
        </is>
      </c>
      <c r="B949" t="inlineStr">
        <is>
          <t>CURAL</t>
        </is>
      </c>
      <c r="C949" t="inlineStr">
        <is>
          <t>SHELVES</t>
        </is>
      </c>
      <c r="D949" t="inlineStr">
        <is>
          <t>PR317.D7 S6</t>
        </is>
      </c>
      <c r="E949" t="inlineStr">
        <is>
          <t>0                      PR 0317000D  7                  S  6</t>
        </is>
      </c>
      <c r="F949" t="inlineStr">
        <is>
          <t>Medieval dream-poetry / A. C. Spearing.</t>
        </is>
      </c>
      <c r="H949" t="inlineStr">
        <is>
          <t>No</t>
        </is>
      </c>
      <c r="I949" t="inlineStr">
        <is>
          <t>1</t>
        </is>
      </c>
      <c r="J949" t="inlineStr">
        <is>
          <t>No</t>
        </is>
      </c>
      <c r="K949" t="inlineStr">
        <is>
          <t>No</t>
        </is>
      </c>
      <c r="L949" t="inlineStr">
        <is>
          <t>0</t>
        </is>
      </c>
      <c r="M949" t="inlineStr">
        <is>
          <t>Spearing, A. C.</t>
        </is>
      </c>
      <c r="N949" t="inlineStr">
        <is>
          <t>Cambridge ; New York : Cambridge University Press, 1976.</t>
        </is>
      </c>
      <c r="O949" t="inlineStr">
        <is>
          <t>1976</t>
        </is>
      </c>
      <c r="Q949" t="inlineStr">
        <is>
          <t>eng</t>
        </is>
      </c>
      <c r="R949" t="inlineStr">
        <is>
          <t>enk</t>
        </is>
      </c>
      <c r="T949" t="inlineStr">
        <is>
          <t xml:space="preserve">PR </t>
        </is>
      </c>
      <c r="U949" t="n">
        <v>4</v>
      </c>
      <c r="V949" t="n">
        <v>4</v>
      </c>
      <c r="W949" t="inlineStr">
        <is>
          <t>2010-07-26</t>
        </is>
      </c>
      <c r="X949" t="inlineStr">
        <is>
          <t>2010-07-26</t>
        </is>
      </c>
      <c r="Y949" t="inlineStr">
        <is>
          <t>1991-08-28</t>
        </is>
      </c>
      <c r="Z949" t="inlineStr">
        <is>
          <t>1991-08-28</t>
        </is>
      </c>
      <c r="AA949" t="n">
        <v>778</v>
      </c>
      <c r="AB949" t="n">
        <v>572</v>
      </c>
      <c r="AC949" t="n">
        <v>578</v>
      </c>
      <c r="AD949" t="n">
        <v>5</v>
      </c>
      <c r="AE949" t="n">
        <v>5</v>
      </c>
      <c r="AF949" t="n">
        <v>34</v>
      </c>
      <c r="AG949" t="n">
        <v>34</v>
      </c>
      <c r="AH949" t="n">
        <v>15</v>
      </c>
      <c r="AI949" t="n">
        <v>15</v>
      </c>
      <c r="AJ949" t="n">
        <v>7</v>
      </c>
      <c r="AK949" t="n">
        <v>7</v>
      </c>
      <c r="AL949" t="n">
        <v>21</v>
      </c>
      <c r="AM949" t="n">
        <v>21</v>
      </c>
      <c r="AN949" t="n">
        <v>3</v>
      </c>
      <c r="AO949" t="n">
        <v>3</v>
      </c>
      <c r="AP949" t="n">
        <v>0</v>
      </c>
      <c r="AQ949" t="n">
        <v>0</v>
      </c>
      <c r="AR949" t="inlineStr">
        <is>
          <t>No</t>
        </is>
      </c>
      <c r="AS949" t="inlineStr">
        <is>
          <t>No</t>
        </is>
      </c>
      <c r="AU949">
        <f>HYPERLINK("https://creighton-primo.hosted.exlibrisgroup.com/primo-explore/search?tab=default_tab&amp;search_scope=EVERYTHING&amp;vid=01CRU&amp;lang=en_US&amp;offset=0&amp;query=any,contains,991004018659702656","Catalog Record")</f>
        <v/>
      </c>
      <c r="AV949">
        <f>HYPERLINK("http://www.worldcat.org/oclc/2118648","WorldCat Record")</f>
        <v/>
      </c>
      <c r="AW949" t="inlineStr">
        <is>
          <t>505851:eng</t>
        </is>
      </c>
      <c r="AX949" t="inlineStr">
        <is>
          <t>2118648</t>
        </is>
      </c>
      <c r="AY949" t="inlineStr">
        <is>
          <t>991004018659702656</t>
        </is>
      </c>
      <c r="AZ949" t="inlineStr">
        <is>
          <t>991004018659702656</t>
        </is>
      </c>
      <c r="BA949" t="inlineStr">
        <is>
          <t>2265333280002656</t>
        </is>
      </c>
      <c r="BB949" t="inlineStr">
        <is>
          <t>BOOK</t>
        </is>
      </c>
      <c r="BD949" t="inlineStr">
        <is>
          <t>9780521211949</t>
        </is>
      </c>
      <c r="BE949" t="inlineStr">
        <is>
          <t>32285000730712</t>
        </is>
      </c>
      <c r="BF949" t="inlineStr">
        <is>
          <t>893442080</t>
        </is>
      </c>
    </row>
    <row r="950">
      <c r="A950" t="inlineStr">
        <is>
          <t>No</t>
        </is>
      </c>
      <c r="B950" t="inlineStr">
        <is>
          <t>CURAL</t>
        </is>
      </c>
      <c r="C950" t="inlineStr">
        <is>
          <t>SHELVES</t>
        </is>
      </c>
      <c r="D950" t="inlineStr">
        <is>
          <t>PR317.M57 T67 1991</t>
        </is>
      </c>
      <c r="E950" t="inlineStr">
        <is>
          <t>0                      PR 0317000M  57                 T  67          1991</t>
        </is>
      </c>
      <c r="F950" t="inlineStr">
        <is>
          <t>The glass of form : mirroring structures from Chaucer to Skelton / Anna Torti.</t>
        </is>
      </c>
      <c r="H950" t="inlineStr">
        <is>
          <t>No</t>
        </is>
      </c>
      <c r="I950" t="inlineStr">
        <is>
          <t>1</t>
        </is>
      </c>
      <c r="J950" t="inlineStr">
        <is>
          <t>No</t>
        </is>
      </c>
      <c r="K950" t="inlineStr">
        <is>
          <t>No</t>
        </is>
      </c>
      <c r="L950" t="inlineStr">
        <is>
          <t>0</t>
        </is>
      </c>
      <c r="M950" t="inlineStr">
        <is>
          <t>Torti, Anna.</t>
        </is>
      </c>
      <c r="N950" t="inlineStr">
        <is>
          <t>Rochester, NY : D.S. Brewer, 1991.</t>
        </is>
      </c>
      <c r="O950" t="inlineStr">
        <is>
          <t>1991</t>
        </is>
      </c>
      <c r="Q950" t="inlineStr">
        <is>
          <t>eng</t>
        </is>
      </c>
      <c r="R950" t="inlineStr">
        <is>
          <t>nyu</t>
        </is>
      </c>
      <c r="T950" t="inlineStr">
        <is>
          <t xml:space="preserve">PR </t>
        </is>
      </c>
      <c r="U950" t="n">
        <v>3</v>
      </c>
      <c r="V950" t="n">
        <v>3</v>
      </c>
      <c r="W950" t="inlineStr">
        <is>
          <t>2010-07-26</t>
        </is>
      </c>
      <c r="X950" t="inlineStr">
        <is>
          <t>2010-07-26</t>
        </is>
      </c>
      <c r="Y950" t="inlineStr">
        <is>
          <t>1991-12-30</t>
        </is>
      </c>
      <c r="Z950" t="inlineStr">
        <is>
          <t>1991-12-30</t>
        </is>
      </c>
      <c r="AA950" t="n">
        <v>214</v>
      </c>
      <c r="AB950" t="n">
        <v>145</v>
      </c>
      <c r="AC950" t="n">
        <v>149</v>
      </c>
      <c r="AD950" t="n">
        <v>1</v>
      </c>
      <c r="AE950" t="n">
        <v>1</v>
      </c>
      <c r="AF950" t="n">
        <v>5</v>
      </c>
      <c r="AG950" t="n">
        <v>5</v>
      </c>
      <c r="AH950" t="n">
        <v>1</v>
      </c>
      <c r="AI950" t="n">
        <v>1</v>
      </c>
      <c r="AJ950" t="n">
        <v>2</v>
      </c>
      <c r="AK950" t="n">
        <v>2</v>
      </c>
      <c r="AL950" t="n">
        <v>4</v>
      </c>
      <c r="AM950" t="n">
        <v>4</v>
      </c>
      <c r="AN950" t="n">
        <v>0</v>
      </c>
      <c r="AO950" t="n">
        <v>0</v>
      </c>
      <c r="AP950" t="n">
        <v>0</v>
      </c>
      <c r="AQ950" t="n">
        <v>0</v>
      </c>
      <c r="AR950" t="inlineStr">
        <is>
          <t>No</t>
        </is>
      </c>
      <c r="AS950" t="inlineStr">
        <is>
          <t>No</t>
        </is>
      </c>
      <c r="AU950">
        <f>HYPERLINK("https://creighton-primo.hosted.exlibrisgroup.com/primo-explore/search?tab=default_tab&amp;search_scope=EVERYTHING&amp;vid=01CRU&amp;lang=en_US&amp;offset=0&amp;query=any,contains,991001820379702656","Catalog Record")</f>
        <v/>
      </c>
      <c r="AV950">
        <f>HYPERLINK("http://www.worldcat.org/oclc/22888809","WorldCat Record")</f>
        <v/>
      </c>
      <c r="AW950" t="inlineStr">
        <is>
          <t>21072375:eng</t>
        </is>
      </c>
      <c r="AX950" t="inlineStr">
        <is>
          <t>22888809</t>
        </is>
      </c>
      <c r="AY950" t="inlineStr">
        <is>
          <t>991001820379702656</t>
        </is>
      </c>
      <c r="AZ950" t="inlineStr">
        <is>
          <t>991001820379702656</t>
        </is>
      </c>
      <c r="BA950" t="inlineStr">
        <is>
          <t>2268116580002656</t>
        </is>
      </c>
      <c r="BB950" t="inlineStr">
        <is>
          <t>BOOK</t>
        </is>
      </c>
      <c r="BD950" t="inlineStr">
        <is>
          <t>9780859913133</t>
        </is>
      </c>
      <c r="BE950" t="inlineStr">
        <is>
          <t>32285000862564</t>
        </is>
      </c>
      <c r="BF950" t="inlineStr">
        <is>
          <t>893779108</t>
        </is>
      </c>
    </row>
    <row r="951">
      <c r="A951" t="inlineStr">
        <is>
          <t>No</t>
        </is>
      </c>
      <c r="B951" t="inlineStr">
        <is>
          <t>CURAL</t>
        </is>
      </c>
      <c r="C951" t="inlineStr">
        <is>
          <t>SHELVES</t>
        </is>
      </c>
      <c r="D951" t="inlineStr">
        <is>
          <t>PR317.N28 B613 1982</t>
        </is>
      </c>
      <c r="E951" t="inlineStr">
        <is>
          <t>0                      PR 0317000N  28                 B  613         1982</t>
        </is>
      </c>
      <c r="F951" t="inlineStr">
        <is>
          <t>English medieval narrative in the thirteenth and fourteenth centuries / Piero Boitani ; translated by Joan Krakover Hall.</t>
        </is>
      </c>
      <c r="H951" t="inlineStr">
        <is>
          <t>No</t>
        </is>
      </c>
      <c r="I951" t="inlineStr">
        <is>
          <t>1</t>
        </is>
      </c>
      <c r="J951" t="inlineStr">
        <is>
          <t>No</t>
        </is>
      </c>
      <c r="K951" t="inlineStr">
        <is>
          <t>No</t>
        </is>
      </c>
      <c r="L951" t="inlineStr">
        <is>
          <t>0</t>
        </is>
      </c>
      <c r="M951" t="inlineStr">
        <is>
          <t>Boitani, Piero.</t>
        </is>
      </c>
      <c r="N951" t="inlineStr">
        <is>
          <t>Cambridge ; New York : Cambridge University Press, 1982.</t>
        </is>
      </c>
      <c r="O951" t="inlineStr">
        <is>
          <t>1982</t>
        </is>
      </c>
      <c r="Q951" t="inlineStr">
        <is>
          <t>eng</t>
        </is>
      </c>
      <c r="R951" t="inlineStr">
        <is>
          <t>enk</t>
        </is>
      </c>
      <c r="T951" t="inlineStr">
        <is>
          <t xml:space="preserve">PR </t>
        </is>
      </c>
      <c r="U951" t="n">
        <v>3</v>
      </c>
      <c r="V951" t="n">
        <v>3</v>
      </c>
      <c r="W951" t="inlineStr">
        <is>
          <t>1998-03-16</t>
        </is>
      </c>
      <c r="X951" t="inlineStr">
        <is>
          <t>1998-03-16</t>
        </is>
      </c>
      <c r="Y951" t="inlineStr">
        <is>
          <t>1991-08-28</t>
        </is>
      </c>
      <c r="Z951" t="inlineStr">
        <is>
          <t>1991-08-28</t>
        </is>
      </c>
      <c r="AA951" t="n">
        <v>547</v>
      </c>
      <c r="AB951" t="n">
        <v>393</v>
      </c>
      <c r="AC951" t="n">
        <v>445</v>
      </c>
      <c r="AD951" t="n">
        <v>3</v>
      </c>
      <c r="AE951" t="n">
        <v>3</v>
      </c>
      <c r="AF951" t="n">
        <v>22</v>
      </c>
      <c r="AG951" t="n">
        <v>25</v>
      </c>
      <c r="AH951" t="n">
        <v>7</v>
      </c>
      <c r="AI951" t="n">
        <v>8</v>
      </c>
      <c r="AJ951" t="n">
        <v>7</v>
      </c>
      <c r="AK951" t="n">
        <v>7</v>
      </c>
      <c r="AL951" t="n">
        <v>12</v>
      </c>
      <c r="AM951" t="n">
        <v>14</v>
      </c>
      <c r="AN951" t="n">
        <v>2</v>
      </c>
      <c r="AO951" t="n">
        <v>2</v>
      </c>
      <c r="AP951" t="n">
        <v>0</v>
      </c>
      <c r="AQ951" t="n">
        <v>0</v>
      </c>
      <c r="AR951" t="inlineStr">
        <is>
          <t>No</t>
        </is>
      </c>
      <c r="AS951" t="inlineStr">
        <is>
          <t>No</t>
        </is>
      </c>
      <c r="AU951">
        <f>HYPERLINK("https://creighton-primo.hosted.exlibrisgroup.com/primo-explore/search?tab=default_tab&amp;search_scope=EVERYTHING&amp;vid=01CRU&amp;lang=en_US&amp;offset=0&amp;query=any,contains,991005176939702656","Catalog Record")</f>
        <v/>
      </c>
      <c r="AV951">
        <f>HYPERLINK("http://www.worldcat.org/oclc/7924261","WorldCat Record")</f>
        <v/>
      </c>
      <c r="AW951" t="inlineStr">
        <is>
          <t>5784149:eng</t>
        </is>
      </c>
      <c r="AX951" t="inlineStr">
        <is>
          <t>7924261</t>
        </is>
      </c>
      <c r="AY951" t="inlineStr">
        <is>
          <t>991005176939702656</t>
        </is>
      </c>
      <c r="AZ951" t="inlineStr">
        <is>
          <t>991005176939702656</t>
        </is>
      </c>
      <c r="BA951" t="inlineStr">
        <is>
          <t>2269304040002656</t>
        </is>
      </c>
      <c r="BB951" t="inlineStr">
        <is>
          <t>BOOK</t>
        </is>
      </c>
      <c r="BD951" t="inlineStr">
        <is>
          <t>9780521235624</t>
        </is>
      </c>
      <c r="BE951" t="inlineStr">
        <is>
          <t>32285000730720</t>
        </is>
      </c>
      <c r="BF951" t="inlineStr">
        <is>
          <t>893236415</t>
        </is>
      </c>
    </row>
    <row r="952">
      <c r="A952" t="inlineStr">
        <is>
          <t>No</t>
        </is>
      </c>
      <c r="B952" t="inlineStr">
        <is>
          <t>CURAL</t>
        </is>
      </c>
      <c r="C952" t="inlineStr">
        <is>
          <t>SHELVES</t>
        </is>
      </c>
      <c r="D952" t="inlineStr">
        <is>
          <t>PR317.N28 M67 1993</t>
        </is>
      </c>
      <c r="E952" t="inlineStr">
        <is>
          <t>0                      PR 0317000N  28                 M  67          1993</t>
        </is>
      </c>
      <c r="F952" t="inlineStr">
        <is>
          <t>Medieval balladry and the courtly tradition : literature of revolt and assimulation / Gwendolyn A. Morgan.</t>
        </is>
      </c>
      <c r="H952" t="inlineStr">
        <is>
          <t>No</t>
        </is>
      </c>
      <c r="I952" t="inlineStr">
        <is>
          <t>1</t>
        </is>
      </c>
      <c r="J952" t="inlineStr">
        <is>
          <t>No</t>
        </is>
      </c>
      <c r="K952" t="inlineStr">
        <is>
          <t>No</t>
        </is>
      </c>
      <c r="L952" t="inlineStr">
        <is>
          <t>0</t>
        </is>
      </c>
      <c r="M952" t="inlineStr">
        <is>
          <t>Morgan, Gwendolyn A., 1956-</t>
        </is>
      </c>
      <c r="N952" t="inlineStr">
        <is>
          <t>New York : P. Lang, 1993.</t>
        </is>
      </c>
      <c r="O952" t="inlineStr">
        <is>
          <t>1993</t>
        </is>
      </c>
      <c r="Q952" t="inlineStr">
        <is>
          <t>eng</t>
        </is>
      </c>
      <c r="R952" t="inlineStr">
        <is>
          <t>nyu</t>
        </is>
      </c>
      <c r="S952" t="inlineStr">
        <is>
          <t>American university studies. Series IV, English language and literature ; v. 160</t>
        </is>
      </c>
      <c r="T952" t="inlineStr">
        <is>
          <t xml:space="preserve">PR </t>
        </is>
      </c>
      <c r="U952" t="n">
        <v>7</v>
      </c>
      <c r="V952" t="n">
        <v>7</v>
      </c>
      <c r="W952" t="inlineStr">
        <is>
          <t>2007-11-27</t>
        </is>
      </c>
      <c r="X952" t="inlineStr">
        <is>
          <t>2007-11-27</t>
        </is>
      </c>
      <c r="Y952" t="inlineStr">
        <is>
          <t>1996-01-02</t>
        </is>
      </c>
      <c r="Z952" t="inlineStr">
        <is>
          <t>1996-01-02</t>
        </is>
      </c>
      <c r="AA952" t="n">
        <v>190</v>
      </c>
      <c r="AB952" t="n">
        <v>142</v>
      </c>
      <c r="AC952" t="n">
        <v>142</v>
      </c>
      <c r="AD952" t="n">
        <v>1</v>
      </c>
      <c r="AE952" t="n">
        <v>1</v>
      </c>
      <c r="AF952" t="n">
        <v>10</v>
      </c>
      <c r="AG952" t="n">
        <v>10</v>
      </c>
      <c r="AH952" t="n">
        <v>4</v>
      </c>
      <c r="AI952" t="n">
        <v>4</v>
      </c>
      <c r="AJ952" t="n">
        <v>3</v>
      </c>
      <c r="AK952" t="n">
        <v>3</v>
      </c>
      <c r="AL952" t="n">
        <v>5</v>
      </c>
      <c r="AM952" t="n">
        <v>5</v>
      </c>
      <c r="AN952" t="n">
        <v>0</v>
      </c>
      <c r="AO952" t="n">
        <v>0</v>
      </c>
      <c r="AP952" t="n">
        <v>0</v>
      </c>
      <c r="AQ952" t="n">
        <v>0</v>
      </c>
      <c r="AR952" t="inlineStr">
        <is>
          <t>No</t>
        </is>
      </c>
      <c r="AS952" t="inlineStr">
        <is>
          <t>No</t>
        </is>
      </c>
      <c r="AU952">
        <f>HYPERLINK("https://creighton-primo.hosted.exlibrisgroup.com/primo-explore/search?tab=default_tab&amp;search_scope=EVERYTHING&amp;vid=01CRU&amp;lang=en_US&amp;offset=0&amp;query=any,contains,991002058599702656","Catalog Record")</f>
        <v/>
      </c>
      <c r="AV952">
        <f>HYPERLINK("http://www.worldcat.org/oclc/26351501","WorldCat Record")</f>
        <v/>
      </c>
      <c r="AW952" t="inlineStr">
        <is>
          <t>28587526:eng</t>
        </is>
      </c>
      <c r="AX952" t="inlineStr">
        <is>
          <t>26351501</t>
        </is>
      </c>
      <c r="AY952" t="inlineStr">
        <is>
          <t>991002058599702656</t>
        </is>
      </c>
      <c r="AZ952" t="inlineStr">
        <is>
          <t>991002058599702656</t>
        </is>
      </c>
      <c r="BA952" t="inlineStr">
        <is>
          <t>2264629230002656</t>
        </is>
      </c>
      <c r="BB952" t="inlineStr">
        <is>
          <t>BOOK</t>
        </is>
      </c>
      <c r="BD952" t="inlineStr">
        <is>
          <t>9780820420424</t>
        </is>
      </c>
      <c r="BE952" t="inlineStr">
        <is>
          <t>32285002113636</t>
        </is>
      </c>
      <c r="BF952" t="inlineStr">
        <is>
          <t>893791989</t>
        </is>
      </c>
    </row>
    <row r="953">
      <c r="A953" t="inlineStr">
        <is>
          <t>No</t>
        </is>
      </c>
      <c r="B953" t="inlineStr">
        <is>
          <t>CURAL</t>
        </is>
      </c>
      <c r="C953" t="inlineStr">
        <is>
          <t>SHELVES</t>
        </is>
      </c>
      <c r="D953" t="inlineStr">
        <is>
          <t>PR317.O72 A47 2004</t>
        </is>
      </c>
      <c r="E953" t="inlineStr">
        <is>
          <t>0                      PR 0317000O  72                 A  47          2004</t>
        </is>
      </c>
      <c r="F953" t="inlineStr">
        <is>
          <t>Writing the oral tradition : oral poetics and literate culture in medieval England / Mark C. Amodio.</t>
        </is>
      </c>
      <c r="H953" t="inlineStr">
        <is>
          <t>No</t>
        </is>
      </c>
      <c r="I953" t="inlineStr">
        <is>
          <t>1</t>
        </is>
      </c>
      <c r="J953" t="inlineStr">
        <is>
          <t>No</t>
        </is>
      </c>
      <c r="K953" t="inlineStr">
        <is>
          <t>No</t>
        </is>
      </c>
      <c r="L953" t="inlineStr">
        <is>
          <t>0</t>
        </is>
      </c>
      <c r="M953" t="inlineStr">
        <is>
          <t>Amodio, Mark.</t>
        </is>
      </c>
      <c r="N953" t="inlineStr">
        <is>
          <t>Notre Dame, Ind. : University of Notre Dame Press, c2004.</t>
        </is>
      </c>
      <c r="O953" t="inlineStr">
        <is>
          <t>2004</t>
        </is>
      </c>
      <c r="Q953" t="inlineStr">
        <is>
          <t>eng</t>
        </is>
      </c>
      <c r="R953" t="inlineStr">
        <is>
          <t>inu</t>
        </is>
      </c>
      <c r="S953" t="inlineStr">
        <is>
          <t>Poetics of orality and literacy</t>
        </is>
      </c>
      <c r="T953" t="inlineStr">
        <is>
          <t xml:space="preserve">PR </t>
        </is>
      </c>
      <c r="U953" t="n">
        <v>1</v>
      </c>
      <c r="V953" t="n">
        <v>1</v>
      </c>
      <c r="W953" t="inlineStr">
        <is>
          <t>2006-07-20</t>
        </is>
      </c>
      <c r="X953" t="inlineStr">
        <is>
          <t>2006-07-20</t>
        </is>
      </c>
      <c r="Y953" t="inlineStr">
        <is>
          <t>2006-07-20</t>
        </is>
      </c>
      <c r="Z953" t="inlineStr">
        <is>
          <t>2006-07-20</t>
        </is>
      </c>
      <c r="AA953" t="n">
        <v>535</v>
      </c>
      <c r="AB953" t="n">
        <v>453</v>
      </c>
      <c r="AC953" t="n">
        <v>455</v>
      </c>
      <c r="AD953" t="n">
        <v>4</v>
      </c>
      <c r="AE953" t="n">
        <v>4</v>
      </c>
      <c r="AF953" t="n">
        <v>27</v>
      </c>
      <c r="AG953" t="n">
        <v>27</v>
      </c>
      <c r="AH953" t="n">
        <v>13</v>
      </c>
      <c r="AI953" t="n">
        <v>13</v>
      </c>
      <c r="AJ953" t="n">
        <v>5</v>
      </c>
      <c r="AK953" t="n">
        <v>5</v>
      </c>
      <c r="AL953" t="n">
        <v>14</v>
      </c>
      <c r="AM953" t="n">
        <v>14</v>
      </c>
      <c r="AN953" t="n">
        <v>3</v>
      </c>
      <c r="AO953" t="n">
        <v>3</v>
      </c>
      <c r="AP953" t="n">
        <v>0</v>
      </c>
      <c r="AQ953" t="n">
        <v>0</v>
      </c>
      <c r="AR953" t="inlineStr">
        <is>
          <t>No</t>
        </is>
      </c>
      <c r="AS953" t="inlineStr">
        <is>
          <t>Yes</t>
        </is>
      </c>
      <c r="AT953">
        <f>HYPERLINK("http://catalog.hathitrust.org/Record/004950478","HathiTrust Record")</f>
        <v/>
      </c>
      <c r="AU953">
        <f>HYPERLINK("https://creighton-primo.hosted.exlibrisgroup.com/primo-explore/search?tab=default_tab&amp;search_scope=EVERYTHING&amp;vid=01CRU&amp;lang=en_US&amp;offset=0&amp;query=any,contains,991004855279702656","Catalog Record")</f>
        <v/>
      </c>
      <c r="AV953">
        <f>HYPERLINK("http://www.worldcat.org/oclc/56652451","WorldCat Record")</f>
        <v/>
      </c>
      <c r="AW953" t="inlineStr">
        <is>
          <t>784454453:eng</t>
        </is>
      </c>
      <c r="AX953" t="inlineStr">
        <is>
          <t>56652451</t>
        </is>
      </c>
      <c r="AY953" t="inlineStr">
        <is>
          <t>991004855279702656</t>
        </is>
      </c>
      <c r="AZ953" t="inlineStr">
        <is>
          <t>991004855279702656</t>
        </is>
      </c>
      <c r="BA953" t="inlineStr">
        <is>
          <t>2255909160002656</t>
        </is>
      </c>
      <c r="BB953" t="inlineStr">
        <is>
          <t>BOOK</t>
        </is>
      </c>
      <c r="BD953" t="inlineStr">
        <is>
          <t>9780268020231</t>
        </is>
      </c>
      <c r="BE953" t="inlineStr">
        <is>
          <t>32285005196166</t>
        </is>
      </c>
      <c r="BF953" t="inlineStr">
        <is>
          <t>893263479</t>
        </is>
      </c>
    </row>
    <row r="954">
      <c r="A954" t="inlineStr">
        <is>
          <t>No</t>
        </is>
      </c>
      <c r="B954" t="inlineStr">
        <is>
          <t>CURAL</t>
        </is>
      </c>
      <c r="C954" t="inlineStr">
        <is>
          <t>SHELVES</t>
        </is>
      </c>
      <c r="D954" t="inlineStr">
        <is>
          <t>PR317.P73 W46 1986</t>
        </is>
      </c>
      <c r="E954" t="inlineStr">
        <is>
          <t>0                      PR 0317000P  73                 W  46          1986</t>
        </is>
      </c>
      <c r="F954" t="inlineStr">
        <is>
          <t>Preachers, poets, and the early English lyric / Siegfried Wenzel.</t>
        </is>
      </c>
      <c r="H954" t="inlineStr">
        <is>
          <t>No</t>
        </is>
      </c>
      <c r="I954" t="inlineStr">
        <is>
          <t>1</t>
        </is>
      </c>
      <c r="J954" t="inlineStr">
        <is>
          <t>No</t>
        </is>
      </c>
      <c r="K954" t="inlineStr">
        <is>
          <t>No</t>
        </is>
      </c>
      <c r="L954" t="inlineStr">
        <is>
          <t>0</t>
        </is>
      </c>
      <c r="M954" t="inlineStr">
        <is>
          <t>Wenzel, Siegfried.</t>
        </is>
      </c>
      <c r="N954" t="inlineStr">
        <is>
          <t>Princeton, N.J. : Princeton University Press, c1986.</t>
        </is>
      </c>
      <c r="O954" t="inlineStr">
        <is>
          <t>1986</t>
        </is>
      </c>
      <c r="Q954" t="inlineStr">
        <is>
          <t>eng</t>
        </is>
      </c>
      <c r="R954" t="inlineStr">
        <is>
          <t>nju</t>
        </is>
      </c>
      <c r="T954" t="inlineStr">
        <is>
          <t xml:space="preserve">PR </t>
        </is>
      </c>
      <c r="U954" t="n">
        <v>4</v>
      </c>
      <c r="V954" t="n">
        <v>4</v>
      </c>
      <c r="W954" t="inlineStr">
        <is>
          <t>2002-02-22</t>
        </is>
      </c>
      <c r="X954" t="inlineStr">
        <is>
          <t>2002-02-22</t>
        </is>
      </c>
      <c r="Y954" t="inlineStr">
        <is>
          <t>1991-08-28</t>
        </is>
      </c>
      <c r="Z954" t="inlineStr">
        <is>
          <t>1991-08-28</t>
        </is>
      </c>
      <c r="AA954" t="n">
        <v>485</v>
      </c>
      <c r="AB954" t="n">
        <v>365</v>
      </c>
      <c r="AC954" t="n">
        <v>592</v>
      </c>
      <c r="AD954" t="n">
        <v>3</v>
      </c>
      <c r="AE954" t="n">
        <v>5</v>
      </c>
      <c r="AF954" t="n">
        <v>23</v>
      </c>
      <c r="AG954" t="n">
        <v>31</v>
      </c>
      <c r="AH954" t="n">
        <v>9</v>
      </c>
      <c r="AI954" t="n">
        <v>14</v>
      </c>
      <c r="AJ954" t="n">
        <v>3</v>
      </c>
      <c r="AK954" t="n">
        <v>6</v>
      </c>
      <c r="AL954" t="n">
        <v>15</v>
      </c>
      <c r="AM954" t="n">
        <v>16</v>
      </c>
      <c r="AN954" t="n">
        <v>2</v>
      </c>
      <c r="AO954" t="n">
        <v>3</v>
      </c>
      <c r="AP954" t="n">
        <v>0</v>
      </c>
      <c r="AQ954" t="n">
        <v>0</v>
      </c>
      <c r="AR954" t="inlineStr">
        <is>
          <t>No</t>
        </is>
      </c>
      <c r="AS954" t="inlineStr">
        <is>
          <t>No</t>
        </is>
      </c>
      <c r="AU954">
        <f>HYPERLINK("https://creighton-primo.hosted.exlibrisgroup.com/primo-explore/search?tab=default_tab&amp;search_scope=EVERYTHING&amp;vid=01CRU&amp;lang=en_US&amp;offset=0&amp;query=any,contains,991000822449702656","Catalog Record")</f>
        <v/>
      </c>
      <c r="AV954">
        <f>HYPERLINK("http://www.worldcat.org/oclc/13396031","WorldCat Record")</f>
        <v/>
      </c>
      <c r="AW954" t="inlineStr">
        <is>
          <t>117978581:eng</t>
        </is>
      </c>
      <c r="AX954" t="inlineStr">
        <is>
          <t>13396031</t>
        </is>
      </c>
      <c r="AY954" t="inlineStr">
        <is>
          <t>991000822449702656</t>
        </is>
      </c>
      <c r="AZ954" t="inlineStr">
        <is>
          <t>991000822449702656</t>
        </is>
      </c>
      <c r="BA954" t="inlineStr">
        <is>
          <t>2263325650002656</t>
        </is>
      </c>
      <c r="BB954" t="inlineStr">
        <is>
          <t>BOOK</t>
        </is>
      </c>
      <c r="BD954" t="inlineStr">
        <is>
          <t>9780691066707</t>
        </is>
      </c>
      <c r="BE954" t="inlineStr">
        <is>
          <t>32285000730746</t>
        </is>
      </c>
      <c r="BF954" t="inlineStr">
        <is>
          <t>893708754</t>
        </is>
      </c>
    </row>
    <row r="955">
      <c r="A955" t="inlineStr">
        <is>
          <t>No</t>
        </is>
      </c>
      <c r="B955" t="inlineStr">
        <is>
          <t>CURAL</t>
        </is>
      </c>
      <c r="C955" t="inlineStr">
        <is>
          <t>SHELVES</t>
        </is>
      </c>
      <c r="D955" t="inlineStr">
        <is>
          <t>PR3184.D83 B6</t>
        </is>
      </c>
      <c r="E955" t="inlineStr">
        <is>
          <t>0                      PR 3184000D  83                 B  6</t>
        </is>
      </c>
      <c r="F955" t="inlineStr">
        <is>
          <t>The Duchess of Malfi : sources, themes, characters.</t>
        </is>
      </c>
      <c r="H955" t="inlineStr">
        <is>
          <t>No</t>
        </is>
      </c>
      <c r="I955" t="inlineStr">
        <is>
          <t>1</t>
        </is>
      </c>
      <c r="J955" t="inlineStr">
        <is>
          <t>No</t>
        </is>
      </c>
      <c r="K955" t="inlineStr">
        <is>
          <t>No</t>
        </is>
      </c>
      <c r="L955" t="inlineStr">
        <is>
          <t>0</t>
        </is>
      </c>
      <c r="M955" t="inlineStr">
        <is>
          <t>Boklund, Gunnar.</t>
        </is>
      </c>
      <c r="N955" t="inlineStr">
        <is>
          <t>Cambridge : Harvard University Press, 1962.</t>
        </is>
      </c>
      <c r="O955" t="inlineStr">
        <is>
          <t>1962</t>
        </is>
      </c>
      <c r="Q955" t="inlineStr">
        <is>
          <t>eng</t>
        </is>
      </c>
      <c r="R955" t="inlineStr">
        <is>
          <t>mau</t>
        </is>
      </c>
      <c r="T955" t="inlineStr">
        <is>
          <t xml:space="preserve">PR </t>
        </is>
      </c>
      <c r="U955" t="n">
        <v>1</v>
      </c>
      <c r="V955" t="n">
        <v>1</v>
      </c>
      <c r="W955" t="inlineStr">
        <is>
          <t>1992-12-15</t>
        </is>
      </c>
      <c r="X955" t="inlineStr">
        <is>
          <t>1992-12-15</t>
        </is>
      </c>
      <c r="Y955" t="inlineStr">
        <is>
          <t>1992-12-15</t>
        </is>
      </c>
      <c r="Z955" t="inlineStr">
        <is>
          <t>1992-12-15</t>
        </is>
      </c>
      <c r="AA955" t="n">
        <v>640</v>
      </c>
      <c r="AB955" t="n">
        <v>520</v>
      </c>
      <c r="AC955" t="n">
        <v>531</v>
      </c>
      <c r="AD955" t="n">
        <v>5</v>
      </c>
      <c r="AE955" t="n">
        <v>5</v>
      </c>
      <c r="AF955" t="n">
        <v>30</v>
      </c>
      <c r="AG955" t="n">
        <v>31</v>
      </c>
      <c r="AH955" t="n">
        <v>15</v>
      </c>
      <c r="AI955" t="n">
        <v>16</v>
      </c>
      <c r="AJ955" t="n">
        <v>4</v>
      </c>
      <c r="AK955" t="n">
        <v>4</v>
      </c>
      <c r="AL955" t="n">
        <v>14</v>
      </c>
      <c r="AM955" t="n">
        <v>14</v>
      </c>
      <c r="AN955" t="n">
        <v>4</v>
      </c>
      <c r="AO955" t="n">
        <v>4</v>
      </c>
      <c r="AP955" t="n">
        <v>0</v>
      </c>
      <c r="AQ955" t="n">
        <v>0</v>
      </c>
      <c r="AR955" t="inlineStr">
        <is>
          <t>No</t>
        </is>
      </c>
      <c r="AS955" t="inlineStr">
        <is>
          <t>Yes</t>
        </is>
      </c>
      <c r="AT955">
        <f>HYPERLINK("http://catalog.hathitrust.org/Record/001909393","HathiTrust Record")</f>
        <v/>
      </c>
      <c r="AU955">
        <f>HYPERLINK("https://creighton-primo.hosted.exlibrisgroup.com/primo-explore/search?tab=default_tab&amp;search_scope=EVERYTHING&amp;vid=01CRU&amp;lang=en_US&amp;offset=0&amp;query=any,contains,991001177549702656","Catalog Record")</f>
        <v/>
      </c>
      <c r="AV955">
        <f>HYPERLINK("http://www.worldcat.org/oclc/189015","WorldCat Record")</f>
        <v/>
      </c>
      <c r="AW955" t="inlineStr">
        <is>
          <t>4924863142:eng</t>
        </is>
      </c>
      <c r="AX955" t="inlineStr">
        <is>
          <t>189015</t>
        </is>
      </c>
      <c r="AY955" t="inlineStr">
        <is>
          <t>991001177549702656</t>
        </is>
      </c>
      <c r="AZ955" t="inlineStr">
        <is>
          <t>991001177549702656</t>
        </is>
      </c>
      <c r="BA955" t="inlineStr">
        <is>
          <t>2268055480002656</t>
        </is>
      </c>
      <c r="BB955" t="inlineStr">
        <is>
          <t>BOOK</t>
        </is>
      </c>
      <c r="BE955" t="inlineStr">
        <is>
          <t>32285001403640</t>
        </is>
      </c>
      <c r="BF955" t="inlineStr">
        <is>
          <t>893261754</t>
        </is>
      </c>
    </row>
    <row r="956">
      <c r="A956" t="inlineStr">
        <is>
          <t>No</t>
        </is>
      </c>
      <c r="B956" t="inlineStr">
        <is>
          <t>CURAL</t>
        </is>
      </c>
      <c r="C956" t="inlineStr">
        <is>
          <t>SHELVES</t>
        </is>
      </c>
      <c r="D956" t="inlineStr">
        <is>
          <t>PR3184.D83 R3</t>
        </is>
      </c>
      <c r="E956" t="inlineStr">
        <is>
          <t>0                      PR 3184000D  83                 R  3</t>
        </is>
      </c>
      <c r="F956" t="inlineStr">
        <is>
          <t>Twentieth century interpretations of The Duchess of Malfi : a collection of critical essays.</t>
        </is>
      </c>
      <c r="H956" t="inlineStr">
        <is>
          <t>No</t>
        </is>
      </c>
      <c r="I956" t="inlineStr">
        <is>
          <t>1</t>
        </is>
      </c>
      <c r="J956" t="inlineStr">
        <is>
          <t>No</t>
        </is>
      </c>
      <c r="K956" t="inlineStr">
        <is>
          <t>No</t>
        </is>
      </c>
      <c r="L956" t="inlineStr">
        <is>
          <t>0</t>
        </is>
      </c>
      <c r="M956" t="inlineStr">
        <is>
          <t>Rabkin, Norman compiler.</t>
        </is>
      </c>
      <c r="N956" t="inlineStr">
        <is>
          <t>Englewood Cliffs, N.J. : Prentice-Hall, [1968]</t>
        </is>
      </c>
      <c r="O956" t="inlineStr">
        <is>
          <t>1968</t>
        </is>
      </c>
      <c r="Q956" t="inlineStr">
        <is>
          <t>eng</t>
        </is>
      </c>
      <c r="R956" t="inlineStr">
        <is>
          <t>nju</t>
        </is>
      </c>
      <c r="S956" t="inlineStr">
        <is>
          <t>A Spectrum book.</t>
        </is>
      </c>
      <c r="T956" t="inlineStr">
        <is>
          <t xml:space="preserve">PR </t>
        </is>
      </c>
      <c r="U956" t="n">
        <v>4</v>
      </c>
      <c r="V956" t="n">
        <v>4</v>
      </c>
      <c r="W956" t="inlineStr">
        <is>
          <t>2001-03-22</t>
        </is>
      </c>
      <c r="X956" t="inlineStr">
        <is>
          <t>2001-03-22</t>
        </is>
      </c>
      <c r="Y956" t="inlineStr">
        <is>
          <t>1992-12-15</t>
        </is>
      </c>
      <c r="Z956" t="inlineStr">
        <is>
          <t>1992-12-15</t>
        </is>
      </c>
      <c r="AA956" t="n">
        <v>1523</v>
      </c>
      <c r="AB956" t="n">
        <v>1350</v>
      </c>
      <c r="AC956" t="n">
        <v>1356</v>
      </c>
      <c r="AD956" t="n">
        <v>14</v>
      </c>
      <c r="AE956" t="n">
        <v>14</v>
      </c>
      <c r="AF956" t="n">
        <v>54</v>
      </c>
      <c r="AG956" t="n">
        <v>54</v>
      </c>
      <c r="AH956" t="n">
        <v>22</v>
      </c>
      <c r="AI956" t="n">
        <v>22</v>
      </c>
      <c r="AJ956" t="n">
        <v>10</v>
      </c>
      <c r="AK956" t="n">
        <v>10</v>
      </c>
      <c r="AL956" t="n">
        <v>22</v>
      </c>
      <c r="AM956" t="n">
        <v>22</v>
      </c>
      <c r="AN956" t="n">
        <v>12</v>
      </c>
      <c r="AO956" t="n">
        <v>12</v>
      </c>
      <c r="AP956" t="n">
        <v>0</v>
      </c>
      <c r="AQ956" t="n">
        <v>0</v>
      </c>
      <c r="AR956" t="inlineStr">
        <is>
          <t>No</t>
        </is>
      </c>
      <c r="AS956" t="inlineStr">
        <is>
          <t>Yes</t>
        </is>
      </c>
      <c r="AT956">
        <f>HYPERLINK("http://catalog.hathitrust.org/Record/001019283","HathiTrust Record")</f>
        <v/>
      </c>
      <c r="AU956">
        <f>HYPERLINK("https://creighton-primo.hosted.exlibrisgroup.com/primo-explore/search?tab=default_tab&amp;search_scope=EVERYTHING&amp;vid=01CRU&amp;lang=en_US&amp;offset=0&amp;query=any,contains,991000992019702656","Catalog Record")</f>
        <v/>
      </c>
      <c r="AV956">
        <f>HYPERLINK("http://www.worldcat.org/oclc/171232","WorldCat Record")</f>
        <v/>
      </c>
      <c r="AW956" t="inlineStr">
        <is>
          <t>365913970:eng</t>
        </is>
      </c>
      <c r="AX956" t="inlineStr">
        <is>
          <t>171232</t>
        </is>
      </c>
      <c r="AY956" t="inlineStr">
        <is>
          <t>991000992019702656</t>
        </is>
      </c>
      <c r="AZ956" t="inlineStr">
        <is>
          <t>991000992019702656</t>
        </is>
      </c>
      <c r="BA956" t="inlineStr">
        <is>
          <t>2267331270002656</t>
        </is>
      </c>
      <c r="BB956" t="inlineStr">
        <is>
          <t>BOOK</t>
        </is>
      </c>
      <c r="BE956" t="inlineStr">
        <is>
          <t>32285001441418</t>
        </is>
      </c>
      <c r="BF956" t="inlineStr">
        <is>
          <t>893683926</t>
        </is>
      </c>
    </row>
    <row r="957">
      <c r="A957" t="inlineStr">
        <is>
          <t>No</t>
        </is>
      </c>
      <c r="B957" t="inlineStr">
        <is>
          <t>CURAL</t>
        </is>
      </c>
      <c r="C957" t="inlineStr">
        <is>
          <t>SHELVES</t>
        </is>
      </c>
      <c r="D957" t="inlineStr">
        <is>
          <t>PR3187 .R3 1989</t>
        </is>
      </c>
      <c r="E957" t="inlineStr">
        <is>
          <t>0                      PR 3187000R  3           1989</t>
        </is>
      </c>
      <c r="F957" t="inlineStr">
        <is>
          <t>John Webster / Margaret Loftus Ranald.</t>
        </is>
      </c>
      <c r="H957" t="inlineStr">
        <is>
          <t>No</t>
        </is>
      </c>
      <c r="I957" t="inlineStr">
        <is>
          <t>1</t>
        </is>
      </c>
      <c r="J957" t="inlineStr">
        <is>
          <t>No</t>
        </is>
      </c>
      <c r="K957" t="inlineStr">
        <is>
          <t>No</t>
        </is>
      </c>
      <c r="L957" t="inlineStr">
        <is>
          <t>0</t>
        </is>
      </c>
      <c r="M957" t="inlineStr">
        <is>
          <t>Ranald, Margaret Loftus.</t>
        </is>
      </c>
      <c r="N957" t="inlineStr">
        <is>
          <t>Boston : Twayne Publishers, c1989.</t>
        </is>
      </c>
      <c r="O957" t="inlineStr">
        <is>
          <t>1989</t>
        </is>
      </c>
      <c r="Q957" t="inlineStr">
        <is>
          <t>eng</t>
        </is>
      </c>
      <c r="R957" t="inlineStr">
        <is>
          <t>mau</t>
        </is>
      </c>
      <c r="S957" t="inlineStr">
        <is>
          <t>Twayne's English authors series ; TEAS 465</t>
        </is>
      </c>
      <c r="T957" t="inlineStr">
        <is>
          <t xml:space="preserve">PR </t>
        </is>
      </c>
      <c r="U957" t="n">
        <v>2</v>
      </c>
      <c r="V957" t="n">
        <v>2</v>
      </c>
      <c r="W957" t="inlineStr">
        <is>
          <t>1997-12-01</t>
        </is>
      </c>
      <c r="X957" t="inlineStr">
        <is>
          <t>1997-12-01</t>
        </is>
      </c>
      <c r="Y957" t="inlineStr">
        <is>
          <t>1991-10-03</t>
        </is>
      </c>
      <c r="Z957" t="inlineStr">
        <is>
          <t>1991-10-03</t>
        </is>
      </c>
      <c r="AA957" t="n">
        <v>634</v>
      </c>
      <c r="AB957" t="n">
        <v>551</v>
      </c>
      <c r="AC957" t="n">
        <v>557</v>
      </c>
      <c r="AD957" t="n">
        <v>7</v>
      </c>
      <c r="AE957" t="n">
        <v>7</v>
      </c>
      <c r="AF957" t="n">
        <v>25</v>
      </c>
      <c r="AG957" t="n">
        <v>25</v>
      </c>
      <c r="AH957" t="n">
        <v>7</v>
      </c>
      <c r="AI957" t="n">
        <v>7</v>
      </c>
      <c r="AJ957" t="n">
        <v>4</v>
      </c>
      <c r="AK957" t="n">
        <v>4</v>
      </c>
      <c r="AL957" t="n">
        <v>13</v>
      </c>
      <c r="AM957" t="n">
        <v>13</v>
      </c>
      <c r="AN957" t="n">
        <v>6</v>
      </c>
      <c r="AO957" t="n">
        <v>6</v>
      </c>
      <c r="AP957" t="n">
        <v>0</v>
      </c>
      <c r="AQ957" t="n">
        <v>0</v>
      </c>
      <c r="AR957" t="inlineStr">
        <is>
          <t>No</t>
        </is>
      </c>
      <c r="AS957" t="inlineStr">
        <is>
          <t>Yes</t>
        </is>
      </c>
      <c r="AT957">
        <f>HYPERLINK("http://catalog.hathitrust.org/Record/001096848","HathiTrust Record")</f>
        <v/>
      </c>
      <c r="AU957">
        <f>HYPERLINK("https://creighton-primo.hosted.exlibrisgroup.com/primo-explore/search?tab=default_tab&amp;search_scope=EVERYTHING&amp;vid=01CRU&amp;lang=en_US&amp;offset=0&amp;query=any,contains,991001381619702656","Catalog Record")</f>
        <v/>
      </c>
      <c r="AV957">
        <f>HYPERLINK("http://www.worldcat.org/oclc/18683872","WorldCat Record")</f>
        <v/>
      </c>
      <c r="AW957" t="inlineStr">
        <is>
          <t>17943370:eng</t>
        </is>
      </c>
      <c r="AX957" t="inlineStr">
        <is>
          <t>18683872</t>
        </is>
      </c>
      <c r="AY957" t="inlineStr">
        <is>
          <t>991001381619702656</t>
        </is>
      </c>
      <c r="AZ957" t="inlineStr">
        <is>
          <t>991001381619702656</t>
        </is>
      </c>
      <c r="BA957" t="inlineStr">
        <is>
          <t>2265149820002656</t>
        </is>
      </c>
      <c r="BB957" t="inlineStr">
        <is>
          <t>BOOK</t>
        </is>
      </c>
      <c r="BD957" t="inlineStr">
        <is>
          <t>9780805769760</t>
        </is>
      </c>
      <c r="BE957" t="inlineStr">
        <is>
          <t>32285000771591</t>
        </is>
      </c>
      <c r="BF957" t="inlineStr">
        <is>
          <t>893602561</t>
        </is>
      </c>
    </row>
    <row r="958">
      <c r="A958" t="inlineStr">
        <is>
          <t>No</t>
        </is>
      </c>
      <c r="B958" t="inlineStr">
        <is>
          <t>CURAL</t>
        </is>
      </c>
      <c r="C958" t="inlineStr">
        <is>
          <t>SHELVES</t>
        </is>
      </c>
      <c r="D958" t="inlineStr">
        <is>
          <t>PR321 .B37 1987</t>
        </is>
      </c>
      <c r="E958" t="inlineStr">
        <is>
          <t>0                      PR 0321000B  37          1987</t>
        </is>
      </c>
      <c r="F958" t="inlineStr">
        <is>
          <t>English Medieval romance / W.R.J. Barron.</t>
        </is>
      </c>
      <c r="H958" t="inlineStr">
        <is>
          <t>No</t>
        </is>
      </c>
      <c r="I958" t="inlineStr">
        <is>
          <t>1</t>
        </is>
      </c>
      <c r="J958" t="inlineStr">
        <is>
          <t>No</t>
        </is>
      </c>
      <c r="K958" t="inlineStr">
        <is>
          <t>No</t>
        </is>
      </c>
      <c r="L958" t="inlineStr">
        <is>
          <t>0</t>
        </is>
      </c>
      <c r="M958" t="inlineStr">
        <is>
          <t>Barron, W. R. J. (William Raymond Johnston)</t>
        </is>
      </c>
      <c r="N958" t="inlineStr">
        <is>
          <t>London ; New York : Longman, 1987.</t>
        </is>
      </c>
      <c r="O958" t="inlineStr">
        <is>
          <t>1987</t>
        </is>
      </c>
      <c r="Q958" t="inlineStr">
        <is>
          <t>eng</t>
        </is>
      </c>
      <c r="R958" t="inlineStr">
        <is>
          <t>enk</t>
        </is>
      </c>
      <c r="S958" t="inlineStr">
        <is>
          <t>Longman literature in English series</t>
        </is>
      </c>
      <c r="T958" t="inlineStr">
        <is>
          <t xml:space="preserve">PR </t>
        </is>
      </c>
      <c r="U958" t="n">
        <v>7</v>
      </c>
      <c r="V958" t="n">
        <v>7</v>
      </c>
      <c r="W958" t="inlineStr">
        <is>
          <t>1998-02-15</t>
        </is>
      </c>
      <c r="X958" t="inlineStr">
        <is>
          <t>1998-02-15</t>
        </is>
      </c>
      <c r="Y958" t="inlineStr">
        <is>
          <t>1991-08-28</t>
        </is>
      </c>
      <c r="Z958" t="inlineStr">
        <is>
          <t>1991-08-28</t>
        </is>
      </c>
      <c r="AA958" t="n">
        <v>713</v>
      </c>
      <c r="AB958" t="n">
        <v>520</v>
      </c>
      <c r="AC958" t="n">
        <v>528</v>
      </c>
      <c r="AD958" t="n">
        <v>4</v>
      </c>
      <c r="AE958" t="n">
        <v>4</v>
      </c>
      <c r="AF958" t="n">
        <v>29</v>
      </c>
      <c r="AG958" t="n">
        <v>29</v>
      </c>
      <c r="AH958" t="n">
        <v>13</v>
      </c>
      <c r="AI958" t="n">
        <v>13</v>
      </c>
      <c r="AJ958" t="n">
        <v>8</v>
      </c>
      <c r="AK958" t="n">
        <v>8</v>
      </c>
      <c r="AL958" t="n">
        <v>14</v>
      </c>
      <c r="AM958" t="n">
        <v>14</v>
      </c>
      <c r="AN958" t="n">
        <v>3</v>
      </c>
      <c r="AO958" t="n">
        <v>3</v>
      </c>
      <c r="AP958" t="n">
        <v>0</v>
      </c>
      <c r="AQ958" t="n">
        <v>0</v>
      </c>
      <c r="AR958" t="inlineStr">
        <is>
          <t>No</t>
        </is>
      </c>
      <c r="AS958" t="inlineStr">
        <is>
          <t>Yes</t>
        </is>
      </c>
      <c r="AT958">
        <f>HYPERLINK("http://catalog.hathitrust.org/Record/000836802","HathiTrust Record")</f>
        <v/>
      </c>
      <c r="AU958">
        <f>HYPERLINK("https://creighton-primo.hosted.exlibrisgroup.com/primo-explore/search?tab=default_tab&amp;search_scope=EVERYTHING&amp;vid=01CRU&amp;lang=en_US&amp;offset=0&amp;query=any,contains,991000877969702656","Catalog Record")</f>
        <v/>
      </c>
      <c r="AV958">
        <f>HYPERLINK("http://www.worldcat.org/oclc/13821637","WorldCat Record")</f>
        <v/>
      </c>
      <c r="AW958" t="inlineStr">
        <is>
          <t>7292272:eng</t>
        </is>
      </c>
      <c r="AX958" t="inlineStr">
        <is>
          <t>13821637</t>
        </is>
      </c>
      <c r="AY958" t="inlineStr">
        <is>
          <t>991000877969702656</t>
        </is>
      </c>
      <c r="AZ958" t="inlineStr">
        <is>
          <t>991000877969702656</t>
        </is>
      </c>
      <c r="BA958" t="inlineStr">
        <is>
          <t>2266668910002656</t>
        </is>
      </c>
      <c r="BB958" t="inlineStr">
        <is>
          <t>BOOK</t>
        </is>
      </c>
      <c r="BD958" t="inlineStr">
        <is>
          <t>9780582492202</t>
        </is>
      </c>
      <c r="BE958" t="inlineStr">
        <is>
          <t>32285000730761</t>
        </is>
      </c>
      <c r="BF958" t="inlineStr">
        <is>
          <t>893432381</t>
        </is>
      </c>
    </row>
    <row r="959">
      <c r="A959" t="inlineStr">
        <is>
          <t>No</t>
        </is>
      </c>
      <c r="B959" t="inlineStr">
        <is>
          <t>CURAL</t>
        </is>
      </c>
      <c r="C959" t="inlineStr">
        <is>
          <t>SHELVES</t>
        </is>
      </c>
      <c r="D959" t="inlineStr">
        <is>
          <t>Pr321 .M413 1969b</t>
        </is>
      </c>
      <c r="E959" t="inlineStr">
        <is>
          <t>0                      PR 0321000M  413         1969b</t>
        </is>
      </c>
      <c r="F959" t="inlineStr">
        <is>
          <t>The Middle English romances of the thirteenth and fourteenth centuries.</t>
        </is>
      </c>
      <c r="H959" t="inlineStr">
        <is>
          <t>No</t>
        </is>
      </c>
      <c r="I959" t="inlineStr">
        <is>
          <t>1</t>
        </is>
      </c>
      <c r="J959" t="inlineStr">
        <is>
          <t>No</t>
        </is>
      </c>
      <c r="K959" t="inlineStr">
        <is>
          <t>No</t>
        </is>
      </c>
      <c r="L959" t="inlineStr">
        <is>
          <t>0</t>
        </is>
      </c>
      <c r="M959" t="inlineStr">
        <is>
          <t>Mehl, Dieter.</t>
        </is>
      </c>
      <c r="N959" t="inlineStr">
        <is>
          <t>New York, Barnes &amp; Noble [1969]</t>
        </is>
      </c>
      <c r="O959" t="inlineStr">
        <is>
          <t>1969</t>
        </is>
      </c>
      <c r="Q959" t="inlineStr">
        <is>
          <t>eng</t>
        </is>
      </c>
      <c r="R959" t="inlineStr">
        <is>
          <t>nyu</t>
        </is>
      </c>
      <c r="T959" t="inlineStr">
        <is>
          <t xml:space="preserve">PR </t>
        </is>
      </c>
      <c r="U959" t="n">
        <v>3</v>
      </c>
      <c r="V959" t="n">
        <v>3</v>
      </c>
      <c r="W959" t="inlineStr">
        <is>
          <t>1998-02-15</t>
        </is>
      </c>
      <c r="X959" t="inlineStr">
        <is>
          <t>1998-02-15</t>
        </is>
      </c>
      <c r="Y959" t="inlineStr">
        <is>
          <t>1997-08-19</t>
        </is>
      </c>
      <c r="Z959" t="inlineStr">
        <is>
          <t>1997-08-19</t>
        </is>
      </c>
      <c r="AA959" t="n">
        <v>411</v>
      </c>
      <c r="AB959" t="n">
        <v>393</v>
      </c>
      <c r="AC959" t="n">
        <v>716</v>
      </c>
      <c r="AD959" t="n">
        <v>2</v>
      </c>
      <c r="AE959" t="n">
        <v>9</v>
      </c>
      <c r="AF959" t="n">
        <v>16</v>
      </c>
      <c r="AG959" t="n">
        <v>38</v>
      </c>
      <c r="AH959" t="n">
        <v>5</v>
      </c>
      <c r="AI959" t="n">
        <v>12</v>
      </c>
      <c r="AJ959" t="n">
        <v>5</v>
      </c>
      <c r="AK959" t="n">
        <v>8</v>
      </c>
      <c r="AL959" t="n">
        <v>11</v>
      </c>
      <c r="AM959" t="n">
        <v>21</v>
      </c>
      <c r="AN959" t="n">
        <v>1</v>
      </c>
      <c r="AO959" t="n">
        <v>7</v>
      </c>
      <c r="AP959" t="n">
        <v>0</v>
      </c>
      <c r="AQ959" t="n">
        <v>0</v>
      </c>
      <c r="AR959" t="inlineStr">
        <is>
          <t>No</t>
        </is>
      </c>
      <c r="AS959" t="inlineStr">
        <is>
          <t>Yes</t>
        </is>
      </c>
      <c r="AT959">
        <f>HYPERLINK("http://catalog.hathitrust.org/Record/001016305","HathiTrust Record")</f>
        <v/>
      </c>
      <c r="AU959">
        <f>HYPERLINK("https://creighton-primo.hosted.exlibrisgroup.com/primo-explore/search?tab=default_tab&amp;search_scope=EVERYTHING&amp;vid=01CRU&amp;lang=en_US&amp;offset=0&amp;query=any,contains,991005439629702656","Catalog Record")</f>
        <v/>
      </c>
      <c r="AV959">
        <f>HYPERLINK("http://www.worldcat.org/oclc/7163","WorldCat Record")</f>
        <v/>
      </c>
      <c r="AW959" t="inlineStr">
        <is>
          <t>1130332:eng</t>
        </is>
      </c>
      <c r="AX959" t="inlineStr">
        <is>
          <t>7163</t>
        </is>
      </c>
      <c r="AY959" t="inlineStr">
        <is>
          <t>991005439629702656</t>
        </is>
      </c>
      <c r="AZ959" t="inlineStr">
        <is>
          <t>991005439629702656</t>
        </is>
      </c>
      <c r="BA959" t="inlineStr">
        <is>
          <t>2267662950002656</t>
        </is>
      </c>
      <c r="BB959" t="inlineStr">
        <is>
          <t>BOOK</t>
        </is>
      </c>
      <c r="BE959" t="inlineStr">
        <is>
          <t>32285003150967</t>
        </is>
      </c>
      <c r="BF959" t="inlineStr">
        <is>
          <t>893248931</t>
        </is>
      </c>
    </row>
    <row r="960">
      <c r="A960" t="inlineStr">
        <is>
          <t>No</t>
        </is>
      </c>
      <c r="B960" t="inlineStr">
        <is>
          <t>CURAL</t>
        </is>
      </c>
      <c r="C960" t="inlineStr">
        <is>
          <t>SHELVES</t>
        </is>
      </c>
      <c r="D960" t="inlineStr">
        <is>
          <t>PR321 .R35 1983</t>
        </is>
      </c>
      <c r="E960" t="inlineStr">
        <is>
          <t>0                      PR 0321000R  35          1983</t>
        </is>
      </c>
      <c r="F960" t="inlineStr">
        <is>
          <t>Chivalric romances : popular literature in medieval England / Lee C. Ramsey.</t>
        </is>
      </c>
      <c r="H960" t="inlineStr">
        <is>
          <t>No</t>
        </is>
      </c>
      <c r="I960" t="inlineStr">
        <is>
          <t>1</t>
        </is>
      </c>
      <c r="J960" t="inlineStr">
        <is>
          <t>No</t>
        </is>
      </c>
      <c r="K960" t="inlineStr">
        <is>
          <t>No</t>
        </is>
      </c>
      <c r="L960" t="inlineStr">
        <is>
          <t>0</t>
        </is>
      </c>
      <c r="M960" t="inlineStr">
        <is>
          <t>Ramsey, Lee C., 1935-</t>
        </is>
      </c>
      <c r="N960" t="inlineStr">
        <is>
          <t>Bloomington : Indiana University Press, c1983.</t>
        </is>
      </c>
      <c r="O960" t="inlineStr">
        <is>
          <t>1983</t>
        </is>
      </c>
      <c r="Q960" t="inlineStr">
        <is>
          <t>eng</t>
        </is>
      </c>
      <c r="R960" t="inlineStr">
        <is>
          <t>inu</t>
        </is>
      </c>
      <c r="T960" t="inlineStr">
        <is>
          <t xml:space="preserve">PR </t>
        </is>
      </c>
      <c r="U960" t="n">
        <v>9</v>
      </c>
      <c r="V960" t="n">
        <v>9</v>
      </c>
      <c r="W960" t="inlineStr">
        <is>
          <t>2004-11-28</t>
        </is>
      </c>
      <c r="X960" t="inlineStr">
        <is>
          <t>2004-11-28</t>
        </is>
      </c>
      <c r="Y960" t="inlineStr">
        <is>
          <t>1991-08-28</t>
        </is>
      </c>
      <c r="Z960" t="inlineStr">
        <is>
          <t>1991-08-28</t>
        </is>
      </c>
      <c r="AA960" t="n">
        <v>675</v>
      </c>
      <c r="AB960" t="n">
        <v>539</v>
      </c>
      <c r="AC960" t="n">
        <v>546</v>
      </c>
      <c r="AD960" t="n">
        <v>3</v>
      </c>
      <c r="AE960" t="n">
        <v>3</v>
      </c>
      <c r="AF960" t="n">
        <v>26</v>
      </c>
      <c r="AG960" t="n">
        <v>26</v>
      </c>
      <c r="AH960" t="n">
        <v>12</v>
      </c>
      <c r="AI960" t="n">
        <v>12</v>
      </c>
      <c r="AJ960" t="n">
        <v>5</v>
      </c>
      <c r="AK960" t="n">
        <v>5</v>
      </c>
      <c r="AL960" t="n">
        <v>17</v>
      </c>
      <c r="AM960" t="n">
        <v>17</v>
      </c>
      <c r="AN960" t="n">
        <v>2</v>
      </c>
      <c r="AO960" t="n">
        <v>2</v>
      </c>
      <c r="AP960" t="n">
        <v>0</v>
      </c>
      <c r="AQ960" t="n">
        <v>0</v>
      </c>
      <c r="AR960" t="inlineStr">
        <is>
          <t>No</t>
        </is>
      </c>
      <c r="AS960" t="inlineStr">
        <is>
          <t>Yes</t>
        </is>
      </c>
      <c r="AT960">
        <f>HYPERLINK("http://catalog.hathitrust.org/Record/000777849","HathiTrust Record")</f>
        <v/>
      </c>
      <c r="AU960">
        <f>HYPERLINK("https://creighton-primo.hosted.exlibrisgroup.com/primo-explore/search?tab=default_tab&amp;search_scope=EVERYTHING&amp;vid=01CRU&amp;lang=en_US&amp;offset=0&amp;query=any,contains,991000189949702656","Catalog Record")</f>
        <v/>
      </c>
      <c r="AV960">
        <f>HYPERLINK("http://www.worldcat.org/oclc/9411955","WorldCat Record")</f>
        <v/>
      </c>
      <c r="AW960" t="inlineStr">
        <is>
          <t>197702415:eng</t>
        </is>
      </c>
      <c r="AX960" t="inlineStr">
        <is>
          <t>9411955</t>
        </is>
      </c>
      <c r="AY960" t="inlineStr">
        <is>
          <t>991000189949702656</t>
        </is>
      </c>
      <c r="AZ960" t="inlineStr">
        <is>
          <t>991000189949702656</t>
        </is>
      </c>
      <c r="BA960" t="inlineStr">
        <is>
          <t>2261103880002656</t>
        </is>
      </c>
      <c r="BB960" t="inlineStr">
        <is>
          <t>BOOK</t>
        </is>
      </c>
      <c r="BD960" t="inlineStr">
        <is>
          <t>9780253313607</t>
        </is>
      </c>
      <c r="BE960" t="inlineStr">
        <is>
          <t>32285000730779</t>
        </is>
      </c>
      <c r="BF960" t="inlineStr">
        <is>
          <t>893595386</t>
        </is>
      </c>
    </row>
    <row r="961">
      <c r="A961" t="inlineStr">
        <is>
          <t>No</t>
        </is>
      </c>
      <c r="B961" t="inlineStr">
        <is>
          <t>CURAL</t>
        </is>
      </c>
      <c r="C961" t="inlineStr">
        <is>
          <t>SHELVES</t>
        </is>
      </c>
      <c r="D961" t="inlineStr">
        <is>
          <t>PR321 .R67 1991</t>
        </is>
      </c>
      <c r="E961" t="inlineStr">
        <is>
          <t>0                      PR 0321000R  67          1991</t>
        </is>
      </c>
      <c r="F961" t="inlineStr">
        <is>
          <t>Romance in medieval England / edited by Maldwyn Mills, Jennifer Fellows, and Carol M. Meale.</t>
        </is>
      </c>
      <c r="H961" t="inlineStr">
        <is>
          <t>No</t>
        </is>
      </c>
      <c r="I961" t="inlineStr">
        <is>
          <t>1</t>
        </is>
      </c>
      <c r="J961" t="inlineStr">
        <is>
          <t>No</t>
        </is>
      </c>
      <c r="K961" t="inlineStr">
        <is>
          <t>No</t>
        </is>
      </c>
      <c r="L961" t="inlineStr">
        <is>
          <t>0</t>
        </is>
      </c>
      <c r="N961" t="inlineStr">
        <is>
          <t>Cambridge [England] ; Rochester, NY, USA : D.S. Brewer, 1991.</t>
        </is>
      </c>
      <c r="O961" t="inlineStr">
        <is>
          <t>1991</t>
        </is>
      </c>
      <c r="Q961" t="inlineStr">
        <is>
          <t>eng</t>
        </is>
      </c>
      <c r="R961" t="inlineStr">
        <is>
          <t>enk</t>
        </is>
      </c>
      <c r="T961" t="inlineStr">
        <is>
          <t xml:space="preserve">PR </t>
        </is>
      </c>
      <c r="U961" t="n">
        <v>4</v>
      </c>
      <c r="V961" t="n">
        <v>4</v>
      </c>
      <c r="W961" t="inlineStr">
        <is>
          <t>1998-02-15</t>
        </is>
      </c>
      <c r="X961" t="inlineStr">
        <is>
          <t>1998-02-15</t>
        </is>
      </c>
      <c r="Y961" t="inlineStr">
        <is>
          <t>1992-01-23</t>
        </is>
      </c>
      <c r="Z961" t="inlineStr">
        <is>
          <t>1992-01-23</t>
        </is>
      </c>
      <c r="AA961" t="n">
        <v>248</v>
      </c>
      <c r="AB961" t="n">
        <v>161</v>
      </c>
      <c r="AC961" t="n">
        <v>161</v>
      </c>
      <c r="AD961" t="n">
        <v>2</v>
      </c>
      <c r="AE961" t="n">
        <v>2</v>
      </c>
      <c r="AF961" t="n">
        <v>10</v>
      </c>
      <c r="AG961" t="n">
        <v>10</v>
      </c>
      <c r="AH961" t="n">
        <v>2</v>
      </c>
      <c r="AI961" t="n">
        <v>2</v>
      </c>
      <c r="AJ961" t="n">
        <v>4</v>
      </c>
      <c r="AK961" t="n">
        <v>4</v>
      </c>
      <c r="AL961" t="n">
        <v>5</v>
      </c>
      <c r="AM961" t="n">
        <v>5</v>
      </c>
      <c r="AN961" t="n">
        <v>1</v>
      </c>
      <c r="AO961" t="n">
        <v>1</v>
      </c>
      <c r="AP961" t="n">
        <v>0</v>
      </c>
      <c r="AQ961" t="n">
        <v>0</v>
      </c>
      <c r="AR961" t="inlineStr">
        <is>
          <t>No</t>
        </is>
      </c>
      <c r="AS961" t="inlineStr">
        <is>
          <t>No</t>
        </is>
      </c>
      <c r="AU961">
        <f>HYPERLINK("https://creighton-primo.hosted.exlibrisgroup.com/primo-explore/search?tab=default_tab&amp;search_scope=EVERYTHING&amp;vid=01CRU&amp;lang=en_US&amp;offset=0&amp;query=any,contains,991001883549702656","Catalog Record")</f>
        <v/>
      </c>
      <c r="AV961">
        <f>HYPERLINK("http://www.worldcat.org/oclc/23765744","WorldCat Record")</f>
        <v/>
      </c>
      <c r="AW961" t="inlineStr">
        <is>
          <t>476169953:eng</t>
        </is>
      </c>
      <c r="AX961" t="inlineStr">
        <is>
          <t>23765744</t>
        </is>
      </c>
      <c r="AY961" t="inlineStr">
        <is>
          <t>991001883549702656</t>
        </is>
      </c>
      <c r="AZ961" t="inlineStr">
        <is>
          <t>991001883549702656</t>
        </is>
      </c>
      <c r="BA961" t="inlineStr">
        <is>
          <t>2269106440002656</t>
        </is>
      </c>
      <c r="BB961" t="inlineStr">
        <is>
          <t>BOOK</t>
        </is>
      </c>
      <c r="BD961" t="inlineStr">
        <is>
          <t>9780859913263</t>
        </is>
      </c>
      <c r="BE961" t="inlineStr">
        <is>
          <t>32285000866078</t>
        </is>
      </c>
      <c r="BF961" t="inlineStr">
        <is>
          <t>893596802</t>
        </is>
      </c>
    </row>
    <row r="962">
      <c r="A962" t="inlineStr">
        <is>
          <t>No</t>
        </is>
      </c>
      <c r="B962" t="inlineStr">
        <is>
          <t>CURAL</t>
        </is>
      </c>
      <c r="C962" t="inlineStr">
        <is>
          <t>SHELVES</t>
        </is>
      </c>
      <c r="D962" t="inlineStr">
        <is>
          <t>PR328 .A785 2001</t>
        </is>
      </c>
      <c r="E962" t="inlineStr">
        <is>
          <t>0                      PR 0328000A  785         2001</t>
        </is>
      </c>
      <c r="F962" t="inlineStr">
        <is>
          <t>The Arthur of the English : the Arthurian legend in medieval English life and literature / edited by W.R.J. Barron.</t>
        </is>
      </c>
      <c r="H962" t="inlineStr">
        <is>
          <t>No</t>
        </is>
      </c>
      <c r="I962" t="inlineStr">
        <is>
          <t>1</t>
        </is>
      </c>
      <c r="J962" t="inlineStr">
        <is>
          <t>No</t>
        </is>
      </c>
      <c r="K962" t="inlineStr">
        <is>
          <t>No</t>
        </is>
      </c>
      <c r="L962" t="inlineStr">
        <is>
          <t>0</t>
        </is>
      </c>
      <c r="N962" t="inlineStr">
        <is>
          <t>Cardiff : University of Wales Press, 2001.</t>
        </is>
      </c>
      <c r="O962" t="inlineStr">
        <is>
          <t>2001</t>
        </is>
      </c>
      <c r="P962" t="inlineStr">
        <is>
          <t>Rev. ed. with an additional postscript, new ed.</t>
        </is>
      </c>
      <c r="Q962" t="inlineStr">
        <is>
          <t>eng</t>
        </is>
      </c>
      <c r="R962" t="inlineStr">
        <is>
          <t>wlk</t>
        </is>
      </c>
      <c r="S962" t="inlineStr">
        <is>
          <t>Arthurian literature in the Middle Ages ; 2</t>
        </is>
      </c>
      <c r="T962" t="inlineStr">
        <is>
          <t xml:space="preserve">PR </t>
        </is>
      </c>
      <c r="U962" t="n">
        <v>2</v>
      </c>
      <c r="V962" t="n">
        <v>2</v>
      </c>
      <c r="W962" t="inlineStr">
        <is>
          <t>2008-08-21</t>
        </is>
      </c>
      <c r="X962" t="inlineStr">
        <is>
          <t>2008-08-21</t>
        </is>
      </c>
      <c r="Y962" t="inlineStr">
        <is>
          <t>2002-06-03</t>
        </is>
      </c>
      <c r="Z962" t="inlineStr">
        <is>
          <t>2002-06-03</t>
        </is>
      </c>
      <c r="AA962" t="n">
        <v>258</v>
      </c>
      <c r="AB962" t="n">
        <v>205</v>
      </c>
      <c r="AC962" t="n">
        <v>340</v>
      </c>
      <c r="AD962" t="n">
        <v>2</v>
      </c>
      <c r="AE962" t="n">
        <v>2</v>
      </c>
      <c r="AF962" t="n">
        <v>15</v>
      </c>
      <c r="AG962" t="n">
        <v>22</v>
      </c>
      <c r="AH962" t="n">
        <v>6</v>
      </c>
      <c r="AI962" t="n">
        <v>10</v>
      </c>
      <c r="AJ962" t="n">
        <v>5</v>
      </c>
      <c r="AK962" t="n">
        <v>8</v>
      </c>
      <c r="AL962" t="n">
        <v>8</v>
      </c>
      <c r="AM962" t="n">
        <v>12</v>
      </c>
      <c r="AN962" t="n">
        <v>1</v>
      </c>
      <c r="AO962" t="n">
        <v>1</v>
      </c>
      <c r="AP962" t="n">
        <v>0</v>
      </c>
      <c r="AQ962" t="n">
        <v>0</v>
      </c>
      <c r="AR962" t="inlineStr">
        <is>
          <t>No</t>
        </is>
      </c>
      <c r="AS962" t="inlineStr">
        <is>
          <t>No</t>
        </is>
      </c>
      <c r="AU962">
        <f>HYPERLINK("https://creighton-primo.hosted.exlibrisgroup.com/primo-explore/search?tab=default_tab&amp;search_scope=EVERYTHING&amp;vid=01CRU&amp;lang=en_US&amp;offset=0&amp;query=any,contains,991003791889702656","Catalog Record")</f>
        <v/>
      </c>
      <c r="AV962">
        <f>HYPERLINK("http://www.worldcat.org/oclc/45992075","WorldCat Record")</f>
        <v/>
      </c>
      <c r="AW962" t="inlineStr">
        <is>
          <t>793114454:eng</t>
        </is>
      </c>
      <c r="AX962" t="inlineStr">
        <is>
          <t>45992075</t>
        </is>
      </c>
      <c r="AY962" t="inlineStr">
        <is>
          <t>991003791889702656</t>
        </is>
      </c>
      <c r="AZ962" t="inlineStr">
        <is>
          <t>991003791889702656</t>
        </is>
      </c>
      <c r="BA962" t="inlineStr">
        <is>
          <t>2261917230002656</t>
        </is>
      </c>
      <c r="BB962" t="inlineStr">
        <is>
          <t>BOOK</t>
        </is>
      </c>
      <c r="BD962" t="inlineStr">
        <is>
          <t>9780708316832</t>
        </is>
      </c>
      <c r="BE962" t="inlineStr">
        <is>
          <t>32285004490842</t>
        </is>
      </c>
      <c r="BF962" t="inlineStr">
        <is>
          <t>893343020</t>
        </is>
      </c>
    </row>
    <row r="963">
      <c r="A963" t="inlineStr">
        <is>
          <t>No</t>
        </is>
      </c>
      <c r="B963" t="inlineStr">
        <is>
          <t>CURAL</t>
        </is>
      </c>
      <c r="C963" t="inlineStr">
        <is>
          <t>SHELVES</t>
        </is>
      </c>
      <c r="D963" t="inlineStr">
        <is>
          <t>PR328 .B7</t>
        </is>
      </c>
      <c r="E963" t="inlineStr">
        <is>
          <t>0                      PR 0328000B  7</t>
        </is>
      </c>
      <c r="F963" t="inlineStr">
        <is>
          <t>The evolution of Arthurian romance from the beginnings down to the year 1300.</t>
        </is>
      </c>
      <c r="G963" t="inlineStr">
        <is>
          <t>V.2</t>
        </is>
      </c>
      <c r="H963" t="inlineStr">
        <is>
          <t>Yes</t>
        </is>
      </c>
      <c r="I963" t="inlineStr">
        <is>
          <t>1</t>
        </is>
      </c>
      <c r="J963" t="inlineStr">
        <is>
          <t>No</t>
        </is>
      </c>
      <c r="K963" t="inlineStr">
        <is>
          <t>No</t>
        </is>
      </c>
      <c r="L963" t="inlineStr">
        <is>
          <t>0</t>
        </is>
      </c>
      <c r="M963" t="inlineStr">
        <is>
          <t>Bruce, J. Douglas (James Douglas), 1862-1923.</t>
        </is>
      </c>
      <c r="N963" t="inlineStr">
        <is>
          <t>Gloucester, Mass., Peter Smith, 1958.</t>
        </is>
      </c>
      <c r="O963" t="inlineStr">
        <is>
          <t>1958</t>
        </is>
      </c>
      <c r="P963" t="inlineStr">
        <is>
          <t>2d ed., with a supplement by Alfons Hilka (Goettingen)</t>
        </is>
      </c>
      <c r="Q963" t="inlineStr">
        <is>
          <t>eng</t>
        </is>
      </c>
      <c r="R963" t="inlineStr">
        <is>
          <t xml:space="preserve">xx </t>
        </is>
      </c>
      <c r="T963" t="inlineStr">
        <is>
          <t xml:space="preserve">PR </t>
        </is>
      </c>
      <c r="U963" t="n">
        <v>2</v>
      </c>
      <c r="V963" t="n">
        <v>4</v>
      </c>
      <c r="W963" t="inlineStr">
        <is>
          <t>2004-05-25</t>
        </is>
      </c>
      <c r="X963" t="inlineStr">
        <is>
          <t>2004-05-25</t>
        </is>
      </c>
      <c r="Y963" t="inlineStr">
        <is>
          <t>1997-08-19</t>
        </is>
      </c>
      <c r="Z963" t="inlineStr">
        <is>
          <t>1997-08-19</t>
        </is>
      </c>
      <c r="AA963" t="n">
        <v>494</v>
      </c>
      <c r="AB963" t="n">
        <v>431</v>
      </c>
      <c r="AC963" t="n">
        <v>437</v>
      </c>
      <c r="AD963" t="n">
        <v>3</v>
      </c>
      <c r="AE963" t="n">
        <v>3</v>
      </c>
      <c r="AF963" t="n">
        <v>22</v>
      </c>
      <c r="AG963" t="n">
        <v>22</v>
      </c>
      <c r="AH963" t="n">
        <v>11</v>
      </c>
      <c r="AI963" t="n">
        <v>11</v>
      </c>
      <c r="AJ963" t="n">
        <v>4</v>
      </c>
      <c r="AK963" t="n">
        <v>4</v>
      </c>
      <c r="AL963" t="n">
        <v>11</v>
      </c>
      <c r="AM963" t="n">
        <v>11</v>
      </c>
      <c r="AN963" t="n">
        <v>1</v>
      </c>
      <c r="AO963" t="n">
        <v>1</v>
      </c>
      <c r="AP963" t="n">
        <v>0</v>
      </c>
      <c r="AQ963" t="n">
        <v>0</v>
      </c>
      <c r="AR963" t="inlineStr">
        <is>
          <t>Yes</t>
        </is>
      </c>
      <c r="AS963" t="inlineStr">
        <is>
          <t>No</t>
        </is>
      </c>
      <c r="AT963">
        <f>HYPERLINK("http://catalog.hathitrust.org/Record/001901796","HathiTrust Record")</f>
        <v/>
      </c>
      <c r="AU963">
        <f>HYPERLINK("https://creighton-primo.hosted.exlibrisgroup.com/primo-explore/search?tab=default_tab&amp;search_scope=EVERYTHING&amp;vid=01CRU&amp;lang=en_US&amp;offset=0&amp;query=any,contains,991002219179702656","Catalog Record")</f>
        <v/>
      </c>
      <c r="AV963">
        <f>HYPERLINK("http://www.worldcat.org/oclc/289570","WorldCat Record")</f>
        <v/>
      </c>
      <c r="AW963" t="inlineStr">
        <is>
          <t>8908505825:eng</t>
        </is>
      </c>
      <c r="AX963" t="inlineStr">
        <is>
          <t>289570</t>
        </is>
      </c>
      <c r="AY963" t="inlineStr">
        <is>
          <t>991002219179702656</t>
        </is>
      </c>
      <c r="AZ963" t="inlineStr">
        <is>
          <t>991002219179702656</t>
        </is>
      </c>
      <c r="BA963" t="inlineStr">
        <is>
          <t>2261944190002656</t>
        </is>
      </c>
      <c r="BB963" t="inlineStr">
        <is>
          <t>BOOK</t>
        </is>
      </c>
      <c r="BE963" t="inlineStr">
        <is>
          <t>32285003150991</t>
        </is>
      </c>
      <c r="BF963" t="inlineStr">
        <is>
          <t>893439899</t>
        </is>
      </c>
    </row>
    <row r="964">
      <c r="A964" t="inlineStr">
        <is>
          <t>No</t>
        </is>
      </c>
      <c r="B964" t="inlineStr">
        <is>
          <t>CURAL</t>
        </is>
      </c>
      <c r="C964" t="inlineStr">
        <is>
          <t>SHELVES</t>
        </is>
      </c>
      <c r="D964" t="inlineStr">
        <is>
          <t>PR328 .B7</t>
        </is>
      </c>
      <c r="E964" t="inlineStr">
        <is>
          <t>0                      PR 0328000B  7</t>
        </is>
      </c>
      <c r="F964" t="inlineStr">
        <is>
          <t>The evolution of Arthurian romance from the beginnings down to the year 1300.</t>
        </is>
      </c>
      <c r="G964" t="inlineStr">
        <is>
          <t>V.1</t>
        </is>
      </c>
      <c r="H964" t="inlineStr">
        <is>
          <t>Yes</t>
        </is>
      </c>
      <c r="I964" t="inlineStr">
        <is>
          <t>1</t>
        </is>
      </c>
      <c r="J964" t="inlineStr">
        <is>
          <t>No</t>
        </is>
      </c>
      <c r="K964" t="inlineStr">
        <is>
          <t>No</t>
        </is>
      </c>
      <c r="L964" t="inlineStr">
        <is>
          <t>0</t>
        </is>
      </c>
      <c r="M964" t="inlineStr">
        <is>
          <t>Bruce, J. Douglas (James Douglas), 1862-1923.</t>
        </is>
      </c>
      <c r="N964" t="inlineStr">
        <is>
          <t>Gloucester, Mass., Peter Smith, 1958.</t>
        </is>
      </c>
      <c r="O964" t="inlineStr">
        <is>
          <t>1958</t>
        </is>
      </c>
      <c r="P964" t="inlineStr">
        <is>
          <t>2d ed., with a supplement by Alfons Hilka (Goettingen)</t>
        </is>
      </c>
      <c r="Q964" t="inlineStr">
        <is>
          <t>eng</t>
        </is>
      </c>
      <c r="R964" t="inlineStr">
        <is>
          <t xml:space="preserve">xx </t>
        </is>
      </c>
      <c r="T964" t="inlineStr">
        <is>
          <t xml:space="preserve">PR </t>
        </is>
      </c>
      <c r="U964" t="n">
        <v>2</v>
      </c>
      <c r="V964" t="n">
        <v>4</v>
      </c>
      <c r="W964" t="inlineStr">
        <is>
          <t>2004-05-25</t>
        </is>
      </c>
      <c r="X964" t="inlineStr">
        <is>
          <t>2004-05-25</t>
        </is>
      </c>
      <c r="Y964" t="inlineStr">
        <is>
          <t>1997-08-19</t>
        </is>
      </c>
      <c r="Z964" t="inlineStr">
        <is>
          <t>1997-08-19</t>
        </is>
      </c>
      <c r="AA964" t="n">
        <v>494</v>
      </c>
      <c r="AB964" t="n">
        <v>431</v>
      </c>
      <c r="AC964" t="n">
        <v>437</v>
      </c>
      <c r="AD964" t="n">
        <v>3</v>
      </c>
      <c r="AE964" t="n">
        <v>3</v>
      </c>
      <c r="AF964" t="n">
        <v>22</v>
      </c>
      <c r="AG964" t="n">
        <v>22</v>
      </c>
      <c r="AH964" t="n">
        <v>11</v>
      </c>
      <c r="AI964" t="n">
        <v>11</v>
      </c>
      <c r="AJ964" t="n">
        <v>4</v>
      </c>
      <c r="AK964" t="n">
        <v>4</v>
      </c>
      <c r="AL964" t="n">
        <v>11</v>
      </c>
      <c r="AM964" t="n">
        <v>11</v>
      </c>
      <c r="AN964" t="n">
        <v>1</v>
      </c>
      <c r="AO964" t="n">
        <v>1</v>
      </c>
      <c r="AP964" t="n">
        <v>0</v>
      </c>
      <c r="AQ964" t="n">
        <v>0</v>
      </c>
      <c r="AR964" t="inlineStr">
        <is>
          <t>Yes</t>
        </is>
      </c>
      <c r="AS964" t="inlineStr">
        <is>
          <t>No</t>
        </is>
      </c>
      <c r="AT964">
        <f>HYPERLINK("http://catalog.hathitrust.org/Record/001901796","HathiTrust Record")</f>
        <v/>
      </c>
      <c r="AU964">
        <f>HYPERLINK("https://creighton-primo.hosted.exlibrisgroup.com/primo-explore/search?tab=default_tab&amp;search_scope=EVERYTHING&amp;vid=01CRU&amp;lang=en_US&amp;offset=0&amp;query=any,contains,991002219179702656","Catalog Record")</f>
        <v/>
      </c>
      <c r="AV964">
        <f>HYPERLINK("http://www.worldcat.org/oclc/289570","WorldCat Record")</f>
        <v/>
      </c>
      <c r="AW964" t="inlineStr">
        <is>
          <t>8908505825:eng</t>
        </is>
      </c>
      <c r="AX964" t="inlineStr">
        <is>
          <t>289570</t>
        </is>
      </c>
      <c r="AY964" t="inlineStr">
        <is>
          <t>991002219179702656</t>
        </is>
      </c>
      <c r="AZ964" t="inlineStr">
        <is>
          <t>991002219179702656</t>
        </is>
      </c>
      <c r="BA964" t="inlineStr">
        <is>
          <t>2261944190002656</t>
        </is>
      </c>
      <c r="BB964" t="inlineStr">
        <is>
          <t>BOOK</t>
        </is>
      </c>
      <c r="BE964" t="inlineStr">
        <is>
          <t>32285003150983</t>
        </is>
      </c>
      <c r="BF964" t="inlineStr">
        <is>
          <t>893439900</t>
        </is>
      </c>
    </row>
    <row r="965">
      <c r="A965" t="inlineStr">
        <is>
          <t>No</t>
        </is>
      </c>
      <c r="B965" t="inlineStr">
        <is>
          <t>CURAL</t>
        </is>
      </c>
      <c r="C965" t="inlineStr">
        <is>
          <t>SHELVES</t>
        </is>
      </c>
      <c r="D965" t="inlineStr">
        <is>
          <t>PR328 .G8 1965</t>
        </is>
      </c>
      <c r="E965" t="inlineStr">
        <is>
          <t>0                      PR 0328000G  8           1965</t>
        </is>
      </c>
      <c r="F965" t="inlineStr">
        <is>
          <t>The Arthurian epic: a comparative study of the Cambrian, Breton, and Anglo-Norman versions of the story and Tennyson's Idylls of the King.</t>
        </is>
      </c>
      <c r="H965" t="inlineStr">
        <is>
          <t>No</t>
        </is>
      </c>
      <c r="I965" t="inlineStr">
        <is>
          <t>1</t>
        </is>
      </c>
      <c r="J965" t="inlineStr">
        <is>
          <t>No</t>
        </is>
      </c>
      <c r="K965" t="inlineStr">
        <is>
          <t>No</t>
        </is>
      </c>
      <c r="L965" t="inlineStr">
        <is>
          <t>0</t>
        </is>
      </c>
      <c r="M965" t="inlineStr">
        <is>
          <t>Gurteen, S. Humphreys (Stephen Humphreys Villiers), 1840-1898.</t>
        </is>
      </c>
      <c r="N965" t="inlineStr">
        <is>
          <t>New York, Haskell House, 1965.</t>
        </is>
      </c>
      <c r="O965" t="inlineStr">
        <is>
          <t>1965</t>
        </is>
      </c>
      <c r="Q965" t="inlineStr">
        <is>
          <t>eng</t>
        </is>
      </c>
      <c r="R965" t="inlineStr">
        <is>
          <t>nyu</t>
        </is>
      </c>
      <c r="T965" t="inlineStr">
        <is>
          <t xml:space="preserve">PR </t>
        </is>
      </c>
      <c r="U965" t="n">
        <v>2</v>
      </c>
      <c r="V965" t="n">
        <v>2</v>
      </c>
      <c r="W965" t="inlineStr">
        <is>
          <t>2004-05-25</t>
        </is>
      </c>
      <c r="X965" t="inlineStr">
        <is>
          <t>2004-05-25</t>
        </is>
      </c>
      <c r="Y965" t="inlineStr">
        <is>
          <t>1997-08-19</t>
        </is>
      </c>
      <c r="Z965" t="inlineStr">
        <is>
          <t>1997-08-19</t>
        </is>
      </c>
      <c r="AA965" t="n">
        <v>321</v>
      </c>
      <c r="AB965" t="n">
        <v>296</v>
      </c>
      <c r="AC965" t="n">
        <v>491</v>
      </c>
      <c r="AD965" t="n">
        <v>3</v>
      </c>
      <c r="AE965" t="n">
        <v>4</v>
      </c>
      <c r="AF965" t="n">
        <v>14</v>
      </c>
      <c r="AG965" t="n">
        <v>22</v>
      </c>
      <c r="AH965" t="n">
        <v>4</v>
      </c>
      <c r="AI965" t="n">
        <v>6</v>
      </c>
      <c r="AJ965" t="n">
        <v>4</v>
      </c>
      <c r="AK965" t="n">
        <v>7</v>
      </c>
      <c r="AL965" t="n">
        <v>6</v>
      </c>
      <c r="AM965" t="n">
        <v>11</v>
      </c>
      <c r="AN965" t="n">
        <v>2</v>
      </c>
      <c r="AO965" t="n">
        <v>3</v>
      </c>
      <c r="AP965" t="n">
        <v>0</v>
      </c>
      <c r="AQ965" t="n">
        <v>0</v>
      </c>
      <c r="AR965" t="inlineStr">
        <is>
          <t>No</t>
        </is>
      </c>
      <c r="AS965" t="inlineStr">
        <is>
          <t>Yes</t>
        </is>
      </c>
      <c r="AT965">
        <f>HYPERLINK("http://catalog.hathitrust.org/Record/006810288","HathiTrust Record")</f>
        <v/>
      </c>
      <c r="AU965">
        <f>HYPERLINK("https://creighton-primo.hosted.exlibrisgroup.com/primo-explore/search?tab=default_tab&amp;search_scope=EVERYTHING&amp;vid=01CRU&amp;lang=en_US&amp;offset=0&amp;query=any,contains,991002440519702656","Catalog Record")</f>
        <v/>
      </c>
      <c r="AV965">
        <f>HYPERLINK("http://www.worldcat.org/oclc/349980","WorldCat Record")</f>
        <v/>
      </c>
      <c r="AW965" t="inlineStr">
        <is>
          <t>131795933:eng</t>
        </is>
      </c>
      <c r="AX965" t="inlineStr">
        <is>
          <t>349980</t>
        </is>
      </c>
      <c r="AY965" t="inlineStr">
        <is>
          <t>991002440519702656</t>
        </is>
      </c>
      <c r="AZ965" t="inlineStr">
        <is>
          <t>991002440519702656</t>
        </is>
      </c>
      <c r="BA965" t="inlineStr">
        <is>
          <t>2267266170002656</t>
        </is>
      </c>
      <c r="BB965" t="inlineStr">
        <is>
          <t>BOOK</t>
        </is>
      </c>
      <c r="BE965" t="inlineStr">
        <is>
          <t>32285003151007</t>
        </is>
      </c>
      <c r="BF965" t="inlineStr">
        <is>
          <t>893316810</t>
        </is>
      </c>
    </row>
    <row r="966">
      <c r="A966" t="inlineStr">
        <is>
          <t>No</t>
        </is>
      </c>
      <c r="B966" t="inlineStr">
        <is>
          <t>CURAL</t>
        </is>
      </c>
      <c r="C966" t="inlineStr">
        <is>
          <t>SHELVES</t>
        </is>
      </c>
      <c r="D966" t="inlineStr">
        <is>
          <t>PR3302 .G7</t>
        </is>
      </c>
      <c r="E966" t="inlineStr">
        <is>
          <t>0                      PR 3302000G  7</t>
        </is>
      </c>
      <c r="F966" t="inlineStr">
        <is>
          <t>Selections from the Tatler, the Spectator and their successors; ed. with an introd. by Walter Graham.</t>
        </is>
      </c>
      <c r="H966" t="inlineStr">
        <is>
          <t>No</t>
        </is>
      </c>
      <c r="I966" t="inlineStr">
        <is>
          <t>1</t>
        </is>
      </c>
      <c r="J966" t="inlineStr">
        <is>
          <t>No</t>
        </is>
      </c>
      <c r="K966" t="inlineStr">
        <is>
          <t>No</t>
        </is>
      </c>
      <c r="L966" t="inlineStr">
        <is>
          <t>0</t>
        </is>
      </c>
      <c r="N966" t="inlineStr">
        <is>
          <t>New York, Nelson, 1928.</t>
        </is>
      </c>
      <c r="O966" t="inlineStr">
        <is>
          <t>1928</t>
        </is>
      </c>
      <c r="Q966" t="inlineStr">
        <is>
          <t>eng</t>
        </is>
      </c>
      <c r="R966" t="inlineStr">
        <is>
          <t>nyu</t>
        </is>
      </c>
      <c r="S966" t="inlineStr">
        <is>
          <t>Nelson's English ser.</t>
        </is>
      </c>
      <c r="T966" t="inlineStr">
        <is>
          <t xml:space="preserve">PR </t>
        </is>
      </c>
      <c r="U966" t="n">
        <v>1</v>
      </c>
      <c r="V966" t="n">
        <v>1</v>
      </c>
      <c r="W966" t="inlineStr">
        <is>
          <t>2002-10-29</t>
        </is>
      </c>
      <c r="X966" t="inlineStr">
        <is>
          <t>2002-10-29</t>
        </is>
      </c>
      <c r="Y966" t="inlineStr">
        <is>
          <t>1997-08-06</t>
        </is>
      </c>
      <c r="Z966" t="inlineStr">
        <is>
          <t>1997-08-06</t>
        </is>
      </c>
      <c r="AA966" t="n">
        <v>137</v>
      </c>
      <c r="AB966" t="n">
        <v>128</v>
      </c>
      <c r="AC966" t="n">
        <v>143</v>
      </c>
      <c r="AD966" t="n">
        <v>3</v>
      </c>
      <c r="AE966" t="n">
        <v>3</v>
      </c>
      <c r="AF966" t="n">
        <v>9</v>
      </c>
      <c r="AG966" t="n">
        <v>11</v>
      </c>
      <c r="AH966" t="n">
        <v>3</v>
      </c>
      <c r="AI966" t="n">
        <v>3</v>
      </c>
      <c r="AJ966" t="n">
        <v>2</v>
      </c>
      <c r="AK966" t="n">
        <v>4</v>
      </c>
      <c r="AL966" t="n">
        <v>5</v>
      </c>
      <c r="AM966" t="n">
        <v>6</v>
      </c>
      <c r="AN966" t="n">
        <v>2</v>
      </c>
      <c r="AO966" t="n">
        <v>2</v>
      </c>
      <c r="AP966" t="n">
        <v>0</v>
      </c>
      <c r="AQ966" t="n">
        <v>0</v>
      </c>
      <c r="AR966" t="inlineStr">
        <is>
          <t>No</t>
        </is>
      </c>
      <c r="AS966" t="inlineStr">
        <is>
          <t>No</t>
        </is>
      </c>
      <c r="AT966">
        <f>HYPERLINK("http://catalog.hathitrust.org/Record/001004284","HathiTrust Record")</f>
        <v/>
      </c>
      <c r="AU966">
        <f>HYPERLINK("https://creighton-primo.hosted.exlibrisgroup.com/primo-explore/search?tab=default_tab&amp;search_scope=EVERYTHING&amp;vid=01CRU&amp;lang=en_US&amp;offset=0&amp;query=any,contains,991001835959702656","Catalog Record")</f>
        <v/>
      </c>
      <c r="AV966">
        <f>HYPERLINK("http://www.worldcat.org/oclc/549579","WorldCat Record")</f>
        <v/>
      </c>
      <c r="AW966" t="inlineStr">
        <is>
          <t>372951521:eng</t>
        </is>
      </c>
      <c r="AX966" t="inlineStr">
        <is>
          <t>549579</t>
        </is>
      </c>
      <c r="AY966" t="inlineStr">
        <is>
          <t>991001835959702656</t>
        </is>
      </c>
      <c r="AZ966" t="inlineStr">
        <is>
          <t>991001835959702656</t>
        </is>
      </c>
      <c r="BA966" t="inlineStr">
        <is>
          <t>2264871460002656</t>
        </is>
      </c>
      <c r="BB966" t="inlineStr">
        <is>
          <t>BOOK</t>
        </is>
      </c>
      <c r="BE966" t="inlineStr">
        <is>
          <t>32285003023123</t>
        </is>
      </c>
      <c r="BF966" t="inlineStr">
        <is>
          <t>893433171</t>
        </is>
      </c>
    </row>
    <row r="967">
      <c r="A967" t="inlineStr">
        <is>
          <t>No</t>
        </is>
      </c>
      <c r="B967" t="inlineStr">
        <is>
          <t>CURAL</t>
        </is>
      </c>
      <c r="C967" t="inlineStr">
        <is>
          <t>SHELVES</t>
        </is>
      </c>
      <c r="D967" t="inlineStr">
        <is>
          <t>PR3316.A4 Z647</t>
        </is>
      </c>
      <c r="E967" t="inlineStr">
        <is>
          <t>0                      PR 3316000A  4                  Z  647</t>
        </is>
      </c>
      <c r="F967" t="inlineStr">
        <is>
          <t>The history of Fanny Burney.</t>
        </is>
      </c>
      <c r="H967" t="inlineStr">
        <is>
          <t>No</t>
        </is>
      </c>
      <c r="I967" t="inlineStr">
        <is>
          <t>1</t>
        </is>
      </c>
      <c r="J967" t="inlineStr">
        <is>
          <t>No</t>
        </is>
      </c>
      <c r="K967" t="inlineStr">
        <is>
          <t>No</t>
        </is>
      </c>
      <c r="L967" t="inlineStr">
        <is>
          <t>0</t>
        </is>
      </c>
      <c r="M967" t="inlineStr">
        <is>
          <t>Hemlow, Joyce.</t>
        </is>
      </c>
      <c r="N967" t="inlineStr">
        <is>
          <t>Oxford, Clarendon Press, 1958.</t>
        </is>
      </c>
      <c r="O967" t="inlineStr">
        <is>
          <t>1958</t>
        </is>
      </c>
      <c r="Q967" t="inlineStr">
        <is>
          <t>eng</t>
        </is>
      </c>
      <c r="R967" t="inlineStr">
        <is>
          <t>enk</t>
        </is>
      </c>
      <c r="T967" t="inlineStr">
        <is>
          <t xml:space="preserve">PR </t>
        </is>
      </c>
      <c r="U967" t="n">
        <v>2</v>
      </c>
      <c r="V967" t="n">
        <v>2</v>
      </c>
      <c r="W967" t="inlineStr">
        <is>
          <t>1997-11-22</t>
        </is>
      </c>
      <c r="X967" t="inlineStr">
        <is>
          <t>1997-11-22</t>
        </is>
      </c>
      <c r="Y967" t="inlineStr">
        <is>
          <t>1997-08-06</t>
        </is>
      </c>
      <c r="Z967" t="inlineStr">
        <is>
          <t>1997-08-06</t>
        </is>
      </c>
      <c r="AA967" t="n">
        <v>888</v>
      </c>
      <c r="AB967" t="n">
        <v>713</v>
      </c>
      <c r="AC967" t="n">
        <v>721</v>
      </c>
      <c r="AD967" t="n">
        <v>5</v>
      </c>
      <c r="AE967" t="n">
        <v>5</v>
      </c>
      <c r="AF967" t="n">
        <v>39</v>
      </c>
      <c r="AG967" t="n">
        <v>39</v>
      </c>
      <c r="AH967" t="n">
        <v>17</v>
      </c>
      <c r="AI967" t="n">
        <v>17</v>
      </c>
      <c r="AJ967" t="n">
        <v>9</v>
      </c>
      <c r="AK967" t="n">
        <v>9</v>
      </c>
      <c r="AL967" t="n">
        <v>18</v>
      </c>
      <c r="AM967" t="n">
        <v>18</v>
      </c>
      <c r="AN967" t="n">
        <v>4</v>
      </c>
      <c r="AO967" t="n">
        <v>4</v>
      </c>
      <c r="AP967" t="n">
        <v>0</v>
      </c>
      <c r="AQ967" t="n">
        <v>0</v>
      </c>
      <c r="AR967" t="inlineStr">
        <is>
          <t>No</t>
        </is>
      </c>
      <c r="AS967" t="inlineStr">
        <is>
          <t>Yes</t>
        </is>
      </c>
      <c r="AT967">
        <f>HYPERLINK("http://catalog.hathitrust.org/Record/001367487","HathiTrust Record")</f>
        <v/>
      </c>
      <c r="AU967">
        <f>HYPERLINK("https://creighton-primo.hosted.exlibrisgroup.com/primo-explore/search?tab=default_tab&amp;search_scope=EVERYTHING&amp;vid=01CRU&amp;lang=en_US&amp;offset=0&amp;query=any,contains,991002452819702656","Catalog Record")</f>
        <v/>
      </c>
      <c r="AV967">
        <f>HYPERLINK("http://www.worldcat.org/oclc/353269","WorldCat Record")</f>
        <v/>
      </c>
      <c r="AW967" t="inlineStr">
        <is>
          <t>1391012:eng</t>
        </is>
      </c>
      <c r="AX967" t="inlineStr">
        <is>
          <t>353269</t>
        </is>
      </c>
      <c r="AY967" t="inlineStr">
        <is>
          <t>991002452819702656</t>
        </is>
      </c>
      <c r="AZ967" t="inlineStr">
        <is>
          <t>991002452819702656</t>
        </is>
      </c>
      <c r="BA967" t="inlineStr">
        <is>
          <t>2267921640002656</t>
        </is>
      </c>
      <c r="BB967" t="inlineStr">
        <is>
          <t>BOOK</t>
        </is>
      </c>
      <c r="BE967" t="inlineStr">
        <is>
          <t>32285003023271</t>
        </is>
      </c>
      <c r="BF967" t="inlineStr">
        <is>
          <t>893352334</t>
        </is>
      </c>
    </row>
    <row r="968">
      <c r="A968" t="inlineStr">
        <is>
          <t>No</t>
        </is>
      </c>
      <c r="B968" t="inlineStr">
        <is>
          <t>CURAL</t>
        </is>
      </c>
      <c r="C968" t="inlineStr">
        <is>
          <t>SHELVES</t>
        </is>
      </c>
      <c r="D968" t="inlineStr">
        <is>
          <t>PR3317.Z5 L5</t>
        </is>
      </c>
      <c r="E968" t="inlineStr">
        <is>
          <t>0                      PR 3317000Z  5                  L  5</t>
        </is>
      </c>
      <c r="F968" t="inlineStr">
        <is>
          <t>Aphra Behn / by Frederick M. Link.</t>
        </is>
      </c>
      <c r="H968" t="inlineStr">
        <is>
          <t>No</t>
        </is>
      </c>
      <c r="I968" t="inlineStr">
        <is>
          <t>1</t>
        </is>
      </c>
      <c r="J968" t="inlineStr">
        <is>
          <t>No</t>
        </is>
      </c>
      <c r="K968" t="inlineStr">
        <is>
          <t>No</t>
        </is>
      </c>
      <c r="L968" t="inlineStr">
        <is>
          <t>0</t>
        </is>
      </c>
      <c r="M968" t="inlineStr">
        <is>
          <t>Link, Frederick M.</t>
        </is>
      </c>
      <c r="N968" t="inlineStr">
        <is>
          <t>New York : Twayne Publishers, [1968]</t>
        </is>
      </c>
      <c r="O968" t="inlineStr">
        <is>
          <t>1968</t>
        </is>
      </c>
      <c r="Q968" t="inlineStr">
        <is>
          <t>eng</t>
        </is>
      </c>
      <c r="R968" t="inlineStr">
        <is>
          <t>nyu</t>
        </is>
      </c>
      <c r="S968" t="inlineStr">
        <is>
          <t>Twayne's English authors series, no. 63</t>
        </is>
      </c>
      <c r="T968" t="inlineStr">
        <is>
          <t xml:space="preserve">PR </t>
        </is>
      </c>
      <c r="U968" t="n">
        <v>12</v>
      </c>
      <c r="V968" t="n">
        <v>12</v>
      </c>
      <c r="W968" t="inlineStr">
        <is>
          <t>2009-11-14</t>
        </is>
      </c>
      <c r="X968" t="inlineStr">
        <is>
          <t>2009-11-14</t>
        </is>
      </c>
      <c r="Y968" t="inlineStr">
        <is>
          <t>1991-02-28</t>
        </is>
      </c>
      <c r="Z968" t="inlineStr">
        <is>
          <t>1991-02-28</t>
        </is>
      </c>
      <c r="AA968" t="n">
        <v>821</v>
      </c>
      <c r="AB968" t="n">
        <v>733</v>
      </c>
      <c r="AC968" t="n">
        <v>866</v>
      </c>
      <c r="AD968" t="n">
        <v>7</v>
      </c>
      <c r="AE968" t="n">
        <v>9</v>
      </c>
      <c r="AF968" t="n">
        <v>45</v>
      </c>
      <c r="AG968" t="n">
        <v>49</v>
      </c>
      <c r="AH968" t="n">
        <v>18</v>
      </c>
      <c r="AI968" t="n">
        <v>20</v>
      </c>
      <c r="AJ968" t="n">
        <v>10</v>
      </c>
      <c r="AK968" t="n">
        <v>10</v>
      </c>
      <c r="AL968" t="n">
        <v>22</v>
      </c>
      <c r="AM968" t="n">
        <v>22</v>
      </c>
      <c r="AN968" t="n">
        <v>6</v>
      </c>
      <c r="AO968" t="n">
        <v>8</v>
      </c>
      <c r="AP968" t="n">
        <v>0</v>
      </c>
      <c r="AQ968" t="n">
        <v>0</v>
      </c>
      <c r="AR968" t="inlineStr">
        <is>
          <t>No</t>
        </is>
      </c>
      <c r="AS968" t="inlineStr">
        <is>
          <t>Yes</t>
        </is>
      </c>
      <c r="AT968">
        <f>HYPERLINK("http://catalog.hathitrust.org/Record/000425246","HathiTrust Record")</f>
        <v/>
      </c>
      <c r="AU968">
        <f>HYPERLINK("https://creighton-primo.hosted.exlibrisgroup.com/primo-explore/search?tab=default_tab&amp;search_scope=EVERYTHING&amp;vid=01CRU&amp;lang=en_US&amp;offset=0&amp;query=any,contains,991002457469702656","Catalog Record")</f>
        <v/>
      </c>
      <c r="AV968">
        <f>HYPERLINK("http://www.worldcat.org/oclc/354981","WorldCat Record")</f>
        <v/>
      </c>
      <c r="AW968" t="inlineStr">
        <is>
          <t>577163:eng</t>
        </is>
      </c>
      <c r="AX968" t="inlineStr">
        <is>
          <t>354981</t>
        </is>
      </c>
      <c r="AY968" t="inlineStr">
        <is>
          <t>991002457469702656</t>
        </is>
      </c>
      <c r="AZ968" t="inlineStr">
        <is>
          <t>991002457469702656</t>
        </is>
      </c>
      <c r="BA968" t="inlineStr">
        <is>
          <t>2266302500002656</t>
        </is>
      </c>
      <c r="BB968" t="inlineStr">
        <is>
          <t>BOOK</t>
        </is>
      </c>
      <c r="BE968" t="inlineStr">
        <is>
          <t>32285000494988</t>
        </is>
      </c>
      <c r="BF968" t="inlineStr">
        <is>
          <t>893329102</t>
        </is>
      </c>
    </row>
    <row r="969">
      <c r="A969" t="inlineStr">
        <is>
          <t>No</t>
        </is>
      </c>
      <c r="B969" t="inlineStr">
        <is>
          <t>CURAL</t>
        </is>
      </c>
      <c r="C969" t="inlineStr">
        <is>
          <t>SHELVES</t>
        </is>
      </c>
      <c r="D969" t="inlineStr">
        <is>
          <t>PR3325 .F42 1984</t>
        </is>
      </c>
      <c r="E969" t="inlineStr">
        <is>
          <t>0                      PR 3325000F  42          1984</t>
        </is>
      </c>
      <c r="F969" t="inlineStr">
        <is>
          <t>The moth and the candle : a life of James Boswell / Iain Finlayson.</t>
        </is>
      </c>
      <c r="H969" t="inlineStr">
        <is>
          <t>No</t>
        </is>
      </c>
      <c r="I969" t="inlineStr">
        <is>
          <t>1</t>
        </is>
      </c>
      <c r="J969" t="inlineStr">
        <is>
          <t>No</t>
        </is>
      </c>
      <c r="K969" t="inlineStr">
        <is>
          <t>Yes</t>
        </is>
      </c>
      <c r="L969" t="inlineStr">
        <is>
          <t>0</t>
        </is>
      </c>
      <c r="M969" t="inlineStr">
        <is>
          <t>Finlayson, Iain.</t>
        </is>
      </c>
      <c r="N969" t="inlineStr">
        <is>
          <t>New York : St. Martin's Press, 1984.</t>
        </is>
      </c>
      <c r="O969" t="inlineStr">
        <is>
          <t>1984</t>
        </is>
      </c>
      <c r="Q969" t="inlineStr">
        <is>
          <t>eng</t>
        </is>
      </c>
      <c r="R969" t="inlineStr">
        <is>
          <t>nyu</t>
        </is>
      </c>
      <c r="T969" t="inlineStr">
        <is>
          <t xml:space="preserve">PR </t>
        </is>
      </c>
      <c r="U969" t="n">
        <v>2</v>
      </c>
      <c r="V969" t="n">
        <v>2</v>
      </c>
      <c r="W969" t="inlineStr">
        <is>
          <t>1995-04-19</t>
        </is>
      </c>
      <c r="X969" t="inlineStr">
        <is>
          <t>1995-04-19</t>
        </is>
      </c>
      <c r="Y969" t="inlineStr">
        <is>
          <t>1991-10-07</t>
        </is>
      </c>
      <c r="Z969" t="inlineStr">
        <is>
          <t>1991-10-07</t>
        </is>
      </c>
      <c r="AA969" t="n">
        <v>240</v>
      </c>
      <c r="AB969" t="n">
        <v>226</v>
      </c>
      <c r="AC969" t="n">
        <v>297</v>
      </c>
      <c r="AD969" t="n">
        <v>2</v>
      </c>
      <c r="AE969" t="n">
        <v>3</v>
      </c>
      <c r="AF969" t="n">
        <v>15</v>
      </c>
      <c r="AG969" t="n">
        <v>16</v>
      </c>
      <c r="AH969" t="n">
        <v>6</v>
      </c>
      <c r="AI969" t="n">
        <v>6</v>
      </c>
      <c r="AJ969" t="n">
        <v>5</v>
      </c>
      <c r="AK969" t="n">
        <v>5</v>
      </c>
      <c r="AL969" t="n">
        <v>9</v>
      </c>
      <c r="AM969" t="n">
        <v>9</v>
      </c>
      <c r="AN969" t="n">
        <v>1</v>
      </c>
      <c r="AO969" t="n">
        <v>2</v>
      </c>
      <c r="AP969" t="n">
        <v>0</v>
      </c>
      <c r="AQ969" t="n">
        <v>0</v>
      </c>
      <c r="AR969" t="inlineStr">
        <is>
          <t>No</t>
        </is>
      </c>
      <c r="AS969" t="inlineStr">
        <is>
          <t>No</t>
        </is>
      </c>
      <c r="AU969">
        <f>HYPERLINK("https://creighton-primo.hosted.exlibrisgroup.com/primo-explore/search?tab=default_tab&amp;search_scope=EVERYTHING&amp;vid=01CRU&amp;lang=en_US&amp;offset=0&amp;query=any,contains,991000383749702656","Catalog Record")</f>
        <v/>
      </c>
      <c r="AV969">
        <f>HYPERLINK("http://www.worldcat.org/oclc/10506398","WorldCat Record")</f>
        <v/>
      </c>
      <c r="AW969" t="inlineStr">
        <is>
          <t>198009972:eng</t>
        </is>
      </c>
      <c r="AX969" t="inlineStr">
        <is>
          <t>10506398</t>
        </is>
      </c>
      <c r="AY969" t="inlineStr">
        <is>
          <t>991000383749702656</t>
        </is>
      </c>
      <c r="AZ969" t="inlineStr">
        <is>
          <t>991000383749702656</t>
        </is>
      </c>
      <c r="BA969" t="inlineStr">
        <is>
          <t>2255765410002656</t>
        </is>
      </c>
      <c r="BB969" t="inlineStr">
        <is>
          <t>BOOK</t>
        </is>
      </c>
      <c r="BD969" t="inlineStr">
        <is>
          <t>9780312549183</t>
        </is>
      </c>
      <c r="BE969" t="inlineStr">
        <is>
          <t>32285000771765</t>
        </is>
      </c>
      <c r="BF969" t="inlineStr">
        <is>
          <t>893345598</t>
        </is>
      </c>
    </row>
    <row r="970">
      <c r="A970" t="inlineStr">
        <is>
          <t>No</t>
        </is>
      </c>
      <c r="B970" t="inlineStr">
        <is>
          <t>CURAL</t>
        </is>
      </c>
      <c r="C970" t="inlineStr">
        <is>
          <t>SHELVES</t>
        </is>
      </c>
      <c r="D970" t="inlineStr">
        <is>
          <t>PR3325 .M37 2000</t>
        </is>
      </c>
      <c r="E970" t="inlineStr">
        <is>
          <t>0                      PR 3325000M  37          2000</t>
        </is>
      </c>
      <c r="F970" t="inlineStr">
        <is>
          <t>A life of James Boswell / Peter Martin.</t>
        </is>
      </c>
      <c r="H970" t="inlineStr">
        <is>
          <t>No</t>
        </is>
      </c>
      <c r="I970" t="inlineStr">
        <is>
          <t>1</t>
        </is>
      </c>
      <c r="J970" t="inlineStr">
        <is>
          <t>No</t>
        </is>
      </c>
      <c r="K970" t="inlineStr">
        <is>
          <t>No</t>
        </is>
      </c>
      <c r="L970" t="inlineStr">
        <is>
          <t>0</t>
        </is>
      </c>
      <c r="M970" t="inlineStr">
        <is>
          <t>Martin, Peter, 1940-</t>
        </is>
      </c>
      <c r="N970" t="inlineStr">
        <is>
          <t>New Haven : Yale University Press, 2000.</t>
        </is>
      </c>
      <c r="O970" t="inlineStr">
        <is>
          <t>2000</t>
        </is>
      </c>
      <c r="Q970" t="inlineStr">
        <is>
          <t>eng</t>
        </is>
      </c>
      <c r="R970" t="inlineStr">
        <is>
          <t>ctu</t>
        </is>
      </c>
      <c r="T970" t="inlineStr">
        <is>
          <t xml:space="preserve">PR </t>
        </is>
      </c>
      <c r="U970" t="n">
        <v>1</v>
      </c>
      <c r="V970" t="n">
        <v>1</v>
      </c>
      <c r="W970" t="inlineStr">
        <is>
          <t>2001-01-15</t>
        </is>
      </c>
      <c r="X970" t="inlineStr">
        <is>
          <t>2001-01-15</t>
        </is>
      </c>
      <c r="Y970" t="inlineStr">
        <is>
          <t>2001-01-15</t>
        </is>
      </c>
      <c r="Z970" t="inlineStr">
        <is>
          <t>2001-01-15</t>
        </is>
      </c>
      <c r="AA970" t="n">
        <v>759</v>
      </c>
      <c r="AB970" t="n">
        <v>716</v>
      </c>
      <c r="AC970" t="n">
        <v>784</v>
      </c>
      <c r="AD970" t="n">
        <v>5</v>
      </c>
      <c r="AE970" t="n">
        <v>5</v>
      </c>
      <c r="AF970" t="n">
        <v>38</v>
      </c>
      <c r="AG970" t="n">
        <v>41</v>
      </c>
      <c r="AH970" t="n">
        <v>20</v>
      </c>
      <c r="AI970" t="n">
        <v>21</v>
      </c>
      <c r="AJ970" t="n">
        <v>8</v>
      </c>
      <c r="AK970" t="n">
        <v>10</v>
      </c>
      <c r="AL970" t="n">
        <v>18</v>
      </c>
      <c r="AM970" t="n">
        <v>20</v>
      </c>
      <c r="AN970" t="n">
        <v>3</v>
      </c>
      <c r="AO970" t="n">
        <v>3</v>
      </c>
      <c r="AP970" t="n">
        <v>0</v>
      </c>
      <c r="AQ970" t="n">
        <v>0</v>
      </c>
      <c r="AR970" t="inlineStr">
        <is>
          <t>No</t>
        </is>
      </c>
      <c r="AS970" t="inlineStr">
        <is>
          <t>No</t>
        </is>
      </c>
      <c r="AU970">
        <f>HYPERLINK("https://creighton-primo.hosted.exlibrisgroup.com/primo-explore/search?tab=default_tab&amp;search_scope=EVERYTHING&amp;vid=01CRU&amp;lang=en_US&amp;offset=0&amp;query=any,contains,991003352759702656","Catalog Record")</f>
        <v/>
      </c>
      <c r="AV970">
        <f>HYPERLINK("http://www.worldcat.org/oclc/45175811","WorldCat Record")</f>
        <v/>
      </c>
      <c r="AW970" t="inlineStr">
        <is>
          <t>20496104:eng</t>
        </is>
      </c>
      <c r="AX970" t="inlineStr">
        <is>
          <t>45175811</t>
        </is>
      </c>
      <c r="AY970" t="inlineStr">
        <is>
          <t>991003352759702656</t>
        </is>
      </c>
      <c r="AZ970" t="inlineStr">
        <is>
          <t>991003352759702656</t>
        </is>
      </c>
      <c r="BA970" t="inlineStr">
        <is>
          <t>2267409710002656</t>
        </is>
      </c>
      <c r="BB970" t="inlineStr">
        <is>
          <t>BOOK</t>
        </is>
      </c>
      <c r="BD970" t="inlineStr">
        <is>
          <t>9780300084894</t>
        </is>
      </c>
      <c r="BE970" t="inlineStr">
        <is>
          <t>32285004283221</t>
        </is>
      </c>
      <c r="BF970" t="inlineStr">
        <is>
          <t>893227993</t>
        </is>
      </c>
    </row>
    <row r="971">
      <c r="A971" t="inlineStr">
        <is>
          <t>No</t>
        </is>
      </c>
      <c r="B971" t="inlineStr">
        <is>
          <t>CURAL</t>
        </is>
      </c>
      <c r="C971" t="inlineStr">
        <is>
          <t>SHELVES</t>
        </is>
      </c>
      <c r="D971" t="inlineStr">
        <is>
          <t>PR3327 .D8 1950</t>
        </is>
      </c>
      <c r="E971" t="inlineStr">
        <is>
          <t>0                      PR 3327000D  8           1950</t>
        </is>
      </c>
      <c r="F971" t="inlineStr">
        <is>
          <t>Sir Thomas Browne, a study in religious philosophy.</t>
        </is>
      </c>
      <c r="H971" t="inlineStr">
        <is>
          <t>No</t>
        </is>
      </c>
      <c r="I971" t="inlineStr">
        <is>
          <t>1</t>
        </is>
      </c>
      <c r="J971" t="inlineStr">
        <is>
          <t>No</t>
        </is>
      </c>
      <c r="K971" t="inlineStr">
        <is>
          <t>No</t>
        </is>
      </c>
      <c r="L971" t="inlineStr">
        <is>
          <t>0</t>
        </is>
      </c>
      <c r="M971" t="inlineStr">
        <is>
          <t>Dunn, William P. (William Parmly), 1885-1958.</t>
        </is>
      </c>
      <c r="N971" t="inlineStr">
        <is>
          <t>Minneapolis, University of Minnesota Press [1950]</t>
        </is>
      </c>
      <c r="O971" t="inlineStr">
        <is>
          <t>1950</t>
        </is>
      </c>
      <c r="P971" t="inlineStr">
        <is>
          <t>[2d ed.]</t>
        </is>
      </c>
      <c r="Q971" t="inlineStr">
        <is>
          <t>eng</t>
        </is>
      </c>
      <c r="R971" t="inlineStr">
        <is>
          <t>mnu</t>
        </is>
      </c>
      <c r="T971" t="inlineStr">
        <is>
          <t xml:space="preserve">PR </t>
        </is>
      </c>
      <c r="U971" t="n">
        <v>2</v>
      </c>
      <c r="V971" t="n">
        <v>2</v>
      </c>
      <c r="W971" t="inlineStr">
        <is>
          <t>1997-08-18</t>
        </is>
      </c>
      <c r="X971" t="inlineStr">
        <is>
          <t>1997-08-18</t>
        </is>
      </c>
      <c r="Y971" t="inlineStr">
        <is>
          <t>1997-08-07</t>
        </is>
      </c>
      <c r="Z971" t="inlineStr">
        <is>
          <t>1997-08-07</t>
        </is>
      </c>
      <c r="AA971" t="n">
        <v>693</v>
      </c>
      <c r="AB971" t="n">
        <v>619</v>
      </c>
      <c r="AC971" t="n">
        <v>1005</v>
      </c>
      <c r="AD971" t="n">
        <v>5</v>
      </c>
      <c r="AE971" t="n">
        <v>8</v>
      </c>
      <c r="AF971" t="n">
        <v>34</v>
      </c>
      <c r="AG971" t="n">
        <v>49</v>
      </c>
      <c r="AH971" t="n">
        <v>11</v>
      </c>
      <c r="AI971" t="n">
        <v>19</v>
      </c>
      <c r="AJ971" t="n">
        <v>8</v>
      </c>
      <c r="AK971" t="n">
        <v>10</v>
      </c>
      <c r="AL971" t="n">
        <v>19</v>
      </c>
      <c r="AM971" t="n">
        <v>22</v>
      </c>
      <c r="AN971" t="n">
        <v>4</v>
      </c>
      <c r="AO971" t="n">
        <v>7</v>
      </c>
      <c r="AP971" t="n">
        <v>0</v>
      </c>
      <c r="AQ971" t="n">
        <v>1</v>
      </c>
      <c r="AR971" t="inlineStr">
        <is>
          <t>No</t>
        </is>
      </c>
      <c r="AS971" t="inlineStr">
        <is>
          <t>Yes</t>
        </is>
      </c>
      <c r="AT971">
        <f>HYPERLINK("http://catalog.hathitrust.org/Record/000475376","HathiTrust Record")</f>
        <v/>
      </c>
      <c r="AU971">
        <f>HYPERLINK("https://creighton-primo.hosted.exlibrisgroup.com/primo-explore/search?tab=default_tab&amp;search_scope=EVERYTHING&amp;vid=01CRU&amp;lang=en_US&amp;offset=0&amp;query=any,contains,991002453199702656","Catalog Record")</f>
        <v/>
      </c>
      <c r="AV971">
        <f>HYPERLINK("http://www.worldcat.org/oclc/353412","WorldCat Record")</f>
        <v/>
      </c>
      <c r="AW971" t="inlineStr">
        <is>
          <t>1391400:eng</t>
        </is>
      </c>
      <c r="AX971" t="inlineStr">
        <is>
          <t>353412</t>
        </is>
      </c>
      <c r="AY971" t="inlineStr">
        <is>
          <t>991002453199702656</t>
        </is>
      </c>
      <c r="AZ971" t="inlineStr">
        <is>
          <t>991002453199702656</t>
        </is>
      </c>
      <c r="BA971" t="inlineStr">
        <is>
          <t>2267886060002656</t>
        </is>
      </c>
      <c r="BB971" t="inlineStr">
        <is>
          <t>BOOK</t>
        </is>
      </c>
      <c r="BE971" t="inlineStr">
        <is>
          <t>32285003023735</t>
        </is>
      </c>
      <c r="BF971" t="inlineStr">
        <is>
          <t>893710305</t>
        </is>
      </c>
    </row>
    <row r="972">
      <c r="A972" t="inlineStr">
        <is>
          <t>No</t>
        </is>
      </c>
      <c r="B972" t="inlineStr">
        <is>
          <t>CURAL</t>
        </is>
      </c>
      <c r="C972" t="inlineStr">
        <is>
          <t>SHELVES</t>
        </is>
      </c>
      <c r="D972" t="inlineStr">
        <is>
          <t>PR3327 .H8</t>
        </is>
      </c>
      <c r="E972" t="inlineStr">
        <is>
          <t>0                      PR 3327000H  8</t>
        </is>
      </c>
      <c r="F972" t="inlineStr">
        <is>
          <t>Sir Thomas Browne, a biographical and critical study.</t>
        </is>
      </c>
      <c r="H972" t="inlineStr">
        <is>
          <t>No</t>
        </is>
      </c>
      <c r="I972" t="inlineStr">
        <is>
          <t>1</t>
        </is>
      </c>
      <c r="J972" t="inlineStr">
        <is>
          <t>No</t>
        </is>
      </c>
      <c r="K972" t="inlineStr">
        <is>
          <t>No</t>
        </is>
      </c>
      <c r="L972" t="inlineStr">
        <is>
          <t>0</t>
        </is>
      </c>
      <c r="M972" t="inlineStr">
        <is>
          <t>Huntley, Frank Livingstone, 1902-1998.</t>
        </is>
      </c>
      <c r="N972" t="inlineStr">
        <is>
          <t>Ann Arbor, University of Michigan Press [1962]</t>
        </is>
      </c>
      <c r="O972" t="inlineStr">
        <is>
          <t>1962</t>
        </is>
      </c>
      <c r="Q972" t="inlineStr">
        <is>
          <t>eng</t>
        </is>
      </c>
      <c r="R972" t="inlineStr">
        <is>
          <t>miu</t>
        </is>
      </c>
      <c r="T972" t="inlineStr">
        <is>
          <t xml:space="preserve">PR </t>
        </is>
      </c>
      <c r="U972" t="n">
        <v>2</v>
      </c>
      <c r="V972" t="n">
        <v>2</v>
      </c>
      <c r="W972" t="inlineStr">
        <is>
          <t>1997-08-18</t>
        </is>
      </c>
      <c r="X972" t="inlineStr">
        <is>
          <t>1997-08-18</t>
        </is>
      </c>
      <c r="Y972" t="inlineStr">
        <is>
          <t>1997-08-07</t>
        </is>
      </c>
      <c r="Z972" t="inlineStr">
        <is>
          <t>1997-08-07</t>
        </is>
      </c>
      <c r="AA972" t="n">
        <v>752</v>
      </c>
      <c r="AB972" t="n">
        <v>624</v>
      </c>
      <c r="AC972" t="n">
        <v>769</v>
      </c>
      <c r="AD972" t="n">
        <v>3</v>
      </c>
      <c r="AE972" t="n">
        <v>6</v>
      </c>
      <c r="AF972" t="n">
        <v>28</v>
      </c>
      <c r="AG972" t="n">
        <v>35</v>
      </c>
      <c r="AH972" t="n">
        <v>11</v>
      </c>
      <c r="AI972" t="n">
        <v>14</v>
      </c>
      <c r="AJ972" t="n">
        <v>6</v>
      </c>
      <c r="AK972" t="n">
        <v>7</v>
      </c>
      <c r="AL972" t="n">
        <v>19</v>
      </c>
      <c r="AM972" t="n">
        <v>20</v>
      </c>
      <c r="AN972" t="n">
        <v>1</v>
      </c>
      <c r="AO972" t="n">
        <v>4</v>
      </c>
      <c r="AP972" t="n">
        <v>0</v>
      </c>
      <c r="AQ972" t="n">
        <v>0</v>
      </c>
      <c r="AR972" t="inlineStr">
        <is>
          <t>No</t>
        </is>
      </c>
      <c r="AS972" t="inlineStr">
        <is>
          <t>Yes</t>
        </is>
      </c>
      <c r="AT972">
        <f>HYPERLINK("http://catalog.hathitrust.org/Record/001110954","HathiTrust Record")</f>
        <v/>
      </c>
      <c r="AU972">
        <f>HYPERLINK("https://creighton-primo.hosted.exlibrisgroup.com/primo-explore/search?tab=default_tab&amp;search_scope=EVERYTHING&amp;vid=01CRU&amp;lang=en_US&amp;offset=0&amp;query=any,contains,991002453229702656","Catalog Record")</f>
        <v/>
      </c>
      <c r="AV972">
        <f>HYPERLINK("http://www.worldcat.org/oclc/14620122","WorldCat Record")</f>
        <v/>
      </c>
      <c r="AW972" t="inlineStr">
        <is>
          <t>1391414:eng</t>
        </is>
      </c>
      <c r="AX972" t="inlineStr">
        <is>
          <t>14620122</t>
        </is>
      </c>
      <c r="AY972" t="inlineStr">
        <is>
          <t>991002453229702656</t>
        </is>
      </c>
      <c r="AZ972" t="inlineStr">
        <is>
          <t>991002453229702656</t>
        </is>
      </c>
      <c r="BA972" t="inlineStr">
        <is>
          <t>2267885930002656</t>
        </is>
      </c>
      <c r="BB972" t="inlineStr">
        <is>
          <t>BOOK</t>
        </is>
      </c>
      <c r="BE972" t="inlineStr">
        <is>
          <t>32285003023768</t>
        </is>
      </c>
      <c r="BF972" t="inlineStr">
        <is>
          <t>893335334</t>
        </is>
      </c>
    </row>
    <row r="973">
      <c r="A973" t="inlineStr">
        <is>
          <t>No</t>
        </is>
      </c>
      <c r="B973" t="inlineStr">
        <is>
          <t>CURAL</t>
        </is>
      </c>
      <c r="C973" t="inlineStr">
        <is>
          <t>SHELVES</t>
        </is>
      </c>
      <c r="D973" t="inlineStr">
        <is>
          <t>PR3327.A733 W5</t>
        </is>
      </c>
      <c r="E973" t="inlineStr">
        <is>
          <t>0                      PR 3327000A  733                W  5</t>
        </is>
      </c>
      <c r="F973" t="inlineStr">
        <is>
          <t>Sir Thomas Browne's Religio medici and two seventeenth century critics, by James N. Wise.</t>
        </is>
      </c>
      <c r="H973" t="inlineStr">
        <is>
          <t>No</t>
        </is>
      </c>
      <c r="I973" t="inlineStr">
        <is>
          <t>1</t>
        </is>
      </c>
      <c r="J973" t="inlineStr">
        <is>
          <t>No</t>
        </is>
      </c>
      <c r="K973" t="inlineStr">
        <is>
          <t>No</t>
        </is>
      </c>
      <c r="L973" t="inlineStr">
        <is>
          <t>0</t>
        </is>
      </c>
      <c r="M973" t="inlineStr">
        <is>
          <t>Wise, James N.</t>
        </is>
      </c>
      <c r="N973" t="inlineStr">
        <is>
          <t>[Columbia, Mo.] University of Missouri Press [1973]</t>
        </is>
      </c>
      <c r="O973" t="inlineStr">
        <is>
          <t>1973</t>
        </is>
      </c>
      <c r="Q973" t="inlineStr">
        <is>
          <t>eng</t>
        </is>
      </c>
      <c r="R973" t="inlineStr">
        <is>
          <t>mou</t>
        </is>
      </c>
      <c r="S973" t="inlineStr">
        <is>
          <t>University of Missouri studies ; v. 59</t>
        </is>
      </c>
      <c r="T973" t="inlineStr">
        <is>
          <t xml:space="preserve">PR </t>
        </is>
      </c>
      <c r="U973" t="n">
        <v>2</v>
      </c>
      <c r="V973" t="n">
        <v>2</v>
      </c>
      <c r="W973" t="inlineStr">
        <is>
          <t>1997-08-18</t>
        </is>
      </c>
      <c r="X973" t="inlineStr">
        <is>
          <t>1997-08-18</t>
        </is>
      </c>
      <c r="Y973" t="inlineStr">
        <is>
          <t>1997-08-07</t>
        </is>
      </c>
      <c r="Z973" t="inlineStr">
        <is>
          <t>1997-08-07</t>
        </is>
      </c>
      <c r="AA973" t="n">
        <v>572</v>
      </c>
      <c r="AB973" t="n">
        <v>469</v>
      </c>
      <c r="AC973" t="n">
        <v>474</v>
      </c>
      <c r="AD973" t="n">
        <v>6</v>
      </c>
      <c r="AE973" t="n">
        <v>6</v>
      </c>
      <c r="AF973" t="n">
        <v>26</v>
      </c>
      <c r="AG973" t="n">
        <v>26</v>
      </c>
      <c r="AH973" t="n">
        <v>6</v>
      </c>
      <c r="AI973" t="n">
        <v>6</v>
      </c>
      <c r="AJ973" t="n">
        <v>6</v>
      </c>
      <c r="AK973" t="n">
        <v>6</v>
      </c>
      <c r="AL973" t="n">
        <v>15</v>
      </c>
      <c r="AM973" t="n">
        <v>15</v>
      </c>
      <c r="AN973" t="n">
        <v>4</v>
      </c>
      <c r="AO973" t="n">
        <v>4</v>
      </c>
      <c r="AP973" t="n">
        <v>0</v>
      </c>
      <c r="AQ973" t="n">
        <v>0</v>
      </c>
      <c r="AR973" t="inlineStr">
        <is>
          <t>No</t>
        </is>
      </c>
      <c r="AS973" t="inlineStr">
        <is>
          <t>No</t>
        </is>
      </c>
      <c r="AU973">
        <f>HYPERLINK("https://creighton-primo.hosted.exlibrisgroup.com/primo-explore/search?tab=default_tab&amp;search_scope=EVERYTHING&amp;vid=01CRU&amp;lang=en_US&amp;offset=0&amp;query=any,contains,991003038669702656","Catalog Record")</f>
        <v/>
      </c>
      <c r="AV973">
        <f>HYPERLINK("http://www.worldcat.org/oclc/600389","WorldCat Record")</f>
        <v/>
      </c>
      <c r="AW973" t="inlineStr">
        <is>
          <t>176245682:eng</t>
        </is>
      </c>
      <c r="AX973" t="inlineStr">
        <is>
          <t>600389</t>
        </is>
      </c>
      <c r="AY973" t="inlineStr">
        <is>
          <t>991003038669702656</t>
        </is>
      </c>
      <c r="AZ973" t="inlineStr">
        <is>
          <t>991003038669702656</t>
        </is>
      </c>
      <c r="BA973" t="inlineStr">
        <is>
          <t>2261129580002656</t>
        </is>
      </c>
      <c r="BB973" t="inlineStr">
        <is>
          <t>BOOK</t>
        </is>
      </c>
      <c r="BD973" t="inlineStr">
        <is>
          <t>9780826201300</t>
        </is>
      </c>
      <c r="BE973" t="inlineStr">
        <is>
          <t>32285003023719</t>
        </is>
      </c>
      <c r="BF973" t="inlineStr">
        <is>
          <t>893721770</t>
        </is>
      </c>
    </row>
    <row r="974">
      <c r="A974" t="inlineStr">
        <is>
          <t>No</t>
        </is>
      </c>
      <c r="B974" t="inlineStr">
        <is>
          <t>CURAL</t>
        </is>
      </c>
      <c r="C974" t="inlineStr">
        <is>
          <t>SHELVES</t>
        </is>
      </c>
      <c r="D974" t="inlineStr">
        <is>
          <t>PR3331 .H55 1989</t>
        </is>
      </c>
      <c r="E974" t="inlineStr">
        <is>
          <t>0                      PR 3331000H  55          1989</t>
        </is>
      </c>
      <c r="F974" t="inlineStr">
        <is>
          <t>A tinker and a poor man : John Bunyan and his church, 1628-1688 / Christopher Hill.</t>
        </is>
      </c>
      <c r="H974" t="inlineStr">
        <is>
          <t>No</t>
        </is>
      </c>
      <c r="I974" t="inlineStr">
        <is>
          <t>1</t>
        </is>
      </c>
      <c r="J974" t="inlineStr">
        <is>
          <t>No</t>
        </is>
      </c>
      <c r="K974" t="inlineStr">
        <is>
          <t>No</t>
        </is>
      </c>
      <c r="L974" t="inlineStr">
        <is>
          <t>0</t>
        </is>
      </c>
      <c r="M974" t="inlineStr">
        <is>
          <t>Hill, Christopher, 1912-2003.</t>
        </is>
      </c>
      <c r="N974" t="inlineStr">
        <is>
          <t>New York : A. Knopf, 1989, c1988.</t>
        </is>
      </c>
      <c r="O974" t="inlineStr">
        <is>
          <t>1989</t>
        </is>
      </c>
      <c r="P974" t="inlineStr">
        <is>
          <t>1st American ed.</t>
        </is>
      </c>
      <c r="Q974" t="inlineStr">
        <is>
          <t>eng</t>
        </is>
      </c>
      <c r="R974" t="inlineStr">
        <is>
          <t>nyu</t>
        </is>
      </c>
      <c r="T974" t="inlineStr">
        <is>
          <t xml:space="preserve">PR </t>
        </is>
      </c>
      <c r="U974" t="n">
        <v>4</v>
      </c>
      <c r="V974" t="n">
        <v>4</v>
      </c>
      <c r="W974" t="inlineStr">
        <is>
          <t>1996-11-26</t>
        </is>
      </c>
      <c r="X974" t="inlineStr">
        <is>
          <t>1996-11-26</t>
        </is>
      </c>
      <c r="Y974" t="inlineStr">
        <is>
          <t>1991-10-07</t>
        </is>
      </c>
      <c r="Z974" t="inlineStr">
        <is>
          <t>1991-10-07</t>
        </is>
      </c>
      <c r="AA974" t="n">
        <v>832</v>
      </c>
      <c r="AB974" t="n">
        <v>764</v>
      </c>
      <c r="AC974" t="n">
        <v>894</v>
      </c>
      <c r="AD974" t="n">
        <v>7</v>
      </c>
      <c r="AE974" t="n">
        <v>7</v>
      </c>
      <c r="AF974" t="n">
        <v>32</v>
      </c>
      <c r="AG974" t="n">
        <v>35</v>
      </c>
      <c r="AH974" t="n">
        <v>15</v>
      </c>
      <c r="AI974" t="n">
        <v>16</v>
      </c>
      <c r="AJ974" t="n">
        <v>3</v>
      </c>
      <c r="AK974" t="n">
        <v>4</v>
      </c>
      <c r="AL974" t="n">
        <v>16</v>
      </c>
      <c r="AM974" t="n">
        <v>18</v>
      </c>
      <c r="AN974" t="n">
        <v>5</v>
      </c>
      <c r="AO974" t="n">
        <v>5</v>
      </c>
      <c r="AP974" t="n">
        <v>0</v>
      </c>
      <c r="AQ974" t="n">
        <v>0</v>
      </c>
      <c r="AR974" t="inlineStr">
        <is>
          <t>No</t>
        </is>
      </c>
      <c r="AS974" t="inlineStr">
        <is>
          <t>No</t>
        </is>
      </c>
      <c r="AU974">
        <f>HYPERLINK("https://creighton-primo.hosted.exlibrisgroup.com/primo-explore/search?tab=default_tab&amp;search_scope=EVERYTHING&amp;vid=01CRU&amp;lang=en_US&amp;offset=0&amp;query=any,contains,991001313829702656","Catalog Record")</f>
        <v/>
      </c>
      <c r="AV974">
        <f>HYPERLINK("http://www.worldcat.org/oclc/18164742","WorldCat Record")</f>
        <v/>
      </c>
      <c r="AW974" t="inlineStr">
        <is>
          <t>58208359:eng</t>
        </is>
      </c>
      <c r="AX974" t="inlineStr">
        <is>
          <t>18164742</t>
        </is>
      </c>
      <c r="AY974" t="inlineStr">
        <is>
          <t>991001313829702656</t>
        </is>
      </c>
      <c r="AZ974" t="inlineStr">
        <is>
          <t>991001313829702656</t>
        </is>
      </c>
      <c r="BA974" t="inlineStr">
        <is>
          <t>2261200110002656</t>
        </is>
      </c>
      <c r="BB974" t="inlineStr">
        <is>
          <t>BOOK</t>
        </is>
      </c>
      <c r="BD974" t="inlineStr">
        <is>
          <t>9780394572420</t>
        </is>
      </c>
      <c r="BE974" t="inlineStr">
        <is>
          <t>32285000771849</t>
        </is>
      </c>
      <c r="BF974" t="inlineStr">
        <is>
          <t>893872461</t>
        </is>
      </c>
    </row>
    <row r="975">
      <c r="A975" t="inlineStr">
        <is>
          <t>No</t>
        </is>
      </c>
      <c r="B975" t="inlineStr">
        <is>
          <t>CURAL</t>
        </is>
      </c>
      <c r="C975" t="inlineStr">
        <is>
          <t>SHELVES</t>
        </is>
      </c>
      <c r="D975" t="inlineStr">
        <is>
          <t>PR3331 .J64 1988</t>
        </is>
      </c>
      <c r="E975" t="inlineStr">
        <is>
          <t>0                      PR 3331000J  64          1988</t>
        </is>
      </c>
      <c r="F975" t="inlineStr">
        <is>
          <t>John Bunyan--Conventicle and Parnassus : tercentenary essays / edited by N.H. Keeble.</t>
        </is>
      </c>
      <c r="H975" t="inlineStr">
        <is>
          <t>No</t>
        </is>
      </c>
      <c r="I975" t="inlineStr">
        <is>
          <t>1</t>
        </is>
      </c>
      <c r="J975" t="inlineStr">
        <is>
          <t>No</t>
        </is>
      </c>
      <c r="K975" t="inlineStr">
        <is>
          <t>No</t>
        </is>
      </c>
      <c r="L975" t="inlineStr">
        <is>
          <t>0</t>
        </is>
      </c>
      <c r="N975" t="inlineStr">
        <is>
          <t>Oxford [Oxfordshire] : Clarendon Press ; New York : Oxford University Press, 1988.</t>
        </is>
      </c>
      <c r="O975" t="inlineStr">
        <is>
          <t>1988</t>
        </is>
      </c>
      <c r="Q975" t="inlineStr">
        <is>
          <t>eng</t>
        </is>
      </c>
      <c r="R975" t="inlineStr">
        <is>
          <t>enk</t>
        </is>
      </c>
      <c r="T975" t="inlineStr">
        <is>
          <t xml:space="preserve">PR </t>
        </is>
      </c>
      <c r="U975" t="n">
        <v>2</v>
      </c>
      <c r="V975" t="n">
        <v>2</v>
      </c>
      <c r="W975" t="inlineStr">
        <is>
          <t>1996-11-14</t>
        </is>
      </c>
      <c r="X975" t="inlineStr">
        <is>
          <t>1996-11-14</t>
        </is>
      </c>
      <c r="Y975" t="inlineStr">
        <is>
          <t>1991-10-07</t>
        </is>
      </c>
      <c r="Z975" t="inlineStr">
        <is>
          <t>1991-10-07</t>
        </is>
      </c>
      <c r="AA975" t="n">
        <v>355</v>
      </c>
      <c r="AB975" t="n">
        <v>243</v>
      </c>
      <c r="AC975" t="n">
        <v>250</v>
      </c>
      <c r="AD975" t="n">
        <v>2</v>
      </c>
      <c r="AE975" t="n">
        <v>2</v>
      </c>
      <c r="AF975" t="n">
        <v>15</v>
      </c>
      <c r="AG975" t="n">
        <v>15</v>
      </c>
      <c r="AH975" t="n">
        <v>6</v>
      </c>
      <c r="AI975" t="n">
        <v>6</v>
      </c>
      <c r="AJ975" t="n">
        <v>4</v>
      </c>
      <c r="AK975" t="n">
        <v>4</v>
      </c>
      <c r="AL975" t="n">
        <v>9</v>
      </c>
      <c r="AM975" t="n">
        <v>9</v>
      </c>
      <c r="AN975" t="n">
        <v>1</v>
      </c>
      <c r="AO975" t="n">
        <v>1</v>
      </c>
      <c r="AP975" t="n">
        <v>0</v>
      </c>
      <c r="AQ975" t="n">
        <v>0</v>
      </c>
      <c r="AR975" t="inlineStr">
        <is>
          <t>No</t>
        </is>
      </c>
      <c r="AS975" t="inlineStr">
        <is>
          <t>Yes</t>
        </is>
      </c>
      <c r="AT975">
        <f>HYPERLINK("http://catalog.hathitrust.org/Record/000916086","HathiTrust Record")</f>
        <v/>
      </c>
      <c r="AU975">
        <f>HYPERLINK("https://creighton-primo.hosted.exlibrisgroup.com/primo-explore/search?tab=default_tab&amp;search_scope=EVERYTHING&amp;vid=01CRU&amp;lang=en_US&amp;offset=0&amp;query=any,contains,991001137239702656","Catalog Record")</f>
        <v/>
      </c>
      <c r="AV975">
        <f>HYPERLINK("http://www.worldcat.org/oclc/16717574","WorldCat Record")</f>
        <v/>
      </c>
      <c r="AW975" t="inlineStr">
        <is>
          <t>836720876:eng</t>
        </is>
      </c>
      <c r="AX975" t="inlineStr">
        <is>
          <t>16717574</t>
        </is>
      </c>
      <c r="AY975" t="inlineStr">
        <is>
          <t>991001137239702656</t>
        </is>
      </c>
      <c r="AZ975" t="inlineStr">
        <is>
          <t>991001137239702656</t>
        </is>
      </c>
      <c r="BA975" t="inlineStr">
        <is>
          <t>2256522950002656</t>
        </is>
      </c>
      <c r="BB975" t="inlineStr">
        <is>
          <t>BOOK</t>
        </is>
      </c>
      <c r="BD975" t="inlineStr">
        <is>
          <t>9780198128335</t>
        </is>
      </c>
      <c r="BE975" t="inlineStr">
        <is>
          <t>32285000771856</t>
        </is>
      </c>
      <c r="BF975" t="inlineStr">
        <is>
          <t>893778589</t>
        </is>
      </c>
    </row>
    <row r="976">
      <c r="A976" t="inlineStr">
        <is>
          <t>No</t>
        </is>
      </c>
      <c r="B976" t="inlineStr">
        <is>
          <t>CURAL</t>
        </is>
      </c>
      <c r="C976" t="inlineStr">
        <is>
          <t>SHELVES</t>
        </is>
      </c>
      <c r="D976" t="inlineStr">
        <is>
          <t>PR3332 .B35 1984</t>
        </is>
      </c>
      <c r="E976" t="inlineStr">
        <is>
          <t>0                      PR 3332000B  35          1984</t>
        </is>
      </c>
      <c r="F976" t="inlineStr">
        <is>
          <t>John Bunyan, allegory and imagination / E. Beatrice Batson.</t>
        </is>
      </c>
      <c r="H976" t="inlineStr">
        <is>
          <t>No</t>
        </is>
      </c>
      <c r="I976" t="inlineStr">
        <is>
          <t>1</t>
        </is>
      </c>
      <c r="J976" t="inlineStr">
        <is>
          <t>No</t>
        </is>
      </c>
      <c r="K976" t="inlineStr">
        <is>
          <t>No</t>
        </is>
      </c>
      <c r="L976" t="inlineStr">
        <is>
          <t>0</t>
        </is>
      </c>
      <c r="M976" t="inlineStr">
        <is>
          <t>Batson, E. Beatrice.</t>
        </is>
      </c>
      <c r="N976" t="inlineStr">
        <is>
          <t>Totowa, N.J. : Barnes &amp; Noble, 1984.</t>
        </is>
      </c>
      <c r="O976" t="inlineStr">
        <is>
          <t>1984</t>
        </is>
      </c>
      <c r="Q976" t="inlineStr">
        <is>
          <t>eng</t>
        </is>
      </c>
      <c r="R976" t="inlineStr">
        <is>
          <t>nju</t>
        </is>
      </c>
      <c r="T976" t="inlineStr">
        <is>
          <t xml:space="preserve">PR </t>
        </is>
      </c>
      <c r="U976" t="n">
        <v>4</v>
      </c>
      <c r="V976" t="n">
        <v>4</v>
      </c>
      <c r="W976" t="inlineStr">
        <is>
          <t>1996-11-14</t>
        </is>
      </c>
      <c r="X976" t="inlineStr">
        <is>
          <t>1996-11-14</t>
        </is>
      </c>
      <c r="Y976" t="inlineStr">
        <is>
          <t>1991-10-07</t>
        </is>
      </c>
      <c r="Z976" t="inlineStr">
        <is>
          <t>1991-10-07</t>
        </is>
      </c>
      <c r="AA976" t="n">
        <v>508</v>
      </c>
      <c r="AB976" t="n">
        <v>428</v>
      </c>
      <c r="AC976" t="n">
        <v>435</v>
      </c>
      <c r="AD976" t="n">
        <v>3</v>
      </c>
      <c r="AE976" t="n">
        <v>3</v>
      </c>
      <c r="AF976" t="n">
        <v>24</v>
      </c>
      <c r="AG976" t="n">
        <v>24</v>
      </c>
      <c r="AH976" t="n">
        <v>12</v>
      </c>
      <c r="AI976" t="n">
        <v>12</v>
      </c>
      <c r="AJ976" t="n">
        <v>7</v>
      </c>
      <c r="AK976" t="n">
        <v>7</v>
      </c>
      <c r="AL976" t="n">
        <v>11</v>
      </c>
      <c r="AM976" t="n">
        <v>11</v>
      </c>
      <c r="AN976" t="n">
        <v>2</v>
      </c>
      <c r="AO976" t="n">
        <v>2</v>
      </c>
      <c r="AP976" t="n">
        <v>0</v>
      </c>
      <c r="AQ976" t="n">
        <v>0</v>
      </c>
      <c r="AR976" t="inlineStr">
        <is>
          <t>No</t>
        </is>
      </c>
      <c r="AS976" t="inlineStr">
        <is>
          <t>Yes</t>
        </is>
      </c>
      <c r="AT976">
        <f>HYPERLINK("http://catalog.hathitrust.org/Record/000242786","HathiTrust Record")</f>
        <v/>
      </c>
      <c r="AU976">
        <f>HYPERLINK("https://creighton-primo.hosted.exlibrisgroup.com/primo-explore/search?tab=default_tab&amp;search_scope=EVERYTHING&amp;vid=01CRU&amp;lang=en_US&amp;offset=0&amp;query=any,contains,991000304569702656","Catalog Record")</f>
        <v/>
      </c>
      <c r="AV976">
        <f>HYPERLINK("http://www.worldcat.org/oclc/9823455","WorldCat Record")</f>
        <v/>
      </c>
      <c r="AW976" t="inlineStr">
        <is>
          <t>43129520:eng</t>
        </is>
      </c>
      <c r="AX976" t="inlineStr">
        <is>
          <t>9823455</t>
        </is>
      </c>
      <c r="AY976" t="inlineStr">
        <is>
          <t>991000304569702656</t>
        </is>
      </c>
      <c r="AZ976" t="inlineStr">
        <is>
          <t>991000304569702656</t>
        </is>
      </c>
      <c r="BA976" t="inlineStr">
        <is>
          <t>2258545360002656</t>
        </is>
      </c>
      <c r="BB976" t="inlineStr">
        <is>
          <t>BOOK</t>
        </is>
      </c>
      <c r="BD976" t="inlineStr">
        <is>
          <t>9780389204428</t>
        </is>
      </c>
      <c r="BE976" t="inlineStr">
        <is>
          <t>32285000771864</t>
        </is>
      </c>
      <c r="BF976" t="inlineStr">
        <is>
          <t>893896770</t>
        </is>
      </c>
    </row>
    <row r="977">
      <c r="A977" t="inlineStr">
        <is>
          <t>No</t>
        </is>
      </c>
      <c r="B977" t="inlineStr">
        <is>
          <t>CURAL</t>
        </is>
      </c>
      <c r="C977" t="inlineStr">
        <is>
          <t>SHELVES</t>
        </is>
      </c>
      <c r="D977" t="inlineStr">
        <is>
          <t>PR3332 .L89 1995</t>
        </is>
      </c>
      <c r="E977" t="inlineStr">
        <is>
          <t>0                      PR 3332000L  89          1995</t>
        </is>
      </c>
      <c r="F977" t="inlineStr">
        <is>
          <t>Literal figures : Puritan allegory and the Reformation crisis in representation / Thomas H. Luxon.</t>
        </is>
      </c>
      <c r="H977" t="inlineStr">
        <is>
          <t>No</t>
        </is>
      </c>
      <c r="I977" t="inlineStr">
        <is>
          <t>1</t>
        </is>
      </c>
      <c r="J977" t="inlineStr">
        <is>
          <t>No</t>
        </is>
      </c>
      <c r="K977" t="inlineStr">
        <is>
          <t>No</t>
        </is>
      </c>
      <c r="L977" t="inlineStr">
        <is>
          <t>0</t>
        </is>
      </c>
      <c r="M977" t="inlineStr">
        <is>
          <t>Luxon, Thomas H., 1954-</t>
        </is>
      </c>
      <c r="N977" t="inlineStr">
        <is>
          <t>Chicago : University of Chicago Press, c1995.</t>
        </is>
      </c>
      <c r="O977" t="inlineStr">
        <is>
          <t>1995</t>
        </is>
      </c>
      <c r="Q977" t="inlineStr">
        <is>
          <t>eng</t>
        </is>
      </c>
      <c r="R977" t="inlineStr">
        <is>
          <t>ilu</t>
        </is>
      </c>
      <c r="T977" t="inlineStr">
        <is>
          <t xml:space="preserve">PR </t>
        </is>
      </c>
      <c r="U977" t="n">
        <v>6</v>
      </c>
      <c r="V977" t="n">
        <v>6</v>
      </c>
      <c r="W977" t="inlineStr">
        <is>
          <t>2009-02-24</t>
        </is>
      </c>
      <c r="X977" t="inlineStr">
        <is>
          <t>2009-02-24</t>
        </is>
      </c>
      <c r="Y977" t="inlineStr">
        <is>
          <t>1996-04-12</t>
        </is>
      </c>
      <c r="Z977" t="inlineStr">
        <is>
          <t>1996-04-12</t>
        </is>
      </c>
      <c r="AA977" t="n">
        <v>458</v>
      </c>
      <c r="AB977" t="n">
        <v>368</v>
      </c>
      <c r="AC977" t="n">
        <v>368</v>
      </c>
      <c r="AD977" t="n">
        <v>3</v>
      </c>
      <c r="AE977" t="n">
        <v>3</v>
      </c>
      <c r="AF977" t="n">
        <v>19</v>
      </c>
      <c r="AG977" t="n">
        <v>19</v>
      </c>
      <c r="AH977" t="n">
        <v>5</v>
      </c>
      <c r="AI977" t="n">
        <v>5</v>
      </c>
      <c r="AJ977" t="n">
        <v>6</v>
      </c>
      <c r="AK977" t="n">
        <v>6</v>
      </c>
      <c r="AL977" t="n">
        <v>11</v>
      </c>
      <c r="AM977" t="n">
        <v>11</v>
      </c>
      <c r="AN977" t="n">
        <v>2</v>
      </c>
      <c r="AO977" t="n">
        <v>2</v>
      </c>
      <c r="AP977" t="n">
        <v>0</v>
      </c>
      <c r="AQ977" t="n">
        <v>0</v>
      </c>
      <c r="AR977" t="inlineStr">
        <is>
          <t>No</t>
        </is>
      </c>
      <c r="AS977" t="inlineStr">
        <is>
          <t>No</t>
        </is>
      </c>
      <c r="AU977">
        <f>HYPERLINK("https://creighton-primo.hosted.exlibrisgroup.com/primo-explore/search?tab=default_tab&amp;search_scope=EVERYTHING&amp;vid=01CRU&amp;lang=en_US&amp;offset=0&amp;query=any,contains,991002378729702656","Catalog Record")</f>
        <v/>
      </c>
      <c r="AV977">
        <f>HYPERLINK("http://www.worldcat.org/oclc/30913800","WorldCat Record")</f>
        <v/>
      </c>
      <c r="AW977" t="inlineStr">
        <is>
          <t>836921770:eng</t>
        </is>
      </c>
      <c r="AX977" t="inlineStr">
        <is>
          <t>30913800</t>
        </is>
      </c>
      <c r="AY977" t="inlineStr">
        <is>
          <t>991002378729702656</t>
        </is>
      </c>
      <c r="AZ977" t="inlineStr">
        <is>
          <t>991002378729702656</t>
        </is>
      </c>
      <c r="BA977" t="inlineStr">
        <is>
          <t>2270005600002656</t>
        </is>
      </c>
      <c r="BB977" t="inlineStr">
        <is>
          <t>BOOK</t>
        </is>
      </c>
      <c r="BD977" t="inlineStr">
        <is>
          <t>9780226497853</t>
        </is>
      </c>
      <c r="BE977" t="inlineStr">
        <is>
          <t>32285002152113</t>
        </is>
      </c>
      <c r="BF977" t="inlineStr">
        <is>
          <t>893704004</t>
        </is>
      </c>
    </row>
    <row r="978">
      <c r="A978" t="inlineStr">
        <is>
          <t>No</t>
        </is>
      </c>
      <c r="B978" t="inlineStr">
        <is>
          <t>CURAL</t>
        </is>
      </c>
      <c r="C978" t="inlineStr">
        <is>
          <t>SHELVES</t>
        </is>
      </c>
      <c r="D978" t="inlineStr">
        <is>
          <t>PR3332 .S2 1979</t>
        </is>
      </c>
      <c r="E978" t="inlineStr">
        <is>
          <t>0                      PR 3332000S  2           1979</t>
        </is>
      </c>
      <c r="F978" t="inlineStr">
        <is>
          <t>John Bunyan / Lynn Veach Sadler.</t>
        </is>
      </c>
      <c r="H978" t="inlineStr">
        <is>
          <t>No</t>
        </is>
      </c>
      <c r="I978" t="inlineStr">
        <is>
          <t>1</t>
        </is>
      </c>
      <c r="J978" t="inlineStr">
        <is>
          <t>No</t>
        </is>
      </c>
      <c r="K978" t="inlineStr">
        <is>
          <t>No</t>
        </is>
      </c>
      <c r="L978" t="inlineStr">
        <is>
          <t>0</t>
        </is>
      </c>
      <c r="M978" t="inlineStr">
        <is>
          <t>Sadler, Lynn Veach.</t>
        </is>
      </c>
      <c r="N978" t="inlineStr">
        <is>
          <t>Boston : Twayne Publishers, 1979.</t>
        </is>
      </c>
      <c r="O978" t="inlineStr">
        <is>
          <t>1979</t>
        </is>
      </c>
      <c r="Q978" t="inlineStr">
        <is>
          <t>eng</t>
        </is>
      </c>
      <c r="R978" t="inlineStr">
        <is>
          <t>mau</t>
        </is>
      </c>
      <c r="S978" t="inlineStr">
        <is>
          <t>Twayne's English authors series ; TEAS 260</t>
        </is>
      </c>
      <c r="T978" t="inlineStr">
        <is>
          <t xml:space="preserve">PR </t>
        </is>
      </c>
      <c r="U978" t="n">
        <v>2</v>
      </c>
      <c r="V978" t="n">
        <v>2</v>
      </c>
      <c r="W978" t="inlineStr">
        <is>
          <t>2009-02-24</t>
        </is>
      </c>
      <c r="X978" t="inlineStr">
        <is>
          <t>2009-02-24</t>
        </is>
      </c>
      <c r="Y978" t="inlineStr">
        <is>
          <t>1991-10-07</t>
        </is>
      </c>
      <c r="Z978" t="inlineStr">
        <is>
          <t>1991-10-07</t>
        </is>
      </c>
      <c r="AA978" t="n">
        <v>908</v>
      </c>
      <c r="AB978" t="n">
        <v>821</v>
      </c>
      <c r="AC978" t="n">
        <v>920</v>
      </c>
      <c r="AD978" t="n">
        <v>9</v>
      </c>
      <c r="AE978" t="n">
        <v>9</v>
      </c>
      <c r="AF978" t="n">
        <v>37</v>
      </c>
      <c r="AG978" t="n">
        <v>40</v>
      </c>
      <c r="AH978" t="n">
        <v>16</v>
      </c>
      <c r="AI978" t="n">
        <v>17</v>
      </c>
      <c r="AJ978" t="n">
        <v>8</v>
      </c>
      <c r="AK978" t="n">
        <v>9</v>
      </c>
      <c r="AL978" t="n">
        <v>13</v>
      </c>
      <c r="AM978" t="n">
        <v>15</v>
      </c>
      <c r="AN978" t="n">
        <v>7</v>
      </c>
      <c r="AO978" t="n">
        <v>7</v>
      </c>
      <c r="AP978" t="n">
        <v>0</v>
      </c>
      <c r="AQ978" t="n">
        <v>0</v>
      </c>
      <c r="AR978" t="inlineStr">
        <is>
          <t>No</t>
        </is>
      </c>
      <c r="AS978" t="inlineStr">
        <is>
          <t>Yes</t>
        </is>
      </c>
      <c r="AT978">
        <f>HYPERLINK("http://catalog.hathitrust.org/Record/000255736","HathiTrust Record")</f>
        <v/>
      </c>
      <c r="AU978">
        <f>HYPERLINK("https://creighton-primo.hosted.exlibrisgroup.com/primo-explore/search?tab=default_tab&amp;search_scope=EVERYTHING&amp;vid=01CRU&amp;lang=en_US&amp;offset=0&amp;query=any,contains,991004649579702656","Catalog Record")</f>
        <v/>
      </c>
      <c r="AV978">
        <f>HYPERLINK("http://www.worldcat.org/oclc/4493365","WorldCat Record")</f>
        <v/>
      </c>
      <c r="AW978" t="inlineStr">
        <is>
          <t>14764549:eng</t>
        </is>
      </c>
      <c r="AX978" t="inlineStr">
        <is>
          <t>4493365</t>
        </is>
      </c>
      <c r="AY978" t="inlineStr">
        <is>
          <t>991004649579702656</t>
        </is>
      </c>
      <c r="AZ978" t="inlineStr">
        <is>
          <t>991004649579702656</t>
        </is>
      </c>
      <c r="BA978" t="inlineStr">
        <is>
          <t>2260894670002656</t>
        </is>
      </c>
      <c r="BB978" t="inlineStr">
        <is>
          <t>BOOK</t>
        </is>
      </c>
      <c r="BD978" t="inlineStr">
        <is>
          <t>9780805767520</t>
        </is>
      </c>
      <c r="BE978" t="inlineStr">
        <is>
          <t>32285000771872</t>
        </is>
      </c>
      <c r="BF978" t="inlineStr">
        <is>
          <t>893712855</t>
        </is>
      </c>
    </row>
    <row r="979">
      <c r="A979" t="inlineStr">
        <is>
          <t>No</t>
        </is>
      </c>
      <c r="B979" t="inlineStr">
        <is>
          <t>CURAL</t>
        </is>
      </c>
      <c r="C979" t="inlineStr">
        <is>
          <t>SHELVES</t>
        </is>
      </c>
      <c r="D979" t="inlineStr">
        <is>
          <t>PR3339.C2 Z79 1979</t>
        </is>
      </c>
      <c r="E979" t="inlineStr">
        <is>
          <t>0                      PR 3339000C  2                  Z  79          1979</t>
        </is>
      </c>
      <c r="F979" t="inlineStr">
        <is>
          <t>Thomas Carew / Lynn Sadler.</t>
        </is>
      </c>
      <c r="H979" t="inlineStr">
        <is>
          <t>No</t>
        </is>
      </c>
      <c r="I979" t="inlineStr">
        <is>
          <t>1</t>
        </is>
      </c>
      <c r="J979" t="inlineStr">
        <is>
          <t>No</t>
        </is>
      </c>
      <c r="K979" t="inlineStr">
        <is>
          <t>No</t>
        </is>
      </c>
      <c r="L979" t="inlineStr">
        <is>
          <t>0</t>
        </is>
      </c>
      <c r="M979" t="inlineStr">
        <is>
          <t>Sadler, Lynn Veach.</t>
        </is>
      </c>
      <c r="N979" t="inlineStr">
        <is>
          <t>Boston : Twayne, 1979.</t>
        </is>
      </c>
      <c r="O979" t="inlineStr">
        <is>
          <t>1978</t>
        </is>
      </c>
      <c r="Q979" t="inlineStr">
        <is>
          <t>eng</t>
        </is>
      </c>
      <c r="R979" t="inlineStr">
        <is>
          <t>mau</t>
        </is>
      </c>
      <c r="S979" t="inlineStr">
        <is>
          <t>Twayne's English authors series ; TEAS 214</t>
        </is>
      </c>
      <c r="T979" t="inlineStr">
        <is>
          <t xml:space="preserve">PR </t>
        </is>
      </c>
      <c r="U979" t="n">
        <v>2</v>
      </c>
      <c r="V979" t="n">
        <v>2</v>
      </c>
      <c r="W979" t="inlineStr">
        <is>
          <t>1998-11-19</t>
        </is>
      </c>
      <c r="X979" t="inlineStr">
        <is>
          <t>1998-11-19</t>
        </is>
      </c>
      <c r="Y979" t="inlineStr">
        <is>
          <t>1991-10-07</t>
        </is>
      </c>
      <c r="Z979" t="inlineStr">
        <is>
          <t>1991-10-07</t>
        </is>
      </c>
      <c r="AA979" t="n">
        <v>691</v>
      </c>
      <c r="AB979" t="n">
        <v>616</v>
      </c>
      <c r="AC979" t="n">
        <v>633</v>
      </c>
      <c r="AD979" t="n">
        <v>5</v>
      </c>
      <c r="AE979" t="n">
        <v>5</v>
      </c>
      <c r="AF979" t="n">
        <v>32</v>
      </c>
      <c r="AG979" t="n">
        <v>33</v>
      </c>
      <c r="AH979" t="n">
        <v>14</v>
      </c>
      <c r="AI979" t="n">
        <v>14</v>
      </c>
      <c r="AJ979" t="n">
        <v>8</v>
      </c>
      <c r="AK979" t="n">
        <v>9</v>
      </c>
      <c r="AL979" t="n">
        <v>15</v>
      </c>
      <c r="AM979" t="n">
        <v>16</v>
      </c>
      <c r="AN979" t="n">
        <v>4</v>
      </c>
      <c r="AO979" t="n">
        <v>4</v>
      </c>
      <c r="AP979" t="n">
        <v>0</v>
      </c>
      <c r="AQ979" t="n">
        <v>0</v>
      </c>
      <c r="AR979" t="inlineStr">
        <is>
          <t>No</t>
        </is>
      </c>
      <c r="AS979" t="inlineStr">
        <is>
          <t>Yes</t>
        </is>
      </c>
      <c r="AT979">
        <f>HYPERLINK("http://catalog.hathitrust.org/Record/000174596","HathiTrust Record")</f>
        <v/>
      </c>
      <c r="AU979">
        <f>HYPERLINK("https://creighton-primo.hosted.exlibrisgroup.com/primo-explore/search?tab=default_tab&amp;search_scope=EVERYTHING&amp;vid=01CRU&amp;lang=en_US&amp;offset=0&amp;query=any,contains,991004550139702656","Catalog Record")</f>
        <v/>
      </c>
      <c r="AV979">
        <f>HYPERLINK("http://www.worldcat.org/oclc/3933264","WorldCat Record")</f>
        <v/>
      </c>
      <c r="AW979" t="inlineStr">
        <is>
          <t>13683845:eng</t>
        </is>
      </c>
      <c r="AX979" t="inlineStr">
        <is>
          <t>3933264</t>
        </is>
      </c>
      <c r="AY979" t="inlineStr">
        <is>
          <t>991004550139702656</t>
        </is>
      </c>
      <c r="AZ979" t="inlineStr">
        <is>
          <t>991004550139702656</t>
        </is>
      </c>
      <c r="BA979" t="inlineStr">
        <is>
          <t>2266519740002656</t>
        </is>
      </c>
      <c r="BB979" t="inlineStr">
        <is>
          <t>BOOK</t>
        </is>
      </c>
      <c r="BD979" t="inlineStr">
        <is>
          <t>9780805766837</t>
        </is>
      </c>
      <c r="BE979" t="inlineStr">
        <is>
          <t>32285000771906</t>
        </is>
      </c>
      <c r="BF979" t="inlineStr">
        <is>
          <t>893319387</t>
        </is>
      </c>
    </row>
    <row r="980">
      <c r="A980" t="inlineStr">
        <is>
          <t>No</t>
        </is>
      </c>
      <c r="B980" t="inlineStr">
        <is>
          <t>CURAL</t>
        </is>
      </c>
      <c r="C980" t="inlineStr">
        <is>
          <t>SHELVES</t>
        </is>
      </c>
      <c r="D980" t="inlineStr">
        <is>
          <t>PR3343 .K4</t>
        </is>
      </c>
      <c r="E980" t="inlineStr">
        <is>
          <t>0                      PR 3343000K  4</t>
        </is>
      </c>
      <c r="F980" t="inlineStr">
        <is>
          <t>The marvellous boy: the life and myth of Thomas Chatterton.</t>
        </is>
      </c>
      <c r="H980" t="inlineStr">
        <is>
          <t>No</t>
        </is>
      </c>
      <c r="I980" t="inlineStr">
        <is>
          <t>1</t>
        </is>
      </c>
      <c r="J980" t="inlineStr">
        <is>
          <t>No</t>
        </is>
      </c>
      <c r="K980" t="inlineStr">
        <is>
          <t>No</t>
        </is>
      </c>
      <c r="L980" t="inlineStr">
        <is>
          <t>0</t>
        </is>
      </c>
      <c r="M980" t="inlineStr">
        <is>
          <t>Kelly, Linda, 1936-</t>
        </is>
      </c>
      <c r="N980" t="inlineStr">
        <is>
          <t>London, Weidenfeld and Nicolson, 1971.</t>
        </is>
      </c>
      <c r="O980" t="inlineStr">
        <is>
          <t>1971</t>
        </is>
      </c>
      <c r="Q980" t="inlineStr">
        <is>
          <t>eng</t>
        </is>
      </c>
      <c r="R980" t="inlineStr">
        <is>
          <t>enk</t>
        </is>
      </c>
      <c r="T980" t="inlineStr">
        <is>
          <t xml:space="preserve">PR </t>
        </is>
      </c>
      <c r="U980" t="n">
        <v>13</v>
      </c>
      <c r="V980" t="n">
        <v>13</v>
      </c>
      <c r="W980" t="inlineStr">
        <is>
          <t>2007-08-23</t>
        </is>
      </c>
      <c r="X980" t="inlineStr">
        <is>
          <t>2007-08-23</t>
        </is>
      </c>
      <c r="Y980" t="inlineStr">
        <is>
          <t>1997-11-13</t>
        </is>
      </c>
      <c r="Z980" t="inlineStr">
        <is>
          <t>1997-11-13</t>
        </is>
      </c>
      <c r="AA980" t="n">
        <v>275</v>
      </c>
      <c r="AB980" t="n">
        <v>150</v>
      </c>
      <c r="AC980" t="n">
        <v>156</v>
      </c>
      <c r="AD980" t="n">
        <v>2</v>
      </c>
      <c r="AE980" t="n">
        <v>2</v>
      </c>
      <c r="AF980" t="n">
        <v>8</v>
      </c>
      <c r="AG980" t="n">
        <v>8</v>
      </c>
      <c r="AH980" t="n">
        <v>2</v>
      </c>
      <c r="AI980" t="n">
        <v>2</v>
      </c>
      <c r="AJ980" t="n">
        <v>2</v>
      </c>
      <c r="AK980" t="n">
        <v>2</v>
      </c>
      <c r="AL980" t="n">
        <v>6</v>
      </c>
      <c r="AM980" t="n">
        <v>6</v>
      </c>
      <c r="AN980" t="n">
        <v>1</v>
      </c>
      <c r="AO980" t="n">
        <v>1</v>
      </c>
      <c r="AP980" t="n">
        <v>0</v>
      </c>
      <c r="AQ980" t="n">
        <v>0</v>
      </c>
      <c r="AR980" t="inlineStr">
        <is>
          <t>No</t>
        </is>
      </c>
      <c r="AS980" t="inlineStr">
        <is>
          <t>No</t>
        </is>
      </c>
      <c r="AU980">
        <f>HYPERLINK("https://creighton-primo.hosted.exlibrisgroup.com/primo-explore/search?tab=default_tab&amp;search_scope=EVERYTHING&amp;vid=01CRU&amp;lang=en_US&amp;offset=0&amp;query=any,contains,991005353729702656","Catalog Record")</f>
        <v/>
      </c>
      <c r="AV980">
        <f>HYPERLINK("http://www.worldcat.org/oclc/206192","WorldCat Record")</f>
        <v/>
      </c>
      <c r="AW980" t="inlineStr">
        <is>
          <t>480227933:eng</t>
        </is>
      </c>
      <c r="AX980" t="inlineStr">
        <is>
          <t>206192</t>
        </is>
      </c>
      <c r="AY980" t="inlineStr">
        <is>
          <t>991005353729702656</t>
        </is>
      </c>
      <c r="AZ980" t="inlineStr">
        <is>
          <t>991005353729702656</t>
        </is>
      </c>
      <c r="BA980" t="inlineStr">
        <is>
          <t>2254830060002656</t>
        </is>
      </c>
      <c r="BB980" t="inlineStr">
        <is>
          <t>BOOK</t>
        </is>
      </c>
      <c r="BD980" t="inlineStr">
        <is>
          <t>9780297004455</t>
        </is>
      </c>
      <c r="BE980" t="inlineStr">
        <is>
          <t>32285003270047</t>
        </is>
      </c>
      <c r="BF980" t="inlineStr">
        <is>
          <t>893236698</t>
        </is>
      </c>
    </row>
    <row r="981">
      <c r="A981" t="inlineStr">
        <is>
          <t>No</t>
        </is>
      </c>
      <c r="B981" t="inlineStr">
        <is>
          <t>CURAL</t>
        </is>
      </c>
      <c r="C981" t="inlineStr">
        <is>
          <t>SHELVES</t>
        </is>
      </c>
      <c r="D981" t="inlineStr">
        <is>
          <t>PR3343 .M4</t>
        </is>
      </c>
      <c r="E981" t="inlineStr">
        <is>
          <t>0                      PR 3343000M  4</t>
        </is>
      </c>
      <c r="F981" t="inlineStr">
        <is>
          <t>A life of Thomas Chatterton, by E. H. W. Meyerstein.</t>
        </is>
      </c>
      <c r="H981" t="inlineStr">
        <is>
          <t>No</t>
        </is>
      </c>
      <c r="I981" t="inlineStr">
        <is>
          <t>1</t>
        </is>
      </c>
      <c r="J981" t="inlineStr">
        <is>
          <t>No</t>
        </is>
      </c>
      <c r="K981" t="inlineStr">
        <is>
          <t>No</t>
        </is>
      </c>
      <c r="L981" t="inlineStr">
        <is>
          <t>0</t>
        </is>
      </c>
      <c r="M981" t="inlineStr">
        <is>
          <t>Meyerstein, Edward Harry William, 1889-1952.</t>
        </is>
      </c>
      <c r="N981" t="inlineStr">
        <is>
          <t>New York, C. Scribner's sons, 1930.</t>
        </is>
      </c>
      <c r="O981" t="inlineStr">
        <is>
          <t>1930</t>
        </is>
      </c>
      <c r="Q981" t="inlineStr">
        <is>
          <t>eng</t>
        </is>
      </c>
      <c r="R981" t="inlineStr">
        <is>
          <t xml:space="preserve">xx </t>
        </is>
      </c>
      <c r="T981" t="inlineStr">
        <is>
          <t xml:space="preserve">PR </t>
        </is>
      </c>
      <c r="U981" t="n">
        <v>13</v>
      </c>
      <c r="V981" t="n">
        <v>13</v>
      </c>
      <c r="W981" t="inlineStr">
        <is>
          <t>2004-09-07</t>
        </is>
      </c>
      <c r="X981" t="inlineStr">
        <is>
          <t>2004-09-07</t>
        </is>
      </c>
      <c r="Y981" t="inlineStr">
        <is>
          <t>1997-11-13</t>
        </is>
      </c>
      <c r="Z981" t="inlineStr">
        <is>
          <t>1997-11-13</t>
        </is>
      </c>
      <c r="AA981" t="n">
        <v>186</v>
      </c>
      <c r="AB981" t="n">
        <v>169</v>
      </c>
      <c r="AC981" t="n">
        <v>398</v>
      </c>
      <c r="AD981" t="n">
        <v>1</v>
      </c>
      <c r="AE981" t="n">
        <v>3</v>
      </c>
      <c r="AF981" t="n">
        <v>10</v>
      </c>
      <c r="AG981" t="n">
        <v>22</v>
      </c>
      <c r="AH981" t="n">
        <v>4</v>
      </c>
      <c r="AI981" t="n">
        <v>7</v>
      </c>
      <c r="AJ981" t="n">
        <v>3</v>
      </c>
      <c r="AK981" t="n">
        <v>4</v>
      </c>
      <c r="AL981" t="n">
        <v>7</v>
      </c>
      <c r="AM981" t="n">
        <v>15</v>
      </c>
      <c r="AN981" t="n">
        <v>0</v>
      </c>
      <c r="AO981" t="n">
        <v>2</v>
      </c>
      <c r="AP981" t="n">
        <v>0</v>
      </c>
      <c r="AQ981" t="n">
        <v>0</v>
      </c>
      <c r="AR981" t="inlineStr">
        <is>
          <t>No</t>
        </is>
      </c>
      <c r="AS981" t="inlineStr">
        <is>
          <t>No</t>
        </is>
      </c>
      <c r="AU981">
        <f>HYPERLINK("https://creighton-primo.hosted.exlibrisgroup.com/primo-explore/search?tab=default_tab&amp;search_scope=EVERYTHING&amp;vid=01CRU&amp;lang=en_US&amp;offset=0&amp;query=any,contains,991005370499702656","Catalog Record")</f>
        <v/>
      </c>
      <c r="AV981">
        <f>HYPERLINK("http://www.worldcat.org/oclc/2982109","WorldCat Record")</f>
        <v/>
      </c>
      <c r="AW981" t="inlineStr">
        <is>
          <t>1442295:eng</t>
        </is>
      </c>
      <c r="AX981" t="inlineStr">
        <is>
          <t>2982109</t>
        </is>
      </c>
      <c r="AY981" t="inlineStr">
        <is>
          <t>991005370499702656</t>
        </is>
      </c>
      <c r="AZ981" t="inlineStr">
        <is>
          <t>991005370499702656</t>
        </is>
      </c>
      <c r="BA981" t="inlineStr">
        <is>
          <t>2261755630002656</t>
        </is>
      </c>
      <c r="BB981" t="inlineStr">
        <is>
          <t>BOOK</t>
        </is>
      </c>
      <c r="BE981" t="inlineStr">
        <is>
          <t>32285003270054</t>
        </is>
      </c>
      <c r="BF981" t="inlineStr">
        <is>
          <t>893695233</t>
        </is>
      </c>
    </row>
    <row r="982">
      <c r="A982" t="inlineStr">
        <is>
          <t>No</t>
        </is>
      </c>
      <c r="B982" t="inlineStr">
        <is>
          <t>CURAL</t>
        </is>
      </c>
      <c r="C982" t="inlineStr">
        <is>
          <t>SHELVES</t>
        </is>
      </c>
      <c r="D982" t="inlineStr">
        <is>
          <t>PR3343 .W36</t>
        </is>
      </c>
      <c r="E982" t="inlineStr">
        <is>
          <t>0                      PR 3343000W  36</t>
        </is>
      </c>
      <c r="F982" t="inlineStr">
        <is>
          <t>A descriptive and annotated bibliography of Thomas Chatterton / Murray Warren.</t>
        </is>
      </c>
      <c r="H982" t="inlineStr">
        <is>
          <t>No</t>
        </is>
      </c>
      <c r="I982" t="inlineStr">
        <is>
          <t>1</t>
        </is>
      </c>
      <c r="J982" t="inlineStr">
        <is>
          <t>No</t>
        </is>
      </c>
      <c r="K982" t="inlineStr">
        <is>
          <t>No</t>
        </is>
      </c>
      <c r="L982" t="inlineStr">
        <is>
          <t>0</t>
        </is>
      </c>
      <c r="M982" t="inlineStr">
        <is>
          <t>Warren, Murray.</t>
        </is>
      </c>
      <c r="N982" t="inlineStr">
        <is>
          <t>New York : Garland Pub., 1977.</t>
        </is>
      </c>
      <c r="O982" t="inlineStr">
        <is>
          <t>1977</t>
        </is>
      </c>
      <c r="Q982" t="inlineStr">
        <is>
          <t>eng</t>
        </is>
      </c>
      <c r="R982" t="inlineStr">
        <is>
          <t>nyu</t>
        </is>
      </c>
      <c r="S982" t="inlineStr">
        <is>
          <t>Garland reference library of the humanities ; v. 49</t>
        </is>
      </c>
      <c r="T982" t="inlineStr">
        <is>
          <t xml:space="preserve">PR </t>
        </is>
      </c>
      <c r="U982" t="n">
        <v>4</v>
      </c>
      <c r="V982" t="n">
        <v>4</v>
      </c>
      <c r="W982" t="inlineStr">
        <is>
          <t>2007-08-23</t>
        </is>
      </c>
      <c r="X982" t="inlineStr">
        <is>
          <t>2007-08-23</t>
        </is>
      </c>
      <c r="Y982" t="inlineStr">
        <is>
          <t>1997-11-13</t>
        </is>
      </c>
      <c r="Z982" t="inlineStr">
        <is>
          <t>1997-11-13</t>
        </is>
      </c>
      <c r="AA982" t="n">
        <v>264</v>
      </c>
      <c r="AB982" t="n">
        <v>193</v>
      </c>
      <c r="AC982" t="n">
        <v>198</v>
      </c>
      <c r="AD982" t="n">
        <v>3</v>
      </c>
      <c r="AE982" t="n">
        <v>3</v>
      </c>
      <c r="AF982" t="n">
        <v>7</v>
      </c>
      <c r="AG982" t="n">
        <v>7</v>
      </c>
      <c r="AH982" t="n">
        <v>2</v>
      </c>
      <c r="AI982" t="n">
        <v>2</v>
      </c>
      <c r="AJ982" t="n">
        <v>3</v>
      </c>
      <c r="AK982" t="n">
        <v>3</v>
      </c>
      <c r="AL982" t="n">
        <v>2</v>
      </c>
      <c r="AM982" t="n">
        <v>2</v>
      </c>
      <c r="AN982" t="n">
        <v>2</v>
      </c>
      <c r="AO982" t="n">
        <v>2</v>
      </c>
      <c r="AP982" t="n">
        <v>0</v>
      </c>
      <c r="AQ982" t="n">
        <v>0</v>
      </c>
      <c r="AR982" t="inlineStr">
        <is>
          <t>No</t>
        </is>
      </c>
      <c r="AS982" t="inlineStr">
        <is>
          <t>No</t>
        </is>
      </c>
      <c r="AU982">
        <f>HYPERLINK("https://creighton-primo.hosted.exlibrisgroup.com/primo-explore/search?tab=default_tab&amp;search_scope=EVERYTHING&amp;vid=01CRU&amp;lang=en_US&amp;offset=0&amp;query=any,contains,991004195439702656","Catalog Record")</f>
        <v/>
      </c>
      <c r="AV982">
        <f>HYPERLINK("http://www.worldcat.org/oclc/2644281","WorldCat Record")</f>
        <v/>
      </c>
      <c r="AW982" t="inlineStr">
        <is>
          <t>5899889:eng</t>
        </is>
      </c>
      <c r="AX982" t="inlineStr">
        <is>
          <t>2644281</t>
        </is>
      </c>
      <c r="AY982" t="inlineStr">
        <is>
          <t>991004195439702656</t>
        </is>
      </c>
      <c r="AZ982" t="inlineStr">
        <is>
          <t>991004195439702656</t>
        </is>
      </c>
      <c r="BA982" t="inlineStr">
        <is>
          <t>2255631670002656</t>
        </is>
      </c>
      <c r="BB982" t="inlineStr">
        <is>
          <t>BOOK</t>
        </is>
      </c>
      <c r="BD982" t="inlineStr">
        <is>
          <t>9780824099510</t>
        </is>
      </c>
      <c r="BE982" t="inlineStr">
        <is>
          <t>32285003270062</t>
        </is>
      </c>
      <c r="BF982" t="inlineStr">
        <is>
          <t>893875798</t>
        </is>
      </c>
    </row>
    <row r="983">
      <c r="A983" t="inlineStr">
        <is>
          <t>No</t>
        </is>
      </c>
      <c r="B983" t="inlineStr">
        <is>
          <t>CURAL</t>
        </is>
      </c>
      <c r="C983" t="inlineStr">
        <is>
          <t>SHELVES</t>
        </is>
      </c>
      <c r="D983" t="inlineStr">
        <is>
          <t>PR3347 .A96</t>
        </is>
      </c>
      <c r="E983" t="inlineStr">
        <is>
          <t>0                      PR 3347000A  96</t>
        </is>
      </c>
      <c r="F983" t="inlineStr">
        <is>
          <t>Colley Cibber, by Leonard R. N. Ashley.</t>
        </is>
      </c>
      <c r="H983" t="inlineStr">
        <is>
          <t>No</t>
        </is>
      </c>
      <c r="I983" t="inlineStr">
        <is>
          <t>1</t>
        </is>
      </c>
      <c r="J983" t="inlineStr">
        <is>
          <t>No</t>
        </is>
      </c>
      <c r="K983" t="inlineStr">
        <is>
          <t>Yes</t>
        </is>
      </c>
      <c r="L983" t="inlineStr">
        <is>
          <t>0</t>
        </is>
      </c>
      <c r="M983" t="inlineStr">
        <is>
          <t>Ashley, Leonard R. N.</t>
        </is>
      </c>
      <c r="N983" t="inlineStr">
        <is>
          <t>New York, Twayne Publishers [1965]</t>
        </is>
      </c>
      <c r="O983" t="inlineStr">
        <is>
          <t>1965</t>
        </is>
      </c>
      <c r="Q983" t="inlineStr">
        <is>
          <t>eng</t>
        </is>
      </c>
      <c r="R983" t="inlineStr">
        <is>
          <t>nyu</t>
        </is>
      </c>
      <c r="S983" t="inlineStr">
        <is>
          <t>Twayne's English authors series, 17</t>
        </is>
      </c>
      <c r="T983" t="inlineStr">
        <is>
          <t xml:space="preserve">PR </t>
        </is>
      </c>
      <c r="U983" t="n">
        <v>1</v>
      </c>
      <c r="V983" t="n">
        <v>1</v>
      </c>
      <c r="W983" t="inlineStr">
        <is>
          <t>2010-04-19</t>
        </is>
      </c>
      <c r="X983" t="inlineStr">
        <is>
          <t>2010-04-19</t>
        </is>
      </c>
      <c r="Y983" t="inlineStr">
        <is>
          <t>1997-08-07</t>
        </is>
      </c>
      <c r="Z983" t="inlineStr">
        <is>
          <t>1997-08-07</t>
        </is>
      </c>
      <c r="AA983" t="n">
        <v>942</v>
      </c>
      <c r="AB983" t="n">
        <v>856</v>
      </c>
      <c r="AC983" t="n">
        <v>991</v>
      </c>
      <c r="AD983" t="n">
        <v>9</v>
      </c>
      <c r="AE983" t="n">
        <v>10</v>
      </c>
      <c r="AF983" t="n">
        <v>37</v>
      </c>
      <c r="AG983" t="n">
        <v>45</v>
      </c>
      <c r="AH983" t="n">
        <v>14</v>
      </c>
      <c r="AI983" t="n">
        <v>18</v>
      </c>
      <c r="AJ983" t="n">
        <v>8</v>
      </c>
      <c r="AK983" t="n">
        <v>9</v>
      </c>
      <c r="AL983" t="n">
        <v>15</v>
      </c>
      <c r="AM983" t="n">
        <v>19</v>
      </c>
      <c r="AN983" t="n">
        <v>8</v>
      </c>
      <c r="AO983" t="n">
        <v>9</v>
      </c>
      <c r="AP983" t="n">
        <v>0</v>
      </c>
      <c r="AQ983" t="n">
        <v>0</v>
      </c>
      <c r="AR983" t="inlineStr">
        <is>
          <t>No</t>
        </is>
      </c>
      <c r="AS983" t="inlineStr">
        <is>
          <t>Yes</t>
        </is>
      </c>
      <c r="AT983">
        <f>HYPERLINK("http://catalog.hathitrust.org/Record/001374272","HathiTrust Record")</f>
        <v/>
      </c>
      <c r="AU983">
        <f>HYPERLINK("https://creighton-primo.hosted.exlibrisgroup.com/primo-explore/search?tab=default_tab&amp;search_scope=EVERYTHING&amp;vid=01CRU&amp;lang=en_US&amp;offset=0&amp;query=any,contains,991002457499702656","Catalog Record")</f>
        <v/>
      </c>
      <c r="AV983">
        <f>HYPERLINK("http://www.worldcat.org/oclc/354983","WorldCat Record")</f>
        <v/>
      </c>
      <c r="AW983" t="inlineStr">
        <is>
          <t>1396850:eng</t>
        </is>
      </c>
      <c r="AX983" t="inlineStr">
        <is>
          <t>354983</t>
        </is>
      </c>
      <c r="AY983" t="inlineStr">
        <is>
          <t>991002457499702656</t>
        </is>
      </c>
      <c r="AZ983" t="inlineStr">
        <is>
          <t>991002457499702656</t>
        </is>
      </c>
      <c r="BA983" t="inlineStr">
        <is>
          <t>2266301260002656</t>
        </is>
      </c>
      <c r="BB983" t="inlineStr">
        <is>
          <t>BOOK</t>
        </is>
      </c>
      <c r="BE983" t="inlineStr">
        <is>
          <t>32285003024089</t>
        </is>
      </c>
      <c r="BF983" t="inlineStr">
        <is>
          <t>893792497</t>
        </is>
      </c>
    </row>
    <row r="984">
      <c r="A984" t="inlineStr">
        <is>
          <t>No</t>
        </is>
      </c>
      <c r="B984" t="inlineStr">
        <is>
          <t>CURAL</t>
        </is>
      </c>
      <c r="C984" t="inlineStr">
        <is>
          <t>SHELVES</t>
        </is>
      </c>
      <c r="D984" t="inlineStr">
        <is>
          <t>PR3347 .B3</t>
        </is>
      </c>
      <c r="E984" t="inlineStr">
        <is>
          <t>0                      PR 3347000B  3</t>
        </is>
      </c>
      <c r="F984" t="inlineStr">
        <is>
          <t>Mr. Cibber of Drury Lane, by Richard Hindry Barker.</t>
        </is>
      </c>
      <c r="H984" t="inlineStr">
        <is>
          <t>No</t>
        </is>
      </c>
      <c r="I984" t="inlineStr">
        <is>
          <t>1</t>
        </is>
      </c>
      <c r="J984" t="inlineStr">
        <is>
          <t>No</t>
        </is>
      </c>
      <c r="K984" t="inlineStr">
        <is>
          <t>No</t>
        </is>
      </c>
      <c r="L984" t="inlineStr">
        <is>
          <t>0</t>
        </is>
      </c>
      <c r="M984" t="inlineStr">
        <is>
          <t>Barker, Richard Hindry, 1902-1968.</t>
        </is>
      </c>
      <c r="N984" t="inlineStr">
        <is>
          <t>New York, Columbia university press, 1939.</t>
        </is>
      </c>
      <c r="O984" t="inlineStr">
        <is>
          <t>1939</t>
        </is>
      </c>
      <c r="Q984" t="inlineStr">
        <is>
          <t>eng</t>
        </is>
      </c>
      <c r="R984" t="inlineStr">
        <is>
          <t>nyu</t>
        </is>
      </c>
      <c r="S984" t="inlineStr">
        <is>
          <t>Columbia University studies in English and comparative literature ; no. 143</t>
        </is>
      </c>
      <c r="T984" t="inlineStr">
        <is>
          <t xml:space="preserve">PR </t>
        </is>
      </c>
      <c r="U984" t="n">
        <v>1</v>
      </c>
      <c r="V984" t="n">
        <v>1</v>
      </c>
      <c r="W984" t="inlineStr">
        <is>
          <t>2010-04-19</t>
        </is>
      </c>
      <c r="X984" t="inlineStr">
        <is>
          <t>2010-04-19</t>
        </is>
      </c>
      <c r="Y984" t="inlineStr">
        <is>
          <t>1997-08-07</t>
        </is>
      </c>
      <c r="Z984" t="inlineStr">
        <is>
          <t>1997-08-07</t>
        </is>
      </c>
      <c r="AA984" t="n">
        <v>240</v>
      </c>
      <c r="AB984" t="n">
        <v>214</v>
      </c>
      <c r="AC984" t="n">
        <v>382</v>
      </c>
      <c r="AD984" t="n">
        <v>3</v>
      </c>
      <c r="AE984" t="n">
        <v>5</v>
      </c>
      <c r="AF984" t="n">
        <v>13</v>
      </c>
      <c r="AG984" t="n">
        <v>26</v>
      </c>
      <c r="AH984" t="n">
        <v>5</v>
      </c>
      <c r="AI984" t="n">
        <v>9</v>
      </c>
      <c r="AJ984" t="n">
        <v>2</v>
      </c>
      <c r="AK984" t="n">
        <v>5</v>
      </c>
      <c r="AL984" t="n">
        <v>7</v>
      </c>
      <c r="AM984" t="n">
        <v>13</v>
      </c>
      <c r="AN984" t="n">
        <v>2</v>
      </c>
      <c r="AO984" t="n">
        <v>4</v>
      </c>
      <c r="AP984" t="n">
        <v>0</v>
      </c>
      <c r="AQ984" t="n">
        <v>0</v>
      </c>
      <c r="AR984" t="inlineStr">
        <is>
          <t>No</t>
        </is>
      </c>
      <c r="AS984" t="inlineStr">
        <is>
          <t>Yes</t>
        </is>
      </c>
      <c r="AT984">
        <f>HYPERLINK("http://catalog.hathitrust.org/Record/001909483","HathiTrust Record")</f>
        <v/>
      </c>
      <c r="AU984">
        <f>HYPERLINK("https://creighton-primo.hosted.exlibrisgroup.com/primo-explore/search?tab=default_tab&amp;search_scope=EVERYTHING&amp;vid=01CRU&amp;lang=en_US&amp;offset=0&amp;query=any,contains,991004048779702656","Catalog Record")</f>
        <v/>
      </c>
      <c r="AV984">
        <f>HYPERLINK("http://www.worldcat.org/oclc/2207342","WorldCat Record")</f>
        <v/>
      </c>
      <c r="AW984" t="inlineStr">
        <is>
          <t>2281416:eng</t>
        </is>
      </c>
      <c r="AX984" t="inlineStr">
        <is>
          <t>2207342</t>
        </is>
      </c>
      <c r="AY984" t="inlineStr">
        <is>
          <t>991004048779702656</t>
        </is>
      </c>
      <c r="AZ984" t="inlineStr">
        <is>
          <t>991004048779702656</t>
        </is>
      </c>
      <c r="BA984" t="inlineStr">
        <is>
          <t>2261820750002656</t>
        </is>
      </c>
      <c r="BB984" t="inlineStr">
        <is>
          <t>BOOK</t>
        </is>
      </c>
      <c r="BE984" t="inlineStr">
        <is>
          <t>32285003024097</t>
        </is>
      </c>
      <c r="BF984" t="inlineStr">
        <is>
          <t>893794413</t>
        </is>
      </c>
    </row>
    <row r="985">
      <c r="A985" t="inlineStr">
        <is>
          <t>No</t>
        </is>
      </c>
      <c r="B985" t="inlineStr">
        <is>
          <t>CURAL</t>
        </is>
      </c>
      <c r="C985" t="inlineStr">
        <is>
          <t>SHELVES</t>
        </is>
      </c>
      <c r="D985" t="inlineStr">
        <is>
          <t>PR3348.C65 Z62</t>
        </is>
      </c>
      <c r="E985" t="inlineStr">
        <is>
          <t>0                      PR 3348000C  65                 Z  62</t>
        </is>
      </c>
      <c r="F985" t="inlineStr">
        <is>
          <t>John Cleland: images of a life, by William H. Epstein.</t>
        </is>
      </c>
      <c r="H985" t="inlineStr">
        <is>
          <t>No</t>
        </is>
      </c>
      <c r="I985" t="inlineStr">
        <is>
          <t>1</t>
        </is>
      </c>
      <c r="J985" t="inlineStr">
        <is>
          <t>No</t>
        </is>
      </c>
      <c r="K985" t="inlineStr">
        <is>
          <t>No</t>
        </is>
      </c>
      <c r="L985" t="inlineStr">
        <is>
          <t>0</t>
        </is>
      </c>
      <c r="M985" t="inlineStr">
        <is>
          <t>Epstein, William H.</t>
        </is>
      </c>
      <c r="N985" t="inlineStr">
        <is>
          <t>New York, Columbia University Press, 1974.</t>
        </is>
      </c>
      <c r="O985" t="inlineStr">
        <is>
          <t>1974</t>
        </is>
      </c>
      <c r="Q985" t="inlineStr">
        <is>
          <t>eng</t>
        </is>
      </c>
      <c r="R985" t="inlineStr">
        <is>
          <t>nyu</t>
        </is>
      </c>
      <c r="T985" t="inlineStr">
        <is>
          <t xml:space="preserve">PR </t>
        </is>
      </c>
      <c r="U985" t="n">
        <v>1</v>
      </c>
      <c r="V985" t="n">
        <v>1</v>
      </c>
      <c r="W985" t="inlineStr">
        <is>
          <t>2005-03-21</t>
        </is>
      </c>
      <c r="X985" t="inlineStr">
        <is>
          <t>2005-03-21</t>
        </is>
      </c>
      <c r="Y985" t="inlineStr">
        <is>
          <t>1997-08-07</t>
        </is>
      </c>
      <c r="Z985" t="inlineStr">
        <is>
          <t>1997-08-07</t>
        </is>
      </c>
      <c r="AA985" t="n">
        <v>536</v>
      </c>
      <c r="AB985" t="n">
        <v>444</v>
      </c>
      <c r="AC985" t="n">
        <v>450</v>
      </c>
      <c r="AD985" t="n">
        <v>3</v>
      </c>
      <c r="AE985" t="n">
        <v>3</v>
      </c>
      <c r="AF985" t="n">
        <v>22</v>
      </c>
      <c r="AG985" t="n">
        <v>22</v>
      </c>
      <c r="AH985" t="n">
        <v>6</v>
      </c>
      <c r="AI985" t="n">
        <v>6</v>
      </c>
      <c r="AJ985" t="n">
        <v>9</v>
      </c>
      <c r="AK985" t="n">
        <v>9</v>
      </c>
      <c r="AL985" t="n">
        <v>12</v>
      </c>
      <c r="AM985" t="n">
        <v>12</v>
      </c>
      <c r="AN985" t="n">
        <v>2</v>
      </c>
      <c r="AO985" t="n">
        <v>2</v>
      </c>
      <c r="AP985" t="n">
        <v>0</v>
      </c>
      <c r="AQ985" t="n">
        <v>0</v>
      </c>
      <c r="AR985" t="inlineStr">
        <is>
          <t>No</t>
        </is>
      </c>
      <c r="AS985" t="inlineStr">
        <is>
          <t>No</t>
        </is>
      </c>
      <c r="AU985">
        <f>HYPERLINK("https://creighton-primo.hosted.exlibrisgroup.com/primo-explore/search?tab=default_tab&amp;search_scope=EVERYTHING&amp;vid=01CRU&amp;lang=en_US&amp;offset=0&amp;query=any,contains,991003386429702656","Catalog Record")</f>
        <v/>
      </c>
      <c r="AV985">
        <f>HYPERLINK("http://www.worldcat.org/oclc/922798","WorldCat Record")</f>
        <v/>
      </c>
      <c r="AW985" t="inlineStr">
        <is>
          <t>419826:eng</t>
        </is>
      </c>
      <c r="AX985" t="inlineStr">
        <is>
          <t>922798</t>
        </is>
      </c>
      <c r="AY985" t="inlineStr">
        <is>
          <t>991003386429702656</t>
        </is>
      </c>
      <c r="AZ985" t="inlineStr">
        <is>
          <t>991003386429702656</t>
        </is>
      </c>
      <c r="BA985" t="inlineStr">
        <is>
          <t>2264814230002656</t>
        </is>
      </c>
      <c r="BB985" t="inlineStr">
        <is>
          <t>BOOK</t>
        </is>
      </c>
      <c r="BD985" t="inlineStr">
        <is>
          <t>9780231037259</t>
        </is>
      </c>
      <c r="BE985" t="inlineStr">
        <is>
          <t>32285003024105</t>
        </is>
      </c>
      <c r="BF985" t="inlineStr">
        <is>
          <t>893416332</t>
        </is>
      </c>
    </row>
    <row r="986">
      <c r="A986" t="inlineStr">
        <is>
          <t>No</t>
        </is>
      </c>
      <c r="B986" t="inlineStr">
        <is>
          <t>CURAL</t>
        </is>
      </c>
      <c r="C986" t="inlineStr">
        <is>
          <t>SHELVES</t>
        </is>
      </c>
      <c r="D986" t="inlineStr">
        <is>
          <t>PR3353 .S5</t>
        </is>
      </c>
      <c r="E986" t="inlineStr">
        <is>
          <t>0                      PR 3353000S  5</t>
        </is>
      </c>
      <c r="F986" t="inlineStr">
        <is>
          <t>William Collins / by Oliver F. Sigworth.</t>
        </is>
      </c>
      <c r="H986" t="inlineStr">
        <is>
          <t>No</t>
        </is>
      </c>
      <c r="I986" t="inlineStr">
        <is>
          <t>1</t>
        </is>
      </c>
      <c r="J986" t="inlineStr">
        <is>
          <t>No</t>
        </is>
      </c>
      <c r="K986" t="inlineStr">
        <is>
          <t>No</t>
        </is>
      </c>
      <c r="L986" t="inlineStr">
        <is>
          <t>0</t>
        </is>
      </c>
      <c r="M986" t="inlineStr">
        <is>
          <t>Sigworth, Oliver F.</t>
        </is>
      </c>
      <c r="N986" t="inlineStr">
        <is>
          <t>New York : Twayne Pubishers, [1965]</t>
        </is>
      </c>
      <c r="O986" t="inlineStr">
        <is>
          <t>1965</t>
        </is>
      </c>
      <c r="Q986" t="inlineStr">
        <is>
          <t>eng</t>
        </is>
      </c>
      <c r="R986" t="inlineStr">
        <is>
          <t>nyu</t>
        </is>
      </c>
      <c r="S986" t="inlineStr">
        <is>
          <t>Twayne's English authors series, 25</t>
        </is>
      </c>
      <c r="T986" t="inlineStr">
        <is>
          <t xml:space="preserve">PR </t>
        </is>
      </c>
      <c r="U986" t="n">
        <v>3</v>
      </c>
      <c r="V986" t="n">
        <v>3</v>
      </c>
      <c r="W986" t="inlineStr">
        <is>
          <t>1996-12-09</t>
        </is>
      </c>
      <c r="X986" t="inlineStr">
        <is>
          <t>1996-12-09</t>
        </is>
      </c>
      <c r="Y986" t="inlineStr">
        <is>
          <t>1994-05-04</t>
        </is>
      </c>
      <c r="Z986" t="inlineStr">
        <is>
          <t>1994-05-04</t>
        </is>
      </c>
      <c r="AA986" t="n">
        <v>949</v>
      </c>
      <c r="AB986" t="n">
        <v>842</v>
      </c>
      <c r="AC986" t="n">
        <v>852</v>
      </c>
      <c r="AD986" t="n">
        <v>10</v>
      </c>
      <c r="AE986" t="n">
        <v>10</v>
      </c>
      <c r="AF986" t="n">
        <v>39</v>
      </c>
      <c r="AG986" t="n">
        <v>39</v>
      </c>
      <c r="AH986" t="n">
        <v>12</v>
      </c>
      <c r="AI986" t="n">
        <v>12</v>
      </c>
      <c r="AJ986" t="n">
        <v>8</v>
      </c>
      <c r="AK986" t="n">
        <v>8</v>
      </c>
      <c r="AL986" t="n">
        <v>18</v>
      </c>
      <c r="AM986" t="n">
        <v>18</v>
      </c>
      <c r="AN986" t="n">
        <v>9</v>
      </c>
      <c r="AO986" t="n">
        <v>9</v>
      </c>
      <c r="AP986" t="n">
        <v>0</v>
      </c>
      <c r="AQ986" t="n">
        <v>0</v>
      </c>
      <c r="AR986" t="inlineStr">
        <is>
          <t>No</t>
        </is>
      </c>
      <c r="AS986" t="inlineStr">
        <is>
          <t>Yes</t>
        </is>
      </c>
      <c r="AT986">
        <f>HYPERLINK("http://catalog.hathitrust.org/Record/000664876","HathiTrust Record")</f>
        <v/>
      </c>
      <c r="AU986">
        <f>HYPERLINK("https://creighton-primo.hosted.exlibrisgroup.com/primo-explore/search?tab=default_tab&amp;search_scope=EVERYTHING&amp;vid=01CRU&amp;lang=en_US&amp;offset=0&amp;query=any,contains,991002457529702656","Catalog Record")</f>
        <v/>
      </c>
      <c r="AV986">
        <f>HYPERLINK("http://www.worldcat.org/oclc/354984","WorldCat Record")</f>
        <v/>
      </c>
      <c r="AW986" t="inlineStr">
        <is>
          <t>1396854:eng</t>
        </is>
      </c>
      <c r="AX986" t="inlineStr">
        <is>
          <t>354984</t>
        </is>
      </c>
      <c r="AY986" t="inlineStr">
        <is>
          <t>991002457529702656</t>
        </is>
      </c>
      <c r="AZ986" t="inlineStr">
        <is>
          <t>991002457529702656</t>
        </is>
      </c>
      <c r="BA986" t="inlineStr">
        <is>
          <t>2266301680002656</t>
        </is>
      </c>
      <c r="BB986" t="inlineStr">
        <is>
          <t>BOOK</t>
        </is>
      </c>
      <c r="BE986" t="inlineStr">
        <is>
          <t>32285001906535</t>
        </is>
      </c>
      <c r="BF986" t="inlineStr">
        <is>
          <t>893427626</t>
        </is>
      </c>
    </row>
    <row r="987">
      <c r="A987" t="inlineStr">
        <is>
          <t>No</t>
        </is>
      </c>
      <c r="B987" t="inlineStr">
        <is>
          <t>CURAL</t>
        </is>
      </c>
      <c r="C987" t="inlineStr">
        <is>
          <t>SHELVES</t>
        </is>
      </c>
      <c r="D987" t="inlineStr">
        <is>
          <t>PR3359.C5 Z78 1969b</t>
        </is>
      </c>
      <c r="E987" t="inlineStr">
        <is>
          <t>0                      PR 3359000C  5                  Z  78          1969b</t>
        </is>
      </c>
      <c r="F987" t="inlineStr">
        <is>
          <t>Doctor Syntax : a silhouette of William Combe, Esq. (1742-1823) / by Harlan W. Hamilton.</t>
        </is>
      </c>
      <c r="H987" t="inlineStr">
        <is>
          <t>No</t>
        </is>
      </c>
      <c r="I987" t="inlineStr">
        <is>
          <t>1</t>
        </is>
      </c>
      <c r="J987" t="inlineStr">
        <is>
          <t>No</t>
        </is>
      </c>
      <c r="K987" t="inlineStr">
        <is>
          <t>No</t>
        </is>
      </c>
      <c r="L987" t="inlineStr">
        <is>
          <t>0</t>
        </is>
      </c>
      <c r="M987" t="inlineStr">
        <is>
          <t>Hamilton, Harlan W. (Harlan Ware), 1902-</t>
        </is>
      </c>
      <c r="N987" t="inlineStr">
        <is>
          <t>[Kent, Ohio] : Kent State University Press, 1969.</t>
        </is>
      </c>
      <c r="O987" t="inlineStr">
        <is>
          <t>1969</t>
        </is>
      </c>
      <c r="P987" t="inlineStr">
        <is>
          <t>[1st ed.</t>
        </is>
      </c>
      <c r="Q987" t="inlineStr">
        <is>
          <t>eng</t>
        </is>
      </c>
      <c r="R987" t="inlineStr">
        <is>
          <t>ohu</t>
        </is>
      </c>
      <c r="T987" t="inlineStr">
        <is>
          <t xml:space="preserve">PR </t>
        </is>
      </c>
      <c r="U987" t="n">
        <v>2</v>
      </c>
      <c r="V987" t="n">
        <v>2</v>
      </c>
      <c r="W987" t="inlineStr">
        <is>
          <t>2007-03-08</t>
        </is>
      </c>
      <c r="X987" t="inlineStr">
        <is>
          <t>2007-03-08</t>
        </is>
      </c>
      <c r="Y987" t="inlineStr">
        <is>
          <t>1993-02-03</t>
        </is>
      </c>
      <c r="Z987" t="inlineStr">
        <is>
          <t>1993-02-03</t>
        </is>
      </c>
      <c r="AA987" t="n">
        <v>319</v>
      </c>
      <c r="AB987" t="n">
        <v>291</v>
      </c>
      <c r="AC987" t="n">
        <v>357</v>
      </c>
      <c r="AD987" t="n">
        <v>2</v>
      </c>
      <c r="AE987" t="n">
        <v>2</v>
      </c>
      <c r="AF987" t="n">
        <v>18</v>
      </c>
      <c r="AG987" t="n">
        <v>21</v>
      </c>
      <c r="AH987" t="n">
        <v>5</v>
      </c>
      <c r="AI987" t="n">
        <v>7</v>
      </c>
      <c r="AJ987" t="n">
        <v>6</v>
      </c>
      <c r="AK987" t="n">
        <v>7</v>
      </c>
      <c r="AL987" t="n">
        <v>10</v>
      </c>
      <c r="AM987" t="n">
        <v>12</v>
      </c>
      <c r="AN987" t="n">
        <v>1</v>
      </c>
      <c r="AO987" t="n">
        <v>1</v>
      </c>
      <c r="AP987" t="n">
        <v>0</v>
      </c>
      <c r="AQ987" t="n">
        <v>0</v>
      </c>
      <c r="AR987" t="inlineStr">
        <is>
          <t>No</t>
        </is>
      </c>
      <c r="AS987" t="inlineStr">
        <is>
          <t>No</t>
        </is>
      </c>
      <c r="AU987">
        <f>HYPERLINK("https://creighton-primo.hosted.exlibrisgroup.com/primo-explore/search?tab=default_tab&amp;search_scope=EVERYTHING&amp;vid=01CRU&amp;lang=en_US&amp;offset=0&amp;query=any,contains,991000103339702656","Catalog Record")</f>
        <v/>
      </c>
      <c r="AV987">
        <f>HYPERLINK("http://www.worldcat.org/oclc/45465","WorldCat Record")</f>
        <v/>
      </c>
      <c r="AW987" t="inlineStr">
        <is>
          <t>1214897:eng</t>
        </is>
      </c>
      <c r="AX987" t="inlineStr">
        <is>
          <t>45465</t>
        </is>
      </c>
      <c r="AY987" t="inlineStr">
        <is>
          <t>991000103339702656</t>
        </is>
      </c>
      <c r="AZ987" t="inlineStr">
        <is>
          <t>991000103339702656</t>
        </is>
      </c>
      <c r="BA987" t="inlineStr">
        <is>
          <t>2261602180002656</t>
        </is>
      </c>
      <c r="BB987" t="inlineStr">
        <is>
          <t>BOOK</t>
        </is>
      </c>
      <c r="BE987" t="inlineStr">
        <is>
          <t>32285001488930</t>
        </is>
      </c>
      <c r="BF987" t="inlineStr">
        <is>
          <t>893333217</t>
        </is>
      </c>
    </row>
    <row r="988">
      <c r="A988" t="inlineStr">
        <is>
          <t>No</t>
        </is>
      </c>
      <c r="B988" t="inlineStr">
        <is>
          <t>CURAL</t>
        </is>
      </c>
      <c r="C988" t="inlineStr">
        <is>
          <t>SHELVES</t>
        </is>
      </c>
      <c r="D988" t="inlineStr">
        <is>
          <t>PR3366 .D6 1967</t>
        </is>
      </c>
      <c r="E988" t="inlineStr">
        <is>
          <t>0                      PR 3366000D  6           1967</t>
        </is>
      </c>
      <c r="F988" t="inlineStr">
        <is>
          <t>William Congreve / by Bonamy Dobrée.</t>
        </is>
      </c>
      <c r="H988" t="inlineStr">
        <is>
          <t>No</t>
        </is>
      </c>
      <c r="I988" t="inlineStr">
        <is>
          <t>1</t>
        </is>
      </c>
      <c r="J988" t="inlineStr">
        <is>
          <t>No</t>
        </is>
      </c>
      <c r="K988" t="inlineStr">
        <is>
          <t>No</t>
        </is>
      </c>
      <c r="L988" t="inlineStr">
        <is>
          <t>0</t>
        </is>
      </c>
      <c r="M988" t="inlineStr">
        <is>
          <t>Dobrée, Bonamy, 1891-1974.</t>
        </is>
      </c>
      <c r="N988" t="inlineStr">
        <is>
          <t>London : Published for the British Council and the National Book League by Longmans, Green, 1967, c1963.</t>
        </is>
      </c>
      <c r="O988" t="inlineStr">
        <is>
          <t>1967</t>
        </is>
      </c>
      <c r="Q988" t="inlineStr">
        <is>
          <t>eng</t>
        </is>
      </c>
      <c r="R988" t="inlineStr">
        <is>
          <t>enk</t>
        </is>
      </c>
      <c r="S988" t="inlineStr">
        <is>
          <t>Writers and their work ; no. 164</t>
        </is>
      </c>
      <c r="T988" t="inlineStr">
        <is>
          <t xml:space="preserve">PR </t>
        </is>
      </c>
      <c r="U988" t="n">
        <v>1</v>
      </c>
      <c r="V988" t="n">
        <v>1</v>
      </c>
      <c r="W988" t="inlineStr">
        <is>
          <t>2004-11-21</t>
        </is>
      </c>
      <c r="X988" t="inlineStr">
        <is>
          <t>2004-11-21</t>
        </is>
      </c>
      <c r="Y988" t="inlineStr">
        <is>
          <t>1995-01-09</t>
        </is>
      </c>
      <c r="Z988" t="inlineStr">
        <is>
          <t>1995-01-09</t>
        </is>
      </c>
      <c r="AA988" t="n">
        <v>150</v>
      </c>
      <c r="AB988" t="n">
        <v>113</v>
      </c>
      <c r="AC988" t="n">
        <v>510</v>
      </c>
      <c r="AD988" t="n">
        <v>2</v>
      </c>
      <c r="AE988" t="n">
        <v>5</v>
      </c>
      <c r="AF988" t="n">
        <v>7</v>
      </c>
      <c r="AG988" t="n">
        <v>30</v>
      </c>
      <c r="AH988" t="n">
        <v>2</v>
      </c>
      <c r="AI988" t="n">
        <v>11</v>
      </c>
      <c r="AJ988" t="n">
        <v>1</v>
      </c>
      <c r="AK988" t="n">
        <v>6</v>
      </c>
      <c r="AL988" t="n">
        <v>4</v>
      </c>
      <c r="AM988" t="n">
        <v>17</v>
      </c>
      <c r="AN988" t="n">
        <v>1</v>
      </c>
      <c r="AO988" t="n">
        <v>4</v>
      </c>
      <c r="AP988" t="n">
        <v>0</v>
      </c>
      <c r="AQ988" t="n">
        <v>0</v>
      </c>
      <c r="AR988" t="inlineStr">
        <is>
          <t>No</t>
        </is>
      </c>
      <c r="AS988" t="inlineStr">
        <is>
          <t>No</t>
        </is>
      </c>
      <c r="AU988">
        <f>HYPERLINK("https://creighton-primo.hosted.exlibrisgroup.com/primo-explore/search?tab=default_tab&amp;search_scope=EVERYTHING&amp;vid=01CRU&amp;lang=en_US&amp;offset=0&amp;query=any,contains,991004611479702656","Catalog Record")</f>
        <v/>
      </c>
      <c r="AV988">
        <f>HYPERLINK("http://www.worldcat.org/oclc/4216415","WorldCat Record")</f>
        <v/>
      </c>
      <c r="AW988" t="inlineStr">
        <is>
          <t>4925836857:eng</t>
        </is>
      </c>
      <c r="AX988" t="inlineStr">
        <is>
          <t>4216415</t>
        </is>
      </c>
      <c r="AY988" t="inlineStr">
        <is>
          <t>991004611479702656</t>
        </is>
      </c>
      <c r="AZ988" t="inlineStr">
        <is>
          <t>991004611479702656</t>
        </is>
      </c>
      <c r="BA988" t="inlineStr">
        <is>
          <t>2258566790002656</t>
        </is>
      </c>
      <c r="BB988" t="inlineStr">
        <is>
          <t>BOOK</t>
        </is>
      </c>
      <c r="BE988" t="inlineStr">
        <is>
          <t>32285001986438</t>
        </is>
      </c>
      <c r="BF988" t="inlineStr">
        <is>
          <t>893869909</t>
        </is>
      </c>
    </row>
    <row r="989">
      <c r="A989" t="inlineStr">
        <is>
          <t>No</t>
        </is>
      </c>
      <c r="B989" t="inlineStr">
        <is>
          <t>CURAL</t>
        </is>
      </c>
      <c r="C989" t="inlineStr">
        <is>
          <t>SHELVES</t>
        </is>
      </c>
      <c r="D989" t="inlineStr">
        <is>
          <t>PR3366 .N6</t>
        </is>
      </c>
      <c r="E989" t="inlineStr">
        <is>
          <t>0                      PR 3366000N  6</t>
        </is>
      </c>
      <c r="F989" t="inlineStr">
        <is>
          <t>William Congreve / by Maximillian E. Novak.</t>
        </is>
      </c>
      <c r="H989" t="inlineStr">
        <is>
          <t>No</t>
        </is>
      </c>
      <c r="I989" t="inlineStr">
        <is>
          <t>1</t>
        </is>
      </c>
      <c r="J989" t="inlineStr">
        <is>
          <t>No</t>
        </is>
      </c>
      <c r="K989" t="inlineStr">
        <is>
          <t>No</t>
        </is>
      </c>
      <c r="L989" t="inlineStr">
        <is>
          <t>0</t>
        </is>
      </c>
      <c r="M989" t="inlineStr">
        <is>
          <t>Novak, Maximillian E.</t>
        </is>
      </c>
      <c r="N989" t="inlineStr">
        <is>
          <t>New York : Twayne Publishers, [1971]</t>
        </is>
      </c>
      <c r="O989" t="inlineStr">
        <is>
          <t>1971</t>
        </is>
      </c>
      <c r="Q989" t="inlineStr">
        <is>
          <t>eng</t>
        </is>
      </c>
      <c r="R989" t="inlineStr">
        <is>
          <t>nyu</t>
        </is>
      </c>
      <c r="S989" t="inlineStr">
        <is>
          <t>Twayne's English authors series, 112</t>
        </is>
      </c>
      <c r="T989" t="inlineStr">
        <is>
          <t xml:space="preserve">PR </t>
        </is>
      </c>
      <c r="U989" t="n">
        <v>1</v>
      </c>
      <c r="V989" t="n">
        <v>1</v>
      </c>
      <c r="W989" t="inlineStr">
        <is>
          <t>2004-11-21</t>
        </is>
      </c>
      <c r="X989" t="inlineStr">
        <is>
          <t>2004-11-21</t>
        </is>
      </c>
      <c r="Y989" t="inlineStr">
        <is>
          <t>1992-04-23</t>
        </is>
      </c>
      <c r="Z989" t="inlineStr">
        <is>
          <t>1992-04-23</t>
        </is>
      </c>
      <c r="AA989" t="n">
        <v>777</v>
      </c>
      <c r="AB989" t="n">
        <v>687</v>
      </c>
      <c r="AC989" t="n">
        <v>728</v>
      </c>
      <c r="AD989" t="n">
        <v>7</v>
      </c>
      <c r="AE989" t="n">
        <v>7</v>
      </c>
      <c r="AF989" t="n">
        <v>30</v>
      </c>
      <c r="AG989" t="n">
        <v>31</v>
      </c>
      <c r="AH989" t="n">
        <v>8</v>
      </c>
      <c r="AI989" t="n">
        <v>9</v>
      </c>
      <c r="AJ989" t="n">
        <v>6</v>
      </c>
      <c r="AK989" t="n">
        <v>6</v>
      </c>
      <c r="AL989" t="n">
        <v>14</v>
      </c>
      <c r="AM989" t="n">
        <v>15</v>
      </c>
      <c r="AN989" t="n">
        <v>6</v>
      </c>
      <c r="AO989" t="n">
        <v>6</v>
      </c>
      <c r="AP989" t="n">
        <v>0</v>
      </c>
      <c r="AQ989" t="n">
        <v>0</v>
      </c>
      <c r="AR989" t="inlineStr">
        <is>
          <t>No</t>
        </is>
      </c>
      <c r="AS989" t="inlineStr">
        <is>
          <t>Yes</t>
        </is>
      </c>
      <c r="AT989">
        <f>HYPERLINK("http://catalog.hathitrust.org/Record/001372677","HathiTrust Record")</f>
        <v/>
      </c>
      <c r="AU989">
        <f>HYPERLINK("https://creighton-primo.hosted.exlibrisgroup.com/primo-explore/search?tab=default_tab&amp;search_scope=EVERYTHING&amp;vid=01CRU&amp;lang=en_US&amp;offset=0&amp;query=any,contains,991000873309702656","Catalog Record")</f>
        <v/>
      </c>
      <c r="AV989">
        <f>HYPERLINK("http://www.worldcat.org/oclc/151514","WorldCat Record")</f>
        <v/>
      </c>
      <c r="AW989" t="inlineStr">
        <is>
          <t>2564882415:eng</t>
        </is>
      </c>
      <c r="AX989" t="inlineStr">
        <is>
          <t>151514</t>
        </is>
      </c>
      <c r="AY989" t="inlineStr">
        <is>
          <t>991000873309702656</t>
        </is>
      </c>
      <c r="AZ989" t="inlineStr">
        <is>
          <t>991000873309702656</t>
        </is>
      </c>
      <c r="BA989" t="inlineStr">
        <is>
          <t>2272310920002656</t>
        </is>
      </c>
      <c r="BB989" t="inlineStr">
        <is>
          <t>BOOK</t>
        </is>
      </c>
      <c r="BE989" t="inlineStr">
        <is>
          <t>32285001085272</t>
        </is>
      </c>
      <c r="BF989" t="inlineStr">
        <is>
          <t>893891100</t>
        </is>
      </c>
    </row>
    <row r="990">
      <c r="A990" t="inlineStr">
        <is>
          <t>No</t>
        </is>
      </c>
      <c r="B990" t="inlineStr">
        <is>
          <t>CURAL</t>
        </is>
      </c>
      <c r="C990" t="inlineStr">
        <is>
          <t>SHELVES</t>
        </is>
      </c>
      <c r="D990" t="inlineStr">
        <is>
          <t>PR3367 .Y67 1970</t>
        </is>
      </c>
      <c r="E990" t="inlineStr">
        <is>
          <t>0                      PR 3367000Y  67          1970</t>
        </is>
      </c>
      <c r="F990" t="inlineStr">
        <is>
          <t>William Congreve; edited by Brian Morris.</t>
        </is>
      </c>
      <c r="H990" t="inlineStr">
        <is>
          <t>No</t>
        </is>
      </c>
      <c r="I990" t="inlineStr">
        <is>
          <t>1</t>
        </is>
      </c>
      <c r="J990" t="inlineStr">
        <is>
          <t>No</t>
        </is>
      </c>
      <c r="K990" t="inlineStr">
        <is>
          <t>No</t>
        </is>
      </c>
      <c r="L990" t="inlineStr">
        <is>
          <t>0</t>
        </is>
      </c>
      <c r="M990" t="inlineStr">
        <is>
          <t>York Symposium (3rd : 1970 : Langwith College)</t>
        </is>
      </c>
      <c r="N990" t="inlineStr">
        <is>
          <t>London, Benn; Totowa, N.J., Rowman and Littlefield, 1972.</t>
        </is>
      </c>
      <c r="O990" t="inlineStr">
        <is>
          <t>1972</t>
        </is>
      </c>
      <c r="Q990" t="inlineStr">
        <is>
          <t>eng</t>
        </is>
      </c>
      <c r="R990" t="inlineStr">
        <is>
          <t>enk</t>
        </is>
      </c>
      <c r="S990" t="inlineStr">
        <is>
          <t>Mermaid critical commentaries</t>
        </is>
      </c>
      <c r="T990" t="inlineStr">
        <is>
          <t xml:space="preserve">PR </t>
        </is>
      </c>
      <c r="U990" t="n">
        <v>1</v>
      </c>
      <c r="V990" t="n">
        <v>1</v>
      </c>
      <c r="W990" t="inlineStr">
        <is>
          <t>2004-11-21</t>
        </is>
      </c>
      <c r="X990" t="inlineStr">
        <is>
          <t>2004-11-21</t>
        </is>
      </c>
      <c r="Y990" t="inlineStr">
        <is>
          <t>1997-08-07</t>
        </is>
      </c>
      <c r="Z990" t="inlineStr">
        <is>
          <t>1997-08-07</t>
        </is>
      </c>
      <c r="AA990" t="n">
        <v>605</v>
      </c>
      <c r="AB990" t="n">
        <v>460</v>
      </c>
      <c r="AC990" t="n">
        <v>464</v>
      </c>
      <c r="AD990" t="n">
        <v>5</v>
      </c>
      <c r="AE990" t="n">
        <v>5</v>
      </c>
      <c r="AF990" t="n">
        <v>23</v>
      </c>
      <c r="AG990" t="n">
        <v>23</v>
      </c>
      <c r="AH990" t="n">
        <v>6</v>
      </c>
      <c r="AI990" t="n">
        <v>6</v>
      </c>
      <c r="AJ990" t="n">
        <v>5</v>
      </c>
      <c r="AK990" t="n">
        <v>5</v>
      </c>
      <c r="AL990" t="n">
        <v>11</v>
      </c>
      <c r="AM990" t="n">
        <v>11</v>
      </c>
      <c r="AN990" t="n">
        <v>4</v>
      </c>
      <c r="AO990" t="n">
        <v>4</v>
      </c>
      <c r="AP990" t="n">
        <v>0</v>
      </c>
      <c r="AQ990" t="n">
        <v>0</v>
      </c>
      <c r="AR990" t="inlineStr">
        <is>
          <t>No</t>
        </is>
      </c>
      <c r="AS990" t="inlineStr">
        <is>
          <t>Yes</t>
        </is>
      </c>
      <c r="AT990">
        <f>HYPERLINK("http://catalog.hathitrust.org/Record/001372679","HathiTrust Record")</f>
        <v/>
      </c>
      <c r="AU990">
        <f>HYPERLINK("https://creighton-primo.hosted.exlibrisgroup.com/primo-explore/search?tab=default_tab&amp;search_scope=EVERYTHING&amp;vid=01CRU&amp;lang=en_US&amp;offset=0&amp;query=any,contains,991002973099702656","Catalog Record")</f>
        <v/>
      </c>
      <c r="AV990">
        <f>HYPERLINK("http://www.worldcat.org/oclc/550525","WorldCat Record")</f>
        <v/>
      </c>
      <c r="AW990" t="inlineStr">
        <is>
          <t>5481692969:eng</t>
        </is>
      </c>
      <c r="AX990" t="inlineStr">
        <is>
          <t>550525</t>
        </is>
      </c>
      <c r="AY990" t="inlineStr">
        <is>
          <t>991002973099702656</t>
        </is>
      </c>
      <c r="AZ990" t="inlineStr">
        <is>
          <t>991002973099702656</t>
        </is>
      </c>
      <c r="BA990" t="inlineStr">
        <is>
          <t>2254904820002656</t>
        </is>
      </c>
      <c r="BB990" t="inlineStr">
        <is>
          <t>BOOK</t>
        </is>
      </c>
      <c r="BD990" t="inlineStr">
        <is>
          <t>9780874711288</t>
        </is>
      </c>
      <c r="BE990" t="inlineStr">
        <is>
          <t>32285003024253</t>
        </is>
      </c>
      <c r="BF990" t="inlineStr">
        <is>
          <t>893874267</t>
        </is>
      </c>
    </row>
    <row r="991">
      <c r="A991" t="inlineStr">
        <is>
          <t>No</t>
        </is>
      </c>
      <c r="B991" t="inlineStr">
        <is>
          <t>CURAL</t>
        </is>
      </c>
      <c r="C991" t="inlineStr">
        <is>
          <t>SHELVES</t>
        </is>
      </c>
      <c r="D991" t="inlineStr">
        <is>
          <t>PR3368.R4 W5</t>
        </is>
      </c>
      <c r="E991" t="inlineStr">
        <is>
          <t>0                      PR 3368000R  4                  W  5</t>
        </is>
      </c>
      <c r="F991" t="inlineStr">
        <is>
          <t>An approach to Congreve / Aubrey L. Williams.</t>
        </is>
      </c>
      <c r="H991" t="inlineStr">
        <is>
          <t>No</t>
        </is>
      </c>
      <c r="I991" t="inlineStr">
        <is>
          <t>1</t>
        </is>
      </c>
      <c r="J991" t="inlineStr">
        <is>
          <t>No</t>
        </is>
      </c>
      <c r="K991" t="inlineStr">
        <is>
          <t>No</t>
        </is>
      </c>
      <c r="L991" t="inlineStr">
        <is>
          <t>0</t>
        </is>
      </c>
      <c r="M991" t="inlineStr">
        <is>
          <t>Williams, Aubrey L.</t>
        </is>
      </c>
      <c r="N991" t="inlineStr">
        <is>
          <t>New Haven : Yale University Press, 1979.</t>
        </is>
      </c>
      <c r="O991" t="inlineStr">
        <is>
          <t>1979</t>
        </is>
      </c>
      <c r="Q991" t="inlineStr">
        <is>
          <t>eng</t>
        </is>
      </c>
      <c r="R991" t="inlineStr">
        <is>
          <t>ctu</t>
        </is>
      </c>
      <c r="T991" t="inlineStr">
        <is>
          <t xml:space="preserve">PR </t>
        </is>
      </c>
      <c r="U991" t="n">
        <v>4</v>
      </c>
      <c r="V991" t="n">
        <v>4</v>
      </c>
      <c r="W991" t="inlineStr">
        <is>
          <t>2004-11-21</t>
        </is>
      </c>
      <c r="X991" t="inlineStr">
        <is>
          <t>2004-11-21</t>
        </is>
      </c>
      <c r="Y991" t="inlineStr">
        <is>
          <t>1991-10-07</t>
        </is>
      </c>
      <c r="Z991" t="inlineStr">
        <is>
          <t>1991-10-07</t>
        </is>
      </c>
      <c r="AA991" t="n">
        <v>651</v>
      </c>
      <c r="AB991" t="n">
        <v>516</v>
      </c>
      <c r="AC991" t="n">
        <v>519</v>
      </c>
      <c r="AD991" t="n">
        <v>3</v>
      </c>
      <c r="AE991" t="n">
        <v>3</v>
      </c>
      <c r="AF991" t="n">
        <v>33</v>
      </c>
      <c r="AG991" t="n">
        <v>33</v>
      </c>
      <c r="AH991" t="n">
        <v>16</v>
      </c>
      <c r="AI991" t="n">
        <v>16</v>
      </c>
      <c r="AJ991" t="n">
        <v>8</v>
      </c>
      <c r="AK991" t="n">
        <v>8</v>
      </c>
      <c r="AL991" t="n">
        <v>17</v>
      </c>
      <c r="AM991" t="n">
        <v>17</v>
      </c>
      <c r="AN991" t="n">
        <v>2</v>
      </c>
      <c r="AO991" t="n">
        <v>2</v>
      </c>
      <c r="AP991" t="n">
        <v>0</v>
      </c>
      <c r="AQ991" t="n">
        <v>0</v>
      </c>
      <c r="AR991" t="inlineStr">
        <is>
          <t>No</t>
        </is>
      </c>
      <c r="AS991" t="inlineStr">
        <is>
          <t>Yes</t>
        </is>
      </c>
      <c r="AT991">
        <f>HYPERLINK("http://catalog.hathitrust.org/Record/000256455","HathiTrust Record")</f>
        <v/>
      </c>
      <c r="AU991">
        <f>HYPERLINK("https://creighton-primo.hosted.exlibrisgroup.com/primo-explore/search?tab=default_tab&amp;search_scope=EVERYTHING&amp;vid=01CRU&amp;lang=en_US&amp;offset=0&amp;query=any,contains,991004659509702656","Catalog Record")</f>
        <v/>
      </c>
      <c r="AV991">
        <f>HYPERLINK("http://www.worldcat.org/oclc/4496391","WorldCat Record")</f>
        <v/>
      </c>
      <c r="AW991" t="inlineStr">
        <is>
          <t>435357:eng</t>
        </is>
      </c>
      <c r="AX991" t="inlineStr">
        <is>
          <t>4496391</t>
        </is>
      </c>
      <c r="AY991" t="inlineStr">
        <is>
          <t>991004659509702656</t>
        </is>
      </c>
      <c r="AZ991" t="inlineStr">
        <is>
          <t>991004659509702656</t>
        </is>
      </c>
      <c r="BA991" t="inlineStr">
        <is>
          <t>2268710420002656</t>
        </is>
      </c>
      <c r="BB991" t="inlineStr">
        <is>
          <t>BOOK</t>
        </is>
      </c>
      <c r="BD991" t="inlineStr">
        <is>
          <t>9780300023046</t>
        </is>
      </c>
      <c r="BE991" t="inlineStr">
        <is>
          <t>32285000772003</t>
        </is>
      </c>
      <c r="BF991" t="inlineStr">
        <is>
          <t>893446324</t>
        </is>
      </c>
    </row>
    <row r="992">
      <c r="A992" t="inlineStr">
        <is>
          <t>No</t>
        </is>
      </c>
      <c r="B992" t="inlineStr">
        <is>
          <t>CURAL</t>
        </is>
      </c>
      <c r="C992" t="inlineStr">
        <is>
          <t>SHELVES</t>
        </is>
      </c>
      <c r="D992" t="inlineStr">
        <is>
          <t>PR3373 .H5 1960</t>
        </is>
      </c>
      <c r="E992" t="inlineStr">
        <is>
          <t>0                      PR 3373000H  5           1960</t>
        </is>
      </c>
      <c r="F992" t="inlineStr">
        <is>
          <t>Abraham Cowley's world of order / Robert B. Hinman.</t>
        </is>
      </c>
      <c r="H992" t="inlineStr">
        <is>
          <t>No</t>
        </is>
      </c>
      <c r="I992" t="inlineStr">
        <is>
          <t>1</t>
        </is>
      </c>
      <c r="J992" t="inlineStr">
        <is>
          <t>No</t>
        </is>
      </c>
      <c r="K992" t="inlineStr">
        <is>
          <t>No</t>
        </is>
      </c>
      <c r="L992" t="inlineStr">
        <is>
          <t>0</t>
        </is>
      </c>
      <c r="M992" t="inlineStr">
        <is>
          <t>Hinman, Robert B. (Robert Benedict), 1920-</t>
        </is>
      </c>
      <c r="N992" t="inlineStr">
        <is>
          <t>Cambridge : Harvard University Press, 1960.</t>
        </is>
      </c>
      <c r="O992" t="inlineStr">
        <is>
          <t>1960</t>
        </is>
      </c>
      <c r="Q992" t="inlineStr">
        <is>
          <t>eng</t>
        </is>
      </c>
      <c r="R992" t="inlineStr">
        <is>
          <t>mau</t>
        </is>
      </c>
      <c r="T992" t="inlineStr">
        <is>
          <t xml:space="preserve">PR </t>
        </is>
      </c>
      <c r="U992" t="n">
        <v>1</v>
      </c>
      <c r="V992" t="n">
        <v>1</v>
      </c>
      <c r="W992" t="inlineStr">
        <is>
          <t>2002-11-21</t>
        </is>
      </c>
      <c r="X992" t="inlineStr">
        <is>
          <t>2002-11-21</t>
        </is>
      </c>
      <c r="Y992" t="inlineStr">
        <is>
          <t>2002-11-21</t>
        </is>
      </c>
      <c r="Z992" t="inlineStr">
        <is>
          <t>2002-11-21</t>
        </is>
      </c>
      <c r="AA992" t="n">
        <v>665</v>
      </c>
      <c r="AB992" t="n">
        <v>553</v>
      </c>
      <c r="AC992" t="n">
        <v>568</v>
      </c>
      <c r="AD992" t="n">
        <v>4</v>
      </c>
      <c r="AE992" t="n">
        <v>4</v>
      </c>
      <c r="AF992" t="n">
        <v>30</v>
      </c>
      <c r="AG992" t="n">
        <v>30</v>
      </c>
      <c r="AH992" t="n">
        <v>10</v>
      </c>
      <c r="AI992" t="n">
        <v>10</v>
      </c>
      <c r="AJ992" t="n">
        <v>7</v>
      </c>
      <c r="AK992" t="n">
        <v>7</v>
      </c>
      <c r="AL992" t="n">
        <v>17</v>
      </c>
      <c r="AM992" t="n">
        <v>17</v>
      </c>
      <c r="AN992" t="n">
        <v>3</v>
      </c>
      <c r="AO992" t="n">
        <v>3</v>
      </c>
      <c r="AP992" t="n">
        <v>0</v>
      </c>
      <c r="AQ992" t="n">
        <v>0</v>
      </c>
      <c r="AR992" t="inlineStr">
        <is>
          <t>No</t>
        </is>
      </c>
      <c r="AS992" t="inlineStr">
        <is>
          <t>Yes</t>
        </is>
      </c>
      <c r="AT992">
        <f>HYPERLINK("http://catalog.hathitrust.org/Record/000668967","HathiTrust Record")</f>
        <v/>
      </c>
      <c r="AU992">
        <f>HYPERLINK("https://creighton-primo.hosted.exlibrisgroup.com/primo-explore/search?tab=default_tab&amp;search_scope=EVERYTHING&amp;vid=01CRU&amp;lang=en_US&amp;offset=0&amp;query=any,contains,991003949169702656","Catalog Record")</f>
        <v/>
      </c>
      <c r="AV992">
        <f>HYPERLINK("http://www.worldcat.org/oclc/245712","WorldCat Record")</f>
        <v/>
      </c>
      <c r="AW992" t="inlineStr">
        <is>
          <t>200044166:eng</t>
        </is>
      </c>
      <c r="AX992" t="inlineStr">
        <is>
          <t>245712</t>
        </is>
      </c>
      <c r="AY992" t="inlineStr">
        <is>
          <t>991003949169702656</t>
        </is>
      </c>
      <c r="AZ992" t="inlineStr">
        <is>
          <t>991003949169702656</t>
        </is>
      </c>
      <c r="BA992" t="inlineStr">
        <is>
          <t>2267076980002656</t>
        </is>
      </c>
      <c r="BB992" t="inlineStr">
        <is>
          <t>BOOK</t>
        </is>
      </c>
      <c r="BE992" t="inlineStr">
        <is>
          <t>32285004665625</t>
        </is>
      </c>
      <c r="BF992" t="inlineStr">
        <is>
          <t>893531807</t>
        </is>
      </c>
    </row>
    <row r="993">
      <c r="A993" t="inlineStr">
        <is>
          <t>No</t>
        </is>
      </c>
      <c r="B993" t="inlineStr">
        <is>
          <t>CURAL</t>
        </is>
      </c>
      <c r="C993" t="inlineStr">
        <is>
          <t>SHELVES</t>
        </is>
      </c>
      <c r="D993" t="inlineStr">
        <is>
          <t>PR3384 .H33</t>
        </is>
      </c>
      <c r="E993" t="inlineStr">
        <is>
          <t>0                      PR 3384000H  33</t>
        </is>
      </c>
      <c r="F993" t="inlineStr">
        <is>
          <t>William Cowper, the continuing revaluation : an essay and a bibliography of Cowperian studies from 1895 to 1960 / by Lodwick Hartley.</t>
        </is>
      </c>
      <c r="H993" t="inlineStr">
        <is>
          <t>No</t>
        </is>
      </c>
      <c r="I993" t="inlineStr">
        <is>
          <t>1</t>
        </is>
      </c>
      <c r="J993" t="inlineStr">
        <is>
          <t>No</t>
        </is>
      </c>
      <c r="K993" t="inlineStr">
        <is>
          <t>No</t>
        </is>
      </c>
      <c r="L993" t="inlineStr">
        <is>
          <t>0</t>
        </is>
      </c>
      <c r="M993" t="inlineStr">
        <is>
          <t>Hartley, Lodwick, 1906-1979.</t>
        </is>
      </c>
      <c r="N993" t="inlineStr">
        <is>
          <t>Chapel Hill : University of North Carolina Press, 1960.</t>
        </is>
      </c>
      <c r="O993" t="inlineStr">
        <is>
          <t>1960</t>
        </is>
      </c>
      <c r="Q993" t="inlineStr">
        <is>
          <t>eng</t>
        </is>
      </c>
      <c r="R993" t="inlineStr">
        <is>
          <t>ncu</t>
        </is>
      </c>
      <c r="T993" t="inlineStr">
        <is>
          <t xml:space="preserve">PR </t>
        </is>
      </c>
      <c r="U993" t="n">
        <v>0</v>
      </c>
      <c r="V993" t="n">
        <v>0</v>
      </c>
      <c r="W993" t="inlineStr">
        <is>
          <t>2002-02-20</t>
        </is>
      </c>
      <c r="X993" t="inlineStr">
        <is>
          <t>2002-02-20</t>
        </is>
      </c>
      <c r="Y993" t="inlineStr">
        <is>
          <t>1997-08-07</t>
        </is>
      </c>
      <c r="Z993" t="inlineStr">
        <is>
          <t>1997-08-07</t>
        </is>
      </c>
      <c r="AA993" t="n">
        <v>663</v>
      </c>
      <c r="AB993" t="n">
        <v>557</v>
      </c>
      <c r="AC993" t="n">
        <v>569</v>
      </c>
      <c r="AD993" t="n">
        <v>5</v>
      </c>
      <c r="AE993" t="n">
        <v>5</v>
      </c>
      <c r="AF993" t="n">
        <v>26</v>
      </c>
      <c r="AG993" t="n">
        <v>26</v>
      </c>
      <c r="AH993" t="n">
        <v>9</v>
      </c>
      <c r="AI993" t="n">
        <v>9</v>
      </c>
      <c r="AJ993" t="n">
        <v>7</v>
      </c>
      <c r="AK993" t="n">
        <v>7</v>
      </c>
      <c r="AL993" t="n">
        <v>12</v>
      </c>
      <c r="AM993" t="n">
        <v>12</v>
      </c>
      <c r="AN993" t="n">
        <v>4</v>
      </c>
      <c r="AO993" t="n">
        <v>4</v>
      </c>
      <c r="AP993" t="n">
        <v>0</v>
      </c>
      <c r="AQ993" t="n">
        <v>0</v>
      </c>
      <c r="AR993" t="inlineStr">
        <is>
          <t>Yes</t>
        </is>
      </c>
      <c r="AS993" t="inlineStr">
        <is>
          <t>No</t>
        </is>
      </c>
      <c r="AT993">
        <f>HYPERLINK("http://catalog.hathitrust.org/Record/000669199","HathiTrust Record")</f>
        <v/>
      </c>
      <c r="AU993">
        <f>HYPERLINK("https://creighton-primo.hosted.exlibrisgroup.com/primo-explore/search?tab=default_tab&amp;search_scope=EVERYTHING&amp;vid=01CRU&amp;lang=en_US&amp;offset=0&amp;query=any,contains,991001128649702656","Catalog Record")</f>
        <v/>
      </c>
      <c r="AV993">
        <f>HYPERLINK("http://www.worldcat.org/oclc/16673307","WorldCat Record")</f>
        <v/>
      </c>
      <c r="AW993" t="inlineStr">
        <is>
          <t>813512020:eng</t>
        </is>
      </c>
      <c r="AX993" t="inlineStr">
        <is>
          <t>16673307</t>
        </is>
      </c>
      <c r="AY993" t="inlineStr">
        <is>
          <t>991001128649702656</t>
        </is>
      </c>
      <c r="AZ993" t="inlineStr">
        <is>
          <t>991001128649702656</t>
        </is>
      </c>
      <c r="BA993" t="inlineStr">
        <is>
          <t>2271638680002656</t>
        </is>
      </c>
      <c r="BB993" t="inlineStr">
        <is>
          <t>BOOK</t>
        </is>
      </c>
      <c r="BE993" t="inlineStr">
        <is>
          <t>32285003024501</t>
        </is>
      </c>
      <c r="BF993" t="inlineStr">
        <is>
          <t>893413976</t>
        </is>
      </c>
    </row>
    <row r="994">
      <c r="A994" t="inlineStr">
        <is>
          <t>No</t>
        </is>
      </c>
      <c r="B994" t="inlineStr">
        <is>
          <t>CURAL</t>
        </is>
      </c>
      <c r="C994" t="inlineStr">
        <is>
          <t>SHELVES</t>
        </is>
      </c>
      <c r="D994" t="inlineStr">
        <is>
          <t>PR3386 .P3 1980</t>
        </is>
      </c>
      <c r="E994" t="inlineStr">
        <is>
          <t>0                      PR 3386000P  3           1980</t>
        </is>
      </c>
      <c r="F994" t="inlineStr">
        <is>
          <t>Richard Crashaw / Paul A. Parrish.</t>
        </is>
      </c>
      <c r="H994" t="inlineStr">
        <is>
          <t>No</t>
        </is>
      </c>
      <c r="I994" t="inlineStr">
        <is>
          <t>1</t>
        </is>
      </c>
      <c r="J994" t="inlineStr">
        <is>
          <t>No</t>
        </is>
      </c>
      <c r="K994" t="inlineStr">
        <is>
          <t>No</t>
        </is>
      </c>
      <c r="L994" t="inlineStr">
        <is>
          <t>0</t>
        </is>
      </c>
      <c r="M994" t="inlineStr">
        <is>
          <t>Parrish, Paul A., 1944-</t>
        </is>
      </c>
      <c r="N994" t="inlineStr">
        <is>
          <t>Boston : Twayne Publishers, 1980.</t>
        </is>
      </c>
      <c r="O994" t="inlineStr">
        <is>
          <t>1980</t>
        </is>
      </c>
      <c r="Q994" t="inlineStr">
        <is>
          <t>eng</t>
        </is>
      </c>
      <c r="R994" t="inlineStr">
        <is>
          <t>mau</t>
        </is>
      </c>
      <c r="S994" t="inlineStr">
        <is>
          <t>Twayne's English authors series ; TEAS 299</t>
        </is>
      </c>
      <c r="T994" t="inlineStr">
        <is>
          <t xml:space="preserve">PR </t>
        </is>
      </c>
      <c r="U994" t="n">
        <v>3</v>
      </c>
      <c r="V994" t="n">
        <v>3</v>
      </c>
      <c r="W994" t="inlineStr">
        <is>
          <t>2010-01-11</t>
        </is>
      </c>
      <c r="X994" t="inlineStr">
        <is>
          <t>2010-01-11</t>
        </is>
      </c>
      <c r="Y994" t="inlineStr">
        <is>
          <t>1991-04-23</t>
        </is>
      </c>
      <c r="Z994" t="inlineStr">
        <is>
          <t>1991-04-23</t>
        </is>
      </c>
      <c r="AA994" t="n">
        <v>620</v>
      </c>
      <c r="AB994" t="n">
        <v>541</v>
      </c>
      <c r="AC994" t="n">
        <v>548</v>
      </c>
      <c r="AD994" t="n">
        <v>6</v>
      </c>
      <c r="AE994" t="n">
        <v>6</v>
      </c>
      <c r="AF994" t="n">
        <v>30</v>
      </c>
      <c r="AG994" t="n">
        <v>30</v>
      </c>
      <c r="AH994" t="n">
        <v>12</v>
      </c>
      <c r="AI994" t="n">
        <v>12</v>
      </c>
      <c r="AJ994" t="n">
        <v>8</v>
      </c>
      <c r="AK994" t="n">
        <v>8</v>
      </c>
      <c r="AL994" t="n">
        <v>14</v>
      </c>
      <c r="AM994" t="n">
        <v>14</v>
      </c>
      <c r="AN994" t="n">
        <v>5</v>
      </c>
      <c r="AO994" t="n">
        <v>5</v>
      </c>
      <c r="AP994" t="n">
        <v>0</v>
      </c>
      <c r="AQ994" t="n">
        <v>0</v>
      </c>
      <c r="AR994" t="inlineStr">
        <is>
          <t>No</t>
        </is>
      </c>
      <c r="AS994" t="inlineStr">
        <is>
          <t>Yes</t>
        </is>
      </c>
      <c r="AT994">
        <f>HYPERLINK("http://catalog.hathitrust.org/Record/000684386","HathiTrust Record")</f>
        <v/>
      </c>
      <c r="AU994">
        <f>HYPERLINK("https://creighton-primo.hosted.exlibrisgroup.com/primo-explore/search?tab=default_tab&amp;search_scope=EVERYTHING&amp;vid=01CRU&amp;lang=en_US&amp;offset=0&amp;query=any,contains,991004952079702656","Catalog Record")</f>
        <v/>
      </c>
      <c r="AV994">
        <f>HYPERLINK("http://www.worldcat.org/oclc/6250978","WorldCat Record")</f>
        <v/>
      </c>
      <c r="AW994" t="inlineStr">
        <is>
          <t>21172152:eng</t>
        </is>
      </c>
      <c r="AX994" t="inlineStr">
        <is>
          <t>6250978</t>
        </is>
      </c>
      <c r="AY994" t="inlineStr">
        <is>
          <t>991004952079702656</t>
        </is>
      </c>
      <c r="AZ994" t="inlineStr">
        <is>
          <t>991004952079702656</t>
        </is>
      </c>
      <c r="BA994" t="inlineStr">
        <is>
          <t>2265167880002656</t>
        </is>
      </c>
      <c r="BB994" t="inlineStr">
        <is>
          <t>BOOK</t>
        </is>
      </c>
      <c r="BD994" t="inlineStr">
        <is>
          <t>9780805767919</t>
        </is>
      </c>
      <c r="BE994" t="inlineStr">
        <is>
          <t>32285000585488</t>
        </is>
      </c>
      <c r="BF994" t="inlineStr">
        <is>
          <t>893513837</t>
        </is>
      </c>
    </row>
    <row r="995">
      <c r="A995" t="inlineStr">
        <is>
          <t>No</t>
        </is>
      </c>
      <c r="B995" t="inlineStr">
        <is>
          <t>CURAL</t>
        </is>
      </c>
      <c r="C995" t="inlineStr">
        <is>
          <t>SHELVES</t>
        </is>
      </c>
      <c r="D995" t="inlineStr">
        <is>
          <t>PR3386 .R63 1985</t>
        </is>
      </c>
      <c r="E995" t="inlineStr">
        <is>
          <t>0                      PR 3386000R  63          1985</t>
        </is>
      </c>
      <c r="F995" t="inlineStr">
        <is>
          <t>Richard Crashaw : an annotated bibliography of criticism, 1632-1980 / John R. Roberts.</t>
        </is>
      </c>
      <c r="H995" t="inlineStr">
        <is>
          <t>No</t>
        </is>
      </c>
      <c r="I995" t="inlineStr">
        <is>
          <t>1</t>
        </is>
      </c>
      <c r="J995" t="inlineStr">
        <is>
          <t>No</t>
        </is>
      </c>
      <c r="K995" t="inlineStr">
        <is>
          <t>No</t>
        </is>
      </c>
      <c r="L995" t="inlineStr">
        <is>
          <t>0</t>
        </is>
      </c>
      <c r="M995" t="inlineStr">
        <is>
          <t>Roberts, John Richard.</t>
        </is>
      </c>
      <c r="N995" t="inlineStr">
        <is>
          <t>Columbia : University of Missouri Press, 1985.</t>
        </is>
      </c>
      <c r="O995" t="inlineStr">
        <is>
          <t>1985</t>
        </is>
      </c>
      <c r="Q995" t="inlineStr">
        <is>
          <t>eng</t>
        </is>
      </c>
      <c r="R995" t="inlineStr">
        <is>
          <t>mou</t>
        </is>
      </c>
      <c r="T995" t="inlineStr">
        <is>
          <t xml:space="preserve">PR </t>
        </is>
      </c>
      <c r="U995" t="n">
        <v>2</v>
      </c>
      <c r="V995" t="n">
        <v>2</v>
      </c>
      <c r="W995" t="inlineStr">
        <is>
          <t>2010-01-24</t>
        </is>
      </c>
      <c r="X995" t="inlineStr">
        <is>
          <t>2010-01-24</t>
        </is>
      </c>
      <c r="Y995" t="inlineStr">
        <is>
          <t>1991-04-23</t>
        </is>
      </c>
      <c r="Z995" t="inlineStr">
        <is>
          <t>1991-04-23</t>
        </is>
      </c>
      <c r="AA995" t="n">
        <v>373</v>
      </c>
      <c r="AB995" t="n">
        <v>299</v>
      </c>
      <c r="AC995" t="n">
        <v>306</v>
      </c>
      <c r="AD995" t="n">
        <v>3</v>
      </c>
      <c r="AE995" t="n">
        <v>3</v>
      </c>
      <c r="AF995" t="n">
        <v>20</v>
      </c>
      <c r="AG995" t="n">
        <v>20</v>
      </c>
      <c r="AH995" t="n">
        <v>6</v>
      </c>
      <c r="AI995" t="n">
        <v>6</v>
      </c>
      <c r="AJ995" t="n">
        <v>6</v>
      </c>
      <c r="AK995" t="n">
        <v>6</v>
      </c>
      <c r="AL995" t="n">
        <v>12</v>
      </c>
      <c r="AM995" t="n">
        <v>12</v>
      </c>
      <c r="AN995" t="n">
        <v>2</v>
      </c>
      <c r="AO995" t="n">
        <v>2</v>
      </c>
      <c r="AP995" t="n">
        <v>0</v>
      </c>
      <c r="AQ995" t="n">
        <v>0</v>
      </c>
      <c r="AR995" t="inlineStr">
        <is>
          <t>No</t>
        </is>
      </c>
      <c r="AS995" t="inlineStr">
        <is>
          <t>Yes</t>
        </is>
      </c>
      <c r="AT995">
        <f>HYPERLINK("http://catalog.hathitrust.org/Record/000351507","HathiTrust Record")</f>
        <v/>
      </c>
      <c r="AU995">
        <f>HYPERLINK("https://creighton-primo.hosted.exlibrisgroup.com/primo-explore/search?tab=default_tab&amp;search_scope=EVERYTHING&amp;vid=01CRU&amp;lang=en_US&amp;offset=0&amp;query=any,contains,991000592319702656","Catalog Record")</f>
        <v/>
      </c>
      <c r="AV995">
        <f>HYPERLINK("http://www.worldcat.org/oclc/11785725","WorldCat Record")</f>
        <v/>
      </c>
      <c r="AW995" t="inlineStr">
        <is>
          <t>199014483:eng</t>
        </is>
      </c>
      <c r="AX995" t="inlineStr">
        <is>
          <t>11785725</t>
        </is>
      </c>
      <c r="AY995" t="inlineStr">
        <is>
          <t>991000592319702656</t>
        </is>
      </c>
      <c r="AZ995" t="inlineStr">
        <is>
          <t>991000592319702656</t>
        </is>
      </c>
      <c r="BA995" t="inlineStr">
        <is>
          <t>2255723140002656</t>
        </is>
      </c>
      <c r="BB995" t="inlineStr">
        <is>
          <t>BOOK</t>
        </is>
      </c>
      <c r="BD995" t="inlineStr">
        <is>
          <t>9780826204684</t>
        </is>
      </c>
      <c r="BE995" t="inlineStr">
        <is>
          <t>32285000585496</t>
        </is>
      </c>
      <c r="BF995" t="inlineStr">
        <is>
          <t>893689840</t>
        </is>
      </c>
    </row>
    <row r="996">
      <c r="A996" t="inlineStr">
        <is>
          <t>No</t>
        </is>
      </c>
      <c r="B996" t="inlineStr">
        <is>
          <t>CURAL</t>
        </is>
      </c>
      <c r="C996" t="inlineStr">
        <is>
          <t>SHELVES</t>
        </is>
      </c>
      <c r="D996" t="inlineStr">
        <is>
          <t>PR3386 .W3</t>
        </is>
      </c>
      <c r="E996" t="inlineStr">
        <is>
          <t>0                      PR 3386000W  3</t>
        </is>
      </c>
      <c r="F996" t="inlineStr">
        <is>
          <t>Richard Crashaw : a study in baroque sensibility / by Austin Warren.</t>
        </is>
      </c>
      <c r="H996" t="inlineStr">
        <is>
          <t>No</t>
        </is>
      </c>
      <c r="I996" t="inlineStr">
        <is>
          <t>1</t>
        </is>
      </c>
      <c r="J996" t="inlineStr">
        <is>
          <t>No</t>
        </is>
      </c>
      <c r="K996" t="inlineStr">
        <is>
          <t>No</t>
        </is>
      </c>
      <c r="L996" t="inlineStr">
        <is>
          <t>0</t>
        </is>
      </c>
      <c r="M996" t="inlineStr">
        <is>
          <t>Warren, Austin, 1899-1986.</t>
        </is>
      </c>
      <c r="N996" t="inlineStr">
        <is>
          <t>University, Louisiana : Louisiana State University Press, 1939.</t>
        </is>
      </c>
      <c r="O996" t="inlineStr">
        <is>
          <t>1939</t>
        </is>
      </c>
      <c r="Q996" t="inlineStr">
        <is>
          <t>eng</t>
        </is>
      </c>
      <c r="R996" t="inlineStr">
        <is>
          <t>lau</t>
        </is>
      </c>
      <c r="T996" t="inlineStr">
        <is>
          <t xml:space="preserve">PR </t>
        </is>
      </c>
      <c r="U996" t="n">
        <v>2</v>
      </c>
      <c r="V996" t="n">
        <v>2</v>
      </c>
      <c r="W996" t="inlineStr">
        <is>
          <t>2010-01-24</t>
        </is>
      </c>
      <c r="X996" t="inlineStr">
        <is>
          <t>2010-01-24</t>
        </is>
      </c>
      <c r="Y996" t="inlineStr">
        <is>
          <t>1997-08-07</t>
        </is>
      </c>
      <c r="Z996" t="inlineStr">
        <is>
          <t>1997-08-07</t>
        </is>
      </c>
      <c r="AA996" t="n">
        <v>348</v>
      </c>
      <c r="AB996" t="n">
        <v>314</v>
      </c>
      <c r="AC996" t="n">
        <v>861</v>
      </c>
      <c r="AD996" t="n">
        <v>3</v>
      </c>
      <c r="AE996" t="n">
        <v>8</v>
      </c>
      <c r="AF996" t="n">
        <v>26</v>
      </c>
      <c r="AG996" t="n">
        <v>45</v>
      </c>
      <c r="AH996" t="n">
        <v>12</v>
      </c>
      <c r="AI996" t="n">
        <v>20</v>
      </c>
      <c r="AJ996" t="n">
        <v>5</v>
      </c>
      <c r="AK996" t="n">
        <v>8</v>
      </c>
      <c r="AL996" t="n">
        <v>15</v>
      </c>
      <c r="AM996" t="n">
        <v>23</v>
      </c>
      <c r="AN996" t="n">
        <v>2</v>
      </c>
      <c r="AO996" t="n">
        <v>6</v>
      </c>
      <c r="AP996" t="n">
        <v>0</v>
      </c>
      <c r="AQ996" t="n">
        <v>0</v>
      </c>
      <c r="AR996" t="inlineStr">
        <is>
          <t>No</t>
        </is>
      </c>
      <c r="AS996" t="inlineStr">
        <is>
          <t>No</t>
        </is>
      </c>
      <c r="AU996">
        <f>HYPERLINK("https://creighton-primo.hosted.exlibrisgroup.com/primo-explore/search?tab=default_tab&amp;search_scope=EVERYTHING&amp;vid=01CRU&amp;lang=en_US&amp;offset=0&amp;query=any,contains,991004278269702656","Catalog Record")</f>
        <v/>
      </c>
      <c r="AV996">
        <f>HYPERLINK("http://www.worldcat.org/oclc/2898642","WorldCat Record")</f>
        <v/>
      </c>
      <c r="AW996" t="inlineStr">
        <is>
          <t>197840798:eng</t>
        </is>
      </c>
      <c r="AX996" t="inlineStr">
        <is>
          <t>2898642</t>
        </is>
      </c>
      <c r="AY996" t="inlineStr">
        <is>
          <t>991004278269702656</t>
        </is>
      </c>
      <c r="AZ996" t="inlineStr">
        <is>
          <t>991004278269702656</t>
        </is>
      </c>
      <c r="BA996" t="inlineStr">
        <is>
          <t>2259472720002656</t>
        </is>
      </c>
      <c r="BB996" t="inlineStr">
        <is>
          <t>BOOK</t>
        </is>
      </c>
      <c r="BE996" t="inlineStr">
        <is>
          <t>32285003024568</t>
        </is>
      </c>
      <c r="BF996" t="inlineStr">
        <is>
          <t>893442424</t>
        </is>
      </c>
    </row>
    <row r="997">
      <c r="A997" t="inlineStr">
        <is>
          <t>No</t>
        </is>
      </c>
      <c r="B997" t="inlineStr">
        <is>
          <t>CURAL</t>
        </is>
      </c>
      <c r="C997" t="inlineStr">
        <is>
          <t>SHELVES</t>
        </is>
      </c>
      <c r="D997" t="inlineStr">
        <is>
          <t>PR3386 .Y6 1982</t>
        </is>
      </c>
      <c r="E997" t="inlineStr">
        <is>
          <t>0                      PR 3386000Y  6           1982</t>
        </is>
      </c>
      <c r="F997" t="inlineStr">
        <is>
          <t>Richard Crashaw and the Spanish Golden Age / R.V. Young.</t>
        </is>
      </c>
      <c r="H997" t="inlineStr">
        <is>
          <t>No</t>
        </is>
      </c>
      <c r="I997" t="inlineStr">
        <is>
          <t>1</t>
        </is>
      </c>
      <c r="J997" t="inlineStr">
        <is>
          <t>No</t>
        </is>
      </c>
      <c r="K997" t="inlineStr">
        <is>
          <t>No</t>
        </is>
      </c>
      <c r="L997" t="inlineStr">
        <is>
          <t>0</t>
        </is>
      </c>
      <c r="M997" t="inlineStr">
        <is>
          <t>Young, R. V., 1947-</t>
        </is>
      </c>
      <c r="N997" t="inlineStr">
        <is>
          <t>New Haven : Yale University Press, c1982.</t>
        </is>
      </c>
      <c r="O997" t="inlineStr">
        <is>
          <t>1982</t>
        </is>
      </c>
      <c r="Q997" t="inlineStr">
        <is>
          <t>eng</t>
        </is>
      </c>
      <c r="R997" t="inlineStr">
        <is>
          <t>ctu</t>
        </is>
      </c>
      <c r="S997" t="inlineStr">
        <is>
          <t>Yale studies in English ; 191</t>
        </is>
      </c>
      <c r="T997" t="inlineStr">
        <is>
          <t xml:space="preserve">PR </t>
        </is>
      </c>
      <c r="U997" t="n">
        <v>1</v>
      </c>
      <c r="V997" t="n">
        <v>1</v>
      </c>
      <c r="W997" t="inlineStr">
        <is>
          <t>2010-01-24</t>
        </is>
      </c>
      <c r="X997" t="inlineStr">
        <is>
          <t>2010-01-24</t>
        </is>
      </c>
      <c r="Y997" t="inlineStr">
        <is>
          <t>1991-04-23</t>
        </is>
      </c>
      <c r="Z997" t="inlineStr">
        <is>
          <t>1991-04-23</t>
        </is>
      </c>
      <c r="AA997" t="n">
        <v>589</v>
      </c>
      <c r="AB997" t="n">
        <v>456</v>
      </c>
      <c r="AC997" t="n">
        <v>459</v>
      </c>
      <c r="AD997" t="n">
        <v>3</v>
      </c>
      <c r="AE997" t="n">
        <v>3</v>
      </c>
      <c r="AF997" t="n">
        <v>27</v>
      </c>
      <c r="AG997" t="n">
        <v>27</v>
      </c>
      <c r="AH997" t="n">
        <v>10</v>
      </c>
      <c r="AI997" t="n">
        <v>10</v>
      </c>
      <c r="AJ997" t="n">
        <v>8</v>
      </c>
      <c r="AK997" t="n">
        <v>8</v>
      </c>
      <c r="AL997" t="n">
        <v>16</v>
      </c>
      <c r="AM997" t="n">
        <v>16</v>
      </c>
      <c r="AN997" t="n">
        <v>2</v>
      </c>
      <c r="AO997" t="n">
        <v>2</v>
      </c>
      <c r="AP997" t="n">
        <v>0</v>
      </c>
      <c r="AQ997" t="n">
        <v>0</v>
      </c>
      <c r="AR997" t="inlineStr">
        <is>
          <t>No</t>
        </is>
      </c>
      <c r="AS997" t="inlineStr">
        <is>
          <t>No</t>
        </is>
      </c>
      <c r="AU997">
        <f>HYPERLINK("https://creighton-primo.hosted.exlibrisgroup.com/primo-explore/search?tab=default_tab&amp;search_scope=EVERYTHING&amp;vid=01CRU&amp;lang=en_US&amp;offset=0&amp;query=any,contains,991005211079702656","Catalog Record")</f>
        <v/>
      </c>
      <c r="AV997">
        <f>HYPERLINK("http://www.worldcat.org/oclc/8168997","WorldCat Record")</f>
        <v/>
      </c>
      <c r="AW997" t="inlineStr">
        <is>
          <t>2571102:eng</t>
        </is>
      </c>
      <c r="AX997" t="inlineStr">
        <is>
          <t>8168997</t>
        </is>
      </c>
      <c r="AY997" t="inlineStr">
        <is>
          <t>991005211079702656</t>
        </is>
      </c>
      <c r="AZ997" t="inlineStr">
        <is>
          <t>991005211079702656</t>
        </is>
      </c>
      <c r="BA997" t="inlineStr">
        <is>
          <t>2271865240002656</t>
        </is>
      </c>
      <c r="BB997" t="inlineStr">
        <is>
          <t>BOOK</t>
        </is>
      </c>
      <c r="BD997" t="inlineStr">
        <is>
          <t>9780300027662</t>
        </is>
      </c>
      <c r="BE997" t="inlineStr">
        <is>
          <t>32285000585504</t>
        </is>
      </c>
      <c r="BF997" t="inlineStr">
        <is>
          <t>893600825</t>
        </is>
      </c>
    </row>
    <row r="998">
      <c r="A998" t="inlineStr">
        <is>
          <t>No</t>
        </is>
      </c>
      <c r="B998" t="inlineStr">
        <is>
          <t>CURAL</t>
        </is>
      </c>
      <c r="C998" t="inlineStr">
        <is>
          <t>SHELVES</t>
        </is>
      </c>
      <c r="D998" t="inlineStr">
        <is>
          <t>PR3388.C2 C5 1967</t>
        </is>
      </c>
      <c r="E998" t="inlineStr">
        <is>
          <t>0                      PR 3388000C  2                  C  5           1967</t>
        </is>
      </c>
      <c r="F998" t="inlineStr">
        <is>
          <t>City politiques / John Crowne ; edited by John Harold Wilson.</t>
        </is>
      </c>
      <c r="H998" t="inlineStr">
        <is>
          <t>No</t>
        </is>
      </c>
      <c r="I998" t="inlineStr">
        <is>
          <t>1</t>
        </is>
      </c>
      <c r="J998" t="inlineStr">
        <is>
          <t>No</t>
        </is>
      </c>
      <c r="K998" t="inlineStr">
        <is>
          <t>No</t>
        </is>
      </c>
      <c r="L998" t="inlineStr">
        <is>
          <t>0</t>
        </is>
      </c>
      <c r="M998" t="inlineStr">
        <is>
          <t>Crown, Mr. (John), 1640?-1712.</t>
        </is>
      </c>
      <c r="N998" t="inlineStr">
        <is>
          <t>Lincoln : University of Nebraska, [1967]</t>
        </is>
      </c>
      <c r="O998" t="inlineStr">
        <is>
          <t>1967</t>
        </is>
      </c>
      <c r="Q998" t="inlineStr">
        <is>
          <t>eng</t>
        </is>
      </c>
      <c r="R998" t="inlineStr">
        <is>
          <t>nbu</t>
        </is>
      </c>
      <c r="S998" t="inlineStr">
        <is>
          <t>Regents restoration drama series</t>
        </is>
      </c>
      <c r="T998" t="inlineStr">
        <is>
          <t xml:space="preserve">PR </t>
        </is>
      </c>
      <c r="U998" t="n">
        <v>1</v>
      </c>
      <c r="V998" t="n">
        <v>1</v>
      </c>
      <c r="W998" t="inlineStr">
        <is>
          <t>2003-09-15</t>
        </is>
      </c>
      <c r="X998" t="inlineStr">
        <is>
          <t>2003-09-15</t>
        </is>
      </c>
      <c r="Y998" t="inlineStr">
        <is>
          <t>2003-09-15</t>
        </is>
      </c>
      <c r="Z998" t="inlineStr">
        <is>
          <t>2003-09-15</t>
        </is>
      </c>
      <c r="AA998" t="n">
        <v>472</v>
      </c>
      <c r="AB998" t="n">
        <v>433</v>
      </c>
      <c r="AC998" t="n">
        <v>470</v>
      </c>
      <c r="AD998" t="n">
        <v>7</v>
      </c>
      <c r="AE998" t="n">
        <v>7</v>
      </c>
      <c r="AF998" t="n">
        <v>32</v>
      </c>
      <c r="AG998" t="n">
        <v>34</v>
      </c>
      <c r="AH998" t="n">
        <v>9</v>
      </c>
      <c r="AI998" t="n">
        <v>10</v>
      </c>
      <c r="AJ998" t="n">
        <v>8</v>
      </c>
      <c r="AK998" t="n">
        <v>9</v>
      </c>
      <c r="AL998" t="n">
        <v>16</v>
      </c>
      <c r="AM998" t="n">
        <v>17</v>
      </c>
      <c r="AN998" t="n">
        <v>6</v>
      </c>
      <c r="AO998" t="n">
        <v>6</v>
      </c>
      <c r="AP998" t="n">
        <v>0</v>
      </c>
      <c r="AQ998" t="n">
        <v>0</v>
      </c>
      <c r="AR998" t="inlineStr">
        <is>
          <t>No</t>
        </is>
      </c>
      <c r="AS998" t="inlineStr">
        <is>
          <t>Yes</t>
        </is>
      </c>
      <c r="AT998">
        <f>HYPERLINK("http://catalog.hathitrust.org/Record/001372714","HathiTrust Record")</f>
        <v/>
      </c>
      <c r="AU998">
        <f>HYPERLINK("https://creighton-primo.hosted.exlibrisgroup.com/primo-explore/search?tab=default_tab&amp;search_scope=EVERYTHING&amp;vid=01CRU&amp;lang=en_US&amp;offset=0&amp;query=any,contains,991004123769702656","Catalog Record")</f>
        <v/>
      </c>
      <c r="AV998">
        <f>HYPERLINK("http://www.worldcat.org/oclc/354943","WorldCat Record")</f>
        <v/>
      </c>
      <c r="AW998" t="inlineStr">
        <is>
          <t>3228666:eng</t>
        </is>
      </c>
      <c r="AX998" t="inlineStr">
        <is>
          <t>354943</t>
        </is>
      </c>
      <c r="AY998" t="inlineStr">
        <is>
          <t>991004123769702656</t>
        </is>
      </c>
      <c r="AZ998" t="inlineStr">
        <is>
          <t>991004123769702656</t>
        </is>
      </c>
      <c r="BA998" t="inlineStr">
        <is>
          <t>2266314010002656</t>
        </is>
      </c>
      <c r="BB998" t="inlineStr">
        <is>
          <t>BOOK</t>
        </is>
      </c>
      <c r="BE998" t="inlineStr">
        <is>
          <t>32285004783188</t>
        </is>
      </c>
      <c r="BF998" t="inlineStr">
        <is>
          <t>893593295</t>
        </is>
      </c>
    </row>
    <row r="999">
      <c r="A999" t="inlineStr">
        <is>
          <t>No</t>
        </is>
      </c>
      <c r="B999" t="inlineStr">
        <is>
          <t>CURAL</t>
        </is>
      </c>
      <c r="C999" t="inlineStr">
        <is>
          <t>SHELVES</t>
        </is>
      </c>
      <c r="D999" t="inlineStr">
        <is>
          <t>PR3396 .H32</t>
        </is>
      </c>
      <c r="E999" t="inlineStr">
        <is>
          <t>0                      PR 3396000H  32</t>
        </is>
      </c>
      <c r="F999" t="inlineStr">
        <is>
          <t>Erasmus Darwin, by Donald M. Hassler.</t>
        </is>
      </c>
      <c r="H999" t="inlineStr">
        <is>
          <t>No</t>
        </is>
      </c>
      <c r="I999" t="inlineStr">
        <is>
          <t>1</t>
        </is>
      </c>
      <c r="J999" t="inlineStr">
        <is>
          <t>No</t>
        </is>
      </c>
      <c r="K999" t="inlineStr">
        <is>
          <t>No</t>
        </is>
      </c>
      <c r="L999" t="inlineStr">
        <is>
          <t>0</t>
        </is>
      </c>
      <c r="M999" t="inlineStr">
        <is>
          <t>Hassler, Donald M.</t>
        </is>
      </c>
      <c r="N999" t="inlineStr">
        <is>
          <t>New York, Twayne Publishers [c1973]</t>
        </is>
      </c>
      <c r="O999" t="inlineStr">
        <is>
          <t>1973</t>
        </is>
      </c>
      <c r="Q999" t="inlineStr">
        <is>
          <t>eng</t>
        </is>
      </c>
      <c r="R999" t="inlineStr">
        <is>
          <t>nyu</t>
        </is>
      </c>
      <c r="S999" t="inlineStr">
        <is>
          <t>Twayne's English authors series ; TEAS 160</t>
        </is>
      </c>
      <c r="T999" t="inlineStr">
        <is>
          <t xml:space="preserve">PR </t>
        </is>
      </c>
      <c r="U999" t="n">
        <v>2</v>
      </c>
      <c r="V999" t="n">
        <v>2</v>
      </c>
      <c r="W999" t="inlineStr">
        <is>
          <t>2010-01-04</t>
        </is>
      </c>
      <c r="X999" t="inlineStr">
        <is>
          <t>2010-01-04</t>
        </is>
      </c>
      <c r="Y999" t="inlineStr">
        <is>
          <t>1997-08-07</t>
        </is>
      </c>
      <c r="Z999" t="inlineStr">
        <is>
          <t>1997-08-07</t>
        </is>
      </c>
      <c r="AA999" t="n">
        <v>703</v>
      </c>
      <c r="AB999" t="n">
        <v>622</v>
      </c>
      <c r="AC999" t="n">
        <v>629</v>
      </c>
      <c r="AD999" t="n">
        <v>10</v>
      </c>
      <c r="AE999" t="n">
        <v>10</v>
      </c>
      <c r="AF999" t="n">
        <v>32</v>
      </c>
      <c r="AG999" t="n">
        <v>32</v>
      </c>
      <c r="AH999" t="n">
        <v>9</v>
      </c>
      <c r="AI999" t="n">
        <v>9</v>
      </c>
      <c r="AJ999" t="n">
        <v>6</v>
      </c>
      <c r="AK999" t="n">
        <v>6</v>
      </c>
      <c r="AL999" t="n">
        <v>14</v>
      </c>
      <c r="AM999" t="n">
        <v>14</v>
      </c>
      <c r="AN999" t="n">
        <v>8</v>
      </c>
      <c r="AO999" t="n">
        <v>8</v>
      </c>
      <c r="AP999" t="n">
        <v>0</v>
      </c>
      <c r="AQ999" t="n">
        <v>0</v>
      </c>
      <c r="AR999" t="inlineStr">
        <is>
          <t>No</t>
        </is>
      </c>
      <c r="AS999" t="inlineStr">
        <is>
          <t>Yes</t>
        </is>
      </c>
      <c r="AT999">
        <f>HYPERLINK("http://catalog.hathitrust.org/Record/000439844","HathiTrust Record")</f>
        <v/>
      </c>
      <c r="AU999">
        <f>HYPERLINK("https://creighton-primo.hosted.exlibrisgroup.com/primo-explore/search?tab=default_tab&amp;search_scope=EVERYTHING&amp;vid=01CRU&amp;lang=en_US&amp;offset=0&amp;query=any,contains,991003332559702656","Catalog Record")</f>
        <v/>
      </c>
      <c r="AV999">
        <f>HYPERLINK("http://www.worldcat.org/oclc/864140","WorldCat Record")</f>
        <v/>
      </c>
      <c r="AW999" t="inlineStr">
        <is>
          <t>4820574193:eng</t>
        </is>
      </c>
      <c r="AX999" t="inlineStr">
        <is>
          <t>864140</t>
        </is>
      </c>
      <c r="AY999" t="inlineStr">
        <is>
          <t>991003332559702656</t>
        </is>
      </c>
      <c r="AZ999" t="inlineStr">
        <is>
          <t>991003332559702656</t>
        </is>
      </c>
      <c r="BA999" t="inlineStr">
        <is>
          <t>2266187330002656</t>
        </is>
      </c>
      <c r="BB999" t="inlineStr">
        <is>
          <t>BOOK</t>
        </is>
      </c>
      <c r="BD999" t="inlineStr">
        <is>
          <t>9780805711387</t>
        </is>
      </c>
      <c r="BE999" t="inlineStr">
        <is>
          <t>32285003024600</t>
        </is>
      </c>
      <c r="BF999" t="inlineStr">
        <is>
          <t>893234061</t>
        </is>
      </c>
    </row>
    <row r="1000">
      <c r="A1000" t="inlineStr">
        <is>
          <t>No</t>
        </is>
      </c>
      <c r="B1000" t="inlineStr">
        <is>
          <t>CURAL</t>
        </is>
      </c>
      <c r="C1000" t="inlineStr">
        <is>
          <t>SHELVES</t>
        </is>
      </c>
      <c r="D1000" t="inlineStr">
        <is>
          <t>PR3406 .B24 1989</t>
        </is>
      </c>
      <c r="E1000" t="inlineStr">
        <is>
          <t>0                      PR 3406000B  24          1989</t>
        </is>
      </c>
      <c r="F1000" t="inlineStr">
        <is>
          <t>Daniel Defoe : his life / Paula R. Backscheider.</t>
        </is>
      </c>
      <c r="H1000" t="inlineStr">
        <is>
          <t>No</t>
        </is>
      </c>
      <c r="I1000" t="inlineStr">
        <is>
          <t>1</t>
        </is>
      </c>
      <c r="J1000" t="inlineStr">
        <is>
          <t>No</t>
        </is>
      </c>
      <c r="K1000" t="inlineStr">
        <is>
          <t>No</t>
        </is>
      </c>
      <c r="L1000" t="inlineStr">
        <is>
          <t>0</t>
        </is>
      </c>
      <c r="M1000" t="inlineStr">
        <is>
          <t>Backscheider, Paula R.</t>
        </is>
      </c>
      <c r="N1000" t="inlineStr">
        <is>
          <t>Baltimore : Johns Hopkins University Press, c1989.</t>
        </is>
      </c>
      <c r="O1000" t="inlineStr">
        <is>
          <t>1989</t>
        </is>
      </c>
      <c r="Q1000" t="inlineStr">
        <is>
          <t>eng</t>
        </is>
      </c>
      <c r="R1000" t="inlineStr">
        <is>
          <t>mdu</t>
        </is>
      </c>
      <c r="T1000" t="inlineStr">
        <is>
          <t xml:space="preserve">PR </t>
        </is>
      </c>
      <c r="U1000" t="n">
        <v>5</v>
      </c>
      <c r="V1000" t="n">
        <v>5</v>
      </c>
      <c r="W1000" t="inlineStr">
        <is>
          <t>2010-11-14</t>
        </is>
      </c>
      <c r="X1000" t="inlineStr">
        <is>
          <t>2010-11-14</t>
        </is>
      </c>
      <c r="Y1000" t="inlineStr">
        <is>
          <t>1989-10-24</t>
        </is>
      </c>
      <c r="Z1000" t="inlineStr">
        <is>
          <t>1989-10-24</t>
        </is>
      </c>
      <c r="AA1000" t="n">
        <v>1335</v>
      </c>
      <c r="AB1000" t="n">
        <v>1147</v>
      </c>
      <c r="AC1000" t="n">
        <v>1152</v>
      </c>
      <c r="AD1000" t="n">
        <v>8</v>
      </c>
      <c r="AE1000" t="n">
        <v>8</v>
      </c>
      <c r="AF1000" t="n">
        <v>47</v>
      </c>
      <c r="AG1000" t="n">
        <v>47</v>
      </c>
      <c r="AH1000" t="n">
        <v>22</v>
      </c>
      <c r="AI1000" t="n">
        <v>22</v>
      </c>
      <c r="AJ1000" t="n">
        <v>9</v>
      </c>
      <c r="AK1000" t="n">
        <v>9</v>
      </c>
      <c r="AL1000" t="n">
        <v>21</v>
      </c>
      <c r="AM1000" t="n">
        <v>21</v>
      </c>
      <c r="AN1000" t="n">
        <v>7</v>
      </c>
      <c r="AO1000" t="n">
        <v>7</v>
      </c>
      <c r="AP1000" t="n">
        <v>0</v>
      </c>
      <c r="AQ1000" t="n">
        <v>0</v>
      </c>
      <c r="AR1000" t="inlineStr">
        <is>
          <t>No</t>
        </is>
      </c>
      <c r="AS1000" t="inlineStr">
        <is>
          <t>Yes</t>
        </is>
      </c>
      <c r="AT1000">
        <f>HYPERLINK("http://catalog.hathitrust.org/Record/001816168","HathiTrust Record")</f>
        <v/>
      </c>
      <c r="AU1000">
        <f>HYPERLINK("https://creighton-primo.hosted.exlibrisgroup.com/primo-explore/search?tab=default_tab&amp;search_scope=EVERYTHING&amp;vid=01CRU&amp;lang=en_US&amp;offset=0&amp;query=any,contains,991001387349702656","Catalog Record")</f>
        <v/>
      </c>
      <c r="AV1000">
        <f>HYPERLINK("http://www.worldcat.org/oclc/18739238","WorldCat Record")</f>
        <v/>
      </c>
      <c r="AW1000" t="inlineStr">
        <is>
          <t>3768910079:eng</t>
        </is>
      </c>
      <c r="AX1000" t="inlineStr">
        <is>
          <t>18739238</t>
        </is>
      </c>
      <c r="AY1000" t="inlineStr">
        <is>
          <t>991001387349702656</t>
        </is>
      </c>
      <c r="AZ1000" t="inlineStr">
        <is>
          <t>991001387349702656</t>
        </is>
      </c>
      <c r="BA1000" t="inlineStr">
        <is>
          <t>2261578800002656</t>
        </is>
      </c>
      <c r="BB1000" t="inlineStr">
        <is>
          <t>BOOK</t>
        </is>
      </c>
      <c r="BD1000" t="inlineStr">
        <is>
          <t>9780801837852</t>
        </is>
      </c>
      <c r="BE1000" t="inlineStr">
        <is>
          <t>32285000004787</t>
        </is>
      </c>
      <c r="BF1000" t="inlineStr">
        <is>
          <t>893684283</t>
        </is>
      </c>
    </row>
    <row r="1001">
      <c r="A1001" t="inlineStr">
        <is>
          <t>No</t>
        </is>
      </c>
      <c r="B1001" t="inlineStr">
        <is>
          <t>CURAL</t>
        </is>
      </c>
      <c r="C1001" t="inlineStr">
        <is>
          <t>SHELVES</t>
        </is>
      </c>
      <c r="D1001" t="inlineStr">
        <is>
          <t>PR3406 .B37 1981</t>
        </is>
      </c>
      <c r="E1001" t="inlineStr">
        <is>
          <t>0                      PR 3406000B  37          1981</t>
        </is>
      </c>
      <c r="F1001" t="inlineStr">
        <is>
          <t>Defoe's early life / F. Bastian.</t>
        </is>
      </c>
      <c r="H1001" t="inlineStr">
        <is>
          <t>No</t>
        </is>
      </c>
      <c r="I1001" t="inlineStr">
        <is>
          <t>1</t>
        </is>
      </c>
      <c r="J1001" t="inlineStr">
        <is>
          <t>No</t>
        </is>
      </c>
      <c r="K1001" t="inlineStr">
        <is>
          <t>No</t>
        </is>
      </c>
      <c r="L1001" t="inlineStr">
        <is>
          <t>0</t>
        </is>
      </c>
      <c r="M1001" t="inlineStr">
        <is>
          <t>Bastian, F.</t>
        </is>
      </c>
      <c r="N1001" t="inlineStr">
        <is>
          <t>Totowa, N.J. : Barnes &amp; Noble, 1981.</t>
        </is>
      </c>
      <c r="O1001" t="inlineStr">
        <is>
          <t>1981</t>
        </is>
      </c>
      <c r="Q1001" t="inlineStr">
        <is>
          <t>eng</t>
        </is>
      </c>
      <c r="R1001" t="inlineStr">
        <is>
          <t>nju</t>
        </is>
      </c>
      <c r="T1001" t="inlineStr">
        <is>
          <t xml:space="preserve">PR </t>
        </is>
      </c>
      <c r="U1001" t="n">
        <v>1</v>
      </c>
      <c r="V1001" t="n">
        <v>1</v>
      </c>
      <c r="W1001" t="inlineStr">
        <is>
          <t>2007-01-18</t>
        </is>
      </c>
      <c r="X1001" t="inlineStr">
        <is>
          <t>2007-01-18</t>
        </is>
      </c>
      <c r="Y1001" t="inlineStr">
        <is>
          <t>2007-01-18</t>
        </is>
      </c>
      <c r="Z1001" t="inlineStr">
        <is>
          <t>2007-01-18</t>
        </is>
      </c>
      <c r="AA1001" t="n">
        <v>393</v>
      </c>
      <c r="AB1001" t="n">
        <v>360</v>
      </c>
      <c r="AC1001" t="n">
        <v>413</v>
      </c>
      <c r="AD1001" t="n">
        <v>1</v>
      </c>
      <c r="AE1001" t="n">
        <v>3</v>
      </c>
      <c r="AF1001" t="n">
        <v>20</v>
      </c>
      <c r="AG1001" t="n">
        <v>22</v>
      </c>
      <c r="AH1001" t="n">
        <v>8</v>
      </c>
      <c r="AI1001" t="n">
        <v>8</v>
      </c>
      <c r="AJ1001" t="n">
        <v>8</v>
      </c>
      <c r="AK1001" t="n">
        <v>8</v>
      </c>
      <c r="AL1001" t="n">
        <v>12</v>
      </c>
      <c r="AM1001" t="n">
        <v>12</v>
      </c>
      <c r="AN1001" t="n">
        <v>0</v>
      </c>
      <c r="AO1001" t="n">
        <v>2</v>
      </c>
      <c r="AP1001" t="n">
        <v>0</v>
      </c>
      <c r="AQ1001" t="n">
        <v>0</v>
      </c>
      <c r="AR1001" t="inlineStr">
        <is>
          <t>No</t>
        </is>
      </c>
      <c r="AS1001" t="inlineStr">
        <is>
          <t>Yes</t>
        </is>
      </c>
      <c r="AT1001">
        <f>HYPERLINK("http://catalog.hathitrust.org/Record/009916767","HathiTrust Record")</f>
        <v/>
      </c>
      <c r="AU1001">
        <f>HYPERLINK("https://creighton-primo.hosted.exlibrisgroup.com/primo-explore/search?tab=default_tab&amp;search_scope=EVERYTHING&amp;vid=01CRU&amp;lang=en_US&amp;offset=0&amp;query=any,contains,991005019829702656","Catalog Record")</f>
        <v/>
      </c>
      <c r="AV1001">
        <f>HYPERLINK("http://www.worldcat.org/oclc/7714728","WorldCat Record")</f>
        <v/>
      </c>
      <c r="AW1001" t="inlineStr">
        <is>
          <t>458605:eng</t>
        </is>
      </c>
      <c r="AX1001" t="inlineStr">
        <is>
          <t>7714728</t>
        </is>
      </c>
      <c r="AY1001" t="inlineStr">
        <is>
          <t>991005019829702656</t>
        </is>
      </c>
      <c r="AZ1001" t="inlineStr">
        <is>
          <t>991005019829702656</t>
        </is>
      </c>
      <c r="BA1001" t="inlineStr">
        <is>
          <t>2267514230002656</t>
        </is>
      </c>
      <c r="BB1001" t="inlineStr">
        <is>
          <t>BOOK</t>
        </is>
      </c>
      <c r="BD1001" t="inlineStr">
        <is>
          <t>9780389200949</t>
        </is>
      </c>
      <c r="BE1001" t="inlineStr">
        <is>
          <t>32285005272009</t>
        </is>
      </c>
      <c r="BF1001" t="inlineStr">
        <is>
          <t>893443291</t>
        </is>
      </c>
    </row>
    <row r="1002">
      <c r="A1002" t="inlineStr">
        <is>
          <t>No</t>
        </is>
      </c>
      <c r="B1002" t="inlineStr">
        <is>
          <t>CURAL</t>
        </is>
      </c>
      <c r="C1002" t="inlineStr">
        <is>
          <t>SHELVES</t>
        </is>
      </c>
      <c r="D1002" t="inlineStr">
        <is>
          <t>PR3406 .M58</t>
        </is>
      </c>
      <c r="E1002" t="inlineStr">
        <is>
          <t>0                      PR 3406000M  58</t>
        </is>
      </c>
      <c r="F1002" t="inlineStr">
        <is>
          <t>Daniel Defoe, citizen of the modern world.</t>
        </is>
      </c>
      <c r="H1002" t="inlineStr">
        <is>
          <t>No</t>
        </is>
      </c>
      <c r="I1002" t="inlineStr">
        <is>
          <t>1</t>
        </is>
      </c>
      <c r="J1002" t="inlineStr">
        <is>
          <t>No</t>
        </is>
      </c>
      <c r="K1002" t="inlineStr">
        <is>
          <t>No</t>
        </is>
      </c>
      <c r="L1002" t="inlineStr">
        <is>
          <t>0</t>
        </is>
      </c>
      <c r="M1002" t="inlineStr">
        <is>
          <t>Moore, John Robert, 1890-1973.</t>
        </is>
      </c>
      <c r="N1002" t="inlineStr">
        <is>
          <t>[Chicago] : University of Chicago Press, [1958]</t>
        </is>
      </c>
      <c r="O1002" t="inlineStr">
        <is>
          <t>1958</t>
        </is>
      </c>
      <c r="Q1002" t="inlineStr">
        <is>
          <t>eng</t>
        </is>
      </c>
      <c r="R1002" t="inlineStr">
        <is>
          <t>ilu</t>
        </is>
      </c>
      <c r="T1002" t="inlineStr">
        <is>
          <t xml:space="preserve">PR </t>
        </is>
      </c>
      <c r="U1002" t="n">
        <v>4</v>
      </c>
      <c r="V1002" t="n">
        <v>4</v>
      </c>
      <c r="W1002" t="inlineStr">
        <is>
          <t>2007-03-16</t>
        </is>
      </c>
      <c r="X1002" t="inlineStr">
        <is>
          <t>2007-03-16</t>
        </is>
      </c>
      <c r="Y1002" t="inlineStr">
        <is>
          <t>1990-09-27</t>
        </is>
      </c>
      <c r="Z1002" t="inlineStr">
        <is>
          <t>1990-09-27</t>
        </is>
      </c>
      <c r="AA1002" t="n">
        <v>1206</v>
      </c>
      <c r="AB1002" t="n">
        <v>1047</v>
      </c>
      <c r="AC1002" t="n">
        <v>1070</v>
      </c>
      <c r="AD1002" t="n">
        <v>6</v>
      </c>
      <c r="AE1002" t="n">
        <v>6</v>
      </c>
      <c r="AF1002" t="n">
        <v>42</v>
      </c>
      <c r="AG1002" t="n">
        <v>42</v>
      </c>
      <c r="AH1002" t="n">
        <v>17</v>
      </c>
      <c r="AI1002" t="n">
        <v>17</v>
      </c>
      <c r="AJ1002" t="n">
        <v>8</v>
      </c>
      <c r="AK1002" t="n">
        <v>8</v>
      </c>
      <c r="AL1002" t="n">
        <v>22</v>
      </c>
      <c r="AM1002" t="n">
        <v>22</v>
      </c>
      <c r="AN1002" t="n">
        <v>5</v>
      </c>
      <c r="AO1002" t="n">
        <v>5</v>
      </c>
      <c r="AP1002" t="n">
        <v>0</v>
      </c>
      <c r="AQ1002" t="n">
        <v>0</v>
      </c>
      <c r="AR1002" t="inlineStr">
        <is>
          <t>No</t>
        </is>
      </c>
      <c r="AS1002" t="inlineStr">
        <is>
          <t>No</t>
        </is>
      </c>
      <c r="AU1002">
        <f>HYPERLINK("https://creighton-primo.hosted.exlibrisgroup.com/primo-explore/search?tab=default_tab&amp;search_scope=EVERYTHING&amp;vid=01CRU&amp;lang=en_US&amp;offset=0&amp;query=any,contains,991002752289702656","Catalog Record")</f>
        <v/>
      </c>
      <c r="AV1002">
        <f>HYPERLINK("http://www.worldcat.org/oclc/425189","WorldCat Record")</f>
        <v/>
      </c>
      <c r="AW1002" t="inlineStr">
        <is>
          <t>285582896:eng</t>
        </is>
      </c>
      <c r="AX1002" t="inlineStr">
        <is>
          <t>425189</t>
        </is>
      </c>
      <c r="AY1002" t="inlineStr">
        <is>
          <t>991002752289702656</t>
        </is>
      </c>
      <c r="AZ1002" t="inlineStr">
        <is>
          <t>991002752289702656</t>
        </is>
      </c>
      <c r="BA1002" t="inlineStr">
        <is>
          <t>2267965620002656</t>
        </is>
      </c>
      <c r="BB1002" t="inlineStr">
        <is>
          <t>BOOK</t>
        </is>
      </c>
      <c r="BD1002" t="inlineStr">
        <is>
          <t>9780226535777</t>
        </is>
      </c>
      <c r="BE1002" t="inlineStr">
        <is>
          <t>32285000320472</t>
        </is>
      </c>
      <c r="BF1002" t="inlineStr">
        <is>
          <t>893786502</t>
        </is>
      </c>
    </row>
    <row r="1003">
      <c r="A1003" t="inlineStr">
        <is>
          <t>No</t>
        </is>
      </c>
      <c r="B1003" t="inlineStr">
        <is>
          <t>CURAL</t>
        </is>
      </c>
      <c r="C1003" t="inlineStr">
        <is>
          <t>SHELVES</t>
        </is>
      </c>
      <c r="D1003" t="inlineStr">
        <is>
          <t>PR3406 .P3</t>
        </is>
      </c>
      <c r="E1003" t="inlineStr">
        <is>
          <t>0                      PR 3406000P  3</t>
        </is>
      </c>
      <c r="F1003" t="inlineStr">
        <is>
          <t>Mr. Review; Daniel Defoe as author of the Review [by] William Lytton Payne...</t>
        </is>
      </c>
      <c r="H1003" t="inlineStr">
        <is>
          <t>No</t>
        </is>
      </c>
      <c r="I1003" t="inlineStr">
        <is>
          <t>1</t>
        </is>
      </c>
      <c r="J1003" t="inlineStr">
        <is>
          <t>No</t>
        </is>
      </c>
      <c r="K1003" t="inlineStr">
        <is>
          <t>No</t>
        </is>
      </c>
      <c r="L1003" t="inlineStr">
        <is>
          <t>0</t>
        </is>
      </c>
      <c r="M1003" t="inlineStr">
        <is>
          <t>Payne, William Lytton, 1904-</t>
        </is>
      </c>
      <c r="N1003" t="inlineStr">
        <is>
          <t>New York, King's crown press, 1947.</t>
        </is>
      </c>
      <c r="O1003" t="inlineStr">
        <is>
          <t>1947</t>
        </is>
      </c>
      <c r="Q1003" t="inlineStr">
        <is>
          <t>eng</t>
        </is>
      </c>
      <c r="R1003" t="inlineStr">
        <is>
          <t xml:space="preserve">xx </t>
        </is>
      </c>
      <c r="T1003" t="inlineStr">
        <is>
          <t xml:space="preserve">PR </t>
        </is>
      </c>
      <c r="U1003" t="n">
        <v>1</v>
      </c>
      <c r="V1003" t="n">
        <v>1</v>
      </c>
      <c r="W1003" t="inlineStr">
        <is>
          <t>2002-10-30</t>
        </is>
      </c>
      <c r="X1003" t="inlineStr">
        <is>
          <t>2002-10-30</t>
        </is>
      </c>
      <c r="Y1003" t="inlineStr">
        <is>
          <t>1997-08-07</t>
        </is>
      </c>
      <c r="Z1003" t="inlineStr">
        <is>
          <t>1997-08-07</t>
        </is>
      </c>
      <c r="AA1003" t="n">
        <v>307</v>
      </c>
      <c r="AB1003" t="n">
        <v>275</v>
      </c>
      <c r="AC1003" t="n">
        <v>297</v>
      </c>
      <c r="AD1003" t="n">
        <v>4</v>
      </c>
      <c r="AE1003" t="n">
        <v>4</v>
      </c>
      <c r="AF1003" t="n">
        <v>16</v>
      </c>
      <c r="AG1003" t="n">
        <v>16</v>
      </c>
      <c r="AH1003" t="n">
        <v>6</v>
      </c>
      <c r="AI1003" t="n">
        <v>6</v>
      </c>
      <c r="AJ1003" t="n">
        <v>3</v>
      </c>
      <c r="AK1003" t="n">
        <v>3</v>
      </c>
      <c r="AL1003" t="n">
        <v>8</v>
      </c>
      <c r="AM1003" t="n">
        <v>8</v>
      </c>
      <c r="AN1003" t="n">
        <v>3</v>
      </c>
      <c r="AO1003" t="n">
        <v>3</v>
      </c>
      <c r="AP1003" t="n">
        <v>0</v>
      </c>
      <c r="AQ1003" t="n">
        <v>0</v>
      </c>
      <c r="AR1003" t="inlineStr">
        <is>
          <t>Yes</t>
        </is>
      </c>
      <c r="AS1003" t="inlineStr">
        <is>
          <t>No</t>
        </is>
      </c>
      <c r="AT1003">
        <f>HYPERLINK("http://catalog.hathitrust.org/Record/001022067","HathiTrust Record")</f>
        <v/>
      </c>
      <c r="AU1003">
        <f>HYPERLINK("https://creighton-primo.hosted.exlibrisgroup.com/primo-explore/search?tab=default_tab&amp;search_scope=EVERYTHING&amp;vid=01CRU&amp;lang=en_US&amp;offset=0&amp;query=any,contains,991003759459702656","Catalog Record")</f>
        <v/>
      </c>
      <c r="AV1003">
        <f>HYPERLINK("http://www.worldcat.org/oclc/1444137","WorldCat Record")</f>
        <v/>
      </c>
      <c r="AW1003" t="inlineStr">
        <is>
          <t>366443303:eng</t>
        </is>
      </c>
      <c r="AX1003" t="inlineStr">
        <is>
          <t>1444137</t>
        </is>
      </c>
      <c r="AY1003" t="inlineStr">
        <is>
          <t>991003759459702656</t>
        </is>
      </c>
      <c r="AZ1003" t="inlineStr">
        <is>
          <t>991003759459702656</t>
        </is>
      </c>
      <c r="BA1003" t="inlineStr">
        <is>
          <t>2256163710002656</t>
        </is>
      </c>
      <c r="BB1003" t="inlineStr">
        <is>
          <t>BOOK</t>
        </is>
      </c>
      <c r="BE1003" t="inlineStr">
        <is>
          <t>32285003024790</t>
        </is>
      </c>
      <c r="BF1003" t="inlineStr">
        <is>
          <t>893525194</t>
        </is>
      </c>
    </row>
    <row r="1004">
      <c r="A1004" t="inlineStr">
        <is>
          <t>No</t>
        </is>
      </c>
      <c r="B1004" t="inlineStr">
        <is>
          <t>CURAL</t>
        </is>
      </c>
      <c r="C1004" t="inlineStr">
        <is>
          <t>SHELVES</t>
        </is>
      </c>
      <c r="D1004" t="inlineStr">
        <is>
          <t>PR3406 .S72</t>
        </is>
      </c>
      <c r="E1004" t="inlineStr">
        <is>
          <t>0                      PR 3406000S  72</t>
        </is>
      </c>
      <c r="F1004" t="inlineStr">
        <is>
          <t>Defoe &amp; spiritual autobiography, by G.A. Starr.</t>
        </is>
      </c>
      <c r="H1004" t="inlineStr">
        <is>
          <t>No</t>
        </is>
      </c>
      <c r="I1004" t="inlineStr">
        <is>
          <t>1</t>
        </is>
      </c>
      <c r="J1004" t="inlineStr">
        <is>
          <t>No</t>
        </is>
      </c>
      <c r="K1004" t="inlineStr">
        <is>
          <t>No</t>
        </is>
      </c>
      <c r="L1004" t="inlineStr">
        <is>
          <t>0</t>
        </is>
      </c>
      <c r="M1004" t="inlineStr">
        <is>
          <t>Starr, G. A. (George A.)</t>
        </is>
      </c>
      <c r="N1004" t="inlineStr">
        <is>
          <t>Princeton, N.J., Princeton University Press, 1965.</t>
        </is>
      </c>
      <c r="O1004" t="inlineStr">
        <is>
          <t>1965</t>
        </is>
      </c>
      <c r="Q1004" t="inlineStr">
        <is>
          <t>eng</t>
        </is>
      </c>
      <c r="R1004" t="inlineStr">
        <is>
          <t>nju</t>
        </is>
      </c>
      <c r="T1004" t="inlineStr">
        <is>
          <t xml:space="preserve">PR </t>
        </is>
      </c>
      <c r="U1004" t="n">
        <v>3</v>
      </c>
      <c r="V1004" t="n">
        <v>3</v>
      </c>
      <c r="W1004" t="inlineStr">
        <is>
          <t>2010-11-14</t>
        </is>
      </c>
      <c r="X1004" t="inlineStr">
        <is>
          <t>2010-11-14</t>
        </is>
      </c>
      <c r="Y1004" t="inlineStr">
        <is>
          <t>1997-08-07</t>
        </is>
      </c>
      <c r="Z1004" t="inlineStr">
        <is>
          <t>1997-08-07</t>
        </is>
      </c>
      <c r="AA1004" t="n">
        <v>718</v>
      </c>
      <c r="AB1004" t="n">
        <v>592</v>
      </c>
      <c r="AC1004" t="n">
        <v>741</v>
      </c>
      <c r="AD1004" t="n">
        <v>6</v>
      </c>
      <c r="AE1004" t="n">
        <v>6</v>
      </c>
      <c r="AF1004" t="n">
        <v>33</v>
      </c>
      <c r="AG1004" t="n">
        <v>40</v>
      </c>
      <c r="AH1004" t="n">
        <v>11</v>
      </c>
      <c r="AI1004" t="n">
        <v>16</v>
      </c>
      <c r="AJ1004" t="n">
        <v>9</v>
      </c>
      <c r="AK1004" t="n">
        <v>9</v>
      </c>
      <c r="AL1004" t="n">
        <v>20</v>
      </c>
      <c r="AM1004" t="n">
        <v>22</v>
      </c>
      <c r="AN1004" t="n">
        <v>4</v>
      </c>
      <c r="AO1004" t="n">
        <v>4</v>
      </c>
      <c r="AP1004" t="n">
        <v>0</v>
      </c>
      <c r="AQ1004" t="n">
        <v>0</v>
      </c>
      <c r="AR1004" t="inlineStr">
        <is>
          <t>No</t>
        </is>
      </c>
      <c r="AS1004" t="inlineStr">
        <is>
          <t>No</t>
        </is>
      </c>
      <c r="AU1004">
        <f>HYPERLINK("https://creighton-primo.hosted.exlibrisgroup.com/primo-explore/search?tab=default_tab&amp;search_scope=EVERYTHING&amp;vid=01CRU&amp;lang=en_US&amp;offset=0&amp;query=any,contains,991002453829702656","Catalog Record")</f>
        <v/>
      </c>
      <c r="AV1004">
        <f>HYPERLINK("http://www.worldcat.org/oclc/353603","WorldCat Record")</f>
        <v/>
      </c>
      <c r="AW1004" t="inlineStr">
        <is>
          <t>536198:eng</t>
        </is>
      </c>
      <c r="AX1004" t="inlineStr">
        <is>
          <t>353603</t>
        </is>
      </c>
      <c r="AY1004" t="inlineStr">
        <is>
          <t>991002453829702656</t>
        </is>
      </c>
      <c r="AZ1004" t="inlineStr">
        <is>
          <t>991002453829702656</t>
        </is>
      </c>
      <c r="BA1004" t="inlineStr">
        <is>
          <t>2267924990002656</t>
        </is>
      </c>
      <c r="BB1004" t="inlineStr">
        <is>
          <t>BOOK</t>
        </is>
      </c>
      <c r="BE1004" t="inlineStr">
        <is>
          <t>32285003024808</t>
        </is>
      </c>
      <c r="BF1004" t="inlineStr">
        <is>
          <t>893903902</t>
        </is>
      </c>
    </row>
    <row r="1005">
      <c r="A1005" t="inlineStr">
        <is>
          <t>No</t>
        </is>
      </c>
      <c r="B1005" t="inlineStr">
        <is>
          <t>CURAL</t>
        </is>
      </c>
      <c r="C1005" t="inlineStr">
        <is>
          <t>SHELVES</t>
        </is>
      </c>
      <c r="D1005" t="inlineStr">
        <is>
          <t>PR3406 .S79</t>
        </is>
      </c>
      <c r="E1005" t="inlineStr">
        <is>
          <t>0                      PR 3406000S  79</t>
        </is>
      </c>
      <c r="F1005" t="inlineStr">
        <is>
          <t>Defoe.</t>
        </is>
      </c>
      <c r="H1005" t="inlineStr">
        <is>
          <t>No</t>
        </is>
      </c>
      <c r="I1005" t="inlineStr">
        <is>
          <t>1</t>
        </is>
      </c>
      <c r="J1005" t="inlineStr">
        <is>
          <t>No</t>
        </is>
      </c>
      <c r="K1005" t="inlineStr">
        <is>
          <t>Yes</t>
        </is>
      </c>
      <c r="L1005" t="inlineStr">
        <is>
          <t>0</t>
        </is>
      </c>
      <c r="M1005" t="inlineStr">
        <is>
          <t>Sutherland, James Runcieman, 1900-1996.</t>
        </is>
      </c>
      <c r="N1005" t="inlineStr">
        <is>
          <t>London, New York, Published for the British Council and the National Book League by Longmans, Green [1954]</t>
        </is>
      </c>
      <c r="O1005" t="inlineStr">
        <is>
          <t>1954</t>
        </is>
      </c>
      <c r="Q1005" t="inlineStr">
        <is>
          <t>eng</t>
        </is>
      </c>
      <c r="R1005" t="inlineStr">
        <is>
          <t>enk</t>
        </is>
      </c>
      <c r="S1005" t="inlineStr">
        <is>
          <t>Bibliographical series of supplements to British book news on writers and their work ; no. 51</t>
        </is>
      </c>
      <c r="T1005" t="inlineStr">
        <is>
          <t xml:space="preserve">PR </t>
        </is>
      </c>
      <c r="U1005" t="n">
        <v>1</v>
      </c>
      <c r="V1005" t="n">
        <v>1</v>
      </c>
      <c r="W1005" t="inlineStr">
        <is>
          <t>2007-03-16</t>
        </is>
      </c>
      <c r="X1005" t="inlineStr">
        <is>
          <t>2007-03-16</t>
        </is>
      </c>
      <c r="Y1005" t="inlineStr">
        <is>
          <t>1998-01-23</t>
        </is>
      </c>
      <c r="Z1005" t="inlineStr">
        <is>
          <t>1998-01-23</t>
        </is>
      </c>
      <c r="AA1005" t="n">
        <v>355</v>
      </c>
      <c r="AB1005" t="n">
        <v>260</v>
      </c>
      <c r="AC1005" t="n">
        <v>1132</v>
      </c>
      <c r="AD1005" t="n">
        <v>3</v>
      </c>
      <c r="AE1005" t="n">
        <v>8</v>
      </c>
      <c r="AF1005" t="n">
        <v>16</v>
      </c>
      <c r="AG1005" t="n">
        <v>47</v>
      </c>
      <c r="AH1005" t="n">
        <v>7</v>
      </c>
      <c r="AI1005" t="n">
        <v>22</v>
      </c>
      <c r="AJ1005" t="n">
        <v>4</v>
      </c>
      <c r="AK1005" t="n">
        <v>9</v>
      </c>
      <c r="AL1005" t="n">
        <v>9</v>
      </c>
      <c r="AM1005" t="n">
        <v>19</v>
      </c>
      <c r="AN1005" t="n">
        <v>2</v>
      </c>
      <c r="AO1005" t="n">
        <v>7</v>
      </c>
      <c r="AP1005" t="n">
        <v>0</v>
      </c>
      <c r="AQ1005" t="n">
        <v>0</v>
      </c>
      <c r="AR1005" t="inlineStr">
        <is>
          <t>No</t>
        </is>
      </c>
      <c r="AS1005" t="inlineStr">
        <is>
          <t>Yes</t>
        </is>
      </c>
      <c r="AT1005">
        <f>HYPERLINK("http://catalog.hathitrust.org/Record/001022069","HathiTrust Record")</f>
        <v/>
      </c>
      <c r="AU1005">
        <f>HYPERLINK("https://creighton-primo.hosted.exlibrisgroup.com/primo-explore/search?tab=default_tab&amp;search_scope=EVERYTHING&amp;vid=01CRU&amp;lang=en_US&amp;offset=0&amp;query=any,contains,991004598619702656","Catalog Record")</f>
        <v/>
      </c>
      <c r="AV1005">
        <f>HYPERLINK("http://www.worldcat.org/oclc/4160691","WorldCat Record")</f>
        <v/>
      </c>
      <c r="AW1005" t="inlineStr">
        <is>
          <t>1271360:eng</t>
        </is>
      </c>
      <c r="AX1005" t="inlineStr">
        <is>
          <t>4160691</t>
        </is>
      </c>
      <c r="AY1005" t="inlineStr">
        <is>
          <t>991004598619702656</t>
        </is>
      </c>
      <c r="AZ1005" t="inlineStr">
        <is>
          <t>991004598619702656</t>
        </is>
      </c>
      <c r="BA1005" t="inlineStr">
        <is>
          <t>2272361250002656</t>
        </is>
      </c>
      <c r="BB1005" t="inlineStr">
        <is>
          <t>BOOK</t>
        </is>
      </c>
      <c r="BE1005" t="inlineStr">
        <is>
          <t>32285003304689</t>
        </is>
      </c>
      <c r="BF1005" t="inlineStr">
        <is>
          <t>893526275</t>
        </is>
      </c>
    </row>
    <row r="1006">
      <c r="A1006" t="inlineStr">
        <is>
          <t>No</t>
        </is>
      </c>
      <c r="B1006" t="inlineStr">
        <is>
          <t>CURAL</t>
        </is>
      </c>
      <c r="C1006" t="inlineStr">
        <is>
          <t>SHELVES</t>
        </is>
      </c>
      <c r="D1006" t="inlineStr">
        <is>
          <t>PR3406 .W3 1969</t>
        </is>
      </c>
      <c r="E1006" t="inlineStr">
        <is>
          <t>0                      PR 3406000W  3           1969</t>
        </is>
      </c>
      <c r="F1006" t="inlineStr">
        <is>
          <t>Daniel Defoe.</t>
        </is>
      </c>
      <c r="H1006" t="inlineStr">
        <is>
          <t>No</t>
        </is>
      </c>
      <c r="I1006" t="inlineStr">
        <is>
          <t>1</t>
        </is>
      </c>
      <c r="J1006" t="inlineStr">
        <is>
          <t>No</t>
        </is>
      </c>
      <c r="K1006" t="inlineStr">
        <is>
          <t>No</t>
        </is>
      </c>
      <c r="L1006" t="inlineStr">
        <is>
          <t>0</t>
        </is>
      </c>
      <c r="M1006" t="inlineStr">
        <is>
          <t>Watson, Francis, 1907-1988.</t>
        </is>
      </c>
      <c r="N1006" t="inlineStr">
        <is>
          <t>Port Washington, N.Y., Kennikat Press [1969]</t>
        </is>
      </c>
      <c r="O1006" t="inlineStr">
        <is>
          <t>1969</t>
        </is>
      </c>
      <c r="Q1006" t="inlineStr">
        <is>
          <t>eng</t>
        </is>
      </c>
      <c r="R1006" t="inlineStr">
        <is>
          <t>nyu</t>
        </is>
      </c>
      <c r="T1006" t="inlineStr">
        <is>
          <t xml:space="preserve">PR </t>
        </is>
      </c>
      <c r="U1006" t="n">
        <v>2</v>
      </c>
      <c r="V1006" t="n">
        <v>2</v>
      </c>
      <c r="W1006" t="inlineStr">
        <is>
          <t>1996-12-03</t>
        </is>
      </c>
      <c r="X1006" t="inlineStr">
        <is>
          <t>1996-12-03</t>
        </is>
      </c>
      <c r="Y1006" t="inlineStr">
        <is>
          <t>1992-04-15</t>
        </is>
      </c>
      <c r="Z1006" t="inlineStr">
        <is>
          <t>1992-04-15</t>
        </is>
      </c>
      <c r="AA1006" t="n">
        <v>255</v>
      </c>
      <c r="AB1006" t="n">
        <v>234</v>
      </c>
      <c r="AC1006" t="n">
        <v>513</v>
      </c>
      <c r="AD1006" t="n">
        <v>2</v>
      </c>
      <c r="AE1006" t="n">
        <v>4</v>
      </c>
      <c r="AF1006" t="n">
        <v>9</v>
      </c>
      <c r="AG1006" t="n">
        <v>31</v>
      </c>
      <c r="AH1006" t="n">
        <v>4</v>
      </c>
      <c r="AI1006" t="n">
        <v>10</v>
      </c>
      <c r="AJ1006" t="n">
        <v>3</v>
      </c>
      <c r="AK1006" t="n">
        <v>7</v>
      </c>
      <c r="AL1006" t="n">
        <v>3</v>
      </c>
      <c r="AM1006" t="n">
        <v>18</v>
      </c>
      <c r="AN1006" t="n">
        <v>1</v>
      </c>
      <c r="AO1006" t="n">
        <v>3</v>
      </c>
      <c r="AP1006" t="n">
        <v>0</v>
      </c>
      <c r="AQ1006" t="n">
        <v>0</v>
      </c>
      <c r="AR1006" t="inlineStr">
        <is>
          <t>No</t>
        </is>
      </c>
      <c r="AS1006" t="inlineStr">
        <is>
          <t>No</t>
        </is>
      </c>
      <c r="AU1006">
        <f>HYPERLINK("https://creighton-primo.hosted.exlibrisgroup.com/primo-explore/search?tab=default_tab&amp;search_scope=EVERYTHING&amp;vid=01CRU&amp;lang=en_US&amp;offset=0&amp;query=any,contains,991000060829702656","Catalog Record")</f>
        <v/>
      </c>
      <c r="AV1006">
        <f>HYPERLINK("http://www.worldcat.org/oclc/24524","WorldCat Record")</f>
        <v/>
      </c>
      <c r="AW1006" t="inlineStr">
        <is>
          <t>2260814017:eng</t>
        </is>
      </c>
      <c r="AX1006" t="inlineStr">
        <is>
          <t>24524</t>
        </is>
      </c>
      <c r="AY1006" t="inlineStr">
        <is>
          <t>991000060829702656</t>
        </is>
      </c>
      <c r="AZ1006" t="inlineStr">
        <is>
          <t>991000060829702656</t>
        </is>
      </c>
      <c r="BA1006" t="inlineStr">
        <is>
          <t>2266733750002656</t>
        </is>
      </c>
      <c r="BB1006" t="inlineStr">
        <is>
          <t>BOOK</t>
        </is>
      </c>
      <c r="BD1006" t="inlineStr">
        <is>
          <t>9780804606424</t>
        </is>
      </c>
      <c r="BE1006" t="inlineStr">
        <is>
          <t>32285001053197</t>
        </is>
      </c>
      <c r="BF1006" t="inlineStr">
        <is>
          <t>893431636</t>
        </is>
      </c>
    </row>
    <row r="1007">
      <c r="A1007" t="inlineStr">
        <is>
          <t>No</t>
        </is>
      </c>
      <c r="B1007" t="inlineStr">
        <is>
          <t>CURAL</t>
        </is>
      </c>
      <c r="C1007" t="inlineStr">
        <is>
          <t>SHELVES</t>
        </is>
      </c>
      <c r="D1007" t="inlineStr">
        <is>
          <t>PR3406 .W48 1998</t>
        </is>
      </c>
      <c r="E1007" t="inlineStr">
        <is>
          <t>0                      PR 3406000W  48          1998</t>
        </is>
      </c>
      <c r="F1007" t="inlineStr">
        <is>
          <t>Daniel Defoe : the life and strange, surprising adventures / Richard West.</t>
        </is>
      </c>
      <c r="H1007" t="inlineStr">
        <is>
          <t>No</t>
        </is>
      </c>
      <c r="I1007" t="inlineStr">
        <is>
          <t>1</t>
        </is>
      </c>
      <c r="J1007" t="inlineStr">
        <is>
          <t>No</t>
        </is>
      </c>
      <c r="K1007" t="inlineStr">
        <is>
          <t>No</t>
        </is>
      </c>
      <c r="L1007" t="inlineStr">
        <is>
          <t>0</t>
        </is>
      </c>
      <c r="M1007" t="inlineStr">
        <is>
          <t>West, Richard, 1930-2015.</t>
        </is>
      </c>
      <c r="N1007" t="inlineStr">
        <is>
          <t>New York : Carroll &amp; Graf Publishers, Inc., 1998.</t>
        </is>
      </c>
      <c r="O1007" t="inlineStr">
        <is>
          <t>1998</t>
        </is>
      </c>
      <c r="P1007" t="inlineStr">
        <is>
          <t>1st Carroll &amp; Graf ed.</t>
        </is>
      </c>
      <c r="Q1007" t="inlineStr">
        <is>
          <t>eng</t>
        </is>
      </c>
      <c r="R1007" t="inlineStr">
        <is>
          <t>nyu</t>
        </is>
      </c>
      <c r="T1007" t="inlineStr">
        <is>
          <t xml:space="preserve">PR </t>
        </is>
      </c>
      <c r="U1007" t="n">
        <v>5</v>
      </c>
      <c r="V1007" t="n">
        <v>5</v>
      </c>
      <c r="W1007" t="inlineStr">
        <is>
          <t>2007-03-16</t>
        </is>
      </c>
      <c r="X1007" t="inlineStr">
        <is>
          <t>2007-03-16</t>
        </is>
      </c>
      <c r="Y1007" t="inlineStr">
        <is>
          <t>1998-12-02</t>
        </is>
      </c>
      <c r="Z1007" t="inlineStr">
        <is>
          <t>1998-12-02</t>
        </is>
      </c>
      <c r="AA1007" t="n">
        <v>640</v>
      </c>
      <c r="AB1007" t="n">
        <v>615</v>
      </c>
      <c r="AC1007" t="n">
        <v>680</v>
      </c>
      <c r="AD1007" t="n">
        <v>6</v>
      </c>
      <c r="AE1007" t="n">
        <v>6</v>
      </c>
      <c r="AF1007" t="n">
        <v>22</v>
      </c>
      <c r="AG1007" t="n">
        <v>22</v>
      </c>
      <c r="AH1007" t="n">
        <v>9</v>
      </c>
      <c r="AI1007" t="n">
        <v>9</v>
      </c>
      <c r="AJ1007" t="n">
        <v>4</v>
      </c>
      <c r="AK1007" t="n">
        <v>4</v>
      </c>
      <c r="AL1007" t="n">
        <v>9</v>
      </c>
      <c r="AM1007" t="n">
        <v>9</v>
      </c>
      <c r="AN1007" t="n">
        <v>3</v>
      </c>
      <c r="AO1007" t="n">
        <v>3</v>
      </c>
      <c r="AP1007" t="n">
        <v>0</v>
      </c>
      <c r="AQ1007" t="n">
        <v>0</v>
      </c>
      <c r="AR1007" t="inlineStr">
        <is>
          <t>No</t>
        </is>
      </c>
      <c r="AS1007" t="inlineStr">
        <is>
          <t>No</t>
        </is>
      </c>
      <c r="AU1007">
        <f>HYPERLINK("https://creighton-primo.hosted.exlibrisgroup.com/primo-explore/search?tab=default_tab&amp;search_scope=EVERYTHING&amp;vid=01CRU&amp;lang=en_US&amp;offset=0&amp;query=any,contains,991002967009702656","Catalog Record")</f>
        <v/>
      </c>
      <c r="AV1007">
        <f>HYPERLINK("http://www.worldcat.org/oclc/39705077","WorldCat Record")</f>
        <v/>
      </c>
      <c r="AW1007" t="inlineStr">
        <is>
          <t>41486639:eng</t>
        </is>
      </c>
      <c r="AX1007" t="inlineStr">
        <is>
          <t>39705077</t>
        </is>
      </c>
      <c r="AY1007" t="inlineStr">
        <is>
          <t>991002967009702656</t>
        </is>
      </c>
      <c r="AZ1007" t="inlineStr">
        <is>
          <t>991002967009702656</t>
        </is>
      </c>
      <c r="BA1007" t="inlineStr">
        <is>
          <t>2256200860002656</t>
        </is>
      </c>
      <c r="BB1007" t="inlineStr">
        <is>
          <t>BOOK</t>
        </is>
      </c>
      <c r="BD1007" t="inlineStr">
        <is>
          <t>9780786705573</t>
        </is>
      </c>
      <c r="BE1007" t="inlineStr">
        <is>
          <t>32285003492948</t>
        </is>
      </c>
      <c r="BF1007" t="inlineStr">
        <is>
          <t>893498780</t>
        </is>
      </c>
    </row>
    <row r="1008">
      <c r="A1008" t="inlineStr">
        <is>
          <t>No</t>
        </is>
      </c>
      <c r="B1008" t="inlineStr">
        <is>
          <t>CURAL</t>
        </is>
      </c>
      <c r="C1008" t="inlineStr">
        <is>
          <t>SHELVES</t>
        </is>
      </c>
      <c r="D1008" t="inlineStr">
        <is>
          <t>PR3407 .C87 1984</t>
        </is>
      </c>
      <c r="E1008" t="inlineStr">
        <is>
          <t>0                      PR 3407000C  87          1984</t>
        </is>
      </c>
      <c r="F1008" t="inlineStr">
        <is>
          <t>The elusive Daniel Defoe / by Laura A. Curtis.</t>
        </is>
      </c>
      <c r="H1008" t="inlineStr">
        <is>
          <t>No</t>
        </is>
      </c>
      <c r="I1008" t="inlineStr">
        <is>
          <t>1</t>
        </is>
      </c>
      <c r="J1008" t="inlineStr">
        <is>
          <t>No</t>
        </is>
      </c>
      <c r="K1008" t="inlineStr">
        <is>
          <t>No</t>
        </is>
      </c>
      <c r="L1008" t="inlineStr">
        <is>
          <t>0</t>
        </is>
      </c>
      <c r="M1008" t="inlineStr">
        <is>
          <t>Curtis, Laura Ann.</t>
        </is>
      </c>
      <c r="N1008" t="inlineStr">
        <is>
          <t>London : Vision ; Totowa, NJ : Barnes &amp; Noble, 1984.</t>
        </is>
      </c>
      <c r="O1008" t="inlineStr">
        <is>
          <t>1984</t>
        </is>
      </c>
      <c r="Q1008" t="inlineStr">
        <is>
          <t>eng</t>
        </is>
      </c>
      <c r="R1008" t="inlineStr">
        <is>
          <t>enk</t>
        </is>
      </c>
      <c r="S1008" t="inlineStr">
        <is>
          <t>Critical studies series</t>
        </is>
      </c>
      <c r="T1008" t="inlineStr">
        <is>
          <t xml:space="preserve">PR </t>
        </is>
      </c>
      <c r="U1008" t="n">
        <v>4</v>
      </c>
      <c r="V1008" t="n">
        <v>4</v>
      </c>
      <c r="W1008" t="inlineStr">
        <is>
          <t>2007-03-16</t>
        </is>
      </c>
      <c r="X1008" t="inlineStr">
        <is>
          <t>2007-03-16</t>
        </is>
      </c>
      <c r="Y1008" t="inlineStr">
        <is>
          <t>1991-04-23</t>
        </is>
      </c>
      <c r="Z1008" t="inlineStr">
        <is>
          <t>1991-04-23</t>
        </is>
      </c>
      <c r="AA1008" t="n">
        <v>559</v>
      </c>
      <c r="AB1008" t="n">
        <v>434</v>
      </c>
      <c r="AC1008" t="n">
        <v>440</v>
      </c>
      <c r="AD1008" t="n">
        <v>4</v>
      </c>
      <c r="AE1008" t="n">
        <v>4</v>
      </c>
      <c r="AF1008" t="n">
        <v>24</v>
      </c>
      <c r="AG1008" t="n">
        <v>24</v>
      </c>
      <c r="AH1008" t="n">
        <v>8</v>
      </c>
      <c r="AI1008" t="n">
        <v>8</v>
      </c>
      <c r="AJ1008" t="n">
        <v>5</v>
      </c>
      <c r="AK1008" t="n">
        <v>5</v>
      </c>
      <c r="AL1008" t="n">
        <v>14</v>
      </c>
      <c r="AM1008" t="n">
        <v>14</v>
      </c>
      <c r="AN1008" t="n">
        <v>3</v>
      </c>
      <c r="AO1008" t="n">
        <v>3</v>
      </c>
      <c r="AP1008" t="n">
        <v>0</v>
      </c>
      <c r="AQ1008" t="n">
        <v>0</v>
      </c>
      <c r="AR1008" t="inlineStr">
        <is>
          <t>No</t>
        </is>
      </c>
      <c r="AS1008" t="inlineStr">
        <is>
          <t>Yes</t>
        </is>
      </c>
      <c r="AT1008">
        <f>HYPERLINK("http://catalog.hathitrust.org/Record/000781424","HathiTrust Record")</f>
        <v/>
      </c>
      <c r="AU1008">
        <f>HYPERLINK("https://creighton-primo.hosted.exlibrisgroup.com/primo-explore/search?tab=default_tab&amp;search_scope=EVERYTHING&amp;vid=01CRU&amp;lang=en_US&amp;offset=0&amp;query=any,contains,991000390879702656","Catalog Record")</f>
        <v/>
      </c>
      <c r="AV1008">
        <f>HYPERLINK("http://www.worldcat.org/oclc/10551078","WorldCat Record")</f>
        <v/>
      </c>
      <c r="AW1008" t="inlineStr">
        <is>
          <t>458568:eng</t>
        </is>
      </c>
      <c r="AX1008" t="inlineStr">
        <is>
          <t>10551078</t>
        </is>
      </c>
      <c r="AY1008" t="inlineStr">
        <is>
          <t>991000390879702656</t>
        </is>
      </c>
      <c r="AZ1008" t="inlineStr">
        <is>
          <t>991000390879702656</t>
        </is>
      </c>
      <c r="BA1008" t="inlineStr">
        <is>
          <t>2265512070002656</t>
        </is>
      </c>
      <c r="BB1008" t="inlineStr">
        <is>
          <t>BOOK</t>
        </is>
      </c>
      <c r="BD1008" t="inlineStr">
        <is>
          <t>9780389200635</t>
        </is>
      </c>
      <c r="BE1008" t="inlineStr">
        <is>
          <t>32285000585538</t>
        </is>
      </c>
      <c r="BF1008" t="inlineStr">
        <is>
          <t>893695794</t>
        </is>
      </c>
    </row>
    <row r="1009">
      <c r="A1009" t="inlineStr">
        <is>
          <t>No</t>
        </is>
      </c>
      <c r="B1009" t="inlineStr">
        <is>
          <t>CURAL</t>
        </is>
      </c>
      <c r="C1009" t="inlineStr">
        <is>
          <t>SHELVES</t>
        </is>
      </c>
      <c r="D1009" t="inlineStr">
        <is>
          <t>PR3407 .R48 1987</t>
        </is>
      </c>
      <c r="E1009" t="inlineStr">
        <is>
          <t>0                      PR 3407000R  48          1987</t>
        </is>
      </c>
      <c r="F1009" t="inlineStr">
        <is>
          <t>Daniel Defoe / by John J. Richetti.</t>
        </is>
      </c>
      <c r="H1009" t="inlineStr">
        <is>
          <t>No</t>
        </is>
      </c>
      <c r="I1009" t="inlineStr">
        <is>
          <t>1</t>
        </is>
      </c>
      <c r="J1009" t="inlineStr">
        <is>
          <t>No</t>
        </is>
      </c>
      <c r="K1009" t="inlineStr">
        <is>
          <t>No</t>
        </is>
      </c>
      <c r="L1009" t="inlineStr">
        <is>
          <t>0</t>
        </is>
      </c>
      <c r="M1009" t="inlineStr">
        <is>
          <t>Richetti, John J.</t>
        </is>
      </c>
      <c r="N1009" t="inlineStr">
        <is>
          <t>Boston : Twayne Publishers, c1987.</t>
        </is>
      </c>
      <c r="O1009" t="inlineStr">
        <is>
          <t>1987</t>
        </is>
      </c>
      <c r="Q1009" t="inlineStr">
        <is>
          <t>eng</t>
        </is>
      </c>
      <c r="R1009" t="inlineStr">
        <is>
          <t>mau</t>
        </is>
      </c>
      <c r="S1009" t="inlineStr">
        <is>
          <t>Twayne's English authors series</t>
        </is>
      </c>
      <c r="T1009" t="inlineStr">
        <is>
          <t xml:space="preserve">PR </t>
        </is>
      </c>
      <c r="U1009" t="n">
        <v>6</v>
      </c>
      <c r="V1009" t="n">
        <v>6</v>
      </c>
      <c r="W1009" t="inlineStr">
        <is>
          <t>1997-02-11</t>
        </is>
      </c>
      <c r="X1009" t="inlineStr">
        <is>
          <t>1997-02-11</t>
        </is>
      </c>
      <c r="Y1009" t="inlineStr">
        <is>
          <t>1991-04-23</t>
        </is>
      </c>
      <c r="Z1009" t="inlineStr">
        <is>
          <t>1991-04-23</t>
        </is>
      </c>
      <c r="AA1009" t="n">
        <v>967</v>
      </c>
      <c r="AB1009" t="n">
        <v>830</v>
      </c>
      <c r="AC1009" t="n">
        <v>916</v>
      </c>
      <c r="AD1009" t="n">
        <v>6</v>
      </c>
      <c r="AE1009" t="n">
        <v>6</v>
      </c>
      <c r="AF1009" t="n">
        <v>34</v>
      </c>
      <c r="AG1009" t="n">
        <v>35</v>
      </c>
      <c r="AH1009" t="n">
        <v>14</v>
      </c>
      <c r="AI1009" t="n">
        <v>14</v>
      </c>
      <c r="AJ1009" t="n">
        <v>7</v>
      </c>
      <c r="AK1009" t="n">
        <v>7</v>
      </c>
      <c r="AL1009" t="n">
        <v>20</v>
      </c>
      <c r="AM1009" t="n">
        <v>21</v>
      </c>
      <c r="AN1009" t="n">
        <v>4</v>
      </c>
      <c r="AO1009" t="n">
        <v>4</v>
      </c>
      <c r="AP1009" t="n">
        <v>0</v>
      </c>
      <c r="AQ1009" t="n">
        <v>0</v>
      </c>
      <c r="AR1009" t="inlineStr">
        <is>
          <t>No</t>
        </is>
      </c>
      <c r="AS1009" t="inlineStr">
        <is>
          <t>Yes</t>
        </is>
      </c>
      <c r="AT1009">
        <f>HYPERLINK("http://catalog.hathitrust.org/Record/000875119","HathiTrust Record")</f>
        <v/>
      </c>
      <c r="AU1009">
        <f>HYPERLINK("https://creighton-primo.hosted.exlibrisgroup.com/primo-explore/search?tab=default_tab&amp;search_scope=EVERYTHING&amp;vid=01CRU&amp;lang=en_US&amp;offset=0&amp;query=any,contains,991001036729702656","Catalog Record")</f>
        <v/>
      </c>
      <c r="AV1009">
        <f>HYPERLINK("http://www.worldcat.org/oclc/15549522","WorldCat Record")</f>
        <v/>
      </c>
      <c r="AW1009" t="inlineStr">
        <is>
          <t>3855508546:eng</t>
        </is>
      </c>
      <c r="AX1009" t="inlineStr">
        <is>
          <t>15549522</t>
        </is>
      </c>
      <c r="AY1009" t="inlineStr">
        <is>
          <t>991001036729702656</t>
        </is>
      </c>
      <c r="AZ1009" t="inlineStr">
        <is>
          <t>991001036729702656</t>
        </is>
      </c>
      <c r="BA1009" t="inlineStr">
        <is>
          <t>2266903460002656</t>
        </is>
      </c>
      <c r="BB1009" t="inlineStr">
        <is>
          <t>BOOK</t>
        </is>
      </c>
      <c r="BD1009" t="inlineStr">
        <is>
          <t>9780805769555</t>
        </is>
      </c>
      <c r="BE1009" t="inlineStr">
        <is>
          <t>32285000585553</t>
        </is>
      </c>
      <c r="BF1009" t="inlineStr">
        <is>
          <t>893438822</t>
        </is>
      </c>
    </row>
    <row r="1010">
      <c r="A1010" t="inlineStr">
        <is>
          <t>No</t>
        </is>
      </c>
      <c r="B1010" t="inlineStr">
        <is>
          <t>CURAL</t>
        </is>
      </c>
      <c r="C1010" t="inlineStr">
        <is>
          <t>SHELVES</t>
        </is>
      </c>
      <c r="D1010" t="inlineStr">
        <is>
          <t>PR3407 .R6</t>
        </is>
      </c>
      <c r="E1010" t="inlineStr">
        <is>
          <t>0                      PR 3407000R  6</t>
        </is>
      </c>
      <c r="F1010" t="inlineStr">
        <is>
          <t>Defoe, the critical heritage.</t>
        </is>
      </c>
      <c r="H1010" t="inlineStr">
        <is>
          <t>No</t>
        </is>
      </c>
      <c r="I1010" t="inlineStr">
        <is>
          <t>1</t>
        </is>
      </c>
      <c r="J1010" t="inlineStr">
        <is>
          <t>No</t>
        </is>
      </c>
      <c r="K1010" t="inlineStr">
        <is>
          <t>No</t>
        </is>
      </c>
      <c r="L1010" t="inlineStr">
        <is>
          <t>0</t>
        </is>
      </c>
      <c r="M1010" t="inlineStr">
        <is>
          <t>Rogers, Pat, compiler.</t>
        </is>
      </c>
      <c r="N1010" t="inlineStr">
        <is>
          <t>London ; Boston : Routledge and Kegan Paul, 1972.</t>
        </is>
      </c>
      <c r="O1010" t="inlineStr">
        <is>
          <t>1972</t>
        </is>
      </c>
      <c r="Q1010" t="inlineStr">
        <is>
          <t>eng</t>
        </is>
      </c>
      <c r="R1010" t="inlineStr">
        <is>
          <t>enk</t>
        </is>
      </c>
      <c r="S1010" t="inlineStr">
        <is>
          <t>The Critical heritage series</t>
        </is>
      </c>
      <c r="T1010" t="inlineStr">
        <is>
          <t xml:space="preserve">PR </t>
        </is>
      </c>
      <c r="U1010" t="n">
        <v>7</v>
      </c>
      <c r="V1010" t="n">
        <v>7</v>
      </c>
      <c r="W1010" t="inlineStr">
        <is>
          <t>1996-12-03</t>
        </is>
      </c>
      <c r="X1010" t="inlineStr">
        <is>
          <t>1996-12-03</t>
        </is>
      </c>
      <c r="Y1010" t="inlineStr">
        <is>
          <t>1990-09-27</t>
        </is>
      </c>
      <c r="Z1010" t="inlineStr">
        <is>
          <t>1990-09-27</t>
        </is>
      </c>
      <c r="AA1010" t="n">
        <v>907</v>
      </c>
      <c r="AB1010" t="n">
        <v>657</v>
      </c>
      <c r="AC1010" t="n">
        <v>664</v>
      </c>
      <c r="AD1010" t="n">
        <v>4</v>
      </c>
      <c r="AE1010" t="n">
        <v>4</v>
      </c>
      <c r="AF1010" t="n">
        <v>32</v>
      </c>
      <c r="AG1010" t="n">
        <v>32</v>
      </c>
      <c r="AH1010" t="n">
        <v>11</v>
      </c>
      <c r="AI1010" t="n">
        <v>11</v>
      </c>
      <c r="AJ1010" t="n">
        <v>8</v>
      </c>
      <c r="AK1010" t="n">
        <v>8</v>
      </c>
      <c r="AL1010" t="n">
        <v>21</v>
      </c>
      <c r="AM1010" t="n">
        <v>21</v>
      </c>
      <c r="AN1010" t="n">
        <v>3</v>
      </c>
      <c r="AO1010" t="n">
        <v>3</v>
      </c>
      <c r="AP1010" t="n">
        <v>0</v>
      </c>
      <c r="AQ1010" t="n">
        <v>0</v>
      </c>
      <c r="AR1010" t="inlineStr">
        <is>
          <t>No</t>
        </is>
      </c>
      <c r="AS1010" t="inlineStr">
        <is>
          <t>Yes</t>
        </is>
      </c>
      <c r="AT1010">
        <f>HYPERLINK("http://catalog.hathitrust.org/Record/000485096","HathiTrust Record")</f>
        <v/>
      </c>
      <c r="AU1010">
        <f>HYPERLINK("https://creighton-primo.hosted.exlibrisgroup.com/primo-explore/search?tab=default_tab&amp;search_scope=EVERYTHING&amp;vid=01CRU&amp;lang=en_US&amp;offset=0&amp;query=any,contains,991003050329702656","Catalog Record")</f>
        <v/>
      </c>
      <c r="AV1010">
        <f>HYPERLINK("http://www.worldcat.org/oclc/610021","WorldCat Record")</f>
        <v/>
      </c>
      <c r="AW1010" t="inlineStr">
        <is>
          <t>895359975:eng</t>
        </is>
      </c>
      <c r="AX1010" t="inlineStr">
        <is>
          <t>610021</t>
        </is>
      </c>
      <c r="AY1010" t="inlineStr">
        <is>
          <t>991003050329702656</t>
        </is>
      </c>
      <c r="AZ1010" t="inlineStr">
        <is>
          <t>991003050329702656</t>
        </is>
      </c>
      <c r="BA1010" t="inlineStr">
        <is>
          <t>2267928770002656</t>
        </is>
      </c>
      <c r="BB1010" t="inlineStr">
        <is>
          <t>BOOK</t>
        </is>
      </c>
      <c r="BD1010" t="inlineStr">
        <is>
          <t>9780710072597</t>
        </is>
      </c>
      <c r="BE1010" t="inlineStr">
        <is>
          <t>32285000320480</t>
        </is>
      </c>
      <c r="BF1010" t="inlineStr">
        <is>
          <t>893774348</t>
        </is>
      </c>
    </row>
    <row r="1011">
      <c r="A1011" t="inlineStr">
        <is>
          <t>No</t>
        </is>
      </c>
      <c r="B1011" t="inlineStr">
        <is>
          <t>CURAL</t>
        </is>
      </c>
      <c r="C1011" t="inlineStr">
        <is>
          <t>SHELVES</t>
        </is>
      </c>
      <c r="D1011" t="inlineStr">
        <is>
          <t>PR3407 .S4 1963</t>
        </is>
      </c>
      <c r="E1011" t="inlineStr">
        <is>
          <t>0                      PR 3407000S  4           1963</t>
        </is>
      </c>
      <c r="F1011" t="inlineStr">
        <is>
          <t>Studies in the narrative method of Defoe.</t>
        </is>
      </c>
      <c r="H1011" t="inlineStr">
        <is>
          <t>No</t>
        </is>
      </c>
      <c r="I1011" t="inlineStr">
        <is>
          <t>1</t>
        </is>
      </c>
      <c r="J1011" t="inlineStr">
        <is>
          <t>No</t>
        </is>
      </c>
      <c r="K1011" t="inlineStr">
        <is>
          <t>No</t>
        </is>
      </c>
      <c r="L1011" t="inlineStr">
        <is>
          <t>0</t>
        </is>
      </c>
      <c r="M1011" t="inlineStr">
        <is>
          <t>Secord, Arthur Wellesley, 1891-1957.</t>
        </is>
      </c>
      <c r="N1011" t="inlineStr">
        <is>
          <t>New York : Russell &amp; Russell, 1963.</t>
        </is>
      </c>
      <c r="O1011" t="inlineStr">
        <is>
          <t>1963</t>
        </is>
      </c>
      <c r="Q1011" t="inlineStr">
        <is>
          <t>eng</t>
        </is>
      </c>
      <c r="R1011" t="inlineStr">
        <is>
          <t>nyu</t>
        </is>
      </c>
      <c r="S1011" t="inlineStr">
        <is>
          <t>University of Illinois studies in language and literature</t>
        </is>
      </c>
      <c r="T1011" t="inlineStr">
        <is>
          <t xml:space="preserve">PR </t>
        </is>
      </c>
      <c r="U1011" t="n">
        <v>5</v>
      </c>
      <c r="V1011" t="n">
        <v>5</v>
      </c>
      <c r="W1011" t="inlineStr">
        <is>
          <t>2010-11-14</t>
        </is>
      </c>
      <c r="X1011" t="inlineStr">
        <is>
          <t>2010-11-14</t>
        </is>
      </c>
      <c r="Y1011" t="inlineStr">
        <is>
          <t>1990-09-27</t>
        </is>
      </c>
      <c r="Z1011" t="inlineStr">
        <is>
          <t>1990-09-27</t>
        </is>
      </c>
      <c r="AA1011" t="n">
        <v>532</v>
      </c>
      <c r="AB1011" t="n">
        <v>446</v>
      </c>
      <c r="AC1011" t="n">
        <v>613</v>
      </c>
      <c r="AD1011" t="n">
        <v>4</v>
      </c>
      <c r="AE1011" t="n">
        <v>5</v>
      </c>
      <c r="AF1011" t="n">
        <v>29</v>
      </c>
      <c r="AG1011" t="n">
        <v>37</v>
      </c>
      <c r="AH1011" t="n">
        <v>13</v>
      </c>
      <c r="AI1011" t="n">
        <v>16</v>
      </c>
      <c r="AJ1011" t="n">
        <v>6</v>
      </c>
      <c r="AK1011" t="n">
        <v>9</v>
      </c>
      <c r="AL1011" t="n">
        <v>14</v>
      </c>
      <c r="AM1011" t="n">
        <v>18</v>
      </c>
      <c r="AN1011" t="n">
        <v>3</v>
      </c>
      <c r="AO1011" t="n">
        <v>4</v>
      </c>
      <c r="AP1011" t="n">
        <v>0</v>
      </c>
      <c r="AQ1011" t="n">
        <v>0</v>
      </c>
      <c r="AR1011" t="inlineStr">
        <is>
          <t>Yes</t>
        </is>
      </c>
      <c r="AS1011" t="inlineStr">
        <is>
          <t>No</t>
        </is>
      </c>
      <c r="AT1011">
        <f>HYPERLINK("http://catalog.hathitrust.org/Record/000485101","HathiTrust Record")</f>
        <v/>
      </c>
      <c r="AU1011">
        <f>HYPERLINK("https://creighton-primo.hosted.exlibrisgroup.com/primo-explore/search?tab=default_tab&amp;search_scope=EVERYTHING&amp;vid=01CRU&amp;lang=en_US&amp;offset=0&amp;query=any,contains,991003249859702656","Catalog Record")</f>
        <v/>
      </c>
      <c r="AV1011">
        <f>HYPERLINK("http://www.worldcat.org/oclc/774800","WorldCat Record")</f>
        <v/>
      </c>
      <c r="AW1011" t="inlineStr">
        <is>
          <t>1685104:eng</t>
        </is>
      </c>
      <c r="AX1011" t="inlineStr">
        <is>
          <t>774800</t>
        </is>
      </c>
      <c r="AY1011" t="inlineStr">
        <is>
          <t>991003249859702656</t>
        </is>
      </c>
      <c r="AZ1011" t="inlineStr">
        <is>
          <t>991003249859702656</t>
        </is>
      </c>
      <c r="BA1011" t="inlineStr">
        <is>
          <t>2262727810002656</t>
        </is>
      </c>
      <c r="BB1011" t="inlineStr">
        <is>
          <t>BOOK</t>
        </is>
      </c>
      <c r="BE1011" t="inlineStr">
        <is>
          <t>32285000320498</t>
        </is>
      </c>
      <c r="BF1011" t="inlineStr">
        <is>
          <t>893511742</t>
        </is>
      </c>
    </row>
    <row r="1012">
      <c r="A1012" t="inlineStr">
        <is>
          <t>No</t>
        </is>
      </c>
      <c r="B1012" t="inlineStr">
        <is>
          <t>CURAL</t>
        </is>
      </c>
      <c r="C1012" t="inlineStr">
        <is>
          <t>SHELVES</t>
        </is>
      </c>
      <c r="D1012" t="inlineStr">
        <is>
          <t>PR3407 .S5</t>
        </is>
      </c>
      <c r="E1012" t="inlineStr">
        <is>
          <t>0                      PR 3407000S  5</t>
        </is>
      </c>
      <c r="F1012" t="inlineStr">
        <is>
          <t>Daniel Defoe and middle-class gentility.</t>
        </is>
      </c>
      <c r="H1012" t="inlineStr">
        <is>
          <t>No</t>
        </is>
      </c>
      <c r="I1012" t="inlineStr">
        <is>
          <t>1</t>
        </is>
      </c>
      <c r="J1012" t="inlineStr">
        <is>
          <t>No</t>
        </is>
      </c>
      <c r="K1012" t="inlineStr">
        <is>
          <t>No</t>
        </is>
      </c>
      <c r="L1012" t="inlineStr">
        <is>
          <t>0</t>
        </is>
      </c>
      <c r="M1012" t="inlineStr">
        <is>
          <t>Shinagel, Michael.</t>
        </is>
      </c>
      <c r="N1012" t="inlineStr">
        <is>
          <t>Cambridge, Mass. : Harvard University Press, 1968.</t>
        </is>
      </c>
      <c r="O1012" t="inlineStr">
        <is>
          <t>1968</t>
        </is>
      </c>
      <c r="Q1012" t="inlineStr">
        <is>
          <t>eng</t>
        </is>
      </c>
      <c r="R1012" t="inlineStr">
        <is>
          <t>mau</t>
        </is>
      </c>
      <c r="T1012" t="inlineStr">
        <is>
          <t xml:space="preserve">PR </t>
        </is>
      </c>
      <c r="U1012" t="n">
        <v>2</v>
      </c>
      <c r="V1012" t="n">
        <v>2</v>
      </c>
      <c r="W1012" t="inlineStr">
        <is>
          <t>1996-12-03</t>
        </is>
      </c>
      <c r="X1012" t="inlineStr">
        <is>
          <t>1996-12-03</t>
        </is>
      </c>
      <c r="Y1012" t="inlineStr">
        <is>
          <t>1990-09-27</t>
        </is>
      </c>
      <c r="Z1012" t="inlineStr">
        <is>
          <t>1990-09-27</t>
        </is>
      </c>
      <c r="AA1012" t="n">
        <v>958</v>
      </c>
      <c r="AB1012" t="n">
        <v>815</v>
      </c>
      <c r="AC1012" t="n">
        <v>828</v>
      </c>
      <c r="AD1012" t="n">
        <v>5</v>
      </c>
      <c r="AE1012" t="n">
        <v>5</v>
      </c>
      <c r="AF1012" t="n">
        <v>40</v>
      </c>
      <c r="AG1012" t="n">
        <v>40</v>
      </c>
      <c r="AH1012" t="n">
        <v>21</v>
      </c>
      <c r="AI1012" t="n">
        <v>21</v>
      </c>
      <c r="AJ1012" t="n">
        <v>7</v>
      </c>
      <c r="AK1012" t="n">
        <v>7</v>
      </c>
      <c r="AL1012" t="n">
        <v>17</v>
      </c>
      <c r="AM1012" t="n">
        <v>17</v>
      </c>
      <c r="AN1012" t="n">
        <v>4</v>
      </c>
      <c r="AO1012" t="n">
        <v>4</v>
      </c>
      <c r="AP1012" t="n">
        <v>0</v>
      </c>
      <c r="AQ1012" t="n">
        <v>0</v>
      </c>
      <c r="AR1012" t="inlineStr">
        <is>
          <t>No</t>
        </is>
      </c>
      <c r="AS1012" t="inlineStr">
        <is>
          <t>Yes</t>
        </is>
      </c>
      <c r="AT1012">
        <f>HYPERLINK("http://catalog.hathitrust.org/Record/001022070","HathiTrust Record")</f>
        <v/>
      </c>
      <c r="AU1012">
        <f>HYPERLINK("https://creighton-primo.hosted.exlibrisgroup.com/primo-explore/search?tab=default_tab&amp;search_scope=EVERYTHING&amp;vid=01CRU&amp;lang=en_US&amp;offset=0&amp;query=any,contains,991002453969702656","Catalog Record")</f>
        <v/>
      </c>
      <c r="AV1012">
        <f>HYPERLINK("http://www.worldcat.org/oclc/353774","WorldCat Record")</f>
        <v/>
      </c>
      <c r="AW1012" t="inlineStr">
        <is>
          <t>1392298:eng</t>
        </is>
      </c>
      <c r="AX1012" t="inlineStr">
        <is>
          <t>353774</t>
        </is>
      </c>
      <c r="AY1012" t="inlineStr">
        <is>
          <t>991002453969702656</t>
        </is>
      </c>
      <c r="AZ1012" t="inlineStr">
        <is>
          <t>991002453969702656</t>
        </is>
      </c>
      <c r="BA1012" t="inlineStr">
        <is>
          <t>2267780380002656</t>
        </is>
      </c>
      <c r="BB1012" t="inlineStr">
        <is>
          <t>BOOK</t>
        </is>
      </c>
      <c r="BE1012" t="inlineStr">
        <is>
          <t>32285000320506</t>
        </is>
      </c>
      <c r="BF1012" t="inlineStr">
        <is>
          <t>893903903</t>
        </is>
      </c>
    </row>
    <row r="1013">
      <c r="A1013" t="inlineStr">
        <is>
          <t>No</t>
        </is>
      </c>
      <c r="B1013" t="inlineStr">
        <is>
          <t>CURAL</t>
        </is>
      </c>
      <c r="C1013" t="inlineStr">
        <is>
          <t>SHELVES</t>
        </is>
      </c>
      <c r="D1013" t="inlineStr">
        <is>
          <t>PR3408.A9 F87 1988</t>
        </is>
      </c>
      <c r="E1013" t="inlineStr">
        <is>
          <t>0                      PR 3408000A  9                  F  87          1988</t>
        </is>
      </c>
      <c r="F1013" t="inlineStr">
        <is>
          <t>The canonisation of Daniel Defoe / P.N. Furbank &amp; W.R. Owens.</t>
        </is>
      </c>
      <c r="H1013" t="inlineStr">
        <is>
          <t>No</t>
        </is>
      </c>
      <c r="I1013" t="inlineStr">
        <is>
          <t>1</t>
        </is>
      </c>
      <c r="J1013" t="inlineStr">
        <is>
          <t>No</t>
        </is>
      </c>
      <c r="K1013" t="inlineStr">
        <is>
          <t>No</t>
        </is>
      </c>
      <c r="L1013" t="inlineStr">
        <is>
          <t>0</t>
        </is>
      </c>
      <c r="M1013" t="inlineStr">
        <is>
          <t>Furbank, P. N. (Philip Nicholas), 1920-2014.</t>
        </is>
      </c>
      <c r="N1013" t="inlineStr">
        <is>
          <t>New Haven : Yale University Press, 1988.</t>
        </is>
      </c>
      <c r="O1013" t="inlineStr">
        <is>
          <t>1988</t>
        </is>
      </c>
      <c r="Q1013" t="inlineStr">
        <is>
          <t>eng</t>
        </is>
      </c>
      <c r="R1013" t="inlineStr">
        <is>
          <t>ctu</t>
        </is>
      </c>
      <c r="T1013" t="inlineStr">
        <is>
          <t xml:space="preserve">PR </t>
        </is>
      </c>
      <c r="U1013" t="n">
        <v>2</v>
      </c>
      <c r="V1013" t="n">
        <v>2</v>
      </c>
      <c r="W1013" t="inlineStr">
        <is>
          <t>2004-04-13</t>
        </is>
      </c>
      <c r="X1013" t="inlineStr">
        <is>
          <t>2004-04-13</t>
        </is>
      </c>
      <c r="Y1013" t="inlineStr">
        <is>
          <t>2004-04-13</t>
        </is>
      </c>
      <c r="Z1013" t="inlineStr">
        <is>
          <t>2004-04-13</t>
        </is>
      </c>
      <c r="AA1013" t="n">
        <v>453</v>
      </c>
      <c r="AB1013" t="n">
        <v>329</v>
      </c>
      <c r="AC1013" t="n">
        <v>329</v>
      </c>
      <c r="AD1013" t="n">
        <v>3</v>
      </c>
      <c r="AE1013" t="n">
        <v>3</v>
      </c>
      <c r="AF1013" t="n">
        <v>20</v>
      </c>
      <c r="AG1013" t="n">
        <v>20</v>
      </c>
      <c r="AH1013" t="n">
        <v>6</v>
      </c>
      <c r="AI1013" t="n">
        <v>6</v>
      </c>
      <c r="AJ1013" t="n">
        <v>5</v>
      </c>
      <c r="AK1013" t="n">
        <v>5</v>
      </c>
      <c r="AL1013" t="n">
        <v>14</v>
      </c>
      <c r="AM1013" t="n">
        <v>14</v>
      </c>
      <c r="AN1013" t="n">
        <v>2</v>
      </c>
      <c r="AO1013" t="n">
        <v>2</v>
      </c>
      <c r="AP1013" t="n">
        <v>0</v>
      </c>
      <c r="AQ1013" t="n">
        <v>0</v>
      </c>
      <c r="AR1013" t="inlineStr">
        <is>
          <t>No</t>
        </is>
      </c>
      <c r="AS1013" t="inlineStr">
        <is>
          <t>No</t>
        </is>
      </c>
      <c r="AU1013">
        <f>HYPERLINK("https://creighton-primo.hosted.exlibrisgroup.com/primo-explore/search?tab=default_tab&amp;search_scope=EVERYTHING&amp;vid=01CRU&amp;lang=en_US&amp;offset=0&amp;query=any,contains,991004280989702656","Catalog Record")</f>
        <v/>
      </c>
      <c r="AV1013">
        <f>HYPERLINK("http://www.worldcat.org/oclc/16580100","WorldCat Record")</f>
        <v/>
      </c>
      <c r="AW1013" t="inlineStr">
        <is>
          <t>12445940:eng</t>
        </is>
      </c>
      <c r="AX1013" t="inlineStr">
        <is>
          <t>16580100</t>
        </is>
      </c>
      <c r="AY1013" t="inlineStr">
        <is>
          <t>991004280989702656</t>
        </is>
      </c>
      <c r="AZ1013" t="inlineStr">
        <is>
          <t>991004280989702656</t>
        </is>
      </c>
      <c r="BA1013" t="inlineStr">
        <is>
          <t>2260407290002656</t>
        </is>
      </c>
      <c r="BB1013" t="inlineStr">
        <is>
          <t>BOOK</t>
        </is>
      </c>
      <c r="BD1013" t="inlineStr">
        <is>
          <t>9780300041194</t>
        </is>
      </c>
      <c r="BE1013" t="inlineStr">
        <is>
          <t>32285004899174</t>
        </is>
      </c>
      <c r="BF1013" t="inlineStr">
        <is>
          <t>893247386</t>
        </is>
      </c>
    </row>
    <row r="1014">
      <c r="A1014" t="inlineStr">
        <is>
          <t>No</t>
        </is>
      </c>
      <c r="B1014" t="inlineStr">
        <is>
          <t>CURAL</t>
        </is>
      </c>
      <c r="C1014" t="inlineStr">
        <is>
          <t>SHELVES</t>
        </is>
      </c>
      <c r="D1014" t="inlineStr">
        <is>
          <t>PR3408.E8 S7 1971</t>
        </is>
      </c>
      <c r="E1014" t="inlineStr">
        <is>
          <t>0                      PR 3408000E  8                  S  7           1971</t>
        </is>
      </c>
      <c r="F1014" t="inlineStr">
        <is>
          <t>Defoe &amp; casuistry / by G. A. Starr.</t>
        </is>
      </c>
      <c r="H1014" t="inlineStr">
        <is>
          <t>No</t>
        </is>
      </c>
      <c r="I1014" t="inlineStr">
        <is>
          <t>1</t>
        </is>
      </c>
      <c r="J1014" t="inlineStr">
        <is>
          <t>No</t>
        </is>
      </c>
      <c r="K1014" t="inlineStr">
        <is>
          <t>No</t>
        </is>
      </c>
      <c r="L1014" t="inlineStr">
        <is>
          <t>0</t>
        </is>
      </c>
      <c r="M1014" t="inlineStr">
        <is>
          <t>Starr, G. A. (George A.)</t>
        </is>
      </c>
      <c r="N1014" t="inlineStr">
        <is>
          <t>Princeton, N.J. : Princeton University Press, 1971.</t>
        </is>
      </c>
      <c r="O1014" t="inlineStr">
        <is>
          <t>1971</t>
        </is>
      </c>
      <c r="Q1014" t="inlineStr">
        <is>
          <t>eng</t>
        </is>
      </c>
      <c r="R1014" t="inlineStr">
        <is>
          <t>nju</t>
        </is>
      </c>
      <c r="T1014" t="inlineStr">
        <is>
          <t xml:space="preserve">PR </t>
        </is>
      </c>
      <c r="U1014" t="n">
        <v>3</v>
      </c>
      <c r="V1014" t="n">
        <v>3</v>
      </c>
      <c r="W1014" t="inlineStr">
        <is>
          <t>1996-12-03</t>
        </is>
      </c>
      <c r="X1014" t="inlineStr">
        <is>
          <t>1996-12-03</t>
        </is>
      </c>
      <c r="Y1014" t="inlineStr">
        <is>
          <t>1990-09-27</t>
        </is>
      </c>
      <c r="Z1014" t="inlineStr">
        <is>
          <t>1990-09-27</t>
        </is>
      </c>
      <c r="AA1014" t="n">
        <v>856</v>
      </c>
      <c r="AB1014" t="n">
        <v>680</v>
      </c>
      <c r="AC1014" t="n">
        <v>685</v>
      </c>
      <c r="AD1014" t="n">
        <v>9</v>
      </c>
      <c r="AE1014" t="n">
        <v>9</v>
      </c>
      <c r="AF1014" t="n">
        <v>41</v>
      </c>
      <c r="AG1014" t="n">
        <v>41</v>
      </c>
      <c r="AH1014" t="n">
        <v>15</v>
      </c>
      <c r="AI1014" t="n">
        <v>15</v>
      </c>
      <c r="AJ1014" t="n">
        <v>10</v>
      </c>
      <c r="AK1014" t="n">
        <v>10</v>
      </c>
      <c r="AL1014" t="n">
        <v>18</v>
      </c>
      <c r="AM1014" t="n">
        <v>18</v>
      </c>
      <c r="AN1014" t="n">
        <v>8</v>
      </c>
      <c r="AO1014" t="n">
        <v>8</v>
      </c>
      <c r="AP1014" t="n">
        <v>0</v>
      </c>
      <c r="AQ1014" t="n">
        <v>0</v>
      </c>
      <c r="AR1014" t="inlineStr">
        <is>
          <t>No</t>
        </is>
      </c>
      <c r="AS1014" t="inlineStr">
        <is>
          <t>No</t>
        </is>
      </c>
      <c r="AU1014">
        <f>HYPERLINK("https://creighton-primo.hosted.exlibrisgroup.com/primo-explore/search?tab=default_tab&amp;search_scope=EVERYTHING&amp;vid=01CRU&amp;lang=en_US&amp;offset=0&amp;query=any,contains,991000782909702656","Catalog Record")</f>
        <v/>
      </c>
      <c r="AV1014">
        <f>HYPERLINK("http://www.worldcat.org/oclc/135640","WorldCat Record")</f>
        <v/>
      </c>
      <c r="AW1014" t="inlineStr">
        <is>
          <t>347342768:eng</t>
        </is>
      </c>
      <c r="AX1014" t="inlineStr">
        <is>
          <t>135640</t>
        </is>
      </c>
      <c r="AY1014" t="inlineStr">
        <is>
          <t>991000782909702656</t>
        </is>
      </c>
      <c r="AZ1014" t="inlineStr">
        <is>
          <t>991000782909702656</t>
        </is>
      </c>
      <c r="BA1014" t="inlineStr">
        <is>
          <t>2263347560002656</t>
        </is>
      </c>
      <c r="BB1014" t="inlineStr">
        <is>
          <t>BOOK</t>
        </is>
      </c>
      <c r="BD1014" t="inlineStr">
        <is>
          <t>9780691061924</t>
        </is>
      </c>
      <c r="BE1014" t="inlineStr">
        <is>
          <t>32285000320514</t>
        </is>
      </c>
      <c r="BF1014" t="inlineStr">
        <is>
          <t>893407504</t>
        </is>
      </c>
    </row>
    <row r="1015">
      <c r="A1015" t="inlineStr">
        <is>
          <t>No</t>
        </is>
      </c>
      <c r="B1015" t="inlineStr">
        <is>
          <t>CURAL</t>
        </is>
      </c>
      <c r="C1015" t="inlineStr">
        <is>
          <t>SHELVES</t>
        </is>
      </c>
      <c r="D1015" t="inlineStr">
        <is>
          <t>PR3408.S9 B3</t>
        </is>
      </c>
      <c r="E1015" t="inlineStr">
        <is>
          <t>0                      PR 3408000S  9                  B  3</t>
        </is>
      </c>
      <c r="F1015" t="inlineStr">
        <is>
          <t>Daniel Defoe and the supernatural [by] Rodney M. Baine.</t>
        </is>
      </c>
      <c r="H1015" t="inlineStr">
        <is>
          <t>No</t>
        </is>
      </c>
      <c r="I1015" t="inlineStr">
        <is>
          <t>1</t>
        </is>
      </c>
      <c r="J1015" t="inlineStr">
        <is>
          <t>No</t>
        </is>
      </c>
      <c r="K1015" t="inlineStr">
        <is>
          <t>No</t>
        </is>
      </c>
      <c r="L1015" t="inlineStr">
        <is>
          <t>0</t>
        </is>
      </c>
      <c r="M1015" t="inlineStr">
        <is>
          <t>Baine, Rodney M.</t>
        </is>
      </c>
      <c r="N1015" t="inlineStr">
        <is>
          <t>Athens, University of Georgia Press [1969, c1968]</t>
        </is>
      </c>
      <c r="O1015" t="inlineStr">
        <is>
          <t>1969</t>
        </is>
      </c>
      <c r="Q1015" t="inlineStr">
        <is>
          <t>eng</t>
        </is>
      </c>
      <c r="R1015" t="inlineStr">
        <is>
          <t>gau</t>
        </is>
      </c>
      <c r="T1015" t="inlineStr">
        <is>
          <t xml:space="preserve">PR </t>
        </is>
      </c>
      <c r="U1015" t="n">
        <v>1</v>
      </c>
      <c r="V1015" t="n">
        <v>1</v>
      </c>
      <c r="W1015" t="inlineStr">
        <is>
          <t>2010-11-14</t>
        </is>
      </c>
      <c r="X1015" t="inlineStr">
        <is>
          <t>2010-11-14</t>
        </is>
      </c>
      <c r="Y1015" t="inlineStr">
        <is>
          <t>1997-08-07</t>
        </is>
      </c>
      <c r="Z1015" t="inlineStr">
        <is>
          <t>1997-08-07</t>
        </is>
      </c>
      <c r="AA1015" t="n">
        <v>616</v>
      </c>
      <c r="AB1015" t="n">
        <v>573</v>
      </c>
      <c r="AC1015" t="n">
        <v>592</v>
      </c>
      <c r="AD1015" t="n">
        <v>5</v>
      </c>
      <c r="AE1015" t="n">
        <v>5</v>
      </c>
      <c r="AF1015" t="n">
        <v>34</v>
      </c>
      <c r="AG1015" t="n">
        <v>34</v>
      </c>
      <c r="AH1015" t="n">
        <v>13</v>
      </c>
      <c r="AI1015" t="n">
        <v>13</v>
      </c>
      <c r="AJ1015" t="n">
        <v>8</v>
      </c>
      <c r="AK1015" t="n">
        <v>8</v>
      </c>
      <c r="AL1015" t="n">
        <v>18</v>
      </c>
      <c r="AM1015" t="n">
        <v>18</v>
      </c>
      <c r="AN1015" t="n">
        <v>4</v>
      </c>
      <c r="AO1015" t="n">
        <v>4</v>
      </c>
      <c r="AP1015" t="n">
        <v>0</v>
      </c>
      <c r="AQ1015" t="n">
        <v>0</v>
      </c>
      <c r="AR1015" t="inlineStr">
        <is>
          <t>No</t>
        </is>
      </c>
      <c r="AS1015" t="inlineStr">
        <is>
          <t>No</t>
        </is>
      </c>
      <c r="AU1015">
        <f>HYPERLINK("https://creighton-primo.hosted.exlibrisgroup.com/primo-explore/search?tab=default_tab&amp;search_scope=EVERYTHING&amp;vid=01CRU&amp;lang=en_US&amp;offset=0&amp;query=any,contains,991005433989702656","Catalog Record")</f>
        <v/>
      </c>
      <c r="AV1015">
        <f>HYPERLINK("http://www.worldcat.org/oclc/2220","WorldCat Record")</f>
        <v/>
      </c>
      <c r="AW1015" t="inlineStr">
        <is>
          <t>1125494:eng</t>
        </is>
      </c>
      <c r="AX1015" t="inlineStr">
        <is>
          <t>2220</t>
        </is>
      </c>
      <c r="AY1015" t="inlineStr">
        <is>
          <t>991005433989702656</t>
        </is>
      </c>
      <c r="AZ1015" t="inlineStr">
        <is>
          <t>991005433989702656</t>
        </is>
      </c>
      <c r="BA1015" t="inlineStr">
        <is>
          <t>2262719170002656</t>
        </is>
      </c>
      <c r="BB1015" t="inlineStr">
        <is>
          <t>BOOK</t>
        </is>
      </c>
      <c r="BE1015" t="inlineStr">
        <is>
          <t>32285003024840</t>
        </is>
      </c>
      <c r="BF1015" t="inlineStr">
        <is>
          <t>893446912</t>
        </is>
      </c>
    </row>
    <row r="1016">
      <c r="A1016" t="inlineStr">
        <is>
          <t>No</t>
        </is>
      </c>
      <c r="B1016" t="inlineStr">
        <is>
          <t>CURAL</t>
        </is>
      </c>
      <c r="C1016" t="inlineStr">
        <is>
          <t>SHELVES</t>
        </is>
      </c>
      <c r="D1016" t="inlineStr">
        <is>
          <t>PR3409.D3 Z78 1984</t>
        </is>
      </c>
      <c r="E1016" t="inlineStr">
        <is>
          <t>0                      PR 3409000D  3                  Z  78          1984</t>
        </is>
      </c>
      <c r="F1016" t="inlineStr">
        <is>
          <t>John Dennis / by Avon Jack Murphy.</t>
        </is>
      </c>
      <c r="H1016" t="inlineStr">
        <is>
          <t>No</t>
        </is>
      </c>
      <c r="I1016" t="inlineStr">
        <is>
          <t>1</t>
        </is>
      </c>
      <c r="J1016" t="inlineStr">
        <is>
          <t>No</t>
        </is>
      </c>
      <c r="K1016" t="inlineStr">
        <is>
          <t>No</t>
        </is>
      </c>
      <c r="L1016" t="inlineStr">
        <is>
          <t>0</t>
        </is>
      </c>
      <c r="M1016" t="inlineStr">
        <is>
          <t>Murphy, Avon Jack.</t>
        </is>
      </c>
      <c r="N1016" t="inlineStr">
        <is>
          <t>Boston : Twayne, c1984.</t>
        </is>
      </c>
      <c r="O1016" t="inlineStr">
        <is>
          <t>1984</t>
        </is>
      </c>
      <c r="Q1016" t="inlineStr">
        <is>
          <t>eng</t>
        </is>
      </c>
      <c r="R1016" t="inlineStr">
        <is>
          <t>mau</t>
        </is>
      </c>
      <c r="S1016" t="inlineStr">
        <is>
          <t>Twayne's English authors series ; TEAS 382</t>
        </is>
      </c>
      <c r="T1016" t="inlineStr">
        <is>
          <t xml:space="preserve">PR </t>
        </is>
      </c>
      <c r="U1016" t="n">
        <v>2</v>
      </c>
      <c r="V1016" t="n">
        <v>2</v>
      </c>
      <c r="W1016" t="inlineStr">
        <is>
          <t>1995-01-22</t>
        </is>
      </c>
      <c r="X1016" t="inlineStr">
        <is>
          <t>1995-01-22</t>
        </is>
      </c>
      <c r="Y1016" t="inlineStr">
        <is>
          <t>1991-04-23</t>
        </is>
      </c>
      <c r="Z1016" t="inlineStr">
        <is>
          <t>1991-04-23</t>
        </is>
      </c>
      <c r="AA1016" t="n">
        <v>407</v>
      </c>
      <c r="AB1016" t="n">
        <v>351</v>
      </c>
      <c r="AC1016" t="n">
        <v>353</v>
      </c>
      <c r="AD1016" t="n">
        <v>5</v>
      </c>
      <c r="AE1016" t="n">
        <v>5</v>
      </c>
      <c r="AF1016" t="n">
        <v>20</v>
      </c>
      <c r="AG1016" t="n">
        <v>20</v>
      </c>
      <c r="AH1016" t="n">
        <v>5</v>
      </c>
      <c r="AI1016" t="n">
        <v>5</v>
      </c>
      <c r="AJ1016" t="n">
        <v>4</v>
      </c>
      <c r="AK1016" t="n">
        <v>4</v>
      </c>
      <c r="AL1016" t="n">
        <v>13</v>
      </c>
      <c r="AM1016" t="n">
        <v>13</v>
      </c>
      <c r="AN1016" t="n">
        <v>4</v>
      </c>
      <c r="AO1016" t="n">
        <v>4</v>
      </c>
      <c r="AP1016" t="n">
        <v>0</v>
      </c>
      <c r="AQ1016" t="n">
        <v>0</v>
      </c>
      <c r="AR1016" t="inlineStr">
        <is>
          <t>No</t>
        </is>
      </c>
      <c r="AS1016" t="inlineStr">
        <is>
          <t>Yes</t>
        </is>
      </c>
      <c r="AT1016">
        <f>HYPERLINK("http://catalog.hathitrust.org/Record/000363889","HathiTrust Record")</f>
        <v/>
      </c>
      <c r="AU1016">
        <f>HYPERLINK("https://creighton-primo.hosted.exlibrisgroup.com/primo-explore/search?tab=default_tab&amp;search_scope=EVERYTHING&amp;vid=01CRU&amp;lang=en_US&amp;offset=0&amp;query=any,contains,991000434139702656","Catalog Record")</f>
        <v/>
      </c>
      <c r="AV1016">
        <f>HYPERLINK("http://www.worldcat.org/oclc/10780692","WorldCat Record")</f>
        <v/>
      </c>
      <c r="AW1016" t="inlineStr">
        <is>
          <t>8960863473:eng</t>
        </is>
      </c>
      <c r="AX1016" t="inlineStr">
        <is>
          <t>10780692</t>
        </is>
      </c>
      <c r="AY1016" t="inlineStr">
        <is>
          <t>991000434139702656</t>
        </is>
      </c>
      <c r="AZ1016" t="inlineStr">
        <is>
          <t>991000434139702656</t>
        </is>
      </c>
      <c r="BA1016" t="inlineStr">
        <is>
          <t>2256479520002656</t>
        </is>
      </c>
      <c r="BB1016" t="inlineStr">
        <is>
          <t>BOOK</t>
        </is>
      </c>
      <c r="BD1016" t="inlineStr">
        <is>
          <t>9780805768688</t>
        </is>
      </c>
      <c r="BE1016" t="inlineStr">
        <is>
          <t>32285000585587</t>
        </is>
      </c>
      <c r="BF1016" t="inlineStr">
        <is>
          <t>893521652</t>
        </is>
      </c>
    </row>
    <row r="1017">
      <c r="A1017" t="inlineStr">
        <is>
          <t>No</t>
        </is>
      </c>
      <c r="B1017" t="inlineStr">
        <is>
          <t>CURAL</t>
        </is>
      </c>
      <c r="C1017" t="inlineStr">
        <is>
          <t>SHELVES</t>
        </is>
      </c>
      <c r="D1017" t="inlineStr">
        <is>
          <t>PR3416.A23 A27 1986</t>
        </is>
      </c>
      <c r="E1017" t="inlineStr">
        <is>
          <t>0                      PR 3416000A  23                 A  27          1986</t>
        </is>
      </c>
      <c r="F1017" t="inlineStr">
        <is>
          <t>Absalom and Achitophel / [compiled by] Robert W. McHenry, Jr.</t>
        </is>
      </c>
      <c r="H1017" t="inlineStr">
        <is>
          <t>No</t>
        </is>
      </c>
      <c r="I1017" t="inlineStr">
        <is>
          <t>1</t>
        </is>
      </c>
      <c r="J1017" t="inlineStr">
        <is>
          <t>No</t>
        </is>
      </c>
      <c r="K1017" t="inlineStr">
        <is>
          <t>No</t>
        </is>
      </c>
      <c r="L1017" t="inlineStr">
        <is>
          <t>0</t>
        </is>
      </c>
      <c r="N1017" t="inlineStr">
        <is>
          <t>Hamden, CT : Archon Books, 1986.</t>
        </is>
      </c>
      <c r="O1017" t="inlineStr">
        <is>
          <t>1986</t>
        </is>
      </c>
      <c r="Q1017" t="inlineStr">
        <is>
          <t>eng</t>
        </is>
      </c>
      <c r="R1017" t="inlineStr">
        <is>
          <t>ctu</t>
        </is>
      </c>
      <c r="S1017" t="inlineStr">
        <is>
          <t>Contexts ; 3</t>
        </is>
      </c>
      <c r="T1017" t="inlineStr">
        <is>
          <t xml:space="preserve">PR </t>
        </is>
      </c>
      <c r="U1017" t="n">
        <v>3</v>
      </c>
      <c r="V1017" t="n">
        <v>3</v>
      </c>
      <c r="W1017" t="inlineStr">
        <is>
          <t>2010-01-28</t>
        </is>
      </c>
      <c r="X1017" t="inlineStr">
        <is>
          <t>2010-01-28</t>
        </is>
      </c>
      <c r="Y1017" t="inlineStr">
        <is>
          <t>1991-03-06</t>
        </is>
      </c>
      <c r="Z1017" t="inlineStr">
        <is>
          <t>1991-03-06</t>
        </is>
      </c>
      <c r="AA1017" t="n">
        <v>170</v>
      </c>
      <c r="AB1017" t="n">
        <v>117</v>
      </c>
      <c r="AC1017" t="n">
        <v>217</v>
      </c>
      <c r="AD1017" t="n">
        <v>2</v>
      </c>
      <c r="AE1017" t="n">
        <v>3</v>
      </c>
      <c r="AF1017" t="n">
        <v>6</v>
      </c>
      <c r="AG1017" t="n">
        <v>13</v>
      </c>
      <c r="AH1017" t="n">
        <v>0</v>
      </c>
      <c r="AI1017" t="n">
        <v>2</v>
      </c>
      <c r="AJ1017" t="n">
        <v>0</v>
      </c>
      <c r="AK1017" t="n">
        <v>4</v>
      </c>
      <c r="AL1017" t="n">
        <v>5</v>
      </c>
      <c r="AM1017" t="n">
        <v>7</v>
      </c>
      <c r="AN1017" t="n">
        <v>1</v>
      </c>
      <c r="AO1017" t="n">
        <v>2</v>
      </c>
      <c r="AP1017" t="n">
        <v>0</v>
      </c>
      <c r="AQ1017" t="n">
        <v>0</v>
      </c>
      <c r="AR1017" t="inlineStr">
        <is>
          <t>No</t>
        </is>
      </c>
      <c r="AS1017" t="inlineStr">
        <is>
          <t>No</t>
        </is>
      </c>
      <c r="AU1017">
        <f>HYPERLINK("https://creighton-primo.hosted.exlibrisgroup.com/primo-explore/search?tab=default_tab&amp;search_scope=EVERYTHING&amp;vid=01CRU&amp;lang=en_US&amp;offset=0&amp;query=any,contains,991001126699702656","Catalog Record")</f>
        <v/>
      </c>
      <c r="AV1017">
        <f>HYPERLINK("http://www.worldcat.org/oclc/16649381","WorldCat Record")</f>
        <v/>
      </c>
      <c r="AW1017" t="inlineStr">
        <is>
          <t>4494929045:eng</t>
        </is>
      </c>
      <c r="AX1017" t="inlineStr">
        <is>
          <t>16649381</t>
        </is>
      </c>
      <c r="AY1017" t="inlineStr">
        <is>
          <t>991001126699702656</t>
        </is>
      </c>
      <c r="AZ1017" t="inlineStr">
        <is>
          <t>991001126699702656</t>
        </is>
      </c>
      <c r="BA1017" t="inlineStr">
        <is>
          <t>2266240040002656</t>
        </is>
      </c>
      <c r="BB1017" t="inlineStr">
        <is>
          <t>BOOK</t>
        </is>
      </c>
      <c r="BD1017" t="inlineStr">
        <is>
          <t>9780208018458</t>
        </is>
      </c>
      <c r="BE1017" t="inlineStr">
        <is>
          <t>32285000493246</t>
        </is>
      </c>
      <c r="BF1017" t="inlineStr">
        <is>
          <t>893496836</t>
        </is>
      </c>
    </row>
    <row r="1018">
      <c r="A1018" t="inlineStr">
        <is>
          <t>No</t>
        </is>
      </c>
      <c r="B1018" t="inlineStr">
        <is>
          <t>CURAL</t>
        </is>
      </c>
      <c r="C1018" t="inlineStr">
        <is>
          <t>SHELVES</t>
        </is>
      </c>
      <c r="D1018" t="inlineStr">
        <is>
          <t>PR3423 .K5 1966a</t>
        </is>
      </c>
      <c r="E1018" t="inlineStr">
        <is>
          <t>0                      PR 3423000K  5           1966a</t>
        </is>
      </c>
      <c r="F1018" t="inlineStr">
        <is>
          <t>Dryden's major plays / [by] Bruce King.</t>
        </is>
      </c>
      <c r="H1018" t="inlineStr">
        <is>
          <t>No</t>
        </is>
      </c>
      <c r="I1018" t="inlineStr">
        <is>
          <t>1</t>
        </is>
      </c>
      <c r="J1018" t="inlineStr">
        <is>
          <t>No</t>
        </is>
      </c>
      <c r="K1018" t="inlineStr">
        <is>
          <t>No</t>
        </is>
      </c>
      <c r="L1018" t="inlineStr">
        <is>
          <t>0</t>
        </is>
      </c>
      <c r="M1018" t="inlineStr">
        <is>
          <t>King, Bruce, 1933-</t>
        </is>
      </c>
      <c r="N1018" t="inlineStr">
        <is>
          <t>New York : Barnes &amp; Noble, [1967, c1966]</t>
        </is>
      </c>
      <c r="O1018" t="inlineStr">
        <is>
          <t>1967</t>
        </is>
      </c>
      <c r="Q1018" t="inlineStr">
        <is>
          <t>eng</t>
        </is>
      </c>
      <c r="R1018" t="inlineStr">
        <is>
          <t>nyu</t>
        </is>
      </c>
      <c r="T1018" t="inlineStr">
        <is>
          <t xml:space="preserve">PR </t>
        </is>
      </c>
      <c r="U1018" t="n">
        <v>1</v>
      </c>
      <c r="V1018" t="n">
        <v>1</v>
      </c>
      <c r="W1018" t="inlineStr">
        <is>
          <t>1993-02-28</t>
        </is>
      </c>
      <c r="X1018" t="inlineStr">
        <is>
          <t>1993-02-28</t>
        </is>
      </c>
      <c r="Y1018" t="inlineStr">
        <is>
          <t>1992-12-02</t>
        </is>
      </c>
      <c r="Z1018" t="inlineStr">
        <is>
          <t>1992-12-02</t>
        </is>
      </c>
      <c r="AA1018" t="n">
        <v>318</v>
      </c>
      <c r="AB1018" t="n">
        <v>310</v>
      </c>
      <c r="AC1018" t="n">
        <v>603</v>
      </c>
      <c r="AD1018" t="n">
        <v>4</v>
      </c>
      <c r="AE1018" t="n">
        <v>6</v>
      </c>
      <c r="AF1018" t="n">
        <v>9</v>
      </c>
      <c r="AG1018" t="n">
        <v>33</v>
      </c>
      <c r="AH1018" t="n">
        <v>3</v>
      </c>
      <c r="AI1018" t="n">
        <v>14</v>
      </c>
      <c r="AJ1018" t="n">
        <v>2</v>
      </c>
      <c r="AK1018" t="n">
        <v>6</v>
      </c>
      <c r="AL1018" t="n">
        <v>3</v>
      </c>
      <c r="AM1018" t="n">
        <v>16</v>
      </c>
      <c r="AN1018" t="n">
        <v>3</v>
      </c>
      <c r="AO1018" t="n">
        <v>5</v>
      </c>
      <c r="AP1018" t="n">
        <v>0</v>
      </c>
      <c r="AQ1018" t="n">
        <v>0</v>
      </c>
      <c r="AR1018" t="inlineStr">
        <is>
          <t>No</t>
        </is>
      </c>
      <c r="AS1018" t="inlineStr">
        <is>
          <t>Yes</t>
        </is>
      </c>
      <c r="AT1018">
        <f>HYPERLINK("http://catalog.hathitrust.org/Record/001022129","HathiTrust Record")</f>
        <v/>
      </c>
      <c r="AU1018">
        <f>HYPERLINK("https://creighton-primo.hosted.exlibrisgroup.com/primo-explore/search?tab=default_tab&amp;search_scope=EVERYTHING&amp;vid=01CRU&amp;lang=en_US&amp;offset=0&amp;query=any,contains,991002458369702656","Catalog Record")</f>
        <v/>
      </c>
      <c r="AV1018">
        <f>HYPERLINK("http://www.worldcat.org/oclc/355217","WorldCat Record")</f>
        <v/>
      </c>
      <c r="AW1018" t="inlineStr">
        <is>
          <t>365479005:eng</t>
        </is>
      </c>
      <c r="AX1018" t="inlineStr">
        <is>
          <t>355217</t>
        </is>
      </c>
      <c r="AY1018" t="inlineStr">
        <is>
          <t>991002458369702656</t>
        </is>
      </c>
      <c r="AZ1018" t="inlineStr">
        <is>
          <t>991002458369702656</t>
        </is>
      </c>
      <c r="BA1018" t="inlineStr">
        <is>
          <t>2264546390002656</t>
        </is>
      </c>
      <c r="BB1018" t="inlineStr">
        <is>
          <t>BOOK</t>
        </is>
      </c>
      <c r="BE1018" t="inlineStr">
        <is>
          <t>32285001410934</t>
        </is>
      </c>
      <c r="BF1018" t="inlineStr">
        <is>
          <t>893232979</t>
        </is>
      </c>
    </row>
    <row r="1019">
      <c r="A1019" t="inlineStr">
        <is>
          <t>No</t>
        </is>
      </c>
      <c r="B1019" t="inlineStr">
        <is>
          <t>CURAL</t>
        </is>
      </c>
      <c r="C1019" t="inlineStr">
        <is>
          <t>SHELVES</t>
        </is>
      </c>
      <c r="D1019" t="inlineStr">
        <is>
          <t>PR3423 .W35</t>
        </is>
      </c>
      <c r="E1019" t="inlineStr">
        <is>
          <t>0                      PR 3423000W  35</t>
        </is>
      </c>
      <c r="F1019" t="inlineStr">
        <is>
          <t>John Dryden / by George R. Wasserman.</t>
        </is>
      </c>
      <c r="H1019" t="inlineStr">
        <is>
          <t>No</t>
        </is>
      </c>
      <c r="I1019" t="inlineStr">
        <is>
          <t>1</t>
        </is>
      </c>
      <c r="J1019" t="inlineStr">
        <is>
          <t>No</t>
        </is>
      </c>
      <c r="K1019" t="inlineStr">
        <is>
          <t>No</t>
        </is>
      </c>
      <c r="L1019" t="inlineStr">
        <is>
          <t>0</t>
        </is>
      </c>
      <c r="M1019" t="inlineStr">
        <is>
          <t>Wasserman, George Russell, 1927-</t>
        </is>
      </c>
      <c r="N1019" t="inlineStr">
        <is>
          <t>New York : Twayne, [c1964]</t>
        </is>
      </c>
      <c r="O1019" t="inlineStr">
        <is>
          <t>1964</t>
        </is>
      </c>
      <c r="Q1019" t="inlineStr">
        <is>
          <t>eng</t>
        </is>
      </c>
      <c r="R1019" t="inlineStr">
        <is>
          <t>nyu</t>
        </is>
      </c>
      <c r="S1019" t="inlineStr">
        <is>
          <t>Twayne's English authors series, 14</t>
        </is>
      </c>
      <c r="T1019" t="inlineStr">
        <is>
          <t xml:space="preserve">PR </t>
        </is>
      </c>
      <c r="U1019" t="n">
        <v>1</v>
      </c>
      <c r="V1019" t="n">
        <v>1</v>
      </c>
      <c r="W1019" t="inlineStr">
        <is>
          <t>1992-11-11</t>
        </is>
      </c>
      <c r="X1019" t="inlineStr">
        <is>
          <t>1992-11-11</t>
        </is>
      </c>
      <c r="Y1019" t="inlineStr">
        <is>
          <t>1990-09-27</t>
        </is>
      </c>
      <c r="Z1019" t="inlineStr">
        <is>
          <t>1990-09-27</t>
        </is>
      </c>
      <c r="AA1019" t="n">
        <v>1340</v>
      </c>
      <c r="AB1019" t="n">
        <v>1235</v>
      </c>
      <c r="AC1019" t="n">
        <v>1353</v>
      </c>
      <c r="AD1019" t="n">
        <v>11</v>
      </c>
      <c r="AE1019" t="n">
        <v>12</v>
      </c>
      <c r="AF1019" t="n">
        <v>44</v>
      </c>
      <c r="AG1019" t="n">
        <v>49</v>
      </c>
      <c r="AH1019" t="n">
        <v>15</v>
      </c>
      <c r="AI1019" t="n">
        <v>19</v>
      </c>
      <c r="AJ1019" t="n">
        <v>8</v>
      </c>
      <c r="AK1019" t="n">
        <v>8</v>
      </c>
      <c r="AL1019" t="n">
        <v>21</v>
      </c>
      <c r="AM1019" t="n">
        <v>22</v>
      </c>
      <c r="AN1019" t="n">
        <v>9</v>
      </c>
      <c r="AO1019" t="n">
        <v>10</v>
      </c>
      <c r="AP1019" t="n">
        <v>0</v>
      </c>
      <c r="AQ1019" t="n">
        <v>0</v>
      </c>
      <c r="AR1019" t="inlineStr">
        <is>
          <t>No</t>
        </is>
      </c>
      <c r="AS1019" t="inlineStr">
        <is>
          <t>Yes</t>
        </is>
      </c>
      <c r="AT1019">
        <f>HYPERLINK("http://catalog.hathitrust.org/Record/001022134","HathiTrust Record")</f>
        <v/>
      </c>
      <c r="AU1019">
        <f>HYPERLINK("https://creighton-primo.hosted.exlibrisgroup.com/primo-explore/search?tab=default_tab&amp;search_scope=EVERYTHING&amp;vid=01CRU&amp;lang=en_US&amp;offset=0&amp;query=any,contains,991002458539702656","Catalog Record")</f>
        <v/>
      </c>
      <c r="AV1019">
        <f>HYPERLINK("http://www.worldcat.org/oclc/355250","WorldCat Record")</f>
        <v/>
      </c>
      <c r="AW1019" t="inlineStr">
        <is>
          <t>1909010240:eng</t>
        </is>
      </c>
      <c r="AX1019" t="inlineStr">
        <is>
          <t>355250</t>
        </is>
      </c>
      <c r="AY1019" t="inlineStr">
        <is>
          <t>991002458539702656</t>
        </is>
      </c>
      <c r="AZ1019" t="inlineStr">
        <is>
          <t>991002458539702656</t>
        </is>
      </c>
      <c r="BA1019" t="inlineStr">
        <is>
          <t>2264558470002656</t>
        </is>
      </c>
      <c r="BB1019" t="inlineStr">
        <is>
          <t>BOOK</t>
        </is>
      </c>
      <c r="BE1019" t="inlineStr">
        <is>
          <t>32285000320571</t>
        </is>
      </c>
      <c r="BF1019" t="inlineStr">
        <is>
          <t>893691637</t>
        </is>
      </c>
    </row>
    <row r="1020">
      <c r="A1020" t="inlineStr">
        <is>
          <t>No</t>
        </is>
      </c>
      <c r="B1020" t="inlineStr">
        <is>
          <t>CURAL</t>
        </is>
      </c>
      <c r="C1020" t="inlineStr">
        <is>
          <t>SHELVES</t>
        </is>
      </c>
      <c r="D1020" t="inlineStr">
        <is>
          <t>PR3423 .W5 1987</t>
        </is>
      </c>
      <c r="E1020" t="inlineStr">
        <is>
          <t>0                      PR 3423000W  5           1987</t>
        </is>
      </c>
      <c r="F1020" t="inlineStr">
        <is>
          <t>John Dryden and his world / by James Anderson Winn.</t>
        </is>
      </c>
      <c r="H1020" t="inlineStr">
        <is>
          <t>No</t>
        </is>
      </c>
      <c r="I1020" t="inlineStr">
        <is>
          <t>1</t>
        </is>
      </c>
      <c r="J1020" t="inlineStr">
        <is>
          <t>No</t>
        </is>
      </c>
      <c r="K1020" t="inlineStr">
        <is>
          <t>No</t>
        </is>
      </c>
      <c r="L1020" t="inlineStr">
        <is>
          <t>0</t>
        </is>
      </c>
      <c r="M1020" t="inlineStr">
        <is>
          <t>Winn, James Anderson, 1947-2019.</t>
        </is>
      </c>
      <c r="N1020" t="inlineStr">
        <is>
          <t>New Haven : Yale University Press, c1987.</t>
        </is>
      </c>
      <c r="O1020" t="inlineStr">
        <is>
          <t>1987</t>
        </is>
      </c>
      <c r="Q1020" t="inlineStr">
        <is>
          <t>eng</t>
        </is>
      </c>
      <c r="R1020" t="inlineStr">
        <is>
          <t>ctu</t>
        </is>
      </c>
      <c r="T1020" t="inlineStr">
        <is>
          <t xml:space="preserve">PR </t>
        </is>
      </c>
      <c r="U1020" t="n">
        <v>2</v>
      </c>
      <c r="V1020" t="n">
        <v>2</v>
      </c>
      <c r="W1020" t="inlineStr">
        <is>
          <t>1994-05-01</t>
        </is>
      </c>
      <c r="X1020" t="inlineStr">
        <is>
          <t>1994-05-01</t>
        </is>
      </c>
      <c r="Y1020" t="inlineStr">
        <is>
          <t>1991-04-23</t>
        </is>
      </c>
      <c r="Z1020" t="inlineStr">
        <is>
          <t>1991-04-23</t>
        </is>
      </c>
      <c r="AA1020" t="n">
        <v>1180</v>
      </c>
      <c r="AB1020" t="n">
        <v>956</v>
      </c>
      <c r="AC1020" t="n">
        <v>1058</v>
      </c>
      <c r="AD1020" t="n">
        <v>8</v>
      </c>
      <c r="AE1020" t="n">
        <v>8</v>
      </c>
      <c r="AF1020" t="n">
        <v>52</v>
      </c>
      <c r="AG1020" t="n">
        <v>53</v>
      </c>
      <c r="AH1020" t="n">
        <v>24</v>
      </c>
      <c r="AI1020" t="n">
        <v>25</v>
      </c>
      <c r="AJ1020" t="n">
        <v>10</v>
      </c>
      <c r="AK1020" t="n">
        <v>10</v>
      </c>
      <c r="AL1020" t="n">
        <v>25</v>
      </c>
      <c r="AM1020" t="n">
        <v>25</v>
      </c>
      <c r="AN1020" t="n">
        <v>6</v>
      </c>
      <c r="AO1020" t="n">
        <v>6</v>
      </c>
      <c r="AP1020" t="n">
        <v>0</v>
      </c>
      <c r="AQ1020" t="n">
        <v>0</v>
      </c>
      <c r="AR1020" t="inlineStr">
        <is>
          <t>No</t>
        </is>
      </c>
      <c r="AS1020" t="inlineStr">
        <is>
          <t>No</t>
        </is>
      </c>
      <c r="AU1020">
        <f>HYPERLINK("https://creighton-primo.hosted.exlibrisgroup.com/primo-explore/search?tab=default_tab&amp;search_scope=EVERYTHING&amp;vid=01CRU&amp;lang=en_US&amp;offset=0&amp;query=any,contains,991001004799702656","Catalog Record")</f>
        <v/>
      </c>
      <c r="AV1020">
        <f>HYPERLINK("http://www.worldcat.org/oclc/15224299","WorldCat Record")</f>
        <v/>
      </c>
      <c r="AW1020" t="inlineStr">
        <is>
          <t>10265529:eng</t>
        </is>
      </c>
      <c r="AX1020" t="inlineStr">
        <is>
          <t>15224299</t>
        </is>
      </c>
      <c r="AY1020" t="inlineStr">
        <is>
          <t>991001004799702656</t>
        </is>
      </c>
      <c r="AZ1020" t="inlineStr">
        <is>
          <t>991001004799702656</t>
        </is>
      </c>
      <c r="BA1020" t="inlineStr">
        <is>
          <t>2268074860002656</t>
        </is>
      </c>
      <c r="BB1020" t="inlineStr">
        <is>
          <t>BOOK</t>
        </is>
      </c>
      <c r="BD1020" t="inlineStr">
        <is>
          <t>9780300029949</t>
        </is>
      </c>
      <c r="BE1020" t="inlineStr">
        <is>
          <t>32285000585645</t>
        </is>
      </c>
      <c r="BF1020" t="inlineStr">
        <is>
          <t>893778467</t>
        </is>
      </c>
    </row>
    <row r="1021">
      <c r="A1021" t="inlineStr">
        <is>
          <t>No</t>
        </is>
      </c>
      <c r="B1021" t="inlineStr">
        <is>
          <t>CURAL</t>
        </is>
      </c>
      <c r="C1021" t="inlineStr">
        <is>
          <t>SHELVES</t>
        </is>
      </c>
      <c r="D1021" t="inlineStr">
        <is>
          <t>PR3424 .K55</t>
        </is>
      </c>
      <c r="E1021" t="inlineStr">
        <is>
          <t>0                      PR 3424000K  55</t>
        </is>
      </c>
      <c r="F1021" t="inlineStr">
        <is>
          <t>Dryden : the critical heritage / edited by James Kinsley and Helen Kinsley.</t>
        </is>
      </c>
      <c r="H1021" t="inlineStr">
        <is>
          <t>No</t>
        </is>
      </c>
      <c r="I1021" t="inlineStr">
        <is>
          <t>1</t>
        </is>
      </c>
      <c r="J1021" t="inlineStr">
        <is>
          <t>No</t>
        </is>
      </c>
      <c r="K1021" t="inlineStr">
        <is>
          <t>No</t>
        </is>
      </c>
      <c r="L1021" t="inlineStr">
        <is>
          <t>0</t>
        </is>
      </c>
      <c r="M1021" t="inlineStr">
        <is>
          <t>Kinsley, James compiler.</t>
        </is>
      </c>
      <c r="N1021" t="inlineStr">
        <is>
          <t>New York : Barnes &amp; Noble, [1971]</t>
        </is>
      </c>
      <c r="O1021" t="inlineStr">
        <is>
          <t>1971</t>
        </is>
      </c>
      <c r="Q1021" t="inlineStr">
        <is>
          <t>eng</t>
        </is>
      </c>
      <c r="R1021" t="inlineStr">
        <is>
          <t>nyu</t>
        </is>
      </c>
      <c r="S1021" t="inlineStr">
        <is>
          <t>The Critical heritage series</t>
        </is>
      </c>
      <c r="T1021" t="inlineStr">
        <is>
          <t xml:space="preserve">PR </t>
        </is>
      </c>
      <c r="U1021" t="n">
        <v>1</v>
      </c>
      <c r="V1021" t="n">
        <v>1</v>
      </c>
      <c r="W1021" t="inlineStr">
        <is>
          <t>1995-02-26</t>
        </is>
      </c>
      <c r="X1021" t="inlineStr">
        <is>
          <t>1995-02-26</t>
        </is>
      </c>
      <c r="Y1021" t="inlineStr">
        <is>
          <t>1990-09-27</t>
        </is>
      </c>
      <c r="Z1021" t="inlineStr">
        <is>
          <t>1990-09-27</t>
        </is>
      </c>
      <c r="AA1021" t="n">
        <v>705</v>
      </c>
      <c r="AB1021" t="n">
        <v>679</v>
      </c>
      <c r="AC1021" t="n">
        <v>787</v>
      </c>
      <c r="AD1021" t="n">
        <v>6</v>
      </c>
      <c r="AE1021" t="n">
        <v>8</v>
      </c>
      <c r="AF1021" t="n">
        <v>38</v>
      </c>
      <c r="AG1021" t="n">
        <v>43</v>
      </c>
      <c r="AH1021" t="n">
        <v>14</v>
      </c>
      <c r="AI1021" t="n">
        <v>16</v>
      </c>
      <c r="AJ1021" t="n">
        <v>9</v>
      </c>
      <c r="AK1021" t="n">
        <v>10</v>
      </c>
      <c r="AL1021" t="n">
        <v>21</v>
      </c>
      <c r="AM1021" t="n">
        <v>22</v>
      </c>
      <c r="AN1021" t="n">
        <v>5</v>
      </c>
      <c r="AO1021" t="n">
        <v>7</v>
      </c>
      <c r="AP1021" t="n">
        <v>0</v>
      </c>
      <c r="AQ1021" t="n">
        <v>0</v>
      </c>
      <c r="AR1021" t="inlineStr">
        <is>
          <t>No</t>
        </is>
      </c>
      <c r="AS1021" t="inlineStr">
        <is>
          <t>Yes</t>
        </is>
      </c>
      <c r="AT1021">
        <f>HYPERLINK("http://catalog.hathitrust.org/Record/004440730","HathiTrust Record")</f>
        <v/>
      </c>
      <c r="AU1021">
        <f>HYPERLINK("https://creighton-primo.hosted.exlibrisgroup.com/primo-explore/search?tab=default_tab&amp;search_scope=EVERYTHING&amp;vid=01CRU&amp;lang=en_US&amp;offset=0&amp;query=any,contains,991000877989702656","Catalog Record")</f>
        <v/>
      </c>
      <c r="AV1021">
        <f>HYPERLINK("http://www.worldcat.org/oclc/152055","WorldCat Record")</f>
        <v/>
      </c>
      <c r="AW1021" t="inlineStr">
        <is>
          <t>3855560313:eng</t>
        </is>
      </c>
      <c r="AX1021" t="inlineStr">
        <is>
          <t>152055</t>
        </is>
      </c>
      <c r="AY1021" t="inlineStr">
        <is>
          <t>991000877989702656</t>
        </is>
      </c>
      <c r="AZ1021" t="inlineStr">
        <is>
          <t>991000877989702656</t>
        </is>
      </c>
      <c r="BA1021" t="inlineStr">
        <is>
          <t>2271889180002656</t>
        </is>
      </c>
      <c r="BB1021" t="inlineStr">
        <is>
          <t>BOOK</t>
        </is>
      </c>
      <c r="BD1021" t="inlineStr">
        <is>
          <t>9780389041269</t>
        </is>
      </c>
      <c r="BE1021" t="inlineStr">
        <is>
          <t>32285000320621</t>
        </is>
      </c>
      <c r="BF1021" t="inlineStr">
        <is>
          <t>893249770</t>
        </is>
      </c>
    </row>
    <row r="1022">
      <c r="A1022" t="inlineStr">
        <is>
          <t>No</t>
        </is>
      </c>
      <c r="B1022" t="inlineStr">
        <is>
          <t>CURAL</t>
        </is>
      </c>
      <c r="C1022" t="inlineStr">
        <is>
          <t>SHELVES</t>
        </is>
      </c>
      <c r="D1022" t="inlineStr">
        <is>
          <t>PR3424 .M53</t>
        </is>
      </c>
      <c r="E1022" t="inlineStr">
        <is>
          <t>0                      PR 3424000M  53</t>
        </is>
      </c>
      <c r="F1022" t="inlineStr">
        <is>
          <t>Dryden's poetry / by Earl Miner.</t>
        </is>
      </c>
      <c r="H1022" t="inlineStr">
        <is>
          <t>No</t>
        </is>
      </c>
      <c r="I1022" t="inlineStr">
        <is>
          <t>1</t>
        </is>
      </c>
      <c r="J1022" t="inlineStr">
        <is>
          <t>No</t>
        </is>
      </c>
      <c r="K1022" t="inlineStr">
        <is>
          <t>No</t>
        </is>
      </c>
      <c r="L1022" t="inlineStr">
        <is>
          <t>0</t>
        </is>
      </c>
      <c r="M1022" t="inlineStr">
        <is>
          <t>Miner, Earl, 1927-2004.</t>
        </is>
      </c>
      <c r="N1022" t="inlineStr">
        <is>
          <t>Bloomington : Indiana University Press, 1967.</t>
        </is>
      </c>
      <c r="O1022" t="inlineStr">
        <is>
          <t>1967</t>
        </is>
      </c>
      <c r="Q1022" t="inlineStr">
        <is>
          <t>eng</t>
        </is>
      </c>
      <c r="R1022" t="inlineStr">
        <is>
          <t>inu</t>
        </is>
      </c>
      <c r="T1022" t="inlineStr">
        <is>
          <t xml:space="preserve">PR </t>
        </is>
      </c>
      <c r="U1022" t="n">
        <v>2</v>
      </c>
      <c r="V1022" t="n">
        <v>2</v>
      </c>
      <c r="W1022" t="inlineStr">
        <is>
          <t>1995-02-08</t>
        </is>
      </c>
      <c r="X1022" t="inlineStr">
        <is>
          <t>1995-02-08</t>
        </is>
      </c>
      <c r="Y1022" t="inlineStr">
        <is>
          <t>1990-09-27</t>
        </is>
      </c>
      <c r="Z1022" t="inlineStr">
        <is>
          <t>1990-09-27</t>
        </is>
      </c>
      <c r="AA1022" t="n">
        <v>1178</v>
      </c>
      <c r="AB1022" t="n">
        <v>1028</v>
      </c>
      <c r="AC1022" t="n">
        <v>1054</v>
      </c>
      <c r="AD1022" t="n">
        <v>10</v>
      </c>
      <c r="AE1022" t="n">
        <v>10</v>
      </c>
      <c r="AF1022" t="n">
        <v>48</v>
      </c>
      <c r="AG1022" t="n">
        <v>49</v>
      </c>
      <c r="AH1022" t="n">
        <v>18</v>
      </c>
      <c r="AI1022" t="n">
        <v>19</v>
      </c>
      <c r="AJ1022" t="n">
        <v>11</v>
      </c>
      <c r="AK1022" t="n">
        <v>11</v>
      </c>
      <c r="AL1022" t="n">
        <v>20</v>
      </c>
      <c r="AM1022" t="n">
        <v>21</v>
      </c>
      <c r="AN1022" t="n">
        <v>9</v>
      </c>
      <c r="AO1022" t="n">
        <v>9</v>
      </c>
      <c r="AP1022" t="n">
        <v>0</v>
      </c>
      <c r="AQ1022" t="n">
        <v>0</v>
      </c>
      <c r="AR1022" t="inlineStr">
        <is>
          <t>No</t>
        </is>
      </c>
      <c r="AS1022" t="inlineStr">
        <is>
          <t>Yes</t>
        </is>
      </c>
      <c r="AT1022">
        <f>HYPERLINK("http://catalog.hathitrust.org/Record/001022136","HathiTrust Record")</f>
        <v/>
      </c>
      <c r="AU1022">
        <f>HYPERLINK("https://creighton-primo.hosted.exlibrisgroup.com/primo-explore/search?tab=default_tab&amp;search_scope=EVERYTHING&amp;vid=01CRU&amp;lang=en_US&amp;offset=0&amp;query=any,contains,991002481029702656","Catalog Record")</f>
        <v/>
      </c>
      <c r="AV1022">
        <f>HYPERLINK("http://www.worldcat.org/oclc/359749","WorldCat Record")</f>
        <v/>
      </c>
      <c r="AW1022" t="inlineStr">
        <is>
          <t>1409916:eng</t>
        </is>
      </c>
      <c r="AX1022" t="inlineStr">
        <is>
          <t>359749</t>
        </is>
      </c>
      <c r="AY1022" t="inlineStr">
        <is>
          <t>991002481029702656</t>
        </is>
      </c>
      <c r="AZ1022" t="inlineStr">
        <is>
          <t>991002481029702656</t>
        </is>
      </c>
      <c r="BA1022" t="inlineStr">
        <is>
          <t>2272504060002656</t>
        </is>
      </c>
      <c r="BB1022" t="inlineStr">
        <is>
          <t>BOOK</t>
        </is>
      </c>
      <c r="BE1022" t="inlineStr">
        <is>
          <t>32285000320639</t>
        </is>
      </c>
      <c r="BF1022" t="inlineStr">
        <is>
          <t>893603648</t>
        </is>
      </c>
    </row>
    <row r="1023">
      <c r="A1023" t="inlineStr">
        <is>
          <t>No</t>
        </is>
      </c>
      <c r="B1023" t="inlineStr">
        <is>
          <t>CURAL</t>
        </is>
      </c>
      <c r="C1023" t="inlineStr">
        <is>
          <t>SHELVES</t>
        </is>
      </c>
      <c r="D1023" t="inlineStr">
        <is>
          <t>PR3424 .S523 1983</t>
        </is>
      </c>
      <c r="E1023" t="inlineStr">
        <is>
          <t>0                      PR 3424000S  523         1983</t>
        </is>
      </c>
      <c r="F1023" t="inlineStr">
        <is>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is>
      </c>
      <c r="G1023" t="inlineStr">
        <is>
          <t>V.2</t>
        </is>
      </c>
      <c r="H1023" t="inlineStr">
        <is>
          <t>Yes</t>
        </is>
      </c>
      <c r="I1023" t="inlineStr">
        <is>
          <t>1</t>
        </is>
      </c>
      <c r="J1023" t="inlineStr">
        <is>
          <t>No</t>
        </is>
      </c>
      <c r="K1023" t="inlineStr">
        <is>
          <t>Yes</t>
        </is>
      </c>
      <c r="L1023" t="inlineStr">
        <is>
          <t>0</t>
        </is>
      </c>
      <c r="M1023" t="inlineStr">
        <is>
          <t>Shaddy, Virginia M.</t>
        </is>
      </c>
      <c r="N1023" t="inlineStr">
        <is>
          <t>[Omaha] : Virginia M. Shaddy, 1983.</t>
        </is>
      </c>
      <c r="O1023" t="inlineStr">
        <is>
          <t>1983</t>
        </is>
      </c>
      <c r="Q1023" t="inlineStr">
        <is>
          <t>fre</t>
        </is>
      </c>
      <c r="R1023" t="inlineStr">
        <is>
          <t>nbu</t>
        </is>
      </c>
      <c r="T1023" t="inlineStr">
        <is>
          <t xml:space="preserve">PR </t>
        </is>
      </c>
      <c r="U1023" t="n">
        <v>2</v>
      </c>
      <c r="V1023" t="n">
        <v>4</v>
      </c>
      <c r="W1023" t="inlineStr">
        <is>
          <t>1994-10-20</t>
        </is>
      </c>
      <c r="X1023" t="inlineStr">
        <is>
          <t>1994-10-20</t>
        </is>
      </c>
      <c r="Y1023" t="inlineStr">
        <is>
          <t>1991-04-23</t>
        </is>
      </c>
      <c r="Z1023" t="inlineStr">
        <is>
          <t>1991-04-23</t>
        </is>
      </c>
      <c r="AA1023" t="n">
        <v>8</v>
      </c>
      <c r="AB1023" t="n">
        <v>8</v>
      </c>
      <c r="AC1023" t="n">
        <v>22</v>
      </c>
      <c r="AD1023" t="n">
        <v>2</v>
      </c>
      <c r="AE1023" t="n">
        <v>3</v>
      </c>
      <c r="AF1023" t="n">
        <v>2</v>
      </c>
      <c r="AG1023" t="n">
        <v>5</v>
      </c>
      <c r="AH1023" t="n">
        <v>0</v>
      </c>
      <c r="AI1023" t="n">
        <v>0</v>
      </c>
      <c r="AJ1023" t="n">
        <v>1</v>
      </c>
      <c r="AK1023" t="n">
        <v>1</v>
      </c>
      <c r="AL1023" t="n">
        <v>1</v>
      </c>
      <c r="AM1023" t="n">
        <v>3</v>
      </c>
      <c r="AN1023" t="n">
        <v>1</v>
      </c>
      <c r="AO1023" t="n">
        <v>2</v>
      </c>
      <c r="AP1023" t="n">
        <v>0</v>
      </c>
      <c r="AQ1023" t="n">
        <v>0</v>
      </c>
      <c r="AR1023" t="inlineStr">
        <is>
          <t>No</t>
        </is>
      </c>
      <c r="AS1023" t="inlineStr">
        <is>
          <t>No</t>
        </is>
      </c>
      <c r="AU1023">
        <f>HYPERLINK("https://creighton-primo.hosted.exlibrisgroup.com/primo-explore/search?tab=default_tab&amp;search_scope=EVERYTHING&amp;vid=01CRU&amp;lang=en_US&amp;offset=0&amp;query=any,contains,991000295989702656","Catalog Record")</f>
        <v/>
      </c>
      <c r="AV1023">
        <f>HYPERLINK("http://www.worldcat.org/oclc/10007219","WorldCat Record")</f>
        <v/>
      </c>
      <c r="AW1023" t="inlineStr">
        <is>
          <t>2864474915:fre</t>
        </is>
      </c>
      <c r="AX1023" t="inlineStr">
        <is>
          <t>10007219</t>
        </is>
      </c>
      <c r="AY1023" t="inlineStr">
        <is>
          <t>991000295989702656</t>
        </is>
      </c>
      <c r="AZ1023" t="inlineStr">
        <is>
          <t>991000295989702656</t>
        </is>
      </c>
      <c r="BA1023" t="inlineStr">
        <is>
          <t>2272457420002656</t>
        </is>
      </c>
      <c r="BB1023" t="inlineStr">
        <is>
          <t>BOOK</t>
        </is>
      </c>
      <c r="BE1023" t="inlineStr">
        <is>
          <t>32285000585660</t>
        </is>
      </c>
      <c r="BF1023" t="inlineStr">
        <is>
          <t>893327195</t>
        </is>
      </c>
    </row>
    <row r="1024">
      <c r="A1024" t="inlineStr">
        <is>
          <t>No</t>
        </is>
      </c>
      <c r="B1024" t="inlineStr">
        <is>
          <t>CURAL</t>
        </is>
      </c>
      <c r="C1024" t="inlineStr">
        <is>
          <t>SHELVES</t>
        </is>
      </c>
      <c r="D1024" t="inlineStr">
        <is>
          <t>PR3424 .S523 1983</t>
        </is>
      </c>
      <c r="E1024" t="inlineStr">
        <is>
          <t>0                      PR 3424000S  523         1983</t>
        </is>
      </c>
      <c r="F1024" t="inlineStr">
        <is>
          <t>L'influence franca̧ise et le rôle de John Dryden dans l'evolution des idées générales et de la rhétorique en occident : contribution à l'étude du movement des grandes idées, vues à travers le développement de la prose, depuis les anciens jusqua'aux temps modernes, avec concentration sur le dix-septième siècle et culminant avec l'oeuvre de John Dryden / par Virginia M. Shaddy.</t>
        </is>
      </c>
      <c r="G1024" t="inlineStr">
        <is>
          <t>V.1</t>
        </is>
      </c>
      <c r="H1024" t="inlineStr">
        <is>
          <t>Yes</t>
        </is>
      </c>
      <c r="I1024" t="inlineStr">
        <is>
          <t>1</t>
        </is>
      </c>
      <c r="J1024" t="inlineStr">
        <is>
          <t>No</t>
        </is>
      </c>
      <c r="K1024" t="inlineStr">
        <is>
          <t>Yes</t>
        </is>
      </c>
      <c r="L1024" t="inlineStr">
        <is>
          <t>0</t>
        </is>
      </c>
      <c r="M1024" t="inlineStr">
        <is>
          <t>Shaddy, Virginia M.</t>
        </is>
      </c>
      <c r="N1024" t="inlineStr">
        <is>
          <t>[Omaha] : Virginia M. Shaddy, 1983.</t>
        </is>
      </c>
      <c r="O1024" t="inlineStr">
        <is>
          <t>1983</t>
        </is>
      </c>
      <c r="Q1024" t="inlineStr">
        <is>
          <t>fre</t>
        </is>
      </c>
      <c r="R1024" t="inlineStr">
        <is>
          <t>nbu</t>
        </is>
      </c>
      <c r="T1024" t="inlineStr">
        <is>
          <t xml:space="preserve">PR </t>
        </is>
      </c>
      <c r="U1024" t="n">
        <v>2</v>
      </c>
      <c r="V1024" t="n">
        <v>4</v>
      </c>
      <c r="W1024" t="inlineStr">
        <is>
          <t>1994-10-20</t>
        </is>
      </c>
      <c r="X1024" t="inlineStr">
        <is>
          <t>1994-10-20</t>
        </is>
      </c>
      <c r="Y1024" t="inlineStr">
        <is>
          <t>1991-04-23</t>
        </is>
      </c>
      <c r="Z1024" t="inlineStr">
        <is>
          <t>1991-04-23</t>
        </is>
      </c>
      <c r="AA1024" t="n">
        <v>8</v>
      </c>
      <c r="AB1024" t="n">
        <v>8</v>
      </c>
      <c r="AC1024" t="n">
        <v>22</v>
      </c>
      <c r="AD1024" t="n">
        <v>2</v>
      </c>
      <c r="AE1024" t="n">
        <v>3</v>
      </c>
      <c r="AF1024" t="n">
        <v>2</v>
      </c>
      <c r="AG1024" t="n">
        <v>5</v>
      </c>
      <c r="AH1024" t="n">
        <v>0</v>
      </c>
      <c r="AI1024" t="n">
        <v>0</v>
      </c>
      <c r="AJ1024" t="n">
        <v>1</v>
      </c>
      <c r="AK1024" t="n">
        <v>1</v>
      </c>
      <c r="AL1024" t="n">
        <v>1</v>
      </c>
      <c r="AM1024" t="n">
        <v>3</v>
      </c>
      <c r="AN1024" t="n">
        <v>1</v>
      </c>
      <c r="AO1024" t="n">
        <v>2</v>
      </c>
      <c r="AP1024" t="n">
        <v>0</v>
      </c>
      <c r="AQ1024" t="n">
        <v>0</v>
      </c>
      <c r="AR1024" t="inlineStr">
        <is>
          <t>No</t>
        </is>
      </c>
      <c r="AS1024" t="inlineStr">
        <is>
          <t>No</t>
        </is>
      </c>
      <c r="AU1024">
        <f>HYPERLINK("https://creighton-primo.hosted.exlibrisgroup.com/primo-explore/search?tab=default_tab&amp;search_scope=EVERYTHING&amp;vid=01CRU&amp;lang=en_US&amp;offset=0&amp;query=any,contains,991000295989702656","Catalog Record")</f>
        <v/>
      </c>
      <c r="AV1024">
        <f>HYPERLINK("http://www.worldcat.org/oclc/10007219","WorldCat Record")</f>
        <v/>
      </c>
      <c r="AW1024" t="inlineStr">
        <is>
          <t>2864474915:fre</t>
        </is>
      </c>
      <c r="AX1024" t="inlineStr">
        <is>
          <t>10007219</t>
        </is>
      </c>
      <c r="AY1024" t="inlineStr">
        <is>
          <t>991000295989702656</t>
        </is>
      </c>
      <c r="AZ1024" t="inlineStr">
        <is>
          <t>991000295989702656</t>
        </is>
      </c>
      <c r="BA1024" t="inlineStr">
        <is>
          <t>2272457420002656</t>
        </is>
      </c>
      <c r="BB1024" t="inlineStr">
        <is>
          <t>BOOK</t>
        </is>
      </c>
      <c r="BE1024" t="inlineStr">
        <is>
          <t>32285000585652</t>
        </is>
      </c>
      <c r="BF1024" t="inlineStr">
        <is>
          <t>893314819</t>
        </is>
      </c>
    </row>
    <row r="1025">
      <c r="A1025" t="inlineStr">
        <is>
          <t>No</t>
        </is>
      </c>
      <c r="B1025" t="inlineStr">
        <is>
          <t>CURAL</t>
        </is>
      </c>
      <c r="C1025" t="inlineStr">
        <is>
          <t>SHELVES</t>
        </is>
      </c>
      <c r="D1025" t="inlineStr">
        <is>
          <t>PR3426 .Z4</t>
        </is>
      </c>
      <c r="E1025" t="inlineStr">
        <is>
          <t>0                      PR 3426000Z  4</t>
        </is>
      </c>
      <c r="F1025" t="inlineStr">
        <is>
          <t>Dryden : a study in heroic characterization / by Selma Assir Zebouni.</t>
        </is>
      </c>
      <c r="H1025" t="inlineStr">
        <is>
          <t>No</t>
        </is>
      </c>
      <c r="I1025" t="inlineStr">
        <is>
          <t>1</t>
        </is>
      </c>
      <c r="J1025" t="inlineStr">
        <is>
          <t>No</t>
        </is>
      </c>
      <c r="K1025" t="inlineStr">
        <is>
          <t>No</t>
        </is>
      </c>
      <c r="L1025" t="inlineStr">
        <is>
          <t>0</t>
        </is>
      </c>
      <c r="M1025" t="inlineStr">
        <is>
          <t>Zebouni, Selma A.</t>
        </is>
      </c>
      <c r="N1025" t="inlineStr">
        <is>
          <t>Baton Rouge : Louisiana State University Press, 1965.</t>
        </is>
      </c>
      <c r="O1025" t="inlineStr">
        <is>
          <t>1965</t>
        </is>
      </c>
      <c r="Q1025" t="inlineStr">
        <is>
          <t>eng</t>
        </is>
      </c>
      <c r="R1025" t="inlineStr">
        <is>
          <t>lau</t>
        </is>
      </c>
      <c r="S1025" t="inlineStr">
        <is>
          <t>Louisiana State University studies. Humanities series ; no. 16</t>
        </is>
      </c>
      <c r="T1025" t="inlineStr">
        <is>
          <t xml:space="preserve">PR </t>
        </is>
      </c>
      <c r="U1025" t="n">
        <v>6</v>
      </c>
      <c r="V1025" t="n">
        <v>6</v>
      </c>
      <c r="W1025" t="inlineStr">
        <is>
          <t>2000-04-27</t>
        </is>
      </c>
      <c r="X1025" t="inlineStr">
        <is>
          <t>2000-04-27</t>
        </is>
      </c>
      <c r="Y1025" t="inlineStr">
        <is>
          <t>1990-09-27</t>
        </is>
      </c>
      <c r="Z1025" t="inlineStr">
        <is>
          <t>1990-09-27</t>
        </is>
      </c>
      <c r="AA1025" t="n">
        <v>675</v>
      </c>
      <c r="AB1025" t="n">
        <v>583</v>
      </c>
      <c r="AC1025" t="n">
        <v>589</v>
      </c>
      <c r="AD1025" t="n">
        <v>6</v>
      </c>
      <c r="AE1025" t="n">
        <v>6</v>
      </c>
      <c r="AF1025" t="n">
        <v>29</v>
      </c>
      <c r="AG1025" t="n">
        <v>29</v>
      </c>
      <c r="AH1025" t="n">
        <v>10</v>
      </c>
      <c r="AI1025" t="n">
        <v>10</v>
      </c>
      <c r="AJ1025" t="n">
        <v>7</v>
      </c>
      <c r="AK1025" t="n">
        <v>7</v>
      </c>
      <c r="AL1025" t="n">
        <v>16</v>
      </c>
      <c r="AM1025" t="n">
        <v>16</v>
      </c>
      <c r="AN1025" t="n">
        <v>5</v>
      </c>
      <c r="AO1025" t="n">
        <v>5</v>
      </c>
      <c r="AP1025" t="n">
        <v>0</v>
      </c>
      <c r="AQ1025" t="n">
        <v>0</v>
      </c>
      <c r="AR1025" t="inlineStr">
        <is>
          <t>No</t>
        </is>
      </c>
      <c r="AS1025" t="inlineStr">
        <is>
          <t>Yes</t>
        </is>
      </c>
      <c r="AT1025">
        <f>HYPERLINK("http://catalog.hathitrust.org/Record/001660587","HathiTrust Record")</f>
        <v/>
      </c>
      <c r="AU1025">
        <f>HYPERLINK("https://creighton-primo.hosted.exlibrisgroup.com/primo-explore/search?tab=default_tab&amp;search_scope=EVERYTHING&amp;vid=01CRU&amp;lang=en_US&amp;offset=0&amp;query=any,contains,991002457679702656","Catalog Record")</f>
        <v/>
      </c>
      <c r="AV1025">
        <f>HYPERLINK("http://www.worldcat.org/oclc/354992","WorldCat Record")</f>
        <v/>
      </c>
      <c r="AW1025" t="inlineStr">
        <is>
          <t>345048961:eng</t>
        </is>
      </c>
      <c r="AX1025" t="inlineStr">
        <is>
          <t>354992</t>
        </is>
      </c>
      <c r="AY1025" t="inlineStr">
        <is>
          <t>991002457679702656</t>
        </is>
      </c>
      <c r="AZ1025" t="inlineStr">
        <is>
          <t>991002457679702656</t>
        </is>
      </c>
      <c r="BA1025" t="inlineStr">
        <is>
          <t>2266300580002656</t>
        </is>
      </c>
      <c r="BB1025" t="inlineStr">
        <is>
          <t>BOOK</t>
        </is>
      </c>
      <c r="BE1025" t="inlineStr">
        <is>
          <t>32285000320654</t>
        </is>
      </c>
      <c r="BF1025" t="inlineStr">
        <is>
          <t>893786165</t>
        </is>
      </c>
    </row>
    <row r="1026">
      <c r="A1026" t="inlineStr">
        <is>
          <t>No</t>
        </is>
      </c>
      <c r="B1026" t="inlineStr">
        <is>
          <t>CURAL</t>
        </is>
      </c>
      <c r="C1026" t="inlineStr">
        <is>
          <t>SHELVES</t>
        </is>
      </c>
      <c r="D1026" t="inlineStr">
        <is>
          <t>PR3427.P6 Z9</t>
        </is>
      </c>
      <c r="E1026" t="inlineStr">
        <is>
          <t>0                      PR 3427000P  6                  Z  9</t>
        </is>
      </c>
      <c r="F1026" t="inlineStr">
        <is>
          <t>Dryden's political poetry; the typology of king and nation / by Steven N. Zwicker.</t>
        </is>
      </c>
      <c r="H1026" t="inlineStr">
        <is>
          <t>No</t>
        </is>
      </c>
      <c r="I1026" t="inlineStr">
        <is>
          <t>1</t>
        </is>
      </c>
      <c r="J1026" t="inlineStr">
        <is>
          <t>No</t>
        </is>
      </c>
      <c r="K1026" t="inlineStr">
        <is>
          <t>No</t>
        </is>
      </c>
      <c r="L1026" t="inlineStr">
        <is>
          <t>0</t>
        </is>
      </c>
      <c r="M1026" t="inlineStr">
        <is>
          <t>Zwicker, Steven N.</t>
        </is>
      </c>
      <c r="N1026" t="inlineStr">
        <is>
          <t>Providence : Brown University Press, c1972.</t>
        </is>
      </c>
      <c r="O1026" t="inlineStr">
        <is>
          <t>1972</t>
        </is>
      </c>
      <c r="Q1026" t="inlineStr">
        <is>
          <t>eng</t>
        </is>
      </c>
      <c r="R1026" t="inlineStr">
        <is>
          <t>riu</t>
        </is>
      </c>
      <c r="T1026" t="inlineStr">
        <is>
          <t xml:space="preserve">PR </t>
        </is>
      </c>
      <c r="U1026" t="n">
        <v>2</v>
      </c>
      <c r="V1026" t="n">
        <v>2</v>
      </c>
      <c r="W1026" t="inlineStr">
        <is>
          <t>1997-10-02</t>
        </is>
      </c>
      <c r="X1026" t="inlineStr">
        <is>
          <t>1997-10-02</t>
        </is>
      </c>
      <c r="Y1026" t="inlineStr">
        <is>
          <t>1991-04-23</t>
        </is>
      </c>
      <c r="Z1026" t="inlineStr">
        <is>
          <t>1991-04-23</t>
        </is>
      </c>
      <c r="AA1026" t="n">
        <v>689</v>
      </c>
      <c r="AB1026" t="n">
        <v>588</v>
      </c>
      <c r="AC1026" t="n">
        <v>596</v>
      </c>
      <c r="AD1026" t="n">
        <v>5</v>
      </c>
      <c r="AE1026" t="n">
        <v>5</v>
      </c>
      <c r="AF1026" t="n">
        <v>27</v>
      </c>
      <c r="AG1026" t="n">
        <v>27</v>
      </c>
      <c r="AH1026" t="n">
        <v>8</v>
      </c>
      <c r="AI1026" t="n">
        <v>8</v>
      </c>
      <c r="AJ1026" t="n">
        <v>7</v>
      </c>
      <c r="AK1026" t="n">
        <v>7</v>
      </c>
      <c r="AL1026" t="n">
        <v>15</v>
      </c>
      <c r="AM1026" t="n">
        <v>15</v>
      </c>
      <c r="AN1026" t="n">
        <v>4</v>
      </c>
      <c r="AO1026" t="n">
        <v>4</v>
      </c>
      <c r="AP1026" t="n">
        <v>0</v>
      </c>
      <c r="AQ1026" t="n">
        <v>0</v>
      </c>
      <c r="AR1026" t="inlineStr">
        <is>
          <t>No</t>
        </is>
      </c>
      <c r="AS1026" t="inlineStr">
        <is>
          <t>Yes</t>
        </is>
      </c>
      <c r="AT1026">
        <f>HYPERLINK("http://catalog.hathitrust.org/Record/001375576","HathiTrust Record")</f>
        <v/>
      </c>
      <c r="AU1026">
        <f>HYPERLINK("https://creighton-primo.hosted.exlibrisgroup.com/primo-explore/search?tab=default_tab&amp;search_scope=EVERYTHING&amp;vid=01CRU&amp;lang=en_US&amp;offset=0&amp;query=any,contains,991002313449702656","Catalog Record")</f>
        <v/>
      </c>
      <c r="AV1026">
        <f>HYPERLINK("http://www.worldcat.org/oclc/319897","WorldCat Record")</f>
        <v/>
      </c>
      <c r="AW1026" t="inlineStr">
        <is>
          <t>890248103:eng</t>
        </is>
      </c>
      <c r="AX1026" t="inlineStr">
        <is>
          <t>319897</t>
        </is>
      </c>
      <c r="AY1026" t="inlineStr">
        <is>
          <t>991002313449702656</t>
        </is>
      </c>
      <c r="AZ1026" t="inlineStr">
        <is>
          <t>991002313449702656</t>
        </is>
      </c>
      <c r="BA1026" t="inlineStr">
        <is>
          <t>2268433030002656</t>
        </is>
      </c>
      <c r="BB1026" t="inlineStr">
        <is>
          <t>BOOK</t>
        </is>
      </c>
      <c r="BD1026" t="inlineStr">
        <is>
          <t>9780870571343</t>
        </is>
      </c>
      <c r="BE1026" t="inlineStr">
        <is>
          <t>32285000585686</t>
        </is>
      </c>
      <c r="BF1026" t="inlineStr">
        <is>
          <t>893809419</t>
        </is>
      </c>
    </row>
    <row r="1027">
      <c r="A1027" t="inlineStr">
        <is>
          <t>No</t>
        </is>
      </c>
      <c r="B1027" t="inlineStr">
        <is>
          <t>CURAL</t>
        </is>
      </c>
      <c r="C1027" t="inlineStr">
        <is>
          <t>SHELVES</t>
        </is>
      </c>
      <c r="D1027" t="inlineStr">
        <is>
          <t>PR3432 .A133 1982</t>
        </is>
      </c>
      <c r="E1027" t="inlineStr">
        <is>
          <t>0                      PR 3432000A  133         1982</t>
        </is>
      </c>
      <c r="F1027" t="inlineStr">
        <is>
          <t>The plays of Sir George Etherege / edited by Michael Cordner.</t>
        </is>
      </c>
      <c r="H1027" t="inlineStr">
        <is>
          <t>No</t>
        </is>
      </c>
      <c r="I1027" t="inlineStr">
        <is>
          <t>1</t>
        </is>
      </c>
      <c r="J1027" t="inlineStr">
        <is>
          <t>No</t>
        </is>
      </c>
      <c r="K1027" t="inlineStr">
        <is>
          <t>No</t>
        </is>
      </c>
      <c r="L1027" t="inlineStr">
        <is>
          <t>0</t>
        </is>
      </c>
      <c r="M1027" t="inlineStr">
        <is>
          <t>Etherege, George, 1636-1691 or 1692.</t>
        </is>
      </c>
      <c r="N1027" t="inlineStr">
        <is>
          <t>Cambridge [Cambridgeshire] ; New York : Cambridge University Press, 1982.</t>
        </is>
      </c>
      <c r="O1027" t="inlineStr">
        <is>
          <t>1982</t>
        </is>
      </c>
      <c r="Q1027" t="inlineStr">
        <is>
          <t>eng</t>
        </is>
      </c>
      <c r="R1027" t="inlineStr">
        <is>
          <t>enk</t>
        </is>
      </c>
      <c r="S1027" t="inlineStr">
        <is>
          <t>Plays by Renaissance and Restoration dramatists</t>
        </is>
      </c>
      <c r="T1027" t="inlineStr">
        <is>
          <t xml:space="preserve">PR </t>
        </is>
      </c>
      <c r="U1027" t="n">
        <v>1</v>
      </c>
      <c r="V1027" t="n">
        <v>1</v>
      </c>
      <c r="W1027" t="inlineStr">
        <is>
          <t>1992-03-26</t>
        </is>
      </c>
      <c r="X1027" t="inlineStr">
        <is>
          <t>1992-03-26</t>
        </is>
      </c>
      <c r="Y1027" t="inlineStr">
        <is>
          <t>1991-04-23</t>
        </is>
      </c>
      <c r="Z1027" t="inlineStr">
        <is>
          <t>1991-04-23</t>
        </is>
      </c>
      <c r="AA1027" t="n">
        <v>501</v>
      </c>
      <c r="AB1027" t="n">
        <v>373</v>
      </c>
      <c r="AC1027" t="n">
        <v>385</v>
      </c>
      <c r="AD1027" t="n">
        <v>3</v>
      </c>
      <c r="AE1027" t="n">
        <v>3</v>
      </c>
      <c r="AF1027" t="n">
        <v>20</v>
      </c>
      <c r="AG1027" t="n">
        <v>21</v>
      </c>
      <c r="AH1027" t="n">
        <v>9</v>
      </c>
      <c r="AI1027" t="n">
        <v>10</v>
      </c>
      <c r="AJ1027" t="n">
        <v>4</v>
      </c>
      <c r="AK1027" t="n">
        <v>4</v>
      </c>
      <c r="AL1027" t="n">
        <v>11</v>
      </c>
      <c r="AM1027" t="n">
        <v>12</v>
      </c>
      <c r="AN1027" t="n">
        <v>2</v>
      </c>
      <c r="AO1027" t="n">
        <v>2</v>
      </c>
      <c r="AP1027" t="n">
        <v>0</v>
      </c>
      <c r="AQ1027" t="n">
        <v>0</v>
      </c>
      <c r="AR1027" t="inlineStr">
        <is>
          <t>No</t>
        </is>
      </c>
      <c r="AS1027" t="inlineStr">
        <is>
          <t>No</t>
        </is>
      </c>
      <c r="AU1027">
        <f>HYPERLINK("https://creighton-primo.hosted.exlibrisgroup.com/primo-explore/search?tab=default_tab&amp;search_scope=EVERYTHING&amp;vid=01CRU&amp;lang=en_US&amp;offset=0&amp;query=any,contains,991005212729702656","Catalog Record")</f>
        <v/>
      </c>
      <c r="AV1027">
        <f>HYPERLINK("http://www.worldcat.org/oclc/8170706","WorldCat Record")</f>
        <v/>
      </c>
      <c r="AW1027" t="inlineStr">
        <is>
          <t>507276213:eng</t>
        </is>
      </c>
      <c r="AX1027" t="inlineStr">
        <is>
          <t>8170706</t>
        </is>
      </c>
      <c r="AY1027" t="inlineStr">
        <is>
          <t>991005212729702656</t>
        </is>
      </c>
      <c r="AZ1027" t="inlineStr">
        <is>
          <t>991005212729702656</t>
        </is>
      </c>
      <c r="BA1027" t="inlineStr">
        <is>
          <t>2256659430002656</t>
        </is>
      </c>
      <c r="BB1027" t="inlineStr">
        <is>
          <t>BOOK</t>
        </is>
      </c>
      <c r="BD1027" t="inlineStr">
        <is>
          <t>9780521246545</t>
        </is>
      </c>
      <c r="BE1027" t="inlineStr">
        <is>
          <t>32285000585728</t>
        </is>
      </c>
      <c r="BF1027" t="inlineStr">
        <is>
          <t>893808012</t>
        </is>
      </c>
    </row>
    <row r="1028">
      <c r="A1028" t="inlineStr">
        <is>
          <t>No</t>
        </is>
      </c>
      <c r="B1028" t="inlineStr">
        <is>
          <t>CURAL</t>
        </is>
      </c>
      <c r="C1028" t="inlineStr">
        <is>
          <t>SHELVES</t>
        </is>
      </c>
      <c r="D1028" t="inlineStr">
        <is>
          <t>PR3438 .R6</t>
        </is>
      </c>
      <c r="E1028" t="inlineStr">
        <is>
          <t>0                      PR 3438000R  6</t>
        </is>
      </c>
      <c r="F1028" t="inlineStr">
        <is>
          <t>George Farquhar.</t>
        </is>
      </c>
      <c r="H1028" t="inlineStr">
        <is>
          <t>No</t>
        </is>
      </c>
      <c r="I1028" t="inlineStr">
        <is>
          <t>1</t>
        </is>
      </c>
      <c r="J1028" t="inlineStr">
        <is>
          <t>No</t>
        </is>
      </c>
      <c r="K1028" t="inlineStr">
        <is>
          <t>No</t>
        </is>
      </c>
      <c r="L1028" t="inlineStr">
        <is>
          <t>0</t>
        </is>
      </c>
      <c r="M1028" t="inlineStr">
        <is>
          <t>Rothstein, Eric.</t>
        </is>
      </c>
      <c r="N1028" t="inlineStr">
        <is>
          <t>New York : Twayne Publishers, [1967]</t>
        </is>
      </c>
      <c r="O1028" t="inlineStr">
        <is>
          <t>1967</t>
        </is>
      </c>
      <c r="Q1028" t="inlineStr">
        <is>
          <t>eng</t>
        </is>
      </c>
      <c r="R1028" t="inlineStr">
        <is>
          <t>nyu</t>
        </is>
      </c>
      <c r="S1028" t="inlineStr">
        <is>
          <t>Twayne's English authors series, 58</t>
        </is>
      </c>
      <c r="T1028" t="inlineStr">
        <is>
          <t xml:space="preserve">PR </t>
        </is>
      </c>
      <c r="U1028" t="n">
        <v>3</v>
      </c>
      <c r="V1028" t="n">
        <v>3</v>
      </c>
      <c r="W1028" t="inlineStr">
        <is>
          <t>1995-03-21</t>
        </is>
      </c>
      <c r="X1028" t="inlineStr">
        <is>
          <t>1995-03-21</t>
        </is>
      </c>
      <c r="Y1028" t="inlineStr">
        <is>
          <t>1992-04-27</t>
        </is>
      </c>
      <c r="Z1028" t="inlineStr">
        <is>
          <t>1992-04-27</t>
        </is>
      </c>
      <c r="AA1028" t="n">
        <v>941</v>
      </c>
      <c r="AB1028" t="n">
        <v>828</v>
      </c>
      <c r="AC1028" t="n">
        <v>836</v>
      </c>
      <c r="AD1028" t="n">
        <v>9</v>
      </c>
      <c r="AE1028" t="n">
        <v>9</v>
      </c>
      <c r="AF1028" t="n">
        <v>43</v>
      </c>
      <c r="AG1028" t="n">
        <v>43</v>
      </c>
      <c r="AH1028" t="n">
        <v>14</v>
      </c>
      <c r="AI1028" t="n">
        <v>14</v>
      </c>
      <c r="AJ1028" t="n">
        <v>9</v>
      </c>
      <c r="AK1028" t="n">
        <v>9</v>
      </c>
      <c r="AL1028" t="n">
        <v>22</v>
      </c>
      <c r="AM1028" t="n">
        <v>22</v>
      </c>
      <c r="AN1028" t="n">
        <v>8</v>
      </c>
      <c r="AO1028" t="n">
        <v>8</v>
      </c>
      <c r="AP1028" t="n">
        <v>0</v>
      </c>
      <c r="AQ1028" t="n">
        <v>0</v>
      </c>
      <c r="AR1028" t="inlineStr">
        <is>
          <t>No</t>
        </is>
      </c>
      <c r="AS1028" t="inlineStr">
        <is>
          <t>Yes</t>
        </is>
      </c>
      <c r="AT1028">
        <f>HYPERLINK("http://catalog.hathitrust.org/Record/001372785","HathiTrust Record")</f>
        <v/>
      </c>
      <c r="AU1028">
        <f>HYPERLINK("https://creighton-primo.hosted.exlibrisgroup.com/primo-explore/search?tab=default_tab&amp;search_scope=EVERYTHING&amp;vid=01CRU&amp;lang=en_US&amp;offset=0&amp;query=any,contains,991002454149702656","Catalog Record")</f>
        <v/>
      </c>
      <c r="AV1028">
        <f>HYPERLINK("http://www.worldcat.org/oclc/353808","WorldCat Record")</f>
        <v/>
      </c>
      <c r="AW1028" t="inlineStr">
        <is>
          <t>2564892455:eng</t>
        </is>
      </c>
      <c r="AX1028" t="inlineStr">
        <is>
          <t>353808</t>
        </is>
      </c>
      <c r="AY1028" t="inlineStr">
        <is>
          <t>991002454149702656</t>
        </is>
      </c>
      <c r="AZ1028" t="inlineStr">
        <is>
          <t>991002454149702656</t>
        </is>
      </c>
      <c r="BA1028" t="inlineStr">
        <is>
          <t>2267819240002656</t>
        </is>
      </c>
      <c r="BB1028" t="inlineStr">
        <is>
          <t>BOOK</t>
        </is>
      </c>
      <c r="BE1028" t="inlineStr">
        <is>
          <t>32285001087856</t>
        </is>
      </c>
      <c r="BF1028" t="inlineStr">
        <is>
          <t>893427617</t>
        </is>
      </c>
    </row>
    <row r="1029">
      <c r="A1029" t="inlineStr">
        <is>
          <t>No</t>
        </is>
      </c>
      <c r="B1029" t="inlineStr">
        <is>
          <t>CURAL</t>
        </is>
      </c>
      <c r="C1029" t="inlineStr">
        <is>
          <t>SHELVES</t>
        </is>
      </c>
      <c r="D1029" t="inlineStr">
        <is>
          <t>PR3439 .J3 1972</t>
        </is>
      </c>
      <c r="E1029" t="inlineStr">
        <is>
          <t>0                      PR 3439000J  3           1972</t>
        </is>
      </c>
      <c r="F1029" t="inlineStr">
        <is>
          <t>The development of George Farquhar as a comic dramatist.</t>
        </is>
      </c>
      <c r="H1029" t="inlineStr">
        <is>
          <t>No</t>
        </is>
      </c>
      <c r="I1029" t="inlineStr">
        <is>
          <t>1</t>
        </is>
      </c>
      <c r="J1029" t="inlineStr">
        <is>
          <t>No</t>
        </is>
      </c>
      <c r="K1029" t="inlineStr">
        <is>
          <t>No</t>
        </is>
      </c>
      <c r="L1029" t="inlineStr">
        <is>
          <t>0</t>
        </is>
      </c>
      <c r="M1029" t="inlineStr">
        <is>
          <t>James, Eugene Nelson, 1919-2013.</t>
        </is>
      </c>
      <c r="N1029" t="inlineStr">
        <is>
          <t>The Hague : Mouton, 1972.</t>
        </is>
      </c>
      <c r="O1029" t="inlineStr">
        <is>
          <t>1972</t>
        </is>
      </c>
      <c r="Q1029" t="inlineStr">
        <is>
          <t>eng</t>
        </is>
      </c>
      <c r="R1029" t="inlineStr">
        <is>
          <t xml:space="preserve">ne </t>
        </is>
      </c>
      <c r="S1029" t="inlineStr">
        <is>
          <t>Studies in English literature ; 56</t>
        </is>
      </c>
      <c r="T1029" t="inlineStr">
        <is>
          <t xml:space="preserve">PR </t>
        </is>
      </c>
      <c r="U1029" t="n">
        <v>1</v>
      </c>
      <c r="V1029" t="n">
        <v>1</v>
      </c>
      <c r="W1029" t="inlineStr">
        <is>
          <t>1992-11-04</t>
        </is>
      </c>
      <c r="X1029" t="inlineStr">
        <is>
          <t>1992-11-04</t>
        </is>
      </c>
      <c r="Y1029" t="inlineStr">
        <is>
          <t>1992-04-27</t>
        </is>
      </c>
      <c r="Z1029" t="inlineStr">
        <is>
          <t>1992-04-27</t>
        </is>
      </c>
      <c r="AA1029" t="n">
        <v>327</v>
      </c>
      <c r="AB1029" t="n">
        <v>245</v>
      </c>
      <c r="AC1029" t="n">
        <v>248</v>
      </c>
      <c r="AD1029" t="n">
        <v>3</v>
      </c>
      <c r="AE1029" t="n">
        <v>3</v>
      </c>
      <c r="AF1029" t="n">
        <v>14</v>
      </c>
      <c r="AG1029" t="n">
        <v>14</v>
      </c>
      <c r="AH1029" t="n">
        <v>2</v>
      </c>
      <c r="AI1029" t="n">
        <v>2</v>
      </c>
      <c r="AJ1029" t="n">
        <v>4</v>
      </c>
      <c r="AK1029" t="n">
        <v>4</v>
      </c>
      <c r="AL1029" t="n">
        <v>10</v>
      </c>
      <c r="AM1029" t="n">
        <v>10</v>
      </c>
      <c r="AN1029" t="n">
        <v>2</v>
      </c>
      <c r="AO1029" t="n">
        <v>2</v>
      </c>
      <c r="AP1029" t="n">
        <v>0</v>
      </c>
      <c r="AQ1029" t="n">
        <v>0</v>
      </c>
      <c r="AR1029" t="inlineStr">
        <is>
          <t>No</t>
        </is>
      </c>
      <c r="AS1029" t="inlineStr">
        <is>
          <t>Yes</t>
        </is>
      </c>
      <c r="AT1029">
        <f>HYPERLINK("http://catalog.hathitrust.org/Record/001372784","HathiTrust Record")</f>
        <v/>
      </c>
      <c r="AU1029">
        <f>HYPERLINK("https://creighton-primo.hosted.exlibrisgroup.com/primo-explore/search?tab=default_tab&amp;search_scope=EVERYTHING&amp;vid=01CRU&amp;lang=en_US&amp;offset=0&amp;query=any,contains,991002953709702656","Catalog Record")</f>
        <v/>
      </c>
      <c r="AV1029">
        <f>HYPERLINK("http://www.worldcat.org/oclc/540902","WorldCat Record")</f>
        <v/>
      </c>
      <c r="AW1029" t="inlineStr">
        <is>
          <t>1568458:eng</t>
        </is>
      </c>
      <c r="AX1029" t="inlineStr">
        <is>
          <t>540902</t>
        </is>
      </c>
      <c r="AY1029" t="inlineStr">
        <is>
          <t>991002953709702656</t>
        </is>
      </c>
      <c r="AZ1029" t="inlineStr">
        <is>
          <t>991002953709702656</t>
        </is>
      </c>
      <c r="BA1029" t="inlineStr">
        <is>
          <t>2270391560002656</t>
        </is>
      </c>
      <c r="BB1029" t="inlineStr">
        <is>
          <t>BOOK</t>
        </is>
      </c>
      <c r="BE1029" t="inlineStr">
        <is>
          <t>32285001087849</t>
        </is>
      </c>
      <c r="BF1029" t="inlineStr">
        <is>
          <t>893335939</t>
        </is>
      </c>
    </row>
    <row r="1030">
      <c r="A1030" t="inlineStr">
        <is>
          <t>No</t>
        </is>
      </c>
      <c r="B1030" t="inlineStr">
        <is>
          <t>CURAL</t>
        </is>
      </c>
      <c r="C1030" t="inlineStr">
        <is>
          <t>SHELVES</t>
        </is>
      </c>
      <c r="D1030" t="inlineStr">
        <is>
          <t>PR3454.J67 B3</t>
        </is>
      </c>
      <c r="E1030" t="inlineStr">
        <is>
          <t>0                      PR 3454000J  67                 B  3</t>
        </is>
      </c>
      <c r="F1030" t="inlineStr">
        <is>
          <t>The moral basis of Fielding's art : a study of Joseph Andrews.</t>
        </is>
      </c>
      <c r="H1030" t="inlineStr">
        <is>
          <t>No</t>
        </is>
      </c>
      <c r="I1030" t="inlineStr">
        <is>
          <t>1</t>
        </is>
      </c>
      <c r="J1030" t="inlineStr">
        <is>
          <t>No</t>
        </is>
      </c>
      <c r="K1030" t="inlineStr">
        <is>
          <t>No</t>
        </is>
      </c>
      <c r="L1030" t="inlineStr">
        <is>
          <t>0</t>
        </is>
      </c>
      <c r="M1030" t="inlineStr">
        <is>
          <t>Battestin, Martin C.</t>
        </is>
      </c>
      <c r="N1030" t="inlineStr">
        <is>
          <t>Middletown, Conn. : Wesleyan University Press, [1959]</t>
        </is>
      </c>
      <c r="O1030" t="inlineStr">
        <is>
          <t>1959</t>
        </is>
      </c>
      <c r="P1030" t="inlineStr">
        <is>
          <t>[1st ed.]</t>
        </is>
      </c>
      <c r="Q1030" t="inlineStr">
        <is>
          <t>eng</t>
        </is>
      </c>
      <c r="R1030" t="inlineStr">
        <is>
          <t>ctu</t>
        </is>
      </c>
      <c r="T1030" t="inlineStr">
        <is>
          <t xml:space="preserve">PR </t>
        </is>
      </c>
      <c r="U1030" t="n">
        <v>7</v>
      </c>
      <c r="V1030" t="n">
        <v>7</v>
      </c>
      <c r="W1030" t="inlineStr">
        <is>
          <t>2008-03-20</t>
        </is>
      </c>
      <c r="X1030" t="inlineStr">
        <is>
          <t>2008-03-20</t>
        </is>
      </c>
      <c r="Y1030" t="inlineStr">
        <is>
          <t>1995-05-04</t>
        </is>
      </c>
      <c r="Z1030" t="inlineStr">
        <is>
          <t>1995-05-04</t>
        </is>
      </c>
      <c r="AA1030" t="n">
        <v>980</v>
      </c>
      <c r="AB1030" t="n">
        <v>835</v>
      </c>
      <c r="AC1030" t="n">
        <v>908</v>
      </c>
      <c r="AD1030" t="n">
        <v>5</v>
      </c>
      <c r="AE1030" t="n">
        <v>5</v>
      </c>
      <c r="AF1030" t="n">
        <v>38</v>
      </c>
      <c r="AG1030" t="n">
        <v>40</v>
      </c>
      <c r="AH1030" t="n">
        <v>16</v>
      </c>
      <c r="AI1030" t="n">
        <v>17</v>
      </c>
      <c r="AJ1030" t="n">
        <v>7</v>
      </c>
      <c r="AK1030" t="n">
        <v>8</v>
      </c>
      <c r="AL1030" t="n">
        <v>21</v>
      </c>
      <c r="AM1030" t="n">
        <v>23</v>
      </c>
      <c r="AN1030" t="n">
        <v>4</v>
      </c>
      <c r="AO1030" t="n">
        <v>4</v>
      </c>
      <c r="AP1030" t="n">
        <v>0</v>
      </c>
      <c r="AQ1030" t="n">
        <v>0</v>
      </c>
      <c r="AR1030" t="inlineStr">
        <is>
          <t>No</t>
        </is>
      </c>
      <c r="AS1030" t="inlineStr">
        <is>
          <t>No</t>
        </is>
      </c>
      <c r="AU1030">
        <f>HYPERLINK("https://creighton-primo.hosted.exlibrisgroup.com/primo-explore/search?tab=default_tab&amp;search_scope=EVERYTHING&amp;vid=01CRU&amp;lang=en_US&amp;offset=0&amp;query=any,contains,991002457759702656","Catalog Record")</f>
        <v/>
      </c>
      <c r="AV1030">
        <f>HYPERLINK("http://www.worldcat.org/oclc/355010","WorldCat Record")</f>
        <v/>
      </c>
      <c r="AW1030" t="inlineStr">
        <is>
          <t>484313:eng</t>
        </is>
      </c>
      <c r="AX1030" t="inlineStr">
        <is>
          <t>355010</t>
        </is>
      </c>
      <c r="AY1030" t="inlineStr">
        <is>
          <t>991002457759702656</t>
        </is>
      </c>
      <c r="AZ1030" t="inlineStr">
        <is>
          <t>991002457759702656</t>
        </is>
      </c>
      <c r="BA1030" t="inlineStr">
        <is>
          <t>2264554520002656</t>
        </is>
      </c>
      <c r="BB1030" t="inlineStr">
        <is>
          <t>BOOK</t>
        </is>
      </c>
      <c r="BE1030" t="inlineStr">
        <is>
          <t>32285002031945</t>
        </is>
      </c>
      <c r="BF1030" t="inlineStr">
        <is>
          <t>893809506</t>
        </is>
      </c>
    </row>
    <row r="1031">
      <c r="A1031" t="inlineStr">
        <is>
          <t>No</t>
        </is>
      </c>
      <c r="B1031" t="inlineStr">
        <is>
          <t>CURAL</t>
        </is>
      </c>
      <c r="C1031" t="inlineStr">
        <is>
          <t>SHELVES</t>
        </is>
      </c>
      <c r="D1031" t="inlineStr">
        <is>
          <t>PR3454.J67 B3 1967</t>
        </is>
      </c>
      <c r="E1031" t="inlineStr">
        <is>
          <t>0                      PR 3454000J  67                 B  3           1967</t>
        </is>
      </c>
      <c r="F1031" t="inlineStr">
        <is>
          <t>Joseph Andrews / edited by Martin C. Battestin.</t>
        </is>
      </c>
      <c r="H1031" t="inlineStr">
        <is>
          <t>No</t>
        </is>
      </c>
      <c r="I1031" t="inlineStr">
        <is>
          <t>1</t>
        </is>
      </c>
      <c r="J1031" t="inlineStr">
        <is>
          <t>No</t>
        </is>
      </c>
      <c r="K1031" t="inlineStr">
        <is>
          <t>Yes</t>
        </is>
      </c>
      <c r="L1031" t="inlineStr">
        <is>
          <t>0</t>
        </is>
      </c>
      <c r="M1031" t="inlineStr">
        <is>
          <t>Fielding, Henry, 1707-1754.</t>
        </is>
      </c>
      <c r="N1031" t="inlineStr">
        <is>
          <t>Middletown, Conn. : Wesleyan University Press, 1967.</t>
        </is>
      </c>
      <c r="O1031" t="inlineStr">
        <is>
          <t>1967</t>
        </is>
      </c>
      <c r="P1031" t="inlineStr">
        <is>
          <t>[1st American ed.]</t>
        </is>
      </c>
      <c r="Q1031" t="inlineStr">
        <is>
          <t>eng</t>
        </is>
      </c>
      <c r="R1031" t="inlineStr">
        <is>
          <t>ctu</t>
        </is>
      </c>
      <c r="T1031" t="inlineStr">
        <is>
          <t xml:space="preserve">PR </t>
        </is>
      </c>
      <c r="U1031" t="n">
        <v>11</v>
      </c>
      <c r="V1031" t="n">
        <v>11</v>
      </c>
      <c r="W1031" t="inlineStr">
        <is>
          <t>2008-01-29</t>
        </is>
      </c>
      <c r="X1031" t="inlineStr">
        <is>
          <t>2008-01-29</t>
        </is>
      </c>
      <c r="Y1031" t="inlineStr">
        <is>
          <t>1994-04-21</t>
        </is>
      </c>
      <c r="Z1031" t="inlineStr">
        <is>
          <t>1994-04-21</t>
        </is>
      </c>
      <c r="AA1031" t="n">
        <v>594</v>
      </c>
      <c r="AB1031" t="n">
        <v>560</v>
      </c>
      <c r="AC1031" t="n">
        <v>1702</v>
      </c>
      <c r="AD1031" t="n">
        <v>5</v>
      </c>
      <c r="AE1031" t="n">
        <v>16</v>
      </c>
      <c r="AF1031" t="n">
        <v>37</v>
      </c>
      <c r="AG1031" t="n">
        <v>61</v>
      </c>
      <c r="AH1031" t="n">
        <v>17</v>
      </c>
      <c r="AI1031" t="n">
        <v>28</v>
      </c>
      <c r="AJ1031" t="n">
        <v>6</v>
      </c>
      <c r="AK1031" t="n">
        <v>10</v>
      </c>
      <c r="AL1031" t="n">
        <v>19</v>
      </c>
      <c r="AM1031" t="n">
        <v>27</v>
      </c>
      <c r="AN1031" t="n">
        <v>4</v>
      </c>
      <c r="AO1031" t="n">
        <v>10</v>
      </c>
      <c r="AP1031" t="n">
        <v>0</v>
      </c>
      <c r="AQ1031" t="n">
        <v>0</v>
      </c>
      <c r="AR1031" t="inlineStr">
        <is>
          <t>No</t>
        </is>
      </c>
      <c r="AS1031" t="inlineStr">
        <is>
          <t>No</t>
        </is>
      </c>
      <c r="AU1031">
        <f>HYPERLINK("https://creighton-primo.hosted.exlibrisgroup.com/primo-explore/search?tab=default_tab&amp;search_scope=EVERYTHING&amp;vid=01CRU&amp;lang=en_US&amp;offset=0&amp;query=any,contains,991003301459702656","Catalog Record")</f>
        <v/>
      </c>
      <c r="AV1031">
        <f>HYPERLINK("http://www.worldcat.org/oclc/824582","WorldCat Record")</f>
        <v/>
      </c>
      <c r="AW1031" t="inlineStr">
        <is>
          <t>2843163977:eng</t>
        </is>
      </c>
      <c r="AX1031" t="inlineStr">
        <is>
          <t>824582</t>
        </is>
      </c>
      <c r="AY1031" t="inlineStr">
        <is>
          <t>991003301459702656</t>
        </is>
      </c>
      <c r="AZ1031" t="inlineStr">
        <is>
          <t>991003301459702656</t>
        </is>
      </c>
      <c r="BA1031" t="inlineStr">
        <is>
          <t>2267521640002656</t>
        </is>
      </c>
      <c r="BB1031" t="inlineStr">
        <is>
          <t>BOOK</t>
        </is>
      </c>
      <c r="BE1031" t="inlineStr">
        <is>
          <t>32285001890606</t>
        </is>
      </c>
      <c r="BF1031" t="inlineStr">
        <is>
          <t>893787179</t>
        </is>
      </c>
    </row>
    <row r="1032">
      <c r="A1032" t="inlineStr">
        <is>
          <t>No</t>
        </is>
      </c>
      <c r="B1032" t="inlineStr">
        <is>
          <t>CURAL</t>
        </is>
      </c>
      <c r="C1032" t="inlineStr">
        <is>
          <t>SHELVES</t>
        </is>
      </c>
      <c r="D1032" t="inlineStr">
        <is>
          <t>PR3454.J67 G6</t>
        </is>
      </c>
      <c r="E1032" t="inlineStr">
        <is>
          <t>0                      PR 3454000J  67                 G  6</t>
        </is>
      </c>
      <c r="F1032" t="inlineStr">
        <is>
          <t>The art of Joseph Andrews.</t>
        </is>
      </c>
      <c r="H1032" t="inlineStr">
        <is>
          <t>No</t>
        </is>
      </c>
      <c r="I1032" t="inlineStr">
        <is>
          <t>1</t>
        </is>
      </c>
      <c r="J1032" t="inlineStr">
        <is>
          <t>No</t>
        </is>
      </c>
      <c r="K1032" t="inlineStr">
        <is>
          <t>No</t>
        </is>
      </c>
      <c r="L1032" t="inlineStr">
        <is>
          <t>0</t>
        </is>
      </c>
      <c r="M1032" t="inlineStr">
        <is>
          <t>Goldberg, Homer.</t>
        </is>
      </c>
      <c r="N1032" t="inlineStr">
        <is>
          <t>Chicago : University of Chicago Press, [1969]</t>
        </is>
      </c>
      <c r="O1032" t="inlineStr">
        <is>
          <t>1969</t>
        </is>
      </c>
      <c r="Q1032" t="inlineStr">
        <is>
          <t>eng</t>
        </is>
      </c>
      <c r="R1032" t="inlineStr">
        <is>
          <t>ilu</t>
        </is>
      </c>
      <c r="T1032" t="inlineStr">
        <is>
          <t xml:space="preserve">PR </t>
        </is>
      </c>
      <c r="U1032" t="n">
        <v>8</v>
      </c>
      <c r="V1032" t="n">
        <v>8</v>
      </c>
      <c r="W1032" t="inlineStr">
        <is>
          <t>2002-11-04</t>
        </is>
      </c>
      <c r="X1032" t="inlineStr">
        <is>
          <t>2002-11-04</t>
        </is>
      </c>
      <c r="Y1032" t="inlineStr">
        <is>
          <t>1992-05-21</t>
        </is>
      </c>
      <c r="Z1032" t="inlineStr">
        <is>
          <t>1992-05-21</t>
        </is>
      </c>
      <c r="AA1032" t="n">
        <v>810</v>
      </c>
      <c r="AB1032" t="n">
        <v>657</v>
      </c>
      <c r="AC1032" t="n">
        <v>662</v>
      </c>
      <c r="AD1032" t="n">
        <v>6</v>
      </c>
      <c r="AE1032" t="n">
        <v>6</v>
      </c>
      <c r="AF1032" t="n">
        <v>30</v>
      </c>
      <c r="AG1032" t="n">
        <v>30</v>
      </c>
      <c r="AH1032" t="n">
        <v>12</v>
      </c>
      <c r="AI1032" t="n">
        <v>12</v>
      </c>
      <c r="AJ1032" t="n">
        <v>6</v>
      </c>
      <c r="AK1032" t="n">
        <v>6</v>
      </c>
      <c r="AL1032" t="n">
        <v>17</v>
      </c>
      <c r="AM1032" t="n">
        <v>17</v>
      </c>
      <c r="AN1032" t="n">
        <v>5</v>
      </c>
      <c r="AO1032" t="n">
        <v>5</v>
      </c>
      <c r="AP1032" t="n">
        <v>0</v>
      </c>
      <c r="AQ1032" t="n">
        <v>0</v>
      </c>
      <c r="AR1032" t="inlineStr">
        <is>
          <t>No</t>
        </is>
      </c>
      <c r="AS1032" t="inlineStr">
        <is>
          <t>No</t>
        </is>
      </c>
      <c r="AU1032">
        <f>HYPERLINK("https://creighton-primo.hosted.exlibrisgroup.com/primo-explore/search?tab=default_tab&amp;search_scope=EVERYTHING&amp;vid=01CRU&amp;lang=en_US&amp;offset=0&amp;query=any,contains,991000053089702656","Catalog Record")</f>
        <v/>
      </c>
      <c r="AV1032">
        <f>HYPERLINK("http://www.worldcat.org/oclc/22990","WorldCat Record")</f>
        <v/>
      </c>
      <c r="AW1032" t="inlineStr">
        <is>
          <t>418428:eng</t>
        </is>
      </c>
      <c r="AX1032" t="inlineStr">
        <is>
          <t>22990</t>
        </is>
      </c>
      <c r="AY1032" t="inlineStr">
        <is>
          <t>991000053089702656</t>
        </is>
      </c>
      <c r="AZ1032" t="inlineStr">
        <is>
          <t>991000053089702656</t>
        </is>
      </c>
      <c r="BA1032" t="inlineStr">
        <is>
          <t>2268292750002656</t>
        </is>
      </c>
      <c r="BB1032" t="inlineStr">
        <is>
          <t>BOOK</t>
        </is>
      </c>
      <c r="BE1032" t="inlineStr">
        <is>
          <t>32285001112753</t>
        </is>
      </c>
      <c r="BF1032" t="inlineStr">
        <is>
          <t>893339219</t>
        </is>
      </c>
    </row>
    <row r="1033">
      <c r="A1033" t="inlineStr">
        <is>
          <t>No</t>
        </is>
      </c>
      <c r="B1033" t="inlineStr">
        <is>
          <t>CURAL</t>
        </is>
      </c>
      <c r="C1033" t="inlineStr">
        <is>
          <t>SHELVES</t>
        </is>
      </c>
      <c r="D1033" t="inlineStr">
        <is>
          <t>PR3456 .B38 1989</t>
        </is>
      </c>
      <c r="E1033" t="inlineStr">
        <is>
          <t>0                      PR 3456000B  38          1989</t>
        </is>
      </c>
      <c r="F1033" t="inlineStr">
        <is>
          <t>Henry Fielding : a life / Martin C. Battestin with Ruthe R. Battestin.</t>
        </is>
      </c>
      <c r="H1033" t="inlineStr">
        <is>
          <t>No</t>
        </is>
      </c>
      <c r="I1033" t="inlineStr">
        <is>
          <t>1</t>
        </is>
      </c>
      <c r="J1033" t="inlineStr">
        <is>
          <t>No</t>
        </is>
      </c>
      <c r="K1033" t="inlineStr">
        <is>
          <t>No</t>
        </is>
      </c>
      <c r="L1033" t="inlineStr">
        <is>
          <t>0</t>
        </is>
      </c>
      <c r="M1033" t="inlineStr">
        <is>
          <t>Battestin, Martin C.</t>
        </is>
      </c>
      <c r="N1033" t="inlineStr">
        <is>
          <t>London ; New York : Routledge, c1989.</t>
        </is>
      </c>
      <c r="O1033" t="inlineStr">
        <is>
          <t>1989</t>
        </is>
      </c>
      <c r="Q1033" t="inlineStr">
        <is>
          <t>eng</t>
        </is>
      </c>
      <c r="R1033" t="inlineStr">
        <is>
          <t>enk</t>
        </is>
      </c>
      <c r="T1033" t="inlineStr">
        <is>
          <t xml:space="preserve">PR </t>
        </is>
      </c>
      <c r="U1033" t="n">
        <v>1</v>
      </c>
      <c r="V1033" t="n">
        <v>1</v>
      </c>
      <c r="W1033" t="inlineStr">
        <is>
          <t>2002-11-04</t>
        </is>
      </c>
      <c r="X1033" t="inlineStr">
        <is>
          <t>2002-11-04</t>
        </is>
      </c>
      <c r="Y1033" t="inlineStr">
        <is>
          <t>1990-03-26</t>
        </is>
      </c>
      <c r="Z1033" t="inlineStr">
        <is>
          <t>1990-03-26</t>
        </is>
      </c>
      <c r="AA1033" t="n">
        <v>1055</v>
      </c>
      <c r="AB1033" t="n">
        <v>820</v>
      </c>
      <c r="AC1033" t="n">
        <v>842</v>
      </c>
      <c r="AD1033" t="n">
        <v>6</v>
      </c>
      <c r="AE1033" t="n">
        <v>6</v>
      </c>
      <c r="AF1033" t="n">
        <v>42</v>
      </c>
      <c r="AG1033" t="n">
        <v>43</v>
      </c>
      <c r="AH1033" t="n">
        <v>21</v>
      </c>
      <c r="AI1033" t="n">
        <v>21</v>
      </c>
      <c r="AJ1033" t="n">
        <v>9</v>
      </c>
      <c r="AK1033" t="n">
        <v>10</v>
      </c>
      <c r="AL1033" t="n">
        <v>21</v>
      </c>
      <c r="AM1033" t="n">
        <v>21</v>
      </c>
      <c r="AN1033" t="n">
        <v>4</v>
      </c>
      <c r="AO1033" t="n">
        <v>4</v>
      </c>
      <c r="AP1033" t="n">
        <v>0</v>
      </c>
      <c r="AQ1033" t="n">
        <v>0</v>
      </c>
      <c r="AR1033" t="inlineStr">
        <is>
          <t>No</t>
        </is>
      </c>
      <c r="AS1033" t="inlineStr">
        <is>
          <t>No</t>
        </is>
      </c>
      <c r="AU1033">
        <f>HYPERLINK("https://creighton-primo.hosted.exlibrisgroup.com/primo-explore/search?tab=default_tab&amp;search_scope=EVERYTHING&amp;vid=01CRU&amp;lang=en_US&amp;offset=0&amp;query=any,contains,991001581089702656","Catalog Record")</f>
        <v/>
      </c>
      <c r="AV1033">
        <f>HYPERLINK("http://www.worldcat.org/oclc/20490252","WorldCat Record")</f>
        <v/>
      </c>
      <c r="AW1033" t="inlineStr">
        <is>
          <t>22631107:eng</t>
        </is>
      </c>
      <c r="AX1033" t="inlineStr">
        <is>
          <t>20490252</t>
        </is>
      </c>
      <c r="AY1033" t="inlineStr">
        <is>
          <t>991001581089702656</t>
        </is>
      </c>
      <c r="AZ1033" t="inlineStr">
        <is>
          <t>991001581089702656</t>
        </is>
      </c>
      <c r="BA1033" t="inlineStr">
        <is>
          <t>2257305230002656</t>
        </is>
      </c>
      <c r="BB1033" t="inlineStr">
        <is>
          <t>BOOK</t>
        </is>
      </c>
      <c r="BD1033" t="inlineStr">
        <is>
          <t>9780415014380</t>
        </is>
      </c>
      <c r="BE1033" t="inlineStr">
        <is>
          <t>32285000083708</t>
        </is>
      </c>
      <c r="BF1033" t="inlineStr">
        <is>
          <t>893715524</t>
        </is>
      </c>
    </row>
    <row r="1034">
      <c r="A1034" t="inlineStr">
        <is>
          <t>No</t>
        </is>
      </c>
      <c r="B1034" t="inlineStr">
        <is>
          <t>CURAL</t>
        </is>
      </c>
      <c r="C1034" t="inlineStr">
        <is>
          <t>SHELVES</t>
        </is>
      </c>
      <c r="D1034" t="inlineStr">
        <is>
          <t>PR3456 .D8</t>
        </is>
      </c>
      <c r="E1034" t="inlineStr">
        <is>
          <t>0                      PR 3456000D  8</t>
        </is>
      </c>
      <c r="F1034" t="inlineStr">
        <is>
          <t>Henry Fielding : his life, works, and times.</t>
        </is>
      </c>
      <c r="G1034" t="inlineStr">
        <is>
          <t>V.2</t>
        </is>
      </c>
      <c r="H1034" t="inlineStr">
        <is>
          <t>Yes</t>
        </is>
      </c>
      <c r="I1034" t="inlineStr">
        <is>
          <t>1</t>
        </is>
      </c>
      <c r="J1034" t="inlineStr">
        <is>
          <t>No</t>
        </is>
      </c>
      <c r="K1034" t="inlineStr">
        <is>
          <t>No</t>
        </is>
      </c>
      <c r="L1034" t="inlineStr">
        <is>
          <t>0</t>
        </is>
      </c>
      <c r="M1034" t="inlineStr">
        <is>
          <t>Dudden, F. Homes (Frederick Homes), 1874-1955.</t>
        </is>
      </c>
      <c r="N1034" t="inlineStr">
        <is>
          <t>Oxford : Clarendon Press, 1952.</t>
        </is>
      </c>
      <c r="O1034" t="inlineStr">
        <is>
          <t>1952</t>
        </is>
      </c>
      <c r="Q1034" t="inlineStr">
        <is>
          <t>eng</t>
        </is>
      </c>
      <c r="R1034" t="inlineStr">
        <is>
          <t>enk</t>
        </is>
      </c>
      <c r="T1034" t="inlineStr">
        <is>
          <t xml:space="preserve">PR </t>
        </is>
      </c>
      <c r="U1034" t="n">
        <v>2</v>
      </c>
      <c r="V1034" t="n">
        <v>3</v>
      </c>
      <c r="W1034" t="inlineStr">
        <is>
          <t>2002-12-01</t>
        </is>
      </c>
      <c r="X1034" t="inlineStr">
        <is>
          <t>2002-12-01</t>
        </is>
      </c>
      <c r="Y1034" t="inlineStr">
        <is>
          <t>1991-05-20</t>
        </is>
      </c>
      <c r="Z1034" t="inlineStr">
        <is>
          <t>1995-10-10</t>
        </is>
      </c>
      <c r="AA1034" t="n">
        <v>393</v>
      </c>
      <c r="AB1034" t="n">
        <v>302</v>
      </c>
      <c r="AC1034" t="n">
        <v>718</v>
      </c>
      <c r="AD1034" t="n">
        <v>5</v>
      </c>
      <c r="AE1034" t="n">
        <v>7</v>
      </c>
      <c r="AF1034" t="n">
        <v>24</v>
      </c>
      <c r="AG1034" t="n">
        <v>39</v>
      </c>
      <c r="AH1034" t="n">
        <v>7</v>
      </c>
      <c r="AI1034" t="n">
        <v>14</v>
      </c>
      <c r="AJ1034" t="n">
        <v>4</v>
      </c>
      <c r="AK1034" t="n">
        <v>7</v>
      </c>
      <c r="AL1034" t="n">
        <v>15</v>
      </c>
      <c r="AM1034" t="n">
        <v>22</v>
      </c>
      <c r="AN1034" t="n">
        <v>4</v>
      </c>
      <c r="AO1034" t="n">
        <v>6</v>
      </c>
      <c r="AP1034" t="n">
        <v>0</v>
      </c>
      <c r="AQ1034" t="n">
        <v>0</v>
      </c>
      <c r="AR1034" t="inlineStr">
        <is>
          <t>No</t>
        </is>
      </c>
      <c r="AS1034" t="inlineStr">
        <is>
          <t>Yes</t>
        </is>
      </c>
      <c r="AT1034">
        <f>HYPERLINK("http://catalog.hathitrust.org/Record/000388530","HathiTrust Record")</f>
        <v/>
      </c>
      <c r="AU1034">
        <f>HYPERLINK("https://creighton-primo.hosted.exlibrisgroup.com/primo-explore/search?tab=default_tab&amp;search_scope=EVERYTHING&amp;vid=01CRU&amp;lang=en_US&amp;offset=0&amp;query=any,contains,991004139829702656","Catalog Record")</f>
        <v/>
      </c>
      <c r="AV1034">
        <f>HYPERLINK("http://www.worldcat.org/oclc/2494265","WorldCat Record")</f>
        <v/>
      </c>
      <c r="AW1034" t="inlineStr">
        <is>
          <t>4159998732:eng</t>
        </is>
      </c>
      <c r="AX1034" t="inlineStr">
        <is>
          <t>2494265</t>
        </is>
      </c>
      <c r="AY1034" t="inlineStr">
        <is>
          <t>991004139829702656</t>
        </is>
      </c>
      <c r="AZ1034" t="inlineStr">
        <is>
          <t>991004139829702656</t>
        </is>
      </c>
      <c r="BA1034" t="inlineStr">
        <is>
          <t>2254909180002656</t>
        </is>
      </c>
      <c r="BB1034" t="inlineStr">
        <is>
          <t>BOOK</t>
        </is>
      </c>
      <c r="BE1034" t="inlineStr">
        <is>
          <t>32285000597301</t>
        </is>
      </c>
      <c r="BF1034" t="inlineStr">
        <is>
          <t>893605672</t>
        </is>
      </c>
    </row>
    <row r="1035">
      <c r="A1035" t="inlineStr">
        <is>
          <t>No</t>
        </is>
      </c>
      <c r="B1035" t="inlineStr">
        <is>
          <t>CURAL</t>
        </is>
      </c>
      <c r="C1035" t="inlineStr">
        <is>
          <t>SHELVES</t>
        </is>
      </c>
      <c r="D1035" t="inlineStr">
        <is>
          <t>PR3456 .D8</t>
        </is>
      </c>
      <c r="E1035" t="inlineStr">
        <is>
          <t>0                      PR 3456000D  8</t>
        </is>
      </c>
      <c r="F1035" t="inlineStr">
        <is>
          <t>Henry Fielding : his life, works, and times.</t>
        </is>
      </c>
      <c r="G1035" t="inlineStr">
        <is>
          <t>V.1</t>
        </is>
      </c>
      <c r="H1035" t="inlineStr">
        <is>
          <t>Yes</t>
        </is>
      </c>
      <c r="I1035" t="inlineStr">
        <is>
          <t>1</t>
        </is>
      </c>
      <c r="J1035" t="inlineStr">
        <is>
          <t>No</t>
        </is>
      </c>
      <c r="K1035" t="inlineStr">
        <is>
          <t>No</t>
        </is>
      </c>
      <c r="L1035" t="inlineStr">
        <is>
          <t>0</t>
        </is>
      </c>
      <c r="M1035" t="inlineStr">
        <is>
          <t>Dudden, F. Homes (Frederick Homes), 1874-1955.</t>
        </is>
      </c>
      <c r="N1035" t="inlineStr">
        <is>
          <t>Oxford : Clarendon Press, 1952.</t>
        </is>
      </c>
      <c r="O1035" t="inlineStr">
        <is>
          <t>1952</t>
        </is>
      </c>
      <c r="Q1035" t="inlineStr">
        <is>
          <t>eng</t>
        </is>
      </c>
      <c r="R1035" t="inlineStr">
        <is>
          <t>enk</t>
        </is>
      </c>
      <c r="T1035" t="inlineStr">
        <is>
          <t xml:space="preserve">PR </t>
        </is>
      </c>
      <c r="U1035" t="n">
        <v>1</v>
      </c>
      <c r="V1035" t="n">
        <v>3</v>
      </c>
      <c r="W1035" t="inlineStr">
        <is>
          <t>2002-12-01</t>
        </is>
      </c>
      <c r="X1035" t="inlineStr">
        <is>
          <t>2002-12-01</t>
        </is>
      </c>
      <c r="Y1035" t="inlineStr">
        <is>
          <t>1995-10-10</t>
        </is>
      </c>
      <c r="Z1035" t="inlineStr">
        <is>
          <t>1995-10-10</t>
        </is>
      </c>
      <c r="AA1035" t="n">
        <v>393</v>
      </c>
      <c r="AB1035" t="n">
        <v>302</v>
      </c>
      <c r="AC1035" t="n">
        <v>718</v>
      </c>
      <c r="AD1035" t="n">
        <v>5</v>
      </c>
      <c r="AE1035" t="n">
        <v>7</v>
      </c>
      <c r="AF1035" t="n">
        <v>24</v>
      </c>
      <c r="AG1035" t="n">
        <v>39</v>
      </c>
      <c r="AH1035" t="n">
        <v>7</v>
      </c>
      <c r="AI1035" t="n">
        <v>14</v>
      </c>
      <c r="AJ1035" t="n">
        <v>4</v>
      </c>
      <c r="AK1035" t="n">
        <v>7</v>
      </c>
      <c r="AL1035" t="n">
        <v>15</v>
      </c>
      <c r="AM1035" t="n">
        <v>22</v>
      </c>
      <c r="AN1035" t="n">
        <v>4</v>
      </c>
      <c r="AO1035" t="n">
        <v>6</v>
      </c>
      <c r="AP1035" t="n">
        <v>0</v>
      </c>
      <c r="AQ1035" t="n">
        <v>0</v>
      </c>
      <c r="AR1035" t="inlineStr">
        <is>
          <t>No</t>
        </is>
      </c>
      <c r="AS1035" t="inlineStr">
        <is>
          <t>Yes</t>
        </is>
      </c>
      <c r="AT1035">
        <f>HYPERLINK("http://catalog.hathitrust.org/Record/000388530","HathiTrust Record")</f>
        <v/>
      </c>
      <c r="AU1035">
        <f>HYPERLINK("https://creighton-primo.hosted.exlibrisgroup.com/primo-explore/search?tab=default_tab&amp;search_scope=EVERYTHING&amp;vid=01CRU&amp;lang=en_US&amp;offset=0&amp;query=any,contains,991004139829702656","Catalog Record")</f>
        <v/>
      </c>
      <c r="AV1035">
        <f>HYPERLINK("http://www.worldcat.org/oclc/2494265","WorldCat Record")</f>
        <v/>
      </c>
      <c r="AW1035" t="inlineStr">
        <is>
          <t>4159998732:eng</t>
        </is>
      </c>
      <c r="AX1035" t="inlineStr">
        <is>
          <t>2494265</t>
        </is>
      </c>
      <c r="AY1035" t="inlineStr">
        <is>
          <t>991004139829702656</t>
        </is>
      </c>
      <c r="AZ1035" t="inlineStr">
        <is>
          <t>991004139829702656</t>
        </is>
      </c>
      <c r="BA1035" t="inlineStr">
        <is>
          <t>2254909180002656</t>
        </is>
      </c>
      <c r="BB1035" t="inlineStr">
        <is>
          <t>BOOK</t>
        </is>
      </c>
      <c r="BE1035" t="inlineStr">
        <is>
          <t>32285002024890</t>
        </is>
      </c>
      <c r="BF1035" t="inlineStr">
        <is>
          <t>893593312</t>
        </is>
      </c>
    </row>
    <row r="1036">
      <c r="A1036" t="inlineStr">
        <is>
          <t>No</t>
        </is>
      </c>
      <c r="B1036" t="inlineStr">
        <is>
          <t>CURAL</t>
        </is>
      </c>
      <c r="C1036" t="inlineStr">
        <is>
          <t>SHELVES</t>
        </is>
      </c>
      <c r="D1036" t="inlineStr">
        <is>
          <t>PR3456 .M24 1967</t>
        </is>
      </c>
      <c r="E1036" t="inlineStr">
        <is>
          <t>0                      PR 3456000M  24          1967</t>
        </is>
      </c>
      <c r="F1036" t="inlineStr">
        <is>
          <t>Fielding / Hamilton Macallister.</t>
        </is>
      </c>
      <c r="H1036" t="inlineStr">
        <is>
          <t>No</t>
        </is>
      </c>
      <c r="I1036" t="inlineStr">
        <is>
          <t>1</t>
        </is>
      </c>
      <c r="J1036" t="inlineStr">
        <is>
          <t>No</t>
        </is>
      </c>
      <c r="K1036" t="inlineStr">
        <is>
          <t>No</t>
        </is>
      </c>
      <c r="L1036" t="inlineStr">
        <is>
          <t>0</t>
        </is>
      </c>
      <c r="M1036" t="inlineStr">
        <is>
          <t>Macallister, Hamilton.</t>
        </is>
      </c>
      <c r="N1036" t="inlineStr">
        <is>
          <t>London : Evans Bros., 1967.</t>
        </is>
      </c>
      <c r="O1036" t="inlineStr">
        <is>
          <t>1967</t>
        </is>
      </c>
      <c r="Q1036" t="inlineStr">
        <is>
          <t>eng</t>
        </is>
      </c>
      <c r="R1036" t="inlineStr">
        <is>
          <t>enk</t>
        </is>
      </c>
      <c r="S1036" t="inlineStr">
        <is>
          <t>Literature in perspective</t>
        </is>
      </c>
      <c r="T1036" t="inlineStr">
        <is>
          <t xml:space="preserve">PR </t>
        </is>
      </c>
      <c r="U1036" t="n">
        <v>3</v>
      </c>
      <c r="V1036" t="n">
        <v>3</v>
      </c>
      <c r="W1036" t="inlineStr">
        <is>
          <t>2002-12-01</t>
        </is>
      </c>
      <c r="X1036" t="inlineStr">
        <is>
          <t>2002-12-01</t>
        </is>
      </c>
      <c r="Y1036" t="inlineStr">
        <is>
          <t>1991-12-03</t>
        </is>
      </c>
      <c r="Z1036" t="inlineStr">
        <is>
          <t>1991-12-03</t>
        </is>
      </c>
      <c r="AA1036" t="n">
        <v>216</v>
      </c>
      <c r="AB1036" t="n">
        <v>114</v>
      </c>
      <c r="AC1036" t="n">
        <v>566</v>
      </c>
      <c r="AD1036" t="n">
        <v>2</v>
      </c>
      <c r="AE1036" t="n">
        <v>4</v>
      </c>
      <c r="AF1036" t="n">
        <v>5</v>
      </c>
      <c r="AG1036" t="n">
        <v>15</v>
      </c>
      <c r="AH1036" t="n">
        <v>0</v>
      </c>
      <c r="AI1036" t="n">
        <v>5</v>
      </c>
      <c r="AJ1036" t="n">
        <v>2</v>
      </c>
      <c r="AK1036" t="n">
        <v>3</v>
      </c>
      <c r="AL1036" t="n">
        <v>4</v>
      </c>
      <c r="AM1036" t="n">
        <v>8</v>
      </c>
      <c r="AN1036" t="n">
        <v>1</v>
      </c>
      <c r="AO1036" t="n">
        <v>3</v>
      </c>
      <c r="AP1036" t="n">
        <v>0</v>
      </c>
      <c r="AQ1036" t="n">
        <v>0</v>
      </c>
      <c r="AR1036" t="inlineStr">
        <is>
          <t>No</t>
        </is>
      </c>
      <c r="AS1036" t="inlineStr">
        <is>
          <t>Yes</t>
        </is>
      </c>
      <c r="AT1036">
        <f>HYPERLINK("http://catalog.hathitrust.org/Record/000388598","HathiTrust Record")</f>
        <v/>
      </c>
      <c r="AU1036">
        <f>HYPERLINK("https://creighton-primo.hosted.exlibrisgroup.com/primo-explore/search?tab=default_tab&amp;search_scope=EVERYTHING&amp;vid=01CRU&amp;lang=en_US&amp;offset=0&amp;query=any,contains,991002815699702656","Catalog Record")</f>
        <v/>
      </c>
      <c r="AV1036">
        <f>HYPERLINK("http://www.worldcat.org/oclc/458738","WorldCat Record")</f>
        <v/>
      </c>
      <c r="AW1036" t="inlineStr">
        <is>
          <t>1250509:eng</t>
        </is>
      </c>
      <c r="AX1036" t="inlineStr">
        <is>
          <t>458738</t>
        </is>
      </c>
      <c r="AY1036" t="inlineStr">
        <is>
          <t>991002815699702656</t>
        </is>
      </c>
      <c r="AZ1036" t="inlineStr">
        <is>
          <t>991002815699702656</t>
        </is>
      </c>
      <c r="BA1036" t="inlineStr">
        <is>
          <t>2265936870002656</t>
        </is>
      </c>
      <c r="BB1036" t="inlineStr">
        <is>
          <t>BOOK</t>
        </is>
      </c>
      <c r="BE1036" t="inlineStr">
        <is>
          <t>32285000855170</t>
        </is>
      </c>
      <c r="BF1036" t="inlineStr">
        <is>
          <t>893899274</t>
        </is>
      </c>
    </row>
    <row r="1037">
      <c r="A1037" t="inlineStr">
        <is>
          <t>No</t>
        </is>
      </c>
      <c r="B1037" t="inlineStr">
        <is>
          <t>CURAL</t>
        </is>
      </c>
      <c r="C1037" t="inlineStr">
        <is>
          <t>SHELVES</t>
        </is>
      </c>
      <c r="D1037" t="inlineStr">
        <is>
          <t>PR3456 .R3 1968</t>
        </is>
      </c>
      <c r="E1037" t="inlineStr">
        <is>
          <t>0                      PR 3456000R  3           1968</t>
        </is>
      </c>
      <c r="F1037" t="inlineStr">
        <is>
          <t>Henry Fielding / by C. J. Rawson.</t>
        </is>
      </c>
      <c r="H1037" t="inlineStr">
        <is>
          <t>No</t>
        </is>
      </c>
      <c r="I1037" t="inlineStr">
        <is>
          <t>1</t>
        </is>
      </c>
      <c r="J1037" t="inlineStr">
        <is>
          <t>No</t>
        </is>
      </c>
      <c r="K1037" t="inlineStr">
        <is>
          <t>No</t>
        </is>
      </c>
      <c r="L1037" t="inlineStr">
        <is>
          <t>0</t>
        </is>
      </c>
      <c r="M1037" t="inlineStr">
        <is>
          <t>Rawson, Claude Julien.</t>
        </is>
      </c>
      <c r="N1037" t="inlineStr">
        <is>
          <t>London : Routledge &amp; K. Paul ; New York : Humanities Press, 1968.</t>
        </is>
      </c>
      <c r="O1037" t="inlineStr">
        <is>
          <t>1968</t>
        </is>
      </c>
      <c r="Q1037" t="inlineStr">
        <is>
          <t>eng</t>
        </is>
      </c>
      <c r="R1037" t="inlineStr">
        <is>
          <t>enk</t>
        </is>
      </c>
      <c r="S1037" t="inlineStr">
        <is>
          <t>The Profiles in literature series</t>
        </is>
      </c>
      <c r="T1037" t="inlineStr">
        <is>
          <t xml:space="preserve">PR </t>
        </is>
      </c>
      <c r="U1037" t="n">
        <v>4</v>
      </c>
      <c r="V1037" t="n">
        <v>4</v>
      </c>
      <c r="W1037" t="inlineStr">
        <is>
          <t>1995-12-03</t>
        </is>
      </c>
      <c r="X1037" t="inlineStr">
        <is>
          <t>1995-12-03</t>
        </is>
      </c>
      <c r="Y1037" t="inlineStr">
        <is>
          <t>1991-12-03</t>
        </is>
      </c>
      <c r="Z1037" t="inlineStr">
        <is>
          <t>1991-12-03</t>
        </is>
      </c>
      <c r="AA1037" t="n">
        <v>622</v>
      </c>
      <c r="AB1037" t="n">
        <v>435</v>
      </c>
      <c r="AC1037" t="n">
        <v>444</v>
      </c>
      <c r="AD1037" t="n">
        <v>4</v>
      </c>
      <c r="AE1037" t="n">
        <v>4</v>
      </c>
      <c r="AF1037" t="n">
        <v>26</v>
      </c>
      <c r="AG1037" t="n">
        <v>26</v>
      </c>
      <c r="AH1037" t="n">
        <v>11</v>
      </c>
      <c r="AI1037" t="n">
        <v>11</v>
      </c>
      <c r="AJ1037" t="n">
        <v>7</v>
      </c>
      <c r="AK1037" t="n">
        <v>7</v>
      </c>
      <c r="AL1037" t="n">
        <v>15</v>
      </c>
      <c r="AM1037" t="n">
        <v>15</v>
      </c>
      <c r="AN1037" t="n">
        <v>3</v>
      </c>
      <c r="AO1037" t="n">
        <v>3</v>
      </c>
      <c r="AP1037" t="n">
        <v>0</v>
      </c>
      <c r="AQ1037" t="n">
        <v>0</v>
      </c>
      <c r="AR1037" t="inlineStr">
        <is>
          <t>No</t>
        </is>
      </c>
      <c r="AS1037" t="inlineStr">
        <is>
          <t>Yes</t>
        </is>
      </c>
      <c r="AT1037">
        <f>HYPERLINK("http://catalog.hathitrust.org/Record/000388601","HathiTrust Record")</f>
        <v/>
      </c>
      <c r="AU1037">
        <f>HYPERLINK("https://creighton-primo.hosted.exlibrisgroup.com/primo-explore/search?tab=default_tab&amp;search_scope=EVERYTHING&amp;vid=01CRU&amp;lang=en_US&amp;offset=0&amp;query=any,contains,991003281519702656","Catalog Record")</f>
        <v/>
      </c>
      <c r="AV1037">
        <f>HYPERLINK("http://www.worldcat.org/oclc/803927","WorldCat Record")</f>
        <v/>
      </c>
      <c r="AW1037" t="inlineStr">
        <is>
          <t>2542115617:eng</t>
        </is>
      </c>
      <c r="AX1037" t="inlineStr">
        <is>
          <t>803927</t>
        </is>
      </c>
      <c r="AY1037" t="inlineStr">
        <is>
          <t>991003281519702656</t>
        </is>
      </c>
      <c r="AZ1037" t="inlineStr">
        <is>
          <t>991003281519702656</t>
        </is>
      </c>
      <c r="BA1037" t="inlineStr">
        <is>
          <t>2269094160002656</t>
        </is>
      </c>
      <c r="BB1037" t="inlineStr">
        <is>
          <t>BOOK</t>
        </is>
      </c>
      <c r="BD1037" t="inlineStr">
        <is>
          <t>9780710029584</t>
        </is>
      </c>
      <c r="BE1037" t="inlineStr">
        <is>
          <t>32285000855162</t>
        </is>
      </c>
      <c r="BF1037" t="inlineStr">
        <is>
          <t>893686398</t>
        </is>
      </c>
    </row>
    <row r="1038">
      <c r="A1038" t="inlineStr">
        <is>
          <t>No</t>
        </is>
      </c>
      <c r="B1038" t="inlineStr">
        <is>
          <t>CURAL</t>
        </is>
      </c>
      <c r="C1038" t="inlineStr">
        <is>
          <t>SHELVES</t>
        </is>
      </c>
      <c r="D1038" t="inlineStr">
        <is>
          <t>PR3456 .S76</t>
        </is>
      </c>
      <c r="E1038" t="inlineStr">
        <is>
          <t>0                      PR 3456000S  76</t>
        </is>
      </c>
      <c r="F1038" t="inlineStr">
        <is>
          <t>Henry Fielding : an annotated bibliography of twentieth-century criticism, 1900-1977 / John A. Stoler, Richard D. Fulton.</t>
        </is>
      </c>
      <c r="H1038" t="inlineStr">
        <is>
          <t>No</t>
        </is>
      </c>
      <c r="I1038" t="inlineStr">
        <is>
          <t>1</t>
        </is>
      </c>
      <c r="J1038" t="inlineStr">
        <is>
          <t>No</t>
        </is>
      </c>
      <c r="K1038" t="inlineStr">
        <is>
          <t>No</t>
        </is>
      </c>
      <c r="L1038" t="inlineStr">
        <is>
          <t>0</t>
        </is>
      </c>
      <c r="M1038" t="inlineStr">
        <is>
          <t>Stoler, John A., 1935-</t>
        </is>
      </c>
      <c r="N1038" t="inlineStr">
        <is>
          <t>New York : Garland Pub., 1980.</t>
        </is>
      </c>
      <c r="O1038" t="inlineStr">
        <is>
          <t>1980</t>
        </is>
      </c>
      <c r="Q1038" t="inlineStr">
        <is>
          <t>eng</t>
        </is>
      </c>
      <c r="R1038" t="inlineStr">
        <is>
          <t>nyu</t>
        </is>
      </c>
      <c r="S1038" t="inlineStr">
        <is>
          <t>Garland reference library of the humanities ; v. 147</t>
        </is>
      </c>
      <c r="T1038" t="inlineStr">
        <is>
          <t xml:space="preserve">PR </t>
        </is>
      </c>
      <c r="U1038" t="n">
        <v>1</v>
      </c>
      <c r="V1038" t="n">
        <v>1</v>
      </c>
      <c r="W1038" t="inlineStr">
        <is>
          <t>2002-11-04</t>
        </is>
      </c>
      <c r="X1038" t="inlineStr">
        <is>
          <t>2002-11-04</t>
        </is>
      </c>
      <c r="Y1038" t="inlineStr">
        <is>
          <t>1990-06-26</t>
        </is>
      </c>
      <c r="Z1038" t="inlineStr">
        <is>
          <t>1990-06-26</t>
        </is>
      </c>
      <c r="AA1038" t="n">
        <v>396</v>
      </c>
      <c r="AB1038" t="n">
        <v>298</v>
      </c>
      <c r="AC1038" t="n">
        <v>305</v>
      </c>
      <c r="AD1038" t="n">
        <v>2</v>
      </c>
      <c r="AE1038" t="n">
        <v>2</v>
      </c>
      <c r="AF1038" t="n">
        <v>15</v>
      </c>
      <c r="AG1038" t="n">
        <v>15</v>
      </c>
      <c r="AH1038" t="n">
        <v>5</v>
      </c>
      <c r="AI1038" t="n">
        <v>5</v>
      </c>
      <c r="AJ1038" t="n">
        <v>4</v>
      </c>
      <c r="AK1038" t="n">
        <v>4</v>
      </c>
      <c r="AL1038" t="n">
        <v>10</v>
      </c>
      <c r="AM1038" t="n">
        <v>10</v>
      </c>
      <c r="AN1038" t="n">
        <v>1</v>
      </c>
      <c r="AO1038" t="n">
        <v>1</v>
      </c>
      <c r="AP1038" t="n">
        <v>0</v>
      </c>
      <c r="AQ1038" t="n">
        <v>0</v>
      </c>
      <c r="AR1038" t="inlineStr">
        <is>
          <t>No</t>
        </is>
      </c>
      <c r="AS1038" t="inlineStr">
        <is>
          <t>Yes</t>
        </is>
      </c>
      <c r="AT1038">
        <f>HYPERLINK("http://catalog.hathitrust.org/Record/000691387","HathiTrust Record")</f>
        <v/>
      </c>
      <c r="AU1038">
        <f>HYPERLINK("https://creighton-primo.hosted.exlibrisgroup.com/primo-explore/search?tab=default_tab&amp;search_scope=EVERYTHING&amp;vid=01CRU&amp;lang=en_US&amp;offset=0&amp;query=any,contains,991004857359702656","Catalog Record")</f>
        <v/>
      </c>
      <c r="AV1038">
        <f>HYPERLINK("http://www.worldcat.org/oclc/5676282","WorldCat Record")</f>
        <v/>
      </c>
      <c r="AW1038" t="inlineStr">
        <is>
          <t>490476:eng</t>
        </is>
      </c>
      <c r="AX1038" t="inlineStr">
        <is>
          <t>5676282</t>
        </is>
      </c>
      <c r="AY1038" t="inlineStr">
        <is>
          <t>991004857359702656</t>
        </is>
      </c>
      <c r="AZ1038" t="inlineStr">
        <is>
          <t>991004857359702656</t>
        </is>
      </c>
      <c r="BA1038" t="inlineStr">
        <is>
          <t>2259917920002656</t>
        </is>
      </c>
      <c r="BB1038" t="inlineStr">
        <is>
          <t>BOOK</t>
        </is>
      </c>
      <c r="BD1038" t="inlineStr">
        <is>
          <t>9780824097967</t>
        </is>
      </c>
      <c r="BE1038" t="inlineStr">
        <is>
          <t>32285000212299</t>
        </is>
      </c>
      <c r="BF1038" t="inlineStr">
        <is>
          <t>893507306</t>
        </is>
      </c>
    </row>
    <row r="1039">
      <c r="A1039" t="inlineStr">
        <is>
          <t>No</t>
        </is>
      </c>
      <c r="B1039" t="inlineStr">
        <is>
          <t>CURAL</t>
        </is>
      </c>
      <c r="C1039" t="inlineStr">
        <is>
          <t>SHELVES</t>
        </is>
      </c>
      <c r="D1039" t="inlineStr">
        <is>
          <t>PR3456 .T6 1991</t>
        </is>
      </c>
      <c r="E1039" t="inlineStr">
        <is>
          <t>0                      PR 3456000T  6           1991</t>
        </is>
      </c>
      <c r="F1039" t="inlineStr">
        <is>
          <t>Henry Fielding / Donald Thomas.</t>
        </is>
      </c>
      <c r="H1039" t="inlineStr">
        <is>
          <t>No</t>
        </is>
      </c>
      <c r="I1039" t="inlineStr">
        <is>
          <t>1</t>
        </is>
      </c>
      <c r="J1039" t="inlineStr">
        <is>
          <t>No</t>
        </is>
      </c>
      <c r="K1039" t="inlineStr">
        <is>
          <t>No</t>
        </is>
      </c>
      <c r="L1039" t="inlineStr">
        <is>
          <t>0</t>
        </is>
      </c>
      <c r="M1039" t="inlineStr">
        <is>
          <t>Thomas, Donald, 1926-</t>
        </is>
      </c>
      <c r="N1039" t="inlineStr">
        <is>
          <t>New York : St. Martin's Press, 1991.</t>
        </is>
      </c>
      <c r="O1039" t="inlineStr">
        <is>
          <t>1991</t>
        </is>
      </c>
      <c r="P1039" t="inlineStr">
        <is>
          <t>1st U.S. ed.</t>
        </is>
      </c>
      <c r="Q1039" t="inlineStr">
        <is>
          <t>eng</t>
        </is>
      </c>
      <c r="R1039" t="inlineStr">
        <is>
          <t>nyu</t>
        </is>
      </c>
      <c r="T1039" t="inlineStr">
        <is>
          <t xml:space="preserve">PR </t>
        </is>
      </c>
      <c r="U1039" t="n">
        <v>1</v>
      </c>
      <c r="V1039" t="n">
        <v>1</v>
      </c>
      <c r="W1039" t="inlineStr">
        <is>
          <t>2007-01-18</t>
        </is>
      </c>
      <c r="X1039" t="inlineStr">
        <is>
          <t>2007-01-18</t>
        </is>
      </c>
      <c r="Y1039" t="inlineStr">
        <is>
          <t>2007-01-18</t>
        </is>
      </c>
      <c r="Z1039" t="inlineStr">
        <is>
          <t>2007-01-18</t>
        </is>
      </c>
      <c r="AA1039" t="n">
        <v>423</v>
      </c>
      <c r="AB1039" t="n">
        <v>400</v>
      </c>
      <c r="AC1039" t="n">
        <v>465</v>
      </c>
      <c r="AD1039" t="n">
        <v>3</v>
      </c>
      <c r="AE1039" t="n">
        <v>4</v>
      </c>
      <c r="AF1039" t="n">
        <v>17</v>
      </c>
      <c r="AG1039" t="n">
        <v>19</v>
      </c>
      <c r="AH1039" t="n">
        <v>7</v>
      </c>
      <c r="AI1039" t="n">
        <v>7</v>
      </c>
      <c r="AJ1039" t="n">
        <v>5</v>
      </c>
      <c r="AK1039" t="n">
        <v>5</v>
      </c>
      <c r="AL1039" t="n">
        <v>10</v>
      </c>
      <c r="AM1039" t="n">
        <v>11</v>
      </c>
      <c r="AN1039" t="n">
        <v>2</v>
      </c>
      <c r="AO1039" t="n">
        <v>3</v>
      </c>
      <c r="AP1039" t="n">
        <v>0</v>
      </c>
      <c r="AQ1039" t="n">
        <v>0</v>
      </c>
      <c r="AR1039" t="inlineStr">
        <is>
          <t>No</t>
        </is>
      </c>
      <c r="AS1039" t="inlineStr">
        <is>
          <t>No</t>
        </is>
      </c>
      <c r="AU1039">
        <f>HYPERLINK("https://creighton-primo.hosted.exlibrisgroup.com/primo-explore/search?tab=default_tab&amp;search_scope=EVERYTHING&amp;vid=01CRU&amp;lang=en_US&amp;offset=0&amp;query=any,contains,991005019709702656","Catalog Record")</f>
        <v/>
      </c>
      <c r="AV1039">
        <f>HYPERLINK("http://www.worldcat.org/oclc/22492963","WorldCat Record")</f>
        <v/>
      </c>
      <c r="AW1039" t="inlineStr">
        <is>
          <t>3372674004:eng</t>
        </is>
      </c>
      <c r="AX1039" t="inlineStr">
        <is>
          <t>22492963</t>
        </is>
      </c>
      <c r="AY1039" t="inlineStr">
        <is>
          <t>991005019709702656</t>
        </is>
      </c>
      <c r="AZ1039" t="inlineStr">
        <is>
          <t>991005019709702656</t>
        </is>
      </c>
      <c r="BA1039" t="inlineStr">
        <is>
          <t>2257088980002656</t>
        </is>
      </c>
      <c r="BB1039" t="inlineStr">
        <is>
          <t>BOOK</t>
        </is>
      </c>
      <c r="BD1039" t="inlineStr">
        <is>
          <t>9780312054434</t>
        </is>
      </c>
      <c r="BE1039" t="inlineStr">
        <is>
          <t>32285005272132</t>
        </is>
      </c>
      <c r="BF1039" t="inlineStr">
        <is>
          <t>893248219</t>
        </is>
      </c>
    </row>
    <row r="1040">
      <c r="A1040" t="inlineStr">
        <is>
          <t>No</t>
        </is>
      </c>
      <c r="B1040" t="inlineStr">
        <is>
          <t>CURAL</t>
        </is>
      </c>
      <c r="C1040" t="inlineStr">
        <is>
          <t>SHELVES</t>
        </is>
      </c>
      <c r="D1040" t="inlineStr">
        <is>
          <t>PR3457 .J6</t>
        </is>
      </c>
      <c r="E1040" t="inlineStr">
        <is>
          <t>0                      PR 3457000J  6</t>
        </is>
      </c>
      <c r="F1040" t="inlineStr">
        <is>
          <t>Fielding's art of fiction : eleven essays on Shamela, Joseph Andrews, Tom Jones, and Amelia.</t>
        </is>
      </c>
      <c r="H1040" t="inlineStr">
        <is>
          <t>No</t>
        </is>
      </c>
      <c r="I1040" t="inlineStr">
        <is>
          <t>1</t>
        </is>
      </c>
      <c r="J1040" t="inlineStr">
        <is>
          <t>No</t>
        </is>
      </c>
      <c r="K1040" t="inlineStr">
        <is>
          <t>No</t>
        </is>
      </c>
      <c r="L1040" t="inlineStr">
        <is>
          <t>0</t>
        </is>
      </c>
      <c r="M1040" t="inlineStr">
        <is>
          <t>Johnson, Maurice O., 1913-1978.</t>
        </is>
      </c>
      <c r="N1040" t="inlineStr">
        <is>
          <t>Philadelphia : University of Pennsylvania Press, [1961]</t>
        </is>
      </c>
      <c r="O1040" t="inlineStr">
        <is>
          <t>1961</t>
        </is>
      </c>
      <c r="Q1040" t="inlineStr">
        <is>
          <t>eng</t>
        </is>
      </c>
      <c r="R1040" t="inlineStr">
        <is>
          <t>pau</t>
        </is>
      </c>
      <c r="T1040" t="inlineStr">
        <is>
          <t xml:space="preserve">PR </t>
        </is>
      </c>
      <c r="U1040" t="n">
        <v>1</v>
      </c>
      <c r="V1040" t="n">
        <v>1</v>
      </c>
      <c r="W1040" t="inlineStr">
        <is>
          <t>1995-12-03</t>
        </is>
      </c>
      <c r="X1040" t="inlineStr">
        <is>
          <t>1995-12-03</t>
        </is>
      </c>
      <c r="Y1040" t="inlineStr">
        <is>
          <t>1995-05-04</t>
        </is>
      </c>
      <c r="Z1040" t="inlineStr">
        <is>
          <t>1995-05-04</t>
        </is>
      </c>
      <c r="AA1040" t="n">
        <v>989</v>
      </c>
      <c r="AB1040" t="n">
        <v>851</v>
      </c>
      <c r="AC1040" t="n">
        <v>984</v>
      </c>
      <c r="AD1040" t="n">
        <v>7</v>
      </c>
      <c r="AE1040" t="n">
        <v>7</v>
      </c>
      <c r="AF1040" t="n">
        <v>41</v>
      </c>
      <c r="AG1040" t="n">
        <v>44</v>
      </c>
      <c r="AH1040" t="n">
        <v>17</v>
      </c>
      <c r="AI1040" t="n">
        <v>20</v>
      </c>
      <c r="AJ1040" t="n">
        <v>9</v>
      </c>
      <c r="AK1040" t="n">
        <v>9</v>
      </c>
      <c r="AL1040" t="n">
        <v>21</v>
      </c>
      <c r="AM1040" t="n">
        <v>21</v>
      </c>
      <c r="AN1040" t="n">
        <v>5</v>
      </c>
      <c r="AO1040" t="n">
        <v>5</v>
      </c>
      <c r="AP1040" t="n">
        <v>0</v>
      </c>
      <c r="AQ1040" t="n">
        <v>0</v>
      </c>
      <c r="AR1040" t="inlineStr">
        <is>
          <t>Yes</t>
        </is>
      </c>
      <c r="AS1040" t="inlineStr">
        <is>
          <t>No</t>
        </is>
      </c>
      <c r="AT1040">
        <f>HYPERLINK("http://catalog.hathitrust.org/Record/000388592","HathiTrust Record")</f>
        <v/>
      </c>
      <c r="AU1040">
        <f>HYPERLINK("https://creighton-primo.hosted.exlibrisgroup.com/primo-explore/search?tab=default_tab&amp;search_scope=EVERYTHING&amp;vid=01CRU&amp;lang=en_US&amp;offset=0&amp;query=any,contains,991002458499702656","Catalog Record")</f>
        <v/>
      </c>
      <c r="AV1040">
        <f>HYPERLINK("http://www.worldcat.org/oclc/355236","WorldCat Record")</f>
        <v/>
      </c>
      <c r="AW1040" t="inlineStr">
        <is>
          <t>198831988:eng</t>
        </is>
      </c>
      <c r="AX1040" t="inlineStr">
        <is>
          <t>355236</t>
        </is>
      </c>
      <c r="AY1040" t="inlineStr">
        <is>
          <t>991002458499702656</t>
        </is>
      </c>
      <c r="AZ1040" t="inlineStr">
        <is>
          <t>991002458499702656</t>
        </is>
      </c>
      <c r="BA1040" t="inlineStr">
        <is>
          <t>2264550530002656</t>
        </is>
      </c>
      <c r="BB1040" t="inlineStr">
        <is>
          <t>BOOK</t>
        </is>
      </c>
      <c r="BE1040" t="inlineStr">
        <is>
          <t>32285002031937</t>
        </is>
      </c>
      <c r="BF1040" t="inlineStr">
        <is>
          <t>893704106</t>
        </is>
      </c>
    </row>
    <row r="1041">
      <c r="A1041" t="inlineStr">
        <is>
          <t>No</t>
        </is>
      </c>
      <c r="B1041" t="inlineStr">
        <is>
          <t>CURAL</t>
        </is>
      </c>
      <c r="C1041" t="inlineStr">
        <is>
          <t>SHELVES</t>
        </is>
      </c>
      <c r="D1041" t="inlineStr">
        <is>
          <t>PR3457 .P3</t>
        </is>
      </c>
      <c r="E1041" t="inlineStr">
        <is>
          <t>0                      PR 3457000P  3</t>
        </is>
      </c>
      <c r="F1041" t="inlineStr">
        <is>
          <t>Fielding : a collection of critical essays.</t>
        </is>
      </c>
      <c r="H1041" t="inlineStr">
        <is>
          <t>No</t>
        </is>
      </c>
      <c r="I1041" t="inlineStr">
        <is>
          <t>1</t>
        </is>
      </c>
      <c r="J1041" t="inlineStr">
        <is>
          <t>No</t>
        </is>
      </c>
      <c r="K1041" t="inlineStr">
        <is>
          <t>No</t>
        </is>
      </c>
      <c r="L1041" t="inlineStr">
        <is>
          <t>0</t>
        </is>
      </c>
      <c r="M1041" t="inlineStr">
        <is>
          <t>Paulson, Ronald editor.</t>
        </is>
      </c>
      <c r="N1041" t="inlineStr">
        <is>
          <t>Englewood Cliffs, N.J. : Prentice-Hall, [1962]</t>
        </is>
      </c>
      <c r="O1041" t="inlineStr">
        <is>
          <t>1962</t>
        </is>
      </c>
      <c r="Q1041" t="inlineStr">
        <is>
          <t>eng</t>
        </is>
      </c>
      <c r="R1041" t="inlineStr">
        <is>
          <t>nju</t>
        </is>
      </c>
      <c r="S1041" t="inlineStr">
        <is>
          <t>A Spectrum book, S-TC-9.</t>
        </is>
      </c>
      <c r="T1041" t="inlineStr">
        <is>
          <t xml:space="preserve">PR </t>
        </is>
      </c>
      <c r="U1041" t="n">
        <v>2</v>
      </c>
      <c r="V1041" t="n">
        <v>2</v>
      </c>
      <c r="W1041" t="inlineStr">
        <is>
          <t>1998-11-16</t>
        </is>
      </c>
      <c r="X1041" t="inlineStr">
        <is>
          <t>1998-11-16</t>
        </is>
      </c>
      <c r="Y1041" t="inlineStr">
        <is>
          <t>1995-05-02</t>
        </is>
      </c>
      <c r="Z1041" t="inlineStr">
        <is>
          <t>1995-05-02</t>
        </is>
      </c>
      <c r="AA1041" t="n">
        <v>2078</v>
      </c>
      <c r="AB1041" t="n">
        <v>1825</v>
      </c>
      <c r="AC1041" t="n">
        <v>1832</v>
      </c>
      <c r="AD1041" t="n">
        <v>14</v>
      </c>
      <c r="AE1041" t="n">
        <v>14</v>
      </c>
      <c r="AF1041" t="n">
        <v>54</v>
      </c>
      <c r="AG1041" t="n">
        <v>54</v>
      </c>
      <c r="AH1041" t="n">
        <v>20</v>
      </c>
      <c r="AI1041" t="n">
        <v>20</v>
      </c>
      <c r="AJ1041" t="n">
        <v>10</v>
      </c>
      <c r="AK1041" t="n">
        <v>10</v>
      </c>
      <c r="AL1041" t="n">
        <v>23</v>
      </c>
      <c r="AM1041" t="n">
        <v>23</v>
      </c>
      <c r="AN1041" t="n">
        <v>12</v>
      </c>
      <c r="AO1041" t="n">
        <v>12</v>
      </c>
      <c r="AP1041" t="n">
        <v>0</v>
      </c>
      <c r="AQ1041" t="n">
        <v>0</v>
      </c>
      <c r="AR1041" t="inlineStr">
        <is>
          <t>No</t>
        </is>
      </c>
      <c r="AS1041" t="inlineStr">
        <is>
          <t>Yes</t>
        </is>
      </c>
      <c r="AT1041">
        <f>HYPERLINK("http://catalog.hathitrust.org/Record/003202740","HathiTrust Record")</f>
        <v/>
      </c>
      <c r="AU1041">
        <f>HYPERLINK("https://creighton-primo.hosted.exlibrisgroup.com/primo-explore/search?tab=default_tab&amp;search_scope=EVERYTHING&amp;vid=01CRU&amp;lang=en_US&amp;offset=0&amp;query=any,contains,991002458029702656","Catalog Record")</f>
        <v/>
      </c>
      <c r="AV1041">
        <f>HYPERLINK("http://www.worldcat.org/oclc/355071","WorldCat Record")</f>
        <v/>
      </c>
      <c r="AW1041" t="inlineStr">
        <is>
          <t>350084145:eng</t>
        </is>
      </c>
      <c r="AX1041" t="inlineStr">
        <is>
          <t>355071</t>
        </is>
      </c>
      <c r="AY1041" t="inlineStr">
        <is>
          <t>991002458029702656</t>
        </is>
      </c>
      <c r="AZ1041" t="inlineStr">
        <is>
          <t>991002458029702656</t>
        </is>
      </c>
      <c r="BA1041" t="inlineStr">
        <is>
          <t>2264560410002656</t>
        </is>
      </c>
      <c r="BB1041" t="inlineStr">
        <is>
          <t>BOOK</t>
        </is>
      </c>
      <c r="BE1041" t="inlineStr">
        <is>
          <t>32285002031010</t>
        </is>
      </c>
      <c r="BF1041" t="inlineStr">
        <is>
          <t>893245206</t>
        </is>
      </c>
    </row>
    <row r="1042">
      <c r="A1042" t="inlineStr">
        <is>
          <t>No</t>
        </is>
      </c>
      <c r="B1042" t="inlineStr">
        <is>
          <t>CURAL</t>
        </is>
      </c>
      <c r="C1042" t="inlineStr">
        <is>
          <t>SHELVES</t>
        </is>
      </c>
      <c r="D1042" t="inlineStr">
        <is>
          <t>PR3457 .P32 1969</t>
        </is>
      </c>
      <c r="E1042" t="inlineStr">
        <is>
          <t>0                      PR 3457000P  32          1969</t>
        </is>
      </c>
      <c r="F1042" t="inlineStr">
        <is>
          <t>Henry Fielding: the critical heritage, edited by Ronald Paulson and Thomas Lockwood.</t>
        </is>
      </c>
      <c r="H1042" t="inlineStr">
        <is>
          <t>No</t>
        </is>
      </c>
      <c r="I1042" t="inlineStr">
        <is>
          <t>1</t>
        </is>
      </c>
      <c r="J1042" t="inlineStr">
        <is>
          <t>No</t>
        </is>
      </c>
      <c r="K1042" t="inlineStr">
        <is>
          <t>No</t>
        </is>
      </c>
      <c r="L1042" t="inlineStr">
        <is>
          <t>0</t>
        </is>
      </c>
      <c r="M1042" t="inlineStr">
        <is>
          <t>Paulson, Ronald compiler.</t>
        </is>
      </c>
      <c r="N1042" t="inlineStr">
        <is>
          <t>London, Routledge &amp; K. Paul; New York, Barnes &amp; Noble, 1969.</t>
        </is>
      </c>
      <c r="O1042" t="inlineStr">
        <is>
          <t>1969</t>
        </is>
      </c>
      <c r="Q1042" t="inlineStr">
        <is>
          <t>eng</t>
        </is>
      </c>
      <c r="R1042" t="inlineStr">
        <is>
          <t>enk</t>
        </is>
      </c>
      <c r="S1042" t="inlineStr">
        <is>
          <t>The critical heritage series</t>
        </is>
      </c>
      <c r="T1042" t="inlineStr">
        <is>
          <t xml:space="preserve">PR </t>
        </is>
      </c>
      <c r="U1042" t="n">
        <v>1</v>
      </c>
      <c r="V1042" t="n">
        <v>1</v>
      </c>
      <c r="W1042" t="inlineStr">
        <is>
          <t>2002-11-04</t>
        </is>
      </c>
      <c r="X1042" t="inlineStr">
        <is>
          <t>2002-11-04</t>
        </is>
      </c>
      <c r="Y1042" t="inlineStr">
        <is>
          <t>1997-08-07</t>
        </is>
      </c>
      <c r="Z1042" t="inlineStr">
        <is>
          <t>1997-08-07</t>
        </is>
      </c>
      <c r="AA1042" t="n">
        <v>994</v>
      </c>
      <c r="AB1042" t="n">
        <v>768</v>
      </c>
      <c r="AC1042" t="n">
        <v>801</v>
      </c>
      <c r="AD1042" t="n">
        <v>5</v>
      </c>
      <c r="AE1042" t="n">
        <v>5</v>
      </c>
      <c r="AF1042" t="n">
        <v>40</v>
      </c>
      <c r="AG1042" t="n">
        <v>40</v>
      </c>
      <c r="AH1042" t="n">
        <v>16</v>
      </c>
      <c r="AI1042" t="n">
        <v>16</v>
      </c>
      <c r="AJ1042" t="n">
        <v>10</v>
      </c>
      <c r="AK1042" t="n">
        <v>10</v>
      </c>
      <c r="AL1042" t="n">
        <v>21</v>
      </c>
      <c r="AM1042" t="n">
        <v>21</v>
      </c>
      <c r="AN1042" t="n">
        <v>4</v>
      </c>
      <c r="AO1042" t="n">
        <v>4</v>
      </c>
      <c r="AP1042" t="n">
        <v>0</v>
      </c>
      <c r="AQ1042" t="n">
        <v>0</v>
      </c>
      <c r="AR1042" t="inlineStr">
        <is>
          <t>No</t>
        </is>
      </c>
      <c r="AS1042" t="inlineStr">
        <is>
          <t>Yes</t>
        </is>
      </c>
      <c r="AT1042">
        <f>HYPERLINK("http://catalog.hathitrust.org/Record/000000430","HathiTrust Record")</f>
        <v/>
      </c>
      <c r="AU1042">
        <f>HYPERLINK("https://creighton-primo.hosted.exlibrisgroup.com/primo-explore/search?tab=default_tab&amp;search_scope=EVERYTHING&amp;vid=01CRU&amp;lang=en_US&amp;offset=0&amp;query=any,contains,991000104689702656","Catalog Record")</f>
        <v/>
      </c>
      <c r="AV1042">
        <f>HYPERLINK("http://www.worldcat.org/oclc/45928","WorldCat Record")</f>
        <v/>
      </c>
      <c r="AW1042" t="inlineStr">
        <is>
          <t>347362153:eng</t>
        </is>
      </c>
      <c r="AX1042" t="inlineStr">
        <is>
          <t>45928</t>
        </is>
      </c>
      <c r="AY1042" t="inlineStr">
        <is>
          <t>991000104689702656</t>
        </is>
      </c>
      <c r="AZ1042" t="inlineStr">
        <is>
          <t>991000104689702656</t>
        </is>
      </c>
      <c r="BA1042" t="inlineStr">
        <is>
          <t>2261597000002656</t>
        </is>
      </c>
      <c r="BB1042" t="inlineStr">
        <is>
          <t>BOOK</t>
        </is>
      </c>
      <c r="BD1042" t="inlineStr">
        <is>
          <t>9780710060617</t>
        </is>
      </c>
      <c r="BE1042" t="inlineStr">
        <is>
          <t>32285003025920</t>
        </is>
      </c>
      <c r="BF1042" t="inlineStr">
        <is>
          <t>893796413</t>
        </is>
      </c>
    </row>
    <row r="1043">
      <c r="A1043" t="inlineStr">
        <is>
          <t>No</t>
        </is>
      </c>
      <c r="B1043" t="inlineStr">
        <is>
          <t>CURAL</t>
        </is>
      </c>
      <c r="C1043" t="inlineStr">
        <is>
          <t>SHELVES</t>
        </is>
      </c>
      <c r="D1043" t="inlineStr">
        <is>
          <t>PR3457 .S3</t>
        </is>
      </c>
      <c r="E1043" t="inlineStr">
        <is>
          <t>0                      PR 3457000S  3</t>
        </is>
      </c>
      <c r="F1043" t="inlineStr">
        <is>
          <t>Fiction and the shape of belief; a study of Henry Fielding, with glances at Swift, Johnson, and Richardson.</t>
        </is>
      </c>
      <c r="H1043" t="inlineStr">
        <is>
          <t>No</t>
        </is>
      </c>
      <c r="I1043" t="inlineStr">
        <is>
          <t>1</t>
        </is>
      </c>
      <c r="J1043" t="inlineStr">
        <is>
          <t>No</t>
        </is>
      </c>
      <c r="K1043" t="inlineStr">
        <is>
          <t>No</t>
        </is>
      </c>
      <c r="L1043" t="inlineStr">
        <is>
          <t>0</t>
        </is>
      </c>
      <c r="M1043" t="inlineStr">
        <is>
          <t>Sacks, Sheldon, 1930-</t>
        </is>
      </c>
      <c r="N1043" t="inlineStr">
        <is>
          <t>Berkeley, University of California Press, 1964.</t>
        </is>
      </c>
      <c r="O1043" t="inlineStr">
        <is>
          <t>1964</t>
        </is>
      </c>
      <c r="Q1043" t="inlineStr">
        <is>
          <t>eng</t>
        </is>
      </c>
      <c r="R1043" t="inlineStr">
        <is>
          <t>cau</t>
        </is>
      </c>
      <c r="T1043" t="inlineStr">
        <is>
          <t xml:space="preserve">PR </t>
        </is>
      </c>
      <c r="U1043" t="n">
        <v>4</v>
      </c>
      <c r="V1043" t="n">
        <v>4</v>
      </c>
      <c r="W1043" t="inlineStr">
        <is>
          <t>2006-03-16</t>
        </is>
      </c>
      <c r="X1043" t="inlineStr">
        <is>
          <t>2006-03-16</t>
        </is>
      </c>
      <c r="Y1043" t="inlineStr">
        <is>
          <t>1997-08-07</t>
        </is>
      </c>
      <c r="Z1043" t="inlineStr">
        <is>
          <t>1997-08-07</t>
        </is>
      </c>
      <c r="AA1043" t="n">
        <v>987</v>
      </c>
      <c r="AB1043" t="n">
        <v>858</v>
      </c>
      <c r="AC1043" t="n">
        <v>1057</v>
      </c>
      <c r="AD1043" t="n">
        <v>9</v>
      </c>
      <c r="AE1043" t="n">
        <v>10</v>
      </c>
      <c r="AF1043" t="n">
        <v>44</v>
      </c>
      <c r="AG1043" t="n">
        <v>53</v>
      </c>
      <c r="AH1043" t="n">
        <v>15</v>
      </c>
      <c r="AI1043" t="n">
        <v>20</v>
      </c>
      <c r="AJ1043" t="n">
        <v>9</v>
      </c>
      <c r="AK1043" t="n">
        <v>10</v>
      </c>
      <c r="AL1043" t="n">
        <v>23</v>
      </c>
      <c r="AM1043" t="n">
        <v>25</v>
      </c>
      <c r="AN1043" t="n">
        <v>8</v>
      </c>
      <c r="AO1043" t="n">
        <v>9</v>
      </c>
      <c r="AP1043" t="n">
        <v>0</v>
      </c>
      <c r="AQ1043" t="n">
        <v>0</v>
      </c>
      <c r="AR1043" t="inlineStr">
        <is>
          <t>No</t>
        </is>
      </c>
      <c r="AS1043" t="inlineStr">
        <is>
          <t>Yes</t>
        </is>
      </c>
      <c r="AT1043">
        <f>HYPERLINK("http://catalog.hathitrust.org/Record/000388685","HathiTrust Record")</f>
        <v/>
      </c>
      <c r="AU1043">
        <f>HYPERLINK("https://creighton-primo.hosted.exlibrisgroup.com/primo-explore/search?tab=default_tab&amp;search_scope=EVERYTHING&amp;vid=01CRU&amp;lang=en_US&amp;offset=0&amp;query=any,contains,991002458209702656","Catalog Record")</f>
        <v/>
      </c>
      <c r="AV1043">
        <f>HYPERLINK("http://www.worldcat.org/oclc/355193","WorldCat Record")</f>
        <v/>
      </c>
      <c r="AW1043" t="inlineStr">
        <is>
          <t>419219:eng</t>
        </is>
      </c>
      <c r="AX1043" t="inlineStr">
        <is>
          <t>355193</t>
        </is>
      </c>
      <c r="AY1043" t="inlineStr">
        <is>
          <t>991002458209702656</t>
        </is>
      </c>
      <c r="AZ1043" t="inlineStr">
        <is>
          <t>991002458209702656</t>
        </is>
      </c>
      <c r="BA1043" t="inlineStr">
        <is>
          <t>2264534700002656</t>
        </is>
      </c>
      <c r="BB1043" t="inlineStr">
        <is>
          <t>BOOK</t>
        </is>
      </c>
      <c r="BE1043" t="inlineStr">
        <is>
          <t>32285003025946</t>
        </is>
      </c>
      <c r="BF1043" t="inlineStr">
        <is>
          <t>893779835</t>
        </is>
      </c>
    </row>
    <row r="1044">
      <c r="A1044" t="inlineStr">
        <is>
          <t>No</t>
        </is>
      </c>
      <c r="B1044" t="inlineStr">
        <is>
          <t>CURAL</t>
        </is>
      </c>
      <c r="C1044" t="inlineStr">
        <is>
          <t>SHELVES</t>
        </is>
      </c>
      <c r="D1044" t="inlineStr">
        <is>
          <t>PR3457 .S5 1972</t>
        </is>
      </c>
      <c r="E1044" t="inlineStr">
        <is>
          <t>0                      PR 3457000S  5           1972</t>
        </is>
      </c>
      <c r="F1044" t="inlineStr">
        <is>
          <t>Literary portraits in the novels of Henry Fielding / Sean Shesgreen</t>
        </is>
      </c>
      <c r="H1044" t="inlineStr">
        <is>
          <t>No</t>
        </is>
      </c>
      <c r="I1044" t="inlineStr">
        <is>
          <t>1</t>
        </is>
      </c>
      <c r="J1044" t="inlineStr">
        <is>
          <t>No</t>
        </is>
      </c>
      <c r="K1044" t="inlineStr">
        <is>
          <t>No</t>
        </is>
      </c>
      <c r="L1044" t="inlineStr">
        <is>
          <t>0</t>
        </is>
      </c>
      <c r="M1044" t="inlineStr">
        <is>
          <t>Shesgreen, Sean, 1939-</t>
        </is>
      </c>
      <c r="N1044" t="inlineStr">
        <is>
          <t>DeKalb : Northern Illinois University Press, 1972.</t>
        </is>
      </c>
      <c r="O1044" t="inlineStr">
        <is>
          <t>1972</t>
        </is>
      </c>
      <c r="Q1044" t="inlineStr">
        <is>
          <t>eng</t>
        </is>
      </c>
      <c r="R1044" t="inlineStr">
        <is>
          <t>ilu</t>
        </is>
      </c>
      <c r="T1044" t="inlineStr">
        <is>
          <t xml:space="preserve">PR </t>
        </is>
      </c>
      <c r="U1044" t="n">
        <v>1</v>
      </c>
      <c r="V1044" t="n">
        <v>1</v>
      </c>
      <c r="W1044" t="inlineStr">
        <is>
          <t>2004-10-14</t>
        </is>
      </c>
      <c r="X1044" t="inlineStr">
        <is>
          <t>2004-10-14</t>
        </is>
      </c>
      <c r="Y1044" t="inlineStr">
        <is>
          <t>2004-10-14</t>
        </is>
      </c>
      <c r="Z1044" t="inlineStr">
        <is>
          <t>2004-10-14</t>
        </is>
      </c>
      <c r="AA1044" t="n">
        <v>596</v>
      </c>
      <c r="AB1044" t="n">
        <v>517</v>
      </c>
      <c r="AC1044" t="n">
        <v>527</v>
      </c>
      <c r="AD1044" t="n">
        <v>5</v>
      </c>
      <c r="AE1044" t="n">
        <v>5</v>
      </c>
      <c r="AF1044" t="n">
        <v>30</v>
      </c>
      <c r="AG1044" t="n">
        <v>30</v>
      </c>
      <c r="AH1044" t="n">
        <v>8</v>
      </c>
      <c r="AI1044" t="n">
        <v>8</v>
      </c>
      <c r="AJ1044" t="n">
        <v>6</v>
      </c>
      <c r="AK1044" t="n">
        <v>6</v>
      </c>
      <c r="AL1044" t="n">
        <v>21</v>
      </c>
      <c r="AM1044" t="n">
        <v>21</v>
      </c>
      <c r="AN1044" t="n">
        <v>4</v>
      </c>
      <c r="AO1044" t="n">
        <v>4</v>
      </c>
      <c r="AP1044" t="n">
        <v>0</v>
      </c>
      <c r="AQ1044" t="n">
        <v>0</v>
      </c>
      <c r="AR1044" t="inlineStr">
        <is>
          <t>No</t>
        </is>
      </c>
      <c r="AS1044" t="inlineStr">
        <is>
          <t>Yes</t>
        </is>
      </c>
      <c r="AT1044">
        <f>HYPERLINK("http://catalog.hathitrust.org/Record/000388691","HathiTrust Record")</f>
        <v/>
      </c>
      <c r="AU1044">
        <f>HYPERLINK("https://creighton-primo.hosted.exlibrisgroup.com/primo-explore/search?tab=default_tab&amp;search_scope=EVERYTHING&amp;vid=01CRU&amp;lang=en_US&amp;offset=0&amp;query=any,contains,991004398769702656","Catalog Record")</f>
        <v/>
      </c>
      <c r="AV1044">
        <f>HYPERLINK("http://www.worldcat.org/oclc/340412","WorldCat Record")</f>
        <v/>
      </c>
      <c r="AW1044" t="inlineStr">
        <is>
          <t>1472874:eng</t>
        </is>
      </c>
      <c r="AX1044" t="inlineStr">
        <is>
          <t>340412</t>
        </is>
      </c>
      <c r="AY1044" t="inlineStr">
        <is>
          <t>991004398769702656</t>
        </is>
      </c>
      <c r="AZ1044" t="inlineStr">
        <is>
          <t>991004398769702656</t>
        </is>
      </c>
      <c r="BA1044" t="inlineStr">
        <is>
          <t>2262617280002656</t>
        </is>
      </c>
      <c r="BB1044" t="inlineStr">
        <is>
          <t>BOOK</t>
        </is>
      </c>
      <c r="BD1044" t="inlineStr">
        <is>
          <t>9780875800295</t>
        </is>
      </c>
      <c r="BE1044" t="inlineStr">
        <is>
          <t>32285005004626</t>
        </is>
      </c>
      <c r="BF1044" t="inlineStr">
        <is>
          <t>893894948</t>
        </is>
      </c>
    </row>
    <row r="1045">
      <c r="A1045" t="inlineStr">
        <is>
          <t>No</t>
        </is>
      </c>
      <c r="B1045" t="inlineStr">
        <is>
          <t>CURAL</t>
        </is>
      </c>
      <c r="C1045" t="inlineStr">
        <is>
          <t>SHELVES</t>
        </is>
      </c>
      <c r="D1045" t="inlineStr">
        <is>
          <t>PR3457 .V37 1986</t>
        </is>
      </c>
      <c r="E1045" t="inlineStr">
        <is>
          <t>0                      PR 3457000V  37          1986</t>
        </is>
      </c>
      <c r="F1045" t="inlineStr">
        <is>
          <t>Henry Fielding / Simon Varey.</t>
        </is>
      </c>
      <c r="H1045" t="inlineStr">
        <is>
          <t>No</t>
        </is>
      </c>
      <c r="I1045" t="inlineStr">
        <is>
          <t>1</t>
        </is>
      </c>
      <c r="J1045" t="inlineStr">
        <is>
          <t>No</t>
        </is>
      </c>
      <c r="K1045" t="inlineStr">
        <is>
          <t>No</t>
        </is>
      </c>
      <c r="L1045" t="inlineStr">
        <is>
          <t>0</t>
        </is>
      </c>
      <c r="M1045" t="inlineStr">
        <is>
          <t>Varey, Simon, 1951-</t>
        </is>
      </c>
      <c r="N1045" t="inlineStr">
        <is>
          <t>Cambridge [Cambridgeshire] ; New York : Cambridge University Press, 1986.</t>
        </is>
      </c>
      <c r="O1045" t="inlineStr">
        <is>
          <t>1986</t>
        </is>
      </c>
      <c r="Q1045" t="inlineStr">
        <is>
          <t>eng</t>
        </is>
      </c>
      <c r="R1045" t="inlineStr">
        <is>
          <t>enk</t>
        </is>
      </c>
      <c r="S1045" t="inlineStr">
        <is>
          <t>British and Irish authors</t>
        </is>
      </c>
      <c r="T1045" t="inlineStr">
        <is>
          <t xml:space="preserve">PR </t>
        </is>
      </c>
      <c r="U1045" t="n">
        <v>1</v>
      </c>
      <c r="V1045" t="n">
        <v>1</v>
      </c>
      <c r="W1045" t="inlineStr">
        <is>
          <t>1995-04-23</t>
        </is>
      </c>
      <c r="X1045" t="inlineStr">
        <is>
          <t>1995-04-23</t>
        </is>
      </c>
      <c r="Y1045" t="inlineStr">
        <is>
          <t>1991-04-23</t>
        </is>
      </c>
      <c r="Z1045" t="inlineStr">
        <is>
          <t>1991-04-23</t>
        </is>
      </c>
      <c r="AA1045" t="n">
        <v>624</v>
      </c>
      <c r="AB1045" t="n">
        <v>465</v>
      </c>
      <c r="AC1045" t="n">
        <v>471</v>
      </c>
      <c r="AD1045" t="n">
        <v>2</v>
      </c>
      <c r="AE1045" t="n">
        <v>2</v>
      </c>
      <c r="AF1045" t="n">
        <v>29</v>
      </c>
      <c r="AG1045" t="n">
        <v>29</v>
      </c>
      <c r="AH1045" t="n">
        <v>15</v>
      </c>
      <c r="AI1045" t="n">
        <v>15</v>
      </c>
      <c r="AJ1045" t="n">
        <v>6</v>
      </c>
      <c r="AK1045" t="n">
        <v>6</v>
      </c>
      <c r="AL1045" t="n">
        <v>18</v>
      </c>
      <c r="AM1045" t="n">
        <v>18</v>
      </c>
      <c r="AN1045" t="n">
        <v>1</v>
      </c>
      <c r="AO1045" t="n">
        <v>1</v>
      </c>
      <c r="AP1045" t="n">
        <v>0</v>
      </c>
      <c r="AQ1045" t="n">
        <v>0</v>
      </c>
      <c r="AR1045" t="inlineStr">
        <is>
          <t>No</t>
        </is>
      </c>
      <c r="AS1045" t="inlineStr">
        <is>
          <t>Yes</t>
        </is>
      </c>
      <c r="AT1045">
        <f>HYPERLINK("http://catalog.hathitrust.org/Record/000589202","HathiTrust Record")</f>
        <v/>
      </c>
      <c r="AU1045">
        <f>HYPERLINK("https://creighton-primo.hosted.exlibrisgroup.com/primo-explore/search?tab=default_tab&amp;search_scope=EVERYTHING&amp;vid=01CRU&amp;lang=en_US&amp;offset=0&amp;query=any,contains,991000762809702656","Catalog Record")</f>
        <v/>
      </c>
      <c r="AV1045">
        <f>HYPERLINK("http://www.worldcat.org/oclc/12974993","WorldCat Record")</f>
        <v/>
      </c>
      <c r="AW1045" t="inlineStr">
        <is>
          <t>5636551:eng</t>
        </is>
      </c>
      <c r="AX1045" t="inlineStr">
        <is>
          <t>12974993</t>
        </is>
      </c>
      <c r="AY1045" t="inlineStr">
        <is>
          <t>991000762809702656</t>
        </is>
      </c>
      <c r="AZ1045" t="inlineStr">
        <is>
          <t>991000762809702656</t>
        </is>
      </c>
      <c r="BA1045" t="inlineStr">
        <is>
          <t>2262324550002656</t>
        </is>
      </c>
      <c r="BB1045" t="inlineStr">
        <is>
          <t>BOOK</t>
        </is>
      </c>
      <c r="BD1045" t="inlineStr">
        <is>
          <t>9780521278768</t>
        </is>
      </c>
      <c r="BE1045" t="inlineStr">
        <is>
          <t>32285000585785</t>
        </is>
      </c>
      <c r="BF1045" t="inlineStr">
        <is>
          <t>893432269</t>
        </is>
      </c>
    </row>
    <row r="1046">
      <c r="A1046" t="inlineStr">
        <is>
          <t>No</t>
        </is>
      </c>
      <c r="B1046" t="inlineStr">
        <is>
          <t>CURAL</t>
        </is>
      </c>
      <c r="C1046" t="inlineStr">
        <is>
          <t>SHELVES</t>
        </is>
      </c>
      <c r="D1046" t="inlineStr">
        <is>
          <t>PR3458.L3 H3</t>
        </is>
      </c>
      <c r="E1046" t="inlineStr">
        <is>
          <t>0                      PR 3458000L  3                  H  3</t>
        </is>
      </c>
      <c r="F1046" t="inlineStr">
        <is>
          <t>Henry Fielding and the language of irony [by] Glenn W. Hatfield.</t>
        </is>
      </c>
      <c r="H1046" t="inlineStr">
        <is>
          <t>No</t>
        </is>
      </c>
      <c r="I1046" t="inlineStr">
        <is>
          <t>1</t>
        </is>
      </c>
      <c r="J1046" t="inlineStr">
        <is>
          <t>No</t>
        </is>
      </c>
      <c r="K1046" t="inlineStr">
        <is>
          <t>No</t>
        </is>
      </c>
      <c r="L1046" t="inlineStr">
        <is>
          <t>0</t>
        </is>
      </c>
      <c r="M1046" t="inlineStr">
        <is>
          <t>Hatfield, Glenn W.</t>
        </is>
      </c>
      <c r="N1046" t="inlineStr">
        <is>
          <t>Chicago, University of Chicago Press [1968]</t>
        </is>
      </c>
      <c r="O1046" t="inlineStr">
        <is>
          <t>1968</t>
        </is>
      </c>
      <c r="Q1046" t="inlineStr">
        <is>
          <t>eng</t>
        </is>
      </c>
      <c r="R1046" t="inlineStr">
        <is>
          <t>ilu</t>
        </is>
      </c>
      <c r="T1046" t="inlineStr">
        <is>
          <t xml:space="preserve">PR </t>
        </is>
      </c>
      <c r="U1046" t="n">
        <v>1</v>
      </c>
      <c r="V1046" t="n">
        <v>1</v>
      </c>
      <c r="W1046" t="inlineStr">
        <is>
          <t>2007-02-27</t>
        </is>
      </c>
      <c r="X1046" t="inlineStr">
        <is>
          <t>2007-02-27</t>
        </is>
      </c>
      <c r="Y1046" t="inlineStr">
        <is>
          <t>1997-08-07</t>
        </is>
      </c>
      <c r="Z1046" t="inlineStr">
        <is>
          <t>1997-08-07</t>
        </is>
      </c>
      <c r="AA1046" t="n">
        <v>837</v>
      </c>
      <c r="AB1046" t="n">
        <v>666</v>
      </c>
      <c r="AC1046" t="n">
        <v>679</v>
      </c>
      <c r="AD1046" t="n">
        <v>7</v>
      </c>
      <c r="AE1046" t="n">
        <v>7</v>
      </c>
      <c r="AF1046" t="n">
        <v>37</v>
      </c>
      <c r="AG1046" t="n">
        <v>37</v>
      </c>
      <c r="AH1046" t="n">
        <v>14</v>
      </c>
      <c r="AI1046" t="n">
        <v>14</v>
      </c>
      <c r="AJ1046" t="n">
        <v>9</v>
      </c>
      <c r="AK1046" t="n">
        <v>9</v>
      </c>
      <c r="AL1046" t="n">
        <v>16</v>
      </c>
      <c r="AM1046" t="n">
        <v>16</v>
      </c>
      <c r="AN1046" t="n">
        <v>6</v>
      </c>
      <c r="AO1046" t="n">
        <v>6</v>
      </c>
      <c r="AP1046" t="n">
        <v>0</v>
      </c>
      <c r="AQ1046" t="n">
        <v>0</v>
      </c>
      <c r="AR1046" t="inlineStr">
        <is>
          <t>No</t>
        </is>
      </c>
      <c r="AS1046" t="inlineStr">
        <is>
          <t>Yes</t>
        </is>
      </c>
      <c r="AT1046">
        <f>HYPERLINK("http://catalog.hathitrust.org/Record/000388538","HathiTrust Record")</f>
        <v/>
      </c>
      <c r="AU1046">
        <f>HYPERLINK("https://creighton-primo.hosted.exlibrisgroup.com/primo-explore/search?tab=default_tab&amp;search_scope=EVERYTHING&amp;vid=01CRU&amp;lang=en_US&amp;offset=0&amp;query=any,contains,991002778929702656","Catalog Record")</f>
        <v/>
      </c>
      <c r="AV1046">
        <f>HYPERLINK("http://www.worldcat.org/oclc/439578","WorldCat Record")</f>
        <v/>
      </c>
      <c r="AW1046" t="inlineStr">
        <is>
          <t>418533:eng</t>
        </is>
      </c>
      <c r="AX1046" t="inlineStr">
        <is>
          <t>439578</t>
        </is>
      </c>
      <c r="AY1046" t="inlineStr">
        <is>
          <t>991002778929702656</t>
        </is>
      </c>
      <c r="AZ1046" t="inlineStr">
        <is>
          <t>991002778929702656</t>
        </is>
      </c>
      <c r="BA1046" t="inlineStr">
        <is>
          <t>2266538990002656</t>
        </is>
      </c>
      <c r="BB1046" t="inlineStr">
        <is>
          <t>BOOK</t>
        </is>
      </c>
      <c r="BE1046" t="inlineStr">
        <is>
          <t>32285003025961</t>
        </is>
      </c>
      <c r="BF1046" t="inlineStr">
        <is>
          <t>893227263</t>
        </is>
      </c>
    </row>
    <row r="1047">
      <c r="A1047" t="inlineStr">
        <is>
          <t>No</t>
        </is>
      </c>
      <c r="B1047" t="inlineStr">
        <is>
          <t>CURAL</t>
        </is>
      </c>
      <c r="C1047" t="inlineStr">
        <is>
          <t>SHELVES</t>
        </is>
      </c>
      <c r="D1047" t="inlineStr">
        <is>
          <t>PR3458.P8 C36 1995</t>
        </is>
      </c>
      <c r="E1047" t="inlineStr">
        <is>
          <t>0                      PR 3458000P  8                  C  36          1995</t>
        </is>
      </c>
      <c r="F1047" t="inlineStr">
        <is>
          <t>Natural masques : gender and identity in Fielding's plays and novels / Jill Campbell.</t>
        </is>
      </c>
      <c r="H1047" t="inlineStr">
        <is>
          <t>No</t>
        </is>
      </c>
      <c r="I1047" t="inlineStr">
        <is>
          <t>1</t>
        </is>
      </c>
      <c r="J1047" t="inlineStr">
        <is>
          <t>No</t>
        </is>
      </c>
      <c r="K1047" t="inlineStr">
        <is>
          <t>No</t>
        </is>
      </c>
      <c r="L1047" t="inlineStr">
        <is>
          <t>0</t>
        </is>
      </c>
      <c r="M1047" t="inlineStr">
        <is>
          <t>Campbell, Jill, 1958-</t>
        </is>
      </c>
      <c r="N1047" t="inlineStr">
        <is>
          <t>Stanford, Calif. : Stanford University Press, 1995.</t>
        </is>
      </c>
      <c r="O1047" t="inlineStr">
        <is>
          <t>1995</t>
        </is>
      </c>
      <c r="Q1047" t="inlineStr">
        <is>
          <t>eng</t>
        </is>
      </c>
      <c r="R1047" t="inlineStr">
        <is>
          <t>cau</t>
        </is>
      </c>
      <c r="T1047" t="inlineStr">
        <is>
          <t xml:space="preserve">PR </t>
        </is>
      </c>
      <c r="U1047" t="n">
        <v>3</v>
      </c>
      <c r="V1047" t="n">
        <v>3</v>
      </c>
      <c r="W1047" t="inlineStr">
        <is>
          <t>2004-11-08</t>
        </is>
      </c>
      <c r="X1047" t="inlineStr">
        <is>
          <t>2004-11-08</t>
        </is>
      </c>
      <c r="Y1047" t="inlineStr">
        <is>
          <t>1996-01-18</t>
        </is>
      </c>
      <c r="Z1047" t="inlineStr">
        <is>
          <t>1996-01-18</t>
        </is>
      </c>
      <c r="AA1047" t="n">
        <v>610</v>
      </c>
      <c r="AB1047" t="n">
        <v>478</v>
      </c>
      <c r="AC1047" t="n">
        <v>479</v>
      </c>
      <c r="AD1047" t="n">
        <v>4</v>
      </c>
      <c r="AE1047" t="n">
        <v>4</v>
      </c>
      <c r="AF1047" t="n">
        <v>35</v>
      </c>
      <c r="AG1047" t="n">
        <v>35</v>
      </c>
      <c r="AH1047" t="n">
        <v>19</v>
      </c>
      <c r="AI1047" t="n">
        <v>19</v>
      </c>
      <c r="AJ1047" t="n">
        <v>9</v>
      </c>
      <c r="AK1047" t="n">
        <v>9</v>
      </c>
      <c r="AL1047" t="n">
        <v>16</v>
      </c>
      <c r="AM1047" t="n">
        <v>16</v>
      </c>
      <c r="AN1047" t="n">
        <v>3</v>
      </c>
      <c r="AO1047" t="n">
        <v>3</v>
      </c>
      <c r="AP1047" t="n">
        <v>0</v>
      </c>
      <c r="AQ1047" t="n">
        <v>0</v>
      </c>
      <c r="AR1047" t="inlineStr">
        <is>
          <t>No</t>
        </is>
      </c>
      <c r="AS1047" t="inlineStr">
        <is>
          <t>No</t>
        </is>
      </c>
      <c r="AU1047">
        <f>HYPERLINK("https://creighton-primo.hosted.exlibrisgroup.com/primo-explore/search?tab=default_tab&amp;search_scope=EVERYTHING&amp;vid=01CRU&amp;lang=en_US&amp;offset=0&amp;query=any,contains,991002379889702656","Catalog Record")</f>
        <v/>
      </c>
      <c r="AV1047">
        <f>HYPERLINK("http://www.worldcat.org/oclc/30915861","WorldCat Record")</f>
        <v/>
      </c>
      <c r="AW1047" t="inlineStr">
        <is>
          <t>809013524:eng</t>
        </is>
      </c>
      <c r="AX1047" t="inlineStr">
        <is>
          <t>30915861</t>
        </is>
      </c>
      <c r="AY1047" t="inlineStr">
        <is>
          <t>991002379889702656</t>
        </is>
      </c>
      <c r="AZ1047" t="inlineStr">
        <is>
          <t>991002379889702656</t>
        </is>
      </c>
      <c r="BA1047" t="inlineStr">
        <is>
          <t>2271090940002656</t>
        </is>
      </c>
      <c r="BB1047" t="inlineStr">
        <is>
          <t>BOOK</t>
        </is>
      </c>
      <c r="BD1047" t="inlineStr">
        <is>
          <t>9780804723916</t>
        </is>
      </c>
      <c r="BE1047" t="inlineStr">
        <is>
          <t>32285002119609</t>
        </is>
      </c>
      <c r="BF1047" t="inlineStr">
        <is>
          <t>893716378</t>
        </is>
      </c>
    </row>
    <row r="1048">
      <c r="A1048" t="inlineStr">
        <is>
          <t>No</t>
        </is>
      </c>
      <c r="B1048" t="inlineStr">
        <is>
          <t>CURAL</t>
        </is>
      </c>
      <c r="C1048" t="inlineStr">
        <is>
          <t>SHELVES</t>
        </is>
      </c>
      <c r="D1048" t="inlineStr">
        <is>
          <t>PR3459.F3 A3</t>
        </is>
      </c>
      <c r="E1048" t="inlineStr">
        <is>
          <t>0                      PR 3459000F  3                  A  3</t>
        </is>
      </c>
      <c r="F1048" t="inlineStr">
        <is>
          <t>The adventures of David Simple: containing an account of his travels through the Cities of London and Westminster in the search of a real friend; edited with an introduction by Malcolm Kelsall.</t>
        </is>
      </c>
      <c r="H1048" t="inlineStr">
        <is>
          <t>No</t>
        </is>
      </c>
      <c r="I1048" t="inlineStr">
        <is>
          <t>1</t>
        </is>
      </c>
      <c r="J1048" t="inlineStr">
        <is>
          <t>No</t>
        </is>
      </c>
      <c r="K1048" t="inlineStr">
        <is>
          <t>No</t>
        </is>
      </c>
      <c r="L1048" t="inlineStr">
        <is>
          <t>0</t>
        </is>
      </c>
      <c r="M1048" t="inlineStr">
        <is>
          <t>Fielding, Sarah, 1710-1768.</t>
        </is>
      </c>
      <c r="N1048" t="inlineStr">
        <is>
          <t>London, New York [etc.] Oxford U.P., 1969.</t>
        </is>
      </c>
      <c r="O1048" t="inlineStr">
        <is>
          <t>1969</t>
        </is>
      </c>
      <c r="Q1048" t="inlineStr">
        <is>
          <t>eng</t>
        </is>
      </c>
      <c r="R1048" t="inlineStr">
        <is>
          <t>enk</t>
        </is>
      </c>
      <c r="S1048" t="inlineStr">
        <is>
          <t>Oxford English novels</t>
        </is>
      </c>
      <c r="T1048" t="inlineStr">
        <is>
          <t xml:space="preserve">PR </t>
        </is>
      </c>
      <c r="U1048" t="n">
        <v>2</v>
      </c>
      <c r="V1048" t="n">
        <v>2</v>
      </c>
      <c r="W1048" t="inlineStr">
        <is>
          <t>1999-10-22</t>
        </is>
      </c>
      <c r="X1048" t="inlineStr">
        <is>
          <t>1999-10-22</t>
        </is>
      </c>
      <c r="Y1048" t="inlineStr">
        <is>
          <t>1997-08-07</t>
        </is>
      </c>
      <c r="Z1048" t="inlineStr">
        <is>
          <t>1997-08-07</t>
        </is>
      </c>
      <c r="AA1048" t="n">
        <v>552</v>
      </c>
      <c r="AB1048" t="n">
        <v>383</v>
      </c>
      <c r="AC1048" t="n">
        <v>583</v>
      </c>
      <c r="AD1048" t="n">
        <v>3</v>
      </c>
      <c r="AE1048" t="n">
        <v>5</v>
      </c>
      <c r="AF1048" t="n">
        <v>21</v>
      </c>
      <c r="AG1048" t="n">
        <v>30</v>
      </c>
      <c r="AH1048" t="n">
        <v>7</v>
      </c>
      <c r="AI1048" t="n">
        <v>11</v>
      </c>
      <c r="AJ1048" t="n">
        <v>8</v>
      </c>
      <c r="AK1048" t="n">
        <v>9</v>
      </c>
      <c r="AL1048" t="n">
        <v>11</v>
      </c>
      <c r="AM1048" t="n">
        <v>16</v>
      </c>
      <c r="AN1048" t="n">
        <v>2</v>
      </c>
      <c r="AO1048" t="n">
        <v>4</v>
      </c>
      <c r="AP1048" t="n">
        <v>0</v>
      </c>
      <c r="AQ1048" t="n">
        <v>0</v>
      </c>
      <c r="AR1048" t="inlineStr">
        <is>
          <t>No</t>
        </is>
      </c>
      <c r="AS1048" t="inlineStr">
        <is>
          <t>Yes</t>
        </is>
      </c>
      <c r="AT1048">
        <f>HYPERLINK("http://catalog.hathitrust.org/Record/000394244","HathiTrust Record")</f>
        <v/>
      </c>
      <c r="AU1048">
        <f>HYPERLINK("https://creighton-primo.hosted.exlibrisgroup.com/primo-explore/search?tab=default_tab&amp;search_scope=EVERYTHING&amp;vid=01CRU&amp;lang=en_US&amp;offset=0&amp;query=any,contains,991000098479702656","Catalog Record")</f>
        <v/>
      </c>
      <c r="AV1048">
        <f>HYPERLINK("http://www.worldcat.org/oclc/43473","WorldCat Record")</f>
        <v/>
      </c>
      <c r="AW1048" t="inlineStr">
        <is>
          <t>2643359439:eng</t>
        </is>
      </c>
      <c r="AX1048" t="inlineStr">
        <is>
          <t>43473</t>
        </is>
      </c>
      <c r="AY1048" t="inlineStr">
        <is>
          <t>991000098479702656</t>
        </is>
      </c>
      <c r="AZ1048" t="inlineStr">
        <is>
          <t>991000098479702656</t>
        </is>
      </c>
      <c r="BA1048" t="inlineStr">
        <is>
          <t>2258433570002656</t>
        </is>
      </c>
      <c r="BB1048" t="inlineStr">
        <is>
          <t>BOOK</t>
        </is>
      </c>
      <c r="BD1048" t="inlineStr">
        <is>
          <t>9780192553201</t>
        </is>
      </c>
      <c r="BE1048" t="inlineStr">
        <is>
          <t>32285003025979</t>
        </is>
      </c>
      <c r="BF1048" t="inlineStr">
        <is>
          <t>893796403</t>
        </is>
      </c>
    </row>
    <row r="1049">
      <c r="A1049" t="inlineStr">
        <is>
          <t>No</t>
        </is>
      </c>
      <c r="B1049" t="inlineStr">
        <is>
          <t>CURAL</t>
        </is>
      </c>
      <c r="C1049" t="inlineStr">
        <is>
          <t>SHELVES</t>
        </is>
      </c>
      <c r="D1049" t="inlineStr">
        <is>
          <t>PR3469 .D56 1985</t>
        </is>
      </c>
      <c r="E1049" t="inlineStr">
        <is>
          <t>0                      PR 3469000D  56          1985</t>
        </is>
      </c>
      <c r="F1049" t="inlineStr">
        <is>
          <t>David Garrick / by Phyllis T. Dircks.</t>
        </is>
      </c>
      <c r="H1049" t="inlineStr">
        <is>
          <t>No</t>
        </is>
      </c>
      <c r="I1049" t="inlineStr">
        <is>
          <t>1</t>
        </is>
      </c>
      <c r="J1049" t="inlineStr">
        <is>
          <t>No</t>
        </is>
      </c>
      <c r="K1049" t="inlineStr">
        <is>
          <t>No</t>
        </is>
      </c>
      <c r="L1049" t="inlineStr">
        <is>
          <t>0</t>
        </is>
      </c>
      <c r="M1049" t="inlineStr">
        <is>
          <t>Dircks, Phyllis T.</t>
        </is>
      </c>
      <c r="N1049" t="inlineStr">
        <is>
          <t>Boston : Twayne, c1985.</t>
        </is>
      </c>
      <c r="O1049" t="inlineStr">
        <is>
          <t>1985</t>
        </is>
      </c>
      <c r="Q1049" t="inlineStr">
        <is>
          <t>eng</t>
        </is>
      </c>
      <c r="R1049" t="inlineStr">
        <is>
          <t>mau</t>
        </is>
      </c>
      <c r="S1049" t="inlineStr">
        <is>
          <t>Twayne's English authors series ; TEAS 403</t>
        </is>
      </c>
      <c r="T1049" t="inlineStr">
        <is>
          <t xml:space="preserve">PR </t>
        </is>
      </c>
      <c r="U1049" t="n">
        <v>1</v>
      </c>
      <c r="V1049" t="n">
        <v>1</v>
      </c>
      <c r="W1049" t="inlineStr">
        <is>
          <t>1993-05-03</t>
        </is>
      </c>
      <c r="X1049" t="inlineStr">
        <is>
          <t>1993-05-03</t>
        </is>
      </c>
      <c r="Y1049" t="inlineStr">
        <is>
          <t>1991-04-23</t>
        </is>
      </c>
      <c r="Z1049" t="inlineStr">
        <is>
          <t>1991-04-23</t>
        </is>
      </c>
      <c r="AA1049" t="n">
        <v>557</v>
      </c>
      <c r="AB1049" t="n">
        <v>482</v>
      </c>
      <c r="AC1049" t="n">
        <v>489</v>
      </c>
      <c r="AD1049" t="n">
        <v>5</v>
      </c>
      <c r="AE1049" t="n">
        <v>5</v>
      </c>
      <c r="AF1049" t="n">
        <v>25</v>
      </c>
      <c r="AG1049" t="n">
        <v>25</v>
      </c>
      <c r="AH1049" t="n">
        <v>8</v>
      </c>
      <c r="AI1049" t="n">
        <v>8</v>
      </c>
      <c r="AJ1049" t="n">
        <v>6</v>
      </c>
      <c r="AK1049" t="n">
        <v>6</v>
      </c>
      <c r="AL1049" t="n">
        <v>14</v>
      </c>
      <c r="AM1049" t="n">
        <v>14</v>
      </c>
      <c r="AN1049" t="n">
        <v>4</v>
      </c>
      <c r="AO1049" t="n">
        <v>4</v>
      </c>
      <c r="AP1049" t="n">
        <v>0</v>
      </c>
      <c r="AQ1049" t="n">
        <v>0</v>
      </c>
      <c r="AR1049" t="inlineStr">
        <is>
          <t>No</t>
        </is>
      </c>
      <c r="AS1049" t="inlineStr">
        <is>
          <t>Yes</t>
        </is>
      </c>
      <c r="AT1049">
        <f>HYPERLINK("http://catalog.hathitrust.org/Record/000562671","HathiTrust Record")</f>
        <v/>
      </c>
      <c r="AU1049">
        <f>HYPERLINK("https://creighton-primo.hosted.exlibrisgroup.com/primo-explore/search?tab=default_tab&amp;search_scope=EVERYTHING&amp;vid=01CRU&amp;lang=en_US&amp;offset=0&amp;query=any,contains,991000478789702656","Catalog Record")</f>
        <v/>
      </c>
      <c r="AV1049">
        <f>HYPERLINK("http://www.worldcat.org/oclc/11044204","WorldCat Record")</f>
        <v/>
      </c>
      <c r="AW1049" t="inlineStr">
        <is>
          <t>4058118:eng</t>
        </is>
      </c>
      <c r="AX1049" t="inlineStr">
        <is>
          <t>11044204</t>
        </is>
      </c>
      <c r="AY1049" t="inlineStr">
        <is>
          <t>991000478789702656</t>
        </is>
      </c>
      <c r="AZ1049" t="inlineStr">
        <is>
          <t>991000478789702656</t>
        </is>
      </c>
      <c r="BA1049" t="inlineStr">
        <is>
          <t>2261013040002656</t>
        </is>
      </c>
      <c r="BB1049" t="inlineStr">
        <is>
          <t>BOOK</t>
        </is>
      </c>
      <c r="BD1049" t="inlineStr">
        <is>
          <t>9780805768930</t>
        </is>
      </c>
      <c r="BE1049" t="inlineStr">
        <is>
          <t>32285000585850</t>
        </is>
      </c>
      <c r="BF1049" t="inlineStr">
        <is>
          <t>893339576</t>
        </is>
      </c>
    </row>
    <row r="1050">
      <c r="A1050" t="inlineStr">
        <is>
          <t>No</t>
        </is>
      </c>
      <c r="B1050" t="inlineStr">
        <is>
          <t>CURAL</t>
        </is>
      </c>
      <c r="C1050" t="inlineStr">
        <is>
          <t>SHELVES</t>
        </is>
      </c>
      <c r="D1050" t="inlineStr">
        <is>
          <t>PR3473.B6 B4 1976</t>
        </is>
      </c>
      <c r="E1050" t="inlineStr">
        <is>
          <t>0                      PR 3473000B  6                  B  4           1976</t>
        </is>
      </c>
      <c r="F1050" t="inlineStr">
        <is>
          <t>The Beggar's opera : [materials / selected] by J. V. Guerinot and Rodney D. Jilg.</t>
        </is>
      </c>
      <c r="H1050" t="inlineStr">
        <is>
          <t>No</t>
        </is>
      </c>
      <c r="I1050" t="inlineStr">
        <is>
          <t>1</t>
        </is>
      </c>
      <c r="J1050" t="inlineStr">
        <is>
          <t>No</t>
        </is>
      </c>
      <c r="K1050" t="inlineStr">
        <is>
          <t>No</t>
        </is>
      </c>
      <c r="L1050" t="inlineStr">
        <is>
          <t>0</t>
        </is>
      </c>
      <c r="N1050" t="inlineStr">
        <is>
          <t>Hamden, Conn. : Archon Books, 1976.</t>
        </is>
      </c>
      <c r="O1050" t="inlineStr">
        <is>
          <t>1976</t>
        </is>
      </c>
      <c r="Q1050" t="inlineStr">
        <is>
          <t>eng</t>
        </is>
      </c>
      <c r="R1050" t="inlineStr">
        <is>
          <t>ctu</t>
        </is>
      </c>
      <c r="S1050" t="inlineStr">
        <is>
          <t>Contexts--selected literary works in their historical settings ; 1</t>
        </is>
      </c>
      <c r="T1050" t="inlineStr">
        <is>
          <t xml:space="preserve">PR </t>
        </is>
      </c>
      <c r="U1050" t="n">
        <v>1</v>
      </c>
      <c r="V1050" t="n">
        <v>1</v>
      </c>
      <c r="W1050" t="inlineStr">
        <is>
          <t>2006-11-20</t>
        </is>
      </c>
      <c r="X1050" t="inlineStr">
        <is>
          <t>2006-11-20</t>
        </is>
      </c>
      <c r="Y1050" t="inlineStr">
        <is>
          <t>1991-04-23</t>
        </is>
      </c>
      <c r="Z1050" t="inlineStr">
        <is>
          <t>1991-04-23</t>
        </is>
      </c>
      <c r="AA1050" t="n">
        <v>487</v>
      </c>
      <c r="AB1050" t="n">
        <v>415</v>
      </c>
      <c r="AC1050" t="n">
        <v>421</v>
      </c>
      <c r="AD1050" t="n">
        <v>2</v>
      </c>
      <c r="AE1050" t="n">
        <v>2</v>
      </c>
      <c r="AF1050" t="n">
        <v>21</v>
      </c>
      <c r="AG1050" t="n">
        <v>21</v>
      </c>
      <c r="AH1050" t="n">
        <v>9</v>
      </c>
      <c r="AI1050" t="n">
        <v>9</v>
      </c>
      <c r="AJ1050" t="n">
        <v>7</v>
      </c>
      <c r="AK1050" t="n">
        <v>7</v>
      </c>
      <c r="AL1050" t="n">
        <v>10</v>
      </c>
      <c r="AM1050" t="n">
        <v>10</v>
      </c>
      <c r="AN1050" t="n">
        <v>1</v>
      </c>
      <c r="AO1050" t="n">
        <v>1</v>
      </c>
      <c r="AP1050" t="n">
        <v>0</v>
      </c>
      <c r="AQ1050" t="n">
        <v>0</v>
      </c>
      <c r="AR1050" t="inlineStr">
        <is>
          <t>No</t>
        </is>
      </c>
      <c r="AS1050" t="inlineStr">
        <is>
          <t>Yes</t>
        </is>
      </c>
      <c r="AT1050">
        <f>HYPERLINK("http://catalog.hathitrust.org/Record/002424792","HathiTrust Record")</f>
        <v/>
      </c>
      <c r="AU1050">
        <f>HYPERLINK("https://creighton-primo.hosted.exlibrisgroup.com/primo-explore/search?tab=default_tab&amp;search_scope=EVERYTHING&amp;vid=01CRU&amp;lang=en_US&amp;offset=0&amp;query=any,contains,991003865499702656","Catalog Record")</f>
        <v/>
      </c>
      <c r="AV1050">
        <f>HYPERLINK("http://www.worldcat.org/oclc/1676267","WorldCat Record")</f>
        <v/>
      </c>
      <c r="AW1050" t="inlineStr">
        <is>
          <t>4663605419:eng</t>
        </is>
      </c>
      <c r="AX1050" t="inlineStr">
        <is>
          <t>1676267</t>
        </is>
      </c>
      <c r="AY1050" t="inlineStr">
        <is>
          <t>991003865499702656</t>
        </is>
      </c>
      <c r="AZ1050" t="inlineStr">
        <is>
          <t>991003865499702656</t>
        </is>
      </c>
      <c r="BA1050" t="inlineStr">
        <is>
          <t>2265518660002656</t>
        </is>
      </c>
      <c r="BB1050" t="inlineStr">
        <is>
          <t>BOOK</t>
        </is>
      </c>
      <c r="BD1050" t="inlineStr">
        <is>
          <t>9780208014887</t>
        </is>
      </c>
      <c r="BE1050" t="inlineStr">
        <is>
          <t>32285000585876</t>
        </is>
      </c>
      <c r="BF1050" t="inlineStr">
        <is>
          <t>893627822</t>
        </is>
      </c>
    </row>
    <row r="1051">
      <c r="A1051" t="inlineStr">
        <is>
          <t>No</t>
        </is>
      </c>
      <c r="B1051" t="inlineStr">
        <is>
          <t>CURAL</t>
        </is>
      </c>
      <c r="C1051" t="inlineStr">
        <is>
          <t>SHELVES</t>
        </is>
      </c>
      <c r="D1051" t="inlineStr">
        <is>
          <t>PR3474 .A7</t>
        </is>
      </c>
      <c r="E1051" t="inlineStr">
        <is>
          <t>0                      PR 3474000A  7</t>
        </is>
      </c>
      <c r="F1051" t="inlineStr">
        <is>
          <t>John Gay, social critic.</t>
        </is>
      </c>
      <c r="H1051" t="inlineStr">
        <is>
          <t>No</t>
        </is>
      </c>
      <c r="I1051" t="inlineStr">
        <is>
          <t>1</t>
        </is>
      </c>
      <c r="J1051" t="inlineStr">
        <is>
          <t>No</t>
        </is>
      </c>
      <c r="K1051" t="inlineStr">
        <is>
          <t>No</t>
        </is>
      </c>
      <c r="L1051" t="inlineStr">
        <is>
          <t>0</t>
        </is>
      </c>
      <c r="M1051" t="inlineStr">
        <is>
          <t>Armens, Sven, 1921-2011.</t>
        </is>
      </c>
      <c r="N1051" t="inlineStr">
        <is>
          <t>New York : King's Crown Press, Columbia University, 1954.</t>
        </is>
      </c>
      <c r="O1051" t="inlineStr">
        <is>
          <t>1954</t>
        </is>
      </c>
      <c r="Q1051" t="inlineStr">
        <is>
          <t>eng</t>
        </is>
      </c>
      <c r="R1051" t="inlineStr">
        <is>
          <t xml:space="preserve">xx </t>
        </is>
      </c>
      <c r="T1051" t="inlineStr">
        <is>
          <t xml:space="preserve">PR </t>
        </is>
      </c>
      <c r="U1051" t="n">
        <v>2</v>
      </c>
      <c r="V1051" t="n">
        <v>2</v>
      </c>
      <c r="W1051" t="inlineStr">
        <is>
          <t>1996-10-24</t>
        </is>
      </c>
      <c r="X1051" t="inlineStr">
        <is>
          <t>1996-10-24</t>
        </is>
      </c>
      <c r="Y1051" t="inlineStr">
        <is>
          <t>1993-03-09</t>
        </is>
      </c>
      <c r="Z1051" t="inlineStr">
        <is>
          <t>1993-03-09</t>
        </is>
      </c>
      <c r="AA1051" t="n">
        <v>501</v>
      </c>
      <c r="AB1051" t="n">
        <v>437</v>
      </c>
      <c r="AC1051" t="n">
        <v>814</v>
      </c>
      <c r="AD1051" t="n">
        <v>3</v>
      </c>
      <c r="AE1051" t="n">
        <v>8</v>
      </c>
      <c r="AF1051" t="n">
        <v>28</v>
      </c>
      <c r="AG1051" t="n">
        <v>45</v>
      </c>
      <c r="AH1051" t="n">
        <v>14</v>
      </c>
      <c r="AI1051" t="n">
        <v>20</v>
      </c>
      <c r="AJ1051" t="n">
        <v>6</v>
      </c>
      <c r="AK1051" t="n">
        <v>8</v>
      </c>
      <c r="AL1051" t="n">
        <v>15</v>
      </c>
      <c r="AM1051" t="n">
        <v>24</v>
      </c>
      <c r="AN1051" t="n">
        <v>2</v>
      </c>
      <c r="AO1051" t="n">
        <v>7</v>
      </c>
      <c r="AP1051" t="n">
        <v>0</v>
      </c>
      <c r="AQ1051" t="n">
        <v>0</v>
      </c>
      <c r="AR1051" t="inlineStr">
        <is>
          <t>Yes</t>
        </is>
      </c>
      <c r="AS1051" t="inlineStr">
        <is>
          <t>No</t>
        </is>
      </c>
      <c r="AT1051">
        <f>HYPERLINK("http://catalog.hathitrust.org/Record/000390244","HathiTrust Record")</f>
        <v/>
      </c>
      <c r="AU1051">
        <f>HYPERLINK("https://creighton-primo.hosted.exlibrisgroup.com/primo-explore/search?tab=default_tab&amp;search_scope=EVERYTHING&amp;vid=01CRU&amp;lang=en_US&amp;offset=0&amp;query=any,contains,991002819149702656","Catalog Record")</f>
        <v/>
      </c>
      <c r="AV1051">
        <f>HYPERLINK("http://www.worldcat.org/oclc/466221","WorldCat Record")</f>
        <v/>
      </c>
      <c r="AW1051" t="inlineStr">
        <is>
          <t>1522309:eng</t>
        </is>
      </c>
      <c r="AX1051" t="inlineStr">
        <is>
          <t>466221</t>
        </is>
      </c>
      <c r="AY1051" t="inlineStr">
        <is>
          <t>991002819149702656</t>
        </is>
      </c>
      <c r="AZ1051" t="inlineStr">
        <is>
          <t>991002819149702656</t>
        </is>
      </c>
      <c r="BA1051" t="inlineStr">
        <is>
          <t>2259926620002656</t>
        </is>
      </c>
      <c r="BB1051" t="inlineStr">
        <is>
          <t>BOOK</t>
        </is>
      </c>
      <c r="BE1051" t="inlineStr">
        <is>
          <t>32285001571131</t>
        </is>
      </c>
      <c r="BF1051" t="inlineStr">
        <is>
          <t>893899279</t>
        </is>
      </c>
    </row>
    <row r="1052">
      <c r="A1052" t="inlineStr">
        <is>
          <t>No</t>
        </is>
      </c>
      <c r="B1052" t="inlineStr">
        <is>
          <t>CURAL</t>
        </is>
      </c>
      <c r="C1052" t="inlineStr">
        <is>
          <t>SHELVES</t>
        </is>
      </c>
      <c r="D1052" t="inlineStr">
        <is>
          <t>PR3474 .J64 1989</t>
        </is>
      </c>
      <c r="E1052" t="inlineStr">
        <is>
          <t>0                      PR 3474000J  64          1989</t>
        </is>
      </c>
      <c r="F1052" t="inlineStr">
        <is>
          <t>John Gay and the Scriblerians / edited by Peter Lewis and Nigel Wood.</t>
        </is>
      </c>
      <c r="H1052" t="inlineStr">
        <is>
          <t>No</t>
        </is>
      </c>
      <c r="I1052" t="inlineStr">
        <is>
          <t>1</t>
        </is>
      </c>
      <c r="J1052" t="inlineStr">
        <is>
          <t>No</t>
        </is>
      </c>
      <c r="K1052" t="inlineStr">
        <is>
          <t>No</t>
        </is>
      </c>
      <c r="L1052" t="inlineStr">
        <is>
          <t>0</t>
        </is>
      </c>
      <c r="N1052" t="inlineStr">
        <is>
          <t>London : Vision ; New York : St. Martins Press, 1989.</t>
        </is>
      </c>
      <c r="O1052" t="inlineStr">
        <is>
          <t>1989</t>
        </is>
      </c>
      <c r="Q1052" t="inlineStr">
        <is>
          <t>eng</t>
        </is>
      </c>
      <c r="R1052" t="inlineStr">
        <is>
          <t>enk</t>
        </is>
      </c>
      <c r="S1052" t="inlineStr">
        <is>
          <t>Critical studies series</t>
        </is>
      </c>
      <c r="T1052" t="inlineStr">
        <is>
          <t xml:space="preserve">PR </t>
        </is>
      </c>
      <c r="U1052" t="n">
        <v>5</v>
      </c>
      <c r="V1052" t="n">
        <v>5</v>
      </c>
      <c r="W1052" t="inlineStr">
        <is>
          <t>2003-12-07</t>
        </is>
      </c>
      <c r="X1052" t="inlineStr">
        <is>
          <t>2003-12-07</t>
        </is>
      </c>
      <c r="Y1052" t="inlineStr">
        <is>
          <t>1991-04-23</t>
        </is>
      </c>
      <c r="Z1052" t="inlineStr">
        <is>
          <t>1991-04-23</t>
        </is>
      </c>
      <c r="AA1052" t="n">
        <v>410</v>
      </c>
      <c r="AB1052" t="n">
        <v>337</v>
      </c>
      <c r="AC1052" t="n">
        <v>345</v>
      </c>
      <c r="AD1052" t="n">
        <v>4</v>
      </c>
      <c r="AE1052" t="n">
        <v>4</v>
      </c>
      <c r="AF1052" t="n">
        <v>20</v>
      </c>
      <c r="AG1052" t="n">
        <v>20</v>
      </c>
      <c r="AH1052" t="n">
        <v>6</v>
      </c>
      <c r="AI1052" t="n">
        <v>6</v>
      </c>
      <c r="AJ1052" t="n">
        <v>5</v>
      </c>
      <c r="AK1052" t="n">
        <v>5</v>
      </c>
      <c r="AL1052" t="n">
        <v>12</v>
      </c>
      <c r="AM1052" t="n">
        <v>12</v>
      </c>
      <c r="AN1052" t="n">
        <v>3</v>
      </c>
      <c r="AO1052" t="n">
        <v>3</v>
      </c>
      <c r="AP1052" t="n">
        <v>0</v>
      </c>
      <c r="AQ1052" t="n">
        <v>0</v>
      </c>
      <c r="AR1052" t="inlineStr">
        <is>
          <t>No</t>
        </is>
      </c>
      <c r="AS1052" t="inlineStr">
        <is>
          <t>No</t>
        </is>
      </c>
      <c r="AU1052">
        <f>HYPERLINK("https://creighton-primo.hosted.exlibrisgroup.com/primo-explore/search?tab=default_tab&amp;search_scope=EVERYTHING&amp;vid=01CRU&amp;lang=en_US&amp;offset=0&amp;query=any,contains,991001296569702656","Catalog Record")</f>
        <v/>
      </c>
      <c r="AV1052">
        <f>HYPERLINK("http://www.worldcat.org/oclc/18049028","WorldCat Record")</f>
        <v/>
      </c>
      <c r="AW1052" t="inlineStr">
        <is>
          <t>351427253:eng</t>
        </is>
      </c>
      <c r="AX1052" t="inlineStr">
        <is>
          <t>18049028</t>
        </is>
      </c>
      <c r="AY1052" t="inlineStr">
        <is>
          <t>991001296569702656</t>
        </is>
      </c>
      <c r="AZ1052" t="inlineStr">
        <is>
          <t>991001296569702656</t>
        </is>
      </c>
      <c r="BA1052" t="inlineStr">
        <is>
          <t>2260462230002656</t>
        </is>
      </c>
      <c r="BB1052" t="inlineStr">
        <is>
          <t>BOOK</t>
        </is>
      </c>
      <c r="BD1052" t="inlineStr">
        <is>
          <t>9780312024222</t>
        </is>
      </c>
      <c r="BE1052" t="inlineStr">
        <is>
          <t>32285000585918</t>
        </is>
      </c>
      <c r="BF1052" t="inlineStr">
        <is>
          <t>893897685</t>
        </is>
      </c>
    </row>
    <row r="1053">
      <c r="A1053" t="inlineStr">
        <is>
          <t>No</t>
        </is>
      </c>
      <c r="B1053" t="inlineStr">
        <is>
          <t>CURAL</t>
        </is>
      </c>
      <c r="C1053" t="inlineStr">
        <is>
          <t>SHELVES</t>
        </is>
      </c>
      <c r="D1053" t="inlineStr">
        <is>
          <t>PR3474 .S67</t>
        </is>
      </c>
      <c r="E1053" t="inlineStr">
        <is>
          <t>0                      PR 3474000S  67</t>
        </is>
      </c>
      <c r="F1053" t="inlineStr">
        <is>
          <t>John Gay / by Patricia Meyer Spacks.</t>
        </is>
      </c>
      <c r="H1053" t="inlineStr">
        <is>
          <t>No</t>
        </is>
      </c>
      <c r="I1053" t="inlineStr">
        <is>
          <t>1</t>
        </is>
      </c>
      <c r="J1053" t="inlineStr">
        <is>
          <t>No</t>
        </is>
      </c>
      <c r="K1053" t="inlineStr">
        <is>
          <t>No</t>
        </is>
      </c>
      <c r="L1053" t="inlineStr">
        <is>
          <t>0</t>
        </is>
      </c>
      <c r="M1053" t="inlineStr">
        <is>
          <t>Spacks, Patricia Meyer.</t>
        </is>
      </c>
      <c r="N1053" t="inlineStr">
        <is>
          <t>New York : Twayne Publishers, [1965]</t>
        </is>
      </c>
      <c r="O1053" t="inlineStr">
        <is>
          <t>1965</t>
        </is>
      </c>
      <c r="Q1053" t="inlineStr">
        <is>
          <t>eng</t>
        </is>
      </c>
      <c r="R1053" t="inlineStr">
        <is>
          <t>nyu</t>
        </is>
      </c>
      <c r="S1053" t="inlineStr">
        <is>
          <t>Twayne's English authors series, 22</t>
        </is>
      </c>
      <c r="T1053" t="inlineStr">
        <is>
          <t xml:space="preserve">PR </t>
        </is>
      </c>
      <c r="U1053" t="n">
        <v>4</v>
      </c>
      <c r="V1053" t="n">
        <v>4</v>
      </c>
      <c r="W1053" t="inlineStr">
        <is>
          <t>1996-10-24</t>
        </is>
      </c>
      <c r="X1053" t="inlineStr">
        <is>
          <t>1996-10-24</t>
        </is>
      </c>
      <c r="Y1053" t="inlineStr">
        <is>
          <t>1990-11-14</t>
        </is>
      </c>
      <c r="Z1053" t="inlineStr">
        <is>
          <t>1990-11-14</t>
        </is>
      </c>
      <c r="AA1053" t="n">
        <v>1054</v>
      </c>
      <c r="AB1053" t="n">
        <v>957</v>
      </c>
      <c r="AC1053" t="n">
        <v>968</v>
      </c>
      <c r="AD1053" t="n">
        <v>10</v>
      </c>
      <c r="AE1053" t="n">
        <v>10</v>
      </c>
      <c r="AF1053" t="n">
        <v>42</v>
      </c>
      <c r="AG1053" t="n">
        <v>43</v>
      </c>
      <c r="AH1053" t="n">
        <v>16</v>
      </c>
      <c r="AI1053" t="n">
        <v>16</v>
      </c>
      <c r="AJ1053" t="n">
        <v>9</v>
      </c>
      <c r="AK1053" t="n">
        <v>9</v>
      </c>
      <c r="AL1053" t="n">
        <v>19</v>
      </c>
      <c r="AM1053" t="n">
        <v>20</v>
      </c>
      <c r="AN1053" t="n">
        <v>8</v>
      </c>
      <c r="AO1053" t="n">
        <v>8</v>
      </c>
      <c r="AP1053" t="n">
        <v>0</v>
      </c>
      <c r="AQ1053" t="n">
        <v>0</v>
      </c>
      <c r="AR1053" t="inlineStr">
        <is>
          <t>No</t>
        </is>
      </c>
      <c r="AS1053" t="inlineStr">
        <is>
          <t>Yes</t>
        </is>
      </c>
      <c r="AT1053">
        <f>HYPERLINK("http://catalog.hathitrust.org/Record/001375807","HathiTrust Record")</f>
        <v/>
      </c>
      <c r="AU1053">
        <f>HYPERLINK("https://creighton-primo.hosted.exlibrisgroup.com/primo-explore/search?tab=default_tab&amp;search_scope=EVERYTHING&amp;vid=01CRU&amp;lang=en_US&amp;offset=0&amp;query=any,contains,991002454259702656","Catalog Record")</f>
        <v/>
      </c>
      <c r="AV1053">
        <f>HYPERLINK("http://www.worldcat.org/oclc/353825","WorldCat Record")</f>
        <v/>
      </c>
      <c r="AW1053" t="inlineStr">
        <is>
          <t>1392437:eng</t>
        </is>
      </c>
      <c r="AX1053" t="inlineStr">
        <is>
          <t>353825</t>
        </is>
      </c>
      <c r="AY1053" t="inlineStr">
        <is>
          <t>991002454259702656</t>
        </is>
      </c>
      <c r="AZ1053" t="inlineStr">
        <is>
          <t>991002454259702656</t>
        </is>
      </c>
      <c r="BA1053" t="inlineStr">
        <is>
          <t>2267833240002656</t>
        </is>
      </c>
      <c r="BB1053" t="inlineStr">
        <is>
          <t>BOOK</t>
        </is>
      </c>
      <c r="BE1053" t="inlineStr">
        <is>
          <t>32285000396373</t>
        </is>
      </c>
      <c r="BF1053" t="inlineStr">
        <is>
          <t>893809501</t>
        </is>
      </c>
    </row>
    <row r="1054">
      <c r="A1054" t="inlineStr">
        <is>
          <t>No</t>
        </is>
      </c>
      <c r="B1054" t="inlineStr">
        <is>
          <t>CURAL</t>
        </is>
      </c>
      <c r="C1054" t="inlineStr">
        <is>
          <t>SHELVES</t>
        </is>
      </c>
      <c r="D1054" t="inlineStr">
        <is>
          <t>PR3476 .K433 1980</t>
        </is>
      </c>
      <c r="E1054" t="inlineStr">
        <is>
          <t>0                      PR 3476000K  433         1980</t>
        </is>
      </c>
      <c r="F1054" t="inlineStr">
        <is>
          <t>The library of Edward Gibbon : a catalogue / edited and introduced by Geoffrey Keynes.</t>
        </is>
      </c>
      <c r="H1054" t="inlineStr">
        <is>
          <t>No</t>
        </is>
      </c>
      <c r="I1054" t="inlineStr">
        <is>
          <t>1</t>
        </is>
      </c>
      <c r="J1054" t="inlineStr">
        <is>
          <t>No</t>
        </is>
      </c>
      <c r="K1054" t="inlineStr">
        <is>
          <t>No</t>
        </is>
      </c>
      <c r="L1054" t="inlineStr">
        <is>
          <t>0</t>
        </is>
      </c>
      <c r="M1054" t="inlineStr">
        <is>
          <t>Keynes, Geoffrey, 1887-1982.</t>
        </is>
      </c>
      <c r="N1054" t="inlineStr">
        <is>
          <t>Godalming : St. Paul's Bibliographies, 1980.</t>
        </is>
      </c>
      <c r="O1054" t="inlineStr">
        <is>
          <t>1980</t>
        </is>
      </c>
      <c r="P1054" t="inlineStr">
        <is>
          <t>2d ed.</t>
        </is>
      </c>
      <c r="Q1054" t="inlineStr">
        <is>
          <t>eng</t>
        </is>
      </c>
      <c r="R1054" t="inlineStr">
        <is>
          <t>enk</t>
        </is>
      </c>
      <c r="S1054" t="inlineStr">
        <is>
          <t>St. Paul's bibliographies ; no. 2</t>
        </is>
      </c>
      <c r="T1054" t="inlineStr">
        <is>
          <t xml:space="preserve">PR </t>
        </is>
      </c>
      <c r="U1054" t="n">
        <v>1</v>
      </c>
      <c r="V1054" t="n">
        <v>1</v>
      </c>
      <c r="W1054" t="inlineStr">
        <is>
          <t>2002-12-11</t>
        </is>
      </c>
      <c r="X1054" t="inlineStr">
        <is>
          <t>2002-12-11</t>
        </is>
      </c>
      <c r="Y1054" t="inlineStr">
        <is>
          <t>2002-12-11</t>
        </is>
      </c>
      <c r="Z1054" t="inlineStr">
        <is>
          <t>2002-12-11</t>
        </is>
      </c>
      <c r="AA1054" t="n">
        <v>205</v>
      </c>
      <c r="AB1054" t="n">
        <v>137</v>
      </c>
      <c r="AC1054" t="n">
        <v>139</v>
      </c>
      <c r="AD1054" t="n">
        <v>2</v>
      </c>
      <c r="AE1054" t="n">
        <v>2</v>
      </c>
      <c r="AF1054" t="n">
        <v>4</v>
      </c>
      <c r="AG1054" t="n">
        <v>4</v>
      </c>
      <c r="AH1054" t="n">
        <v>0</v>
      </c>
      <c r="AI1054" t="n">
        <v>0</v>
      </c>
      <c r="AJ1054" t="n">
        <v>0</v>
      </c>
      <c r="AK1054" t="n">
        <v>0</v>
      </c>
      <c r="AL1054" t="n">
        <v>3</v>
      </c>
      <c r="AM1054" t="n">
        <v>3</v>
      </c>
      <c r="AN1054" t="n">
        <v>1</v>
      </c>
      <c r="AO1054" t="n">
        <v>1</v>
      </c>
      <c r="AP1054" t="n">
        <v>0</v>
      </c>
      <c r="AQ1054" t="n">
        <v>0</v>
      </c>
      <c r="AR1054" t="inlineStr">
        <is>
          <t>No</t>
        </is>
      </c>
      <c r="AS1054" t="inlineStr">
        <is>
          <t>Yes</t>
        </is>
      </c>
      <c r="AT1054">
        <f>HYPERLINK("http://catalog.hathitrust.org/Record/000262410","HathiTrust Record")</f>
        <v/>
      </c>
      <c r="AU1054">
        <f>HYPERLINK("https://creighton-primo.hosted.exlibrisgroup.com/primo-explore/search?tab=default_tab&amp;search_scope=EVERYTHING&amp;vid=01CRU&amp;lang=en_US&amp;offset=0&amp;query=any,contains,991003960589702656","Catalog Record")</f>
        <v/>
      </c>
      <c r="AV1054">
        <f>HYPERLINK("http://www.worldcat.org/oclc/7248446","WorldCat Record")</f>
        <v/>
      </c>
      <c r="AW1054" t="inlineStr">
        <is>
          <t>1909056799:eng</t>
        </is>
      </c>
      <c r="AX1054" t="inlineStr">
        <is>
          <t>7248446</t>
        </is>
      </c>
      <c r="AY1054" t="inlineStr">
        <is>
          <t>991003960589702656</t>
        </is>
      </c>
      <c r="AZ1054" t="inlineStr">
        <is>
          <t>991003960589702656</t>
        </is>
      </c>
      <c r="BA1054" t="inlineStr">
        <is>
          <t>2267768320002656</t>
        </is>
      </c>
      <c r="BB1054" t="inlineStr">
        <is>
          <t>BOOK</t>
        </is>
      </c>
      <c r="BD1054" t="inlineStr">
        <is>
          <t>9780906795026</t>
        </is>
      </c>
      <c r="BE1054" t="inlineStr">
        <is>
          <t>32285004690706</t>
        </is>
      </c>
      <c r="BF1054" t="inlineStr">
        <is>
          <t>893499932</t>
        </is>
      </c>
    </row>
    <row r="1055">
      <c r="A1055" t="inlineStr">
        <is>
          <t>No</t>
        </is>
      </c>
      <c r="B1055" t="inlineStr">
        <is>
          <t>CURAL</t>
        </is>
      </c>
      <c r="C1055" t="inlineStr">
        <is>
          <t>SHELVES</t>
        </is>
      </c>
      <c r="D1055" t="inlineStr">
        <is>
          <t>PR3476 .L7</t>
        </is>
      </c>
      <c r="E1055" t="inlineStr">
        <is>
          <t>0                      PR 3476000L  7</t>
        </is>
      </c>
      <c r="F1055" t="inlineStr">
        <is>
          <t>Edward Gibbon, 1737-1794 [by] D.M. Low.</t>
        </is>
      </c>
      <c r="H1055" t="inlineStr">
        <is>
          <t>No</t>
        </is>
      </c>
      <c r="I1055" t="inlineStr">
        <is>
          <t>1</t>
        </is>
      </c>
      <c r="J1055" t="inlineStr">
        <is>
          <t>No</t>
        </is>
      </c>
      <c r="K1055" t="inlineStr">
        <is>
          <t>No</t>
        </is>
      </c>
      <c r="L1055" t="inlineStr">
        <is>
          <t>0</t>
        </is>
      </c>
      <c r="M1055" t="inlineStr">
        <is>
          <t>Low, D. M. (David Morrice), 1890-1972.</t>
        </is>
      </c>
      <c r="N1055" t="inlineStr">
        <is>
          <t>New York, Random House, 1937.</t>
        </is>
      </c>
      <c r="O1055" t="inlineStr">
        <is>
          <t>1937</t>
        </is>
      </c>
      <c r="Q1055" t="inlineStr">
        <is>
          <t>eng</t>
        </is>
      </c>
      <c r="R1055" t="inlineStr">
        <is>
          <t xml:space="preserve">xx </t>
        </is>
      </c>
      <c r="T1055" t="inlineStr">
        <is>
          <t xml:space="preserve">PR </t>
        </is>
      </c>
      <c r="U1055" t="n">
        <v>4</v>
      </c>
      <c r="V1055" t="n">
        <v>4</v>
      </c>
      <c r="W1055" t="inlineStr">
        <is>
          <t>2001-09-19</t>
        </is>
      </c>
      <c r="X1055" t="inlineStr">
        <is>
          <t>2001-09-19</t>
        </is>
      </c>
      <c r="Y1055" t="inlineStr">
        <is>
          <t>1997-08-06</t>
        </is>
      </c>
      <c r="Z1055" t="inlineStr">
        <is>
          <t>1997-08-06</t>
        </is>
      </c>
      <c r="AA1055" t="n">
        <v>303</v>
      </c>
      <c r="AB1055" t="n">
        <v>289</v>
      </c>
      <c r="AC1055" t="n">
        <v>456</v>
      </c>
      <c r="AD1055" t="n">
        <v>2</v>
      </c>
      <c r="AE1055" t="n">
        <v>5</v>
      </c>
      <c r="AF1055" t="n">
        <v>18</v>
      </c>
      <c r="AG1055" t="n">
        <v>30</v>
      </c>
      <c r="AH1055" t="n">
        <v>8</v>
      </c>
      <c r="AI1055" t="n">
        <v>11</v>
      </c>
      <c r="AJ1055" t="n">
        <v>4</v>
      </c>
      <c r="AK1055" t="n">
        <v>6</v>
      </c>
      <c r="AL1055" t="n">
        <v>10</v>
      </c>
      <c r="AM1055" t="n">
        <v>14</v>
      </c>
      <c r="AN1055" t="n">
        <v>1</v>
      </c>
      <c r="AO1055" t="n">
        <v>4</v>
      </c>
      <c r="AP1055" t="n">
        <v>0</v>
      </c>
      <c r="AQ1055" t="n">
        <v>1</v>
      </c>
      <c r="AR1055" t="inlineStr">
        <is>
          <t>No</t>
        </is>
      </c>
      <c r="AS1055" t="inlineStr">
        <is>
          <t>No</t>
        </is>
      </c>
      <c r="AT1055">
        <f>HYPERLINK("http://catalog.hathitrust.org/Record/000655670","HathiTrust Record")</f>
        <v/>
      </c>
      <c r="AU1055">
        <f>HYPERLINK("https://creighton-primo.hosted.exlibrisgroup.com/primo-explore/search?tab=default_tab&amp;search_scope=EVERYTHING&amp;vid=01CRU&amp;lang=en_US&amp;offset=0&amp;query=any,contains,991003169649702656","Catalog Record")</f>
        <v/>
      </c>
      <c r="AV1055">
        <f>HYPERLINK("http://www.worldcat.org/oclc/706330","WorldCat Record")</f>
        <v/>
      </c>
      <c r="AW1055" t="inlineStr">
        <is>
          <t>1632564:eng</t>
        </is>
      </c>
      <c r="AX1055" t="inlineStr">
        <is>
          <t>706330</t>
        </is>
      </c>
      <c r="AY1055" t="inlineStr">
        <is>
          <t>991003169649702656</t>
        </is>
      </c>
      <c r="AZ1055" t="inlineStr">
        <is>
          <t>991003169649702656</t>
        </is>
      </c>
      <c r="BA1055" t="inlineStr">
        <is>
          <t>2256410860002656</t>
        </is>
      </c>
      <c r="BB1055" t="inlineStr">
        <is>
          <t>BOOK</t>
        </is>
      </c>
      <c r="BE1055" t="inlineStr">
        <is>
          <t>32285003026050</t>
        </is>
      </c>
      <c r="BF1055" t="inlineStr">
        <is>
          <t>893721812</t>
        </is>
      </c>
    </row>
    <row r="1056">
      <c r="A1056" t="inlineStr">
        <is>
          <t>No</t>
        </is>
      </c>
      <c r="B1056" t="inlineStr">
        <is>
          <t>CURAL</t>
        </is>
      </c>
      <c r="C1056" t="inlineStr">
        <is>
          <t>SHELVES</t>
        </is>
      </c>
      <c r="D1056" t="inlineStr">
        <is>
          <t>PR3476 .Y6</t>
        </is>
      </c>
      <c r="E1056" t="inlineStr">
        <is>
          <t>0                      PR 3476000Y  6</t>
        </is>
      </c>
      <c r="F1056" t="inlineStr">
        <is>
          <t>Gibbon, by G. M. Young.</t>
        </is>
      </c>
      <c r="H1056" t="inlineStr">
        <is>
          <t>No</t>
        </is>
      </c>
      <c r="I1056" t="inlineStr">
        <is>
          <t>1</t>
        </is>
      </c>
      <c r="J1056" t="inlineStr">
        <is>
          <t>No</t>
        </is>
      </c>
      <c r="K1056" t="inlineStr">
        <is>
          <t>No</t>
        </is>
      </c>
      <c r="L1056" t="inlineStr">
        <is>
          <t>0</t>
        </is>
      </c>
      <c r="M1056" t="inlineStr">
        <is>
          <t>Young, G. M. (George Malcolm), 1882-1959.</t>
        </is>
      </c>
      <c r="N1056" t="inlineStr">
        <is>
          <t>New York, D. Appleton and company, 1933.</t>
        </is>
      </c>
      <c r="O1056" t="inlineStr">
        <is>
          <t>1933</t>
        </is>
      </c>
      <c r="Q1056" t="inlineStr">
        <is>
          <t>eng</t>
        </is>
      </c>
      <c r="R1056" t="inlineStr">
        <is>
          <t>nyu</t>
        </is>
      </c>
      <c r="S1056" t="inlineStr">
        <is>
          <t>Appleton biographies</t>
        </is>
      </c>
      <c r="T1056" t="inlineStr">
        <is>
          <t xml:space="preserve">PR </t>
        </is>
      </c>
      <c r="U1056" t="n">
        <v>1</v>
      </c>
      <c r="V1056" t="n">
        <v>1</v>
      </c>
      <c r="W1056" t="inlineStr">
        <is>
          <t>2001-09-19</t>
        </is>
      </c>
      <c r="X1056" t="inlineStr">
        <is>
          <t>2001-09-19</t>
        </is>
      </c>
      <c r="Y1056" t="inlineStr">
        <is>
          <t>1997-08-07</t>
        </is>
      </c>
      <c r="Z1056" t="inlineStr">
        <is>
          <t>1997-08-07</t>
        </is>
      </c>
      <c r="AA1056" t="n">
        <v>227</v>
      </c>
      <c r="AB1056" t="n">
        <v>213</v>
      </c>
      <c r="AC1056" t="n">
        <v>347</v>
      </c>
      <c r="AD1056" t="n">
        <v>2</v>
      </c>
      <c r="AE1056" t="n">
        <v>2</v>
      </c>
      <c r="AF1056" t="n">
        <v>6</v>
      </c>
      <c r="AG1056" t="n">
        <v>17</v>
      </c>
      <c r="AH1056" t="n">
        <v>3</v>
      </c>
      <c r="AI1056" t="n">
        <v>8</v>
      </c>
      <c r="AJ1056" t="n">
        <v>0</v>
      </c>
      <c r="AK1056" t="n">
        <v>4</v>
      </c>
      <c r="AL1056" t="n">
        <v>3</v>
      </c>
      <c r="AM1056" t="n">
        <v>10</v>
      </c>
      <c r="AN1056" t="n">
        <v>1</v>
      </c>
      <c r="AO1056" t="n">
        <v>1</v>
      </c>
      <c r="AP1056" t="n">
        <v>0</v>
      </c>
      <c r="AQ1056" t="n">
        <v>0</v>
      </c>
      <c r="AR1056" t="inlineStr">
        <is>
          <t>No</t>
        </is>
      </c>
      <c r="AS1056" t="inlineStr">
        <is>
          <t>Yes</t>
        </is>
      </c>
      <c r="AT1056">
        <f>HYPERLINK("http://catalog.hathitrust.org/Record/000391346","HathiTrust Record")</f>
        <v/>
      </c>
      <c r="AU1056">
        <f>HYPERLINK("https://creighton-primo.hosted.exlibrisgroup.com/primo-explore/search?tab=default_tab&amp;search_scope=EVERYTHING&amp;vid=01CRU&amp;lang=en_US&amp;offset=0&amp;query=any,contains,991003903519702656","Catalog Record")</f>
        <v/>
      </c>
      <c r="AV1056">
        <f>HYPERLINK("http://www.worldcat.org/oclc/1831637","WorldCat Record")</f>
        <v/>
      </c>
      <c r="AW1056" t="inlineStr">
        <is>
          <t>1810846:eng</t>
        </is>
      </c>
      <c r="AX1056" t="inlineStr">
        <is>
          <t>1831637</t>
        </is>
      </c>
      <c r="AY1056" t="inlineStr">
        <is>
          <t>991003903519702656</t>
        </is>
      </c>
      <c r="AZ1056" t="inlineStr">
        <is>
          <t>991003903519702656</t>
        </is>
      </c>
      <c r="BA1056" t="inlineStr">
        <is>
          <t>2259923160002656</t>
        </is>
      </c>
      <c r="BB1056" t="inlineStr">
        <is>
          <t>BOOK</t>
        </is>
      </c>
      <c r="BE1056" t="inlineStr">
        <is>
          <t>32285003026076</t>
        </is>
      </c>
      <c r="BF1056" t="inlineStr">
        <is>
          <t>893318556</t>
        </is>
      </c>
    </row>
    <row r="1057">
      <c r="A1057" t="inlineStr">
        <is>
          <t>No</t>
        </is>
      </c>
      <c r="B1057" t="inlineStr">
        <is>
          <t>CURAL</t>
        </is>
      </c>
      <c r="C1057" t="inlineStr">
        <is>
          <t>SHELVES</t>
        </is>
      </c>
      <c r="D1057" t="inlineStr">
        <is>
          <t>PR3476.Z5 W4</t>
        </is>
      </c>
      <c r="E1057" t="inlineStr">
        <is>
          <t>0                      PR 3476000Z  5                  W  4</t>
        </is>
      </c>
      <c r="F1057" t="inlineStr">
        <is>
          <t>Edward Gibbon.</t>
        </is>
      </c>
      <c r="H1057" t="inlineStr">
        <is>
          <t>No</t>
        </is>
      </c>
      <c r="I1057" t="inlineStr">
        <is>
          <t>1</t>
        </is>
      </c>
      <c r="J1057" t="inlineStr">
        <is>
          <t>No</t>
        </is>
      </c>
      <c r="K1057" t="inlineStr">
        <is>
          <t>No</t>
        </is>
      </c>
      <c r="L1057" t="inlineStr">
        <is>
          <t>0</t>
        </is>
      </c>
      <c r="M1057" t="inlineStr">
        <is>
          <t>Wedgwood, C. V. (Cicely Veronica), 1910-1997.</t>
        </is>
      </c>
      <c r="N1057" t="inlineStr">
        <is>
          <t>London, Published for the British Council by Longmans, Green [1955]</t>
        </is>
      </c>
      <c r="O1057" t="inlineStr">
        <is>
          <t>1955</t>
        </is>
      </c>
      <c r="Q1057" t="inlineStr">
        <is>
          <t>eng</t>
        </is>
      </c>
      <c r="R1057" t="inlineStr">
        <is>
          <t>enk</t>
        </is>
      </c>
      <c r="S1057" t="inlineStr">
        <is>
          <t>Writers and their work ; no. 66</t>
        </is>
      </c>
      <c r="T1057" t="inlineStr">
        <is>
          <t xml:space="preserve">PR </t>
        </is>
      </c>
      <c r="U1057" t="n">
        <v>1</v>
      </c>
      <c r="V1057" t="n">
        <v>1</v>
      </c>
      <c r="W1057" t="inlineStr">
        <is>
          <t>2001-09-19</t>
        </is>
      </c>
      <c r="X1057" t="inlineStr">
        <is>
          <t>2001-09-19</t>
        </is>
      </c>
      <c r="Y1057" t="inlineStr">
        <is>
          <t>1998-05-07</t>
        </is>
      </c>
      <c r="Z1057" t="inlineStr">
        <is>
          <t>1998-05-07</t>
        </is>
      </c>
      <c r="AA1057" t="n">
        <v>508</v>
      </c>
      <c r="AB1057" t="n">
        <v>380</v>
      </c>
      <c r="AC1057" t="n">
        <v>489</v>
      </c>
      <c r="AD1057" t="n">
        <v>4</v>
      </c>
      <c r="AE1057" t="n">
        <v>4</v>
      </c>
      <c r="AF1057" t="n">
        <v>26</v>
      </c>
      <c r="AG1057" t="n">
        <v>27</v>
      </c>
      <c r="AH1057" t="n">
        <v>12</v>
      </c>
      <c r="AI1057" t="n">
        <v>13</v>
      </c>
      <c r="AJ1057" t="n">
        <v>6</v>
      </c>
      <c r="AK1057" t="n">
        <v>6</v>
      </c>
      <c r="AL1057" t="n">
        <v>13</v>
      </c>
      <c r="AM1057" t="n">
        <v>13</v>
      </c>
      <c r="AN1057" t="n">
        <v>3</v>
      </c>
      <c r="AO1057" t="n">
        <v>3</v>
      </c>
      <c r="AP1057" t="n">
        <v>0</v>
      </c>
      <c r="AQ1057" t="n">
        <v>0</v>
      </c>
      <c r="AR1057" t="inlineStr">
        <is>
          <t>No</t>
        </is>
      </c>
      <c r="AS1057" t="inlineStr">
        <is>
          <t>Yes</t>
        </is>
      </c>
      <c r="AT1057">
        <f>HYPERLINK("http://catalog.hathitrust.org/Record/000391340","HathiTrust Record")</f>
        <v/>
      </c>
      <c r="AU1057">
        <f>HYPERLINK("https://creighton-primo.hosted.exlibrisgroup.com/primo-explore/search?tab=default_tab&amp;search_scope=EVERYTHING&amp;vid=01CRU&amp;lang=en_US&amp;offset=0&amp;query=any,contains,991002172339702656","Catalog Record")</f>
        <v/>
      </c>
      <c r="AV1057">
        <f>HYPERLINK("http://www.worldcat.org/oclc/277143","WorldCat Record")</f>
        <v/>
      </c>
      <c r="AW1057" t="inlineStr">
        <is>
          <t>58210100:eng</t>
        </is>
      </c>
      <c r="AX1057" t="inlineStr">
        <is>
          <t>277143</t>
        </is>
      </c>
      <c r="AY1057" t="inlineStr">
        <is>
          <t>991002172339702656</t>
        </is>
      </c>
      <c r="AZ1057" t="inlineStr">
        <is>
          <t>991002172339702656</t>
        </is>
      </c>
      <c r="BA1057" t="inlineStr">
        <is>
          <t>2260246530002656</t>
        </is>
      </c>
      <c r="BB1057" t="inlineStr">
        <is>
          <t>BOOK</t>
        </is>
      </c>
      <c r="BE1057" t="inlineStr">
        <is>
          <t>32285003395703</t>
        </is>
      </c>
      <c r="BF1057" t="inlineStr">
        <is>
          <t>893615779</t>
        </is>
      </c>
    </row>
    <row r="1058">
      <c r="A1058" t="inlineStr">
        <is>
          <t>No</t>
        </is>
      </c>
      <c r="B1058" t="inlineStr">
        <is>
          <t>CURAL</t>
        </is>
      </c>
      <c r="C1058" t="inlineStr">
        <is>
          <t>SHELVES</t>
        </is>
      </c>
      <c r="D1058" t="inlineStr">
        <is>
          <t>PR3493 .B5</t>
        </is>
      </c>
      <c r="E1058" t="inlineStr">
        <is>
          <t>0                      PR 3493000B  5</t>
        </is>
      </c>
      <c r="F1058" t="inlineStr">
        <is>
          <t>Goldsmith / by William Black.</t>
        </is>
      </c>
      <c r="H1058" t="inlineStr">
        <is>
          <t>No</t>
        </is>
      </c>
      <c r="I1058" t="inlineStr">
        <is>
          <t>1</t>
        </is>
      </c>
      <c r="J1058" t="inlineStr">
        <is>
          <t>No</t>
        </is>
      </c>
      <c r="K1058" t="inlineStr">
        <is>
          <t>Yes</t>
        </is>
      </c>
      <c r="L1058" t="inlineStr">
        <is>
          <t>0</t>
        </is>
      </c>
      <c r="M1058" t="inlineStr">
        <is>
          <t>Black, William, 1841-1898.</t>
        </is>
      </c>
      <c r="N1058" t="inlineStr">
        <is>
          <t>New York, Harper &amp; Brothers [n.d.]</t>
        </is>
      </c>
      <c r="Q1058" t="inlineStr">
        <is>
          <t>eng</t>
        </is>
      </c>
      <c r="R1058" t="inlineStr">
        <is>
          <t>nyu</t>
        </is>
      </c>
      <c r="S1058" t="inlineStr">
        <is>
          <t>English men of letters</t>
        </is>
      </c>
      <c r="T1058" t="inlineStr">
        <is>
          <t xml:space="preserve">PR </t>
        </is>
      </c>
      <c r="U1058" t="n">
        <v>3</v>
      </c>
      <c r="V1058" t="n">
        <v>3</v>
      </c>
      <c r="W1058" t="inlineStr">
        <is>
          <t>2004-11-06</t>
        </is>
      </c>
      <c r="X1058" t="inlineStr">
        <is>
          <t>2004-11-06</t>
        </is>
      </c>
      <c r="Y1058" t="inlineStr">
        <is>
          <t>1991-01-25</t>
        </is>
      </c>
      <c r="Z1058" t="inlineStr">
        <is>
          <t>1991-01-25</t>
        </is>
      </c>
      <c r="AA1058" t="n">
        <v>300</v>
      </c>
      <c r="AB1058" t="n">
        <v>286</v>
      </c>
      <c r="AC1058" t="n">
        <v>868</v>
      </c>
      <c r="AD1058" t="n">
        <v>4</v>
      </c>
      <c r="AE1058" t="n">
        <v>8</v>
      </c>
      <c r="AF1058" t="n">
        <v>18</v>
      </c>
      <c r="AG1058" t="n">
        <v>41</v>
      </c>
      <c r="AH1058" t="n">
        <v>6</v>
      </c>
      <c r="AI1058" t="n">
        <v>15</v>
      </c>
      <c r="AJ1058" t="n">
        <v>3</v>
      </c>
      <c r="AK1058" t="n">
        <v>7</v>
      </c>
      <c r="AL1058" t="n">
        <v>8</v>
      </c>
      <c r="AM1058" t="n">
        <v>21</v>
      </c>
      <c r="AN1058" t="n">
        <v>3</v>
      </c>
      <c r="AO1058" t="n">
        <v>7</v>
      </c>
      <c r="AP1058" t="n">
        <v>0</v>
      </c>
      <c r="AQ1058" t="n">
        <v>0</v>
      </c>
      <c r="AR1058" t="inlineStr">
        <is>
          <t>Yes</t>
        </is>
      </c>
      <c r="AS1058" t="inlineStr">
        <is>
          <t>No</t>
        </is>
      </c>
      <c r="AT1058">
        <f>HYPERLINK("http://catalog.hathitrust.org/Record/000391718","HathiTrust Record")</f>
        <v/>
      </c>
      <c r="AU1058">
        <f>HYPERLINK("https://creighton-primo.hosted.exlibrisgroup.com/primo-explore/search?tab=default_tab&amp;search_scope=EVERYTHING&amp;vid=01CRU&amp;lang=en_US&amp;offset=0&amp;query=any,contains,991002814589702656","Catalog Record")</f>
        <v/>
      </c>
      <c r="AV1058">
        <f>HYPERLINK("http://www.worldcat.org/oclc/457240","WorldCat Record")</f>
        <v/>
      </c>
      <c r="AW1058" t="inlineStr">
        <is>
          <t>1134199:eng</t>
        </is>
      </c>
      <c r="AX1058" t="inlineStr">
        <is>
          <t>457240</t>
        </is>
      </c>
      <c r="AY1058" t="inlineStr">
        <is>
          <t>991002814589702656</t>
        </is>
      </c>
      <c r="AZ1058" t="inlineStr">
        <is>
          <t>991002814589702656</t>
        </is>
      </c>
      <c r="BA1058" t="inlineStr">
        <is>
          <t>2262856900002656</t>
        </is>
      </c>
      <c r="BB1058" t="inlineStr">
        <is>
          <t>BOOK</t>
        </is>
      </c>
      <c r="BE1058" t="inlineStr">
        <is>
          <t>32285000463231</t>
        </is>
      </c>
      <c r="BF1058" t="inlineStr">
        <is>
          <t>893504840</t>
        </is>
      </c>
    </row>
    <row r="1059">
      <c r="A1059" t="inlineStr">
        <is>
          <t>No</t>
        </is>
      </c>
      <c r="B1059" t="inlineStr">
        <is>
          <t>CURAL</t>
        </is>
      </c>
      <c r="C1059" t="inlineStr">
        <is>
          <t>SHELVES</t>
        </is>
      </c>
      <c r="D1059" t="inlineStr">
        <is>
          <t>PR3493 .M6</t>
        </is>
      </c>
      <c r="E1059" t="inlineStr">
        <is>
          <t>0                      PR 3493000M  6</t>
        </is>
      </c>
      <c r="F1059" t="inlineStr">
        <is>
          <t>The life of Oliver Goldsmith.</t>
        </is>
      </c>
      <c r="H1059" t="inlineStr">
        <is>
          <t>No</t>
        </is>
      </c>
      <c r="I1059" t="inlineStr">
        <is>
          <t>1</t>
        </is>
      </c>
      <c r="J1059" t="inlineStr">
        <is>
          <t>No</t>
        </is>
      </c>
      <c r="K1059" t="inlineStr">
        <is>
          <t>No</t>
        </is>
      </c>
      <c r="L1059" t="inlineStr">
        <is>
          <t>0</t>
        </is>
      </c>
      <c r="M1059" t="inlineStr">
        <is>
          <t>Moore, Frank Frankfort, 1855-1931.</t>
        </is>
      </c>
      <c r="N1059" t="inlineStr">
        <is>
          <t>London : Constable &amp; company limited, 1910.</t>
        </is>
      </c>
      <c r="O1059" t="inlineStr">
        <is>
          <t>1910</t>
        </is>
      </c>
      <c r="Q1059" t="inlineStr">
        <is>
          <t>eng</t>
        </is>
      </c>
      <c r="R1059" t="inlineStr">
        <is>
          <t xml:space="preserve">xx </t>
        </is>
      </c>
      <c r="T1059" t="inlineStr">
        <is>
          <t xml:space="preserve">PR </t>
        </is>
      </c>
      <c r="U1059" t="n">
        <v>4</v>
      </c>
      <c r="V1059" t="n">
        <v>4</v>
      </c>
      <c r="W1059" t="inlineStr">
        <is>
          <t>2005-11-07</t>
        </is>
      </c>
      <c r="X1059" t="inlineStr">
        <is>
          <t>2005-11-07</t>
        </is>
      </c>
      <c r="Y1059" t="inlineStr">
        <is>
          <t>1992-12-23</t>
        </is>
      </c>
      <c r="Z1059" t="inlineStr">
        <is>
          <t>1992-12-23</t>
        </is>
      </c>
      <c r="AA1059" t="n">
        <v>184</v>
      </c>
      <c r="AB1059" t="n">
        <v>130</v>
      </c>
      <c r="AC1059" t="n">
        <v>245</v>
      </c>
      <c r="AD1059" t="n">
        <v>3</v>
      </c>
      <c r="AE1059" t="n">
        <v>3</v>
      </c>
      <c r="AF1059" t="n">
        <v>16</v>
      </c>
      <c r="AG1059" t="n">
        <v>18</v>
      </c>
      <c r="AH1059" t="n">
        <v>8</v>
      </c>
      <c r="AI1059" t="n">
        <v>8</v>
      </c>
      <c r="AJ1059" t="n">
        <v>4</v>
      </c>
      <c r="AK1059" t="n">
        <v>5</v>
      </c>
      <c r="AL1059" t="n">
        <v>9</v>
      </c>
      <c r="AM1059" t="n">
        <v>11</v>
      </c>
      <c r="AN1059" t="n">
        <v>2</v>
      </c>
      <c r="AO1059" t="n">
        <v>2</v>
      </c>
      <c r="AP1059" t="n">
        <v>0</v>
      </c>
      <c r="AQ1059" t="n">
        <v>0</v>
      </c>
      <c r="AR1059" t="inlineStr">
        <is>
          <t>Yes</t>
        </is>
      </c>
      <c r="AS1059" t="inlineStr">
        <is>
          <t>No</t>
        </is>
      </c>
      <c r="AT1059">
        <f>HYPERLINK("http://catalog.hathitrust.org/Record/000391822","HathiTrust Record")</f>
        <v/>
      </c>
      <c r="AU1059">
        <f>HYPERLINK("https://creighton-primo.hosted.exlibrisgroup.com/primo-explore/search?tab=default_tab&amp;search_scope=EVERYTHING&amp;vid=01CRU&amp;lang=en_US&amp;offset=0&amp;query=any,contains,991002454819702656","Catalog Record")</f>
        <v/>
      </c>
      <c r="AV1059">
        <f>HYPERLINK("http://www.worldcat.org/oclc/353937","WorldCat Record")</f>
        <v/>
      </c>
      <c r="AW1059" t="inlineStr">
        <is>
          <t>1392748:eng</t>
        </is>
      </c>
      <c r="AX1059" t="inlineStr">
        <is>
          <t>353937</t>
        </is>
      </c>
      <c r="AY1059" t="inlineStr">
        <is>
          <t>991002454819702656</t>
        </is>
      </c>
      <c r="AZ1059" t="inlineStr">
        <is>
          <t>991002454819702656</t>
        </is>
      </c>
      <c r="BA1059" t="inlineStr">
        <is>
          <t>2267824480002656</t>
        </is>
      </c>
      <c r="BB1059" t="inlineStr">
        <is>
          <t>BOOK</t>
        </is>
      </c>
      <c r="BE1059" t="inlineStr">
        <is>
          <t>32285001404101</t>
        </is>
      </c>
      <c r="BF1059" t="inlineStr">
        <is>
          <t>893440165</t>
        </is>
      </c>
    </row>
    <row r="1060">
      <c r="A1060" t="inlineStr">
        <is>
          <t>No</t>
        </is>
      </c>
      <c r="B1060" t="inlineStr">
        <is>
          <t>CURAL</t>
        </is>
      </c>
      <c r="C1060" t="inlineStr">
        <is>
          <t>SHELVES</t>
        </is>
      </c>
      <c r="D1060" t="inlineStr">
        <is>
          <t>PR3493 .S4</t>
        </is>
      </c>
      <c r="E1060" t="inlineStr">
        <is>
          <t>0                      PR 3493000S  4</t>
        </is>
      </c>
      <c r="F1060" t="inlineStr">
        <is>
          <t>Oliver Goldsmith : his life and works / A. Lytton Sells.</t>
        </is>
      </c>
      <c r="H1060" t="inlineStr">
        <is>
          <t>No</t>
        </is>
      </c>
      <c r="I1060" t="inlineStr">
        <is>
          <t>1</t>
        </is>
      </c>
      <c r="J1060" t="inlineStr">
        <is>
          <t>No</t>
        </is>
      </c>
      <c r="K1060" t="inlineStr">
        <is>
          <t>No</t>
        </is>
      </c>
      <c r="L1060" t="inlineStr">
        <is>
          <t>0</t>
        </is>
      </c>
      <c r="M1060" t="inlineStr">
        <is>
          <t>Sells, A. Lytton (Arthur Lytton), 1895-1978.</t>
        </is>
      </c>
      <c r="N1060" t="inlineStr">
        <is>
          <t>London : Allen &amp; Unwin, 1974.</t>
        </is>
      </c>
      <c r="O1060" t="inlineStr">
        <is>
          <t>1974</t>
        </is>
      </c>
      <c r="Q1060" t="inlineStr">
        <is>
          <t>eng</t>
        </is>
      </c>
      <c r="R1060" t="inlineStr">
        <is>
          <t>enk</t>
        </is>
      </c>
      <c r="T1060" t="inlineStr">
        <is>
          <t xml:space="preserve">PR </t>
        </is>
      </c>
      <c r="U1060" t="n">
        <v>12</v>
      </c>
      <c r="V1060" t="n">
        <v>12</v>
      </c>
      <c r="W1060" t="inlineStr">
        <is>
          <t>2005-11-07</t>
        </is>
      </c>
      <c r="X1060" t="inlineStr">
        <is>
          <t>2005-11-07</t>
        </is>
      </c>
      <c r="Y1060" t="inlineStr">
        <is>
          <t>1991-01-03</t>
        </is>
      </c>
      <c r="Z1060" t="inlineStr">
        <is>
          <t>1991-01-03</t>
        </is>
      </c>
      <c r="AA1060" t="n">
        <v>382</v>
      </c>
      <c r="AB1060" t="n">
        <v>214</v>
      </c>
      <c r="AC1060" t="n">
        <v>572</v>
      </c>
      <c r="AD1060" t="n">
        <v>3</v>
      </c>
      <c r="AE1060" t="n">
        <v>4</v>
      </c>
      <c r="AF1060" t="n">
        <v>13</v>
      </c>
      <c r="AG1060" t="n">
        <v>30</v>
      </c>
      <c r="AH1060" t="n">
        <v>5</v>
      </c>
      <c r="AI1060" t="n">
        <v>14</v>
      </c>
      <c r="AJ1060" t="n">
        <v>4</v>
      </c>
      <c r="AK1060" t="n">
        <v>9</v>
      </c>
      <c r="AL1060" t="n">
        <v>6</v>
      </c>
      <c r="AM1060" t="n">
        <v>14</v>
      </c>
      <c r="AN1060" t="n">
        <v>2</v>
      </c>
      <c r="AO1060" t="n">
        <v>3</v>
      </c>
      <c r="AP1060" t="n">
        <v>0</v>
      </c>
      <c r="AQ1060" t="n">
        <v>0</v>
      </c>
      <c r="AR1060" t="inlineStr">
        <is>
          <t>No</t>
        </is>
      </c>
      <c r="AS1060" t="inlineStr">
        <is>
          <t>Yes</t>
        </is>
      </c>
      <c r="AT1060">
        <f>HYPERLINK("http://catalog.hathitrust.org/Record/000392127","HathiTrust Record")</f>
        <v/>
      </c>
      <c r="AU1060">
        <f>HYPERLINK("https://creighton-primo.hosted.exlibrisgroup.com/primo-explore/search?tab=default_tab&amp;search_scope=EVERYTHING&amp;vid=01CRU&amp;lang=en_US&amp;offset=0&amp;query=any,contains,991003669129702656","Catalog Record")</f>
        <v/>
      </c>
      <c r="AV1060">
        <f>HYPERLINK("http://www.worldcat.org/oclc/1285513","WorldCat Record")</f>
        <v/>
      </c>
      <c r="AW1060" t="inlineStr">
        <is>
          <t>2198578:eng</t>
        </is>
      </c>
      <c r="AX1060" t="inlineStr">
        <is>
          <t>1285513</t>
        </is>
      </c>
      <c r="AY1060" t="inlineStr">
        <is>
          <t>991003669129702656</t>
        </is>
      </c>
      <c r="AZ1060" t="inlineStr">
        <is>
          <t>991003669129702656</t>
        </is>
      </c>
      <c r="BA1060" t="inlineStr">
        <is>
          <t>2265524070002656</t>
        </is>
      </c>
      <c r="BB1060" t="inlineStr">
        <is>
          <t>BOOK</t>
        </is>
      </c>
      <c r="BD1060" t="inlineStr">
        <is>
          <t>9780049280304</t>
        </is>
      </c>
      <c r="BE1060" t="inlineStr">
        <is>
          <t>32285000406644</t>
        </is>
      </c>
      <c r="BF1060" t="inlineStr">
        <is>
          <t>893887728</t>
        </is>
      </c>
    </row>
    <row r="1061">
      <c r="A1061" t="inlineStr">
        <is>
          <t>No</t>
        </is>
      </c>
      <c r="B1061" t="inlineStr">
        <is>
          <t>CURAL</t>
        </is>
      </c>
      <c r="C1061" t="inlineStr">
        <is>
          <t>SHELVES</t>
        </is>
      </c>
      <c r="D1061" t="inlineStr">
        <is>
          <t>PR3493 .W5 1979</t>
        </is>
      </c>
      <c r="E1061" t="inlineStr">
        <is>
          <t>0                      PR 3493000W  5           1979</t>
        </is>
      </c>
      <c r="F1061" t="inlineStr">
        <is>
          <t>The good-natured man : a portrait of Oliver Goldsmith / by Leonard Wibberley.</t>
        </is>
      </c>
      <c r="H1061" t="inlineStr">
        <is>
          <t>No</t>
        </is>
      </c>
      <c r="I1061" t="inlineStr">
        <is>
          <t>1</t>
        </is>
      </c>
      <c r="J1061" t="inlineStr">
        <is>
          <t>No</t>
        </is>
      </c>
      <c r="K1061" t="inlineStr">
        <is>
          <t>No</t>
        </is>
      </c>
      <c r="L1061" t="inlineStr">
        <is>
          <t>0</t>
        </is>
      </c>
      <c r="M1061" t="inlineStr">
        <is>
          <t>Wibberley, Leonard, 1915-1983.</t>
        </is>
      </c>
      <c r="N1061" t="inlineStr">
        <is>
          <t>New York : Morrow, 1979.</t>
        </is>
      </c>
      <c r="O1061" t="inlineStr">
        <is>
          <t>1979</t>
        </is>
      </c>
      <c r="P1061" t="inlineStr">
        <is>
          <t>1st ed.</t>
        </is>
      </c>
      <c r="Q1061" t="inlineStr">
        <is>
          <t>eng</t>
        </is>
      </c>
      <c r="R1061" t="inlineStr">
        <is>
          <t>nyu</t>
        </is>
      </c>
      <c r="T1061" t="inlineStr">
        <is>
          <t xml:space="preserve">PR </t>
        </is>
      </c>
      <c r="U1061" t="n">
        <v>4</v>
      </c>
      <c r="V1061" t="n">
        <v>4</v>
      </c>
      <c r="W1061" t="inlineStr">
        <is>
          <t>2004-11-06</t>
        </is>
      </c>
      <c r="X1061" t="inlineStr">
        <is>
          <t>2004-11-06</t>
        </is>
      </c>
      <c r="Y1061" t="inlineStr">
        <is>
          <t>2002-12-11</t>
        </is>
      </c>
      <c r="Z1061" t="inlineStr">
        <is>
          <t>2002-12-11</t>
        </is>
      </c>
      <c r="AA1061" t="n">
        <v>358</v>
      </c>
      <c r="AB1061" t="n">
        <v>334</v>
      </c>
      <c r="AC1061" t="n">
        <v>340</v>
      </c>
      <c r="AD1061" t="n">
        <v>3</v>
      </c>
      <c r="AE1061" t="n">
        <v>3</v>
      </c>
      <c r="AF1061" t="n">
        <v>16</v>
      </c>
      <c r="AG1061" t="n">
        <v>16</v>
      </c>
      <c r="AH1061" t="n">
        <v>5</v>
      </c>
      <c r="AI1061" t="n">
        <v>5</v>
      </c>
      <c r="AJ1061" t="n">
        <v>6</v>
      </c>
      <c r="AK1061" t="n">
        <v>6</v>
      </c>
      <c r="AL1061" t="n">
        <v>10</v>
      </c>
      <c r="AM1061" t="n">
        <v>10</v>
      </c>
      <c r="AN1061" t="n">
        <v>1</v>
      </c>
      <c r="AO1061" t="n">
        <v>1</v>
      </c>
      <c r="AP1061" t="n">
        <v>0</v>
      </c>
      <c r="AQ1061" t="n">
        <v>0</v>
      </c>
      <c r="AR1061" t="inlineStr">
        <is>
          <t>No</t>
        </is>
      </c>
      <c r="AS1061" t="inlineStr">
        <is>
          <t>No</t>
        </is>
      </c>
      <c r="AU1061">
        <f>HYPERLINK("https://creighton-primo.hosted.exlibrisgroup.com/primo-explore/search?tab=default_tab&amp;search_scope=EVERYTHING&amp;vid=01CRU&amp;lang=en_US&amp;offset=0&amp;query=any,contains,991003959899702656","Catalog Record")</f>
        <v/>
      </c>
      <c r="AV1061">
        <f>HYPERLINK("http://www.worldcat.org/oclc/5708073","WorldCat Record")</f>
        <v/>
      </c>
      <c r="AW1061" t="inlineStr">
        <is>
          <t>19567829:eng</t>
        </is>
      </c>
      <c r="AX1061" t="inlineStr">
        <is>
          <t>5708073</t>
        </is>
      </c>
      <c r="AY1061" t="inlineStr">
        <is>
          <t>991003959899702656</t>
        </is>
      </c>
      <c r="AZ1061" t="inlineStr">
        <is>
          <t>991003959899702656</t>
        </is>
      </c>
      <c r="BA1061" t="inlineStr">
        <is>
          <t>2260989970002656</t>
        </is>
      </c>
      <c r="BB1061" t="inlineStr">
        <is>
          <t>BOOK</t>
        </is>
      </c>
      <c r="BD1061" t="inlineStr">
        <is>
          <t>9780688035228</t>
        </is>
      </c>
      <c r="BE1061" t="inlineStr">
        <is>
          <t>32285004690284</t>
        </is>
      </c>
      <c r="BF1061" t="inlineStr">
        <is>
          <t>893228728</t>
        </is>
      </c>
    </row>
    <row r="1062">
      <c r="A1062" t="inlineStr">
        <is>
          <t>No</t>
        </is>
      </c>
      <c r="B1062" t="inlineStr">
        <is>
          <t>CURAL</t>
        </is>
      </c>
      <c r="C1062" t="inlineStr">
        <is>
          <t>SHELVES</t>
        </is>
      </c>
      <c r="D1062" t="inlineStr">
        <is>
          <t>PR3494 .A77 1984</t>
        </is>
      </c>
      <c r="E1062" t="inlineStr">
        <is>
          <t>0                      PR 3494000A  77          1984</t>
        </is>
      </c>
      <c r="F1062" t="inlineStr">
        <is>
          <t>The art of Oliver Goldsmith / edited by Andrew Swarbrick.</t>
        </is>
      </c>
      <c r="H1062" t="inlineStr">
        <is>
          <t>No</t>
        </is>
      </c>
      <c r="I1062" t="inlineStr">
        <is>
          <t>1</t>
        </is>
      </c>
      <c r="J1062" t="inlineStr">
        <is>
          <t>No</t>
        </is>
      </c>
      <c r="K1062" t="inlineStr">
        <is>
          <t>No</t>
        </is>
      </c>
      <c r="L1062" t="inlineStr">
        <is>
          <t>0</t>
        </is>
      </c>
      <c r="N1062" t="inlineStr">
        <is>
          <t>London : Vision ; Totowa, NJ : Barnes &amp; Noble, 1984.</t>
        </is>
      </c>
      <c r="O1062" t="inlineStr">
        <is>
          <t>1984</t>
        </is>
      </c>
      <c r="Q1062" t="inlineStr">
        <is>
          <t>eng</t>
        </is>
      </c>
      <c r="R1062" t="inlineStr">
        <is>
          <t>enk</t>
        </is>
      </c>
      <c r="S1062" t="inlineStr">
        <is>
          <t>Critical studies series</t>
        </is>
      </c>
      <c r="T1062" t="inlineStr">
        <is>
          <t xml:space="preserve">PR </t>
        </is>
      </c>
      <c r="U1062" t="n">
        <v>6</v>
      </c>
      <c r="V1062" t="n">
        <v>6</v>
      </c>
      <c r="W1062" t="inlineStr">
        <is>
          <t>2004-11-06</t>
        </is>
      </c>
      <c r="X1062" t="inlineStr">
        <is>
          <t>2004-11-06</t>
        </is>
      </c>
      <c r="Y1062" t="inlineStr">
        <is>
          <t>1991-04-23</t>
        </is>
      </c>
      <c r="Z1062" t="inlineStr">
        <is>
          <t>1991-04-23</t>
        </is>
      </c>
      <c r="AA1062" t="n">
        <v>665</v>
      </c>
      <c r="AB1062" t="n">
        <v>541</v>
      </c>
      <c r="AC1062" t="n">
        <v>548</v>
      </c>
      <c r="AD1062" t="n">
        <v>4</v>
      </c>
      <c r="AE1062" t="n">
        <v>4</v>
      </c>
      <c r="AF1062" t="n">
        <v>25</v>
      </c>
      <c r="AG1062" t="n">
        <v>25</v>
      </c>
      <c r="AH1062" t="n">
        <v>11</v>
      </c>
      <c r="AI1062" t="n">
        <v>11</v>
      </c>
      <c r="AJ1062" t="n">
        <v>6</v>
      </c>
      <c r="AK1062" t="n">
        <v>6</v>
      </c>
      <c r="AL1062" t="n">
        <v>14</v>
      </c>
      <c r="AM1062" t="n">
        <v>14</v>
      </c>
      <c r="AN1062" t="n">
        <v>3</v>
      </c>
      <c r="AO1062" t="n">
        <v>3</v>
      </c>
      <c r="AP1062" t="n">
        <v>0</v>
      </c>
      <c r="AQ1062" t="n">
        <v>0</v>
      </c>
      <c r="AR1062" t="inlineStr">
        <is>
          <t>No</t>
        </is>
      </c>
      <c r="AS1062" t="inlineStr">
        <is>
          <t>Yes</t>
        </is>
      </c>
      <c r="AT1062">
        <f>HYPERLINK("http://catalog.hathitrust.org/Record/000121211","HathiTrust Record")</f>
        <v/>
      </c>
      <c r="AU1062">
        <f>HYPERLINK("https://creighton-primo.hosted.exlibrisgroup.com/primo-explore/search?tab=default_tab&amp;search_scope=EVERYTHING&amp;vid=01CRU&amp;lang=en_US&amp;offset=0&amp;query=any,contains,991000372419702656","Catalog Record")</f>
        <v/>
      </c>
      <c r="AV1062">
        <f>HYPERLINK("http://www.worldcat.org/oclc/10432499","WorldCat Record")</f>
        <v/>
      </c>
      <c r="AW1062" t="inlineStr">
        <is>
          <t>54623966:eng</t>
        </is>
      </c>
      <c r="AX1062" t="inlineStr">
        <is>
          <t>10432499</t>
        </is>
      </c>
      <c r="AY1062" t="inlineStr">
        <is>
          <t>991000372419702656</t>
        </is>
      </c>
      <c r="AZ1062" t="inlineStr">
        <is>
          <t>991000372419702656</t>
        </is>
      </c>
      <c r="BA1062" t="inlineStr">
        <is>
          <t>2262879480002656</t>
        </is>
      </c>
      <c r="BB1062" t="inlineStr">
        <is>
          <t>BOOK</t>
        </is>
      </c>
      <c r="BD1062" t="inlineStr">
        <is>
          <t>9780389204626</t>
        </is>
      </c>
      <c r="BE1062" t="inlineStr">
        <is>
          <t>32285000585926</t>
        </is>
      </c>
      <c r="BF1062" t="inlineStr">
        <is>
          <t>893607858</t>
        </is>
      </c>
    </row>
    <row r="1063">
      <c r="A1063" t="inlineStr">
        <is>
          <t>No</t>
        </is>
      </c>
      <c r="B1063" t="inlineStr">
        <is>
          <t>CURAL</t>
        </is>
      </c>
      <c r="C1063" t="inlineStr">
        <is>
          <t>SHELVES</t>
        </is>
      </c>
      <c r="D1063" t="inlineStr">
        <is>
          <t>PR3494 .D58 1991</t>
        </is>
      </c>
      <c r="E1063" t="inlineStr">
        <is>
          <t>0                      PR 3494000D  58          1991</t>
        </is>
      </c>
      <c r="F1063" t="inlineStr">
        <is>
          <t>Oliver Goldsmith revisited / Peter Dixon.</t>
        </is>
      </c>
      <c r="H1063" t="inlineStr">
        <is>
          <t>No</t>
        </is>
      </c>
      <c r="I1063" t="inlineStr">
        <is>
          <t>1</t>
        </is>
      </c>
      <c r="J1063" t="inlineStr">
        <is>
          <t>No</t>
        </is>
      </c>
      <c r="K1063" t="inlineStr">
        <is>
          <t>No</t>
        </is>
      </c>
      <c r="L1063" t="inlineStr">
        <is>
          <t>0</t>
        </is>
      </c>
      <c r="M1063" t="inlineStr">
        <is>
          <t>Dixon, Peter, 1932-</t>
        </is>
      </c>
      <c r="N1063" t="inlineStr">
        <is>
          <t>Boston : Twayne Publishers, c1991.</t>
        </is>
      </c>
      <c r="O1063" t="inlineStr">
        <is>
          <t>1991</t>
        </is>
      </c>
      <c r="Q1063" t="inlineStr">
        <is>
          <t>eng</t>
        </is>
      </c>
      <c r="R1063" t="inlineStr">
        <is>
          <t>mau</t>
        </is>
      </c>
      <c r="S1063" t="inlineStr">
        <is>
          <t>Twayne's English authors series ; TEAS 487</t>
        </is>
      </c>
      <c r="T1063" t="inlineStr">
        <is>
          <t xml:space="preserve">PR </t>
        </is>
      </c>
      <c r="U1063" t="n">
        <v>11</v>
      </c>
      <c r="V1063" t="n">
        <v>11</v>
      </c>
      <c r="W1063" t="inlineStr">
        <is>
          <t>2004-11-06</t>
        </is>
      </c>
      <c r="X1063" t="inlineStr">
        <is>
          <t>2004-11-06</t>
        </is>
      </c>
      <c r="Y1063" t="inlineStr">
        <is>
          <t>1991-08-19</t>
        </is>
      </c>
      <c r="Z1063" t="inlineStr">
        <is>
          <t>1991-08-19</t>
        </is>
      </c>
      <c r="AA1063" t="n">
        <v>522</v>
      </c>
      <c r="AB1063" t="n">
        <v>452</v>
      </c>
      <c r="AC1063" t="n">
        <v>569</v>
      </c>
      <c r="AD1063" t="n">
        <v>6</v>
      </c>
      <c r="AE1063" t="n">
        <v>7</v>
      </c>
      <c r="AF1063" t="n">
        <v>28</v>
      </c>
      <c r="AG1063" t="n">
        <v>32</v>
      </c>
      <c r="AH1063" t="n">
        <v>12</v>
      </c>
      <c r="AI1063" t="n">
        <v>13</v>
      </c>
      <c r="AJ1063" t="n">
        <v>4</v>
      </c>
      <c r="AK1063" t="n">
        <v>4</v>
      </c>
      <c r="AL1063" t="n">
        <v>14</v>
      </c>
      <c r="AM1063" t="n">
        <v>16</v>
      </c>
      <c r="AN1063" t="n">
        <v>5</v>
      </c>
      <c r="AO1063" t="n">
        <v>6</v>
      </c>
      <c r="AP1063" t="n">
        <v>0</v>
      </c>
      <c r="AQ1063" t="n">
        <v>0</v>
      </c>
      <c r="AR1063" t="inlineStr">
        <is>
          <t>No</t>
        </is>
      </c>
      <c r="AS1063" t="inlineStr">
        <is>
          <t>Yes</t>
        </is>
      </c>
      <c r="AT1063">
        <f>HYPERLINK("http://catalog.hathitrust.org/Record/002480267","HathiTrust Record")</f>
        <v/>
      </c>
      <c r="AU1063">
        <f>HYPERLINK("https://creighton-primo.hosted.exlibrisgroup.com/primo-explore/search?tab=default_tab&amp;search_scope=EVERYTHING&amp;vid=01CRU&amp;lang=en_US&amp;offset=0&amp;query=any,contains,991001845809702656","Catalog Record")</f>
        <v/>
      </c>
      <c r="AV1063">
        <f>HYPERLINK("http://www.worldcat.org/oclc/23178359","WorldCat Record")</f>
        <v/>
      </c>
      <c r="AW1063" t="inlineStr">
        <is>
          <t>25006680:eng</t>
        </is>
      </c>
      <c r="AX1063" t="inlineStr">
        <is>
          <t>23178359</t>
        </is>
      </c>
      <c r="AY1063" t="inlineStr">
        <is>
          <t>991001845809702656</t>
        </is>
      </c>
      <c r="AZ1063" t="inlineStr">
        <is>
          <t>991001845809702656</t>
        </is>
      </c>
      <c r="BA1063" t="inlineStr">
        <is>
          <t>2266138870002656</t>
        </is>
      </c>
      <c r="BB1063" t="inlineStr">
        <is>
          <t>BOOK</t>
        </is>
      </c>
      <c r="BD1063" t="inlineStr">
        <is>
          <t>9780805770087</t>
        </is>
      </c>
      <c r="BE1063" t="inlineStr">
        <is>
          <t>32285000649292</t>
        </is>
      </c>
      <c r="BF1063" t="inlineStr">
        <is>
          <t>893596777</t>
        </is>
      </c>
    </row>
    <row r="1064">
      <c r="A1064" t="inlineStr">
        <is>
          <t>No</t>
        </is>
      </c>
      <c r="B1064" t="inlineStr">
        <is>
          <t>CURAL</t>
        </is>
      </c>
      <c r="C1064" t="inlineStr">
        <is>
          <t>SHELVES</t>
        </is>
      </c>
      <c r="D1064" t="inlineStr">
        <is>
          <t>PR3494 .H6</t>
        </is>
      </c>
      <c r="E1064" t="inlineStr">
        <is>
          <t>0                      PR 3494000H  6</t>
        </is>
      </c>
      <c r="F1064" t="inlineStr">
        <is>
          <t>The true genius of Oliver Goldsmith / [by] Robert H. Hopkins.</t>
        </is>
      </c>
      <c r="H1064" t="inlineStr">
        <is>
          <t>No</t>
        </is>
      </c>
      <c r="I1064" t="inlineStr">
        <is>
          <t>1</t>
        </is>
      </c>
      <c r="J1064" t="inlineStr">
        <is>
          <t>No</t>
        </is>
      </c>
      <c r="K1064" t="inlineStr">
        <is>
          <t>No</t>
        </is>
      </c>
      <c r="L1064" t="inlineStr">
        <is>
          <t>0</t>
        </is>
      </c>
      <c r="M1064" t="inlineStr">
        <is>
          <t>Hopkins, Robert Hazen, 1930-</t>
        </is>
      </c>
      <c r="N1064" t="inlineStr">
        <is>
          <t>Baltimore : Johns Hopkins Press, [1969]</t>
        </is>
      </c>
      <c r="O1064" t="inlineStr">
        <is>
          <t>1969</t>
        </is>
      </c>
      <c r="Q1064" t="inlineStr">
        <is>
          <t>eng</t>
        </is>
      </c>
      <c r="R1064" t="inlineStr">
        <is>
          <t>mdu</t>
        </is>
      </c>
      <c r="T1064" t="inlineStr">
        <is>
          <t xml:space="preserve">PR </t>
        </is>
      </c>
      <c r="U1064" t="n">
        <v>5</v>
      </c>
      <c r="V1064" t="n">
        <v>5</v>
      </c>
      <c r="W1064" t="inlineStr">
        <is>
          <t>1997-12-11</t>
        </is>
      </c>
      <c r="X1064" t="inlineStr">
        <is>
          <t>1997-12-11</t>
        </is>
      </c>
      <c r="Y1064" t="inlineStr">
        <is>
          <t>1990-02-27</t>
        </is>
      </c>
      <c r="Z1064" t="inlineStr">
        <is>
          <t>1990-02-27</t>
        </is>
      </c>
      <c r="AA1064" t="n">
        <v>905</v>
      </c>
      <c r="AB1064" t="n">
        <v>739</v>
      </c>
      <c r="AC1064" t="n">
        <v>747</v>
      </c>
      <c r="AD1064" t="n">
        <v>5</v>
      </c>
      <c r="AE1064" t="n">
        <v>5</v>
      </c>
      <c r="AF1064" t="n">
        <v>35</v>
      </c>
      <c r="AG1064" t="n">
        <v>35</v>
      </c>
      <c r="AH1064" t="n">
        <v>12</v>
      </c>
      <c r="AI1064" t="n">
        <v>12</v>
      </c>
      <c r="AJ1064" t="n">
        <v>8</v>
      </c>
      <c r="AK1064" t="n">
        <v>8</v>
      </c>
      <c r="AL1064" t="n">
        <v>23</v>
      </c>
      <c r="AM1064" t="n">
        <v>23</v>
      </c>
      <c r="AN1064" t="n">
        <v>3</v>
      </c>
      <c r="AO1064" t="n">
        <v>3</v>
      </c>
      <c r="AP1064" t="n">
        <v>0</v>
      </c>
      <c r="AQ1064" t="n">
        <v>0</v>
      </c>
      <c r="AR1064" t="inlineStr">
        <is>
          <t>No</t>
        </is>
      </c>
      <c r="AS1064" t="inlineStr">
        <is>
          <t>Yes</t>
        </is>
      </c>
      <c r="AT1064">
        <f>HYPERLINK("http://catalog.hathitrust.org/Record/000391740","HathiTrust Record")</f>
        <v/>
      </c>
      <c r="AU1064">
        <f>HYPERLINK("https://creighton-primo.hosted.exlibrisgroup.com/primo-explore/search?tab=default_tab&amp;search_scope=EVERYTHING&amp;vid=01CRU&amp;lang=en_US&amp;offset=0&amp;query=any,contains,991000003979702656","Catalog Record")</f>
        <v/>
      </c>
      <c r="AV1064">
        <f>HYPERLINK("http://www.worldcat.org/oclc/12422","WorldCat Record")</f>
        <v/>
      </c>
      <c r="AW1064" t="inlineStr">
        <is>
          <t>1135343:eng</t>
        </is>
      </c>
      <c r="AX1064" t="inlineStr">
        <is>
          <t>12422</t>
        </is>
      </c>
      <c r="AY1064" t="inlineStr">
        <is>
          <t>991000003979702656</t>
        </is>
      </c>
      <c r="AZ1064" t="inlineStr">
        <is>
          <t>991000003979702656</t>
        </is>
      </c>
      <c r="BA1064" t="inlineStr">
        <is>
          <t>2265038980002656</t>
        </is>
      </c>
      <c r="BB1064" t="inlineStr">
        <is>
          <t>BOOK</t>
        </is>
      </c>
      <c r="BD1064" t="inlineStr">
        <is>
          <t>9780801810169</t>
        </is>
      </c>
      <c r="BE1064" t="inlineStr">
        <is>
          <t>32285000062249</t>
        </is>
      </c>
      <c r="BF1064" t="inlineStr">
        <is>
          <t>893890318</t>
        </is>
      </c>
    </row>
    <row r="1065">
      <c r="A1065" t="inlineStr">
        <is>
          <t>No</t>
        </is>
      </c>
      <c r="B1065" t="inlineStr">
        <is>
          <t>CURAL</t>
        </is>
      </c>
      <c r="C1065" t="inlineStr">
        <is>
          <t>SHELVES</t>
        </is>
      </c>
      <c r="D1065" t="inlineStr">
        <is>
          <t>PR3494 .R68</t>
        </is>
      </c>
      <c r="E1065" t="inlineStr">
        <is>
          <t>0                      PR 3494000R  68</t>
        </is>
      </c>
      <c r="F1065" t="inlineStr">
        <is>
          <t>Goldsmith, the critical heritage / edited by G. S. Rousseau.</t>
        </is>
      </c>
      <c r="H1065" t="inlineStr">
        <is>
          <t>No</t>
        </is>
      </c>
      <c r="I1065" t="inlineStr">
        <is>
          <t>1</t>
        </is>
      </c>
      <c r="J1065" t="inlineStr">
        <is>
          <t>No</t>
        </is>
      </c>
      <c r="K1065" t="inlineStr">
        <is>
          <t>No</t>
        </is>
      </c>
      <c r="L1065" t="inlineStr">
        <is>
          <t>0</t>
        </is>
      </c>
      <c r="M1065" t="inlineStr">
        <is>
          <t>Rousseau, G. S. (George Sebastian)</t>
        </is>
      </c>
      <c r="N1065" t="inlineStr">
        <is>
          <t>London ; Boston : Routledge and Kegan Paul, 1974.</t>
        </is>
      </c>
      <c r="O1065" t="inlineStr">
        <is>
          <t>1974</t>
        </is>
      </c>
      <c r="Q1065" t="inlineStr">
        <is>
          <t>eng</t>
        </is>
      </c>
      <c r="R1065" t="inlineStr">
        <is>
          <t>enk</t>
        </is>
      </c>
      <c r="S1065" t="inlineStr">
        <is>
          <t>The Critical heritage series</t>
        </is>
      </c>
      <c r="T1065" t="inlineStr">
        <is>
          <t xml:space="preserve">PR </t>
        </is>
      </c>
      <c r="U1065" t="n">
        <v>4</v>
      </c>
      <c r="V1065" t="n">
        <v>4</v>
      </c>
      <c r="W1065" t="inlineStr">
        <is>
          <t>2005-11-07</t>
        </is>
      </c>
      <c r="X1065" t="inlineStr">
        <is>
          <t>2005-11-07</t>
        </is>
      </c>
      <c r="Y1065" t="inlineStr">
        <is>
          <t>1990-10-23</t>
        </is>
      </c>
      <c r="Z1065" t="inlineStr">
        <is>
          <t>1990-10-23</t>
        </is>
      </c>
      <c r="AA1065" t="n">
        <v>680</v>
      </c>
      <c r="AB1065" t="n">
        <v>463</v>
      </c>
      <c r="AC1065" t="n">
        <v>472</v>
      </c>
      <c r="AD1065" t="n">
        <v>4</v>
      </c>
      <c r="AE1065" t="n">
        <v>4</v>
      </c>
      <c r="AF1065" t="n">
        <v>25</v>
      </c>
      <c r="AG1065" t="n">
        <v>25</v>
      </c>
      <c r="AH1065" t="n">
        <v>10</v>
      </c>
      <c r="AI1065" t="n">
        <v>10</v>
      </c>
      <c r="AJ1065" t="n">
        <v>5</v>
      </c>
      <c r="AK1065" t="n">
        <v>5</v>
      </c>
      <c r="AL1065" t="n">
        <v>15</v>
      </c>
      <c r="AM1065" t="n">
        <v>15</v>
      </c>
      <c r="AN1065" t="n">
        <v>3</v>
      </c>
      <c r="AO1065" t="n">
        <v>3</v>
      </c>
      <c r="AP1065" t="n">
        <v>0</v>
      </c>
      <c r="AQ1065" t="n">
        <v>0</v>
      </c>
      <c r="AR1065" t="inlineStr">
        <is>
          <t>No</t>
        </is>
      </c>
      <c r="AS1065" t="inlineStr">
        <is>
          <t>Yes</t>
        </is>
      </c>
      <c r="AT1065">
        <f>HYPERLINK("http://catalog.hathitrust.org/Record/000693966","HathiTrust Record")</f>
        <v/>
      </c>
      <c r="AU1065">
        <f>HYPERLINK("https://creighton-primo.hosted.exlibrisgroup.com/primo-explore/search?tab=default_tab&amp;search_scope=EVERYTHING&amp;vid=01CRU&amp;lang=en_US&amp;offset=0&amp;query=any,contains,991003915259702656","Catalog Record")</f>
        <v/>
      </c>
      <c r="AV1065">
        <f>HYPERLINK("http://www.worldcat.org/oclc/1858683","WorldCat Record")</f>
        <v/>
      </c>
      <c r="AW1065" t="inlineStr">
        <is>
          <t>445592:eng</t>
        </is>
      </c>
      <c r="AX1065" t="inlineStr">
        <is>
          <t>1858683</t>
        </is>
      </c>
      <c r="AY1065" t="inlineStr">
        <is>
          <t>991003915259702656</t>
        </is>
      </c>
      <c r="AZ1065" t="inlineStr">
        <is>
          <t>991003915259702656</t>
        </is>
      </c>
      <c r="BA1065" t="inlineStr">
        <is>
          <t>2266885820002656</t>
        </is>
      </c>
      <c r="BB1065" t="inlineStr">
        <is>
          <t>BOOK</t>
        </is>
      </c>
      <c r="BD1065" t="inlineStr">
        <is>
          <t>9780710077202</t>
        </is>
      </c>
      <c r="BE1065" t="inlineStr">
        <is>
          <t>32285000352715</t>
        </is>
      </c>
      <c r="BF1065" t="inlineStr">
        <is>
          <t>893881823</t>
        </is>
      </c>
    </row>
    <row r="1066">
      <c r="A1066" t="inlineStr">
        <is>
          <t>No</t>
        </is>
      </c>
      <c r="B1066" t="inlineStr">
        <is>
          <t>CURAL</t>
        </is>
      </c>
      <c r="C1066" t="inlineStr">
        <is>
          <t>SHELVES</t>
        </is>
      </c>
      <c r="D1066" t="inlineStr">
        <is>
          <t>PR3494 .T38 1993</t>
        </is>
      </c>
      <c r="E1066" t="inlineStr">
        <is>
          <t>0                      PR 3494000T  38          1993</t>
        </is>
      </c>
      <c r="F1066" t="inlineStr">
        <is>
          <t>Goldsmith as journalist / Richard C. Taylor.</t>
        </is>
      </c>
      <c r="H1066" t="inlineStr">
        <is>
          <t>No</t>
        </is>
      </c>
      <c r="I1066" t="inlineStr">
        <is>
          <t>1</t>
        </is>
      </c>
      <c r="J1066" t="inlineStr">
        <is>
          <t>No</t>
        </is>
      </c>
      <c r="K1066" t="inlineStr">
        <is>
          <t>No</t>
        </is>
      </c>
      <c r="L1066" t="inlineStr">
        <is>
          <t>0</t>
        </is>
      </c>
      <c r="M1066" t="inlineStr">
        <is>
          <t>Taylor, Richard, 1956-</t>
        </is>
      </c>
      <c r="N1066" t="inlineStr">
        <is>
          <t>Rutherford, N.J. : Fairleigh Dickinson University Press ; London : Associated University Presses, c1993.</t>
        </is>
      </c>
      <c r="O1066" t="inlineStr">
        <is>
          <t>1993</t>
        </is>
      </c>
      <c r="Q1066" t="inlineStr">
        <is>
          <t>eng</t>
        </is>
      </c>
      <c r="R1066" t="inlineStr">
        <is>
          <t>nju</t>
        </is>
      </c>
      <c r="T1066" t="inlineStr">
        <is>
          <t xml:space="preserve">PR </t>
        </is>
      </c>
      <c r="U1066" t="n">
        <v>1</v>
      </c>
      <c r="V1066" t="n">
        <v>1</v>
      </c>
      <c r="W1066" t="inlineStr">
        <is>
          <t>2003-12-16</t>
        </is>
      </c>
      <c r="X1066" t="inlineStr">
        <is>
          <t>2003-12-16</t>
        </is>
      </c>
      <c r="Y1066" t="inlineStr">
        <is>
          <t>2003-12-16</t>
        </is>
      </c>
      <c r="Z1066" t="inlineStr">
        <is>
          <t>2003-12-16</t>
        </is>
      </c>
      <c r="AA1066" t="n">
        <v>309</v>
      </c>
      <c r="AB1066" t="n">
        <v>254</v>
      </c>
      <c r="AC1066" t="n">
        <v>256</v>
      </c>
      <c r="AD1066" t="n">
        <v>3</v>
      </c>
      <c r="AE1066" t="n">
        <v>3</v>
      </c>
      <c r="AF1066" t="n">
        <v>17</v>
      </c>
      <c r="AG1066" t="n">
        <v>17</v>
      </c>
      <c r="AH1066" t="n">
        <v>6</v>
      </c>
      <c r="AI1066" t="n">
        <v>6</v>
      </c>
      <c r="AJ1066" t="n">
        <v>6</v>
      </c>
      <c r="AK1066" t="n">
        <v>6</v>
      </c>
      <c r="AL1066" t="n">
        <v>10</v>
      </c>
      <c r="AM1066" t="n">
        <v>10</v>
      </c>
      <c r="AN1066" t="n">
        <v>2</v>
      </c>
      <c r="AO1066" t="n">
        <v>2</v>
      </c>
      <c r="AP1066" t="n">
        <v>0</v>
      </c>
      <c r="AQ1066" t="n">
        <v>0</v>
      </c>
      <c r="AR1066" t="inlineStr">
        <is>
          <t>No</t>
        </is>
      </c>
      <c r="AS1066" t="inlineStr">
        <is>
          <t>Yes</t>
        </is>
      </c>
      <c r="AT1066">
        <f>HYPERLINK("http://catalog.hathitrust.org/Record/002617661","HathiTrust Record")</f>
        <v/>
      </c>
      <c r="AU1066">
        <f>HYPERLINK("https://creighton-primo.hosted.exlibrisgroup.com/primo-explore/search?tab=default_tab&amp;search_scope=EVERYTHING&amp;vid=01CRU&amp;lang=en_US&amp;offset=0&amp;query=any,contains,991004206909702656","Catalog Record")</f>
        <v/>
      </c>
      <c r="AV1066">
        <f>HYPERLINK("http://www.worldcat.org/oclc/25747699","WorldCat Record")</f>
        <v/>
      </c>
      <c r="AW1066" t="inlineStr">
        <is>
          <t>138723397:eng</t>
        </is>
      </c>
      <c r="AX1066" t="inlineStr">
        <is>
          <t>25747699</t>
        </is>
      </c>
      <c r="AY1066" t="inlineStr">
        <is>
          <t>991004206909702656</t>
        </is>
      </c>
      <c r="AZ1066" t="inlineStr">
        <is>
          <t>991004206909702656</t>
        </is>
      </c>
      <c r="BA1066" t="inlineStr">
        <is>
          <t>2271646720002656</t>
        </is>
      </c>
      <c r="BB1066" t="inlineStr">
        <is>
          <t>BOOK</t>
        </is>
      </c>
      <c r="BD1066" t="inlineStr">
        <is>
          <t>9780838634622</t>
        </is>
      </c>
      <c r="BE1066" t="inlineStr">
        <is>
          <t>32285004847702</t>
        </is>
      </c>
      <c r="BF1066" t="inlineStr">
        <is>
          <t>893519366</t>
        </is>
      </c>
    </row>
    <row r="1067">
      <c r="A1067" t="inlineStr">
        <is>
          <t>No</t>
        </is>
      </c>
      <c r="B1067" t="inlineStr">
        <is>
          <t>CURAL</t>
        </is>
      </c>
      <c r="C1067" t="inlineStr">
        <is>
          <t>SHELVES</t>
        </is>
      </c>
      <c r="D1067" t="inlineStr">
        <is>
          <t>PR3503 .G6</t>
        </is>
      </c>
      <c r="E1067" t="inlineStr">
        <is>
          <t>0                      PR 3503000G  6</t>
        </is>
      </c>
      <c r="F1067" t="inlineStr">
        <is>
          <t>Gray, By Edmund W. Gosse.</t>
        </is>
      </c>
      <c r="H1067" t="inlineStr">
        <is>
          <t>No</t>
        </is>
      </c>
      <c r="I1067" t="inlineStr">
        <is>
          <t>1</t>
        </is>
      </c>
      <c r="J1067" t="inlineStr">
        <is>
          <t>No</t>
        </is>
      </c>
      <c r="K1067" t="inlineStr">
        <is>
          <t>No</t>
        </is>
      </c>
      <c r="L1067" t="inlineStr">
        <is>
          <t>0</t>
        </is>
      </c>
      <c r="M1067" t="inlineStr">
        <is>
          <t>Gosse, Edmund, 1849-1928.</t>
        </is>
      </c>
      <c r="N1067" t="inlineStr">
        <is>
          <t>New York, Harper &amp; brothers [1887]</t>
        </is>
      </c>
      <c r="O1067" t="inlineStr">
        <is>
          <t>1887</t>
        </is>
      </c>
      <c r="Q1067" t="inlineStr">
        <is>
          <t>eng</t>
        </is>
      </c>
      <c r="R1067" t="inlineStr">
        <is>
          <t xml:space="preserve">xx </t>
        </is>
      </c>
      <c r="S1067" t="inlineStr">
        <is>
          <t>English men of letters</t>
        </is>
      </c>
      <c r="T1067" t="inlineStr">
        <is>
          <t xml:space="preserve">PR </t>
        </is>
      </c>
      <c r="U1067" t="n">
        <v>2</v>
      </c>
      <c r="V1067" t="n">
        <v>2</v>
      </c>
      <c r="W1067" t="inlineStr">
        <is>
          <t>1997-12-10</t>
        </is>
      </c>
      <c r="X1067" t="inlineStr">
        <is>
          <t>1997-12-10</t>
        </is>
      </c>
      <c r="Y1067" t="inlineStr">
        <is>
          <t>1997-07-23</t>
        </is>
      </c>
      <c r="Z1067" t="inlineStr">
        <is>
          <t>1997-07-23</t>
        </is>
      </c>
      <c r="AA1067" t="n">
        <v>192</v>
      </c>
      <c r="AB1067" t="n">
        <v>187</v>
      </c>
      <c r="AC1067" t="n">
        <v>869</v>
      </c>
      <c r="AD1067" t="n">
        <v>1</v>
      </c>
      <c r="AE1067" t="n">
        <v>8</v>
      </c>
      <c r="AF1067" t="n">
        <v>10</v>
      </c>
      <c r="AG1067" t="n">
        <v>49</v>
      </c>
      <c r="AH1067" t="n">
        <v>5</v>
      </c>
      <c r="AI1067" t="n">
        <v>19</v>
      </c>
      <c r="AJ1067" t="n">
        <v>3</v>
      </c>
      <c r="AK1067" t="n">
        <v>10</v>
      </c>
      <c r="AL1067" t="n">
        <v>7</v>
      </c>
      <c r="AM1067" t="n">
        <v>25</v>
      </c>
      <c r="AN1067" t="n">
        <v>0</v>
      </c>
      <c r="AO1067" t="n">
        <v>7</v>
      </c>
      <c r="AP1067" t="n">
        <v>0</v>
      </c>
      <c r="AQ1067" t="n">
        <v>0</v>
      </c>
      <c r="AR1067" t="inlineStr">
        <is>
          <t>Yes</t>
        </is>
      </c>
      <c r="AS1067" t="inlineStr">
        <is>
          <t>No</t>
        </is>
      </c>
      <c r="AT1067">
        <f>HYPERLINK("http://catalog.hathitrust.org/Record/004440891","HathiTrust Record")</f>
        <v/>
      </c>
      <c r="AU1067">
        <f>HYPERLINK("https://creighton-primo.hosted.exlibrisgroup.com/primo-explore/search?tab=default_tab&amp;search_scope=EVERYTHING&amp;vid=01CRU&amp;lang=en_US&amp;offset=0&amp;query=any,contains,991003236819702656","Catalog Record")</f>
        <v/>
      </c>
      <c r="AV1067">
        <f>HYPERLINK("http://www.worldcat.org/oclc/761199","WorldCat Record")</f>
        <v/>
      </c>
      <c r="AW1067" t="inlineStr">
        <is>
          <t>4920104573:eng</t>
        </is>
      </c>
      <c r="AX1067" t="inlineStr">
        <is>
          <t>761199</t>
        </is>
      </c>
      <c r="AY1067" t="inlineStr">
        <is>
          <t>991003236819702656</t>
        </is>
      </c>
      <c r="AZ1067" t="inlineStr">
        <is>
          <t>991003236819702656</t>
        </is>
      </c>
      <c r="BA1067" t="inlineStr">
        <is>
          <t>2267848700002656</t>
        </is>
      </c>
      <c r="BB1067" t="inlineStr">
        <is>
          <t>BOOK</t>
        </is>
      </c>
      <c r="BE1067" t="inlineStr">
        <is>
          <t>32285002955580</t>
        </is>
      </c>
      <c r="BF1067" t="inlineStr">
        <is>
          <t>893717452</t>
        </is>
      </c>
    </row>
    <row r="1068">
      <c r="A1068" t="inlineStr">
        <is>
          <t>No</t>
        </is>
      </c>
      <c r="B1068" t="inlineStr">
        <is>
          <t>CURAL</t>
        </is>
      </c>
      <c r="C1068" t="inlineStr">
        <is>
          <t>SHELVES</t>
        </is>
      </c>
      <c r="D1068" t="inlineStr">
        <is>
          <t>PR3503 .K43 1966</t>
        </is>
      </c>
      <c r="E1068" t="inlineStr">
        <is>
          <t>0                      PR 3503000K  43          1966</t>
        </is>
      </c>
      <c r="F1068" t="inlineStr">
        <is>
          <t>Thomas Gray, by R. W. Ketton-Cremer.</t>
        </is>
      </c>
      <c r="H1068" t="inlineStr">
        <is>
          <t>No</t>
        </is>
      </c>
      <c r="I1068" t="inlineStr">
        <is>
          <t>1</t>
        </is>
      </c>
      <c r="J1068" t="inlineStr">
        <is>
          <t>No</t>
        </is>
      </c>
      <c r="K1068" t="inlineStr">
        <is>
          <t>No</t>
        </is>
      </c>
      <c r="L1068" t="inlineStr">
        <is>
          <t>0</t>
        </is>
      </c>
      <c r="M1068" t="inlineStr">
        <is>
          <t>Ketton-Cremer, R. W. (Robert Wyndham), 1906-1969.</t>
        </is>
      </c>
      <c r="N1068" t="inlineStr">
        <is>
          <t>[London] Published for the British Council and the National Book League by Longmans, Green [1966, c1958]</t>
        </is>
      </c>
      <c r="O1068" t="inlineStr">
        <is>
          <t>1966</t>
        </is>
      </c>
      <c r="Q1068" t="inlineStr">
        <is>
          <t>eng</t>
        </is>
      </c>
      <c r="R1068" t="inlineStr">
        <is>
          <t>enk</t>
        </is>
      </c>
      <c r="S1068" t="inlineStr">
        <is>
          <t>Bibliographical series of supplements to British book news on writers and their work ; no. 104</t>
        </is>
      </c>
      <c r="T1068" t="inlineStr">
        <is>
          <t xml:space="preserve">PR </t>
        </is>
      </c>
      <c r="U1068" t="n">
        <v>1</v>
      </c>
      <c r="V1068" t="n">
        <v>1</v>
      </c>
      <c r="W1068" t="inlineStr">
        <is>
          <t>2010-08-04</t>
        </is>
      </c>
      <c r="X1068" t="inlineStr">
        <is>
          <t>2010-08-04</t>
        </is>
      </c>
      <c r="Y1068" t="inlineStr">
        <is>
          <t>1997-07-23</t>
        </is>
      </c>
      <c r="Z1068" t="inlineStr">
        <is>
          <t>1997-07-23</t>
        </is>
      </c>
      <c r="AA1068" t="n">
        <v>174</v>
      </c>
      <c r="AB1068" t="n">
        <v>142</v>
      </c>
      <c r="AC1068" t="n">
        <v>1030</v>
      </c>
      <c r="AD1068" t="n">
        <v>1</v>
      </c>
      <c r="AE1068" t="n">
        <v>7</v>
      </c>
      <c r="AF1068" t="n">
        <v>3</v>
      </c>
      <c r="AG1068" t="n">
        <v>46</v>
      </c>
      <c r="AH1068" t="n">
        <v>1</v>
      </c>
      <c r="AI1068" t="n">
        <v>20</v>
      </c>
      <c r="AJ1068" t="n">
        <v>1</v>
      </c>
      <c r="AK1068" t="n">
        <v>9</v>
      </c>
      <c r="AL1068" t="n">
        <v>1</v>
      </c>
      <c r="AM1068" t="n">
        <v>21</v>
      </c>
      <c r="AN1068" t="n">
        <v>0</v>
      </c>
      <c r="AO1068" t="n">
        <v>6</v>
      </c>
      <c r="AP1068" t="n">
        <v>0</v>
      </c>
      <c r="AQ1068" t="n">
        <v>0</v>
      </c>
      <c r="AR1068" t="inlineStr">
        <is>
          <t>No</t>
        </is>
      </c>
      <c r="AS1068" t="inlineStr">
        <is>
          <t>No</t>
        </is>
      </c>
      <c r="AU1068">
        <f>HYPERLINK("https://creighton-primo.hosted.exlibrisgroup.com/primo-explore/search?tab=default_tab&amp;search_scope=EVERYTHING&amp;vid=01CRU&amp;lang=en_US&amp;offset=0&amp;query=any,contains,991000690209702656","Catalog Record")</f>
        <v/>
      </c>
      <c r="AV1068">
        <f>HYPERLINK("http://www.worldcat.org/oclc/123399","WorldCat Record")</f>
        <v/>
      </c>
      <c r="AW1068" t="inlineStr">
        <is>
          <t>103527201:eng</t>
        </is>
      </c>
      <c r="AX1068" t="inlineStr">
        <is>
          <t>123399</t>
        </is>
      </c>
      <c r="AY1068" t="inlineStr">
        <is>
          <t>991000690209702656</t>
        </is>
      </c>
      <c r="AZ1068" t="inlineStr">
        <is>
          <t>991000690209702656</t>
        </is>
      </c>
      <c r="BA1068" t="inlineStr">
        <is>
          <t>2263535520002656</t>
        </is>
      </c>
      <c r="BB1068" t="inlineStr">
        <is>
          <t>BOOK</t>
        </is>
      </c>
      <c r="BE1068" t="inlineStr">
        <is>
          <t>32285002955598</t>
        </is>
      </c>
      <c r="BF1068" t="inlineStr">
        <is>
          <t>893683662</t>
        </is>
      </c>
    </row>
    <row r="1069">
      <c r="A1069" t="inlineStr">
        <is>
          <t>No</t>
        </is>
      </c>
      <c r="B1069" t="inlineStr">
        <is>
          <t>CURAL</t>
        </is>
      </c>
      <c r="C1069" t="inlineStr">
        <is>
          <t>SHELVES</t>
        </is>
      </c>
      <c r="D1069" t="inlineStr">
        <is>
          <t>PR3503 .L97</t>
        </is>
      </c>
      <c r="E1069" t="inlineStr">
        <is>
          <t>0                      PR 3503000L  97</t>
        </is>
      </c>
      <c r="F1069" t="inlineStr">
        <is>
          <t>Thomas Gray : his life and works / by A. L. Lytton Sells ; assited by Iris Lytton Sells.</t>
        </is>
      </c>
      <c r="H1069" t="inlineStr">
        <is>
          <t>No</t>
        </is>
      </c>
      <c r="I1069" t="inlineStr">
        <is>
          <t>1</t>
        </is>
      </c>
      <c r="J1069" t="inlineStr">
        <is>
          <t>No</t>
        </is>
      </c>
      <c r="K1069" t="inlineStr">
        <is>
          <t>No</t>
        </is>
      </c>
      <c r="L1069" t="inlineStr">
        <is>
          <t>0</t>
        </is>
      </c>
      <c r="M1069" t="inlineStr">
        <is>
          <t>Sells, A. Lytton (Arthur Lytton), 1895-1978.</t>
        </is>
      </c>
      <c r="N1069" t="inlineStr">
        <is>
          <t>London Boston : G. Allen &amp; Unwin, 1980.</t>
        </is>
      </c>
      <c r="O1069" t="inlineStr">
        <is>
          <t>1980</t>
        </is>
      </c>
      <c r="Q1069" t="inlineStr">
        <is>
          <t>eng</t>
        </is>
      </c>
      <c r="R1069" t="inlineStr">
        <is>
          <t>enk</t>
        </is>
      </c>
      <c r="T1069" t="inlineStr">
        <is>
          <t xml:space="preserve">PR </t>
        </is>
      </c>
      <c r="U1069" t="n">
        <v>4</v>
      </c>
      <c r="V1069" t="n">
        <v>4</v>
      </c>
      <c r="W1069" t="inlineStr">
        <is>
          <t>1999-12-05</t>
        </is>
      </c>
      <c r="X1069" t="inlineStr">
        <is>
          <t>1999-12-05</t>
        </is>
      </c>
      <c r="Y1069" t="inlineStr">
        <is>
          <t>1991-04-23</t>
        </is>
      </c>
      <c r="Z1069" t="inlineStr">
        <is>
          <t>1991-04-23</t>
        </is>
      </c>
      <c r="AA1069" t="n">
        <v>379</v>
      </c>
      <c r="AB1069" t="n">
        <v>260</v>
      </c>
      <c r="AC1069" t="n">
        <v>266</v>
      </c>
      <c r="AD1069" t="n">
        <v>4</v>
      </c>
      <c r="AE1069" t="n">
        <v>4</v>
      </c>
      <c r="AF1069" t="n">
        <v>11</v>
      </c>
      <c r="AG1069" t="n">
        <v>11</v>
      </c>
      <c r="AH1069" t="n">
        <v>2</v>
      </c>
      <c r="AI1069" t="n">
        <v>2</v>
      </c>
      <c r="AJ1069" t="n">
        <v>2</v>
      </c>
      <c r="AK1069" t="n">
        <v>2</v>
      </c>
      <c r="AL1069" t="n">
        <v>7</v>
      </c>
      <c r="AM1069" t="n">
        <v>7</v>
      </c>
      <c r="AN1069" t="n">
        <v>3</v>
      </c>
      <c r="AO1069" t="n">
        <v>3</v>
      </c>
      <c r="AP1069" t="n">
        <v>0</v>
      </c>
      <c r="AQ1069" t="n">
        <v>0</v>
      </c>
      <c r="AR1069" t="inlineStr">
        <is>
          <t>No</t>
        </is>
      </c>
      <c r="AS1069" t="inlineStr">
        <is>
          <t>No</t>
        </is>
      </c>
      <c r="AU1069">
        <f>HYPERLINK("https://creighton-primo.hosted.exlibrisgroup.com/primo-explore/search?tab=default_tab&amp;search_scope=EVERYTHING&amp;vid=01CRU&amp;lang=en_US&amp;offset=0&amp;query=any,contains,991005034659702656","Catalog Record")</f>
        <v/>
      </c>
      <c r="AV1069">
        <f>HYPERLINK("http://www.worldcat.org/oclc/7171590","WorldCat Record")</f>
        <v/>
      </c>
      <c r="AW1069" t="inlineStr">
        <is>
          <t>347977100:eng</t>
        </is>
      </c>
      <c r="AX1069" t="inlineStr">
        <is>
          <t>7171590</t>
        </is>
      </c>
      <c r="AY1069" t="inlineStr">
        <is>
          <t>991005034659702656</t>
        </is>
      </c>
      <c r="AZ1069" t="inlineStr">
        <is>
          <t>991005034659702656</t>
        </is>
      </c>
      <c r="BA1069" t="inlineStr">
        <is>
          <t>2265129900002656</t>
        </is>
      </c>
      <c r="BB1069" t="inlineStr">
        <is>
          <t>BOOK</t>
        </is>
      </c>
      <c r="BD1069" t="inlineStr">
        <is>
          <t>9780049280434</t>
        </is>
      </c>
      <c r="BE1069" t="inlineStr">
        <is>
          <t>32285000585934</t>
        </is>
      </c>
      <c r="BF1069" t="inlineStr">
        <is>
          <t>893260458</t>
        </is>
      </c>
    </row>
    <row r="1070">
      <c r="A1070" t="inlineStr">
        <is>
          <t>No</t>
        </is>
      </c>
      <c r="B1070" t="inlineStr">
        <is>
          <t>CURAL</t>
        </is>
      </c>
      <c r="C1070" t="inlineStr">
        <is>
          <t>SHELVES</t>
        </is>
      </c>
      <c r="D1070" t="inlineStr">
        <is>
          <t>PR3506.H94 S35 1985</t>
        </is>
      </c>
      <c r="E1070" t="inlineStr">
        <is>
          <t>0                      PR 3506000H  94                 S  35          1985</t>
        </is>
      </c>
      <c r="F1070" t="inlineStr">
        <is>
          <t>Eliza Haywood / Mary Anne Schofield.</t>
        </is>
      </c>
      <c r="H1070" t="inlineStr">
        <is>
          <t>No</t>
        </is>
      </c>
      <c r="I1070" t="inlineStr">
        <is>
          <t>1</t>
        </is>
      </c>
      <c r="J1070" t="inlineStr">
        <is>
          <t>No</t>
        </is>
      </c>
      <c r="K1070" t="inlineStr">
        <is>
          <t>No</t>
        </is>
      </c>
      <c r="L1070" t="inlineStr">
        <is>
          <t>0</t>
        </is>
      </c>
      <c r="M1070" t="inlineStr">
        <is>
          <t>Schofield, Mary Anne.</t>
        </is>
      </c>
      <c r="N1070" t="inlineStr">
        <is>
          <t>Boston : Twayne Publishers, c1985.</t>
        </is>
      </c>
      <c r="O1070" t="inlineStr">
        <is>
          <t>1985</t>
        </is>
      </c>
      <c r="Q1070" t="inlineStr">
        <is>
          <t>eng</t>
        </is>
      </c>
      <c r="R1070" t="inlineStr">
        <is>
          <t>mau</t>
        </is>
      </c>
      <c r="S1070" t="inlineStr">
        <is>
          <t>Twayne's English authors series ; TEAS 411</t>
        </is>
      </c>
      <c r="T1070" t="inlineStr">
        <is>
          <t xml:space="preserve">PR </t>
        </is>
      </c>
      <c r="U1070" t="n">
        <v>3</v>
      </c>
      <c r="V1070" t="n">
        <v>3</v>
      </c>
      <c r="W1070" t="inlineStr">
        <is>
          <t>2004-11-15</t>
        </is>
      </c>
      <c r="X1070" t="inlineStr">
        <is>
          <t>2004-11-15</t>
        </is>
      </c>
      <c r="Y1070" t="inlineStr">
        <is>
          <t>1991-04-23</t>
        </is>
      </c>
      <c r="Z1070" t="inlineStr">
        <is>
          <t>1991-04-23</t>
        </is>
      </c>
      <c r="AA1070" t="n">
        <v>444</v>
      </c>
      <c r="AB1070" t="n">
        <v>380</v>
      </c>
      <c r="AC1070" t="n">
        <v>385</v>
      </c>
      <c r="AD1070" t="n">
        <v>5</v>
      </c>
      <c r="AE1070" t="n">
        <v>5</v>
      </c>
      <c r="AF1070" t="n">
        <v>20</v>
      </c>
      <c r="AG1070" t="n">
        <v>20</v>
      </c>
      <c r="AH1070" t="n">
        <v>4</v>
      </c>
      <c r="AI1070" t="n">
        <v>4</v>
      </c>
      <c r="AJ1070" t="n">
        <v>5</v>
      </c>
      <c r="AK1070" t="n">
        <v>5</v>
      </c>
      <c r="AL1070" t="n">
        <v>13</v>
      </c>
      <c r="AM1070" t="n">
        <v>13</v>
      </c>
      <c r="AN1070" t="n">
        <v>4</v>
      </c>
      <c r="AO1070" t="n">
        <v>4</v>
      </c>
      <c r="AP1070" t="n">
        <v>0</v>
      </c>
      <c r="AQ1070" t="n">
        <v>0</v>
      </c>
      <c r="AR1070" t="inlineStr">
        <is>
          <t>No</t>
        </is>
      </c>
      <c r="AS1070" t="inlineStr">
        <is>
          <t>Yes</t>
        </is>
      </c>
      <c r="AT1070">
        <f>HYPERLINK("http://catalog.hathitrust.org/Record/000421703","HathiTrust Record")</f>
        <v/>
      </c>
      <c r="AU1070">
        <f>HYPERLINK("https://creighton-primo.hosted.exlibrisgroup.com/primo-explore/search?tab=default_tab&amp;search_scope=EVERYTHING&amp;vid=01CRU&amp;lang=en_US&amp;offset=0&amp;query=any,contains,991000640929702656","Catalog Record")</f>
        <v/>
      </c>
      <c r="AV1070">
        <f>HYPERLINK("http://www.worldcat.org/oclc/12104120","WorldCat Record")</f>
        <v/>
      </c>
      <c r="AW1070" t="inlineStr">
        <is>
          <t>4811481:eng</t>
        </is>
      </c>
      <c r="AX1070" t="inlineStr">
        <is>
          <t>12104120</t>
        </is>
      </c>
      <c r="AY1070" t="inlineStr">
        <is>
          <t>991000640929702656</t>
        </is>
      </c>
      <c r="AZ1070" t="inlineStr">
        <is>
          <t>991000640929702656</t>
        </is>
      </c>
      <c r="BA1070" t="inlineStr">
        <is>
          <t>2260074030002656</t>
        </is>
      </c>
      <c r="BB1070" t="inlineStr">
        <is>
          <t>BOOK</t>
        </is>
      </c>
      <c r="BD1070" t="inlineStr">
        <is>
          <t>9780805769135</t>
        </is>
      </c>
      <c r="BE1070" t="inlineStr">
        <is>
          <t>32285000585975</t>
        </is>
      </c>
      <c r="BF1070" t="inlineStr">
        <is>
          <t>893255597</t>
        </is>
      </c>
    </row>
    <row r="1071">
      <c r="A1071" t="inlineStr">
        <is>
          <t>No</t>
        </is>
      </c>
      <c r="B1071" t="inlineStr">
        <is>
          <t>CURAL</t>
        </is>
      </c>
      <c r="C1071" t="inlineStr">
        <is>
          <t>SHELVES</t>
        </is>
      </c>
      <c r="D1071" t="inlineStr">
        <is>
          <t>PR3507.T43 L85 1990</t>
        </is>
      </c>
      <c r="E1071" t="inlineStr">
        <is>
          <t>0                      PR 3507000T  43                 L  85          1990</t>
        </is>
      </c>
      <c r="F1071" t="inlineStr">
        <is>
          <t>The poem in time : reading George Herbert's revisions of The church / Janis Lull.</t>
        </is>
      </c>
      <c r="H1071" t="inlineStr">
        <is>
          <t>No</t>
        </is>
      </c>
      <c r="I1071" t="inlineStr">
        <is>
          <t>1</t>
        </is>
      </c>
      <c r="J1071" t="inlineStr">
        <is>
          <t>No</t>
        </is>
      </c>
      <c r="K1071" t="inlineStr">
        <is>
          <t>No</t>
        </is>
      </c>
      <c r="L1071" t="inlineStr">
        <is>
          <t>0</t>
        </is>
      </c>
      <c r="M1071" t="inlineStr">
        <is>
          <t>Lull, Janis.</t>
        </is>
      </c>
      <c r="N1071" t="inlineStr">
        <is>
          <t>Newark : University of Delaware Press ; London : Associated University Presses, c1990.</t>
        </is>
      </c>
      <c r="O1071" t="inlineStr">
        <is>
          <t>1990</t>
        </is>
      </c>
      <c r="Q1071" t="inlineStr">
        <is>
          <t>eng</t>
        </is>
      </c>
      <c r="R1071" t="inlineStr">
        <is>
          <t>deu</t>
        </is>
      </c>
      <c r="T1071" t="inlineStr">
        <is>
          <t xml:space="preserve">PR </t>
        </is>
      </c>
      <c r="U1071" t="n">
        <v>3</v>
      </c>
      <c r="V1071" t="n">
        <v>3</v>
      </c>
      <c r="W1071" t="inlineStr">
        <is>
          <t>1993-02-08</t>
        </is>
      </c>
      <c r="X1071" t="inlineStr">
        <is>
          <t>1993-02-08</t>
        </is>
      </c>
      <c r="Y1071" t="inlineStr">
        <is>
          <t>1990-10-12</t>
        </is>
      </c>
      <c r="Z1071" t="inlineStr">
        <is>
          <t>1990-10-12</t>
        </is>
      </c>
      <c r="AA1071" t="n">
        <v>309</v>
      </c>
      <c r="AB1071" t="n">
        <v>249</v>
      </c>
      <c r="AC1071" t="n">
        <v>256</v>
      </c>
      <c r="AD1071" t="n">
        <v>2</v>
      </c>
      <c r="AE1071" t="n">
        <v>2</v>
      </c>
      <c r="AF1071" t="n">
        <v>13</v>
      </c>
      <c r="AG1071" t="n">
        <v>13</v>
      </c>
      <c r="AH1071" t="n">
        <v>4</v>
      </c>
      <c r="AI1071" t="n">
        <v>4</v>
      </c>
      <c r="AJ1071" t="n">
        <v>5</v>
      </c>
      <c r="AK1071" t="n">
        <v>5</v>
      </c>
      <c r="AL1071" t="n">
        <v>9</v>
      </c>
      <c r="AM1071" t="n">
        <v>9</v>
      </c>
      <c r="AN1071" t="n">
        <v>1</v>
      </c>
      <c r="AO1071" t="n">
        <v>1</v>
      </c>
      <c r="AP1071" t="n">
        <v>0</v>
      </c>
      <c r="AQ1071" t="n">
        <v>0</v>
      </c>
      <c r="AR1071" t="inlineStr">
        <is>
          <t>No</t>
        </is>
      </c>
      <c r="AS1071" t="inlineStr">
        <is>
          <t>Yes</t>
        </is>
      </c>
      <c r="AT1071">
        <f>HYPERLINK("http://catalog.hathitrust.org/Record/001956159","HathiTrust Record")</f>
        <v/>
      </c>
      <c r="AU1071">
        <f>HYPERLINK("https://creighton-primo.hosted.exlibrisgroup.com/primo-explore/search?tab=default_tab&amp;search_scope=EVERYTHING&amp;vid=01CRU&amp;lang=en_US&amp;offset=0&amp;query=any,contains,991001546599702656","Catalog Record")</f>
        <v/>
      </c>
      <c r="AV1071">
        <f>HYPERLINK("http://www.worldcat.org/oclc/20168835","WorldCat Record")</f>
        <v/>
      </c>
      <c r="AW1071" t="inlineStr">
        <is>
          <t>347449475:eng</t>
        </is>
      </c>
      <c r="AX1071" t="inlineStr">
        <is>
          <t>20168835</t>
        </is>
      </c>
      <c r="AY1071" t="inlineStr">
        <is>
          <t>991001546599702656</t>
        </is>
      </c>
      <c r="AZ1071" t="inlineStr">
        <is>
          <t>991001546599702656</t>
        </is>
      </c>
      <c r="BA1071" t="inlineStr">
        <is>
          <t>2267042410002656</t>
        </is>
      </c>
      <c r="BB1071" t="inlineStr">
        <is>
          <t>BOOK</t>
        </is>
      </c>
      <c r="BD1071" t="inlineStr">
        <is>
          <t>9780874133578</t>
        </is>
      </c>
      <c r="BE1071" t="inlineStr">
        <is>
          <t>32285000310069</t>
        </is>
      </c>
      <c r="BF1071" t="inlineStr">
        <is>
          <t>893602668</t>
        </is>
      </c>
    </row>
    <row r="1072">
      <c r="A1072" t="inlineStr">
        <is>
          <t>No</t>
        </is>
      </c>
      <c r="B1072" t="inlineStr">
        <is>
          <t>CURAL</t>
        </is>
      </c>
      <c r="C1072" t="inlineStr">
        <is>
          <t>SHELVES</t>
        </is>
      </c>
      <c r="D1072" t="inlineStr">
        <is>
          <t>PR3508 .C48</t>
        </is>
      </c>
      <c r="E1072" t="inlineStr">
        <is>
          <t>0                      PR 3508000C  48</t>
        </is>
      </c>
      <c r="F1072" t="inlineStr">
        <is>
          <t>A life of George Herbert / Amy M. Charles.</t>
        </is>
      </c>
      <c r="H1072" t="inlineStr">
        <is>
          <t>No</t>
        </is>
      </c>
      <c r="I1072" t="inlineStr">
        <is>
          <t>1</t>
        </is>
      </c>
      <c r="J1072" t="inlineStr">
        <is>
          <t>No</t>
        </is>
      </c>
      <c r="K1072" t="inlineStr">
        <is>
          <t>No</t>
        </is>
      </c>
      <c r="L1072" t="inlineStr">
        <is>
          <t>0</t>
        </is>
      </c>
      <c r="M1072" t="inlineStr">
        <is>
          <t>Charles, Amy M. (Amy Marie)</t>
        </is>
      </c>
      <c r="N1072" t="inlineStr">
        <is>
          <t>Ithaca, N.Y. : Cornell University Press, 1977.</t>
        </is>
      </c>
      <c r="O1072" t="inlineStr">
        <is>
          <t>1977</t>
        </is>
      </c>
      <c r="Q1072" t="inlineStr">
        <is>
          <t>eng</t>
        </is>
      </c>
      <c r="R1072" t="inlineStr">
        <is>
          <t>nyu</t>
        </is>
      </c>
      <c r="T1072" t="inlineStr">
        <is>
          <t xml:space="preserve">PR </t>
        </is>
      </c>
      <c r="U1072" t="n">
        <v>1</v>
      </c>
      <c r="V1072" t="n">
        <v>1</v>
      </c>
      <c r="W1072" t="inlineStr">
        <is>
          <t>2010-12-01</t>
        </is>
      </c>
      <c r="X1072" t="inlineStr">
        <is>
          <t>2010-12-01</t>
        </is>
      </c>
      <c r="Y1072" t="inlineStr">
        <is>
          <t>1997-07-23</t>
        </is>
      </c>
      <c r="Z1072" t="inlineStr">
        <is>
          <t>1997-07-23</t>
        </is>
      </c>
      <c r="AA1072" t="n">
        <v>794</v>
      </c>
      <c r="AB1072" t="n">
        <v>646</v>
      </c>
      <c r="AC1072" t="n">
        <v>655</v>
      </c>
      <c r="AD1072" t="n">
        <v>5</v>
      </c>
      <c r="AE1072" t="n">
        <v>5</v>
      </c>
      <c r="AF1072" t="n">
        <v>40</v>
      </c>
      <c r="AG1072" t="n">
        <v>40</v>
      </c>
      <c r="AH1072" t="n">
        <v>17</v>
      </c>
      <c r="AI1072" t="n">
        <v>17</v>
      </c>
      <c r="AJ1072" t="n">
        <v>10</v>
      </c>
      <c r="AK1072" t="n">
        <v>10</v>
      </c>
      <c r="AL1072" t="n">
        <v>22</v>
      </c>
      <c r="AM1072" t="n">
        <v>22</v>
      </c>
      <c r="AN1072" t="n">
        <v>4</v>
      </c>
      <c r="AO1072" t="n">
        <v>4</v>
      </c>
      <c r="AP1072" t="n">
        <v>0</v>
      </c>
      <c r="AQ1072" t="n">
        <v>0</v>
      </c>
      <c r="AR1072" t="inlineStr">
        <is>
          <t>No</t>
        </is>
      </c>
      <c r="AS1072" t="inlineStr">
        <is>
          <t>Yes</t>
        </is>
      </c>
      <c r="AT1072">
        <f>HYPERLINK("http://catalog.hathitrust.org/Record/000253537","HathiTrust Record")</f>
        <v/>
      </c>
      <c r="AU1072">
        <f>HYPERLINK("https://creighton-primo.hosted.exlibrisgroup.com/primo-explore/search?tab=default_tab&amp;search_scope=EVERYTHING&amp;vid=01CRU&amp;lang=en_US&amp;offset=0&amp;query=any,contains,991004335099702656","Catalog Record")</f>
        <v/>
      </c>
      <c r="AV1072">
        <f>HYPERLINK("http://www.worldcat.org/oclc/3072426","WorldCat Record")</f>
        <v/>
      </c>
      <c r="AW1072" t="inlineStr">
        <is>
          <t>450239:eng</t>
        </is>
      </c>
      <c r="AX1072" t="inlineStr">
        <is>
          <t>3072426</t>
        </is>
      </c>
      <c r="AY1072" t="inlineStr">
        <is>
          <t>991004335099702656</t>
        </is>
      </c>
      <c r="AZ1072" t="inlineStr">
        <is>
          <t>991004335099702656</t>
        </is>
      </c>
      <c r="BA1072" t="inlineStr">
        <is>
          <t>2265313290002656</t>
        </is>
      </c>
      <c r="BB1072" t="inlineStr">
        <is>
          <t>BOOK</t>
        </is>
      </c>
      <c r="BD1072" t="inlineStr">
        <is>
          <t>9780801410147</t>
        </is>
      </c>
      <c r="BE1072" t="inlineStr">
        <is>
          <t>32285002955705</t>
        </is>
      </c>
      <c r="BF1072" t="inlineStr">
        <is>
          <t>893794742</t>
        </is>
      </c>
    </row>
    <row r="1073">
      <c r="A1073" t="inlineStr">
        <is>
          <t>No</t>
        </is>
      </c>
      <c r="B1073" t="inlineStr">
        <is>
          <t>CURAL</t>
        </is>
      </c>
      <c r="C1073" t="inlineStr">
        <is>
          <t>SHELVES</t>
        </is>
      </c>
      <c r="D1073" t="inlineStr">
        <is>
          <t>PR3508 .E8 1979</t>
        </is>
      </c>
      <c r="E1073" t="inlineStr">
        <is>
          <t>0                      PR 3508000E  8           1979</t>
        </is>
      </c>
      <c r="F1073" t="inlineStr">
        <is>
          <t>Essential articles for the study of George Herbert's poetry / edited by John R. Roberts.</t>
        </is>
      </c>
      <c r="H1073" t="inlineStr">
        <is>
          <t>No</t>
        </is>
      </c>
      <c r="I1073" t="inlineStr">
        <is>
          <t>1</t>
        </is>
      </c>
      <c r="J1073" t="inlineStr">
        <is>
          <t>No</t>
        </is>
      </c>
      <c r="K1073" t="inlineStr">
        <is>
          <t>No</t>
        </is>
      </c>
      <c r="L1073" t="inlineStr">
        <is>
          <t>0</t>
        </is>
      </c>
      <c r="N1073" t="inlineStr">
        <is>
          <t>Hamden, Conn. : Archon Books, 1979.</t>
        </is>
      </c>
      <c r="O1073" t="inlineStr">
        <is>
          <t>1979</t>
        </is>
      </c>
      <c r="Q1073" t="inlineStr">
        <is>
          <t>eng</t>
        </is>
      </c>
      <c r="R1073" t="inlineStr">
        <is>
          <t>ctu</t>
        </is>
      </c>
      <c r="S1073" t="inlineStr">
        <is>
          <t>The Essential articles series</t>
        </is>
      </c>
      <c r="T1073" t="inlineStr">
        <is>
          <t xml:space="preserve">PR </t>
        </is>
      </c>
      <c r="U1073" t="n">
        <v>4</v>
      </c>
      <c r="V1073" t="n">
        <v>4</v>
      </c>
      <c r="W1073" t="inlineStr">
        <is>
          <t>1999-04-25</t>
        </is>
      </c>
      <c r="X1073" t="inlineStr">
        <is>
          <t>1999-04-25</t>
        </is>
      </c>
      <c r="Y1073" t="inlineStr">
        <is>
          <t>1991-04-23</t>
        </is>
      </c>
      <c r="Z1073" t="inlineStr">
        <is>
          <t>1991-04-23</t>
        </is>
      </c>
      <c r="AA1073" t="n">
        <v>423</v>
      </c>
      <c r="AB1073" t="n">
        <v>355</v>
      </c>
      <c r="AC1073" t="n">
        <v>356</v>
      </c>
      <c r="AD1073" t="n">
        <v>3</v>
      </c>
      <c r="AE1073" t="n">
        <v>3</v>
      </c>
      <c r="AF1073" t="n">
        <v>21</v>
      </c>
      <c r="AG1073" t="n">
        <v>21</v>
      </c>
      <c r="AH1073" t="n">
        <v>6</v>
      </c>
      <c r="AI1073" t="n">
        <v>6</v>
      </c>
      <c r="AJ1073" t="n">
        <v>5</v>
      </c>
      <c r="AK1073" t="n">
        <v>5</v>
      </c>
      <c r="AL1073" t="n">
        <v>14</v>
      </c>
      <c r="AM1073" t="n">
        <v>14</v>
      </c>
      <c r="AN1073" t="n">
        <v>2</v>
      </c>
      <c r="AO1073" t="n">
        <v>2</v>
      </c>
      <c r="AP1073" t="n">
        <v>0</v>
      </c>
      <c r="AQ1073" t="n">
        <v>0</v>
      </c>
      <c r="AR1073" t="inlineStr">
        <is>
          <t>No</t>
        </is>
      </c>
      <c r="AS1073" t="inlineStr">
        <is>
          <t>No</t>
        </is>
      </c>
      <c r="AU1073">
        <f>HYPERLINK("https://creighton-primo.hosted.exlibrisgroup.com/primo-explore/search?tab=default_tab&amp;search_scope=EVERYTHING&amp;vid=01CRU&amp;lang=en_US&amp;offset=0&amp;query=any,contains,991004769439702656","Catalog Record")</f>
        <v/>
      </c>
      <c r="AV1073">
        <f>HYPERLINK("http://www.worldcat.org/oclc/5051637","WorldCat Record")</f>
        <v/>
      </c>
      <c r="AW1073" t="inlineStr">
        <is>
          <t>417680:eng</t>
        </is>
      </c>
      <c r="AX1073" t="inlineStr">
        <is>
          <t>5051637</t>
        </is>
      </c>
      <c r="AY1073" t="inlineStr">
        <is>
          <t>991004769439702656</t>
        </is>
      </c>
      <c r="AZ1073" t="inlineStr">
        <is>
          <t>991004769439702656</t>
        </is>
      </c>
      <c r="BA1073" t="inlineStr">
        <is>
          <t>2263777610002656</t>
        </is>
      </c>
      <c r="BB1073" t="inlineStr">
        <is>
          <t>BOOK</t>
        </is>
      </c>
      <c r="BD1073" t="inlineStr">
        <is>
          <t>9780208017703</t>
        </is>
      </c>
      <c r="BE1073" t="inlineStr">
        <is>
          <t>32285000585991</t>
        </is>
      </c>
      <c r="BF1073" t="inlineStr">
        <is>
          <t>893536199</t>
        </is>
      </c>
    </row>
    <row r="1074">
      <c r="A1074" t="inlineStr">
        <is>
          <t>No</t>
        </is>
      </c>
      <c r="B1074" t="inlineStr">
        <is>
          <t>CURAL</t>
        </is>
      </c>
      <c r="C1074" t="inlineStr">
        <is>
          <t>SHELVES</t>
        </is>
      </c>
      <c r="D1074" t="inlineStr">
        <is>
          <t>PR3508 .G47 1995</t>
        </is>
      </c>
      <c r="E1074" t="inlineStr">
        <is>
          <t>0                      PR 3508000G  47          1995</t>
        </is>
      </c>
      <c r="F1074" t="inlineStr">
        <is>
          <t>George Herbert : sacred and profane / edited by Helen Wilcox, Richard Todd.</t>
        </is>
      </c>
      <c r="H1074" t="inlineStr">
        <is>
          <t>No</t>
        </is>
      </c>
      <c r="I1074" t="inlineStr">
        <is>
          <t>1</t>
        </is>
      </c>
      <c r="J1074" t="inlineStr">
        <is>
          <t>No</t>
        </is>
      </c>
      <c r="K1074" t="inlineStr">
        <is>
          <t>No</t>
        </is>
      </c>
      <c r="L1074" t="inlineStr">
        <is>
          <t>0</t>
        </is>
      </c>
      <c r="N1074" t="inlineStr">
        <is>
          <t>Amsterdam : VU University Press, 1995.</t>
        </is>
      </c>
      <c r="O1074" t="inlineStr">
        <is>
          <t>1995</t>
        </is>
      </c>
      <c r="Q1074" t="inlineStr">
        <is>
          <t>dut</t>
        </is>
      </c>
      <c r="R1074" t="inlineStr">
        <is>
          <t xml:space="preserve">ne </t>
        </is>
      </c>
      <c r="T1074" t="inlineStr">
        <is>
          <t xml:space="preserve">PR </t>
        </is>
      </c>
      <c r="U1074" t="n">
        <v>2</v>
      </c>
      <c r="V1074" t="n">
        <v>2</v>
      </c>
      <c r="W1074" t="inlineStr">
        <is>
          <t>2010-12-01</t>
        </is>
      </c>
      <c r="X1074" t="inlineStr">
        <is>
          <t>2010-12-01</t>
        </is>
      </c>
      <c r="Y1074" t="inlineStr">
        <is>
          <t>1997-06-24</t>
        </is>
      </c>
      <c r="Z1074" t="inlineStr">
        <is>
          <t>1997-06-24</t>
        </is>
      </c>
      <c r="AA1074" t="n">
        <v>315</v>
      </c>
      <c r="AB1074" t="n">
        <v>266</v>
      </c>
      <c r="AC1074" t="n">
        <v>268</v>
      </c>
      <c r="AD1074" t="n">
        <v>3</v>
      </c>
      <c r="AE1074" t="n">
        <v>3</v>
      </c>
      <c r="AF1074" t="n">
        <v>18</v>
      </c>
      <c r="AG1074" t="n">
        <v>18</v>
      </c>
      <c r="AH1074" t="n">
        <v>6</v>
      </c>
      <c r="AI1074" t="n">
        <v>6</v>
      </c>
      <c r="AJ1074" t="n">
        <v>5</v>
      </c>
      <c r="AK1074" t="n">
        <v>5</v>
      </c>
      <c r="AL1074" t="n">
        <v>10</v>
      </c>
      <c r="AM1074" t="n">
        <v>10</v>
      </c>
      <c r="AN1074" t="n">
        <v>2</v>
      </c>
      <c r="AO1074" t="n">
        <v>2</v>
      </c>
      <c r="AP1074" t="n">
        <v>0</v>
      </c>
      <c r="AQ1074" t="n">
        <v>0</v>
      </c>
      <c r="AR1074" t="inlineStr">
        <is>
          <t>No</t>
        </is>
      </c>
      <c r="AS1074" t="inlineStr">
        <is>
          <t>Yes</t>
        </is>
      </c>
      <c r="AT1074">
        <f>HYPERLINK("http://catalog.hathitrust.org/Record/003957020","HathiTrust Record")</f>
        <v/>
      </c>
      <c r="AU1074">
        <f>HYPERLINK("https://creighton-primo.hosted.exlibrisgroup.com/primo-explore/search?tab=default_tab&amp;search_scope=EVERYTHING&amp;vid=01CRU&amp;lang=en_US&amp;offset=0&amp;query=any,contains,991002581959702656","Catalog Record")</f>
        <v/>
      </c>
      <c r="AV1074">
        <f>HYPERLINK("http://www.worldcat.org/oclc/33840678","WorldCat Record")</f>
        <v/>
      </c>
      <c r="AW1074" t="inlineStr">
        <is>
          <t>4918962080:dut</t>
        </is>
      </c>
      <c r="AX1074" t="inlineStr">
        <is>
          <t>33840678</t>
        </is>
      </c>
      <c r="AY1074" t="inlineStr">
        <is>
          <t>991002581959702656</t>
        </is>
      </c>
      <c r="AZ1074" t="inlineStr">
        <is>
          <t>991002581959702656</t>
        </is>
      </c>
      <c r="BA1074" t="inlineStr">
        <is>
          <t>2261885350002656</t>
        </is>
      </c>
      <c r="BB1074" t="inlineStr">
        <is>
          <t>BOOK</t>
        </is>
      </c>
      <c r="BD1074" t="inlineStr">
        <is>
          <t>9789053833681</t>
        </is>
      </c>
      <c r="BE1074" t="inlineStr">
        <is>
          <t>32285002753183</t>
        </is>
      </c>
      <c r="BF1074" t="inlineStr">
        <is>
          <t>893691760</t>
        </is>
      </c>
    </row>
    <row r="1075">
      <c r="A1075" t="inlineStr">
        <is>
          <t>No</t>
        </is>
      </c>
      <c r="B1075" t="inlineStr">
        <is>
          <t>CURAL</t>
        </is>
      </c>
      <c r="C1075" t="inlineStr">
        <is>
          <t>SHELVES</t>
        </is>
      </c>
      <c r="D1075" t="inlineStr">
        <is>
          <t>PR3508 .R39 1995</t>
        </is>
      </c>
      <c r="E1075" t="inlineStr">
        <is>
          <t>0                      PR 3508000R  39          1995</t>
        </is>
      </c>
      <c r="F1075" t="inlineStr">
        <is>
          <t>A George Herbert companion / Robert H. Ray.</t>
        </is>
      </c>
      <c r="H1075" t="inlineStr">
        <is>
          <t>No</t>
        </is>
      </c>
      <c r="I1075" t="inlineStr">
        <is>
          <t>1</t>
        </is>
      </c>
      <c r="J1075" t="inlineStr">
        <is>
          <t>No</t>
        </is>
      </c>
      <c r="K1075" t="inlineStr">
        <is>
          <t>No</t>
        </is>
      </c>
      <c r="L1075" t="inlineStr">
        <is>
          <t>0</t>
        </is>
      </c>
      <c r="M1075" t="inlineStr">
        <is>
          <t>Ray, Robert H., 1940-</t>
        </is>
      </c>
      <c r="N1075" t="inlineStr">
        <is>
          <t>New York : Garland Pub., 1995.</t>
        </is>
      </c>
      <c r="O1075" t="inlineStr">
        <is>
          <t>1995</t>
        </is>
      </c>
      <c r="Q1075" t="inlineStr">
        <is>
          <t>eng</t>
        </is>
      </c>
      <c r="R1075" t="inlineStr">
        <is>
          <t>nyu</t>
        </is>
      </c>
      <c r="S1075" t="inlineStr">
        <is>
          <t>Garland reference library of the humanities ; vol. 921</t>
        </is>
      </c>
      <c r="T1075" t="inlineStr">
        <is>
          <t xml:space="preserve">PR </t>
        </is>
      </c>
      <c r="U1075" t="n">
        <v>2</v>
      </c>
      <c r="V1075" t="n">
        <v>2</v>
      </c>
      <c r="W1075" t="inlineStr">
        <is>
          <t>1998-08-25</t>
        </is>
      </c>
      <c r="X1075" t="inlineStr">
        <is>
          <t>1998-08-25</t>
        </is>
      </c>
      <c r="Y1075" t="inlineStr">
        <is>
          <t>1995-08-22</t>
        </is>
      </c>
      <c r="Z1075" t="inlineStr">
        <is>
          <t>1995-08-22</t>
        </is>
      </c>
      <c r="AA1075" t="n">
        <v>276</v>
      </c>
      <c r="AB1075" t="n">
        <v>222</v>
      </c>
      <c r="AC1075" t="n">
        <v>251</v>
      </c>
      <c r="AD1075" t="n">
        <v>3</v>
      </c>
      <c r="AE1075" t="n">
        <v>3</v>
      </c>
      <c r="AF1075" t="n">
        <v>15</v>
      </c>
      <c r="AG1075" t="n">
        <v>15</v>
      </c>
      <c r="AH1075" t="n">
        <v>3</v>
      </c>
      <c r="AI1075" t="n">
        <v>3</v>
      </c>
      <c r="AJ1075" t="n">
        <v>4</v>
      </c>
      <c r="AK1075" t="n">
        <v>4</v>
      </c>
      <c r="AL1075" t="n">
        <v>10</v>
      </c>
      <c r="AM1075" t="n">
        <v>10</v>
      </c>
      <c r="AN1075" t="n">
        <v>2</v>
      </c>
      <c r="AO1075" t="n">
        <v>2</v>
      </c>
      <c r="AP1075" t="n">
        <v>0</v>
      </c>
      <c r="AQ1075" t="n">
        <v>0</v>
      </c>
      <c r="AR1075" t="inlineStr">
        <is>
          <t>No</t>
        </is>
      </c>
      <c r="AS1075" t="inlineStr">
        <is>
          <t>No</t>
        </is>
      </c>
      <c r="AU1075">
        <f>HYPERLINK("https://creighton-primo.hosted.exlibrisgroup.com/primo-explore/search?tab=default_tab&amp;search_scope=EVERYTHING&amp;vid=01CRU&amp;lang=en_US&amp;offset=0&amp;query=any,contains,991002382419702656","Catalog Record")</f>
        <v/>
      </c>
      <c r="AV1075">
        <f>HYPERLINK("http://www.worldcat.org/oclc/30972319","WorldCat Record")</f>
        <v/>
      </c>
      <c r="AW1075" t="inlineStr">
        <is>
          <t>910250:eng</t>
        </is>
      </c>
      <c r="AX1075" t="inlineStr">
        <is>
          <t>30972319</t>
        </is>
      </c>
      <c r="AY1075" t="inlineStr">
        <is>
          <t>991002382419702656</t>
        </is>
      </c>
      <c r="AZ1075" t="inlineStr">
        <is>
          <t>991002382419702656</t>
        </is>
      </c>
      <c r="BA1075" t="inlineStr">
        <is>
          <t>2263307150002656</t>
        </is>
      </c>
      <c r="BB1075" t="inlineStr">
        <is>
          <t>BOOK</t>
        </is>
      </c>
      <c r="BD1075" t="inlineStr">
        <is>
          <t>9780824048495</t>
        </is>
      </c>
      <c r="BE1075" t="inlineStr">
        <is>
          <t>32285002079050</t>
        </is>
      </c>
      <c r="BF1075" t="inlineStr">
        <is>
          <t>893779747</t>
        </is>
      </c>
    </row>
    <row r="1076">
      <c r="A1076" t="inlineStr">
        <is>
          <t>No</t>
        </is>
      </c>
      <c r="B1076" t="inlineStr">
        <is>
          <t>CURAL</t>
        </is>
      </c>
      <c r="C1076" t="inlineStr">
        <is>
          <t>SHELVES</t>
        </is>
      </c>
      <c r="D1076" t="inlineStr">
        <is>
          <t>PR3508 .R6</t>
        </is>
      </c>
      <c r="E1076" t="inlineStr">
        <is>
          <t>0                      PR 3508000R  6</t>
        </is>
      </c>
      <c r="F1076" t="inlineStr">
        <is>
          <t>George Herbert : an annotated bibliography of modern criticism, 1905-1974 / John R. Roberts. --</t>
        </is>
      </c>
      <c r="H1076" t="inlineStr">
        <is>
          <t>No</t>
        </is>
      </c>
      <c r="I1076" t="inlineStr">
        <is>
          <t>1</t>
        </is>
      </c>
      <c r="J1076" t="inlineStr">
        <is>
          <t>No</t>
        </is>
      </c>
      <c r="K1076" t="inlineStr">
        <is>
          <t>No</t>
        </is>
      </c>
      <c r="L1076" t="inlineStr">
        <is>
          <t>0</t>
        </is>
      </c>
      <c r="M1076" t="inlineStr">
        <is>
          <t>Roberts, John Richard.</t>
        </is>
      </c>
      <c r="N1076" t="inlineStr">
        <is>
          <t>Columbia : University of Missouri Press, 1978.</t>
        </is>
      </c>
      <c r="O1076" t="inlineStr">
        <is>
          <t>1978</t>
        </is>
      </c>
      <c r="Q1076" t="inlineStr">
        <is>
          <t>eng</t>
        </is>
      </c>
      <c r="R1076" t="inlineStr">
        <is>
          <t>scu</t>
        </is>
      </c>
      <c r="T1076" t="inlineStr">
        <is>
          <t xml:space="preserve">PR </t>
        </is>
      </c>
      <c r="U1076" t="n">
        <v>1</v>
      </c>
      <c r="V1076" t="n">
        <v>1</v>
      </c>
      <c r="W1076" t="inlineStr">
        <is>
          <t>1993-02-08</t>
        </is>
      </c>
      <c r="X1076" t="inlineStr">
        <is>
          <t>1993-02-08</t>
        </is>
      </c>
      <c r="Y1076" t="inlineStr">
        <is>
          <t>1991-04-23</t>
        </is>
      </c>
      <c r="Z1076" t="inlineStr">
        <is>
          <t>1991-04-23</t>
        </is>
      </c>
      <c r="AA1076" t="n">
        <v>575</v>
      </c>
      <c r="AB1076" t="n">
        <v>441</v>
      </c>
      <c r="AC1076" t="n">
        <v>562</v>
      </c>
      <c r="AD1076" t="n">
        <v>4</v>
      </c>
      <c r="AE1076" t="n">
        <v>4</v>
      </c>
      <c r="AF1076" t="n">
        <v>17</v>
      </c>
      <c r="AG1076" t="n">
        <v>30</v>
      </c>
      <c r="AH1076" t="n">
        <v>3</v>
      </c>
      <c r="AI1076" t="n">
        <v>12</v>
      </c>
      <c r="AJ1076" t="n">
        <v>5</v>
      </c>
      <c r="AK1076" t="n">
        <v>8</v>
      </c>
      <c r="AL1076" t="n">
        <v>10</v>
      </c>
      <c r="AM1076" t="n">
        <v>17</v>
      </c>
      <c r="AN1076" t="n">
        <v>3</v>
      </c>
      <c r="AO1076" t="n">
        <v>3</v>
      </c>
      <c r="AP1076" t="n">
        <v>0</v>
      </c>
      <c r="AQ1076" t="n">
        <v>0</v>
      </c>
      <c r="AR1076" t="inlineStr">
        <is>
          <t>No</t>
        </is>
      </c>
      <c r="AS1076" t="inlineStr">
        <is>
          <t>Yes</t>
        </is>
      </c>
      <c r="AT1076">
        <f>HYPERLINK("http://catalog.hathitrust.org/Record/000087397","HathiTrust Record")</f>
        <v/>
      </c>
      <c r="AU1076">
        <f>HYPERLINK("https://creighton-primo.hosted.exlibrisgroup.com/primo-explore/search?tab=default_tab&amp;search_scope=EVERYTHING&amp;vid=01CRU&amp;lang=en_US&amp;offset=0&amp;query=any,contains,991004445279702656","Catalog Record")</f>
        <v/>
      </c>
      <c r="AV1076">
        <f>HYPERLINK("http://www.worldcat.org/oclc/3481191","WorldCat Record")</f>
        <v/>
      </c>
      <c r="AW1076" t="inlineStr">
        <is>
          <t>806781721:eng</t>
        </is>
      </c>
      <c r="AX1076" t="inlineStr">
        <is>
          <t>3481191</t>
        </is>
      </c>
      <c r="AY1076" t="inlineStr">
        <is>
          <t>991004445279702656</t>
        </is>
      </c>
      <c r="AZ1076" t="inlineStr">
        <is>
          <t>991004445279702656</t>
        </is>
      </c>
      <c r="BA1076" t="inlineStr">
        <is>
          <t>2264455760002656</t>
        </is>
      </c>
      <c r="BB1076" t="inlineStr">
        <is>
          <t>BOOK</t>
        </is>
      </c>
      <c r="BD1076" t="inlineStr">
        <is>
          <t>9780826202437</t>
        </is>
      </c>
      <c r="BE1076" t="inlineStr">
        <is>
          <t>32285000586023</t>
        </is>
      </c>
      <c r="BF1076" t="inlineStr">
        <is>
          <t>893718910</t>
        </is>
      </c>
    </row>
    <row r="1077">
      <c r="A1077" t="inlineStr">
        <is>
          <t>No</t>
        </is>
      </c>
      <c r="B1077" t="inlineStr">
        <is>
          <t>CURAL</t>
        </is>
      </c>
      <c r="C1077" t="inlineStr">
        <is>
          <t>SHELVES</t>
        </is>
      </c>
      <c r="D1077" t="inlineStr">
        <is>
          <t>PR3508 .T8 1952a</t>
        </is>
      </c>
      <c r="E1077" t="inlineStr">
        <is>
          <t>0                      PR 3508000T  8           1952a</t>
        </is>
      </c>
      <c r="F1077" t="inlineStr">
        <is>
          <t>A reading of George Herbert.</t>
        </is>
      </c>
      <c r="H1077" t="inlineStr">
        <is>
          <t>No</t>
        </is>
      </c>
      <c r="I1077" t="inlineStr">
        <is>
          <t>1</t>
        </is>
      </c>
      <c r="J1077" t="inlineStr">
        <is>
          <t>No</t>
        </is>
      </c>
      <c r="K1077" t="inlineStr">
        <is>
          <t>No</t>
        </is>
      </c>
      <c r="L1077" t="inlineStr">
        <is>
          <t>0</t>
        </is>
      </c>
      <c r="M1077" t="inlineStr">
        <is>
          <t>Tuve, Rosemond, 1903-1964.</t>
        </is>
      </c>
      <c r="N1077" t="inlineStr">
        <is>
          <t>Chicago : University of Chicago Press, [1952]</t>
        </is>
      </c>
      <c r="O1077" t="inlineStr">
        <is>
          <t>1952</t>
        </is>
      </c>
      <c r="Q1077" t="inlineStr">
        <is>
          <t>eng</t>
        </is>
      </c>
      <c r="R1077" t="inlineStr">
        <is>
          <t>ilu</t>
        </is>
      </c>
      <c r="T1077" t="inlineStr">
        <is>
          <t xml:space="preserve">PR </t>
        </is>
      </c>
      <c r="U1077" t="n">
        <v>1</v>
      </c>
      <c r="V1077" t="n">
        <v>1</v>
      </c>
      <c r="W1077" t="inlineStr">
        <is>
          <t>2003-10-10</t>
        </is>
      </c>
      <c r="X1077" t="inlineStr">
        <is>
          <t>2003-10-10</t>
        </is>
      </c>
      <c r="Y1077" t="inlineStr">
        <is>
          <t>1998-05-07</t>
        </is>
      </c>
      <c r="Z1077" t="inlineStr">
        <is>
          <t>1998-05-07</t>
        </is>
      </c>
      <c r="AA1077" t="n">
        <v>871</v>
      </c>
      <c r="AB1077" t="n">
        <v>779</v>
      </c>
      <c r="AC1077" t="n">
        <v>933</v>
      </c>
      <c r="AD1077" t="n">
        <v>6</v>
      </c>
      <c r="AE1077" t="n">
        <v>8</v>
      </c>
      <c r="AF1077" t="n">
        <v>44</v>
      </c>
      <c r="AG1077" t="n">
        <v>50</v>
      </c>
      <c r="AH1077" t="n">
        <v>19</v>
      </c>
      <c r="AI1077" t="n">
        <v>22</v>
      </c>
      <c r="AJ1077" t="n">
        <v>7</v>
      </c>
      <c r="AK1077" t="n">
        <v>8</v>
      </c>
      <c r="AL1077" t="n">
        <v>24</v>
      </c>
      <c r="AM1077" t="n">
        <v>26</v>
      </c>
      <c r="AN1077" t="n">
        <v>5</v>
      </c>
      <c r="AO1077" t="n">
        <v>7</v>
      </c>
      <c r="AP1077" t="n">
        <v>0</v>
      </c>
      <c r="AQ1077" t="n">
        <v>0</v>
      </c>
      <c r="AR1077" t="inlineStr">
        <is>
          <t>No</t>
        </is>
      </c>
      <c r="AS1077" t="inlineStr">
        <is>
          <t>No</t>
        </is>
      </c>
      <c r="AU1077">
        <f>HYPERLINK("https://creighton-primo.hosted.exlibrisgroup.com/primo-explore/search?tab=default_tab&amp;search_scope=EVERYTHING&amp;vid=01CRU&amp;lang=en_US&amp;offset=0&amp;query=any,contains,991002467029702656","Catalog Record")</f>
        <v/>
      </c>
      <c r="AV1077">
        <f>HYPERLINK("http://www.worldcat.org/oclc/357917","WorldCat Record")</f>
        <v/>
      </c>
      <c r="AW1077" t="inlineStr">
        <is>
          <t>419448:eng</t>
        </is>
      </c>
      <c r="AX1077" t="inlineStr">
        <is>
          <t>357917</t>
        </is>
      </c>
      <c r="AY1077" t="inlineStr">
        <is>
          <t>991002467029702656</t>
        </is>
      </c>
      <c r="AZ1077" t="inlineStr">
        <is>
          <t>991002467029702656</t>
        </is>
      </c>
      <c r="BA1077" t="inlineStr">
        <is>
          <t>2265641300002656</t>
        </is>
      </c>
      <c r="BB1077" t="inlineStr">
        <is>
          <t>BOOK</t>
        </is>
      </c>
      <c r="BE1077" t="inlineStr">
        <is>
          <t>32285003395794</t>
        </is>
      </c>
      <c r="BF1077" t="inlineStr">
        <is>
          <t>893329114</t>
        </is>
      </c>
    </row>
    <row r="1078">
      <c r="A1078" t="inlineStr">
        <is>
          <t>No</t>
        </is>
      </c>
      <c r="B1078" t="inlineStr">
        <is>
          <t>CURAL</t>
        </is>
      </c>
      <c r="C1078" t="inlineStr">
        <is>
          <t>SHELVES</t>
        </is>
      </c>
      <c r="D1078" t="inlineStr">
        <is>
          <t>PR3508 .V4</t>
        </is>
      </c>
      <c r="E1078" t="inlineStr">
        <is>
          <t>0                      PR 3508000V  4</t>
        </is>
      </c>
      <c r="F1078" t="inlineStr">
        <is>
          <t>The poetry of George Herbert / Helen Vendler.</t>
        </is>
      </c>
      <c r="H1078" t="inlineStr">
        <is>
          <t>No</t>
        </is>
      </c>
      <c r="I1078" t="inlineStr">
        <is>
          <t>1</t>
        </is>
      </c>
      <c r="J1078" t="inlineStr">
        <is>
          <t>No</t>
        </is>
      </c>
      <c r="K1078" t="inlineStr">
        <is>
          <t>No</t>
        </is>
      </c>
      <c r="L1078" t="inlineStr">
        <is>
          <t>0</t>
        </is>
      </c>
      <c r="M1078" t="inlineStr">
        <is>
          <t>Vendler, Helen, 1933-</t>
        </is>
      </c>
      <c r="N1078" t="inlineStr">
        <is>
          <t>Cambridge : Harvard University Press, 1975.</t>
        </is>
      </c>
      <c r="O1078" t="inlineStr">
        <is>
          <t>1975</t>
        </is>
      </c>
      <c r="Q1078" t="inlineStr">
        <is>
          <t>eng</t>
        </is>
      </c>
      <c r="R1078" t="inlineStr">
        <is>
          <t>mau</t>
        </is>
      </c>
      <c r="T1078" t="inlineStr">
        <is>
          <t xml:space="preserve">PR </t>
        </is>
      </c>
      <c r="U1078" t="n">
        <v>4</v>
      </c>
      <c r="V1078" t="n">
        <v>4</v>
      </c>
      <c r="W1078" t="inlineStr">
        <is>
          <t>2003-10-10</t>
        </is>
      </c>
      <c r="X1078" t="inlineStr">
        <is>
          <t>2003-10-10</t>
        </is>
      </c>
      <c r="Y1078" t="inlineStr">
        <is>
          <t>1993-03-16</t>
        </is>
      </c>
      <c r="Z1078" t="inlineStr">
        <is>
          <t>1993-03-16</t>
        </is>
      </c>
      <c r="AA1078" t="n">
        <v>985</v>
      </c>
      <c r="AB1078" t="n">
        <v>787</v>
      </c>
      <c r="AC1078" t="n">
        <v>797</v>
      </c>
      <c r="AD1078" t="n">
        <v>6</v>
      </c>
      <c r="AE1078" t="n">
        <v>6</v>
      </c>
      <c r="AF1078" t="n">
        <v>45</v>
      </c>
      <c r="AG1078" t="n">
        <v>45</v>
      </c>
      <c r="AH1078" t="n">
        <v>21</v>
      </c>
      <c r="AI1078" t="n">
        <v>21</v>
      </c>
      <c r="AJ1078" t="n">
        <v>9</v>
      </c>
      <c r="AK1078" t="n">
        <v>9</v>
      </c>
      <c r="AL1078" t="n">
        <v>23</v>
      </c>
      <c r="AM1078" t="n">
        <v>23</v>
      </c>
      <c r="AN1078" t="n">
        <v>5</v>
      </c>
      <c r="AO1078" t="n">
        <v>5</v>
      </c>
      <c r="AP1078" t="n">
        <v>0</v>
      </c>
      <c r="AQ1078" t="n">
        <v>0</v>
      </c>
      <c r="AR1078" t="inlineStr">
        <is>
          <t>No</t>
        </is>
      </c>
      <c r="AS1078" t="inlineStr">
        <is>
          <t>Yes</t>
        </is>
      </c>
      <c r="AT1078">
        <f>HYPERLINK("http://catalog.hathitrust.org/Record/000436858","HathiTrust Record")</f>
        <v/>
      </c>
      <c r="AU1078">
        <f>HYPERLINK("https://creighton-primo.hosted.exlibrisgroup.com/primo-explore/search?tab=default_tab&amp;search_scope=EVERYTHING&amp;vid=01CRU&amp;lang=en_US&amp;offset=0&amp;query=any,contains,991003749799702656","Catalog Record")</f>
        <v/>
      </c>
      <c r="AV1078">
        <f>HYPERLINK("http://www.worldcat.org/oclc/1424236","WorldCat Record")</f>
        <v/>
      </c>
      <c r="AW1078" t="inlineStr">
        <is>
          <t>311016301:eng</t>
        </is>
      </c>
      <c r="AX1078" t="inlineStr">
        <is>
          <t>1424236</t>
        </is>
      </c>
      <c r="AY1078" t="inlineStr">
        <is>
          <t>991003749799702656</t>
        </is>
      </c>
      <c r="AZ1078" t="inlineStr">
        <is>
          <t>991003749799702656</t>
        </is>
      </c>
      <c r="BA1078" t="inlineStr">
        <is>
          <t>2272007580002656</t>
        </is>
      </c>
      <c r="BB1078" t="inlineStr">
        <is>
          <t>BOOK</t>
        </is>
      </c>
      <c r="BD1078" t="inlineStr">
        <is>
          <t>9780674679597</t>
        </is>
      </c>
      <c r="BE1078" t="inlineStr">
        <is>
          <t>32285001572832</t>
        </is>
      </c>
      <c r="BF1078" t="inlineStr">
        <is>
          <t>893868802</t>
        </is>
      </c>
    </row>
    <row r="1079">
      <c r="A1079" t="inlineStr">
        <is>
          <t>No</t>
        </is>
      </c>
      <c r="B1079" t="inlineStr">
        <is>
          <t>CURAL</t>
        </is>
      </c>
      <c r="C1079" t="inlineStr">
        <is>
          <t>SHELVES</t>
        </is>
      </c>
      <c r="D1079" t="inlineStr">
        <is>
          <t>PR351 .J4</t>
        </is>
      </c>
      <c r="E1079" t="inlineStr">
        <is>
          <t>0                      PR 0351000J  4</t>
        </is>
      </c>
      <c r="F1079" t="inlineStr">
        <is>
          <t>The early English lyric &amp; Franciscan spirituality / David L. Jeffrey.</t>
        </is>
      </c>
      <c r="H1079" t="inlineStr">
        <is>
          <t>No</t>
        </is>
      </c>
      <c r="I1079" t="inlineStr">
        <is>
          <t>1</t>
        </is>
      </c>
      <c r="J1079" t="inlineStr">
        <is>
          <t>No</t>
        </is>
      </c>
      <c r="K1079" t="inlineStr">
        <is>
          <t>No</t>
        </is>
      </c>
      <c r="L1079" t="inlineStr">
        <is>
          <t>0</t>
        </is>
      </c>
      <c r="M1079" t="inlineStr">
        <is>
          <t>Jeffrey, David Lyle, 1941-</t>
        </is>
      </c>
      <c r="N1079" t="inlineStr">
        <is>
          <t>Lincoln : University of Nebraska Press, [1975]</t>
        </is>
      </c>
      <c r="O1079" t="inlineStr">
        <is>
          <t>1975</t>
        </is>
      </c>
      <c r="Q1079" t="inlineStr">
        <is>
          <t>eng</t>
        </is>
      </c>
      <c r="R1079" t="inlineStr">
        <is>
          <t>nbu</t>
        </is>
      </c>
      <c r="T1079" t="inlineStr">
        <is>
          <t xml:space="preserve">PR </t>
        </is>
      </c>
      <c r="U1079" t="n">
        <v>5</v>
      </c>
      <c r="V1079" t="n">
        <v>5</v>
      </c>
      <c r="W1079" t="inlineStr">
        <is>
          <t>1998-03-16</t>
        </is>
      </c>
      <c r="X1079" t="inlineStr">
        <is>
          <t>1998-03-16</t>
        </is>
      </c>
      <c r="Y1079" t="inlineStr">
        <is>
          <t>1991-08-28</t>
        </is>
      </c>
      <c r="Z1079" t="inlineStr">
        <is>
          <t>1991-08-28</t>
        </is>
      </c>
      <c r="AA1079" t="n">
        <v>589</v>
      </c>
      <c r="AB1079" t="n">
        <v>485</v>
      </c>
      <c r="AC1079" t="n">
        <v>488</v>
      </c>
      <c r="AD1079" t="n">
        <v>6</v>
      </c>
      <c r="AE1079" t="n">
        <v>6</v>
      </c>
      <c r="AF1079" t="n">
        <v>34</v>
      </c>
      <c r="AG1079" t="n">
        <v>34</v>
      </c>
      <c r="AH1079" t="n">
        <v>12</v>
      </c>
      <c r="AI1079" t="n">
        <v>12</v>
      </c>
      <c r="AJ1079" t="n">
        <v>7</v>
      </c>
      <c r="AK1079" t="n">
        <v>7</v>
      </c>
      <c r="AL1079" t="n">
        <v>22</v>
      </c>
      <c r="AM1079" t="n">
        <v>22</v>
      </c>
      <c r="AN1079" t="n">
        <v>4</v>
      </c>
      <c r="AO1079" t="n">
        <v>4</v>
      </c>
      <c r="AP1079" t="n">
        <v>0</v>
      </c>
      <c r="AQ1079" t="n">
        <v>0</v>
      </c>
      <c r="AR1079" t="inlineStr">
        <is>
          <t>No</t>
        </is>
      </c>
      <c r="AS1079" t="inlineStr">
        <is>
          <t>Yes</t>
        </is>
      </c>
      <c r="AT1079">
        <f>HYPERLINK("http://catalog.hathitrust.org/Record/001371545","HathiTrust Record")</f>
        <v/>
      </c>
      <c r="AU1079">
        <f>HYPERLINK("https://creighton-primo.hosted.exlibrisgroup.com/primo-explore/search?tab=default_tab&amp;search_scope=EVERYTHING&amp;vid=01CRU&amp;lang=en_US&amp;offset=0&amp;query=any,contains,991003570589702656","Catalog Record")</f>
        <v/>
      </c>
      <c r="AV1079">
        <f>HYPERLINK("http://www.worldcat.org/oclc/1144815","WorldCat Record")</f>
        <v/>
      </c>
      <c r="AW1079" t="inlineStr">
        <is>
          <t>454941:eng</t>
        </is>
      </c>
      <c r="AX1079" t="inlineStr">
        <is>
          <t>1144815</t>
        </is>
      </c>
      <c r="AY1079" t="inlineStr">
        <is>
          <t>991003570589702656</t>
        </is>
      </c>
      <c r="AZ1079" t="inlineStr">
        <is>
          <t>991003570589702656</t>
        </is>
      </c>
      <c r="BA1079" t="inlineStr">
        <is>
          <t>2263419740002656</t>
        </is>
      </c>
      <c r="BB1079" t="inlineStr">
        <is>
          <t>BOOK</t>
        </is>
      </c>
      <c r="BD1079" t="inlineStr">
        <is>
          <t>9780803208452</t>
        </is>
      </c>
      <c r="BE1079" t="inlineStr">
        <is>
          <t>32285000730795</t>
        </is>
      </c>
      <c r="BF1079" t="inlineStr">
        <is>
          <t>893330452</t>
        </is>
      </c>
    </row>
    <row r="1080">
      <c r="A1080" t="inlineStr">
        <is>
          <t>No</t>
        </is>
      </c>
      <c r="B1080" t="inlineStr">
        <is>
          <t>CURAL</t>
        </is>
      </c>
      <c r="C1080" t="inlineStr">
        <is>
          <t>SHELVES</t>
        </is>
      </c>
      <c r="D1080" t="inlineStr">
        <is>
          <t>PR3510.A5 M3</t>
        </is>
      </c>
      <c r="E1080" t="inlineStr">
        <is>
          <t>0                      PR 3510000A  5                  M  3</t>
        </is>
      </c>
      <c r="F1080" t="inlineStr">
        <is>
          <t>The poetical works of Robert Herrick / edited by L. C. Martin.</t>
        </is>
      </c>
      <c r="H1080" t="inlineStr">
        <is>
          <t>No</t>
        </is>
      </c>
      <c r="I1080" t="inlineStr">
        <is>
          <t>1</t>
        </is>
      </c>
      <c r="J1080" t="inlineStr">
        <is>
          <t>No</t>
        </is>
      </c>
      <c r="K1080" t="inlineStr">
        <is>
          <t>No</t>
        </is>
      </c>
      <c r="L1080" t="inlineStr">
        <is>
          <t>0</t>
        </is>
      </c>
      <c r="M1080" t="inlineStr">
        <is>
          <t>Herrick, Robert, 1591-1674.</t>
        </is>
      </c>
      <c r="N1080" t="inlineStr">
        <is>
          <t>Oxford : Clarendon Press, 1956.</t>
        </is>
      </c>
      <c r="O1080" t="inlineStr">
        <is>
          <t>1956</t>
        </is>
      </c>
      <c r="Q1080" t="inlineStr">
        <is>
          <t>eng</t>
        </is>
      </c>
      <c r="R1080" t="inlineStr">
        <is>
          <t>enk</t>
        </is>
      </c>
      <c r="T1080" t="inlineStr">
        <is>
          <t xml:space="preserve">PR </t>
        </is>
      </c>
      <c r="U1080" t="n">
        <v>3</v>
      </c>
      <c r="V1080" t="n">
        <v>3</v>
      </c>
      <c r="W1080" t="inlineStr">
        <is>
          <t>1994-11-02</t>
        </is>
      </c>
      <c r="X1080" t="inlineStr">
        <is>
          <t>1994-11-02</t>
        </is>
      </c>
      <c r="Y1080" t="inlineStr">
        <is>
          <t>1992-10-14</t>
        </is>
      </c>
      <c r="Z1080" t="inlineStr">
        <is>
          <t>1992-10-14</t>
        </is>
      </c>
      <c r="AA1080" t="n">
        <v>611</v>
      </c>
      <c r="AB1080" t="n">
        <v>540</v>
      </c>
      <c r="AC1080" t="n">
        <v>584</v>
      </c>
      <c r="AD1080" t="n">
        <v>5</v>
      </c>
      <c r="AE1080" t="n">
        <v>5</v>
      </c>
      <c r="AF1080" t="n">
        <v>30</v>
      </c>
      <c r="AG1080" t="n">
        <v>32</v>
      </c>
      <c r="AH1080" t="n">
        <v>9</v>
      </c>
      <c r="AI1080" t="n">
        <v>10</v>
      </c>
      <c r="AJ1080" t="n">
        <v>10</v>
      </c>
      <c r="AK1080" t="n">
        <v>10</v>
      </c>
      <c r="AL1080" t="n">
        <v>17</v>
      </c>
      <c r="AM1080" t="n">
        <v>18</v>
      </c>
      <c r="AN1080" t="n">
        <v>4</v>
      </c>
      <c r="AO1080" t="n">
        <v>4</v>
      </c>
      <c r="AP1080" t="n">
        <v>0</v>
      </c>
      <c r="AQ1080" t="n">
        <v>0</v>
      </c>
      <c r="AR1080" t="inlineStr">
        <is>
          <t>No</t>
        </is>
      </c>
      <c r="AS1080" t="inlineStr">
        <is>
          <t>Yes</t>
        </is>
      </c>
      <c r="AT1080">
        <f>HYPERLINK("http://catalog.hathitrust.org/Record/000437639","HathiTrust Record")</f>
        <v/>
      </c>
      <c r="AU1080">
        <f>HYPERLINK("https://creighton-primo.hosted.exlibrisgroup.com/primo-explore/search?tab=default_tab&amp;search_scope=EVERYTHING&amp;vid=01CRU&amp;lang=en_US&amp;offset=0&amp;query=any,contains,991004906469702656","Catalog Record")</f>
        <v/>
      </c>
      <c r="AV1080">
        <f>HYPERLINK("http://www.worldcat.org/oclc/2717761","WorldCat Record")</f>
        <v/>
      </c>
      <c r="AW1080" t="inlineStr">
        <is>
          <t>10349542177:eng</t>
        </is>
      </c>
      <c r="AX1080" t="inlineStr">
        <is>
          <t>2717761</t>
        </is>
      </c>
      <c r="AY1080" t="inlineStr">
        <is>
          <t>991004906469702656</t>
        </is>
      </c>
      <c r="AZ1080" t="inlineStr">
        <is>
          <t>991004906469702656</t>
        </is>
      </c>
      <c r="BA1080" t="inlineStr">
        <is>
          <t>2271357690002656</t>
        </is>
      </c>
      <c r="BB1080" t="inlineStr">
        <is>
          <t>BOOK</t>
        </is>
      </c>
      <c r="BE1080" t="inlineStr">
        <is>
          <t>32285001369916</t>
        </is>
      </c>
      <c r="BF1080" t="inlineStr">
        <is>
          <t>893719540</t>
        </is>
      </c>
    </row>
    <row r="1081">
      <c r="A1081" t="inlineStr">
        <is>
          <t>No</t>
        </is>
      </c>
      <c r="B1081" t="inlineStr">
        <is>
          <t>CURAL</t>
        </is>
      </c>
      <c r="C1081" t="inlineStr">
        <is>
          <t>SHELVES</t>
        </is>
      </c>
      <c r="D1081" t="inlineStr">
        <is>
          <t>PR3510.A5 M6 1957</t>
        </is>
      </c>
      <c r="E1081" t="inlineStr">
        <is>
          <t>0                      PR 3510000A  5                  M  6           1957</t>
        </is>
      </c>
      <c r="F1081" t="inlineStr">
        <is>
          <t>The poetical works of Robert Herrick / edited by F.W. Moorman ; with a prefatory note by Percy Simpson.</t>
        </is>
      </c>
      <c r="H1081" t="inlineStr">
        <is>
          <t>No</t>
        </is>
      </c>
      <c r="I1081" t="inlineStr">
        <is>
          <t>1</t>
        </is>
      </c>
      <c r="J1081" t="inlineStr">
        <is>
          <t>No</t>
        </is>
      </c>
      <c r="K1081" t="inlineStr">
        <is>
          <t>No</t>
        </is>
      </c>
      <c r="L1081" t="inlineStr">
        <is>
          <t>0</t>
        </is>
      </c>
      <c r="M1081" t="inlineStr">
        <is>
          <t>Herrick, Robert, 1591-1674.</t>
        </is>
      </c>
      <c r="N1081" t="inlineStr">
        <is>
          <t>London ; New York : Oxford University Press [1957]</t>
        </is>
      </c>
      <c r="O1081" t="inlineStr">
        <is>
          <t>1957</t>
        </is>
      </c>
      <c r="Q1081" t="inlineStr">
        <is>
          <t>eng</t>
        </is>
      </c>
      <c r="R1081" t="inlineStr">
        <is>
          <t>enk</t>
        </is>
      </c>
      <c r="S1081" t="inlineStr">
        <is>
          <t>Oxford standard authors</t>
        </is>
      </c>
      <c r="T1081" t="inlineStr">
        <is>
          <t xml:space="preserve">PR </t>
        </is>
      </c>
      <c r="U1081" t="n">
        <v>1</v>
      </c>
      <c r="V1081" t="n">
        <v>1</v>
      </c>
      <c r="W1081" t="inlineStr">
        <is>
          <t>2009-02-24</t>
        </is>
      </c>
      <c r="X1081" t="inlineStr">
        <is>
          <t>2009-02-24</t>
        </is>
      </c>
      <c r="Y1081" t="inlineStr">
        <is>
          <t>1997-07-23</t>
        </is>
      </c>
      <c r="Z1081" t="inlineStr">
        <is>
          <t>1997-07-23</t>
        </is>
      </c>
      <c r="AA1081" t="n">
        <v>79</v>
      </c>
      <c r="AB1081" t="n">
        <v>64</v>
      </c>
      <c r="AC1081" t="n">
        <v>743</v>
      </c>
      <c r="AD1081" t="n">
        <v>1</v>
      </c>
      <c r="AE1081" t="n">
        <v>4</v>
      </c>
      <c r="AF1081" t="n">
        <v>0</v>
      </c>
      <c r="AG1081" t="n">
        <v>35</v>
      </c>
      <c r="AH1081" t="n">
        <v>0</v>
      </c>
      <c r="AI1081" t="n">
        <v>13</v>
      </c>
      <c r="AJ1081" t="n">
        <v>0</v>
      </c>
      <c r="AK1081" t="n">
        <v>7</v>
      </c>
      <c r="AL1081" t="n">
        <v>0</v>
      </c>
      <c r="AM1081" t="n">
        <v>21</v>
      </c>
      <c r="AN1081" t="n">
        <v>0</v>
      </c>
      <c r="AO1081" t="n">
        <v>3</v>
      </c>
      <c r="AP1081" t="n">
        <v>0</v>
      </c>
      <c r="AQ1081" t="n">
        <v>0</v>
      </c>
      <c r="AR1081" t="inlineStr">
        <is>
          <t>No</t>
        </is>
      </c>
      <c r="AS1081" t="inlineStr">
        <is>
          <t>Yes</t>
        </is>
      </c>
      <c r="AT1081">
        <f>HYPERLINK("http://catalog.hathitrust.org/Record/004440914","HathiTrust Record")</f>
        <v/>
      </c>
      <c r="AU1081">
        <f>HYPERLINK("https://creighton-primo.hosted.exlibrisgroup.com/primo-explore/search?tab=default_tab&amp;search_scope=EVERYTHING&amp;vid=01CRU&amp;lang=en_US&amp;offset=0&amp;query=any,contains,991005000189702656","Catalog Record")</f>
        <v/>
      </c>
      <c r="AV1081">
        <f>HYPERLINK("http://www.worldcat.org/oclc/6537480","WorldCat Record")</f>
        <v/>
      </c>
      <c r="AW1081" t="inlineStr">
        <is>
          <t>2281032103:eng</t>
        </is>
      </c>
      <c r="AX1081" t="inlineStr">
        <is>
          <t>6537480</t>
        </is>
      </c>
      <c r="AY1081" t="inlineStr">
        <is>
          <t>991005000189702656</t>
        </is>
      </c>
      <c r="AZ1081" t="inlineStr">
        <is>
          <t>991005000189702656</t>
        </is>
      </c>
      <c r="BA1081" t="inlineStr">
        <is>
          <t>2260776680002656</t>
        </is>
      </c>
      <c r="BB1081" t="inlineStr">
        <is>
          <t>BOOK</t>
        </is>
      </c>
      <c r="BE1081" t="inlineStr">
        <is>
          <t>32285002955754</t>
        </is>
      </c>
      <c r="BF1081" t="inlineStr">
        <is>
          <t>893507478</t>
        </is>
      </c>
    </row>
    <row r="1082">
      <c r="A1082" t="inlineStr">
        <is>
          <t>No</t>
        </is>
      </c>
      <c r="B1082" t="inlineStr">
        <is>
          <t>CURAL</t>
        </is>
      </c>
      <c r="C1082" t="inlineStr">
        <is>
          <t>SHELVES</t>
        </is>
      </c>
      <c r="D1082" t="inlineStr">
        <is>
          <t>PR3510.A5 P3</t>
        </is>
      </c>
      <c r="E1082" t="inlineStr">
        <is>
          <t>0                      PR 3510000A  5                  P  3</t>
        </is>
      </c>
      <c r="F1082" t="inlineStr">
        <is>
          <t>Complete poetry / edited and with an introd. and notes by J. Max Patrick.</t>
        </is>
      </c>
      <c r="H1082" t="inlineStr">
        <is>
          <t>No</t>
        </is>
      </c>
      <c r="I1082" t="inlineStr">
        <is>
          <t>1</t>
        </is>
      </c>
      <c r="J1082" t="inlineStr">
        <is>
          <t>No</t>
        </is>
      </c>
      <c r="K1082" t="inlineStr">
        <is>
          <t>No</t>
        </is>
      </c>
      <c r="L1082" t="inlineStr">
        <is>
          <t>0</t>
        </is>
      </c>
      <c r="M1082" t="inlineStr">
        <is>
          <t>Herrick, Robert, 1591-1674.</t>
        </is>
      </c>
      <c r="N1082" t="inlineStr">
        <is>
          <t>Garden City, N. Y. : Anchor Books, 1963.</t>
        </is>
      </c>
      <c r="O1082" t="inlineStr">
        <is>
          <t>1963</t>
        </is>
      </c>
      <c r="P1082" t="inlineStr">
        <is>
          <t>[1st ed.]</t>
        </is>
      </c>
      <c r="Q1082" t="inlineStr">
        <is>
          <t>eng</t>
        </is>
      </c>
      <c r="R1082" t="inlineStr">
        <is>
          <t>nyu</t>
        </is>
      </c>
      <c r="S1082" t="inlineStr">
        <is>
          <t>The Anchor seventeenth-century series</t>
        </is>
      </c>
      <c r="T1082" t="inlineStr">
        <is>
          <t xml:space="preserve">PR </t>
        </is>
      </c>
      <c r="U1082" t="n">
        <v>3</v>
      </c>
      <c r="V1082" t="n">
        <v>3</v>
      </c>
      <c r="W1082" t="inlineStr">
        <is>
          <t>1998-09-02</t>
        </is>
      </c>
      <c r="X1082" t="inlineStr">
        <is>
          <t>1998-09-02</t>
        </is>
      </c>
      <c r="Y1082" t="inlineStr">
        <is>
          <t>1994-12-12</t>
        </is>
      </c>
      <c r="Z1082" t="inlineStr">
        <is>
          <t>1994-12-12</t>
        </is>
      </c>
      <c r="AA1082" t="n">
        <v>371</v>
      </c>
      <c r="AB1082" t="n">
        <v>351</v>
      </c>
      <c r="AC1082" t="n">
        <v>1003</v>
      </c>
      <c r="AD1082" t="n">
        <v>4</v>
      </c>
      <c r="AE1082" t="n">
        <v>6</v>
      </c>
      <c r="AF1082" t="n">
        <v>14</v>
      </c>
      <c r="AG1082" t="n">
        <v>36</v>
      </c>
      <c r="AH1082" t="n">
        <v>4</v>
      </c>
      <c r="AI1082" t="n">
        <v>13</v>
      </c>
      <c r="AJ1082" t="n">
        <v>3</v>
      </c>
      <c r="AK1082" t="n">
        <v>7</v>
      </c>
      <c r="AL1082" t="n">
        <v>8</v>
      </c>
      <c r="AM1082" t="n">
        <v>19</v>
      </c>
      <c r="AN1082" t="n">
        <v>3</v>
      </c>
      <c r="AO1082" t="n">
        <v>5</v>
      </c>
      <c r="AP1082" t="n">
        <v>0</v>
      </c>
      <c r="AQ1082" t="n">
        <v>0</v>
      </c>
      <c r="AR1082" t="inlineStr">
        <is>
          <t>No</t>
        </is>
      </c>
      <c r="AS1082" t="inlineStr">
        <is>
          <t>No</t>
        </is>
      </c>
      <c r="AU1082">
        <f>HYPERLINK("https://creighton-primo.hosted.exlibrisgroup.com/primo-explore/search?tab=default_tab&amp;search_scope=EVERYTHING&amp;vid=01CRU&amp;lang=en_US&amp;offset=0&amp;query=any,contains,991004045849702656","Catalog Record")</f>
        <v/>
      </c>
      <c r="AV1082">
        <f>HYPERLINK("http://www.worldcat.org/oclc/2201591","WorldCat Record")</f>
        <v/>
      </c>
      <c r="AW1082" t="inlineStr">
        <is>
          <t>2500320517:eng</t>
        </is>
      </c>
      <c r="AX1082" t="inlineStr">
        <is>
          <t>2201591</t>
        </is>
      </c>
      <c r="AY1082" t="inlineStr">
        <is>
          <t>991004045849702656</t>
        </is>
      </c>
      <c r="AZ1082" t="inlineStr">
        <is>
          <t>991004045849702656</t>
        </is>
      </c>
      <c r="BA1082" t="inlineStr">
        <is>
          <t>2256088850002656</t>
        </is>
      </c>
      <c r="BB1082" t="inlineStr">
        <is>
          <t>BOOK</t>
        </is>
      </c>
      <c r="BE1082" t="inlineStr">
        <is>
          <t>32285001981561</t>
        </is>
      </c>
      <c r="BF1082" t="inlineStr">
        <is>
          <t>893331144</t>
        </is>
      </c>
    </row>
    <row r="1083">
      <c r="A1083" t="inlineStr">
        <is>
          <t>No</t>
        </is>
      </c>
      <c r="B1083" t="inlineStr">
        <is>
          <t>CURAL</t>
        </is>
      </c>
      <c r="C1083" t="inlineStr">
        <is>
          <t>SHELVES</t>
        </is>
      </c>
      <c r="D1083" t="inlineStr">
        <is>
          <t>PR3512.H43 C6 1988</t>
        </is>
      </c>
      <c r="E1083" t="inlineStr">
        <is>
          <t>0                      PR 3512000H  43                 C  6           1988</t>
        </is>
      </c>
      <c r="F1083" t="inlineStr">
        <is>
          <t>Robert Herrick's Hesperides and the epigram book tradition / Ann Baynes Coiro.</t>
        </is>
      </c>
      <c r="H1083" t="inlineStr">
        <is>
          <t>No</t>
        </is>
      </c>
      <c r="I1083" t="inlineStr">
        <is>
          <t>1</t>
        </is>
      </c>
      <c r="J1083" t="inlineStr">
        <is>
          <t>No</t>
        </is>
      </c>
      <c r="K1083" t="inlineStr">
        <is>
          <t>No</t>
        </is>
      </c>
      <c r="L1083" t="inlineStr">
        <is>
          <t>0</t>
        </is>
      </c>
      <c r="M1083" t="inlineStr">
        <is>
          <t>Coiro, Ann Baynes, 1951-</t>
        </is>
      </c>
      <c r="N1083" t="inlineStr">
        <is>
          <t>Baltimore : Johns Hopkins University Press, c1988.</t>
        </is>
      </c>
      <c r="O1083" t="inlineStr">
        <is>
          <t>1988</t>
        </is>
      </c>
      <c r="Q1083" t="inlineStr">
        <is>
          <t>eng</t>
        </is>
      </c>
      <c r="R1083" t="inlineStr">
        <is>
          <t>mdu</t>
        </is>
      </c>
      <c r="T1083" t="inlineStr">
        <is>
          <t xml:space="preserve">PR </t>
        </is>
      </c>
      <c r="U1083" t="n">
        <v>5</v>
      </c>
      <c r="V1083" t="n">
        <v>5</v>
      </c>
      <c r="W1083" t="inlineStr">
        <is>
          <t>1994-11-02</t>
        </is>
      </c>
      <c r="X1083" t="inlineStr">
        <is>
          <t>1994-11-02</t>
        </is>
      </c>
      <c r="Y1083" t="inlineStr">
        <is>
          <t>1991-04-23</t>
        </is>
      </c>
      <c r="Z1083" t="inlineStr">
        <is>
          <t>1991-04-23</t>
        </is>
      </c>
      <c r="AA1083" t="n">
        <v>370</v>
      </c>
      <c r="AB1083" t="n">
        <v>299</v>
      </c>
      <c r="AC1083" t="n">
        <v>306</v>
      </c>
      <c r="AD1083" t="n">
        <v>3</v>
      </c>
      <c r="AE1083" t="n">
        <v>3</v>
      </c>
      <c r="AF1083" t="n">
        <v>23</v>
      </c>
      <c r="AG1083" t="n">
        <v>23</v>
      </c>
      <c r="AH1083" t="n">
        <v>8</v>
      </c>
      <c r="AI1083" t="n">
        <v>8</v>
      </c>
      <c r="AJ1083" t="n">
        <v>7</v>
      </c>
      <c r="AK1083" t="n">
        <v>7</v>
      </c>
      <c r="AL1083" t="n">
        <v>15</v>
      </c>
      <c r="AM1083" t="n">
        <v>15</v>
      </c>
      <c r="AN1083" t="n">
        <v>2</v>
      </c>
      <c r="AO1083" t="n">
        <v>2</v>
      </c>
      <c r="AP1083" t="n">
        <v>0</v>
      </c>
      <c r="AQ1083" t="n">
        <v>0</v>
      </c>
      <c r="AR1083" t="inlineStr">
        <is>
          <t>No</t>
        </is>
      </c>
      <c r="AS1083" t="inlineStr">
        <is>
          <t>Yes</t>
        </is>
      </c>
      <c r="AT1083">
        <f>HYPERLINK("http://catalog.hathitrust.org/Record/000916103","HathiTrust Record")</f>
        <v/>
      </c>
      <c r="AU1083">
        <f>HYPERLINK("https://creighton-primo.hosted.exlibrisgroup.com/primo-explore/search?tab=default_tab&amp;search_scope=EVERYTHING&amp;vid=01CRU&amp;lang=en_US&amp;offset=0&amp;query=any,contains,991001120189702656","Catalog Record")</f>
        <v/>
      </c>
      <c r="AV1083">
        <f>HYPERLINK("http://www.worldcat.org/oclc/16579475","WorldCat Record")</f>
        <v/>
      </c>
      <c r="AW1083" t="inlineStr">
        <is>
          <t>9415574:eng</t>
        </is>
      </c>
      <c r="AX1083" t="inlineStr">
        <is>
          <t>16579475</t>
        </is>
      </c>
      <c r="AY1083" t="inlineStr">
        <is>
          <t>991001120189702656</t>
        </is>
      </c>
      <c r="AZ1083" t="inlineStr">
        <is>
          <t>991001120189702656</t>
        </is>
      </c>
      <c r="BA1083" t="inlineStr">
        <is>
          <t>2269861970002656</t>
        </is>
      </c>
      <c r="BB1083" t="inlineStr">
        <is>
          <t>BOOK</t>
        </is>
      </c>
      <c r="BD1083" t="inlineStr">
        <is>
          <t>9780801835711</t>
        </is>
      </c>
      <c r="BE1083" t="inlineStr">
        <is>
          <t>32285000586080</t>
        </is>
      </c>
      <c r="BF1083" t="inlineStr">
        <is>
          <t>893784833</t>
        </is>
      </c>
    </row>
    <row r="1084">
      <c r="A1084" t="inlineStr">
        <is>
          <t>No</t>
        </is>
      </c>
      <c r="B1084" t="inlineStr">
        <is>
          <t>CURAL</t>
        </is>
      </c>
      <c r="C1084" t="inlineStr">
        <is>
          <t>SHELVES</t>
        </is>
      </c>
      <c r="D1084" t="inlineStr">
        <is>
          <t>PR3513 .S35</t>
        </is>
      </c>
      <c r="E1084" t="inlineStr">
        <is>
          <t>0                      PR 3513000S  35</t>
        </is>
      </c>
      <c r="F1084" t="inlineStr">
        <is>
          <t>Robert Herrick, 1591-1674.</t>
        </is>
      </c>
      <c r="H1084" t="inlineStr">
        <is>
          <t>No</t>
        </is>
      </c>
      <c r="I1084" t="inlineStr">
        <is>
          <t>1</t>
        </is>
      </c>
      <c r="J1084" t="inlineStr">
        <is>
          <t>No</t>
        </is>
      </c>
      <c r="K1084" t="inlineStr">
        <is>
          <t>No</t>
        </is>
      </c>
      <c r="L1084" t="inlineStr">
        <is>
          <t>0</t>
        </is>
      </c>
      <c r="M1084" t="inlineStr">
        <is>
          <t>Scott, George Walton.</t>
        </is>
      </c>
      <c r="N1084" t="inlineStr">
        <is>
          <t>London : Sidgwick &amp; Jackson, [1974]</t>
        </is>
      </c>
      <c r="O1084" t="inlineStr">
        <is>
          <t>1974</t>
        </is>
      </c>
      <c r="Q1084" t="inlineStr">
        <is>
          <t>eng</t>
        </is>
      </c>
      <c r="R1084" t="inlineStr">
        <is>
          <t>enk</t>
        </is>
      </c>
      <c r="T1084" t="inlineStr">
        <is>
          <t xml:space="preserve">PR </t>
        </is>
      </c>
      <c r="U1084" t="n">
        <v>3</v>
      </c>
      <c r="V1084" t="n">
        <v>3</v>
      </c>
      <c r="W1084" t="inlineStr">
        <is>
          <t>1995-10-25</t>
        </is>
      </c>
      <c r="X1084" t="inlineStr">
        <is>
          <t>1995-10-25</t>
        </is>
      </c>
      <c r="Y1084" t="inlineStr">
        <is>
          <t>1994-12-12</t>
        </is>
      </c>
      <c r="Z1084" t="inlineStr">
        <is>
          <t>1994-12-12</t>
        </is>
      </c>
      <c r="AA1084" t="n">
        <v>286</v>
      </c>
      <c r="AB1084" t="n">
        <v>128</v>
      </c>
      <c r="AC1084" t="n">
        <v>516</v>
      </c>
      <c r="AD1084" t="n">
        <v>3</v>
      </c>
      <c r="AE1084" t="n">
        <v>5</v>
      </c>
      <c r="AF1084" t="n">
        <v>5</v>
      </c>
      <c r="AG1084" t="n">
        <v>25</v>
      </c>
      <c r="AH1084" t="n">
        <v>0</v>
      </c>
      <c r="AI1084" t="n">
        <v>9</v>
      </c>
      <c r="AJ1084" t="n">
        <v>0</v>
      </c>
      <c r="AK1084" t="n">
        <v>6</v>
      </c>
      <c r="AL1084" t="n">
        <v>3</v>
      </c>
      <c r="AM1084" t="n">
        <v>15</v>
      </c>
      <c r="AN1084" t="n">
        <v>2</v>
      </c>
      <c r="AO1084" t="n">
        <v>4</v>
      </c>
      <c r="AP1084" t="n">
        <v>0</v>
      </c>
      <c r="AQ1084" t="n">
        <v>0</v>
      </c>
      <c r="AR1084" t="inlineStr">
        <is>
          <t>No</t>
        </is>
      </c>
      <c r="AS1084" t="inlineStr">
        <is>
          <t>No</t>
        </is>
      </c>
      <c r="AU1084">
        <f>HYPERLINK("https://creighton-primo.hosted.exlibrisgroup.com/primo-explore/search?tab=default_tab&amp;search_scope=EVERYTHING&amp;vid=01CRU&amp;lang=en_US&amp;offset=0&amp;query=any,contains,991003483149702656","Catalog Record")</f>
        <v/>
      </c>
      <c r="AV1084">
        <f>HYPERLINK("http://www.worldcat.org/oclc/1030865","WorldCat Record")</f>
        <v/>
      </c>
      <c r="AW1084" t="inlineStr">
        <is>
          <t>1936900:eng</t>
        </is>
      </c>
      <c r="AX1084" t="inlineStr">
        <is>
          <t>1030865</t>
        </is>
      </c>
      <c r="AY1084" t="inlineStr">
        <is>
          <t>991003483149702656</t>
        </is>
      </c>
      <c r="AZ1084" t="inlineStr">
        <is>
          <t>991003483149702656</t>
        </is>
      </c>
      <c r="BA1084" t="inlineStr">
        <is>
          <t>2269394990002656</t>
        </is>
      </c>
      <c r="BB1084" t="inlineStr">
        <is>
          <t>BOOK</t>
        </is>
      </c>
      <c r="BD1084" t="inlineStr">
        <is>
          <t>9780283979774</t>
        </is>
      </c>
      <c r="BE1084" t="inlineStr">
        <is>
          <t>32285001981538</t>
        </is>
      </c>
      <c r="BF1084" t="inlineStr">
        <is>
          <t>893531219</t>
        </is>
      </c>
    </row>
    <row r="1085">
      <c r="A1085" t="inlineStr">
        <is>
          <t>No</t>
        </is>
      </c>
      <c r="B1085" t="inlineStr">
        <is>
          <t>CURAL</t>
        </is>
      </c>
      <c r="C1085" t="inlineStr">
        <is>
          <t>SHELVES</t>
        </is>
      </c>
      <c r="D1085" t="inlineStr">
        <is>
          <t>PR3514 .R64 1992</t>
        </is>
      </c>
      <c r="E1085" t="inlineStr">
        <is>
          <t>0                      PR 3514000R  64          1992</t>
        </is>
      </c>
      <c r="F1085" t="inlineStr">
        <is>
          <t>Robert Herrick / Roger B. Rollin.</t>
        </is>
      </c>
      <c r="H1085" t="inlineStr">
        <is>
          <t>No</t>
        </is>
      </c>
      <c r="I1085" t="inlineStr">
        <is>
          <t>1</t>
        </is>
      </c>
      <c r="J1085" t="inlineStr">
        <is>
          <t>No</t>
        </is>
      </c>
      <c r="K1085" t="inlineStr">
        <is>
          <t>Yes</t>
        </is>
      </c>
      <c r="L1085" t="inlineStr">
        <is>
          <t>0</t>
        </is>
      </c>
      <c r="M1085" t="inlineStr">
        <is>
          <t>Rollin, Roger B.</t>
        </is>
      </c>
      <c r="N1085" t="inlineStr">
        <is>
          <t>New York : Twayne ; Toronto : Maxwell Macmillan Canada ; New York : Maxwell Macmillan International, c1992.</t>
        </is>
      </c>
      <c r="O1085" t="inlineStr">
        <is>
          <t>1992</t>
        </is>
      </c>
      <c r="P1085" t="inlineStr">
        <is>
          <t>Rev. ed.</t>
        </is>
      </c>
      <c r="Q1085" t="inlineStr">
        <is>
          <t>eng</t>
        </is>
      </c>
      <c r="R1085" t="inlineStr">
        <is>
          <t>nyu</t>
        </is>
      </c>
      <c r="S1085" t="inlineStr">
        <is>
          <t>Twayne's English authors series ; TEAS 34</t>
        </is>
      </c>
      <c r="T1085" t="inlineStr">
        <is>
          <t xml:space="preserve">PR </t>
        </is>
      </c>
      <c r="U1085" t="n">
        <v>7</v>
      </c>
      <c r="V1085" t="n">
        <v>7</v>
      </c>
      <c r="W1085" t="inlineStr">
        <is>
          <t>1994-11-02</t>
        </is>
      </c>
      <c r="X1085" t="inlineStr">
        <is>
          <t>1994-11-02</t>
        </is>
      </c>
      <c r="Y1085" t="inlineStr">
        <is>
          <t>1992-03-31</t>
        </is>
      </c>
      <c r="Z1085" t="inlineStr">
        <is>
          <t>1992-03-31</t>
        </is>
      </c>
      <c r="AA1085" t="n">
        <v>508</v>
      </c>
      <c r="AB1085" t="n">
        <v>454</v>
      </c>
      <c r="AC1085" t="n">
        <v>1219</v>
      </c>
      <c r="AD1085" t="n">
        <v>5</v>
      </c>
      <c r="AE1085" t="n">
        <v>8</v>
      </c>
      <c r="AF1085" t="n">
        <v>25</v>
      </c>
      <c r="AG1085" t="n">
        <v>48</v>
      </c>
      <c r="AH1085" t="n">
        <v>11</v>
      </c>
      <c r="AI1085" t="n">
        <v>22</v>
      </c>
      <c r="AJ1085" t="n">
        <v>4</v>
      </c>
      <c r="AK1085" t="n">
        <v>9</v>
      </c>
      <c r="AL1085" t="n">
        <v>12</v>
      </c>
      <c r="AM1085" t="n">
        <v>22</v>
      </c>
      <c r="AN1085" t="n">
        <v>4</v>
      </c>
      <c r="AO1085" t="n">
        <v>7</v>
      </c>
      <c r="AP1085" t="n">
        <v>0</v>
      </c>
      <c r="AQ1085" t="n">
        <v>0</v>
      </c>
      <c r="AR1085" t="inlineStr">
        <is>
          <t>No</t>
        </is>
      </c>
      <c r="AS1085" t="inlineStr">
        <is>
          <t>Yes</t>
        </is>
      </c>
      <c r="AT1085">
        <f>HYPERLINK("http://catalog.hathitrust.org/Record/002534027","HathiTrust Record")</f>
        <v/>
      </c>
      <c r="AU1085">
        <f>HYPERLINK("https://creighton-primo.hosted.exlibrisgroup.com/primo-explore/search?tab=default_tab&amp;search_scope=EVERYTHING&amp;vid=01CRU&amp;lang=en_US&amp;offset=0&amp;query=any,contains,991001933349702656","Catalog Record")</f>
        <v/>
      </c>
      <c r="AV1085">
        <f>HYPERLINK("http://www.worldcat.org/oclc/24428959","WorldCat Record")</f>
        <v/>
      </c>
      <c r="AW1085" t="inlineStr">
        <is>
          <t>1627612:eng</t>
        </is>
      </c>
      <c r="AX1085" t="inlineStr">
        <is>
          <t>24428959</t>
        </is>
      </c>
      <c r="AY1085" t="inlineStr">
        <is>
          <t>991001933349702656</t>
        </is>
      </c>
      <c r="AZ1085" t="inlineStr">
        <is>
          <t>991001933349702656</t>
        </is>
      </c>
      <c r="BA1085" t="inlineStr">
        <is>
          <t>2262101920002656</t>
        </is>
      </c>
      <c r="BB1085" t="inlineStr">
        <is>
          <t>BOOK</t>
        </is>
      </c>
      <c r="BD1085" t="inlineStr">
        <is>
          <t>9780805770124</t>
        </is>
      </c>
      <c r="BE1085" t="inlineStr">
        <is>
          <t>32285001003119</t>
        </is>
      </c>
      <c r="BF1085" t="inlineStr">
        <is>
          <t>893529343</t>
        </is>
      </c>
    </row>
    <row r="1086">
      <c r="A1086" t="inlineStr">
        <is>
          <t>No</t>
        </is>
      </c>
      <c r="B1086" t="inlineStr">
        <is>
          <t>CURAL</t>
        </is>
      </c>
      <c r="C1086" t="inlineStr">
        <is>
          <t>SHELVES</t>
        </is>
      </c>
      <c r="D1086" t="inlineStr">
        <is>
          <t>PR353 .R4</t>
        </is>
      </c>
      <c r="E1086" t="inlineStr">
        <is>
          <t>0                      PR 0353000R  4</t>
        </is>
      </c>
      <c r="F1086" t="inlineStr">
        <is>
          <t>The art of the Middle English lyric : essays in criticism.</t>
        </is>
      </c>
      <c r="H1086" t="inlineStr">
        <is>
          <t>No</t>
        </is>
      </c>
      <c r="I1086" t="inlineStr">
        <is>
          <t>1</t>
        </is>
      </c>
      <c r="J1086" t="inlineStr">
        <is>
          <t>No</t>
        </is>
      </c>
      <c r="K1086" t="inlineStr">
        <is>
          <t>No</t>
        </is>
      </c>
      <c r="L1086" t="inlineStr">
        <is>
          <t>0</t>
        </is>
      </c>
      <c r="M1086" t="inlineStr">
        <is>
          <t>Reiss, Edmund.</t>
        </is>
      </c>
      <c r="N1086" t="inlineStr">
        <is>
          <t>Athens : University of Georgia Press, [1972]</t>
        </is>
      </c>
      <c r="O1086" t="inlineStr">
        <is>
          <t>1972</t>
        </is>
      </c>
      <c r="Q1086" t="inlineStr">
        <is>
          <t>eng</t>
        </is>
      </c>
      <c r="R1086" t="inlineStr">
        <is>
          <t>gau</t>
        </is>
      </c>
      <c r="T1086" t="inlineStr">
        <is>
          <t xml:space="preserve">PR </t>
        </is>
      </c>
      <c r="U1086" t="n">
        <v>3</v>
      </c>
      <c r="V1086" t="n">
        <v>3</v>
      </c>
      <c r="W1086" t="inlineStr">
        <is>
          <t>1998-03-16</t>
        </is>
      </c>
      <c r="X1086" t="inlineStr">
        <is>
          <t>1998-03-16</t>
        </is>
      </c>
      <c r="Y1086" t="inlineStr">
        <is>
          <t>1991-08-28</t>
        </is>
      </c>
      <c r="Z1086" t="inlineStr">
        <is>
          <t>1991-08-28</t>
        </is>
      </c>
      <c r="AA1086" t="n">
        <v>653</v>
      </c>
      <c r="AB1086" t="n">
        <v>553</v>
      </c>
      <c r="AC1086" t="n">
        <v>558</v>
      </c>
      <c r="AD1086" t="n">
        <v>5</v>
      </c>
      <c r="AE1086" t="n">
        <v>5</v>
      </c>
      <c r="AF1086" t="n">
        <v>32</v>
      </c>
      <c r="AG1086" t="n">
        <v>32</v>
      </c>
      <c r="AH1086" t="n">
        <v>12</v>
      </c>
      <c r="AI1086" t="n">
        <v>12</v>
      </c>
      <c r="AJ1086" t="n">
        <v>6</v>
      </c>
      <c r="AK1086" t="n">
        <v>6</v>
      </c>
      <c r="AL1086" t="n">
        <v>18</v>
      </c>
      <c r="AM1086" t="n">
        <v>18</v>
      </c>
      <c r="AN1086" t="n">
        <v>4</v>
      </c>
      <c r="AO1086" t="n">
        <v>4</v>
      </c>
      <c r="AP1086" t="n">
        <v>0</v>
      </c>
      <c r="AQ1086" t="n">
        <v>0</v>
      </c>
      <c r="AR1086" t="inlineStr">
        <is>
          <t>No</t>
        </is>
      </c>
      <c r="AS1086" t="inlineStr">
        <is>
          <t>No</t>
        </is>
      </c>
      <c r="AU1086">
        <f>HYPERLINK("https://creighton-primo.hosted.exlibrisgroup.com/primo-explore/search?tab=default_tab&amp;search_scope=EVERYTHING&amp;vid=01CRU&amp;lang=en_US&amp;offset=0&amp;query=any,contains,991002384469702656","Catalog Record")</f>
        <v/>
      </c>
      <c r="AV1086">
        <f>HYPERLINK("http://www.worldcat.org/oclc/329463","WorldCat Record")</f>
        <v/>
      </c>
      <c r="AW1086" t="inlineStr">
        <is>
          <t>488559554:eng</t>
        </is>
      </c>
      <c r="AX1086" t="inlineStr">
        <is>
          <t>329463</t>
        </is>
      </c>
      <c r="AY1086" t="inlineStr">
        <is>
          <t>991002384469702656</t>
        </is>
      </c>
      <c r="AZ1086" t="inlineStr">
        <is>
          <t>991002384469702656</t>
        </is>
      </c>
      <c r="BA1086" t="inlineStr">
        <is>
          <t>2267433710002656</t>
        </is>
      </c>
      <c r="BB1086" t="inlineStr">
        <is>
          <t>BOOK</t>
        </is>
      </c>
      <c r="BD1086" t="inlineStr">
        <is>
          <t>9780820302799</t>
        </is>
      </c>
      <c r="BE1086" t="inlineStr">
        <is>
          <t>32285000730811</t>
        </is>
      </c>
      <c r="BF1086" t="inlineStr">
        <is>
          <t>893421280</t>
        </is>
      </c>
    </row>
    <row r="1087">
      <c r="A1087" t="inlineStr">
        <is>
          <t>No</t>
        </is>
      </c>
      <c r="B1087" t="inlineStr">
        <is>
          <t>CURAL</t>
        </is>
      </c>
      <c r="C1087" t="inlineStr">
        <is>
          <t>SHELVES</t>
        </is>
      </c>
      <c r="D1087" t="inlineStr">
        <is>
          <t>PR3533 .B33</t>
        </is>
      </c>
      <c r="E1087" t="inlineStr">
        <is>
          <t>0                      PR 3533000B  33</t>
        </is>
      </c>
      <c r="F1087" t="inlineStr">
        <is>
          <t>The achievement of Samuel Johnson.</t>
        </is>
      </c>
      <c r="H1087" t="inlineStr">
        <is>
          <t>No</t>
        </is>
      </c>
      <c r="I1087" t="inlineStr">
        <is>
          <t>1</t>
        </is>
      </c>
      <c r="J1087" t="inlineStr">
        <is>
          <t>No</t>
        </is>
      </c>
      <c r="K1087" t="inlineStr">
        <is>
          <t>No</t>
        </is>
      </c>
      <c r="L1087" t="inlineStr">
        <is>
          <t>0</t>
        </is>
      </c>
      <c r="M1087" t="inlineStr">
        <is>
          <t>Bate, Walter Jackson, 1918-1999.</t>
        </is>
      </c>
      <c r="N1087" t="inlineStr">
        <is>
          <t>New York : Oxford University Press, 1955.</t>
        </is>
      </c>
      <c r="O1087" t="inlineStr">
        <is>
          <t>1955</t>
        </is>
      </c>
      <c r="Q1087" t="inlineStr">
        <is>
          <t>eng</t>
        </is>
      </c>
      <c r="R1087" t="inlineStr">
        <is>
          <t>nyu</t>
        </is>
      </c>
      <c r="T1087" t="inlineStr">
        <is>
          <t xml:space="preserve">PR </t>
        </is>
      </c>
      <c r="U1087" t="n">
        <v>5</v>
      </c>
      <c r="V1087" t="n">
        <v>5</v>
      </c>
      <c r="W1087" t="inlineStr">
        <is>
          <t>1999-09-26</t>
        </is>
      </c>
      <c r="X1087" t="inlineStr">
        <is>
          <t>1999-09-26</t>
        </is>
      </c>
      <c r="Y1087" t="inlineStr">
        <is>
          <t>1993-01-15</t>
        </is>
      </c>
      <c r="Z1087" t="inlineStr">
        <is>
          <t>1993-01-15</t>
        </is>
      </c>
      <c r="AA1087" t="n">
        <v>1097</v>
      </c>
      <c r="AB1087" t="n">
        <v>950</v>
      </c>
      <c r="AC1087" t="n">
        <v>1114</v>
      </c>
      <c r="AD1087" t="n">
        <v>9</v>
      </c>
      <c r="AE1087" t="n">
        <v>10</v>
      </c>
      <c r="AF1087" t="n">
        <v>48</v>
      </c>
      <c r="AG1087" t="n">
        <v>55</v>
      </c>
      <c r="AH1087" t="n">
        <v>21</v>
      </c>
      <c r="AI1087" t="n">
        <v>25</v>
      </c>
      <c r="AJ1087" t="n">
        <v>11</v>
      </c>
      <c r="AK1087" t="n">
        <v>11</v>
      </c>
      <c r="AL1087" t="n">
        <v>19</v>
      </c>
      <c r="AM1087" t="n">
        <v>23</v>
      </c>
      <c r="AN1087" t="n">
        <v>7</v>
      </c>
      <c r="AO1087" t="n">
        <v>8</v>
      </c>
      <c r="AP1087" t="n">
        <v>0</v>
      </c>
      <c r="AQ1087" t="n">
        <v>0</v>
      </c>
      <c r="AR1087" t="inlineStr">
        <is>
          <t>No</t>
        </is>
      </c>
      <c r="AS1087" t="inlineStr">
        <is>
          <t>Yes</t>
        </is>
      </c>
      <c r="AT1087">
        <f>HYPERLINK("http://catalog.hathitrust.org/Record/000588832","HathiTrust Record")</f>
        <v/>
      </c>
      <c r="AU1087">
        <f>HYPERLINK("https://creighton-primo.hosted.exlibrisgroup.com/primo-explore/search?tab=default_tab&amp;search_scope=EVERYTHING&amp;vid=01CRU&amp;lang=en_US&amp;offset=0&amp;query=any,contains,991002459109702656","Catalog Record")</f>
        <v/>
      </c>
      <c r="AV1087">
        <f>HYPERLINK("http://www.worldcat.org/oclc/355413","WorldCat Record")</f>
        <v/>
      </c>
      <c r="AW1087" t="inlineStr">
        <is>
          <t>48535986:eng</t>
        </is>
      </c>
      <c r="AX1087" t="inlineStr">
        <is>
          <t>355413</t>
        </is>
      </c>
      <c r="AY1087" t="inlineStr">
        <is>
          <t>991002459109702656</t>
        </is>
      </c>
      <c r="AZ1087" t="inlineStr">
        <is>
          <t>991002459109702656</t>
        </is>
      </c>
      <c r="BA1087" t="inlineStr">
        <is>
          <t>2264579990002656</t>
        </is>
      </c>
      <c r="BB1087" t="inlineStr">
        <is>
          <t>BOOK</t>
        </is>
      </c>
      <c r="BE1087" t="inlineStr">
        <is>
          <t>32285001474955</t>
        </is>
      </c>
      <c r="BF1087" t="inlineStr">
        <is>
          <t>893627131</t>
        </is>
      </c>
    </row>
    <row r="1088">
      <c r="A1088" t="inlineStr">
        <is>
          <t>No</t>
        </is>
      </c>
      <c r="B1088" t="inlineStr">
        <is>
          <t>CURAL</t>
        </is>
      </c>
      <c r="C1088" t="inlineStr">
        <is>
          <t>SHELVES</t>
        </is>
      </c>
      <c r="D1088" t="inlineStr">
        <is>
          <t>PR3533 .B334</t>
        </is>
      </c>
      <c r="E1088" t="inlineStr">
        <is>
          <t>0                      PR 3533000B  334</t>
        </is>
      </c>
      <c r="F1088" t="inlineStr">
        <is>
          <t>Samuel Johnson / W. Jackson Bate.</t>
        </is>
      </c>
      <c r="H1088" t="inlineStr">
        <is>
          <t>No</t>
        </is>
      </c>
      <c r="I1088" t="inlineStr">
        <is>
          <t>1</t>
        </is>
      </c>
      <c r="J1088" t="inlineStr">
        <is>
          <t>No</t>
        </is>
      </c>
      <c r="K1088" t="inlineStr">
        <is>
          <t>No</t>
        </is>
      </c>
      <c r="L1088" t="inlineStr">
        <is>
          <t>0</t>
        </is>
      </c>
      <c r="M1088" t="inlineStr">
        <is>
          <t>Bate, Walter Jackson, 1918-1999.</t>
        </is>
      </c>
      <c r="N1088" t="inlineStr">
        <is>
          <t>New York : Harcourt Brace Jovanovich, c1977.</t>
        </is>
      </c>
      <c r="O1088" t="inlineStr">
        <is>
          <t>1977</t>
        </is>
      </c>
      <c r="P1088" t="inlineStr">
        <is>
          <t>1st ed.</t>
        </is>
      </c>
      <c r="Q1088" t="inlineStr">
        <is>
          <t>eng</t>
        </is>
      </c>
      <c r="R1088" t="inlineStr">
        <is>
          <t>nyu</t>
        </is>
      </c>
      <c r="T1088" t="inlineStr">
        <is>
          <t xml:space="preserve">PR </t>
        </is>
      </c>
      <c r="U1088" t="n">
        <v>7</v>
      </c>
      <c r="V1088" t="n">
        <v>7</v>
      </c>
      <c r="W1088" t="inlineStr">
        <is>
          <t>2009-05-26</t>
        </is>
      </c>
      <c r="X1088" t="inlineStr">
        <is>
          <t>2009-05-26</t>
        </is>
      </c>
      <c r="Y1088" t="inlineStr">
        <is>
          <t>1997-07-24</t>
        </is>
      </c>
      <c r="Z1088" t="inlineStr">
        <is>
          <t>1997-07-24</t>
        </is>
      </c>
      <c r="AA1088" t="n">
        <v>1733</v>
      </c>
      <c r="AB1088" t="n">
        <v>1606</v>
      </c>
      <c r="AC1088" t="n">
        <v>1810</v>
      </c>
      <c r="AD1088" t="n">
        <v>16</v>
      </c>
      <c r="AE1088" t="n">
        <v>16</v>
      </c>
      <c r="AF1088" t="n">
        <v>54</v>
      </c>
      <c r="AG1088" t="n">
        <v>60</v>
      </c>
      <c r="AH1088" t="n">
        <v>23</v>
      </c>
      <c r="AI1088" t="n">
        <v>25</v>
      </c>
      <c r="AJ1088" t="n">
        <v>11</v>
      </c>
      <c r="AK1088" t="n">
        <v>11</v>
      </c>
      <c r="AL1088" t="n">
        <v>23</v>
      </c>
      <c r="AM1088" t="n">
        <v>27</v>
      </c>
      <c r="AN1088" t="n">
        <v>10</v>
      </c>
      <c r="AO1088" t="n">
        <v>10</v>
      </c>
      <c r="AP1088" t="n">
        <v>0</v>
      </c>
      <c r="AQ1088" t="n">
        <v>1</v>
      </c>
      <c r="AR1088" t="inlineStr">
        <is>
          <t>No</t>
        </is>
      </c>
      <c r="AS1088" t="inlineStr">
        <is>
          <t>Yes</t>
        </is>
      </c>
      <c r="AT1088">
        <f>HYPERLINK("http://catalog.hathitrust.org/Record/000211413","HathiTrust Record")</f>
        <v/>
      </c>
      <c r="AU1088">
        <f>HYPERLINK("https://creighton-primo.hosted.exlibrisgroup.com/primo-explore/search?tab=default_tab&amp;search_scope=EVERYTHING&amp;vid=01CRU&amp;lang=en_US&amp;offset=0&amp;query=any,contains,991004259939702656","Catalog Record")</f>
        <v/>
      </c>
      <c r="AV1088">
        <f>HYPERLINK("http://www.worldcat.org/oclc/2837542","WorldCat Record")</f>
        <v/>
      </c>
      <c r="AW1088" t="inlineStr">
        <is>
          <t>48536041:eng</t>
        </is>
      </c>
      <c r="AX1088" t="inlineStr">
        <is>
          <t>2837542</t>
        </is>
      </c>
      <c r="AY1088" t="inlineStr">
        <is>
          <t>991004259939702656</t>
        </is>
      </c>
      <c r="AZ1088" t="inlineStr">
        <is>
          <t>991004259939702656</t>
        </is>
      </c>
      <c r="BA1088" t="inlineStr">
        <is>
          <t>2262130500002656</t>
        </is>
      </c>
      <c r="BB1088" t="inlineStr">
        <is>
          <t>BOOK</t>
        </is>
      </c>
      <c r="BD1088" t="inlineStr">
        <is>
          <t>9780151792603</t>
        </is>
      </c>
      <c r="BE1088" t="inlineStr">
        <is>
          <t>32285002956182</t>
        </is>
      </c>
      <c r="BF1088" t="inlineStr">
        <is>
          <t>893423584</t>
        </is>
      </c>
    </row>
    <row r="1089">
      <c r="A1089" t="inlineStr">
        <is>
          <t>No</t>
        </is>
      </c>
      <c r="B1089" t="inlineStr">
        <is>
          <t>CURAL</t>
        </is>
      </c>
      <c r="C1089" t="inlineStr">
        <is>
          <t>SHELVES</t>
        </is>
      </c>
      <c r="D1089" t="inlineStr">
        <is>
          <t>PR3533 .C5</t>
        </is>
      </c>
      <c r="E1089" t="inlineStr">
        <is>
          <t>0                      PR 3533000C  5</t>
        </is>
      </c>
      <c r="F1089" t="inlineStr">
        <is>
          <t>The religious thought of Samuel Johnson / [by] Chester F. Chapin.</t>
        </is>
      </c>
      <c r="H1089" t="inlineStr">
        <is>
          <t>No</t>
        </is>
      </c>
      <c r="I1089" t="inlineStr">
        <is>
          <t>1</t>
        </is>
      </c>
      <c r="J1089" t="inlineStr">
        <is>
          <t>No</t>
        </is>
      </c>
      <c r="K1089" t="inlineStr">
        <is>
          <t>No</t>
        </is>
      </c>
      <c r="L1089" t="inlineStr">
        <is>
          <t>0</t>
        </is>
      </c>
      <c r="M1089" t="inlineStr">
        <is>
          <t>Chapin, Chester F. (Chester Fisher), 1922-2007.</t>
        </is>
      </c>
      <c r="N1089" t="inlineStr">
        <is>
          <t>Ann Arbor ; University of Michigan Press, [1968]</t>
        </is>
      </c>
      <c r="O1089" t="inlineStr">
        <is>
          <t>1968</t>
        </is>
      </c>
      <c r="Q1089" t="inlineStr">
        <is>
          <t>eng</t>
        </is>
      </c>
      <c r="R1089" t="inlineStr">
        <is>
          <t>miu</t>
        </is>
      </c>
      <c r="T1089" t="inlineStr">
        <is>
          <t xml:space="preserve">PR </t>
        </is>
      </c>
      <c r="U1089" t="n">
        <v>2</v>
      </c>
      <c r="V1089" t="n">
        <v>2</v>
      </c>
      <c r="W1089" t="inlineStr">
        <is>
          <t>1995-11-16</t>
        </is>
      </c>
      <c r="X1089" t="inlineStr">
        <is>
          <t>1995-11-16</t>
        </is>
      </c>
      <c r="Y1089" t="inlineStr">
        <is>
          <t>1995-05-04</t>
        </is>
      </c>
      <c r="Z1089" t="inlineStr">
        <is>
          <t>1995-05-04</t>
        </is>
      </c>
      <c r="AA1089" t="n">
        <v>788</v>
      </c>
      <c r="AB1089" t="n">
        <v>681</v>
      </c>
      <c r="AC1089" t="n">
        <v>685</v>
      </c>
      <c r="AD1089" t="n">
        <v>6</v>
      </c>
      <c r="AE1089" t="n">
        <v>6</v>
      </c>
      <c r="AF1089" t="n">
        <v>39</v>
      </c>
      <c r="AG1089" t="n">
        <v>39</v>
      </c>
      <c r="AH1089" t="n">
        <v>17</v>
      </c>
      <c r="AI1089" t="n">
        <v>17</v>
      </c>
      <c r="AJ1089" t="n">
        <v>9</v>
      </c>
      <c r="AK1089" t="n">
        <v>9</v>
      </c>
      <c r="AL1089" t="n">
        <v>20</v>
      </c>
      <c r="AM1089" t="n">
        <v>20</v>
      </c>
      <c r="AN1089" t="n">
        <v>5</v>
      </c>
      <c r="AO1089" t="n">
        <v>5</v>
      </c>
      <c r="AP1089" t="n">
        <v>0</v>
      </c>
      <c r="AQ1089" t="n">
        <v>0</v>
      </c>
      <c r="AR1089" t="inlineStr">
        <is>
          <t>No</t>
        </is>
      </c>
      <c r="AS1089" t="inlineStr">
        <is>
          <t>Yes</t>
        </is>
      </c>
      <c r="AT1089">
        <f>HYPERLINK("http://catalog.hathitrust.org/Record/000483350","HathiTrust Record")</f>
        <v/>
      </c>
      <c r="AU1089">
        <f>HYPERLINK("https://creighton-primo.hosted.exlibrisgroup.com/primo-explore/search?tab=default_tab&amp;search_scope=EVERYTHING&amp;vid=01CRU&amp;lang=en_US&amp;offset=0&amp;query=any,contains,991002805319702656","Catalog Record")</f>
        <v/>
      </c>
      <c r="AV1089">
        <f>HYPERLINK("http://www.worldcat.org/oclc/449303","WorldCat Record")</f>
        <v/>
      </c>
      <c r="AW1089" t="inlineStr">
        <is>
          <t>1589329:eng</t>
        </is>
      </c>
      <c r="AX1089" t="inlineStr">
        <is>
          <t>449303</t>
        </is>
      </c>
      <c r="AY1089" t="inlineStr">
        <is>
          <t>991002805319702656</t>
        </is>
      </c>
      <c r="AZ1089" t="inlineStr">
        <is>
          <t>991002805319702656</t>
        </is>
      </c>
      <c r="BA1089" t="inlineStr">
        <is>
          <t>2265212950002656</t>
        </is>
      </c>
      <c r="BB1089" t="inlineStr">
        <is>
          <t>BOOK</t>
        </is>
      </c>
      <c r="BE1089" t="inlineStr">
        <is>
          <t>32285002031929</t>
        </is>
      </c>
      <c r="BF1089" t="inlineStr">
        <is>
          <t>893227301</t>
        </is>
      </c>
    </row>
    <row r="1090">
      <c r="A1090" t="inlineStr">
        <is>
          <t>No</t>
        </is>
      </c>
      <c r="B1090" t="inlineStr">
        <is>
          <t>CURAL</t>
        </is>
      </c>
      <c r="C1090" t="inlineStr">
        <is>
          <t>SHELVES</t>
        </is>
      </c>
      <c r="D1090" t="inlineStr">
        <is>
          <t>PR3533 .C58</t>
        </is>
      </c>
      <c r="E1090" t="inlineStr">
        <is>
          <t>0                      PR 3533000C  58</t>
        </is>
      </c>
      <c r="F1090" t="inlineStr">
        <is>
          <t>Dictionary Johnson : Samuel Johnson's middle years / by James L. Clifford.</t>
        </is>
      </c>
      <c r="H1090" t="inlineStr">
        <is>
          <t>No</t>
        </is>
      </c>
      <c r="I1090" t="inlineStr">
        <is>
          <t>1</t>
        </is>
      </c>
      <c r="J1090" t="inlineStr">
        <is>
          <t>No</t>
        </is>
      </c>
      <c r="K1090" t="inlineStr">
        <is>
          <t>No</t>
        </is>
      </c>
      <c r="L1090" t="inlineStr">
        <is>
          <t>0</t>
        </is>
      </c>
      <c r="M1090" t="inlineStr">
        <is>
          <t>Clifford, James L. (James Lowry), 1901-1978.</t>
        </is>
      </c>
      <c r="N1090" t="inlineStr">
        <is>
          <t>New York : McGraw-Hill, c1979.</t>
        </is>
      </c>
      <c r="O1090" t="inlineStr">
        <is>
          <t>1979</t>
        </is>
      </c>
      <c r="Q1090" t="inlineStr">
        <is>
          <t>eng</t>
        </is>
      </c>
      <c r="R1090" t="inlineStr">
        <is>
          <t>nyu</t>
        </is>
      </c>
      <c r="T1090" t="inlineStr">
        <is>
          <t xml:space="preserve">PR </t>
        </is>
      </c>
      <c r="U1090" t="n">
        <v>2</v>
      </c>
      <c r="V1090" t="n">
        <v>2</v>
      </c>
      <c r="W1090" t="inlineStr">
        <is>
          <t>1997-11-04</t>
        </is>
      </c>
      <c r="X1090" t="inlineStr">
        <is>
          <t>1997-11-04</t>
        </is>
      </c>
      <c r="Y1090" t="inlineStr">
        <is>
          <t>1991-04-23</t>
        </is>
      </c>
      <c r="Z1090" t="inlineStr">
        <is>
          <t>1991-04-23</t>
        </is>
      </c>
      <c r="AA1090" t="n">
        <v>751</v>
      </c>
      <c r="AB1090" t="n">
        <v>657</v>
      </c>
      <c r="AC1090" t="n">
        <v>696</v>
      </c>
      <c r="AD1090" t="n">
        <v>3</v>
      </c>
      <c r="AE1090" t="n">
        <v>4</v>
      </c>
      <c r="AF1090" t="n">
        <v>28</v>
      </c>
      <c r="AG1090" t="n">
        <v>31</v>
      </c>
      <c r="AH1090" t="n">
        <v>11</v>
      </c>
      <c r="AI1090" t="n">
        <v>12</v>
      </c>
      <c r="AJ1090" t="n">
        <v>8</v>
      </c>
      <c r="AK1090" t="n">
        <v>9</v>
      </c>
      <c r="AL1090" t="n">
        <v>15</v>
      </c>
      <c r="AM1090" t="n">
        <v>16</v>
      </c>
      <c r="AN1090" t="n">
        <v>2</v>
      </c>
      <c r="AO1090" t="n">
        <v>3</v>
      </c>
      <c r="AP1090" t="n">
        <v>0</v>
      </c>
      <c r="AQ1090" t="n">
        <v>0</v>
      </c>
      <c r="AR1090" t="inlineStr">
        <is>
          <t>No</t>
        </is>
      </c>
      <c r="AS1090" t="inlineStr">
        <is>
          <t>Yes</t>
        </is>
      </c>
      <c r="AT1090">
        <f>HYPERLINK("http://catalog.hathitrust.org/Record/000301597","HathiTrust Record")</f>
        <v/>
      </c>
      <c r="AU1090">
        <f>HYPERLINK("https://creighton-primo.hosted.exlibrisgroup.com/primo-explore/search?tab=default_tab&amp;search_scope=EVERYTHING&amp;vid=01CRU&amp;lang=en_US&amp;offset=0&amp;query=any,contains,991004758869702656","Catalog Record")</f>
        <v/>
      </c>
      <c r="AV1090">
        <f>HYPERLINK("http://www.worldcat.org/oclc/4983426","WorldCat Record")</f>
        <v/>
      </c>
      <c r="AW1090" t="inlineStr">
        <is>
          <t>196659228:eng</t>
        </is>
      </c>
      <c r="AX1090" t="inlineStr">
        <is>
          <t>4983426</t>
        </is>
      </c>
      <c r="AY1090" t="inlineStr">
        <is>
          <t>991004758869702656</t>
        </is>
      </c>
      <c r="AZ1090" t="inlineStr">
        <is>
          <t>991004758869702656</t>
        </is>
      </c>
      <c r="BA1090" t="inlineStr">
        <is>
          <t>2265952830002656</t>
        </is>
      </c>
      <c r="BB1090" t="inlineStr">
        <is>
          <t>BOOK</t>
        </is>
      </c>
      <c r="BD1090" t="inlineStr">
        <is>
          <t>9780070113787</t>
        </is>
      </c>
      <c r="BE1090" t="inlineStr">
        <is>
          <t>32285000586262</t>
        </is>
      </c>
      <c r="BF1090" t="inlineStr">
        <is>
          <t>893719314</t>
        </is>
      </c>
    </row>
    <row r="1091">
      <c r="A1091" t="inlineStr">
        <is>
          <t>No</t>
        </is>
      </c>
      <c r="B1091" t="inlineStr">
        <is>
          <t>CURAL</t>
        </is>
      </c>
      <c r="C1091" t="inlineStr">
        <is>
          <t>SHELVES</t>
        </is>
      </c>
      <c r="D1091" t="inlineStr">
        <is>
          <t>PR3533 .D58 1987</t>
        </is>
      </c>
      <c r="E1091" t="inlineStr">
        <is>
          <t>0                      PR 3533000D  58          1987</t>
        </is>
      </c>
      <c r="F1091" t="inlineStr">
        <is>
          <t>Dr. Johnson : interviews and recollections / edited by Norman Page.</t>
        </is>
      </c>
      <c r="H1091" t="inlineStr">
        <is>
          <t>No</t>
        </is>
      </c>
      <c r="I1091" t="inlineStr">
        <is>
          <t>1</t>
        </is>
      </c>
      <c r="J1091" t="inlineStr">
        <is>
          <t>No</t>
        </is>
      </c>
      <c r="K1091" t="inlineStr">
        <is>
          <t>No</t>
        </is>
      </c>
      <c r="L1091" t="inlineStr">
        <is>
          <t>0</t>
        </is>
      </c>
      <c r="N1091" t="inlineStr">
        <is>
          <t>Totowa, N.J. : Barnes &amp; Noble, 1987.</t>
        </is>
      </c>
      <c r="O1091" t="inlineStr">
        <is>
          <t>1987</t>
        </is>
      </c>
      <c r="Q1091" t="inlineStr">
        <is>
          <t>eng</t>
        </is>
      </c>
      <c r="R1091" t="inlineStr">
        <is>
          <t>nju</t>
        </is>
      </c>
      <c r="T1091" t="inlineStr">
        <is>
          <t xml:space="preserve">PR </t>
        </is>
      </c>
      <c r="U1091" t="n">
        <v>1</v>
      </c>
      <c r="V1091" t="n">
        <v>1</v>
      </c>
      <c r="W1091" t="inlineStr">
        <is>
          <t>2004-10-14</t>
        </is>
      </c>
      <c r="X1091" t="inlineStr">
        <is>
          <t>2004-10-14</t>
        </is>
      </c>
      <c r="Y1091" t="inlineStr">
        <is>
          <t>2004-10-14</t>
        </is>
      </c>
      <c r="Z1091" t="inlineStr">
        <is>
          <t>2004-10-14</t>
        </is>
      </c>
      <c r="AA1091" t="n">
        <v>315</v>
      </c>
      <c r="AB1091" t="n">
        <v>305</v>
      </c>
      <c r="AC1091" t="n">
        <v>343</v>
      </c>
      <c r="AD1091" t="n">
        <v>2</v>
      </c>
      <c r="AE1091" t="n">
        <v>2</v>
      </c>
      <c r="AF1091" t="n">
        <v>10</v>
      </c>
      <c r="AG1091" t="n">
        <v>13</v>
      </c>
      <c r="AH1091" t="n">
        <v>3</v>
      </c>
      <c r="AI1091" t="n">
        <v>3</v>
      </c>
      <c r="AJ1091" t="n">
        <v>2</v>
      </c>
      <c r="AK1091" t="n">
        <v>3</v>
      </c>
      <c r="AL1091" t="n">
        <v>7</v>
      </c>
      <c r="AM1091" t="n">
        <v>10</v>
      </c>
      <c r="AN1091" t="n">
        <v>1</v>
      </c>
      <c r="AO1091" t="n">
        <v>1</v>
      </c>
      <c r="AP1091" t="n">
        <v>0</v>
      </c>
      <c r="AQ1091" t="n">
        <v>0</v>
      </c>
      <c r="AR1091" t="inlineStr">
        <is>
          <t>No</t>
        </is>
      </c>
      <c r="AS1091" t="inlineStr">
        <is>
          <t>Yes</t>
        </is>
      </c>
      <c r="AT1091">
        <f>HYPERLINK("http://catalog.hathitrust.org/Record/008322058","HathiTrust Record")</f>
        <v/>
      </c>
      <c r="AU1091">
        <f>HYPERLINK("https://creighton-primo.hosted.exlibrisgroup.com/primo-explore/search?tab=default_tab&amp;search_scope=EVERYTHING&amp;vid=01CRU&amp;lang=en_US&amp;offset=0&amp;query=any,contains,991004398749702656","Catalog Record")</f>
        <v/>
      </c>
      <c r="AV1091">
        <f>HYPERLINK("http://www.worldcat.org/oclc/13361126","WorldCat Record")</f>
        <v/>
      </c>
      <c r="AW1091" t="inlineStr">
        <is>
          <t>3855457993:eng</t>
        </is>
      </c>
      <c r="AX1091" t="inlineStr">
        <is>
          <t>13361126</t>
        </is>
      </c>
      <c r="AY1091" t="inlineStr">
        <is>
          <t>991004398749702656</t>
        </is>
      </c>
      <c r="AZ1091" t="inlineStr">
        <is>
          <t>991004398749702656</t>
        </is>
      </c>
      <c r="BA1091" t="inlineStr">
        <is>
          <t>2271918930002656</t>
        </is>
      </c>
      <c r="BB1091" t="inlineStr">
        <is>
          <t>BOOK</t>
        </is>
      </c>
      <c r="BD1091" t="inlineStr">
        <is>
          <t>9780389206286</t>
        </is>
      </c>
      <c r="BE1091" t="inlineStr">
        <is>
          <t>32285005004634</t>
        </is>
      </c>
      <c r="BF1091" t="inlineStr">
        <is>
          <t>893430023</t>
        </is>
      </c>
    </row>
    <row r="1092">
      <c r="A1092" t="inlineStr">
        <is>
          <t>No</t>
        </is>
      </c>
      <c r="B1092" t="inlineStr">
        <is>
          <t>CURAL</t>
        </is>
      </c>
      <c r="C1092" t="inlineStr">
        <is>
          <t>SHELVES</t>
        </is>
      </c>
      <c r="D1092" t="inlineStr">
        <is>
          <t>PR3533 .L56 1998</t>
        </is>
      </c>
      <c r="E1092" t="inlineStr">
        <is>
          <t>0                      PR 3533000L  56          1998</t>
        </is>
      </c>
      <c r="F1092" t="inlineStr">
        <is>
          <t>Samuel Johnson : the life of an author / Lawrence Lipking.</t>
        </is>
      </c>
      <c r="H1092" t="inlineStr">
        <is>
          <t>No</t>
        </is>
      </c>
      <c r="I1092" t="inlineStr">
        <is>
          <t>1</t>
        </is>
      </c>
      <c r="J1092" t="inlineStr">
        <is>
          <t>No</t>
        </is>
      </c>
      <c r="K1092" t="inlineStr">
        <is>
          <t>No</t>
        </is>
      </c>
      <c r="L1092" t="inlineStr">
        <is>
          <t>0</t>
        </is>
      </c>
      <c r="M1092" t="inlineStr">
        <is>
          <t>Lipking, Lawrence, 1934-</t>
        </is>
      </c>
      <c r="N1092" t="inlineStr">
        <is>
          <t>Cambridge, Mass. : Harvard University Press, 1998.</t>
        </is>
      </c>
      <c r="O1092" t="inlineStr">
        <is>
          <t>1998</t>
        </is>
      </c>
      <c r="Q1092" t="inlineStr">
        <is>
          <t>eng</t>
        </is>
      </c>
      <c r="R1092" t="inlineStr">
        <is>
          <t>mau</t>
        </is>
      </c>
      <c r="T1092" t="inlineStr">
        <is>
          <t xml:space="preserve">PR </t>
        </is>
      </c>
      <c r="U1092" t="n">
        <v>2</v>
      </c>
      <c r="V1092" t="n">
        <v>2</v>
      </c>
      <c r="W1092" t="inlineStr">
        <is>
          <t>2000-10-23</t>
        </is>
      </c>
      <c r="X1092" t="inlineStr">
        <is>
          <t>2000-10-23</t>
        </is>
      </c>
      <c r="Y1092" t="inlineStr">
        <is>
          <t>1999-05-10</t>
        </is>
      </c>
      <c r="Z1092" t="inlineStr">
        <is>
          <t>1999-05-10</t>
        </is>
      </c>
      <c r="AA1092" t="n">
        <v>701</v>
      </c>
      <c r="AB1092" t="n">
        <v>588</v>
      </c>
      <c r="AC1092" t="n">
        <v>599</v>
      </c>
      <c r="AD1092" t="n">
        <v>4</v>
      </c>
      <c r="AE1092" t="n">
        <v>4</v>
      </c>
      <c r="AF1092" t="n">
        <v>34</v>
      </c>
      <c r="AG1092" t="n">
        <v>34</v>
      </c>
      <c r="AH1092" t="n">
        <v>14</v>
      </c>
      <c r="AI1092" t="n">
        <v>14</v>
      </c>
      <c r="AJ1092" t="n">
        <v>10</v>
      </c>
      <c r="AK1092" t="n">
        <v>10</v>
      </c>
      <c r="AL1092" t="n">
        <v>18</v>
      </c>
      <c r="AM1092" t="n">
        <v>18</v>
      </c>
      <c r="AN1092" t="n">
        <v>3</v>
      </c>
      <c r="AO1092" t="n">
        <v>3</v>
      </c>
      <c r="AP1092" t="n">
        <v>0</v>
      </c>
      <c r="AQ1092" t="n">
        <v>0</v>
      </c>
      <c r="AR1092" t="inlineStr">
        <is>
          <t>No</t>
        </is>
      </c>
      <c r="AS1092" t="inlineStr">
        <is>
          <t>Yes</t>
        </is>
      </c>
      <c r="AT1092">
        <f>HYPERLINK("http://catalog.hathitrust.org/Record/003997851","HathiTrust Record")</f>
        <v/>
      </c>
      <c r="AU1092">
        <f>HYPERLINK("https://creighton-primo.hosted.exlibrisgroup.com/primo-explore/search?tab=default_tab&amp;search_scope=EVERYTHING&amp;vid=01CRU&amp;lang=en_US&amp;offset=0&amp;query=any,contains,991002925119702656","Catalog Record")</f>
        <v/>
      </c>
      <c r="AV1092">
        <f>HYPERLINK("http://www.worldcat.org/oclc/38879405","WorldCat Record")</f>
        <v/>
      </c>
      <c r="AW1092" t="inlineStr">
        <is>
          <t>115443293:eng</t>
        </is>
      </c>
      <c r="AX1092" t="inlineStr">
        <is>
          <t>38879405</t>
        </is>
      </c>
      <c r="AY1092" t="inlineStr">
        <is>
          <t>991002925119702656</t>
        </is>
      </c>
      <c r="AZ1092" t="inlineStr">
        <is>
          <t>991002925119702656</t>
        </is>
      </c>
      <c r="BA1092" t="inlineStr">
        <is>
          <t>2255681550002656</t>
        </is>
      </c>
      <c r="BB1092" t="inlineStr">
        <is>
          <t>BOOK</t>
        </is>
      </c>
      <c r="BD1092" t="inlineStr">
        <is>
          <t>9780674787773</t>
        </is>
      </c>
      <c r="BE1092" t="inlineStr">
        <is>
          <t>32285003559688</t>
        </is>
      </c>
      <c r="BF1092" t="inlineStr">
        <is>
          <t>893317437</t>
        </is>
      </c>
    </row>
    <row r="1093">
      <c r="A1093" t="inlineStr">
        <is>
          <t>No</t>
        </is>
      </c>
      <c r="B1093" t="inlineStr">
        <is>
          <t>CURAL</t>
        </is>
      </c>
      <c r="C1093" t="inlineStr">
        <is>
          <t>SHELVES</t>
        </is>
      </c>
      <c r="D1093" t="inlineStr">
        <is>
          <t>PR3533 .R65</t>
        </is>
      </c>
      <c r="E1093" t="inlineStr">
        <is>
          <t>0                      PR 3533000R  65</t>
        </is>
      </c>
      <c r="F1093" t="inlineStr">
        <is>
          <t>Aspects of Doctor Johnson / by E.S. Roscoe.</t>
        </is>
      </c>
      <c r="H1093" t="inlineStr">
        <is>
          <t>No</t>
        </is>
      </c>
      <c r="I1093" t="inlineStr">
        <is>
          <t>1</t>
        </is>
      </c>
      <c r="J1093" t="inlineStr">
        <is>
          <t>No</t>
        </is>
      </c>
      <c r="K1093" t="inlineStr">
        <is>
          <t>No</t>
        </is>
      </c>
      <c r="L1093" t="inlineStr">
        <is>
          <t>0</t>
        </is>
      </c>
      <c r="M1093" t="inlineStr">
        <is>
          <t>Roscoe, Edward Stanley, 1849-1932.</t>
        </is>
      </c>
      <c r="N1093" t="inlineStr">
        <is>
          <t>Cambridge, [Eng.] : The University press, 1928.</t>
        </is>
      </c>
      <c r="O1093" t="inlineStr">
        <is>
          <t>1928</t>
        </is>
      </c>
      <c r="Q1093" t="inlineStr">
        <is>
          <t>eng</t>
        </is>
      </c>
      <c r="R1093" t="inlineStr">
        <is>
          <t>enk</t>
        </is>
      </c>
      <c r="T1093" t="inlineStr">
        <is>
          <t xml:space="preserve">PR </t>
        </is>
      </c>
      <c r="U1093" t="n">
        <v>2</v>
      </c>
      <c r="V1093" t="n">
        <v>2</v>
      </c>
      <c r="W1093" t="inlineStr">
        <is>
          <t>1997-11-04</t>
        </is>
      </c>
      <c r="X1093" t="inlineStr">
        <is>
          <t>1997-11-04</t>
        </is>
      </c>
      <c r="Y1093" t="inlineStr">
        <is>
          <t>1995-05-04</t>
        </is>
      </c>
      <c r="Z1093" t="inlineStr">
        <is>
          <t>1995-05-04</t>
        </is>
      </c>
      <c r="AA1093" t="n">
        <v>194</v>
      </c>
      <c r="AB1093" t="n">
        <v>162</v>
      </c>
      <c r="AC1093" t="n">
        <v>168</v>
      </c>
      <c r="AD1093" t="n">
        <v>2</v>
      </c>
      <c r="AE1093" t="n">
        <v>2</v>
      </c>
      <c r="AF1093" t="n">
        <v>10</v>
      </c>
      <c r="AG1093" t="n">
        <v>10</v>
      </c>
      <c r="AH1093" t="n">
        <v>4</v>
      </c>
      <c r="AI1093" t="n">
        <v>4</v>
      </c>
      <c r="AJ1093" t="n">
        <v>1</v>
      </c>
      <c r="AK1093" t="n">
        <v>1</v>
      </c>
      <c r="AL1093" t="n">
        <v>6</v>
      </c>
      <c r="AM1093" t="n">
        <v>6</v>
      </c>
      <c r="AN1093" t="n">
        <v>1</v>
      </c>
      <c r="AO1093" t="n">
        <v>1</v>
      </c>
      <c r="AP1093" t="n">
        <v>0</v>
      </c>
      <c r="AQ1093" t="n">
        <v>0</v>
      </c>
      <c r="AR1093" t="inlineStr">
        <is>
          <t>No</t>
        </is>
      </c>
      <c r="AS1093" t="inlineStr">
        <is>
          <t>No</t>
        </is>
      </c>
      <c r="AT1093">
        <f>HYPERLINK("http://catalog.hathitrust.org/Record/000484531","HathiTrust Record")</f>
        <v/>
      </c>
      <c r="AU1093">
        <f>HYPERLINK("https://creighton-primo.hosted.exlibrisgroup.com/primo-explore/search?tab=default_tab&amp;search_scope=EVERYTHING&amp;vid=01CRU&amp;lang=en_US&amp;offset=0&amp;query=any,contains,991004251369702656","Catalog Record")</f>
        <v/>
      </c>
      <c r="AV1093">
        <f>HYPERLINK("http://www.worldcat.org/oclc/2814044","WorldCat Record")</f>
        <v/>
      </c>
      <c r="AW1093" t="inlineStr">
        <is>
          <t>6159639:eng</t>
        </is>
      </c>
      <c r="AX1093" t="inlineStr">
        <is>
          <t>2814044</t>
        </is>
      </c>
      <c r="AY1093" t="inlineStr">
        <is>
          <t>991004251369702656</t>
        </is>
      </c>
      <c r="AZ1093" t="inlineStr">
        <is>
          <t>991004251369702656</t>
        </is>
      </c>
      <c r="BA1093" t="inlineStr">
        <is>
          <t>2261316300002656</t>
        </is>
      </c>
      <c r="BB1093" t="inlineStr">
        <is>
          <t>BOOK</t>
        </is>
      </c>
      <c r="BE1093" t="inlineStr">
        <is>
          <t>32285002031911</t>
        </is>
      </c>
      <c r="BF1093" t="inlineStr">
        <is>
          <t>893349788</t>
        </is>
      </c>
    </row>
    <row r="1094">
      <c r="A1094" t="inlineStr">
        <is>
          <t>No</t>
        </is>
      </c>
      <c r="B1094" t="inlineStr">
        <is>
          <t>CURAL</t>
        </is>
      </c>
      <c r="C1094" t="inlineStr">
        <is>
          <t>SHELVES</t>
        </is>
      </c>
      <c r="D1094" t="inlineStr">
        <is>
          <t>PR3533 .S76</t>
        </is>
      </c>
      <c r="E1094" t="inlineStr">
        <is>
          <t>0                      PR 3533000S  76</t>
        </is>
      </c>
      <c r="F1094" t="inlineStr">
        <is>
          <t>A Johnson handbook, by Mildred C. Struble ...</t>
        </is>
      </c>
      <c r="H1094" t="inlineStr">
        <is>
          <t>No</t>
        </is>
      </c>
      <c r="I1094" t="inlineStr">
        <is>
          <t>1</t>
        </is>
      </c>
      <c r="J1094" t="inlineStr">
        <is>
          <t>No</t>
        </is>
      </c>
      <c r="K1094" t="inlineStr">
        <is>
          <t>No</t>
        </is>
      </c>
      <c r="L1094" t="inlineStr">
        <is>
          <t>0</t>
        </is>
      </c>
      <c r="M1094" t="inlineStr">
        <is>
          <t>Struble, Mildred Clara, 1894-</t>
        </is>
      </c>
      <c r="N1094" t="inlineStr">
        <is>
          <t>New York, F. S. Crofts &amp; Co., 1933.</t>
        </is>
      </c>
      <c r="O1094" t="inlineStr">
        <is>
          <t>1933</t>
        </is>
      </c>
      <c r="Q1094" t="inlineStr">
        <is>
          <t>eng</t>
        </is>
      </c>
      <c r="R1094" t="inlineStr">
        <is>
          <t>nyu</t>
        </is>
      </c>
      <c r="T1094" t="inlineStr">
        <is>
          <t xml:space="preserve">PR </t>
        </is>
      </c>
      <c r="U1094" t="n">
        <v>3</v>
      </c>
      <c r="V1094" t="n">
        <v>3</v>
      </c>
      <c r="W1094" t="inlineStr">
        <is>
          <t>1998-09-22</t>
        </is>
      </c>
      <c r="X1094" t="inlineStr">
        <is>
          <t>1998-09-22</t>
        </is>
      </c>
      <c r="Y1094" t="inlineStr">
        <is>
          <t>1997-07-24</t>
        </is>
      </c>
      <c r="Z1094" t="inlineStr">
        <is>
          <t>1997-07-24</t>
        </is>
      </c>
      <c r="AA1094" t="n">
        <v>325</v>
      </c>
      <c r="AB1094" t="n">
        <v>299</v>
      </c>
      <c r="AC1094" t="n">
        <v>363</v>
      </c>
      <c r="AD1094" t="n">
        <v>3</v>
      </c>
      <c r="AE1094" t="n">
        <v>3</v>
      </c>
      <c r="AF1094" t="n">
        <v>22</v>
      </c>
      <c r="AG1094" t="n">
        <v>23</v>
      </c>
      <c r="AH1094" t="n">
        <v>7</v>
      </c>
      <c r="AI1094" t="n">
        <v>8</v>
      </c>
      <c r="AJ1094" t="n">
        <v>5</v>
      </c>
      <c r="AK1094" t="n">
        <v>5</v>
      </c>
      <c r="AL1094" t="n">
        <v>14</v>
      </c>
      <c r="AM1094" t="n">
        <v>15</v>
      </c>
      <c r="AN1094" t="n">
        <v>2</v>
      </c>
      <c r="AO1094" t="n">
        <v>2</v>
      </c>
      <c r="AP1094" t="n">
        <v>0</v>
      </c>
      <c r="AQ1094" t="n">
        <v>0</v>
      </c>
      <c r="AR1094" t="inlineStr">
        <is>
          <t>Yes</t>
        </is>
      </c>
      <c r="AS1094" t="inlineStr">
        <is>
          <t>No</t>
        </is>
      </c>
      <c r="AT1094">
        <f>HYPERLINK("http://catalog.hathitrust.org/Record/001112785","HathiTrust Record")</f>
        <v/>
      </c>
      <c r="AU1094">
        <f>HYPERLINK("https://creighton-primo.hosted.exlibrisgroup.com/primo-explore/search?tab=default_tab&amp;search_scope=EVERYTHING&amp;vid=01CRU&amp;lang=en_US&amp;offset=0&amp;query=any,contains,991003924519702656","Catalog Record")</f>
        <v/>
      </c>
      <c r="AV1094">
        <f>HYPERLINK("http://www.worldcat.org/oclc/1879304","WorldCat Record")</f>
        <v/>
      </c>
      <c r="AW1094" t="inlineStr">
        <is>
          <t>1479107:eng</t>
        </is>
      </c>
      <c r="AX1094" t="inlineStr">
        <is>
          <t>1879304</t>
        </is>
      </c>
      <c r="AY1094" t="inlineStr">
        <is>
          <t>991003924519702656</t>
        </is>
      </c>
      <c r="AZ1094" t="inlineStr">
        <is>
          <t>991003924519702656</t>
        </is>
      </c>
      <c r="BA1094" t="inlineStr">
        <is>
          <t>2258359560002656</t>
        </is>
      </c>
      <c r="BB1094" t="inlineStr">
        <is>
          <t>BOOK</t>
        </is>
      </c>
      <c r="BE1094" t="inlineStr">
        <is>
          <t>32285002956638</t>
        </is>
      </c>
      <c r="BF1094" t="inlineStr">
        <is>
          <t>893441959</t>
        </is>
      </c>
    </row>
    <row r="1095">
      <c r="A1095" t="inlineStr">
        <is>
          <t>No</t>
        </is>
      </c>
      <c r="B1095" t="inlineStr">
        <is>
          <t>CURAL</t>
        </is>
      </c>
      <c r="C1095" t="inlineStr">
        <is>
          <t>SHELVES</t>
        </is>
      </c>
      <c r="D1095" t="inlineStr">
        <is>
          <t>PR3533.B7 C6</t>
        </is>
      </c>
      <c r="E1095" t="inlineStr">
        <is>
          <t>0                      PR 3533000B  7                  C  6</t>
        </is>
      </c>
      <c r="F1095" t="inlineStr">
        <is>
          <t>Twentieth century interpretations of Boswell's Life of Johnson; a collection of critical essays. Edited by James L. Clifford.</t>
        </is>
      </c>
      <c r="H1095" t="inlineStr">
        <is>
          <t>No</t>
        </is>
      </c>
      <c r="I1095" t="inlineStr">
        <is>
          <t>1</t>
        </is>
      </c>
      <c r="J1095" t="inlineStr">
        <is>
          <t>No</t>
        </is>
      </c>
      <c r="K1095" t="inlineStr">
        <is>
          <t>No</t>
        </is>
      </c>
      <c r="L1095" t="inlineStr">
        <is>
          <t>0</t>
        </is>
      </c>
      <c r="M1095" t="inlineStr">
        <is>
          <t>Clifford, James L. (James Lowry), 1901-1978, compiler.</t>
        </is>
      </c>
      <c r="N1095" t="inlineStr">
        <is>
          <t>Englewood Cliffs, N.J., Prentice-Hall [1970]</t>
        </is>
      </c>
      <c r="O1095" t="inlineStr">
        <is>
          <t>1970</t>
        </is>
      </c>
      <c r="Q1095" t="inlineStr">
        <is>
          <t>eng</t>
        </is>
      </c>
      <c r="R1095" t="inlineStr">
        <is>
          <t>nju</t>
        </is>
      </c>
      <c r="S1095" t="inlineStr">
        <is>
          <t>A Spectrum book.</t>
        </is>
      </c>
      <c r="T1095" t="inlineStr">
        <is>
          <t xml:space="preserve">PR </t>
        </is>
      </c>
      <c r="U1095" t="n">
        <v>4</v>
      </c>
      <c r="V1095" t="n">
        <v>4</v>
      </c>
      <c r="W1095" t="inlineStr">
        <is>
          <t>2010-03-17</t>
        </is>
      </c>
      <c r="X1095" t="inlineStr">
        <is>
          <t>2010-03-17</t>
        </is>
      </c>
      <c r="Y1095" t="inlineStr">
        <is>
          <t>1997-07-24</t>
        </is>
      </c>
      <c r="Z1095" t="inlineStr">
        <is>
          <t>1997-07-24</t>
        </is>
      </c>
      <c r="AA1095" t="n">
        <v>1456</v>
      </c>
      <c r="AB1095" t="n">
        <v>1340</v>
      </c>
      <c r="AC1095" t="n">
        <v>1350</v>
      </c>
      <c r="AD1095" t="n">
        <v>13</v>
      </c>
      <c r="AE1095" t="n">
        <v>13</v>
      </c>
      <c r="AF1095" t="n">
        <v>48</v>
      </c>
      <c r="AG1095" t="n">
        <v>48</v>
      </c>
      <c r="AH1095" t="n">
        <v>18</v>
      </c>
      <c r="AI1095" t="n">
        <v>18</v>
      </c>
      <c r="AJ1095" t="n">
        <v>10</v>
      </c>
      <c r="AK1095" t="n">
        <v>10</v>
      </c>
      <c r="AL1095" t="n">
        <v>19</v>
      </c>
      <c r="AM1095" t="n">
        <v>19</v>
      </c>
      <c r="AN1095" t="n">
        <v>11</v>
      </c>
      <c r="AO1095" t="n">
        <v>11</v>
      </c>
      <c r="AP1095" t="n">
        <v>0</v>
      </c>
      <c r="AQ1095" t="n">
        <v>0</v>
      </c>
      <c r="AR1095" t="inlineStr">
        <is>
          <t>No</t>
        </is>
      </c>
      <c r="AS1095" t="inlineStr">
        <is>
          <t>Yes</t>
        </is>
      </c>
      <c r="AT1095">
        <f>HYPERLINK("http://catalog.hathitrust.org/Record/000483477","HathiTrust Record")</f>
        <v/>
      </c>
      <c r="AU1095">
        <f>HYPERLINK("https://creighton-primo.hosted.exlibrisgroup.com/primo-explore/search?tab=default_tab&amp;search_scope=EVERYTHING&amp;vid=01CRU&amp;lang=en_US&amp;offset=0&amp;query=any,contains,991000628509702656","Catalog Record")</f>
        <v/>
      </c>
      <c r="AV1095">
        <f>HYPERLINK("http://www.worldcat.org/oclc/105126","WorldCat Record")</f>
        <v/>
      </c>
      <c r="AW1095" t="inlineStr">
        <is>
          <t>313969118:eng</t>
        </is>
      </c>
      <c r="AX1095" t="inlineStr">
        <is>
          <t>105126</t>
        </is>
      </c>
      <c r="AY1095" t="inlineStr">
        <is>
          <t>991000628509702656</t>
        </is>
      </c>
      <c r="AZ1095" t="inlineStr">
        <is>
          <t>991000628509702656</t>
        </is>
      </c>
      <c r="BA1095" t="inlineStr">
        <is>
          <t>2263376400002656</t>
        </is>
      </c>
      <c r="BB1095" t="inlineStr">
        <is>
          <t>BOOK</t>
        </is>
      </c>
      <c r="BD1095" t="inlineStr">
        <is>
          <t>9780130801920</t>
        </is>
      </c>
      <c r="BE1095" t="inlineStr">
        <is>
          <t>32285002956299</t>
        </is>
      </c>
      <c r="BF1095" t="inlineStr">
        <is>
          <t>893321206</t>
        </is>
      </c>
    </row>
    <row r="1096">
      <c r="A1096" t="inlineStr">
        <is>
          <t>No</t>
        </is>
      </c>
      <c r="B1096" t="inlineStr">
        <is>
          <t>CURAL</t>
        </is>
      </c>
      <c r="C1096" t="inlineStr">
        <is>
          <t>SHELVES</t>
        </is>
      </c>
      <c r="D1096" t="inlineStr">
        <is>
          <t>PR3534 .B6 1971c</t>
        </is>
      </c>
      <c r="E1096" t="inlineStr">
        <is>
          <t>0                      PR 3534000B  6           1971c</t>
        </is>
      </c>
      <c r="F1096" t="inlineStr">
        <is>
          <t>Johnson: the critical heritage; edited by James T. Boulton.</t>
        </is>
      </c>
      <c r="H1096" t="inlineStr">
        <is>
          <t>No</t>
        </is>
      </c>
      <c r="I1096" t="inlineStr">
        <is>
          <t>1</t>
        </is>
      </c>
      <c r="J1096" t="inlineStr">
        <is>
          <t>No</t>
        </is>
      </c>
      <c r="K1096" t="inlineStr">
        <is>
          <t>No</t>
        </is>
      </c>
      <c r="L1096" t="inlineStr">
        <is>
          <t>0</t>
        </is>
      </c>
      <c r="M1096" t="inlineStr">
        <is>
          <t>Boulton, James T. compiler.</t>
        </is>
      </c>
      <c r="N1096" t="inlineStr">
        <is>
          <t>London, Routledge and K. Paul, 1971.</t>
        </is>
      </c>
      <c r="O1096" t="inlineStr">
        <is>
          <t>1971</t>
        </is>
      </c>
      <c r="Q1096" t="inlineStr">
        <is>
          <t>eng</t>
        </is>
      </c>
      <c r="R1096" t="inlineStr">
        <is>
          <t>enk</t>
        </is>
      </c>
      <c r="S1096" t="inlineStr">
        <is>
          <t>The Critical heritage series</t>
        </is>
      </c>
      <c r="T1096" t="inlineStr">
        <is>
          <t xml:space="preserve">PR </t>
        </is>
      </c>
      <c r="U1096" t="n">
        <v>2</v>
      </c>
      <c r="V1096" t="n">
        <v>2</v>
      </c>
      <c r="W1096" t="inlineStr">
        <is>
          <t>1997-10-29</t>
        </is>
      </c>
      <c r="X1096" t="inlineStr">
        <is>
          <t>1997-10-29</t>
        </is>
      </c>
      <c r="Y1096" t="inlineStr">
        <is>
          <t>1997-07-24</t>
        </is>
      </c>
      <c r="Z1096" t="inlineStr">
        <is>
          <t>1997-07-24</t>
        </is>
      </c>
      <c r="AA1096" t="n">
        <v>342</v>
      </c>
      <c r="AB1096" t="n">
        <v>113</v>
      </c>
      <c r="AC1096" t="n">
        <v>768</v>
      </c>
      <c r="AD1096" t="n">
        <v>1</v>
      </c>
      <c r="AE1096" t="n">
        <v>5</v>
      </c>
      <c r="AF1096" t="n">
        <v>3</v>
      </c>
      <c r="AG1096" t="n">
        <v>40</v>
      </c>
      <c r="AH1096" t="n">
        <v>3</v>
      </c>
      <c r="AI1096" t="n">
        <v>15</v>
      </c>
      <c r="AJ1096" t="n">
        <v>0</v>
      </c>
      <c r="AK1096" t="n">
        <v>10</v>
      </c>
      <c r="AL1096" t="n">
        <v>2</v>
      </c>
      <c r="AM1096" t="n">
        <v>23</v>
      </c>
      <c r="AN1096" t="n">
        <v>0</v>
      </c>
      <c r="AO1096" t="n">
        <v>4</v>
      </c>
      <c r="AP1096" t="n">
        <v>0</v>
      </c>
      <c r="AQ1096" t="n">
        <v>0</v>
      </c>
      <c r="AR1096" t="inlineStr">
        <is>
          <t>No</t>
        </is>
      </c>
      <c r="AS1096" t="inlineStr">
        <is>
          <t>Yes</t>
        </is>
      </c>
      <c r="AT1096">
        <f>HYPERLINK("http://catalog.hathitrust.org/Record/000483339","HathiTrust Record")</f>
        <v/>
      </c>
      <c r="AU1096">
        <f>HYPERLINK("https://creighton-primo.hosted.exlibrisgroup.com/primo-explore/search?tab=default_tab&amp;search_scope=EVERYTHING&amp;vid=01CRU&amp;lang=en_US&amp;offset=0&amp;query=any,contains,991001272769702656","Catalog Record")</f>
        <v/>
      </c>
      <c r="AV1096">
        <f>HYPERLINK("http://www.worldcat.org/oclc/212317","WorldCat Record")</f>
        <v/>
      </c>
      <c r="AW1096" t="inlineStr">
        <is>
          <t>3855764562:eng</t>
        </is>
      </c>
      <c r="AX1096" t="inlineStr">
        <is>
          <t>212317</t>
        </is>
      </c>
      <c r="AY1096" t="inlineStr">
        <is>
          <t>991001272769702656</t>
        </is>
      </c>
      <c r="AZ1096" t="inlineStr">
        <is>
          <t>991001272769702656</t>
        </is>
      </c>
      <c r="BA1096" t="inlineStr">
        <is>
          <t>2261942580002656</t>
        </is>
      </c>
      <c r="BB1096" t="inlineStr">
        <is>
          <t>BOOK</t>
        </is>
      </c>
      <c r="BD1096" t="inlineStr">
        <is>
          <t>9780710070302</t>
        </is>
      </c>
      <c r="BE1096" t="inlineStr">
        <is>
          <t>32285002956679</t>
        </is>
      </c>
      <c r="BF1096" t="inlineStr">
        <is>
          <t>893534499</t>
        </is>
      </c>
    </row>
    <row r="1097">
      <c r="A1097" t="inlineStr">
        <is>
          <t>No</t>
        </is>
      </c>
      <c r="B1097" t="inlineStr">
        <is>
          <t>CURAL</t>
        </is>
      </c>
      <c r="C1097" t="inlineStr">
        <is>
          <t>SHELVES</t>
        </is>
      </c>
      <c r="D1097" t="inlineStr">
        <is>
          <t>PR3534 .C5 1966</t>
        </is>
      </c>
      <c r="E1097" t="inlineStr">
        <is>
          <t>0                      PR 3534000C  5           1966</t>
        </is>
      </c>
      <c r="F1097" t="inlineStr">
        <is>
          <t>Johnson the essayist; his opinions on men, morals, and manners; a study, by O. F. Christie.</t>
        </is>
      </c>
      <c r="H1097" t="inlineStr">
        <is>
          <t>No</t>
        </is>
      </c>
      <c r="I1097" t="inlineStr">
        <is>
          <t>1</t>
        </is>
      </c>
      <c r="J1097" t="inlineStr">
        <is>
          <t>No</t>
        </is>
      </c>
      <c r="K1097" t="inlineStr">
        <is>
          <t>No</t>
        </is>
      </c>
      <c r="L1097" t="inlineStr">
        <is>
          <t>0</t>
        </is>
      </c>
      <c r="M1097" t="inlineStr">
        <is>
          <t>Christie, O. F. (Octavius Francis), 1867-1953.</t>
        </is>
      </c>
      <c r="N1097" t="inlineStr">
        <is>
          <t>New York, Haskell House, 1966.</t>
        </is>
      </c>
      <c r="O1097" t="inlineStr">
        <is>
          <t>1966</t>
        </is>
      </c>
      <c r="Q1097" t="inlineStr">
        <is>
          <t>eng</t>
        </is>
      </c>
      <c r="R1097" t="inlineStr">
        <is>
          <t>nyu</t>
        </is>
      </c>
      <c r="T1097" t="inlineStr">
        <is>
          <t xml:space="preserve">PR </t>
        </is>
      </c>
      <c r="U1097" t="n">
        <v>1</v>
      </c>
      <c r="V1097" t="n">
        <v>1</v>
      </c>
      <c r="W1097" t="inlineStr">
        <is>
          <t>2004-12-03</t>
        </is>
      </c>
      <c r="X1097" t="inlineStr">
        <is>
          <t>2004-12-03</t>
        </is>
      </c>
      <c r="Y1097" t="inlineStr">
        <is>
          <t>1997-07-24</t>
        </is>
      </c>
      <c r="Z1097" t="inlineStr">
        <is>
          <t>1997-07-24</t>
        </is>
      </c>
      <c r="AA1097" t="n">
        <v>211</v>
      </c>
      <c r="AB1097" t="n">
        <v>200</v>
      </c>
      <c r="AC1097" t="n">
        <v>366</v>
      </c>
      <c r="AD1097" t="n">
        <v>2</v>
      </c>
      <c r="AE1097" t="n">
        <v>3</v>
      </c>
      <c r="AF1097" t="n">
        <v>8</v>
      </c>
      <c r="AG1097" t="n">
        <v>20</v>
      </c>
      <c r="AH1097" t="n">
        <v>2</v>
      </c>
      <c r="AI1097" t="n">
        <v>5</v>
      </c>
      <c r="AJ1097" t="n">
        <v>3</v>
      </c>
      <c r="AK1097" t="n">
        <v>6</v>
      </c>
      <c r="AL1097" t="n">
        <v>5</v>
      </c>
      <c r="AM1097" t="n">
        <v>14</v>
      </c>
      <c r="AN1097" t="n">
        <v>1</v>
      </c>
      <c r="AO1097" t="n">
        <v>2</v>
      </c>
      <c r="AP1097" t="n">
        <v>0</v>
      </c>
      <c r="AQ1097" t="n">
        <v>0</v>
      </c>
      <c r="AR1097" t="inlineStr">
        <is>
          <t>No</t>
        </is>
      </c>
      <c r="AS1097" t="inlineStr">
        <is>
          <t>Yes</t>
        </is>
      </c>
      <c r="AT1097">
        <f>HYPERLINK("http://catalog.hathitrust.org/Record/000483365","HathiTrust Record")</f>
        <v/>
      </c>
      <c r="AU1097">
        <f>HYPERLINK("https://creighton-primo.hosted.exlibrisgroup.com/primo-explore/search?tab=default_tab&amp;search_scope=EVERYTHING&amp;vid=01CRU&amp;lang=en_US&amp;offset=0&amp;query=any,contains,991002762409702656","Catalog Record")</f>
        <v/>
      </c>
      <c r="AV1097">
        <f>HYPERLINK("http://www.worldcat.org/oclc/429816","WorldCat Record")</f>
        <v/>
      </c>
      <c r="AW1097" t="inlineStr">
        <is>
          <t>6954300:eng</t>
        </is>
      </c>
      <c r="AX1097" t="inlineStr">
        <is>
          <t>429816</t>
        </is>
      </c>
      <c r="AY1097" t="inlineStr">
        <is>
          <t>991002762409702656</t>
        </is>
      </c>
      <c r="AZ1097" t="inlineStr">
        <is>
          <t>991002762409702656</t>
        </is>
      </c>
      <c r="BA1097" t="inlineStr">
        <is>
          <t>2265631780002656</t>
        </is>
      </c>
      <c r="BB1097" t="inlineStr">
        <is>
          <t>BOOK</t>
        </is>
      </c>
      <c r="BE1097" t="inlineStr">
        <is>
          <t>32285002956695</t>
        </is>
      </c>
      <c r="BF1097" t="inlineStr">
        <is>
          <t>893347897</t>
        </is>
      </c>
    </row>
    <row r="1098">
      <c r="A1098" t="inlineStr">
        <is>
          <t>No</t>
        </is>
      </c>
      <c r="B1098" t="inlineStr">
        <is>
          <t>CURAL</t>
        </is>
      </c>
      <c r="C1098" t="inlineStr">
        <is>
          <t>SHELVES</t>
        </is>
      </c>
      <c r="D1098" t="inlineStr">
        <is>
          <t>PR3534 .F7 1987</t>
        </is>
      </c>
      <c r="E1098" t="inlineStr">
        <is>
          <t>0                      PR 3534000F  7           1987</t>
        </is>
      </c>
      <c r="F1098" t="inlineStr">
        <is>
          <t>Fresh reflections on Samuel Johnson : essays in criticism / edited by Prem Nath.</t>
        </is>
      </c>
      <c r="H1098" t="inlineStr">
        <is>
          <t>No</t>
        </is>
      </c>
      <c r="I1098" t="inlineStr">
        <is>
          <t>1</t>
        </is>
      </c>
      <c r="J1098" t="inlineStr">
        <is>
          <t>No</t>
        </is>
      </c>
      <c r="K1098" t="inlineStr">
        <is>
          <t>No</t>
        </is>
      </c>
      <c r="L1098" t="inlineStr">
        <is>
          <t>0</t>
        </is>
      </c>
      <c r="N1098" t="inlineStr">
        <is>
          <t>Troy, N.Y. : Whitston Pub. Co., 1987.</t>
        </is>
      </c>
      <c r="O1098" t="inlineStr">
        <is>
          <t>1987</t>
        </is>
      </c>
      <c r="Q1098" t="inlineStr">
        <is>
          <t>eng</t>
        </is>
      </c>
      <c r="R1098" t="inlineStr">
        <is>
          <t>nyu</t>
        </is>
      </c>
      <c r="T1098" t="inlineStr">
        <is>
          <t xml:space="preserve">PR </t>
        </is>
      </c>
      <c r="U1098" t="n">
        <v>1</v>
      </c>
      <c r="V1098" t="n">
        <v>1</v>
      </c>
      <c r="W1098" t="inlineStr">
        <is>
          <t>2005-03-03</t>
        </is>
      </c>
      <c r="X1098" t="inlineStr">
        <is>
          <t>2005-03-03</t>
        </is>
      </c>
      <c r="Y1098" t="inlineStr">
        <is>
          <t>2005-03-03</t>
        </is>
      </c>
      <c r="Z1098" t="inlineStr">
        <is>
          <t>2005-03-03</t>
        </is>
      </c>
      <c r="AA1098" t="n">
        <v>376</v>
      </c>
      <c r="AB1098" t="n">
        <v>308</v>
      </c>
      <c r="AC1098" t="n">
        <v>388</v>
      </c>
      <c r="AD1098" t="n">
        <v>3</v>
      </c>
      <c r="AE1098" t="n">
        <v>3</v>
      </c>
      <c r="AF1098" t="n">
        <v>20</v>
      </c>
      <c r="AG1098" t="n">
        <v>25</v>
      </c>
      <c r="AH1098" t="n">
        <v>9</v>
      </c>
      <c r="AI1098" t="n">
        <v>13</v>
      </c>
      <c r="AJ1098" t="n">
        <v>4</v>
      </c>
      <c r="AK1098" t="n">
        <v>6</v>
      </c>
      <c r="AL1098" t="n">
        <v>10</v>
      </c>
      <c r="AM1098" t="n">
        <v>11</v>
      </c>
      <c r="AN1098" t="n">
        <v>2</v>
      </c>
      <c r="AO1098" t="n">
        <v>2</v>
      </c>
      <c r="AP1098" t="n">
        <v>0</v>
      </c>
      <c r="AQ1098" t="n">
        <v>0</v>
      </c>
      <c r="AR1098" t="inlineStr">
        <is>
          <t>No</t>
        </is>
      </c>
      <c r="AS1098" t="inlineStr">
        <is>
          <t>Yes</t>
        </is>
      </c>
      <c r="AT1098">
        <f>HYPERLINK("http://catalog.hathitrust.org/Record/000919368","HathiTrust Record")</f>
        <v/>
      </c>
      <c r="AU1098">
        <f>HYPERLINK("https://creighton-primo.hosted.exlibrisgroup.com/primo-explore/search?tab=default_tab&amp;search_scope=EVERYTHING&amp;vid=01CRU&amp;lang=en_US&amp;offset=0&amp;query=any,contains,991004491979702656","Catalog Record")</f>
        <v/>
      </c>
      <c r="AV1098">
        <f>HYPERLINK("http://www.worldcat.org/oclc/19128131","WorldCat Record")</f>
        <v/>
      </c>
      <c r="AW1098" t="inlineStr">
        <is>
          <t>346448979:eng</t>
        </is>
      </c>
      <c r="AX1098" t="inlineStr">
        <is>
          <t>19128131</t>
        </is>
      </c>
      <c r="AY1098" t="inlineStr">
        <is>
          <t>991004491979702656</t>
        </is>
      </c>
      <c r="AZ1098" t="inlineStr">
        <is>
          <t>991004491979702656</t>
        </is>
      </c>
      <c r="BA1098" t="inlineStr">
        <is>
          <t>2272238570002656</t>
        </is>
      </c>
      <c r="BB1098" t="inlineStr">
        <is>
          <t>BOOK</t>
        </is>
      </c>
      <c r="BD1098" t="inlineStr">
        <is>
          <t>9780878753376</t>
        </is>
      </c>
      <c r="BE1098" t="inlineStr">
        <is>
          <t>32285005029284</t>
        </is>
      </c>
      <c r="BF1098" t="inlineStr">
        <is>
          <t>893694008</t>
        </is>
      </c>
    </row>
    <row r="1099">
      <c r="A1099" t="inlineStr">
        <is>
          <t>No</t>
        </is>
      </c>
      <c r="B1099" t="inlineStr">
        <is>
          <t>CURAL</t>
        </is>
      </c>
      <c r="C1099" t="inlineStr">
        <is>
          <t>SHELVES</t>
        </is>
      </c>
      <c r="D1099" t="inlineStr">
        <is>
          <t>PR3534 .G74 1989</t>
        </is>
      </c>
      <c r="E1099" t="inlineStr">
        <is>
          <t>0                      PR 3534000G  74          1989</t>
        </is>
      </c>
      <c r="F1099" t="inlineStr">
        <is>
          <t>Samuel Johnson / by Donald Greene.</t>
        </is>
      </c>
      <c r="H1099" t="inlineStr">
        <is>
          <t>No</t>
        </is>
      </c>
      <c r="I1099" t="inlineStr">
        <is>
          <t>1</t>
        </is>
      </c>
      <c r="J1099" t="inlineStr">
        <is>
          <t>No</t>
        </is>
      </c>
      <c r="K1099" t="inlineStr">
        <is>
          <t>Yes</t>
        </is>
      </c>
      <c r="L1099" t="inlineStr">
        <is>
          <t>0</t>
        </is>
      </c>
      <c r="M1099" t="inlineStr">
        <is>
          <t>Greene, Donald J., 1914-1997.</t>
        </is>
      </c>
      <c r="N1099" t="inlineStr">
        <is>
          <t>Boston : Twayne Publishers, c1989.</t>
        </is>
      </c>
      <c r="O1099" t="inlineStr">
        <is>
          <t>1989</t>
        </is>
      </c>
      <c r="P1099" t="inlineStr">
        <is>
          <t>Updated ed.</t>
        </is>
      </c>
      <c r="Q1099" t="inlineStr">
        <is>
          <t>eng</t>
        </is>
      </c>
      <c r="R1099" t="inlineStr">
        <is>
          <t>mau</t>
        </is>
      </c>
      <c r="S1099" t="inlineStr">
        <is>
          <t>Twayne's English authors series ; TEAS 95</t>
        </is>
      </c>
      <c r="T1099" t="inlineStr">
        <is>
          <t xml:space="preserve">PR </t>
        </is>
      </c>
      <c r="U1099" t="n">
        <v>3</v>
      </c>
      <c r="V1099" t="n">
        <v>3</v>
      </c>
      <c r="W1099" t="inlineStr">
        <is>
          <t>1999-09-26</t>
        </is>
      </c>
      <c r="X1099" t="inlineStr">
        <is>
          <t>1999-09-26</t>
        </is>
      </c>
      <c r="Y1099" t="inlineStr">
        <is>
          <t>1990-06-12</t>
        </is>
      </c>
      <c r="Z1099" t="inlineStr">
        <is>
          <t>1990-06-12</t>
        </is>
      </c>
      <c r="AA1099" t="n">
        <v>593</v>
      </c>
      <c r="AB1099" t="n">
        <v>518</v>
      </c>
      <c r="AC1099" t="n">
        <v>1421</v>
      </c>
      <c r="AD1099" t="n">
        <v>6</v>
      </c>
      <c r="AE1099" t="n">
        <v>14</v>
      </c>
      <c r="AF1099" t="n">
        <v>26</v>
      </c>
      <c r="AG1099" t="n">
        <v>55</v>
      </c>
      <c r="AH1099" t="n">
        <v>10</v>
      </c>
      <c r="AI1099" t="n">
        <v>23</v>
      </c>
      <c r="AJ1099" t="n">
        <v>5</v>
      </c>
      <c r="AK1099" t="n">
        <v>11</v>
      </c>
      <c r="AL1099" t="n">
        <v>15</v>
      </c>
      <c r="AM1099" t="n">
        <v>25</v>
      </c>
      <c r="AN1099" t="n">
        <v>4</v>
      </c>
      <c r="AO1099" t="n">
        <v>10</v>
      </c>
      <c r="AP1099" t="n">
        <v>0</v>
      </c>
      <c r="AQ1099" t="n">
        <v>0</v>
      </c>
      <c r="AR1099" t="inlineStr">
        <is>
          <t>No</t>
        </is>
      </c>
      <c r="AS1099" t="inlineStr">
        <is>
          <t>Yes</t>
        </is>
      </c>
      <c r="AT1099">
        <f>HYPERLINK("http://catalog.hathitrust.org/Record/001822958","HathiTrust Record")</f>
        <v/>
      </c>
      <c r="AU1099">
        <f>HYPERLINK("https://creighton-primo.hosted.exlibrisgroup.com/primo-explore/search?tab=default_tab&amp;search_scope=EVERYTHING&amp;vid=01CRU&amp;lang=en_US&amp;offset=0&amp;query=any,contains,991001487419702656","Catalog Record")</f>
        <v/>
      </c>
      <c r="AV1099">
        <f>HYPERLINK("http://www.worldcat.org/oclc/19670817","WorldCat Record")</f>
        <v/>
      </c>
      <c r="AW1099" t="inlineStr">
        <is>
          <t>4798594850:eng</t>
        </is>
      </c>
      <c r="AX1099" t="inlineStr">
        <is>
          <t>19670817</t>
        </is>
      </c>
      <c r="AY1099" t="inlineStr">
        <is>
          <t>991001487419702656</t>
        </is>
      </c>
      <c r="AZ1099" t="inlineStr">
        <is>
          <t>991001487419702656</t>
        </is>
      </c>
      <c r="BA1099" t="inlineStr">
        <is>
          <t>2264571480002656</t>
        </is>
      </c>
      <c r="BB1099" t="inlineStr">
        <is>
          <t>BOOK</t>
        </is>
      </c>
      <c r="BD1099" t="inlineStr">
        <is>
          <t>9780805769623</t>
        </is>
      </c>
      <c r="BE1099" t="inlineStr">
        <is>
          <t>32285000190297</t>
        </is>
      </c>
      <c r="BF1099" t="inlineStr">
        <is>
          <t>893596505</t>
        </is>
      </c>
    </row>
    <row r="1100">
      <c r="A1100" t="inlineStr">
        <is>
          <t>No</t>
        </is>
      </c>
      <c r="B1100" t="inlineStr">
        <is>
          <t>CURAL</t>
        </is>
      </c>
      <c r="C1100" t="inlineStr">
        <is>
          <t>SHELVES</t>
        </is>
      </c>
      <c r="D1100" t="inlineStr">
        <is>
          <t>PR3534 .H56 1988</t>
        </is>
      </c>
      <c r="E1100" t="inlineStr">
        <is>
          <t>0                      PR 3534000H  56          1988</t>
        </is>
      </c>
      <c r="F1100" t="inlineStr">
        <is>
          <t>Samuel Johnson : an analysis / Charles H. Hinnant.</t>
        </is>
      </c>
      <c r="H1100" t="inlineStr">
        <is>
          <t>No</t>
        </is>
      </c>
      <c r="I1100" t="inlineStr">
        <is>
          <t>1</t>
        </is>
      </c>
      <c r="J1100" t="inlineStr">
        <is>
          <t>No</t>
        </is>
      </c>
      <c r="K1100" t="inlineStr">
        <is>
          <t>No</t>
        </is>
      </c>
      <c r="L1100" t="inlineStr">
        <is>
          <t>0</t>
        </is>
      </c>
      <c r="M1100" t="inlineStr">
        <is>
          <t>Hinnant, Charles H.</t>
        </is>
      </c>
      <c r="N1100" t="inlineStr">
        <is>
          <t>Basingstoke : Macmillan, 1988.</t>
        </is>
      </c>
      <c r="O1100" t="inlineStr">
        <is>
          <t>1988</t>
        </is>
      </c>
      <c r="Q1100" t="inlineStr">
        <is>
          <t>eng</t>
        </is>
      </c>
      <c r="R1100" t="inlineStr">
        <is>
          <t>enk</t>
        </is>
      </c>
      <c r="T1100" t="inlineStr">
        <is>
          <t xml:space="preserve">PR </t>
        </is>
      </c>
      <c r="U1100" t="n">
        <v>2</v>
      </c>
      <c r="V1100" t="n">
        <v>2</v>
      </c>
      <c r="W1100" t="inlineStr">
        <is>
          <t>1995-11-16</t>
        </is>
      </c>
      <c r="X1100" t="inlineStr">
        <is>
          <t>1995-11-16</t>
        </is>
      </c>
      <c r="Y1100" t="inlineStr">
        <is>
          <t>1991-04-29</t>
        </is>
      </c>
      <c r="Z1100" t="inlineStr">
        <is>
          <t>1991-04-29</t>
        </is>
      </c>
      <c r="AA1100" t="n">
        <v>125</v>
      </c>
      <c r="AB1100" t="n">
        <v>53</v>
      </c>
      <c r="AC1100" t="n">
        <v>323</v>
      </c>
      <c r="AD1100" t="n">
        <v>1</v>
      </c>
      <c r="AE1100" t="n">
        <v>3</v>
      </c>
      <c r="AF1100" t="n">
        <v>3</v>
      </c>
      <c r="AG1100" t="n">
        <v>22</v>
      </c>
      <c r="AH1100" t="n">
        <v>0</v>
      </c>
      <c r="AI1100" t="n">
        <v>10</v>
      </c>
      <c r="AJ1100" t="n">
        <v>2</v>
      </c>
      <c r="AK1100" t="n">
        <v>4</v>
      </c>
      <c r="AL1100" t="n">
        <v>3</v>
      </c>
      <c r="AM1100" t="n">
        <v>12</v>
      </c>
      <c r="AN1100" t="n">
        <v>0</v>
      </c>
      <c r="AO1100" t="n">
        <v>2</v>
      </c>
      <c r="AP1100" t="n">
        <v>0</v>
      </c>
      <c r="AQ1100" t="n">
        <v>0</v>
      </c>
      <c r="AR1100" t="inlineStr">
        <is>
          <t>No</t>
        </is>
      </c>
      <c r="AS1100" t="inlineStr">
        <is>
          <t>No</t>
        </is>
      </c>
      <c r="AU1100">
        <f>HYPERLINK("https://creighton-primo.hosted.exlibrisgroup.com/primo-explore/search?tab=default_tab&amp;search_scope=EVERYTHING&amp;vid=01CRU&amp;lang=en_US&amp;offset=0&amp;query=any,contains,991001053399702656","Catalog Record")</f>
        <v/>
      </c>
      <c r="AV1100">
        <f>HYPERLINK("http://www.worldcat.org/oclc/15662087","WorldCat Record")</f>
        <v/>
      </c>
      <c r="AW1100" t="inlineStr">
        <is>
          <t>10032866:eng</t>
        </is>
      </c>
      <c r="AX1100" t="inlineStr">
        <is>
          <t>15662087</t>
        </is>
      </c>
      <c r="AY1100" t="inlineStr">
        <is>
          <t>991001053399702656</t>
        </is>
      </c>
      <c r="AZ1100" t="inlineStr">
        <is>
          <t>991001053399702656</t>
        </is>
      </c>
      <c r="BA1100" t="inlineStr">
        <is>
          <t>2263573590002656</t>
        </is>
      </c>
      <c r="BB1100" t="inlineStr">
        <is>
          <t>BOOK</t>
        </is>
      </c>
      <c r="BD1100" t="inlineStr">
        <is>
          <t>9780333443392</t>
        </is>
      </c>
      <c r="BE1100" t="inlineStr">
        <is>
          <t>32285000588433</t>
        </is>
      </c>
      <c r="BF1100" t="inlineStr">
        <is>
          <t>893315464</t>
        </is>
      </c>
    </row>
    <row r="1101">
      <c r="A1101" t="inlineStr">
        <is>
          <t>No</t>
        </is>
      </c>
      <c r="B1101" t="inlineStr">
        <is>
          <t>CURAL</t>
        </is>
      </c>
      <c r="C1101" t="inlineStr">
        <is>
          <t>SHELVES</t>
        </is>
      </c>
      <c r="D1101" t="inlineStr">
        <is>
          <t>PR3534 .J64 1984</t>
        </is>
      </c>
      <c r="E1101" t="inlineStr">
        <is>
          <t>0                      PR 3534000J  64          1984</t>
        </is>
      </c>
      <c r="F1101" t="inlineStr">
        <is>
          <t>Johnson and his age / edited by James Engell.</t>
        </is>
      </c>
      <c r="H1101" t="inlineStr">
        <is>
          <t>No</t>
        </is>
      </c>
      <c r="I1101" t="inlineStr">
        <is>
          <t>1</t>
        </is>
      </c>
      <c r="J1101" t="inlineStr">
        <is>
          <t>No</t>
        </is>
      </c>
      <c r="K1101" t="inlineStr">
        <is>
          <t>No</t>
        </is>
      </c>
      <c r="L1101" t="inlineStr">
        <is>
          <t>0</t>
        </is>
      </c>
      <c r="N1101" t="inlineStr">
        <is>
          <t>Cambridge, Mass. : Harvard University Press, 1984.</t>
        </is>
      </c>
      <c r="O1101" t="inlineStr">
        <is>
          <t>1984</t>
        </is>
      </c>
      <c r="Q1101" t="inlineStr">
        <is>
          <t>eng</t>
        </is>
      </c>
      <c r="R1101" t="inlineStr">
        <is>
          <t>mau</t>
        </is>
      </c>
      <c r="S1101" t="inlineStr">
        <is>
          <t>Harvard English studies ; 12</t>
        </is>
      </c>
      <c r="T1101" t="inlineStr">
        <is>
          <t xml:space="preserve">PR </t>
        </is>
      </c>
      <c r="U1101" t="n">
        <v>4</v>
      </c>
      <c r="V1101" t="n">
        <v>4</v>
      </c>
      <c r="W1101" t="inlineStr">
        <is>
          <t>1997-11-03</t>
        </is>
      </c>
      <c r="X1101" t="inlineStr">
        <is>
          <t>1997-11-03</t>
        </is>
      </c>
      <c r="Y1101" t="inlineStr">
        <is>
          <t>1990-02-05</t>
        </is>
      </c>
      <c r="Z1101" t="inlineStr">
        <is>
          <t>1990-02-05</t>
        </is>
      </c>
      <c r="AA1101" t="n">
        <v>657</v>
      </c>
      <c r="AB1101" t="n">
        <v>526</v>
      </c>
      <c r="AC1101" t="n">
        <v>532</v>
      </c>
      <c r="AD1101" t="n">
        <v>6</v>
      </c>
      <c r="AE1101" t="n">
        <v>6</v>
      </c>
      <c r="AF1101" t="n">
        <v>30</v>
      </c>
      <c r="AG1101" t="n">
        <v>30</v>
      </c>
      <c r="AH1101" t="n">
        <v>13</v>
      </c>
      <c r="AI1101" t="n">
        <v>13</v>
      </c>
      <c r="AJ1101" t="n">
        <v>5</v>
      </c>
      <c r="AK1101" t="n">
        <v>5</v>
      </c>
      <c r="AL1101" t="n">
        <v>16</v>
      </c>
      <c r="AM1101" t="n">
        <v>16</v>
      </c>
      <c r="AN1101" t="n">
        <v>5</v>
      </c>
      <c r="AO1101" t="n">
        <v>5</v>
      </c>
      <c r="AP1101" t="n">
        <v>0</v>
      </c>
      <c r="AQ1101" t="n">
        <v>0</v>
      </c>
      <c r="AR1101" t="inlineStr">
        <is>
          <t>No</t>
        </is>
      </c>
      <c r="AS1101" t="inlineStr">
        <is>
          <t>No</t>
        </is>
      </c>
      <c r="AU1101">
        <f>HYPERLINK("https://creighton-primo.hosted.exlibrisgroup.com/primo-explore/search?tab=default_tab&amp;search_scope=EVERYTHING&amp;vid=01CRU&amp;lang=en_US&amp;offset=0&amp;query=any,contains,991000433349702656","Catalog Record")</f>
        <v/>
      </c>
      <c r="AV1101">
        <f>HYPERLINK("http://www.worldcat.org/oclc/10780349","WorldCat Record")</f>
        <v/>
      </c>
      <c r="AW1101" t="inlineStr">
        <is>
          <t>2681181:eng</t>
        </is>
      </c>
      <c r="AX1101" t="inlineStr">
        <is>
          <t>10780349</t>
        </is>
      </c>
      <c r="AY1101" t="inlineStr">
        <is>
          <t>991000433349702656</t>
        </is>
      </c>
      <c r="AZ1101" t="inlineStr">
        <is>
          <t>991000433349702656</t>
        </is>
      </c>
      <c r="BA1101" t="inlineStr">
        <is>
          <t>2255159950002656</t>
        </is>
      </c>
      <c r="BB1101" t="inlineStr">
        <is>
          <t>BOOK</t>
        </is>
      </c>
      <c r="BD1101" t="inlineStr">
        <is>
          <t>9780674480766</t>
        </is>
      </c>
      <c r="BE1101" t="inlineStr">
        <is>
          <t>32285000006154</t>
        </is>
      </c>
      <c r="BF1101" t="inlineStr">
        <is>
          <t>893595542</t>
        </is>
      </c>
    </row>
    <row r="1102">
      <c r="A1102" t="inlineStr">
        <is>
          <t>No</t>
        </is>
      </c>
      <c r="B1102" t="inlineStr">
        <is>
          <t>CURAL</t>
        </is>
      </c>
      <c r="C1102" t="inlineStr">
        <is>
          <t>SHELVES</t>
        </is>
      </c>
      <c r="D1102" t="inlineStr">
        <is>
          <t>PR3534 .M3</t>
        </is>
      </c>
      <c r="E1102" t="inlineStr">
        <is>
          <t>0                      PR 3534000M  3</t>
        </is>
      </c>
      <c r="F1102" t="inlineStr">
        <is>
          <t>The choice of life : Samuel Johnson and the world of fiction.</t>
        </is>
      </c>
      <c r="H1102" t="inlineStr">
        <is>
          <t>No</t>
        </is>
      </c>
      <c r="I1102" t="inlineStr">
        <is>
          <t>1</t>
        </is>
      </c>
      <c r="J1102" t="inlineStr">
        <is>
          <t>No</t>
        </is>
      </c>
      <c r="K1102" t="inlineStr">
        <is>
          <t>No</t>
        </is>
      </c>
      <c r="L1102" t="inlineStr">
        <is>
          <t>0</t>
        </is>
      </c>
      <c r="M1102" t="inlineStr">
        <is>
          <t>McIntosh, Carey.</t>
        </is>
      </c>
      <c r="N1102" t="inlineStr">
        <is>
          <t>New Haven : Yale University Press, 1973.</t>
        </is>
      </c>
      <c r="O1102" t="inlineStr">
        <is>
          <t>1973</t>
        </is>
      </c>
      <c r="Q1102" t="inlineStr">
        <is>
          <t>eng</t>
        </is>
      </c>
      <c r="R1102" t="inlineStr">
        <is>
          <t>ctu</t>
        </is>
      </c>
      <c r="T1102" t="inlineStr">
        <is>
          <t xml:space="preserve">PR </t>
        </is>
      </c>
      <c r="U1102" t="n">
        <v>3</v>
      </c>
      <c r="V1102" t="n">
        <v>3</v>
      </c>
      <c r="W1102" t="inlineStr">
        <is>
          <t>2000-10-23</t>
        </is>
      </c>
      <c r="X1102" t="inlineStr">
        <is>
          <t>2000-10-23</t>
        </is>
      </c>
      <c r="Y1102" t="inlineStr">
        <is>
          <t>1995-05-04</t>
        </is>
      </c>
      <c r="Z1102" t="inlineStr">
        <is>
          <t>1995-05-04</t>
        </is>
      </c>
      <c r="AA1102" t="n">
        <v>650</v>
      </c>
      <c r="AB1102" t="n">
        <v>515</v>
      </c>
      <c r="AC1102" t="n">
        <v>517</v>
      </c>
      <c r="AD1102" t="n">
        <v>4</v>
      </c>
      <c r="AE1102" t="n">
        <v>4</v>
      </c>
      <c r="AF1102" t="n">
        <v>28</v>
      </c>
      <c r="AG1102" t="n">
        <v>28</v>
      </c>
      <c r="AH1102" t="n">
        <v>9</v>
      </c>
      <c r="AI1102" t="n">
        <v>9</v>
      </c>
      <c r="AJ1102" t="n">
        <v>9</v>
      </c>
      <c r="AK1102" t="n">
        <v>9</v>
      </c>
      <c r="AL1102" t="n">
        <v>14</v>
      </c>
      <c r="AM1102" t="n">
        <v>14</v>
      </c>
      <c r="AN1102" t="n">
        <v>3</v>
      </c>
      <c r="AO1102" t="n">
        <v>3</v>
      </c>
      <c r="AP1102" t="n">
        <v>0</v>
      </c>
      <c r="AQ1102" t="n">
        <v>0</v>
      </c>
      <c r="AR1102" t="inlineStr">
        <is>
          <t>No</t>
        </is>
      </c>
      <c r="AS1102" t="inlineStr">
        <is>
          <t>No</t>
        </is>
      </c>
      <c r="AU1102">
        <f>HYPERLINK("https://creighton-primo.hosted.exlibrisgroup.com/primo-explore/search?tab=default_tab&amp;search_scope=EVERYTHING&amp;vid=01CRU&amp;lang=en_US&amp;offset=0&amp;query=any,contains,991003215389702656","Catalog Record")</f>
        <v/>
      </c>
      <c r="AV1102">
        <f>HYPERLINK("http://www.worldcat.org/oclc/741145","WorldCat Record")</f>
        <v/>
      </c>
      <c r="AW1102" t="inlineStr">
        <is>
          <t>889856627:eng</t>
        </is>
      </c>
      <c r="AX1102" t="inlineStr">
        <is>
          <t>741145</t>
        </is>
      </c>
      <c r="AY1102" t="inlineStr">
        <is>
          <t>991003215389702656</t>
        </is>
      </c>
      <c r="AZ1102" t="inlineStr">
        <is>
          <t>991003215389702656</t>
        </is>
      </c>
      <c r="BA1102" t="inlineStr">
        <is>
          <t>2270965940002656</t>
        </is>
      </c>
      <c r="BB1102" t="inlineStr">
        <is>
          <t>BOOK</t>
        </is>
      </c>
      <c r="BD1102" t="inlineStr">
        <is>
          <t>9780300015713</t>
        </is>
      </c>
      <c r="BE1102" t="inlineStr">
        <is>
          <t>32285002031895</t>
        </is>
      </c>
      <c r="BF1102" t="inlineStr">
        <is>
          <t>893880929</t>
        </is>
      </c>
    </row>
    <row r="1103">
      <c r="A1103" t="inlineStr">
        <is>
          <t>No</t>
        </is>
      </c>
      <c r="B1103" t="inlineStr">
        <is>
          <t>CURAL</t>
        </is>
      </c>
      <c r="C1103" t="inlineStr">
        <is>
          <t>SHELVES</t>
        </is>
      </c>
      <c r="D1103" t="inlineStr">
        <is>
          <t>PR3534 .S3 1984</t>
        </is>
      </c>
      <c r="E1103" t="inlineStr">
        <is>
          <t>0                      PR 3534000S  3           1984</t>
        </is>
      </c>
      <c r="F1103" t="inlineStr">
        <is>
          <t>Samuel Johnson, new critical essays / edited by Isobel Grundy.</t>
        </is>
      </c>
      <c r="H1103" t="inlineStr">
        <is>
          <t>No</t>
        </is>
      </c>
      <c r="I1103" t="inlineStr">
        <is>
          <t>1</t>
        </is>
      </c>
      <c r="J1103" t="inlineStr">
        <is>
          <t>No</t>
        </is>
      </c>
      <c r="K1103" t="inlineStr">
        <is>
          <t>No</t>
        </is>
      </c>
      <c r="L1103" t="inlineStr">
        <is>
          <t>0</t>
        </is>
      </c>
      <c r="N1103" t="inlineStr">
        <is>
          <t>Totowa, N.J. : Barnes &amp; Noble, 1984.</t>
        </is>
      </c>
      <c r="O1103" t="inlineStr">
        <is>
          <t>1984</t>
        </is>
      </c>
      <c r="Q1103" t="inlineStr">
        <is>
          <t>eng</t>
        </is>
      </c>
      <c r="R1103" t="inlineStr">
        <is>
          <t>nju</t>
        </is>
      </c>
      <c r="T1103" t="inlineStr">
        <is>
          <t xml:space="preserve">PR </t>
        </is>
      </c>
      <c r="U1103" t="n">
        <v>2</v>
      </c>
      <c r="V1103" t="n">
        <v>2</v>
      </c>
      <c r="W1103" t="inlineStr">
        <is>
          <t>1995-11-16</t>
        </is>
      </c>
      <c r="X1103" t="inlineStr">
        <is>
          <t>1995-11-16</t>
        </is>
      </c>
      <c r="Y1103" t="inlineStr">
        <is>
          <t>1991-04-29</t>
        </is>
      </c>
      <c r="Z1103" t="inlineStr">
        <is>
          <t>1991-04-29</t>
        </is>
      </c>
      <c r="AA1103" t="n">
        <v>655</v>
      </c>
      <c r="AB1103" t="n">
        <v>529</v>
      </c>
      <c r="AC1103" t="n">
        <v>540</v>
      </c>
      <c r="AD1103" t="n">
        <v>5</v>
      </c>
      <c r="AE1103" t="n">
        <v>5</v>
      </c>
      <c r="AF1103" t="n">
        <v>34</v>
      </c>
      <c r="AG1103" t="n">
        <v>34</v>
      </c>
      <c r="AH1103" t="n">
        <v>14</v>
      </c>
      <c r="AI1103" t="n">
        <v>14</v>
      </c>
      <c r="AJ1103" t="n">
        <v>8</v>
      </c>
      <c r="AK1103" t="n">
        <v>8</v>
      </c>
      <c r="AL1103" t="n">
        <v>19</v>
      </c>
      <c r="AM1103" t="n">
        <v>19</v>
      </c>
      <c r="AN1103" t="n">
        <v>4</v>
      </c>
      <c r="AO1103" t="n">
        <v>4</v>
      </c>
      <c r="AP1103" t="n">
        <v>0</v>
      </c>
      <c r="AQ1103" t="n">
        <v>0</v>
      </c>
      <c r="AR1103" t="inlineStr">
        <is>
          <t>No</t>
        </is>
      </c>
      <c r="AS1103" t="inlineStr">
        <is>
          <t>Yes</t>
        </is>
      </c>
      <c r="AT1103">
        <f>HYPERLINK("http://catalog.hathitrust.org/Record/000337164","HathiTrust Record")</f>
        <v/>
      </c>
      <c r="AU1103">
        <f>HYPERLINK("https://creighton-primo.hosted.exlibrisgroup.com/primo-explore/search?tab=default_tab&amp;search_scope=EVERYTHING&amp;vid=01CRU&amp;lang=en_US&amp;offset=0&amp;query=any,contains,991000483789702656","Catalog Record")</f>
        <v/>
      </c>
      <c r="AV1103">
        <f>HYPERLINK("http://www.worldcat.org/oclc/11067545","WorldCat Record")</f>
        <v/>
      </c>
      <c r="AW1103" t="inlineStr">
        <is>
          <t>836674920:eng</t>
        </is>
      </c>
      <c r="AX1103" t="inlineStr">
        <is>
          <t>11067545</t>
        </is>
      </c>
      <c r="AY1103" t="inlineStr">
        <is>
          <t>991000483789702656</t>
        </is>
      </c>
      <c r="AZ1103" t="inlineStr">
        <is>
          <t>991000483789702656</t>
        </is>
      </c>
      <c r="BA1103" t="inlineStr">
        <is>
          <t>2260935690002656</t>
        </is>
      </c>
      <c r="BB1103" t="inlineStr">
        <is>
          <t>BOOK</t>
        </is>
      </c>
      <c r="BD1103" t="inlineStr">
        <is>
          <t>9780389205340</t>
        </is>
      </c>
      <c r="BE1103" t="inlineStr">
        <is>
          <t>32285000588441</t>
        </is>
      </c>
      <c r="BF1103" t="inlineStr">
        <is>
          <t>893865385</t>
        </is>
      </c>
    </row>
    <row r="1104">
      <c r="A1104" t="inlineStr">
        <is>
          <t>No</t>
        </is>
      </c>
      <c r="B1104" t="inlineStr">
        <is>
          <t>CURAL</t>
        </is>
      </c>
      <c r="C1104" t="inlineStr">
        <is>
          <t>SHELVES</t>
        </is>
      </c>
      <c r="D1104" t="inlineStr">
        <is>
          <t>PR3534 .T659 1994</t>
        </is>
      </c>
      <c r="E1104" t="inlineStr">
        <is>
          <t>0                      PR 3534000T  659         1994</t>
        </is>
      </c>
      <c r="F1104" t="inlineStr">
        <is>
          <t>A history of the commentary on selected writings of Samuel Johnson / Edward Tomarken.</t>
        </is>
      </c>
      <c r="H1104" t="inlineStr">
        <is>
          <t>No</t>
        </is>
      </c>
      <c r="I1104" t="inlineStr">
        <is>
          <t>1</t>
        </is>
      </c>
      <c r="J1104" t="inlineStr">
        <is>
          <t>No</t>
        </is>
      </c>
      <c r="K1104" t="inlineStr">
        <is>
          <t>No</t>
        </is>
      </c>
      <c r="L1104" t="inlineStr">
        <is>
          <t>0</t>
        </is>
      </c>
      <c r="M1104" t="inlineStr">
        <is>
          <t>Tomarken, Edward, 1938-</t>
        </is>
      </c>
      <c r="N1104" t="inlineStr">
        <is>
          <t>Columbia, SC, USA : Camden House, c1994.</t>
        </is>
      </c>
      <c r="O1104" t="inlineStr">
        <is>
          <t>1994</t>
        </is>
      </c>
      <c r="P1104" t="inlineStr">
        <is>
          <t>1st ed.</t>
        </is>
      </c>
      <c r="Q1104" t="inlineStr">
        <is>
          <t>eng</t>
        </is>
      </c>
      <c r="R1104" t="inlineStr">
        <is>
          <t>scu</t>
        </is>
      </c>
      <c r="S1104" t="inlineStr">
        <is>
          <t>Studies in English and American literature, linguistics, and culture. Literary criticism in perspective</t>
        </is>
      </c>
      <c r="T1104" t="inlineStr">
        <is>
          <t xml:space="preserve">PR </t>
        </is>
      </c>
      <c r="U1104" t="n">
        <v>1</v>
      </c>
      <c r="V1104" t="n">
        <v>1</v>
      </c>
      <c r="W1104" t="inlineStr">
        <is>
          <t>2005-03-03</t>
        </is>
      </c>
      <c r="X1104" t="inlineStr">
        <is>
          <t>2005-03-03</t>
        </is>
      </c>
      <c r="Y1104" t="inlineStr">
        <is>
          <t>2005-03-03</t>
        </is>
      </c>
      <c r="Z1104" t="inlineStr">
        <is>
          <t>2005-03-03</t>
        </is>
      </c>
      <c r="AA1104" t="n">
        <v>168</v>
      </c>
      <c r="AB1104" t="n">
        <v>140</v>
      </c>
      <c r="AC1104" t="n">
        <v>140</v>
      </c>
      <c r="AD1104" t="n">
        <v>2</v>
      </c>
      <c r="AE1104" t="n">
        <v>2</v>
      </c>
      <c r="AF1104" t="n">
        <v>8</v>
      </c>
      <c r="AG1104" t="n">
        <v>8</v>
      </c>
      <c r="AH1104" t="n">
        <v>3</v>
      </c>
      <c r="AI1104" t="n">
        <v>3</v>
      </c>
      <c r="AJ1104" t="n">
        <v>2</v>
      </c>
      <c r="AK1104" t="n">
        <v>2</v>
      </c>
      <c r="AL1104" t="n">
        <v>6</v>
      </c>
      <c r="AM1104" t="n">
        <v>6</v>
      </c>
      <c r="AN1104" t="n">
        <v>1</v>
      </c>
      <c r="AO1104" t="n">
        <v>1</v>
      </c>
      <c r="AP1104" t="n">
        <v>0</v>
      </c>
      <c r="AQ1104" t="n">
        <v>0</v>
      </c>
      <c r="AR1104" t="inlineStr">
        <is>
          <t>No</t>
        </is>
      </c>
      <c r="AS1104" t="inlineStr">
        <is>
          <t>No</t>
        </is>
      </c>
      <c r="AU1104">
        <f>HYPERLINK("https://creighton-primo.hosted.exlibrisgroup.com/primo-explore/search?tab=default_tab&amp;search_scope=EVERYTHING&amp;vid=01CRU&amp;lang=en_US&amp;offset=0&amp;query=any,contains,991004491709702656","Catalog Record")</f>
        <v/>
      </c>
      <c r="AV1104">
        <f>HYPERLINK("http://www.worldcat.org/oclc/29845022","WorldCat Record")</f>
        <v/>
      </c>
      <c r="AW1104" t="inlineStr">
        <is>
          <t>354239014:eng</t>
        </is>
      </c>
      <c r="AX1104" t="inlineStr">
        <is>
          <t>29845022</t>
        </is>
      </c>
      <c r="AY1104" t="inlineStr">
        <is>
          <t>991004491709702656</t>
        </is>
      </c>
      <c r="AZ1104" t="inlineStr">
        <is>
          <t>991004491709702656</t>
        </is>
      </c>
      <c r="BA1104" t="inlineStr">
        <is>
          <t>2262915480002656</t>
        </is>
      </c>
      <c r="BB1104" t="inlineStr">
        <is>
          <t>BOOK</t>
        </is>
      </c>
      <c r="BD1104" t="inlineStr">
        <is>
          <t>9781879751941</t>
        </is>
      </c>
      <c r="BE1104" t="inlineStr">
        <is>
          <t>32285005029276</t>
        </is>
      </c>
      <c r="BF1104" t="inlineStr">
        <is>
          <t>893882524</t>
        </is>
      </c>
    </row>
    <row r="1105">
      <c r="A1105" t="inlineStr">
        <is>
          <t>No</t>
        </is>
      </c>
      <c r="B1105" t="inlineStr">
        <is>
          <t>CURAL</t>
        </is>
      </c>
      <c r="C1105" t="inlineStr">
        <is>
          <t>SHELVES</t>
        </is>
      </c>
      <c r="D1105" t="inlineStr">
        <is>
          <t>PR3537.C7 H3</t>
        </is>
      </c>
      <c r="E1105" t="inlineStr">
        <is>
          <t>0                      PR 3537000C  7                  H  3</t>
        </is>
      </c>
      <c r="F1105" t="inlineStr">
        <is>
          <t>Samuel Johnson's literary criticism.</t>
        </is>
      </c>
      <c r="H1105" t="inlineStr">
        <is>
          <t>No</t>
        </is>
      </c>
      <c r="I1105" t="inlineStr">
        <is>
          <t>1</t>
        </is>
      </c>
      <c r="J1105" t="inlineStr">
        <is>
          <t>No</t>
        </is>
      </c>
      <c r="K1105" t="inlineStr">
        <is>
          <t>No</t>
        </is>
      </c>
      <c r="L1105" t="inlineStr">
        <is>
          <t>0</t>
        </is>
      </c>
      <c r="M1105" t="inlineStr">
        <is>
          <t>Hagstrum, Jean H.</t>
        </is>
      </c>
      <c r="N1105" t="inlineStr">
        <is>
          <t>Minneapolis, University of Minnesota Press [1952]</t>
        </is>
      </c>
      <c r="O1105" t="inlineStr">
        <is>
          <t>1952</t>
        </is>
      </c>
      <c r="Q1105" t="inlineStr">
        <is>
          <t>eng</t>
        </is>
      </c>
      <c r="R1105" t="inlineStr">
        <is>
          <t xml:space="preserve">xx </t>
        </is>
      </c>
      <c r="T1105" t="inlineStr">
        <is>
          <t xml:space="preserve">PR </t>
        </is>
      </c>
      <c r="U1105" t="n">
        <v>8</v>
      </c>
      <c r="V1105" t="n">
        <v>8</v>
      </c>
      <c r="W1105" t="inlineStr">
        <is>
          <t>2003-12-04</t>
        </is>
      </c>
      <c r="X1105" t="inlineStr">
        <is>
          <t>2003-12-04</t>
        </is>
      </c>
      <c r="Y1105" t="inlineStr">
        <is>
          <t>1997-07-24</t>
        </is>
      </c>
      <c r="Z1105" t="inlineStr">
        <is>
          <t>1997-07-24</t>
        </is>
      </c>
      <c r="AA1105" t="n">
        <v>689</v>
      </c>
      <c r="AB1105" t="n">
        <v>605</v>
      </c>
      <c r="AC1105" t="n">
        <v>1019</v>
      </c>
      <c r="AD1105" t="n">
        <v>7</v>
      </c>
      <c r="AE1105" t="n">
        <v>10</v>
      </c>
      <c r="AF1105" t="n">
        <v>43</v>
      </c>
      <c r="AG1105" t="n">
        <v>54</v>
      </c>
      <c r="AH1105" t="n">
        <v>16</v>
      </c>
      <c r="AI1105" t="n">
        <v>23</v>
      </c>
      <c r="AJ1105" t="n">
        <v>11</v>
      </c>
      <c r="AK1105" t="n">
        <v>11</v>
      </c>
      <c r="AL1105" t="n">
        <v>21</v>
      </c>
      <c r="AM1105" t="n">
        <v>24</v>
      </c>
      <c r="AN1105" t="n">
        <v>5</v>
      </c>
      <c r="AO1105" t="n">
        <v>7</v>
      </c>
      <c r="AP1105" t="n">
        <v>0</v>
      </c>
      <c r="AQ1105" t="n">
        <v>0</v>
      </c>
      <c r="AR1105" t="inlineStr">
        <is>
          <t>No</t>
        </is>
      </c>
      <c r="AS1105" t="inlineStr">
        <is>
          <t>Yes</t>
        </is>
      </c>
      <c r="AT1105">
        <f>HYPERLINK("http://catalog.hathitrust.org/Record/000484077","HathiTrust Record")</f>
        <v/>
      </c>
      <c r="AU1105">
        <f>HYPERLINK("https://creighton-primo.hosted.exlibrisgroup.com/primo-explore/search?tab=default_tab&amp;search_scope=EVERYTHING&amp;vid=01CRU&amp;lang=en_US&amp;offset=0&amp;query=any,contains,991003053999702656","Catalog Record")</f>
        <v/>
      </c>
      <c r="AV1105">
        <f>HYPERLINK("http://www.worldcat.org/oclc/613147","WorldCat Record")</f>
        <v/>
      </c>
      <c r="AW1105" t="inlineStr">
        <is>
          <t>418493:eng</t>
        </is>
      </c>
      <c r="AX1105" t="inlineStr">
        <is>
          <t>613147</t>
        </is>
      </c>
      <c r="AY1105" t="inlineStr">
        <is>
          <t>991003053999702656</t>
        </is>
      </c>
      <c r="AZ1105" t="inlineStr">
        <is>
          <t>991003053999702656</t>
        </is>
      </c>
      <c r="BA1105" t="inlineStr">
        <is>
          <t>2268363360002656</t>
        </is>
      </c>
      <c r="BB1105" t="inlineStr">
        <is>
          <t>BOOK</t>
        </is>
      </c>
      <c r="BE1105" t="inlineStr">
        <is>
          <t>32285002956745</t>
        </is>
      </c>
      <c r="BF1105" t="inlineStr">
        <is>
          <t>893868060</t>
        </is>
      </c>
    </row>
    <row r="1106">
      <c r="A1106" t="inlineStr">
        <is>
          <t>No</t>
        </is>
      </c>
      <c r="B1106" t="inlineStr">
        <is>
          <t>CURAL</t>
        </is>
      </c>
      <c r="C1106" t="inlineStr">
        <is>
          <t>SHELVES</t>
        </is>
      </c>
      <c r="D1106" t="inlineStr">
        <is>
          <t>PR3537.E8 G78 1986</t>
        </is>
      </c>
      <c r="E1106" t="inlineStr">
        <is>
          <t>0                      PR 3537000E  8                  G  78          1986</t>
        </is>
      </c>
      <c r="F1106" t="inlineStr">
        <is>
          <t>Samuel Johnson and the scale of greatness / Isobel Grundy.</t>
        </is>
      </c>
      <c r="H1106" t="inlineStr">
        <is>
          <t>No</t>
        </is>
      </c>
      <c r="I1106" t="inlineStr">
        <is>
          <t>1</t>
        </is>
      </c>
      <c r="J1106" t="inlineStr">
        <is>
          <t>No</t>
        </is>
      </c>
      <c r="K1106" t="inlineStr">
        <is>
          <t>No</t>
        </is>
      </c>
      <c r="L1106" t="inlineStr">
        <is>
          <t>0</t>
        </is>
      </c>
      <c r="M1106" t="inlineStr">
        <is>
          <t>Grundy, Isobel.</t>
        </is>
      </c>
      <c r="N1106" t="inlineStr">
        <is>
          <t>Athens : University of Georgia Press, c1986.</t>
        </is>
      </c>
      <c r="O1106" t="inlineStr">
        <is>
          <t>1986</t>
        </is>
      </c>
      <c r="Q1106" t="inlineStr">
        <is>
          <t>eng</t>
        </is>
      </c>
      <c r="R1106" t="inlineStr">
        <is>
          <t>gau</t>
        </is>
      </c>
      <c r="T1106" t="inlineStr">
        <is>
          <t xml:space="preserve">PR </t>
        </is>
      </c>
      <c r="U1106" t="n">
        <v>2</v>
      </c>
      <c r="V1106" t="n">
        <v>2</v>
      </c>
      <c r="W1106" t="inlineStr">
        <is>
          <t>1995-11-16</t>
        </is>
      </c>
      <c r="X1106" t="inlineStr">
        <is>
          <t>1995-11-16</t>
        </is>
      </c>
      <c r="Y1106" t="inlineStr">
        <is>
          <t>1991-04-29</t>
        </is>
      </c>
      <c r="Z1106" t="inlineStr">
        <is>
          <t>1991-04-29</t>
        </is>
      </c>
      <c r="AA1106" t="n">
        <v>370</v>
      </c>
      <c r="AB1106" t="n">
        <v>340</v>
      </c>
      <c r="AC1106" t="n">
        <v>418</v>
      </c>
      <c r="AD1106" t="n">
        <v>2</v>
      </c>
      <c r="AE1106" t="n">
        <v>3</v>
      </c>
      <c r="AF1106" t="n">
        <v>22</v>
      </c>
      <c r="AG1106" t="n">
        <v>25</v>
      </c>
      <c r="AH1106" t="n">
        <v>11</v>
      </c>
      <c r="AI1106" t="n">
        <v>11</v>
      </c>
      <c r="AJ1106" t="n">
        <v>4</v>
      </c>
      <c r="AK1106" t="n">
        <v>5</v>
      </c>
      <c r="AL1106" t="n">
        <v>13</v>
      </c>
      <c r="AM1106" t="n">
        <v>15</v>
      </c>
      <c r="AN1106" t="n">
        <v>1</v>
      </c>
      <c r="AO1106" t="n">
        <v>2</v>
      </c>
      <c r="AP1106" t="n">
        <v>0</v>
      </c>
      <c r="AQ1106" t="n">
        <v>0</v>
      </c>
      <c r="AR1106" t="inlineStr">
        <is>
          <t>No</t>
        </is>
      </c>
      <c r="AS1106" t="inlineStr">
        <is>
          <t>No</t>
        </is>
      </c>
      <c r="AU1106">
        <f>HYPERLINK("https://creighton-primo.hosted.exlibrisgroup.com/primo-explore/search?tab=default_tab&amp;search_scope=EVERYTHING&amp;vid=01CRU&amp;lang=en_US&amp;offset=0&amp;query=any,contains,991000804439702656","Catalog Record")</f>
        <v/>
      </c>
      <c r="AV1106">
        <f>HYPERLINK("http://www.worldcat.org/oclc/13270595","WorldCat Record")</f>
        <v/>
      </c>
      <c r="AW1106" t="inlineStr">
        <is>
          <t>7056831:eng</t>
        </is>
      </c>
      <c r="AX1106" t="inlineStr">
        <is>
          <t>13270595</t>
        </is>
      </c>
      <c r="AY1106" t="inlineStr">
        <is>
          <t>991000804439702656</t>
        </is>
      </c>
      <c r="AZ1106" t="inlineStr">
        <is>
          <t>991000804439702656</t>
        </is>
      </c>
      <c r="BA1106" t="inlineStr">
        <is>
          <t>2271798400002656</t>
        </is>
      </c>
      <c r="BB1106" t="inlineStr">
        <is>
          <t>BOOK</t>
        </is>
      </c>
      <c r="BD1106" t="inlineStr">
        <is>
          <t>9780820308678</t>
        </is>
      </c>
      <c r="BE1106" t="inlineStr">
        <is>
          <t>32285000588482</t>
        </is>
      </c>
      <c r="BF1106" t="inlineStr">
        <is>
          <t>893778258</t>
        </is>
      </c>
    </row>
    <row r="1107">
      <c r="A1107" t="inlineStr">
        <is>
          <t>No</t>
        </is>
      </c>
      <c r="B1107" t="inlineStr">
        <is>
          <t>CURAL</t>
        </is>
      </c>
      <c r="C1107" t="inlineStr">
        <is>
          <t>SHELVES</t>
        </is>
      </c>
      <c r="D1107" t="inlineStr">
        <is>
          <t>PR3537.H64 W45 1984</t>
        </is>
      </c>
      <c r="E1107" t="inlineStr">
        <is>
          <t>0                      PR 3537000H  64                 W  45          1984</t>
        </is>
      </c>
      <c r="F1107" t="inlineStr">
        <is>
          <t>Samuel Johnson and the theme of hope / T.F. Wharton.</t>
        </is>
      </c>
      <c r="H1107" t="inlineStr">
        <is>
          <t>No</t>
        </is>
      </c>
      <c r="I1107" t="inlineStr">
        <is>
          <t>1</t>
        </is>
      </c>
      <c r="J1107" t="inlineStr">
        <is>
          <t>No</t>
        </is>
      </c>
      <c r="K1107" t="inlineStr">
        <is>
          <t>No</t>
        </is>
      </c>
      <c r="L1107" t="inlineStr">
        <is>
          <t>0</t>
        </is>
      </c>
      <c r="M1107" t="inlineStr">
        <is>
          <t>Wharton, T. F.</t>
        </is>
      </c>
      <c r="N1107" t="inlineStr">
        <is>
          <t>New York : St. Martin's Press, 1984.</t>
        </is>
      </c>
      <c r="O1107" t="inlineStr">
        <is>
          <t>1984</t>
        </is>
      </c>
      <c r="Q1107" t="inlineStr">
        <is>
          <t>eng</t>
        </is>
      </c>
      <c r="R1107" t="inlineStr">
        <is>
          <t>nyu</t>
        </is>
      </c>
      <c r="T1107" t="inlineStr">
        <is>
          <t xml:space="preserve">PR </t>
        </is>
      </c>
      <c r="U1107" t="n">
        <v>1</v>
      </c>
      <c r="V1107" t="n">
        <v>1</v>
      </c>
      <c r="W1107" t="inlineStr">
        <is>
          <t>2005-03-03</t>
        </is>
      </c>
      <c r="X1107" t="inlineStr">
        <is>
          <t>2005-03-03</t>
        </is>
      </c>
      <c r="Y1107" t="inlineStr">
        <is>
          <t>2005-03-03</t>
        </is>
      </c>
      <c r="Z1107" t="inlineStr">
        <is>
          <t>2005-03-03</t>
        </is>
      </c>
      <c r="AA1107" t="n">
        <v>226</v>
      </c>
      <c r="AB1107" t="n">
        <v>203</v>
      </c>
      <c r="AC1107" t="n">
        <v>267</v>
      </c>
      <c r="AD1107" t="n">
        <v>2</v>
      </c>
      <c r="AE1107" t="n">
        <v>4</v>
      </c>
      <c r="AF1107" t="n">
        <v>15</v>
      </c>
      <c r="AG1107" t="n">
        <v>17</v>
      </c>
      <c r="AH1107" t="n">
        <v>7</v>
      </c>
      <c r="AI1107" t="n">
        <v>7</v>
      </c>
      <c r="AJ1107" t="n">
        <v>3</v>
      </c>
      <c r="AK1107" t="n">
        <v>3</v>
      </c>
      <c r="AL1107" t="n">
        <v>10</v>
      </c>
      <c r="AM1107" t="n">
        <v>10</v>
      </c>
      <c r="AN1107" t="n">
        <v>1</v>
      </c>
      <c r="AO1107" t="n">
        <v>3</v>
      </c>
      <c r="AP1107" t="n">
        <v>0</v>
      </c>
      <c r="AQ1107" t="n">
        <v>0</v>
      </c>
      <c r="AR1107" t="inlineStr">
        <is>
          <t>No</t>
        </is>
      </c>
      <c r="AS1107" t="inlineStr">
        <is>
          <t>No</t>
        </is>
      </c>
      <c r="AU1107">
        <f>HYPERLINK("https://creighton-primo.hosted.exlibrisgroup.com/primo-explore/search?tab=default_tab&amp;search_scope=EVERYTHING&amp;vid=01CRU&amp;lang=en_US&amp;offset=0&amp;query=any,contains,991004491729702656","Catalog Record")</f>
        <v/>
      </c>
      <c r="AV1107">
        <f>HYPERLINK("http://www.worldcat.org/oclc/9197754","WorldCat Record")</f>
        <v/>
      </c>
      <c r="AW1107" t="inlineStr">
        <is>
          <t>2916924:eng</t>
        </is>
      </c>
      <c r="AX1107" t="inlineStr">
        <is>
          <t>9197754</t>
        </is>
      </c>
      <c r="AY1107" t="inlineStr">
        <is>
          <t>991004491729702656</t>
        </is>
      </c>
      <c r="AZ1107" t="inlineStr">
        <is>
          <t>991004491729702656</t>
        </is>
      </c>
      <c r="BA1107" t="inlineStr">
        <is>
          <t>2265790360002656</t>
        </is>
      </c>
      <c r="BB1107" t="inlineStr">
        <is>
          <t>BOOK</t>
        </is>
      </c>
      <c r="BD1107" t="inlineStr">
        <is>
          <t>9780312698614</t>
        </is>
      </c>
      <c r="BE1107" t="inlineStr">
        <is>
          <t>32285005029300</t>
        </is>
      </c>
      <c r="BF1107" t="inlineStr">
        <is>
          <t>893904889</t>
        </is>
      </c>
    </row>
    <row r="1108">
      <c r="A1108" t="inlineStr">
        <is>
          <t>No</t>
        </is>
      </c>
      <c r="B1108" t="inlineStr">
        <is>
          <t>CURAL</t>
        </is>
      </c>
      <c r="C1108" t="inlineStr">
        <is>
          <t>SHELVES</t>
        </is>
      </c>
      <c r="D1108" t="inlineStr">
        <is>
          <t>PR3537.L33 H67 1994</t>
        </is>
      </c>
      <c r="E1108" t="inlineStr">
        <is>
          <t>0                      PR 3537000L  33                 H  67          1994</t>
        </is>
      </c>
      <c r="F1108" t="inlineStr">
        <is>
          <t>Johnson on language : an introduction / A.D. Horgan.</t>
        </is>
      </c>
      <c r="H1108" t="inlineStr">
        <is>
          <t>No</t>
        </is>
      </c>
      <c r="I1108" t="inlineStr">
        <is>
          <t>1</t>
        </is>
      </c>
      <c r="J1108" t="inlineStr">
        <is>
          <t>No</t>
        </is>
      </c>
      <c r="K1108" t="inlineStr">
        <is>
          <t>No</t>
        </is>
      </c>
      <c r="L1108" t="inlineStr">
        <is>
          <t>0</t>
        </is>
      </c>
      <c r="M1108" t="inlineStr">
        <is>
          <t>Horgan, A. D.</t>
        </is>
      </c>
      <c r="N1108" t="inlineStr">
        <is>
          <t>Basingstoke : Macmillan, 1994.</t>
        </is>
      </c>
      <c r="O1108" t="inlineStr">
        <is>
          <t>1994</t>
        </is>
      </c>
      <c r="Q1108" t="inlineStr">
        <is>
          <t>eng</t>
        </is>
      </c>
      <c r="R1108" t="inlineStr">
        <is>
          <t>enk</t>
        </is>
      </c>
      <c r="T1108" t="inlineStr">
        <is>
          <t xml:space="preserve">PR </t>
        </is>
      </c>
      <c r="U1108" t="n">
        <v>1</v>
      </c>
      <c r="V1108" t="n">
        <v>1</v>
      </c>
      <c r="W1108" t="inlineStr">
        <is>
          <t>2004-10-14</t>
        </is>
      </c>
      <c r="X1108" t="inlineStr">
        <is>
          <t>2004-10-14</t>
        </is>
      </c>
      <c r="Y1108" t="inlineStr">
        <is>
          <t>2004-10-14</t>
        </is>
      </c>
      <c r="Z1108" t="inlineStr">
        <is>
          <t>2004-10-14</t>
        </is>
      </c>
      <c r="AA1108" t="n">
        <v>52</v>
      </c>
      <c r="AB1108" t="n">
        <v>12</v>
      </c>
      <c r="AC1108" t="n">
        <v>198</v>
      </c>
      <c r="AD1108" t="n">
        <v>1</v>
      </c>
      <c r="AE1108" t="n">
        <v>3</v>
      </c>
      <c r="AF1108" t="n">
        <v>1</v>
      </c>
      <c r="AG1108" t="n">
        <v>11</v>
      </c>
      <c r="AH1108" t="n">
        <v>1</v>
      </c>
      <c r="AI1108" t="n">
        <v>3</v>
      </c>
      <c r="AJ1108" t="n">
        <v>0</v>
      </c>
      <c r="AK1108" t="n">
        <v>3</v>
      </c>
      <c r="AL1108" t="n">
        <v>1</v>
      </c>
      <c r="AM1108" t="n">
        <v>7</v>
      </c>
      <c r="AN1108" t="n">
        <v>0</v>
      </c>
      <c r="AO1108" t="n">
        <v>2</v>
      </c>
      <c r="AP1108" t="n">
        <v>0</v>
      </c>
      <c r="AQ1108" t="n">
        <v>0</v>
      </c>
      <c r="AR1108" t="inlineStr">
        <is>
          <t>No</t>
        </is>
      </c>
      <c r="AS1108" t="inlineStr">
        <is>
          <t>No</t>
        </is>
      </c>
      <c r="AU1108">
        <f>HYPERLINK("https://creighton-primo.hosted.exlibrisgroup.com/primo-explore/search?tab=default_tab&amp;search_scope=EVERYTHING&amp;vid=01CRU&amp;lang=en_US&amp;offset=0&amp;query=any,contains,991004398719702656","Catalog Record")</f>
        <v/>
      </c>
      <c r="AV1108">
        <f>HYPERLINK("http://www.worldcat.org/oclc/31644215","WorldCat Record")</f>
        <v/>
      </c>
      <c r="AW1108" t="inlineStr">
        <is>
          <t>2679014:eng</t>
        </is>
      </c>
      <c r="AX1108" t="inlineStr">
        <is>
          <t>31644215</t>
        </is>
      </c>
      <c r="AY1108" t="inlineStr">
        <is>
          <t>991004398719702656</t>
        </is>
      </c>
      <c r="AZ1108" t="inlineStr">
        <is>
          <t>991004398719702656</t>
        </is>
      </c>
      <c r="BA1108" t="inlineStr">
        <is>
          <t>2269243120002656</t>
        </is>
      </c>
      <c r="BB1108" t="inlineStr">
        <is>
          <t>BOOK</t>
        </is>
      </c>
      <c r="BD1108" t="inlineStr">
        <is>
          <t>9780312121501</t>
        </is>
      </c>
      <c r="BE1108" t="inlineStr">
        <is>
          <t>32285005004576</t>
        </is>
      </c>
      <c r="BF1108" t="inlineStr">
        <is>
          <t>893775978</t>
        </is>
      </c>
    </row>
    <row r="1109">
      <c r="A1109" t="inlineStr">
        <is>
          <t>No</t>
        </is>
      </c>
      <c r="B1109" t="inlineStr">
        <is>
          <t>CURAL</t>
        </is>
      </c>
      <c r="C1109" t="inlineStr">
        <is>
          <t>SHELVES</t>
        </is>
      </c>
      <c r="D1109" t="inlineStr">
        <is>
          <t>PR3537.L5 E27 1979</t>
        </is>
      </c>
      <c r="E1109" t="inlineStr">
        <is>
          <t>0                      PR 3537000L  5                  E  27          1979</t>
        </is>
      </c>
      <c r="F1109" t="inlineStr">
        <is>
          <t>Samuel Johnson, book reviewer in the Literary magazine, or, Universal review, 1756-1758 / by Donald D. Eddy.</t>
        </is>
      </c>
      <c r="H1109" t="inlineStr">
        <is>
          <t>No</t>
        </is>
      </c>
      <c r="I1109" t="inlineStr">
        <is>
          <t>1</t>
        </is>
      </c>
      <c r="J1109" t="inlineStr">
        <is>
          <t>No</t>
        </is>
      </c>
      <c r="K1109" t="inlineStr">
        <is>
          <t>No</t>
        </is>
      </c>
      <c r="L1109" t="inlineStr">
        <is>
          <t>0</t>
        </is>
      </c>
      <c r="M1109" t="inlineStr">
        <is>
          <t>Eddy, Donald D. (Donald Davis), 1929-</t>
        </is>
      </c>
      <c r="N1109" t="inlineStr">
        <is>
          <t>New York : Garland Pub., 1979.</t>
        </is>
      </c>
      <c r="O1109" t="inlineStr">
        <is>
          <t>1979</t>
        </is>
      </c>
      <c r="Q1109" t="inlineStr">
        <is>
          <t>eng</t>
        </is>
      </c>
      <c r="R1109" t="inlineStr">
        <is>
          <t>nyu</t>
        </is>
      </c>
      <c r="T1109" t="inlineStr">
        <is>
          <t xml:space="preserve">PR </t>
        </is>
      </c>
      <c r="U1109" t="n">
        <v>1</v>
      </c>
      <c r="V1109" t="n">
        <v>1</v>
      </c>
      <c r="W1109" t="inlineStr">
        <is>
          <t>2004-10-14</t>
        </is>
      </c>
      <c r="X1109" t="inlineStr">
        <is>
          <t>2004-10-14</t>
        </is>
      </c>
      <c r="Y1109" t="inlineStr">
        <is>
          <t>2004-10-14</t>
        </is>
      </c>
      <c r="Z1109" t="inlineStr">
        <is>
          <t>2004-10-14</t>
        </is>
      </c>
      <c r="AA1109" t="n">
        <v>135</v>
      </c>
      <c r="AB1109" t="n">
        <v>99</v>
      </c>
      <c r="AC1109" t="n">
        <v>105</v>
      </c>
      <c r="AD1109" t="n">
        <v>2</v>
      </c>
      <c r="AE1109" t="n">
        <v>2</v>
      </c>
      <c r="AF1109" t="n">
        <v>2</v>
      </c>
      <c r="AG1109" t="n">
        <v>2</v>
      </c>
      <c r="AH1109" t="n">
        <v>0</v>
      </c>
      <c r="AI1109" t="n">
        <v>0</v>
      </c>
      <c r="AJ1109" t="n">
        <v>0</v>
      </c>
      <c r="AK1109" t="n">
        <v>0</v>
      </c>
      <c r="AL1109" t="n">
        <v>1</v>
      </c>
      <c r="AM1109" t="n">
        <v>1</v>
      </c>
      <c r="AN1109" t="n">
        <v>1</v>
      </c>
      <c r="AO1109" t="n">
        <v>1</v>
      </c>
      <c r="AP1109" t="n">
        <v>0</v>
      </c>
      <c r="AQ1109" t="n">
        <v>0</v>
      </c>
      <c r="AR1109" t="inlineStr">
        <is>
          <t>No</t>
        </is>
      </c>
      <c r="AS1109" t="inlineStr">
        <is>
          <t>No</t>
        </is>
      </c>
      <c r="AU1109">
        <f>HYPERLINK("https://creighton-primo.hosted.exlibrisgroup.com/primo-explore/search?tab=default_tab&amp;search_scope=EVERYTHING&amp;vid=01CRU&amp;lang=en_US&amp;offset=0&amp;query=any,contains,991004398799702656","Catalog Record")</f>
        <v/>
      </c>
      <c r="AV1109">
        <f>HYPERLINK("http://www.worldcat.org/oclc/5103300","WorldCat Record")</f>
        <v/>
      </c>
      <c r="AW1109" t="inlineStr">
        <is>
          <t>15269227:eng</t>
        </is>
      </c>
      <c r="AX1109" t="inlineStr">
        <is>
          <t>5103300</t>
        </is>
      </c>
      <c r="AY1109" t="inlineStr">
        <is>
          <t>991004398799702656</t>
        </is>
      </c>
      <c r="AZ1109" t="inlineStr">
        <is>
          <t>991004398799702656</t>
        </is>
      </c>
      <c r="BA1109" t="inlineStr">
        <is>
          <t>2270806850002656</t>
        </is>
      </c>
      <c r="BB1109" t="inlineStr">
        <is>
          <t>BOOK</t>
        </is>
      </c>
      <c r="BD1109" t="inlineStr">
        <is>
          <t>9780824034252</t>
        </is>
      </c>
      <c r="BE1109" t="inlineStr">
        <is>
          <t>32285005004568</t>
        </is>
      </c>
      <c r="BF1109" t="inlineStr">
        <is>
          <t>893706356</t>
        </is>
      </c>
    </row>
    <row r="1110">
      <c r="A1110" t="inlineStr">
        <is>
          <t>No</t>
        </is>
      </c>
      <c r="B1110" t="inlineStr">
        <is>
          <t>CURAL</t>
        </is>
      </c>
      <c r="C1110" t="inlineStr">
        <is>
          <t>SHELVES</t>
        </is>
      </c>
      <c r="D1110" t="inlineStr">
        <is>
          <t>PR3537.P5 H84 1988</t>
        </is>
      </c>
      <c r="E1110" t="inlineStr">
        <is>
          <t>0                      PR 3537000P  5                  H  84          1988</t>
        </is>
      </c>
      <c r="F1110" t="inlineStr">
        <is>
          <t>Samuel Johnson and eighteenth-century thought / Nicholas Hudson.</t>
        </is>
      </c>
      <c r="H1110" t="inlineStr">
        <is>
          <t>No</t>
        </is>
      </c>
      <c r="I1110" t="inlineStr">
        <is>
          <t>1</t>
        </is>
      </c>
      <c r="J1110" t="inlineStr">
        <is>
          <t>No</t>
        </is>
      </c>
      <c r="K1110" t="inlineStr">
        <is>
          <t>No</t>
        </is>
      </c>
      <c r="L1110" t="inlineStr">
        <is>
          <t>0</t>
        </is>
      </c>
      <c r="M1110" t="inlineStr">
        <is>
          <t>Hudson, Nicholas.</t>
        </is>
      </c>
      <c r="N1110" t="inlineStr">
        <is>
          <t>Oxford [Oxfordshire] : Clarendon Press ; New York : Oxford University Press, 1988.</t>
        </is>
      </c>
      <c r="O1110" t="inlineStr">
        <is>
          <t>1988</t>
        </is>
      </c>
      <c r="Q1110" t="inlineStr">
        <is>
          <t>eng</t>
        </is>
      </c>
      <c r="R1110" t="inlineStr">
        <is>
          <t>enk</t>
        </is>
      </c>
      <c r="S1110" t="inlineStr">
        <is>
          <t>Oxford English monographs</t>
        </is>
      </c>
      <c r="T1110" t="inlineStr">
        <is>
          <t xml:space="preserve">PR </t>
        </is>
      </c>
      <c r="U1110" t="n">
        <v>4</v>
      </c>
      <c r="V1110" t="n">
        <v>4</v>
      </c>
      <c r="W1110" t="inlineStr">
        <is>
          <t>1994-11-18</t>
        </is>
      </c>
      <c r="X1110" t="inlineStr">
        <is>
          <t>1994-11-18</t>
        </is>
      </c>
      <c r="Y1110" t="inlineStr">
        <is>
          <t>1991-04-29</t>
        </is>
      </c>
      <c r="Z1110" t="inlineStr">
        <is>
          <t>1991-04-29</t>
        </is>
      </c>
      <c r="AA1110" t="n">
        <v>591</v>
      </c>
      <c r="AB1110" t="n">
        <v>454</v>
      </c>
      <c r="AC1110" t="n">
        <v>535</v>
      </c>
      <c r="AD1110" t="n">
        <v>2</v>
      </c>
      <c r="AE1110" t="n">
        <v>2</v>
      </c>
      <c r="AF1110" t="n">
        <v>25</v>
      </c>
      <c r="AG1110" t="n">
        <v>29</v>
      </c>
      <c r="AH1110" t="n">
        <v>12</v>
      </c>
      <c r="AI1110" t="n">
        <v>13</v>
      </c>
      <c r="AJ1110" t="n">
        <v>5</v>
      </c>
      <c r="AK1110" t="n">
        <v>8</v>
      </c>
      <c r="AL1110" t="n">
        <v>15</v>
      </c>
      <c r="AM1110" t="n">
        <v>16</v>
      </c>
      <c r="AN1110" t="n">
        <v>1</v>
      </c>
      <c r="AO1110" t="n">
        <v>1</v>
      </c>
      <c r="AP1110" t="n">
        <v>0</v>
      </c>
      <c r="AQ1110" t="n">
        <v>0</v>
      </c>
      <c r="AR1110" t="inlineStr">
        <is>
          <t>No</t>
        </is>
      </c>
      <c r="AS1110" t="inlineStr">
        <is>
          <t>Yes</t>
        </is>
      </c>
      <c r="AT1110">
        <f>HYPERLINK("http://catalog.hathitrust.org/Record/000942752","HathiTrust Record")</f>
        <v/>
      </c>
      <c r="AU1110">
        <f>HYPERLINK("https://creighton-primo.hosted.exlibrisgroup.com/primo-explore/search?tab=default_tab&amp;search_scope=EVERYTHING&amp;vid=01CRU&amp;lang=en_US&amp;offset=0&amp;query=any,contains,991001159539702656","Catalog Record")</f>
        <v/>
      </c>
      <c r="AV1110">
        <f>HYPERLINK("http://www.worldcat.org/oclc/16873458","WorldCat Record")</f>
        <v/>
      </c>
      <c r="AW1110" t="inlineStr">
        <is>
          <t>13632399:eng</t>
        </is>
      </c>
      <c r="AX1110" t="inlineStr">
        <is>
          <t>16873458</t>
        </is>
      </c>
      <c r="AY1110" t="inlineStr">
        <is>
          <t>991001159539702656</t>
        </is>
      </c>
      <c r="AZ1110" t="inlineStr">
        <is>
          <t>991001159539702656</t>
        </is>
      </c>
      <c r="BA1110" t="inlineStr">
        <is>
          <t>2257070450002656</t>
        </is>
      </c>
      <c r="BB1110" t="inlineStr">
        <is>
          <t>BOOK</t>
        </is>
      </c>
      <c r="BD1110" t="inlineStr">
        <is>
          <t>9780198128991</t>
        </is>
      </c>
      <c r="BE1110" t="inlineStr">
        <is>
          <t>32285000588508</t>
        </is>
      </c>
      <c r="BF1110" t="inlineStr">
        <is>
          <t>893243908</t>
        </is>
      </c>
    </row>
    <row r="1111">
      <c r="A1111" t="inlineStr">
        <is>
          <t>No</t>
        </is>
      </c>
      <c r="B1111" t="inlineStr">
        <is>
          <t>CURAL</t>
        </is>
      </c>
      <c r="C1111" t="inlineStr">
        <is>
          <t>SHELVES</t>
        </is>
      </c>
      <c r="D1111" t="inlineStr">
        <is>
          <t>PR3537.P8 G7 1992</t>
        </is>
      </c>
      <c r="E1111" t="inlineStr">
        <is>
          <t>0                      PR 3537000P  8                  G  7           1992</t>
        </is>
      </c>
      <c r="F1111" t="inlineStr">
        <is>
          <t>This invisible riot of the mind : Samuel Johnson's psychological theory / Gloria Sybil Gross.</t>
        </is>
      </c>
      <c r="H1111" t="inlineStr">
        <is>
          <t>No</t>
        </is>
      </c>
      <c r="I1111" t="inlineStr">
        <is>
          <t>1</t>
        </is>
      </c>
      <c r="J1111" t="inlineStr">
        <is>
          <t>No</t>
        </is>
      </c>
      <c r="K1111" t="inlineStr">
        <is>
          <t>No</t>
        </is>
      </c>
      <c r="L1111" t="inlineStr">
        <is>
          <t>0</t>
        </is>
      </c>
      <c r="M1111" t="inlineStr">
        <is>
          <t>Gross, Gloria Sybil.</t>
        </is>
      </c>
      <c r="N1111" t="inlineStr">
        <is>
          <t>Philadelphia : University of Pennsylvania Press, c1992.</t>
        </is>
      </c>
      <c r="O1111" t="inlineStr">
        <is>
          <t>1992</t>
        </is>
      </c>
      <c r="Q1111" t="inlineStr">
        <is>
          <t>eng</t>
        </is>
      </c>
      <c r="R1111" t="inlineStr">
        <is>
          <t>pau</t>
        </is>
      </c>
      <c r="T1111" t="inlineStr">
        <is>
          <t xml:space="preserve">PR </t>
        </is>
      </c>
      <c r="U1111" t="n">
        <v>2</v>
      </c>
      <c r="V1111" t="n">
        <v>2</v>
      </c>
      <c r="W1111" t="inlineStr">
        <is>
          <t>2006-11-20</t>
        </is>
      </c>
      <c r="X1111" t="inlineStr">
        <is>
          <t>2006-11-20</t>
        </is>
      </c>
      <c r="Y1111" t="inlineStr">
        <is>
          <t>2004-10-14</t>
        </is>
      </c>
      <c r="Z1111" t="inlineStr">
        <is>
          <t>2004-10-14</t>
        </is>
      </c>
      <c r="AA1111" t="n">
        <v>366</v>
      </c>
      <c r="AB1111" t="n">
        <v>300</v>
      </c>
      <c r="AC1111" t="n">
        <v>484</v>
      </c>
      <c r="AD1111" t="n">
        <v>3</v>
      </c>
      <c r="AE1111" t="n">
        <v>3</v>
      </c>
      <c r="AF1111" t="n">
        <v>21</v>
      </c>
      <c r="AG1111" t="n">
        <v>28</v>
      </c>
      <c r="AH1111" t="n">
        <v>6</v>
      </c>
      <c r="AI1111" t="n">
        <v>12</v>
      </c>
      <c r="AJ1111" t="n">
        <v>6</v>
      </c>
      <c r="AK1111" t="n">
        <v>8</v>
      </c>
      <c r="AL1111" t="n">
        <v>12</v>
      </c>
      <c r="AM1111" t="n">
        <v>15</v>
      </c>
      <c r="AN1111" t="n">
        <v>2</v>
      </c>
      <c r="AO1111" t="n">
        <v>2</v>
      </c>
      <c r="AP1111" t="n">
        <v>0</v>
      </c>
      <c r="AQ1111" t="n">
        <v>0</v>
      </c>
      <c r="AR1111" t="inlineStr">
        <is>
          <t>No</t>
        </is>
      </c>
      <c r="AS1111" t="inlineStr">
        <is>
          <t>Yes</t>
        </is>
      </c>
      <c r="AT1111">
        <f>HYPERLINK("http://catalog.hathitrust.org/Record/002545368","HathiTrust Record")</f>
        <v/>
      </c>
      <c r="AU1111">
        <f>HYPERLINK("https://creighton-primo.hosted.exlibrisgroup.com/primo-explore/search?tab=default_tab&amp;search_scope=EVERYTHING&amp;vid=01CRU&amp;lang=en_US&amp;offset=0&amp;query=any,contains,991004398659702656","Catalog Record")</f>
        <v/>
      </c>
      <c r="AV1111">
        <f>HYPERLINK("http://www.worldcat.org/oclc/24872607","WorldCat Record")</f>
        <v/>
      </c>
      <c r="AW1111" t="inlineStr">
        <is>
          <t>293456383:eng</t>
        </is>
      </c>
      <c r="AX1111" t="inlineStr">
        <is>
          <t>24872607</t>
        </is>
      </c>
      <c r="AY1111" t="inlineStr">
        <is>
          <t>991004398659702656</t>
        </is>
      </c>
      <c r="AZ1111" t="inlineStr">
        <is>
          <t>991004398659702656</t>
        </is>
      </c>
      <c r="BA1111" t="inlineStr">
        <is>
          <t>2265733680002656</t>
        </is>
      </c>
      <c r="BB1111" t="inlineStr">
        <is>
          <t>BOOK</t>
        </is>
      </c>
      <c r="BD1111" t="inlineStr">
        <is>
          <t>9780812231465</t>
        </is>
      </c>
      <c r="BE1111" t="inlineStr">
        <is>
          <t>32285005004584</t>
        </is>
      </c>
      <c r="BF1111" t="inlineStr">
        <is>
          <t>893775977</t>
        </is>
      </c>
    </row>
    <row r="1112">
      <c r="A1112" t="inlineStr">
        <is>
          <t>No</t>
        </is>
      </c>
      <c r="B1112" t="inlineStr">
        <is>
          <t>CURAL</t>
        </is>
      </c>
      <c r="C1112" t="inlineStr">
        <is>
          <t>SHELVES</t>
        </is>
      </c>
      <c r="D1112" t="inlineStr">
        <is>
          <t>PR3537.R4 S3</t>
        </is>
      </c>
      <c r="E1112" t="inlineStr">
        <is>
          <t>0                      PR 3537000R  4                  S  3</t>
        </is>
      </c>
      <c r="F1112" t="inlineStr">
        <is>
          <t>Samuel Johnson and the problem of evil / Richard B. Schwartz.</t>
        </is>
      </c>
      <c r="H1112" t="inlineStr">
        <is>
          <t>No</t>
        </is>
      </c>
      <c r="I1112" t="inlineStr">
        <is>
          <t>1</t>
        </is>
      </c>
      <c r="J1112" t="inlineStr">
        <is>
          <t>No</t>
        </is>
      </c>
      <c r="K1112" t="inlineStr">
        <is>
          <t>No</t>
        </is>
      </c>
      <c r="L1112" t="inlineStr">
        <is>
          <t>0</t>
        </is>
      </c>
      <c r="M1112" t="inlineStr">
        <is>
          <t>Schwartz, Richard B.</t>
        </is>
      </c>
      <c r="N1112" t="inlineStr">
        <is>
          <t>Madison : University of Wisconsin Press, 1975.</t>
        </is>
      </c>
      <c r="O1112" t="inlineStr">
        <is>
          <t>1975</t>
        </is>
      </c>
      <c r="Q1112" t="inlineStr">
        <is>
          <t>eng</t>
        </is>
      </c>
      <c r="R1112" t="inlineStr">
        <is>
          <t>wiu</t>
        </is>
      </c>
      <c r="T1112" t="inlineStr">
        <is>
          <t xml:space="preserve">PR </t>
        </is>
      </c>
      <c r="U1112" t="n">
        <v>2</v>
      </c>
      <c r="V1112" t="n">
        <v>2</v>
      </c>
      <c r="W1112" t="inlineStr">
        <is>
          <t>1998-11-13</t>
        </is>
      </c>
      <c r="X1112" t="inlineStr">
        <is>
          <t>1998-11-13</t>
        </is>
      </c>
      <c r="Y1112" t="inlineStr">
        <is>
          <t>1997-07-24</t>
        </is>
      </c>
      <c r="Z1112" t="inlineStr">
        <is>
          <t>1997-07-24</t>
        </is>
      </c>
      <c r="AA1112" t="n">
        <v>647</v>
      </c>
      <c r="AB1112" t="n">
        <v>536</v>
      </c>
      <c r="AC1112" t="n">
        <v>538</v>
      </c>
      <c r="AD1112" t="n">
        <v>4</v>
      </c>
      <c r="AE1112" t="n">
        <v>4</v>
      </c>
      <c r="AF1112" t="n">
        <v>30</v>
      </c>
      <c r="AG1112" t="n">
        <v>30</v>
      </c>
      <c r="AH1112" t="n">
        <v>11</v>
      </c>
      <c r="AI1112" t="n">
        <v>11</v>
      </c>
      <c r="AJ1112" t="n">
        <v>8</v>
      </c>
      <c r="AK1112" t="n">
        <v>8</v>
      </c>
      <c r="AL1112" t="n">
        <v>16</v>
      </c>
      <c r="AM1112" t="n">
        <v>16</v>
      </c>
      <c r="AN1112" t="n">
        <v>3</v>
      </c>
      <c r="AO1112" t="n">
        <v>3</v>
      </c>
      <c r="AP1112" t="n">
        <v>0</v>
      </c>
      <c r="AQ1112" t="n">
        <v>0</v>
      </c>
      <c r="AR1112" t="inlineStr">
        <is>
          <t>No</t>
        </is>
      </c>
      <c r="AS1112" t="inlineStr">
        <is>
          <t>Yes</t>
        </is>
      </c>
      <c r="AT1112">
        <f>HYPERLINK("http://catalog.hathitrust.org/Record/000039321","HathiTrust Record")</f>
        <v/>
      </c>
      <c r="AU1112">
        <f>HYPERLINK("https://creighton-primo.hosted.exlibrisgroup.com/primo-explore/search?tab=default_tab&amp;search_scope=EVERYTHING&amp;vid=01CRU&amp;lang=en_US&amp;offset=0&amp;query=any,contains,991003793229702656","Catalog Record")</f>
        <v/>
      </c>
      <c r="AV1112">
        <f>HYPERLINK("http://www.worldcat.org/oclc/1513114","WorldCat Record")</f>
        <v/>
      </c>
      <c r="AW1112" t="inlineStr">
        <is>
          <t>2339634:eng</t>
        </is>
      </c>
      <c r="AX1112" t="inlineStr">
        <is>
          <t>1513114</t>
        </is>
      </c>
      <c r="AY1112" t="inlineStr">
        <is>
          <t>991003793229702656</t>
        </is>
      </c>
      <c r="AZ1112" t="inlineStr">
        <is>
          <t>991003793229702656</t>
        </is>
      </c>
      <c r="BA1112" t="inlineStr">
        <is>
          <t>2258197190002656</t>
        </is>
      </c>
      <c r="BB1112" t="inlineStr">
        <is>
          <t>BOOK</t>
        </is>
      </c>
      <c r="BD1112" t="inlineStr">
        <is>
          <t>9780299067908</t>
        </is>
      </c>
      <c r="BE1112" t="inlineStr">
        <is>
          <t>32285002956810</t>
        </is>
      </c>
      <c r="BF1112" t="inlineStr">
        <is>
          <t>893781418</t>
        </is>
      </c>
    </row>
    <row r="1113">
      <c r="A1113" t="inlineStr">
        <is>
          <t>No</t>
        </is>
      </c>
      <c r="B1113" t="inlineStr">
        <is>
          <t>CURAL</t>
        </is>
      </c>
      <c r="C1113" t="inlineStr">
        <is>
          <t>SHELVES</t>
        </is>
      </c>
      <c r="D1113" t="inlineStr">
        <is>
          <t>PR3537.R4 V6</t>
        </is>
      </c>
      <c r="E1113" t="inlineStr">
        <is>
          <t>0                      PR 3537000R  4                  V  6</t>
        </is>
      </c>
      <c r="F1113" t="inlineStr">
        <is>
          <t>Samuel Johnson, the moralist / Robert Voitle.</t>
        </is>
      </c>
      <c r="H1113" t="inlineStr">
        <is>
          <t>No</t>
        </is>
      </c>
      <c r="I1113" t="inlineStr">
        <is>
          <t>1</t>
        </is>
      </c>
      <c r="J1113" t="inlineStr">
        <is>
          <t>No</t>
        </is>
      </c>
      <c r="K1113" t="inlineStr">
        <is>
          <t>No</t>
        </is>
      </c>
      <c r="L1113" t="inlineStr">
        <is>
          <t>0</t>
        </is>
      </c>
      <c r="M1113" t="inlineStr">
        <is>
          <t>Voitle, Robert.</t>
        </is>
      </c>
      <c r="N1113" t="inlineStr">
        <is>
          <t>Cambridge, Massachusetts : Harvard University Press, 1961.</t>
        </is>
      </c>
      <c r="O1113" t="inlineStr">
        <is>
          <t>1961</t>
        </is>
      </c>
      <c r="Q1113" t="inlineStr">
        <is>
          <t>eng</t>
        </is>
      </c>
      <c r="R1113" t="inlineStr">
        <is>
          <t>mau</t>
        </is>
      </c>
      <c r="T1113" t="inlineStr">
        <is>
          <t xml:space="preserve">PR </t>
        </is>
      </c>
      <c r="U1113" t="n">
        <v>2</v>
      </c>
      <c r="V1113" t="n">
        <v>2</v>
      </c>
      <c r="W1113" t="inlineStr">
        <is>
          <t>2004-12-03</t>
        </is>
      </c>
      <c r="X1113" t="inlineStr">
        <is>
          <t>2004-12-03</t>
        </is>
      </c>
      <c r="Y1113" t="inlineStr">
        <is>
          <t>1994-12-01</t>
        </is>
      </c>
      <c r="Z1113" t="inlineStr">
        <is>
          <t>1994-12-01</t>
        </is>
      </c>
      <c r="AA1113" t="n">
        <v>809</v>
      </c>
      <c r="AB1113" t="n">
        <v>660</v>
      </c>
      <c r="AC1113" t="n">
        <v>678</v>
      </c>
      <c r="AD1113" t="n">
        <v>3</v>
      </c>
      <c r="AE1113" t="n">
        <v>3</v>
      </c>
      <c r="AF1113" t="n">
        <v>38</v>
      </c>
      <c r="AG1113" t="n">
        <v>39</v>
      </c>
      <c r="AH1113" t="n">
        <v>20</v>
      </c>
      <c r="AI1113" t="n">
        <v>20</v>
      </c>
      <c r="AJ1113" t="n">
        <v>9</v>
      </c>
      <c r="AK1113" t="n">
        <v>9</v>
      </c>
      <c r="AL1113" t="n">
        <v>17</v>
      </c>
      <c r="AM1113" t="n">
        <v>18</v>
      </c>
      <c r="AN1113" t="n">
        <v>2</v>
      </c>
      <c r="AO1113" t="n">
        <v>2</v>
      </c>
      <c r="AP1113" t="n">
        <v>0</v>
      </c>
      <c r="AQ1113" t="n">
        <v>0</v>
      </c>
      <c r="AR1113" t="inlineStr">
        <is>
          <t>No</t>
        </is>
      </c>
      <c r="AS1113" t="inlineStr">
        <is>
          <t>Yes</t>
        </is>
      </c>
      <c r="AT1113">
        <f>HYPERLINK("http://catalog.hathitrust.org/Record/000484552","HathiTrust Record")</f>
        <v/>
      </c>
      <c r="AU1113">
        <f>HYPERLINK("https://creighton-primo.hosted.exlibrisgroup.com/primo-explore/search?tab=default_tab&amp;search_scope=EVERYTHING&amp;vid=01CRU&amp;lang=en_US&amp;offset=0&amp;query=any,contains,991002457349702656","Catalog Record")</f>
        <v/>
      </c>
      <c r="AV1113">
        <f>HYPERLINK("http://www.worldcat.org/oclc/354975","WorldCat Record")</f>
        <v/>
      </c>
      <c r="AW1113" t="inlineStr">
        <is>
          <t>1396829:eng</t>
        </is>
      </c>
      <c r="AX1113" t="inlineStr">
        <is>
          <t>354975</t>
        </is>
      </c>
      <c r="AY1113" t="inlineStr">
        <is>
          <t>991002457349702656</t>
        </is>
      </c>
      <c r="AZ1113" t="inlineStr">
        <is>
          <t>991002457349702656</t>
        </is>
      </c>
      <c r="BA1113" t="inlineStr">
        <is>
          <t>2266329220002656</t>
        </is>
      </c>
      <c r="BB1113" t="inlineStr">
        <is>
          <t>BOOK</t>
        </is>
      </c>
      <c r="BE1113" t="inlineStr">
        <is>
          <t>32285001969442</t>
        </is>
      </c>
      <c r="BF1113" t="inlineStr">
        <is>
          <t>893597476</t>
        </is>
      </c>
    </row>
    <row r="1114">
      <c r="A1114" t="inlineStr">
        <is>
          <t>No</t>
        </is>
      </c>
      <c r="B1114" t="inlineStr">
        <is>
          <t>CURAL</t>
        </is>
      </c>
      <c r="C1114" t="inlineStr">
        <is>
          <t>SHELVES</t>
        </is>
      </c>
      <c r="D1114" t="inlineStr">
        <is>
          <t>PR3538 .J64 1986</t>
        </is>
      </c>
      <c r="E1114" t="inlineStr">
        <is>
          <t>0                      PR 3538000J  64          1986</t>
        </is>
      </c>
      <c r="F1114" t="inlineStr">
        <is>
          <t>Dr. Johnson's critical vocabulary : a selection from his dictionary / edited by Richard L. Harp.</t>
        </is>
      </c>
      <c r="H1114" t="inlineStr">
        <is>
          <t>No</t>
        </is>
      </c>
      <c r="I1114" t="inlineStr">
        <is>
          <t>1</t>
        </is>
      </c>
      <c r="J1114" t="inlineStr">
        <is>
          <t>No</t>
        </is>
      </c>
      <c r="K1114" t="inlineStr">
        <is>
          <t>No</t>
        </is>
      </c>
      <c r="L1114" t="inlineStr">
        <is>
          <t>0</t>
        </is>
      </c>
      <c r="M1114" t="inlineStr">
        <is>
          <t>Johnson, Samuel, 1709-1784.</t>
        </is>
      </c>
      <c r="N1114" t="inlineStr">
        <is>
          <t>Lanham, MD : University Press of America, c1986.</t>
        </is>
      </c>
      <c r="O1114" t="inlineStr">
        <is>
          <t>1986</t>
        </is>
      </c>
      <c r="Q1114" t="inlineStr">
        <is>
          <t>eng</t>
        </is>
      </c>
      <c r="R1114" t="inlineStr">
        <is>
          <t>mdu</t>
        </is>
      </c>
      <c r="T1114" t="inlineStr">
        <is>
          <t xml:space="preserve">PR </t>
        </is>
      </c>
      <c r="U1114" t="n">
        <v>6</v>
      </c>
      <c r="V1114" t="n">
        <v>6</v>
      </c>
      <c r="W1114" t="inlineStr">
        <is>
          <t>2006-12-12</t>
        </is>
      </c>
      <c r="X1114" t="inlineStr">
        <is>
          <t>2006-12-12</t>
        </is>
      </c>
      <c r="Y1114" t="inlineStr">
        <is>
          <t>2003-09-23</t>
        </is>
      </c>
      <c r="Z1114" t="inlineStr">
        <is>
          <t>2003-09-23</t>
        </is>
      </c>
      <c r="AA1114" t="n">
        <v>227</v>
      </c>
      <c r="AB1114" t="n">
        <v>188</v>
      </c>
      <c r="AC1114" t="n">
        <v>194</v>
      </c>
      <c r="AD1114" t="n">
        <v>3</v>
      </c>
      <c r="AE1114" t="n">
        <v>3</v>
      </c>
      <c r="AF1114" t="n">
        <v>13</v>
      </c>
      <c r="AG1114" t="n">
        <v>13</v>
      </c>
      <c r="AH1114" t="n">
        <v>3</v>
      </c>
      <c r="AI1114" t="n">
        <v>3</v>
      </c>
      <c r="AJ1114" t="n">
        <v>3</v>
      </c>
      <c r="AK1114" t="n">
        <v>3</v>
      </c>
      <c r="AL1114" t="n">
        <v>9</v>
      </c>
      <c r="AM1114" t="n">
        <v>9</v>
      </c>
      <c r="AN1114" t="n">
        <v>2</v>
      </c>
      <c r="AO1114" t="n">
        <v>2</v>
      </c>
      <c r="AP1114" t="n">
        <v>0</v>
      </c>
      <c r="AQ1114" t="n">
        <v>0</v>
      </c>
      <c r="AR1114" t="inlineStr">
        <is>
          <t>No</t>
        </is>
      </c>
      <c r="AS1114" t="inlineStr">
        <is>
          <t>Yes</t>
        </is>
      </c>
      <c r="AT1114">
        <f>HYPERLINK("http://catalog.hathitrust.org/Record/000447119","HathiTrust Record")</f>
        <v/>
      </c>
      <c r="AU1114">
        <f>HYPERLINK("https://creighton-primo.hosted.exlibrisgroup.com/primo-explore/search?tab=default_tab&amp;search_scope=EVERYTHING&amp;vid=01CRU&amp;lang=en_US&amp;offset=0&amp;query=any,contains,991004129959702656","Catalog Record")</f>
        <v/>
      </c>
      <c r="AV1114">
        <f>HYPERLINK("http://www.worldcat.org/oclc/13644340","WorldCat Record")</f>
        <v/>
      </c>
      <c r="AW1114" t="inlineStr">
        <is>
          <t>1806336357:eng</t>
        </is>
      </c>
      <c r="AX1114" t="inlineStr">
        <is>
          <t>13644340</t>
        </is>
      </c>
      <c r="AY1114" t="inlineStr">
        <is>
          <t>991004129959702656</t>
        </is>
      </c>
      <c r="AZ1114" t="inlineStr">
        <is>
          <t>991004129959702656</t>
        </is>
      </c>
      <c r="BA1114" t="inlineStr">
        <is>
          <t>2269212770002656</t>
        </is>
      </c>
      <c r="BB1114" t="inlineStr">
        <is>
          <t>BOOK</t>
        </is>
      </c>
      <c r="BD1114" t="inlineStr">
        <is>
          <t>9780819154729</t>
        </is>
      </c>
      <c r="BE1114" t="inlineStr">
        <is>
          <t>32285004784509</t>
        </is>
      </c>
      <c r="BF1114" t="inlineStr">
        <is>
          <t>893900848</t>
        </is>
      </c>
    </row>
    <row r="1115">
      <c r="A1115" t="inlineStr">
        <is>
          <t>No</t>
        </is>
      </c>
      <c r="B1115" t="inlineStr">
        <is>
          <t>CURAL</t>
        </is>
      </c>
      <c r="C1115" t="inlineStr">
        <is>
          <t>SHELVES</t>
        </is>
      </c>
      <c r="D1115" t="inlineStr">
        <is>
          <t>PR3538 .W48</t>
        </is>
      </c>
      <c r="E1115" t="inlineStr">
        <is>
          <t>0                      PR 3538000W  48</t>
        </is>
      </c>
      <c r="F1115" t="inlineStr">
        <is>
          <t>Philosophic words : a study of style and meaning in the Rambler and Dictionary of Samuel Johnson.</t>
        </is>
      </c>
      <c r="H1115" t="inlineStr">
        <is>
          <t>No</t>
        </is>
      </c>
      <c r="I1115" t="inlineStr">
        <is>
          <t>1</t>
        </is>
      </c>
      <c r="J1115" t="inlineStr">
        <is>
          <t>No</t>
        </is>
      </c>
      <c r="K1115" t="inlineStr">
        <is>
          <t>No</t>
        </is>
      </c>
      <c r="L1115" t="inlineStr">
        <is>
          <t>0</t>
        </is>
      </c>
      <c r="M1115" t="inlineStr">
        <is>
          <t>Wimsatt, William K. (William Kurtz), 1907-1975.</t>
        </is>
      </c>
      <c r="N1115" t="inlineStr">
        <is>
          <t>New Haven, Yale University Press, 1948.</t>
        </is>
      </c>
      <c r="O1115" t="inlineStr">
        <is>
          <t>1948</t>
        </is>
      </c>
      <c r="Q1115" t="inlineStr">
        <is>
          <t>eng</t>
        </is>
      </c>
      <c r="R1115" t="inlineStr">
        <is>
          <t>ctu</t>
        </is>
      </c>
      <c r="T1115" t="inlineStr">
        <is>
          <t xml:space="preserve">PR </t>
        </is>
      </c>
      <c r="U1115" t="n">
        <v>2</v>
      </c>
      <c r="V1115" t="n">
        <v>2</v>
      </c>
      <c r="W1115" t="inlineStr">
        <is>
          <t>2001-03-21</t>
        </is>
      </c>
      <c r="X1115" t="inlineStr">
        <is>
          <t>2001-03-21</t>
        </is>
      </c>
      <c r="Y1115" t="inlineStr">
        <is>
          <t>1998-05-07</t>
        </is>
      </c>
      <c r="Z1115" t="inlineStr">
        <is>
          <t>1998-05-07</t>
        </is>
      </c>
      <c r="AA1115" t="n">
        <v>308</v>
      </c>
      <c r="AB1115" t="n">
        <v>284</v>
      </c>
      <c r="AC1115" t="n">
        <v>575</v>
      </c>
      <c r="AD1115" t="n">
        <v>4</v>
      </c>
      <c r="AE1115" t="n">
        <v>4</v>
      </c>
      <c r="AF1115" t="n">
        <v>20</v>
      </c>
      <c r="AG1115" t="n">
        <v>31</v>
      </c>
      <c r="AH1115" t="n">
        <v>6</v>
      </c>
      <c r="AI1115" t="n">
        <v>11</v>
      </c>
      <c r="AJ1115" t="n">
        <v>6</v>
      </c>
      <c r="AK1115" t="n">
        <v>9</v>
      </c>
      <c r="AL1115" t="n">
        <v>11</v>
      </c>
      <c r="AM1115" t="n">
        <v>16</v>
      </c>
      <c r="AN1115" t="n">
        <v>3</v>
      </c>
      <c r="AO1115" t="n">
        <v>3</v>
      </c>
      <c r="AP1115" t="n">
        <v>0</v>
      </c>
      <c r="AQ1115" t="n">
        <v>0</v>
      </c>
      <c r="AR1115" t="inlineStr">
        <is>
          <t>Yes</t>
        </is>
      </c>
      <c r="AS1115" t="inlineStr">
        <is>
          <t>No</t>
        </is>
      </c>
      <c r="AT1115">
        <f>HYPERLINK("http://catalog.hathitrust.org/Record/000588855","HathiTrust Record")</f>
        <v/>
      </c>
      <c r="AU1115">
        <f>HYPERLINK("https://creighton-primo.hosted.exlibrisgroup.com/primo-explore/search?tab=default_tab&amp;search_scope=EVERYTHING&amp;vid=01CRU&amp;lang=en_US&amp;offset=0&amp;query=any,contains,991004236419702656","Catalog Record")</f>
        <v/>
      </c>
      <c r="AV1115">
        <f>HYPERLINK("http://www.worldcat.org/oclc/2770199","WorldCat Record")</f>
        <v/>
      </c>
      <c r="AW1115" t="inlineStr">
        <is>
          <t>1563669:eng</t>
        </is>
      </c>
      <c r="AX1115" t="inlineStr">
        <is>
          <t>2770199</t>
        </is>
      </c>
      <c r="AY1115" t="inlineStr">
        <is>
          <t>991004236419702656</t>
        </is>
      </c>
      <c r="AZ1115" t="inlineStr">
        <is>
          <t>991004236419702656</t>
        </is>
      </c>
      <c r="BA1115" t="inlineStr">
        <is>
          <t>2270898200002656</t>
        </is>
      </c>
      <c r="BB1115" t="inlineStr">
        <is>
          <t>BOOK</t>
        </is>
      </c>
      <c r="BE1115" t="inlineStr">
        <is>
          <t>32285003395901</t>
        </is>
      </c>
      <c r="BF1115" t="inlineStr">
        <is>
          <t>893229096</t>
        </is>
      </c>
    </row>
    <row r="1116">
      <c r="A1116" t="inlineStr">
        <is>
          <t>No</t>
        </is>
      </c>
      <c r="B1116" t="inlineStr">
        <is>
          <t>CURAL</t>
        </is>
      </c>
      <c r="C1116" t="inlineStr">
        <is>
          <t>SHELVES</t>
        </is>
      </c>
      <c r="D1116" t="inlineStr">
        <is>
          <t>PR354 .M6</t>
        </is>
      </c>
      <c r="E1116" t="inlineStr">
        <is>
          <t>0                      PR 0354000M  6</t>
        </is>
      </c>
      <c r="F1116" t="inlineStr">
        <is>
          <t>The secular lyric in Middle English.</t>
        </is>
      </c>
      <c r="H1116" t="inlineStr">
        <is>
          <t>No</t>
        </is>
      </c>
      <c r="I1116" t="inlineStr">
        <is>
          <t>1</t>
        </is>
      </c>
      <c r="J1116" t="inlineStr">
        <is>
          <t>No</t>
        </is>
      </c>
      <c r="K1116" t="inlineStr">
        <is>
          <t>No</t>
        </is>
      </c>
      <c r="L1116" t="inlineStr">
        <is>
          <t>0</t>
        </is>
      </c>
      <c r="M1116" t="inlineStr">
        <is>
          <t>Moore, Arthur Keister, 1914-</t>
        </is>
      </c>
      <c r="N1116" t="inlineStr">
        <is>
          <t>Lexington : University of Kentucky Press, [1951]</t>
        </is>
      </c>
      <c r="O1116" t="inlineStr">
        <is>
          <t>1951</t>
        </is>
      </c>
      <c r="Q1116" t="inlineStr">
        <is>
          <t>eng</t>
        </is>
      </c>
      <c r="R1116" t="inlineStr">
        <is>
          <t>kyu</t>
        </is>
      </c>
      <c r="T1116" t="inlineStr">
        <is>
          <t xml:space="preserve">PR </t>
        </is>
      </c>
      <c r="U1116" t="n">
        <v>3</v>
      </c>
      <c r="V1116" t="n">
        <v>3</v>
      </c>
      <c r="W1116" t="inlineStr">
        <is>
          <t>1998-03-16</t>
        </is>
      </c>
      <c r="X1116" t="inlineStr">
        <is>
          <t>1998-03-16</t>
        </is>
      </c>
      <c r="Y1116" t="inlineStr">
        <is>
          <t>1993-04-29</t>
        </is>
      </c>
      <c r="Z1116" t="inlineStr">
        <is>
          <t>1993-04-29</t>
        </is>
      </c>
      <c r="AA1116" t="n">
        <v>513</v>
      </c>
      <c r="AB1116" t="n">
        <v>442</v>
      </c>
      <c r="AC1116" t="n">
        <v>629</v>
      </c>
      <c r="AD1116" t="n">
        <v>5</v>
      </c>
      <c r="AE1116" t="n">
        <v>6</v>
      </c>
      <c r="AF1116" t="n">
        <v>27</v>
      </c>
      <c r="AG1116" t="n">
        <v>37</v>
      </c>
      <c r="AH1116" t="n">
        <v>8</v>
      </c>
      <c r="AI1116" t="n">
        <v>14</v>
      </c>
      <c r="AJ1116" t="n">
        <v>4</v>
      </c>
      <c r="AK1116" t="n">
        <v>8</v>
      </c>
      <c r="AL1116" t="n">
        <v>17</v>
      </c>
      <c r="AM1116" t="n">
        <v>19</v>
      </c>
      <c r="AN1116" t="n">
        <v>4</v>
      </c>
      <c r="AO1116" t="n">
        <v>5</v>
      </c>
      <c r="AP1116" t="n">
        <v>0</v>
      </c>
      <c r="AQ1116" t="n">
        <v>0</v>
      </c>
      <c r="AR1116" t="inlineStr">
        <is>
          <t>Yes</t>
        </is>
      </c>
      <c r="AS1116" t="inlineStr">
        <is>
          <t>No</t>
        </is>
      </c>
      <c r="AT1116">
        <f>HYPERLINK("http://catalog.hathitrust.org/Record/001016307","HathiTrust Record")</f>
        <v/>
      </c>
      <c r="AU1116">
        <f>HYPERLINK("https://creighton-primo.hosted.exlibrisgroup.com/primo-explore/search?tab=default_tab&amp;search_scope=EVERYTHING&amp;vid=01CRU&amp;lang=en_US&amp;offset=0&amp;query=any,contains,991002440479702656","Catalog Record")</f>
        <v/>
      </c>
      <c r="AV1116">
        <f>HYPERLINK("http://www.worldcat.org/oclc/349978","WorldCat Record")</f>
        <v/>
      </c>
      <c r="AW1116" t="inlineStr">
        <is>
          <t>499769:eng</t>
        </is>
      </c>
      <c r="AX1116" t="inlineStr">
        <is>
          <t>349978</t>
        </is>
      </c>
      <c r="AY1116" t="inlineStr">
        <is>
          <t>991002440479702656</t>
        </is>
      </c>
      <c r="AZ1116" t="inlineStr">
        <is>
          <t>991002440479702656</t>
        </is>
      </c>
      <c r="BA1116" t="inlineStr">
        <is>
          <t>2267256420002656</t>
        </is>
      </c>
      <c r="BB1116" t="inlineStr">
        <is>
          <t>BOOK</t>
        </is>
      </c>
      <c r="BE1116" t="inlineStr">
        <is>
          <t>32285001630556</t>
        </is>
      </c>
      <c r="BF1116" t="inlineStr">
        <is>
          <t>893609865</t>
        </is>
      </c>
    </row>
    <row r="1117">
      <c r="A1117" t="inlineStr">
        <is>
          <t>No</t>
        </is>
      </c>
      <c r="B1117" t="inlineStr">
        <is>
          <t>CURAL</t>
        </is>
      </c>
      <c r="C1117" t="inlineStr">
        <is>
          <t>SHELVES</t>
        </is>
      </c>
      <c r="D1117" t="inlineStr">
        <is>
          <t>PR3540 .A73 1970</t>
        </is>
      </c>
      <c r="E1117" t="inlineStr">
        <is>
          <t>0                      PR 3540000A  73          1970</t>
        </is>
      </c>
      <c r="F1117" t="inlineStr">
        <is>
          <t>The rival queens / Nathaniel Lee ; edited by P.F. Vernon.</t>
        </is>
      </c>
      <c r="H1117" t="inlineStr">
        <is>
          <t>No</t>
        </is>
      </c>
      <c r="I1117" t="inlineStr">
        <is>
          <t>1</t>
        </is>
      </c>
      <c r="J1117" t="inlineStr">
        <is>
          <t>No</t>
        </is>
      </c>
      <c r="K1117" t="inlineStr">
        <is>
          <t>No</t>
        </is>
      </c>
      <c r="L1117" t="inlineStr">
        <is>
          <t>0</t>
        </is>
      </c>
      <c r="M1117" t="inlineStr">
        <is>
          <t>Lee, Nathaniel, 1653?-1692.</t>
        </is>
      </c>
      <c r="N1117" t="inlineStr">
        <is>
          <t>Lincoln : University of Nebraska Press, [1970]</t>
        </is>
      </c>
      <c r="O1117" t="inlineStr">
        <is>
          <t>1970</t>
        </is>
      </c>
      <c r="Q1117" t="inlineStr">
        <is>
          <t>eng</t>
        </is>
      </c>
      <c r="R1117" t="inlineStr">
        <is>
          <t>nbu</t>
        </is>
      </c>
      <c r="S1117" t="inlineStr">
        <is>
          <t>Regents restoration drama series</t>
        </is>
      </c>
      <c r="T1117" t="inlineStr">
        <is>
          <t xml:space="preserve">PR </t>
        </is>
      </c>
      <c r="U1117" t="n">
        <v>1</v>
      </c>
      <c r="V1117" t="n">
        <v>1</v>
      </c>
      <c r="W1117" t="inlineStr">
        <is>
          <t>2003-09-15</t>
        </is>
      </c>
      <c r="X1117" t="inlineStr">
        <is>
          <t>2003-09-15</t>
        </is>
      </c>
      <c r="Y1117" t="inlineStr">
        <is>
          <t>2003-09-15</t>
        </is>
      </c>
      <c r="Z1117" t="inlineStr">
        <is>
          <t>2003-09-15</t>
        </is>
      </c>
      <c r="AA1117" t="n">
        <v>452</v>
      </c>
      <c r="AB1117" t="n">
        <v>404</v>
      </c>
      <c r="AC1117" t="n">
        <v>442</v>
      </c>
      <c r="AD1117" t="n">
        <v>6</v>
      </c>
      <c r="AE1117" t="n">
        <v>6</v>
      </c>
      <c r="AF1117" t="n">
        <v>24</v>
      </c>
      <c r="AG1117" t="n">
        <v>26</v>
      </c>
      <c r="AH1117" t="n">
        <v>5</v>
      </c>
      <c r="AI1117" t="n">
        <v>6</v>
      </c>
      <c r="AJ1117" t="n">
        <v>7</v>
      </c>
      <c r="AK1117" t="n">
        <v>8</v>
      </c>
      <c r="AL1117" t="n">
        <v>12</v>
      </c>
      <c r="AM1117" t="n">
        <v>13</v>
      </c>
      <c r="AN1117" t="n">
        <v>5</v>
      </c>
      <c r="AO1117" t="n">
        <v>5</v>
      </c>
      <c r="AP1117" t="n">
        <v>0</v>
      </c>
      <c r="AQ1117" t="n">
        <v>0</v>
      </c>
      <c r="AR1117" t="inlineStr">
        <is>
          <t>No</t>
        </is>
      </c>
      <c r="AS1117" t="inlineStr">
        <is>
          <t>Yes</t>
        </is>
      </c>
      <c r="AT1117">
        <f>HYPERLINK("http://catalog.hathitrust.org/Record/001373119","HathiTrust Record")</f>
        <v/>
      </c>
      <c r="AU1117">
        <f>HYPERLINK("https://creighton-primo.hosted.exlibrisgroup.com/primo-explore/search?tab=default_tab&amp;search_scope=EVERYTHING&amp;vid=01CRU&amp;lang=en_US&amp;offset=0&amp;query=any,contains,991004123719702656","Catalog Record")</f>
        <v/>
      </c>
      <c r="AV1117">
        <f>HYPERLINK("http://www.worldcat.org/oclc/110669","WorldCat Record")</f>
        <v/>
      </c>
      <c r="AW1117" t="inlineStr">
        <is>
          <t>4915403243:eng</t>
        </is>
      </c>
      <c r="AX1117" t="inlineStr">
        <is>
          <t>110669</t>
        </is>
      </c>
      <c r="AY1117" t="inlineStr">
        <is>
          <t>991004123719702656</t>
        </is>
      </c>
      <c r="AZ1117" t="inlineStr">
        <is>
          <t>991004123719702656</t>
        </is>
      </c>
      <c r="BA1117" t="inlineStr">
        <is>
          <t>2266609510002656</t>
        </is>
      </c>
      <c r="BB1117" t="inlineStr">
        <is>
          <t>BOOK</t>
        </is>
      </c>
      <c r="BD1117" t="inlineStr">
        <is>
          <t>9780803253742</t>
        </is>
      </c>
      <c r="BE1117" t="inlineStr">
        <is>
          <t>32285004783170</t>
        </is>
      </c>
      <c r="BF1117" t="inlineStr">
        <is>
          <t>893718505</t>
        </is>
      </c>
    </row>
    <row r="1118">
      <c r="A1118" t="inlineStr">
        <is>
          <t>No</t>
        </is>
      </c>
      <c r="B1118" t="inlineStr">
        <is>
          <t>CURAL</t>
        </is>
      </c>
      <c r="C1118" t="inlineStr">
        <is>
          <t>SHELVES</t>
        </is>
      </c>
      <c r="D1118" t="inlineStr">
        <is>
          <t>PR3541.L27 S6</t>
        </is>
      </c>
      <c r="E1118" t="inlineStr">
        <is>
          <t>0                      PR 3541000L  27                 S  6</t>
        </is>
      </c>
      <c r="F1118" t="inlineStr">
        <is>
          <t>Charlotte Ramsay Lennox, an eighteenth century lady of letters, by Miriam Rossiter Small.</t>
        </is>
      </c>
      <c r="H1118" t="inlineStr">
        <is>
          <t>No</t>
        </is>
      </c>
      <c r="I1118" t="inlineStr">
        <is>
          <t>1</t>
        </is>
      </c>
      <c r="J1118" t="inlineStr">
        <is>
          <t>No</t>
        </is>
      </c>
      <c r="K1118" t="inlineStr">
        <is>
          <t>No</t>
        </is>
      </c>
      <c r="L1118" t="inlineStr">
        <is>
          <t>0</t>
        </is>
      </c>
      <c r="M1118" t="inlineStr">
        <is>
          <t>Small, Miriam Rossiter.</t>
        </is>
      </c>
      <c r="N1118" t="inlineStr">
        <is>
          <t>New Haven, Yale University Press; London, H. Milford, Oxford University Press, 1935.</t>
        </is>
      </c>
      <c r="O1118" t="inlineStr">
        <is>
          <t>1935</t>
        </is>
      </c>
      <c r="Q1118" t="inlineStr">
        <is>
          <t>eng</t>
        </is>
      </c>
      <c r="R1118" t="inlineStr">
        <is>
          <t>ctu</t>
        </is>
      </c>
      <c r="S1118" t="inlineStr">
        <is>
          <t>Yale studies in English ; v. 85</t>
        </is>
      </c>
      <c r="T1118" t="inlineStr">
        <is>
          <t xml:space="preserve">PR </t>
        </is>
      </c>
      <c r="U1118" t="n">
        <v>1</v>
      </c>
      <c r="V1118" t="n">
        <v>1</v>
      </c>
      <c r="W1118" t="inlineStr">
        <is>
          <t>2001-02-21</t>
        </is>
      </c>
      <c r="X1118" t="inlineStr">
        <is>
          <t>2001-02-21</t>
        </is>
      </c>
      <c r="Y1118" t="inlineStr">
        <is>
          <t>1997-07-24</t>
        </is>
      </c>
      <c r="Z1118" t="inlineStr">
        <is>
          <t>1997-07-24</t>
        </is>
      </c>
      <c r="AA1118" t="n">
        <v>222</v>
      </c>
      <c r="AB1118" t="n">
        <v>195</v>
      </c>
      <c r="AC1118" t="n">
        <v>342</v>
      </c>
      <c r="AD1118" t="n">
        <v>2</v>
      </c>
      <c r="AE1118" t="n">
        <v>3</v>
      </c>
      <c r="AF1118" t="n">
        <v>10</v>
      </c>
      <c r="AG1118" t="n">
        <v>17</v>
      </c>
      <c r="AH1118" t="n">
        <v>5</v>
      </c>
      <c r="AI1118" t="n">
        <v>7</v>
      </c>
      <c r="AJ1118" t="n">
        <v>1</v>
      </c>
      <c r="AK1118" t="n">
        <v>4</v>
      </c>
      <c r="AL1118" t="n">
        <v>6</v>
      </c>
      <c r="AM1118" t="n">
        <v>9</v>
      </c>
      <c r="AN1118" t="n">
        <v>1</v>
      </c>
      <c r="AO1118" t="n">
        <v>2</v>
      </c>
      <c r="AP1118" t="n">
        <v>0</v>
      </c>
      <c r="AQ1118" t="n">
        <v>0</v>
      </c>
      <c r="AR1118" t="inlineStr">
        <is>
          <t>Yes</t>
        </is>
      </c>
      <c r="AS1118" t="inlineStr">
        <is>
          <t>No</t>
        </is>
      </c>
      <c r="AT1118">
        <f>HYPERLINK("http://catalog.hathitrust.org/Record/000536372","HathiTrust Record")</f>
        <v/>
      </c>
      <c r="AU1118">
        <f>HYPERLINK("https://creighton-primo.hosted.exlibrisgroup.com/primo-explore/search?tab=default_tab&amp;search_scope=EVERYTHING&amp;vid=01CRU&amp;lang=en_US&amp;offset=0&amp;query=any,contains,991002196639702656","Catalog Record")</f>
        <v/>
      </c>
      <c r="AV1118">
        <f>HYPERLINK("http://www.worldcat.org/oclc/283318","WorldCat Record")</f>
        <v/>
      </c>
      <c r="AW1118" t="inlineStr">
        <is>
          <t>1440707:eng</t>
        </is>
      </c>
      <c r="AX1118" t="inlineStr">
        <is>
          <t>283318</t>
        </is>
      </c>
      <c r="AY1118" t="inlineStr">
        <is>
          <t>991002196639702656</t>
        </is>
      </c>
      <c r="AZ1118" t="inlineStr">
        <is>
          <t>991002196639702656</t>
        </is>
      </c>
      <c r="BA1118" t="inlineStr">
        <is>
          <t>2265755270002656</t>
        </is>
      </c>
      <c r="BB1118" t="inlineStr">
        <is>
          <t>BOOK</t>
        </is>
      </c>
      <c r="BE1118" t="inlineStr">
        <is>
          <t>32285002956901</t>
        </is>
      </c>
      <c r="BF1118" t="inlineStr">
        <is>
          <t>893529659</t>
        </is>
      </c>
    </row>
    <row r="1119">
      <c r="A1119" t="inlineStr">
        <is>
          <t>No</t>
        </is>
      </c>
      <c r="B1119" t="inlineStr">
        <is>
          <t>CURAL</t>
        </is>
      </c>
      <c r="C1119" t="inlineStr">
        <is>
          <t>SHELVES</t>
        </is>
      </c>
      <c r="D1119" t="inlineStr">
        <is>
          <t>PR3543.M2 Z63</t>
        </is>
      </c>
      <c r="E1119" t="inlineStr">
        <is>
          <t>0                      PR 3543000M  2                  Z  63</t>
        </is>
      </c>
      <c r="F1119" t="inlineStr">
        <is>
          <t>Henry Mackenzie / by Gerard A. Barker.</t>
        </is>
      </c>
      <c r="H1119" t="inlineStr">
        <is>
          <t>No</t>
        </is>
      </c>
      <c r="I1119" t="inlineStr">
        <is>
          <t>1</t>
        </is>
      </c>
      <c r="J1119" t="inlineStr">
        <is>
          <t>No</t>
        </is>
      </c>
      <c r="K1119" t="inlineStr">
        <is>
          <t>No</t>
        </is>
      </c>
      <c r="L1119" t="inlineStr">
        <is>
          <t>0</t>
        </is>
      </c>
      <c r="M1119" t="inlineStr">
        <is>
          <t>Barker, Gerard A.</t>
        </is>
      </c>
      <c r="N1119" t="inlineStr">
        <is>
          <t>Boston : Twayne Publishers, c1975.</t>
        </is>
      </c>
      <c r="O1119" t="inlineStr">
        <is>
          <t>1975</t>
        </is>
      </c>
      <c r="Q1119" t="inlineStr">
        <is>
          <t>eng</t>
        </is>
      </c>
      <c r="R1119" t="inlineStr">
        <is>
          <t>mau</t>
        </is>
      </c>
      <c r="S1119" t="inlineStr">
        <is>
          <t>Twayne's English authors series ; TEAS no. 184</t>
        </is>
      </c>
      <c r="T1119" t="inlineStr">
        <is>
          <t xml:space="preserve">PR </t>
        </is>
      </c>
      <c r="U1119" t="n">
        <v>3</v>
      </c>
      <c r="V1119" t="n">
        <v>3</v>
      </c>
      <c r="W1119" t="inlineStr">
        <is>
          <t>2008-08-27</t>
        </is>
      </c>
      <c r="X1119" t="inlineStr">
        <is>
          <t>2008-08-27</t>
        </is>
      </c>
      <c r="Y1119" t="inlineStr">
        <is>
          <t>1997-07-24</t>
        </is>
      </c>
      <c r="Z1119" t="inlineStr">
        <is>
          <t>1997-07-24</t>
        </is>
      </c>
      <c r="AA1119" t="n">
        <v>622</v>
      </c>
      <c r="AB1119" t="n">
        <v>544</v>
      </c>
      <c r="AC1119" t="n">
        <v>551</v>
      </c>
      <c r="AD1119" t="n">
        <v>7</v>
      </c>
      <c r="AE1119" t="n">
        <v>7</v>
      </c>
      <c r="AF1119" t="n">
        <v>30</v>
      </c>
      <c r="AG1119" t="n">
        <v>30</v>
      </c>
      <c r="AH1119" t="n">
        <v>9</v>
      </c>
      <c r="AI1119" t="n">
        <v>9</v>
      </c>
      <c r="AJ1119" t="n">
        <v>8</v>
      </c>
      <c r="AK1119" t="n">
        <v>8</v>
      </c>
      <c r="AL1119" t="n">
        <v>15</v>
      </c>
      <c r="AM1119" t="n">
        <v>15</v>
      </c>
      <c r="AN1119" t="n">
        <v>6</v>
      </c>
      <c r="AO1119" t="n">
        <v>6</v>
      </c>
      <c r="AP1119" t="n">
        <v>0</v>
      </c>
      <c r="AQ1119" t="n">
        <v>0</v>
      </c>
      <c r="AR1119" t="inlineStr">
        <is>
          <t>No</t>
        </is>
      </c>
      <c r="AS1119" t="inlineStr">
        <is>
          <t>Yes</t>
        </is>
      </c>
      <c r="AT1119">
        <f>HYPERLINK("http://catalog.hathitrust.org/Record/000630138","HathiTrust Record")</f>
        <v/>
      </c>
      <c r="AU1119">
        <f>HYPERLINK("https://creighton-primo.hosted.exlibrisgroup.com/primo-explore/search?tab=default_tab&amp;search_scope=EVERYTHING&amp;vid=01CRU&amp;lang=en_US&amp;offset=0&amp;query=any,contains,991003592619702656","Catalog Record")</f>
        <v/>
      </c>
      <c r="AV1119">
        <f>HYPERLINK("http://www.worldcat.org/oclc/1174659","WorldCat Record")</f>
        <v/>
      </c>
      <c r="AW1119" t="inlineStr">
        <is>
          <t>9737744835:eng</t>
        </is>
      </c>
      <c r="AX1119" t="inlineStr">
        <is>
          <t>1174659</t>
        </is>
      </c>
      <c r="AY1119" t="inlineStr">
        <is>
          <t>991003592619702656</t>
        </is>
      </c>
      <c r="AZ1119" t="inlineStr">
        <is>
          <t>991003592619702656</t>
        </is>
      </c>
      <c r="BA1119" t="inlineStr">
        <is>
          <t>2272435910002656</t>
        </is>
      </c>
      <c r="BB1119" t="inlineStr">
        <is>
          <t>BOOK</t>
        </is>
      </c>
      <c r="BD1119" t="inlineStr">
        <is>
          <t>9780805766516</t>
        </is>
      </c>
      <c r="BE1119" t="inlineStr">
        <is>
          <t>32285002956950</t>
        </is>
      </c>
      <c r="BF1119" t="inlineStr">
        <is>
          <t>893887643</t>
        </is>
      </c>
    </row>
    <row r="1120">
      <c r="A1120" t="inlineStr">
        <is>
          <t>No</t>
        </is>
      </c>
      <c r="B1120" t="inlineStr">
        <is>
          <t>CURAL</t>
        </is>
      </c>
      <c r="C1120" t="inlineStr">
        <is>
          <t>SHELVES</t>
        </is>
      </c>
      <c r="D1120" t="inlineStr">
        <is>
          <t>PR3544 .O87 1991</t>
        </is>
      </c>
      <c r="E1120" t="inlineStr">
        <is>
          <t>0                      PR 3544000O  87          1991</t>
        </is>
      </c>
      <c r="F1120" t="inlineStr">
        <is>
          <t>Ossian revisited / edited by Howard Gaskill.</t>
        </is>
      </c>
      <c r="H1120" t="inlineStr">
        <is>
          <t>No</t>
        </is>
      </c>
      <c r="I1120" t="inlineStr">
        <is>
          <t>1</t>
        </is>
      </c>
      <c r="J1120" t="inlineStr">
        <is>
          <t>No</t>
        </is>
      </c>
      <c r="K1120" t="inlineStr">
        <is>
          <t>No</t>
        </is>
      </c>
      <c r="L1120" t="inlineStr">
        <is>
          <t>0</t>
        </is>
      </c>
      <c r="N1120" t="inlineStr">
        <is>
          <t>Edinburgh : Edinburgh University Press, c1991.</t>
        </is>
      </c>
      <c r="O1120" t="inlineStr">
        <is>
          <t>1991</t>
        </is>
      </c>
      <c r="Q1120" t="inlineStr">
        <is>
          <t>eng</t>
        </is>
      </c>
      <c r="R1120" t="inlineStr">
        <is>
          <t>stk</t>
        </is>
      </c>
      <c r="T1120" t="inlineStr">
        <is>
          <t xml:space="preserve">PR </t>
        </is>
      </c>
      <c r="U1120" t="n">
        <v>3</v>
      </c>
      <c r="V1120" t="n">
        <v>3</v>
      </c>
      <c r="W1120" t="inlineStr">
        <is>
          <t>1992-04-16</t>
        </is>
      </c>
      <c r="X1120" t="inlineStr">
        <is>
          <t>1992-04-16</t>
        </is>
      </c>
      <c r="Y1120" t="inlineStr">
        <is>
          <t>1992-03-26</t>
        </is>
      </c>
      <c r="Z1120" t="inlineStr">
        <is>
          <t>1992-03-26</t>
        </is>
      </c>
      <c r="AA1120" t="n">
        <v>224</v>
      </c>
      <c r="AB1120" t="n">
        <v>153</v>
      </c>
      <c r="AC1120" t="n">
        <v>155</v>
      </c>
      <c r="AD1120" t="n">
        <v>3</v>
      </c>
      <c r="AE1120" t="n">
        <v>3</v>
      </c>
      <c r="AF1120" t="n">
        <v>9</v>
      </c>
      <c r="AG1120" t="n">
        <v>9</v>
      </c>
      <c r="AH1120" t="n">
        <v>2</v>
      </c>
      <c r="AI1120" t="n">
        <v>2</v>
      </c>
      <c r="AJ1120" t="n">
        <v>2</v>
      </c>
      <c r="AK1120" t="n">
        <v>2</v>
      </c>
      <c r="AL1120" t="n">
        <v>6</v>
      </c>
      <c r="AM1120" t="n">
        <v>6</v>
      </c>
      <c r="AN1120" t="n">
        <v>2</v>
      </c>
      <c r="AO1120" t="n">
        <v>2</v>
      </c>
      <c r="AP1120" t="n">
        <v>0</v>
      </c>
      <c r="AQ1120" t="n">
        <v>0</v>
      </c>
      <c r="AR1120" t="inlineStr">
        <is>
          <t>No</t>
        </is>
      </c>
      <c r="AS1120" t="inlineStr">
        <is>
          <t>Yes</t>
        </is>
      </c>
      <c r="AT1120">
        <f>HYPERLINK("http://catalog.hathitrust.org/Record/002482285","HathiTrust Record")</f>
        <v/>
      </c>
      <c r="AU1120">
        <f>HYPERLINK("https://creighton-primo.hosted.exlibrisgroup.com/primo-explore/search?tab=default_tab&amp;search_scope=EVERYTHING&amp;vid=01CRU&amp;lang=en_US&amp;offset=0&amp;query=any,contains,991001907809702656","Catalog Record")</f>
        <v/>
      </c>
      <c r="AV1120">
        <f>HYPERLINK("http://www.worldcat.org/oclc/24093939","WorldCat Record")</f>
        <v/>
      </c>
      <c r="AW1120" t="inlineStr">
        <is>
          <t>25970000:eng</t>
        </is>
      </c>
      <c r="AX1120" t="inlineStr">
        <is>
          <t>24093939</t>
        </is>
      </c>
      <c r="AY1120" t="inlineStr">
        <is>
          <t>991001907809702656</t>
        </is>
      </c>
      <c r="AZ1120" t="inlineStr">
        <is>
          <t>991001907809702656</t>
        </is>
      </c>
      <c r="BA1120" t="inlineStr">
        <is>
          <t>2258092160002656</t>
        </is>
      </c>
      <c r="BB1120" t="inlineStr">
        <is>
          <t>BOOK</t>
        </is>
      </c>
      <c r="BD1120" t="inlineStr">
        <is>
          <t>9780748602476</t>
        </is>
      </c>
      <c r="BE1120" t="inlineStr">
        <is>
          <t>32285001006450</t>
        </is>
      </c>
      <c r="BF1120" t="inlineStr">
        <is>
          <t>893516663</t>
        </is>
      </c>
    </row>
    <row r="1121">
      <c r="A1121" t="inlineStr">
        <is>
          <t>No</t>
        </is>
      </c>
      <c r="B1121" t="inlineStr">
        <is>
          <t>CURAL</t>
        </is>
      </c>
      <c r="C1121" t="inlineStr">
        <is>
          <t>SHELVES</t>
        </is>
      </c>
      <c r="D1121" t="inlineStr">
        <is>
          <t>PR3545.M6 Z74</t>
        </is>
      </c>
      <c r="E1121" t="inlineStr">
        <is>
          <t>0                      PR 3545000M  6                  Z  74</t>
        </is>
      </c>
      <c r="F1121" t="inlineStr">
        <is>
          <t>The ambivalence of Bernard Mandeville / by Hector Monro. --</t>
        </is>
      </c>
      <c r="H1121" t="inlineStr">
        <is>
          <t>No</t>
        </is>
      </c>
      <c r="I1121" t="inlineStr">
        <is>
          <t>1</t>
        </is>
      </c>
      <c r="J1121" t="inlineStr">
        <is>
          <t>No</t>
        </is>
      </c>
      <c r="K1121" t="inlineStr">
        <is>
          <t>No</t>
        </is>
      </c>
      <c r="L1121" t="inlineStr">
        <is>
          <t>0</t>
        </is>
      </c>
      <c r="M1121" t="inlineStr">
        <is>
          <t>Monro, D. H. (David Hector)</t>
        </is>
      </c>
      <c r="N1121" t="inlineStr">
        <is>
          <t>Oxford : Clarendon Press, 1975.</t>
        </is>
      </c>
      <c r="O1121" t="inlineStr">
        <is>
          <t>1975</t>
        </is>
      </c>
      <c r="Q1121" t="inlineStr">
        <is>
          <t>eng</t>
        </is>
      </c>
      <c r="R1121" t="inlineStr">
        <is>
          <t>enk</t>
        </is>
      </c>
      <c r="T1121" t="inlineStr">
        <is>
          <t xml:space="preserve">PR </t>
        </is>
      </c>
      <c r="U1121" t="n">
        <v>2</v>
      </c>
      <c r="V1121" t="n">
        <v>2</v>
      </c>
      <c r="W1121" t="inlineStr">
        <is>
          <t>2010-04-14</t>
        </is>
      </c>
      <c r="X1121" t="inlineStr">
        <is>
          <t>2010-04-14</t>
        </is>
      </c>
      <c r="Y1121" t="inlineStr">
        <is>
          <t>1991-04-29</t>
        </is>
      </c>
      <c r="Z1121" t="inlineStr">
        <is>
          <t>1991-04-29</t>
        </is>
      </c>
      <c r="AA1121" t="n">
        <v>407</v>
      </c>
      <c r="AB1121" t="n">
        <v>277</v>
      </c>
      <c r="AC1121" t="n">
        <v>284</v>
      </c>
      <c r="AD1121" t="n">
        <v>3</v>
      </c>
      <c r="AE1121" t="n">
        <v>3</v>
      </c>
      <c r="AF1121" t="n">
        <v>12</v>
      </c>
      <c r="AG1121" t="n">
        <v>12</v>
      </c>
      <c r="AH1121" t="n">
        <v>2</v>
      </c>
      <c r="AI1121" t="n">
        <v>2</v>
      </c>
      <c r="AJ1121" t="n">
        <v>3</v>
      </c>
      <c r="AK1121" t="n">
        <v>3</v>
      </c>
      <c r="AL1121" t="n">
        <v>8</v>
      </c>
      <c r="AM1121" t="n">
        <v>8</v>
      </c>
      <c r="AN1121" t="n">
        <v>2</v>
      </c>
      <c r="AO1121" t="n">
        <v>2</v>
      </c>
      <c r="AP1121" t="n">
        <v>0</v>
      </c>
      <c r="AQ1121" t="n">
        <v>0</v>
      </c>
      <c r="AR1121" t="inlineStr">
        <is>
          <t>No</t>
        </is>
      </c>
      <c r="AS1121" t="inlineStr">
        <is>
          <t>Yes</t>
        </is>
      </c>
      <c r="AT1121">
        <f>HYPERLINK("http://catalog.hathitrust.org/Record/000022096","HathiTrust Record")</f>
        <v/>
      </c>
      <c r="AU1121">
        <f>HYPERLINK("https://creighton-primo.hosted.exlibrisgroup.com/primo-explore/search?tab=default_tab&amp;search_scope=EVERYTHING&amp;vid=01CRU&amp;lang=en_US&amp;offset=0&amp;query=any,contains,991003742219702656","Catalog Record")</f>
        <v/>
      </c>
      <c r="AV1121">
        <f>HYPERLINK("http://www.worldcat.org/oclc/1408377","WorldCat Record")</f>
        <v/>
      </c>
      <c r="AW1121" t="inlineStr">
        <is>
          <t>2264987:eng</t>
        </is>
      </c>
      <c r="AX1121" t="inlineStr">
        <is>
          <t>1408377</t>
        </is>
      </c>
      <c r="AY1121" t="inlineStr">
        <is>
          <t>991003742219702656</t>
        </is>
      </c>
      <c r="AZ1121" t="inlineStr">
        <is>
          <t>991003742219702656</t>
        </is>
      </c>
      <c r="BA1121" t="inlineStr">
        <is>
          <t>2267944000002656</t>
        </is>
      </c>
      <c r="BB1121" t="inlineStr">
        <is>
          <t>BOOK</t>
        </is>
      </c>
      <c r="BD1121" t="inlineStr">
        <is>
          <t>9780198120612</t>
        </is>
      </c>
      <c r="BE1121" t="inlineStr">
        <is>
          <t>32285000588565</t>
        </is>
      </c>
      <c r="BF1121" t="inlineStr">
        <is>
          <t>893512305</t>
        </is>
      </c>
    </row>
    <row r="1122">
      <c r="A1122" t="inlineStr">
        <is>
          <t>No</t>
        </is>
      </c>
      <c r="B1122" t="inlineStr">
        <is>
          <t>CURAL</t>
        </is>
      </c>
      <c r="C1122" t="inlineStr">
        <is>
          <t>SHELVES</t>
        </is>
      </c>
      <c r="D1122" t="inlineStr">
        <is>
          <t>PR3545.M8 S4 1992</t>
        </is>
      </c>
      <c r="E1122" t="inlineStr">
        <is>
          <t>0                      PR 3545000M  8                  S  4           1992</t>
        </is>
      </c>
      <c r="F1122" t="inlineStr">
        <is>
          <t>New Atalantis / Delarivier Manley ; edited by Rosalind Ballaster.</t>
        </is>
      </c>
      <c r="H1122" t="inlineStr">
        <is>
          <t>No</t>
        </is>
      </c>
      <c r="I1122" t="inlineStr">
        <is>
          <t>1</t>
        </is>
      </c>
      <c r="J1122" t="inlineStr">
        <is>
          <t>No</t>
        </is>
      </c>
      <c r="K1122" t="inlineStr">
        <is>
          <t>No</t>
        </is>
      </c>
      <c r="L1122" t="inlineStr">
        <is>
          <t>0</t>
        </is>
      </c>
      <c r="M1122" t="inlineStr">
        <is>
          <t>Manley, Delarivier.</t>
        </is>
      </c>
      <c r="N1122" t="inlineStr">
        <is>
          <t>London : Penguin, 1992.</t>
        </is>
      </c>
      <c r="O1122" t="inlineStr">
        <is>
          <t>1992</t>
        </is>
      </c>
      <c r="Q1122" t="inlineStr">
        <is>
          <t>eng</t>
        </is>
      </c>
      <c r="R1122" t="inlineStr">
        <is>
          <t>enk</t>
        </is>
      </c>
      <c r="T1122" t="inlineStr">
        <is>
          <t xml:space="preserve">PR </t>
        </is>
      </c>
      <c r="U1122" t="n">
        <v>1</v>
      </c>
      <c r="V1122" t="n">
        <v>1</v>
      </c>
      <c r="W1122" t="inlineStr">
        <is>
          <t>2005-03-03</t>
        </is>
      </c>
      <c r="X1122" t="inlineStr">
        <is>
          <t>2005-03-03</t>
        </is>
      </c>
      <c r="Y1122" t="inlineStr">
        <is>
          <t>2005-03-03</t>
        </is>
      </c>
      <c r="Z1122" t="inlineStr">
        <is>
          <t>2005-03-03</t>
        </is>
      </c>
      <c r="AA1122" t="n">
        <v>83</v>
      </c>
      <c r="AB1122" t="n">
        <v>50</v>
      </c>
      <c r="AC1122" t="n">
        <v>460</v>
      </c>
      <c r="AD1122" t="n">
        <v>1</v>
      </c>
      <c r="AE1122" t="n">
        <v>4</v>
      </c>
      <c r="AF1122" t="n">
        <v>1</v>
      </c>
      <c r="AG1122" t="n">
        <v>28</v>
      </c>
      <c r="AH1122" t="n">
        <v>1</v>
      </c>
      <c r="AI1122" t="n">
        <v>11</v>
      </c>
      <c r="AJ1122" t="n">
        <v>0</v>
      </c>
      <c r="AK1122" t="n">
        <v>8</v>
      </c>
      <c r="AL1122" t="n">
        <v>0</v>
      </c>
      <c r="AM1122" t="n">
        <v>12</v>
      </c>
      <c r="AN1122" t="n">
        <v>0</v>
      </c>
      <c r="AO1122" t="n">
        <v>3</v>
      </c>
      <c r="AP1122" t="n">
        <v>0</v>
      </c>
      <c r="AQ1122" t="n">
        <v>1</v>
      </c>
      <c r="AR1122" t="inlineStr">
        <is>
          <t>No</t>
        </is>
      </c>
      <c r="AS1122" t="inlineStr">
        <is>
          <t>No</t>
        </is>
      </c>
      <c r="AU1122">
        <f>HYPERLINK("https://creighton-primo.hosted.exlibrisgroup.com/primo-explore/search?tab=default_tab&amp;search_scope=EVERYTHING&amp;vid=01CRU&amp;lang=en_US&amp;offset=0&amp;query=any,contains,991004491939702656","Catalog Record")</f>
        <v/>
      </c>
      <c r="AV1122">
        <f>HYPERLINK("http://www.worldcat.org/oclc/28222793","WorldCat Record")</f>
        <v/>
      </c>
      <c r="AW1122" t="inlineStr">
        <is>
          <t>376542395:eng</t>
        </is>
      </c>
      <c r="AX1122" t="inlineStr">
        <is>
          <t>28222793</t>
        </is>
      </c>
      <c r="AY1122" t="inlineStr">
        <is>
          <t>991004491939702656</t>
        </is>
      </c>
      <c r="AZ1122" t="inlineStr">
        <is>
          <t>991004491939702656</t>
        </is>
      </c>
      <c r="BA1122" t="inlineStr">
        <is>
          <t>2261885030002656</t>
        </is>
      </c>
      <c r="BB1122" t="inlineStr">
        <is>
          <t>BOOK</t>
        </is>
      </c>
      <c r="BD1122" t="inlineStr">
        <is>
          <t>9780140433708</t>
        </is>
      </c>
      <c r="BE1122" t="inlineStr">
        <is>
          <t>32285005029318</t>
        </is>
      </c>
      <c r="BF1122" t="inlineStr">
        <is>
          <t>893722457</t>
        </is>
      </c>
    </row>
    <row r="1123">
      <c r="A1123" t="inlineStr">
        <is>
          <t>No</t>
        </is>
      </c>
      <c r="B1123" t="inlineStr">
        <is>
          <t>CURAL</t>
        </is>
      </c>
      <c r="C1123" t="inlineStr">
        <is>
          <t>SHELVES</t>
        </is>
      </c>
      <c r="D1123" t="inlineStr">
        <is>
          <t>PR3546 .A94</t>
        </is>
      </c>
      <c r="E1123" t="inlineStr">
        <is>
          <t>0                      PR 3546000A  94</t>
        </is>
      </c>
      <c r="F1123" t="inlineStr">
        <is>
          <t>Approaches to Marvell : the York tercentenary lectures / by Philip Brockbank ... [et al.] ; edited by C. A. Patrides.</t>
        </is>
      </c>
      <c r="H1123" t="inlineStr">
        <is>
          <t>No</t>
        </is>
      </c>
      <c r="I1123" t="inlineStr">
        <is>
          <t>1</t>
        </is>
      </c>
      <c r="J1123" t="inlineStr">
        <is>
          <t>No</t>
        </is>
      </c>
      <c r="K1123" t="inlineStr">
        <is>
          <t>No</t>
        </is>
      </c>
      <c r="L1123" t="inlineStr">
        <is>
          <t>0</t>
        </is>
      </c>
      <c r="N1123" t="inlineStr">
        <is>
          <t>London ; Boston : Routledge &amp; K. Paul, 1978.</t>
        </is>
      </c>
      <c r="O1123" t="inlineStr">
        <is>
          <t>1978</t>
        </is>
      </c>
      <c r="Q1123" t="inlineStr">
        <is>
          <t>eng</t>
        </is>
      </c>
      <c r="R1123" t="inlineStr">
        <is>
          <t>enk</t>
        </is>
      </c>
      <c r="T1123" t="inlineStr">
        <is>
          <t xml:space="preserve">PR </t>
        </is>
      </c>
      <c r="U1123" t="n">
        <v>11</v>
      </c>
      <c r="V1123" t="n">
        <v>11</v>
      </c>
      <c r="W1123" t="inlineStr">
        <is>
          <t>1997-09-24</t>
        </is>
      </c>
      <c r="X1123" t="inlineStr">
        <is>
          <t>1997-09-24</t>
        </is>
      </c>
      <c r="Y1123" t="inlineStr">
        <is>
          <t>1991-04-29</t>
        </is>
      </c>
      <c r="Z1123" t="inlineStr">
        <is>
          <t>1991-04-29</t>
        </is>
      </c>
      <c r="AA1123" t="n">
        <v>662</v>
      </c>
      <c r="AB1123" t="n">
        <v>491</v>
      </c>
      <c r="AC1123" t="n">
        <v>499</v>
      </c>
      <c r="AD1123" t="n">
        <v>5</v>
      </c>
      <c r="AE1123" t="n">
        <v>5</v>
      </c>
      <c r="AF1123" t="n">
        <v>33</v>
      </c>
      <c r="AG1123" t="n">
        <v>33</v>
      </c>
      <c r="AH1123" t="n">
        <v>13</v>
      </c>
      <c r="AI1123" t="n">
        <v>13</v>
      </c>
      <c r="AJ1123" t="n">
        <v>9</v>
      </c>
      <c r="AK1123" t="n">
        <v>9</v>
      </c>
      <c r="AL1123" t="n">
        <v>18</v>
      </c>
      <c r="AM1123" t="n">
        <v>18</v>
      </c>
      <c r="AN1123" t="n">
        <v>4</v>
      </c>
      <c r="AO1123" t="n">
        <v>4</v>
      </c>
      <c r="AP1123" t="n">
        <v>0</v>
      </c>
      <c r="AQ1123" t="n">
        <v>0</v>
      </c>
      <c r="AR1123" t="inlineStr">
        <is>
          <t>No</t>
        </is>
      </c>
      <c r="AS1123" t="inlineStr">
        <is>
          <t>Yes</t>
        </is>
      </c>
      <c r="AT1123">
        <f>HYPERLINK("http://catalog.hathitrust.org/Record/000260196","HathiTrust Record")</f>
        <v/>
      </c>
      <c r="AU1123">
        <f>HYPERLINK("https://creighton-primo.hosted.exlibrisgroup.com/primo-explore/search?tab=default_tab&amp;search_scope=EVERYTHING&amp;vid=01CRU&amp;lang=en_US&amp;offset=0&amp;query=any,contains,991004696739702656","Catalog Record")</f>
        <v/>
      </c>
      <c r="AV1123">
        <f>HYPERLINK("http://www.worldcat.org/oclc/4642121","WorldCat Record")</f>
        <v/>
      </c>
      <c r="AW1123" t="inlineStr">
        <is>
          <t>347155272:eng</t>
        </is>
      </c>
      <c r="AX1123" t="inlineStr">
        <is>
          <t>4642121</t>
        </is>
      </c>
      <c r="AY1123" t="inlineStr">
        <is>
          <t>991004696739702656</t>
        </is>
      </c>
      <c r="AZ1123" t="inlineStr">
        <is>
          <t>991004696739702656</t>
        </is>
      </c>
      <c r="BA1123" t="inlineStr">
        <is>
          <t>2258004060002656</t>
        </is>
      </c>
      <c r="BB1123" t="inlineStr">
        <is>
          <t>BOOK</t>
        </is>
      </c>
      <c r="BD1123" t="inlineStr">
        <is>
          <t>9780710088185</t>
        </is>
      </c>
      <c r="BE1123" t="inlineStr">
        <is>
          <t>32285000588599</t>
        </is>
      </c>
      <c r="BF1123" t="inlineStr">
        <is>
          <t>893889148</t>
        </is>
      </c>
    </row>
    <row r="1124">
      <c r="A1124" t="inlineStr">
        <is>
          <t>No</t>
        </is>
      </c>
      <c r="B1124" t="inlineStr">
        <is>
          <t>CURAL</t>
        </is>
      </c>
      <c r="C1124" t="inlineStr">
        <is>
          <t>SHELVES</t>
        </is>
      </c>
      <c r="D1124" t="inlineStr">
        <is>
          <t>PR3546 .B36</t>
        </is>
      </c>
      <c r="E1124" t="inlineStr">
        <is>
          <t>0                      PR 3546000B  36</t>
        </is>
      </c>
      <c r="F1124" t="inlineStr">
        <is>
          <t>The resolved soul : a study of Marvell's major poems / by Ann E. Berthoff.</t>
        </is>
      </c>
      <c r="H1124" t="inlineStr">
        <is>
          <t>No</t>
        </is>
      </c>
      <c r="I1124" t="inlineStr">
        <is>
          <t>1</t>
        </is>
      </c>
      <c r="J1124" t="inlineStr">
        <is>
          <t>No</t>
        </is>
      </c>
      <c r="K1124" t="inlineStr">
        <is>
          <t>No</t>
        </is>
      </c>
      <c r="L1124" t="inlineStr">
        <is>
          <t>0</t>
        </is>
      </c>
      <c r="M1124" t="inlineStr">
        <is>
          <t>Berthoff, Ann E.</t>
        </is>
      </c>
      <c r="N1124" t="inlineStr">
        <is>
          <t>Princeton : Princeton University Press, 1970.</t>
        </is>
      </c>
      <c r="O1124" t="inlineStr">
        <is>
          <t>1970</t>
        </is>
      </c>
      <c r="Q1124" t="inlineStr">
        <is>
          <t>eng</t>
        </is>
      </c>
      <c r="R1124" t="inlineStr">
        <is>
          <t>nju</t>
        </is>
      </c>
      <c r="T1124" t="inlineStr">
        <is>
          <t xml:space="preserve">PR </t>
        </is>
      </c>
      <c r="U1124" t="n">
        <v>10</v>
      </c>
      <c r="V1124" t="n">
        <v>10</v>
      </c>
      <c r="W1124" t="inlineStr">
        <is>
          <t>2010-11-13</t>
        </is>
      </c>
      <c r="X1124" t="inlineStr">
        <is>
          <t>2010-11-13</t>
        </is>
      </c>
      <c r="Y1124" t="inlineStr">
        <is>
          <t>1990-09-20</t>
        </is>
      </c>
      <c r="Z1124" t="inlineStr">
        <is>
          <t>1990-09-20</t>
        </is>
      </c>
      <c r="AA1124" t="n">
        <v>822</v>
      </c>
      <c r="AB1124" t="n">
        <v>678</v>
      </c>
      <c r="AC1124" t="n">
        <v>941</v>
      </c>
      <c r="AD1124" t="n">
        <v>6</v>
      </c>
      <c r="AE1124" t="n">
        <v>8</v>
      </c>
      <c r="AF1124" t="n">
        <v>32</v>
      </c>
      <c r="AG1124" t="n">
        <v>41</v>
      </c>
      <c r="AH1124" t="n">
        <v>15</v>
      </c>
      <c r="AI1124" t="n">
        <v>19</v>
      </c>
      <c r="AJ1124" t="n">
        <v>7</v>
      </c>
      <c r="AK1124" t="n">
        <v>10</v>
      </c>
      <c r="AL1124" t="n">
        <v>14</v>
      </c>
      <c r="AM1124" t="n">
        <v>18</v>
      </c>
      <c r="AN1124" t="n">
        <v>4</v>
      </c>
      <c r="AO1124" t="n">
        <v>5</v>
      </c>
      <c r="AP1124" t="n">
        <v>0</v>
      </c>
      <c r="AQ1124" t="n">
        <v>0</v>
      </c>
      <c r="AR1124" t="inlineStr">
        <is>
          <t>No</t>
        </is>
      </c>
      <c r="AS1124" t="inlineStr">
        <is>
          <t>No</t>
        </is>
      </c>
      <c r="AU1124">
        <f>HYPERLINK("https://creighton-primo.hosted.exlibrisgroup.com/primo-explore/search?tab=default_tab&amp;search_scope=EVERYTHING&amp;vid=01CRU&amp;lang=en_US&amp;offset=0&amp;query=any,contains,991000139309702656","Catalog Record")</f>
        <v/>
      </c>
      <c r="AV1124">
        <f>HYPERLINK("http://www.worldcat.org/oclc/57275","WorldCat Record")</f>
        <v/>
      </c>
      <c r="AW1124" t="inlineStr">
        <is>
          <t>1191916:eng</t>
        </is>
      </c>
      <c r="AX1124" t="inlineStr">
        <is>
          <t>57275</t>
        </is>
      </c>
      <c r="AY1124" t="inlineStr">
        <is>
          <t>991000139309702656</t>
        </is>
      </c>
      <c r="AZ1124" t="inlineStr">
        <is>
          <t>991000139309702656</t>
        </is>
      </c>
      <c r="BA1124" t="inlineStr">
        <is>
          <t>2261757560002656</t>
        </is>
      </c>
      <c r="BB1124" t="inlineStr">
        <is>
          <t>BOOK</t>
        </is>
      </c>
      <c r="BD1124" t="inlineStr">
        <is>
          <t>9780691061665</t>
        </is>
      </c>
      <c r="BE1124" t="inlineStr">
        <is>
          <t>32285000306281</t>
        </is>
      </c>
      <c r="BF1124" t="inlineStr">
        <is>
          <t>893345420</t>
        </is>
      </c>
    </row>
    <row r="1125">
      <c r="A1125" t="inlineStr">
        <is>
          <t>No</t>
        </is>
      </c>
      <c r="B1125" t="inlineStr">
        <is>
          <t>CURAL</t>
        </is>
      </c>
      <c r="C1125" t="inlineStr">
        <is>
          <t>SHELVES</t>
        </is>
      </c>
      <c r="D1125" t="inlineStr">
        <is>
          <t>PR3546 .B4</t>
        </is>
      </c>
      <c r="E1125" t="inlineStr">
        <is>
          <t>0                      PR 3546000B  4</t>
        </is>
      </c>
      <c r="F1125" t="inlineStr">
        <is>
          <t>Andrew Marvell / by Augustine Birrell.</t>
        </is>
      </c>
      <c r="H1125" t="inlineStr">
        <is>
          <t>No</t>
        </is>
      </c>
      <c r="I1125" t="inlineStr">
        <is>
          <t>1</t>
        </is>
      </c>
      <c r="J1125" t="inlineStr">
        <is>
          <t>No</t>
        </is>
      </c>
      <c r="K1125" t="inlineStr">
        <is>
          <t>No</t>
        </is>
      </c>
      <c r="L1125" t="inlineStr">
        <is>
          <t>0</t>
        </is>
      </c>
      <c r="M1125" t="inlineStr">
        <is>
          <t>Birrell, Augustine, 1850-1933.</t>
        </is>
      </c>
      <c r="N1125" t="inlineStr">
        <is>
          <t>London : Macmillan &amp; co., ltd., 1905.</t>
        </is>
      </c>
      <c r="O1125" t="inlineStr">
        <is>
          <t>1905</t>
        </is>
      </c>
      <c r="Q1125" t="inlineStr">
        <is>
          <t>eng</t>
        </is>
      </c>
      <c r="R1125" t="inlineStr">
        <is>
          <t>enk</t>
        </is>
      </c>
      <c r="S1125" t="inlineStr">
        <is>
          <t>English men of letters</t>
        </is>
      </c>
      <c r="T1125" t="inlineStr">
        <is>
          <t xml:space="preserve">PR </t>
        </is>
      </c>
      <c r="U1125" t="n">
        <v>1</v>
      </c>
      <c r="V1125" t="n">
        <v>1</v>
      </c>
      <c r="W1125" t="inlineStr">
        <is>
          <t>1993-02-25</t>
        </is>
      </c>
      <c r="X1125" t="inlineStr">
        <is>
          <t>1993-02-25</t>
        </is>
      </c>
      <c r="Y1125" t="inlineStr">
        <is>
          <t>1990-10-04</t>
        </is>
      </c>
      <c r="Z1125" t="inlineStr">
        <is>
          <t>1990-10-04</t>
        </is>
      </c>
      <c r="AA1125" t="n">
        <v>227</v>
      </c>
      <c r="AB1125" t="n">
        <v>138</v>
      </c>
      <c r="AC1125" t="n">
        <v>532</v>
      </c>
      <c r="AD1125" t="n">
        <v>3</v>
      </c>
      <c r="AE1125" t="n">
        <v>5</v>
      </c>
      <c r="AF1125" t="n">
        <v>3</v>
      </c>
      <c r="AG1125" t="n">
        <v>21</v>
      </c>
      <c r="AH1125" t="n">
        <v>0</v>
      </c>
      <c r="AI1125" t="n">
        <v>4</v>
      </c>
      <c r="AJ1125" t="n">
        <v>1</v>
      </c>
      <c r="AK1125" t="n">
        <v>8</v>
      </c>
      <c r="AL1125" t="n">
        <v>1</v>
      </c>
      <c r="AM1125" t="n">
        <v>9</v>
      </c>
      <c r="AN1125" t="n">
        <v>2</v>
      </c>
      <c r="AO1125" t="n">
        <v>4</v>
      </c>
      <c r="AP1125" t="n">
        <v>0</v>
      </c>
      <c r="AQ1125" t="n">
        <v>0</v>
      </c>
      <c r="AR1125" t="inlineStr">
        <is>
          <t>No</t>
        </is>
      </c>
      <c r="AS1125" t="inlineStr">
        <is>
          <t>No</t>
        </is>
      </c>
      <c r="AU1125">
        <f>HYPERLINK("https://creighton-primo.hosted.exlibrisgroup.com/primo-explore/search?tab=default_tab&amp;search_scope=EVERYTHING&amp;vid=01CRU&amp;lang=en_US&amp;offset=0&amp;query=any,contains,991000954529702656","Catalog Record")</f>
        <v/>
      </c>
      <c r="AV1125">
        <f>HYPERLINK("http://www.worldcat.org/oclc/14710072","WorldCat Record")</f>
        <v/>
      </c>
      <c r="AW1125" t="inlineStr">
        <is>
          <t>1405708:eng</t>
        </is>
      </c>
      <c r="AX1125" t="inlineStr">
        <is>
          <t>14710072</t>
        </is>
      </c>
      <c r="AY1125" t="inlineStr">
        <is>
          <t>991000954529702656</t>
        </is>
      </c>
      <c r="AZ1125" t="inlineStr">
        <is>
          <t>991000954529702656</t>
        </is>
      </c>
      <c r="BA1125" t="inlineStr">
        <is>
          <t>2270716670002656</t>
        </is>
      </c>
      <c r="BB1125" t="inlineStr">
        <is>
          <t>BOOK</t>
        </is>
      </c>
      <c r="BE1125" t="inlineStr">
        <is>
          <t>32285000331958</t>
        </is>
      </c>
      <c r="BF1125" t="inlineStr">
        <is>
          <t>893903222</t>
        </is>
      </c>
    </row>
    <row r="1126">
      <c r="A1126" t="inlineStr">
        <is>
          <t>No</t>
        </is>
      </c>
      <c r="B1126" t="inlineStr">
        <is>
          <t>CURAL</t>
        </is>
      </c>
      <c r="C1126" t="inlineStr">
        <is>
          <t>SHELVES</t>
        </is>
      </c>
      <c r="D1126" t="inlineStr">
        <is>
          <t>PR3546 .C3 1969</t>
        </is>
      </c>
      <c r="E1126" t="inlineStr">
        <is>
          <t>0                      PR 3546000C  3           1969</t>
        </is>
      </c>
      <c r="F1126" t="inlineStr">
        <is>
          <t>Andrew Marvell : a critical anthology / edited by John Carey.</t>
        </is>
      </c>
      <c r="H1126" t="inlineStr">
        <is>
          <t>No</t>
        </is>
      </c>
      <c r="I1126" t="inlineStr">
        <is>
          <t>1</t>
        </is>
      </c>
      <c r="J1126" t="inlineStr">
        <is>
          <t>No</t>
        </is>
      </c>
      <c r="K1126" t="inlineStr">
        <is>
          <t>No</t>
        </is>
      </c>
      <c r="L1126" t="inlineStr">
        <is>
          <t>0</t>
        </is>
      </c>
      <c r="M1126" t="inlineStr">
        <is>
          <t>Carey, John, 1934-</t>
        </is>
      </c>
      <c r="N1126" t="inlineStr">
        <is>
          <t>Baltimore : Penguin, 1969.</t>
        </is>
      </c>
      <c r="O1126" t="inlineStr">
        <is>
          <t>1969</t>
        </is>
      </c>
      <c r="Q1126" t="inlineStr">
        <is>
          <t>eng</t>
        </is>
      </c>
      <c r="R1126" t="inlineStr">
        <is>
          <t>enk</t>
        </is>
      </c>
      <c r="S1126" t="inlineStr">
        <is>
          <t>Penguin critical anthologies</t>
        </is>
      </c>
      <c r="T1126" t="inlineStr">
        <is>
          <t xml:space="preserve">PR </t>
        </is>
      </c>
      <c r="U1126" t="n">
        <v>3</v>
      </c>
      <c r="V1126" t="n">
        <v>3</v>
      </c>
      <c r="W1126" t="inlineStr">
        <is>
          <t>2010-11-13</t>
        </is>
      </c>
      <c r="X1126" t="inlineStr">
        <is>
          <t>2010-11-13</t>
        </is>
      </c>
      <c r="Y1126" t="inlineStr">
        <is>
          <t>2001-07-12</t>
        </is>
      </c>
      <c r="Z1126" t="inlineStr">
        <is>
          <t>2001-07-12</t>
        </is>
      </c>
      <c r="AA1126" t="n">
        <v>297</v>
      </c>
      <c r="AB1126" t="n">
        <v>181</v>
      </c>
      <c r="AC1126" t="n">
        <v>226</v>
      </c>
      <c r="AD1126" t="n">
        <v>4</v>
      </c>
      <c r="AE1126" t="n">
        <v>4</v>
      </c>
      <c r="AF1126" t="n">
        <v>12</v>
      </c>
      <c r="AG1126" t="n">
        <v>14</v>
      </c>
      <c r="AH1126" t="n">
        <v>3</v>
      </c>
      <c r="AI1126" t="n">
        <v>4</v>
      </c>
      <c r="AJ1126" t="n">
        <v>0</v>
      </c>
      <c r="AK1126" t="n">
        <v>0</v>
      </c>
      <c r="AL1126" t="n">
        <v>7</v>
      </c>
      <c r="AM1126" t="n">
        <v>9</v>
      </c>
      <c r="AN1126" t="n">
        <v>3</v>
      </c>
      <c r="AO1126" t="n">
        <v>3</v>
      </c>
      <c r="AP1126" t="n">
        <v>0</v>
      </c>
      <c r="AQ1126" t="n">
        <v>0</v>
      </c>
      <c r="AR1126" t="inlineStr">
        <is>
          <t>No</t>
        </is>
      </c>
      <c r="AS1126" t="inlineStr">
        <is>
          <t>Yes</t>
        </is>
      </c>
      <c r="AT1126">
        <f>HYPERLINK("http://catalog.hathitrust.org/Record/007116720","HathiTrust Record")</f>
        <v/>
      </c>
      <c r="AU1126">
        <f>HYPERLINK("https://creighton-primo.hosted.exlibrisgroup.com/primo-explore/search?tab=default_tab&amp;search_scope=EVERYTHING&amp;vid=01CRU&amp;lang=en_US&amp;offset=0&amp;query=any,contains,991003568829702656","Catalog Record")</f>
        <v/>
      </c>
      <c r="AV1126">
        <f>HYPERLINK("http://www.worldcat.org/oclc/97227","WorldCat Record")</f>
        <v/>
      </c>
      <c r="AW1126" t="inlineStr">
        <is>
          <t>1807246834:eng</t>
        </is>
      </c>
      <c r="AX1126" t="inlineStr">
        <is>
          <t>97227</t>
        </is>
      </c>
      <c r="AY1126" t="inlineStr">
        <is>
          <t>991003568829702656</t>
        </is>
      </c>
      <c r="AZ1126" t="inlineStr">
        <is>
          <t>991003568829702656</t>
        </is>
      </c>
      <c r="BA1126" t="inlineStr">
        <is>
          <t>2269859290002656</t>
        </is>
      </c>
      <c r="BB1126" t="inlineStr">
        <is>
          <t>BOOK</t>
        </is>
      </c>
      <c r="BD1126" t="inlineStr">
        <is>
          <t>9780140801231</t>
        </is>
      </c>
      <c r="BE1126" t="inlineStr">
        <is>
          <t>32285004332465</t>
        </is>
      </c>
      <c r="BF1126" t="inlineStr">
        <is>
          <t>893774885</t>
        </is>
      </c>
    </row>
    <row r="1127">
      <c r="A1127" t="inlineStr">
        <is>
          <t>No</t>
        </is>
      </c>
      <c r="B1127" t="inlineStr">
        <is>
          <t>CURAL</t>
        </is>
      </c>
      <c r="C1127" t="inlineStr">
        <is>
          <t>SHELVES</t>
        </is>
      </c>
      <c r="D1127" t="inlineStr">
        <is>
          <t>PR3546 .C6</t>
        </is>
      </c>
      <c r="E1127" t="inlineStr">
        <is>
          <t>0                      PR 3546000C  6</t>
        </is>
      </c>
      <c r="F1127" t="inlineStr">
        <is>
          <t>"My ecchoing song" : Andrew Marvell's poetry of criticism / by Rosalie L. Colie.</t>
        </is>
      </c>
      <c r="H1127" t="inlineStr">
        <is>
          <t>No</t>
        </is>
      </c>
      <c r="I1127" t="inlineStr">
        <is>
          <t>1</t>
        </is>
      </c>
      <c r="J1127" t="inlineStr">
        <is>
          <t>No</t>
        </is>
      </c>
      <c r="K1127" t="inlineStr">
        <is>
          <t>No</t>
        </is>
      </c>
      <c r="L1127" t="inlineStr">
        <is>
          <t>0</t>
        </is>
      </c>
      <c r="M1127" t="inlineStr">
        <is>
          <t>Colie, Rosalie Littell.</t>
        </is>
      </c>
      <c r="N1127" t="inlineStr">
        <is>
          <t>Princeton, N.J. : Princeton University Press, 1970.</t>
        </is>
      </c>
      <c r="O1127" t="inlineStr">
        <is>
          <t>1970</t>
        </is>
      </c>
      <c r="Q1127" t="inlineStr">
        <is>
          <t>eng</t>
        </is>
      </c>
      <c r="R1127" t="inlineStr">
        <is>
          <t>nju</t>
        </is>
      </c>
      <c r="T1127" t="inlineStr">
        <is>
          <t xml:space="preserve">PR </t>
        </is>
      </c>
      <c r="U1127" t="n">
        <v>6</v>
      </c>
      <c r="V1127" t="n">
        <v>6</v>
      </c>
      <c r="W1127" t="inlineStr">
        <is>
          <t>1997-09-07</t>
        </is>
      </c>
      <c r="X1127" t="inlineStr">
        <is>
          <t>1997-09-07</t>
        </is>
      </c>
      <c r="Y1127" t="inlineStr">
        <is>
          <t>1990-10-02</t>
        </is>
      </c>
      <c r="Z1127" t="inlineStr">
        <is>
          <t>1990-10-02</t>
        </is>
      </c>
      <c r="AA1127" t="n">
        <v>818</v>
      </c>
      <c r="AB1127" t="n">
        <v>662</v>
      </c>
      <c r="AC1127" t="n">
        <v>849</v>
      </c>
      <c r="AD1127" t="n">
        <v>5</v>
      </c>
      <c r="AE1127" t="n">
        <v>7</v>
      </c>
      <c r="AF1127" t="n">
        <v>31</v>
      </c>
      <c r="AG1127" t="n">
        <v>38</v>
      </c>
      <c r="AH1127" t="n">
        <v>12</v>
      </c>
      <c r="AI1127" t="n">
        <v>17</v>
      </c>
      <c r="AJ1127" t="n">
        <v>7</v>
      </c>
      <c r="AK1127" t="n">
        <v>8</v>
      </c>
      <c r="AL1127" t="n">
        <v>18</v>
      </c>
      <c r="AM1127" t="n">
        <v>18</v>
      </c>
      <c r="AN1127" t="n">
        <v>3</v>
      </c>
      <c r="AO1127" t="n">
        <v>4</v>
      </c>
      <c r="AP1127" t="n">
        <v>0</v>
      </c>
      <c r="AQ1127" t="n">
        <v>0</v>
      </c>
      <c r="AR1127" t="inlineStr">
        <is>
          <t>No</t>
        </is>
      </c>
      <c r="AS1127" t="inlineStr">
        <is>
          <t>No</t>
        </is>
      </c>
      <c r="AU1127">
        <f>HYPERLINK("https://creighton-primo.hosted.exlibrisgroup.com/primo-explore/search?tab=default_tab&amp;search_scope=EVERYTHING&amp;vid=01CRU&amp;lang=en_US&amp;offset=0&amp;query=any,contains,991000380079702656","Catalog Record")</f>
        <v/>
      </c>
      <c r="AV1127">
        <f>HYPERLINK("http://www.worldcat.org/oclc/72377","WorldCat Record")</f>
        <v/>
      </c>
      <c r="AW1127" t="inlineStr">
        <is>
          <t>1242818:eng</t>
        </is>
      </c>
      <c r="AX1127" t="inlineStr">
        <is>
          <t>72377</t>
        </is>
      </c>
      <c r="AY1127" t="inlineStr">
        <is>
          <t>991000380079702656</t>
        </is>
      </c>
      <c r="AZ1127" t="inlineStr">
        <is>
          <t>991000380079702656</t>
        </is>
      </c>
      <c r="BA1127" t="inlineStr">
        <is>
          <t>2271512510002656</t>
        </is>
      </c>
      <c r="BB1127" t="inlineStr">
        <is>
          <t>BOOK</t>
        </is>
      </c>
      <c r="BD1127" t="inlineStr">
        <is>
          <t>9780691061634</t>
        </is>
      </c>
      <c r="BE1127" t="inlineStr">
        <is>
          <t>32285000330760</t>
        </is>
      </c>
      <c r="BF1127" t="inlineStr">
        <is>
          <t>893720662</t>
        </is>
      </c>
    </row>
    <row r="1128">
      <c r="A1128" t="inlineStr">
        <is>
          <t>No</t>
        </is>
      </c>
      <c r="B1128" t="inlineStr">
        <is>
          <t>CURAL</t>
        </is>
      </c>
      <c r="C1128" t="inlineStr">
        <is>
          <t>SHELVES</t>
        </is>
      </c>
      <c r="D1128" t="inlineStr">
        <is>
          <t>PR3546 .C7 1979</t>
        </is>
      </c>
      <c r="E1128" t="inlineStr">
        <is>
          <t>0                      PR 3546000C  7           1979</t>
        </is>
      </c>
      <c r="F1128" t="inlineStr">
        <is>
          <t>The life and lyrics of Andrew Marvell / Michael Craze.</t>
        </is>
      </c>
      <c r="H1128" t="inlineStr">
        <is>
          <t>No</t>
        </is>
      </c>
      <c r="I1128" t="inlineStr">
        <is>
          <t>1</t>
        </is>
      </c>
      <c r="J1128" t="inlineStr">
        <is>
          <t>No</t>
        </is>
      </c>
      <c r="K1128" t="inlineStr">
        <is>
          <t>No</t>
        </is>
      </c>
      <c r="L1128" t="inlineStr">
        <is>
          <t>0</t>
        </is>
      </c>
      <c r="M1128" t="inlineStr">
        <is>
          <t>Craze, Michael.</t>
        </is>
      </c>
      <c r="N1128" t="inlineStr">
        <is>
          <t>New York : Barnes &amp; Noble Books, 1979.</t>
        </is>
      </c>
      <c r="O1128" t="inlineStr">
        <is>
          <t>1979</t>
        </is>
      </c>
      <c r="Q1128" t="inlineStr">
        <is>
          <t>eng</t>
        </is>
      </c>
      <c r="R1128" t="inlineStr">
        <is>
          <t>nyu</t>
        </is>
      </c>
      <c r="T1128" t="inlineStr">
        <is>
          <t xml:space="preserve">PR </t>
        </is>
      </c>
      <c r="U1128" t="n">
        <v>2</v>
      </c>
      <c r="V1128" t="n">
        <v>2</v>
      </c>
      <c r="W1128" t="inlineStr">
        <is>
          <t>1993-02-25</t>
        </is>
      </c>
      <c r="X1128" t="inlineStr">
        <is>
          <t>1993-02-25</t>
        </is>
      </c>
      <c r="Y1128" t="inlineStr">
        <is>
          <t>1991-04-29</t>
        </is>
      </c>
      <c r="Z1128" t="inlineStr">
        <is>
          <t>1991-04-29</t>
        </is>
      </c>
      <c r="AA1128" t="n">
        <v>374</v>
      </c>
      <c r="AB1128" t="n">
        <v>325</v>
      </c>
      <c r="AC1128" t="n">
        <v>378</v>
      </c>
      <c r="AD1128" t="n">
        <v>2</v>
      </c>
      <c r="AE1128" t="n">
        <v>4</v>
      </c>
      <c r="AF1128" t="n">
        <v>17</v>
      </c>
      <c r="AG1128" t="n">
        <v>19</v>
      </c>
      <c r="AH1128" t="n">
        <v>7</v>
      </c>
      <c r="AI1128" t="n">
        <v>7</v>
      </c>
      <c r="AJ1128" t="n">
        <v>3</v>
      </c>
      <c r="AK1128" t="n">
        <v>3</v>
      </c>
      <c r="AL1128" t="n">
        <v>12</v>
      </c>
      <c r="AM1128" t="n">
        <v>12</v>
      </c>
      <c r="AN1128" t="n">
        <v>1</v>
      </c>
      <c r="AO1128" t="n">
        <v>3</v>
      </c>
      <c r="AP1128" t="n">
        <v>0</v>
      </c>
      <c r="AQ1128" t="n">
        <v>0</v>
      </c>
      <c r="AR1128" t="inlineStr">
        <is>
          <t>No</t>
        </is>
      </c>
      <c r="AS1128" t="inlineStr">
        <is>
          <t>No</t>
        </is>
      </c>
      <c r="AU1128">
        <f>HYPERLINK("https://creighton-primo.hosted.exlibrisgroup.com/primo-explore/search?tab=default_tab&amp;search_scope=EVERYTHING&amp;vid=01CRU&amp;lang=en_US&amp;offset=0&amp;query=any,contains,991004938189702656","Catalog Record")</f>
        <v/>
      </c>
      <c r="AV1128">
        <f>HYPERLINK("http://www.worldcat.org/oclc/5851941","WorldCat Record")</f>
        <v/>
      </c>
      <c r="AW1128" t="inlineStr">
        <is>
          <t>18891894:eng</t>
        </is>
      </c>
      <c r="AX1128" t="inlineStr">
        <is>
          <t>5851941</t>
        </is>
      </c>
      <c r="AY1128" t="inlineStr">
        <is>
          <t>991004938189702656</t>
        </is>
      </c>
      <c r="AZ1128" t="inlineStr">
        <is>
          <t>991004938189702656</t>
        </is>
      </c>
      <c r="BA1128" t="inlineStr">
        <is>
          <t>2260484430002656</t>
        </is>
      </c>
      <c r="BB1128" t="inlineStr">
        <is>
          <t>BOOK</t>
        </is>
      </c>
      <c r="BD1128" t="inlineStr">
        <is>
          <t>9780333262504</t>
        </is>
      </c>
      <c r="BE1128" t="inlineStr">
        <is>
          <t>32285000588615</t>
        </is>
      </c>
      <c r="BF1128" t="inlineStr">
        <is>
          <t>893446463</t>
        </is>
      </c>
    </row>
    <row r="1129">
      <c r="A1129" t="inlineStr">
        <is>
          <t>No</t>
        </is>
      </c>
      <c r="B1129" t="inlineStr">
        <is>
          <t>CURAL</t>
        </is>
      </c>
      <c r="C1129" t="inlineStr">
        <is>
          <t>SHELVES</t>
        </is>
      </c>
      <c r="D1129" t="inlineStr">
        <is>
          <t>PR3546 .F7</t>
        </is>
      </c>
      <c r="E1129" t="inlineStr">
        <is>
          <t>0                      PR 3546000F  7</t>
        </is>
      </c>
      <c r="F1129" t="inlineStr">
        <is>
          <t>Marvell's pastoral art / [by] Donald M. Friedman.</t>
        </is>
      </c>
      <c r="H1129" t="inlineStr">
        <is>
          <t>No</t>
        </is>
      </c>
      <c r="I1129" t="inlineStr">
        <is>
          <t>1</t>
        </is>
      </c>
      <c r="J1129" t="inlineStr">
        <is>
          <t>No</t>
        </is>
      </c>
      <c r="K1129" t="inlineStr">
        <is>
          <t>No</t>
        </is>
      </c>
      <c r="L1129" t="inlineStr">
        <is>
          <t>0</t>
        </is>
      </c>
      <c r="M1129" t="inlineStr">
        <is>
          <t>Friedman, Donald M., 1929-</t>
        </is>
      </c>
      <c r="N1129" t="inlineStr">
        <is>
          <t>Berkeley : University of California Press, 1970.</t>
        </is>
      </c>
      <c r="O1129" t="inlineStr">
        <is>
          <t>1970</t>
        </is>
      </c>
      <c r="Q1129" t="inlineStr">
        <is>
          <t>eng</t>
        </is>
      </c>
      <c r="R1129" t="inlineStr">
        <is>
          <t>cau</t>
        </is>
      </c>
      <c r="T1129" t="inlineStr">
        <is>
          <t xml:space="preserve">PR </t>
        </is>
      </c>
      <c r="U1129" t="n">
        <v>6</v>
      </c>
      <c r="V1129" t="n">
        <v>6</v>
      </c>
      <c r="W1129" t="inlineStr">
        <is>
          <t>2010-11-13</t>
        </is>
      </c>
      <c r="X1129" t="inlineStr">
        <is>
          <t>2010-11-13</t>
        </is>
      </c>
      <c r="Y1129" t="inlineStr">
        <is>
          <t>1990-09-21</t>
        </is>
      </c>
      <c r="Z1129" t="inlineStr">
        <is>
          <t>1990-09-21</t>
        </is>
      </c>
      <c r="AA1129" t="n">
        <v>584</v>
      </c>
      <c r="AB1129" t="n">
        <v>538</v>
      </c>
      <c r="AC1129" t="n">
        <v>592</v>
      </c>
      <c r="AD1129" t="n">
        <v>6</v>
      </c>
      <c r="AE1129" t="n">
        <v>6</v>
      </c>
      <c r="AF1129" t="n">
        <v>30</v>
      </c>
      <c r="AG1129" t="n">
        <v>35</v>
      </c>
      <c r="AH1129" t="n">
        <v>11</v>
      </c>
      <c r="AI1129" t="n">
        <v>12</v>
      </c>
      <c r="AJ1129" t="n">
        <v>8</v>
      </c>
      <c r="AK1129" t="n">
        <v>9</v>
      </c>
      <c r="AL1129" t="n">
        <v>16</v>
      </c>
      <c r="AM1129" t="n">
        <v>19</v>
      </c>
      <c r="AN1129" t="n">
        <v>5</v>
      </c>
      <c r="AO1129" t="n">
        <v>5</v>
      </c>
      <c r="AP1129" t="n">
        <v>0</v>
      </c>
      <c r="AQ1129" t="n">
        <v>0</v>
      </c>
      <c r="AR1129" t="inlineStr">
        <is>
          <t>No</t>
        </is>
      </c>
      <c r="AS1129" t="inlineStr">
        <is>
          <t>No</t>
        </is>
      </c>
      <c r="AU1129">
        <f>HYPERLINK("https://creighton-primo.hosted.exlibrisgroup.com/primo-explore/search?tab=default_tab&amp;search_scope=EVERYTHING&amp;vid=01CRU&amp;lang=en_US&amp;offset=0&amp;query=any,contains,991000426139702656","Catalog Record")</f>
        <v/>
      </c>
      <c r="AV1129">
        <f>HYPERLINK("http://www.worldcat.org/oclc/75169","WorldCat Record")</f>
        <v/>
      </c>
      <c r="AW1129" t="inlineStr">
        <is>
          <t>1177174:eng</t>
        </is>
      </c>
      <c r="AX1129" t="inlineStr">
        <is>
          <t>75169</t>
        </is>
      </c>
      <c r="AY1129" t="inlineStr">
        <is>
          <t>991000426139702656</t>
        </is>
      </c>
      <c r="AZ1129" t="inlineStr">
        <is>
          <t>991000426139702656</t>
        </is>
      </c>
      <c r="BA1129" t="inlineStr">
        <is>
          <t>2256061240002656</t>
        </is>
      </c>
      <c r="BB1129" t="inlineStr">
        <is>
          <t>BOOK</t>
        </is>
      </c>
      <c r="BD1129" t="inlineStr">
        <is>
          <t>9780520016316</t>
        </is>
      </c>
      <c r="BE1129" t="inlineStr">
        <is>
          <t>32285000308154</t>
        </is>
      </c>
      <c r="BF1129" t="inlineStr">
        <is>
          <t>893407171</t>
        </is>
      </c>
    </row>
    <row r="1130">
      <c r="A1130" t="inlineStr">
        <is>
          <t>No</t>
        </is>
      </c>
      <c r="B1130" t="inlineStr">
        <is>
          <t>CURAL</t>
        </is>
      </c>
      <c r="C1130" t="inlineStr">
        <is>
          <t>SHELVES</t>
        </is>
      </c>
      <c r="D1130" t="inlineStr">
        <is>
          <t>PR3546 .H9</t>
        </is>
      </c>
      <c r="E1130" t="inlineStr">
        <is>
          <t>0                      PR 3546000H  9</t>
        </is>
      </c>
      <c r="F1130" t="inlineStr">
        <is>
          <t>Andrew Marvell / by Lawrence W. Hyman.</t>
        </is>
      </c>
      <c r="H1130" t="inlineStr">
        <is>
          <t>No</t>
        </is>
      </c>
      <c r="I1130" t="inlineStr">
        <is>
          <t>1</t>
        </is>
      </c>
      <c r="J1130" t="inlineStr">
        <is>
          <t>No</t>
        </is>
      </c>
      <c r="K1130" t="inlineStr">
        <is>
          <t>No</t>
        </is>
      </c>
      <c r="L1130" t="inlineStr">
        <is>
          <t>0</t>
        </is>
      </c>
      <c r="M1130" t="inlineStr">
        <is>
          <t>Hyman, Lawrence W. (Lawrence William), 1919-</t>
        </is>
      </c>
      <c r="N1130" t="inlineStr">
        <is>
          <t>New York : Twayne Publishers, [1964]</t>
        </is>
      </c>
      <c r="O1130" t="inlineStr">
        <is>
          <t>1964</t>
        </is>
      </c>
      <c r="Q1130" t="inlineStr">
        <is>
          <t>eng</t>
        </is>
      </c>
      <c r="R1130" t="inlineStr">
        <is>
          <t>nyu</t>
        </is>
      </c>
      <c r="S1130" t="inlineStr">
        <is>
          <t>Twayne's English authors series, 4</t>
        </is>
      </c>
      <c r="T1130" t="inlineStr">
        <is>
          <t xml:space="preserve">PR </t>
        </is>
      </c>
      <c r="U1130" t="n">
        <v>5</v>
      </c>
      <c r="V1130" t="n">
        <v>5</v>
      </c>
      <c r="W1130" t="inlineStr">
        <is>
          <t>1998-10-13</t>
        </is>
      </c>
      <c r="X1130" t="inlineStr">
        <is>
          <t>1998-10-13</t>
        </is>
      </c>
      <c r="Y1130" t="inlineStr">
        <is>
          <t>1990-09-21</t>
        </is>
      </c>
      <c r="Z1130" t="inlineStr">
        <is>
          <t>1990-09-21</t>
        </is>
      </c>
      <c r="AA1130" t="n">
        <v>1229</v>
      </c>
      <c r="AB1130" t="n">
        <v>1120</v>
      </c>
      <c r="AC1130" t="n">
        <v>1256</v>
      </c>
      <c r="AD1130" t="n">
        <v>11</v>
      </c>
      <c r="AE1130" t="n">
        <v>13</v>
      </c>
      <c r="AF1130" t="n">
        <v>43</v>
      </c>
      <c r="AG1130" t="n">
        <v>50</v>
      </c>
      <c r="AH1130" t="n">
        <v>18</v>
      </c>
      <c r="AI1130" t="n">
        <v>21</v>
      </c>
      <c r="AJ1130" t="n">
        <v>7</v>
      </c>
      <c r="AK1130" t="n">
        <v>8</v>
      </c>
      <c r="AL1130" t="n">
        <v>17</v>
      </c>
      <c r="AM1130" t="n">
        <v>19</v>
      </c>
      <c r="AN1130" t="n">
        <v>9</v>
      </c>
      <c r="AO1130" t="n">
        <v>11</v>
      </c>
      <c r="AP1130" t="n">
        <v>0</v>
      </c>
      <c r="AQ1130" t="n">
        <v>0</v>
      </c>
      <c r="AR1130" t="inlineStr">
        <is>
          <t>No</t>
        </is>
      </c>
      <c r="AS1130" t="inlineStr">
        <is>
          <t>Yes</t>
        </is>
      </c>
      <c r="AT1130">
        <f>HYPERLINK("http://catalog.hathitrust.org/Record/000005126","HathiTrust Record")</f>
        <v/>
      </c>
      <c r="AU1130">
        <f>HYPERLINK("https://creighton-primo.hosted.exlibrisgroup.com/primo-explore/search?tab=default_tab&amp;search_scope=EVERYTHING&amp;vid=01CRU&amp;lang=en_US&amp;offset=0&amp;query=any,contains,991002477889702656","Catalog Record")</f>
        <v/>
      </c>
      <c r="AV1130">
        <f>HYPERLINK("http://www.worldcat.org/oclc/359095","WorldCat Record")</f>
        <v/>
      </c>
      <c r="AW1130" t="inlineStr">
        <is>
          <t>1931160785:eng</t>
        </is>
      </c>
      <c r="AX1130" t="inlineStr">
        <is>
          <t>359095</t>
        </is>
      </c>
      <c r="AY1130" t="inlineStr">
        <is>
          <t>991002477889702656</t>
        </is>
      </c>
      <c r="AZ1130" t="inlineStr">
        <is>
          <t>991002477889702656</t>
        </is>
      </c>
      <c r="BA1130" t="inlineStr">
        <is>
          <t>2272636960002656</t>
        </is>
      </c>
      <c r="BB1130" t="inlineStr">
        <is>
          <t>BOOK</t>
        </is>
      </c>
      <c r="BE1130" t="inlineStr">
        <is>
          <t>32285000308162</t>
        </is>
      </c>
      <c r="BF1130" t="inlineStr">
        <is>
          <t>893603646</t>
        </is>
      </c>
    </row>
    <row r="1131">
      <c r="A1131" t="inlineStr">
        <is>
          <t>No</t>
        </is>
      </c>
      <c r="B1131" t="inlineStr">
        <is>
          <t>CURAL</t>
        </is>
      </c>
      <c r="C1131" t="inlineStr">
        <is>
          <t>SHELVES</t>
        </is>
      </c>
      <c r="D1131" t="inlineStr">
        <is>
          <t>PR3546 .K5 1977</t>
        </is>
      </c>
      <c r="E1131" t="inlineStr">
        <is>
          <t>0                      PR 3546000K  5           1977</t>
        </is>
      </c>
      <c r="F1131" t="inlineStr">
        <is>
          <t>Marvell's allegorical poetry / Bruce King.</t>
        </is>
      </c>
      <c r="H1131" t="inlineStr">
        <is>
          <t>No</t>
        </is>
      </c>
      <c r="I1131" t="inlineStr">
        <is>
          <t>1</t>
        </is>
      </c>
      <c r="J1131" t="inlineStr">
        <is>
          <t>No</t>
        </is>
      </c>
      <c r="K1131" t="inlineStr">
        <is>
          <t>No</t>
        </is>
      </c>
      <c r="L1131" t="inlineStr">
        <is>
          <t>0</t>
        </is>
      </c>
      <c r="M1131" t="inlineStr">
        <is>
          <t>King, Bruce, 1933-</t>
        </is>
      </c>
      <c r="N1131" t="inlineStr">
        <is>
          <t>New York : Oleander Press, c1977.</t>
        </is>
      </c>
      <c r="O1131" t="inlineStr">
        <is>
          <t>1977</t>
        </is>
      </c>
      <c r="Q1131" t="inlineStr">
        <is>
          <t>eng</t>
        </is>
      </c>
      <c r="R1131" t="inlineStr">
        <is>
          <t>nyu</t>
        </is>
      </c>
      <c r="T1131" t="inlineStr">
        <is>
          <t xml:space="preserve">PR </t>
        </is>
      </c>
      <c r="U1131" t="n">
        <v>2</v>
      </c>
      <c r="V1131" t="n">
        <v>2</v>
      </c>
      <c r="W1131" t="inlineStr">
        <is>
          <t>2002-12-11</t>
        </is>
      </c>
      <c r="X1131" t="inlineStr">
        <is>
          <t>2002-12-11</t>
        </is>
      </c>
      <c r="Y1131" t="inlineStr">
        <is>
          <t>2002-12-11</t>
        </is>
      </c>
      <c r="Z1131" t="inlineStr">
        <is>
          <t>2002-12-11</t>
        </is>
      </c>
      <c r="AA1131" t="n">
        <v>281</v>
      </c>
      <c r="AB1131" t="n">
        <v>175</v>
      </c>
      <c r="AC1131" t="n">
        <v>182</v>
      </c>
      <c r="AD1131" t="n">
        <v>1</v>
      </c>
      <c r="AE1131" t="n">
        <v>1</v>
      </c>
      <c r="AF1131" t="n">
        <v>10</v>
      </c>
      <c r="AG1131" t="n">
        <v>10</v>
      </c>
      <c r="AH1131" t="n">
        <v>3</v>
      </c>
      <c r="AI1131" t="n">
        <v>3</v>
      </c>
      <c r="AJ1131" t="n">
        <v>5</v>
      </c>
      <c r="AK1131" t="n">
        <v>5</v>
      </c>
      <c r="AL1131" t="n">
        <v>7</v>
      </c>
      <c r="AM1131" t="n">
        <v>7</v>
      </c>
      <c r="AN1131" t="n">
        <v>0</v>
      </c>
      <c r="AO1131" t="n">
        <v>0</v>
      </c>
      <c r="AP1131" t="n">
        <v>0</v>
      </c>
      <c r="AQ1131" t="n">
        <v>0</v>
      </c>
      <c r="AR1131" t="inlineStr">
        <is>
          <t>No</t>
        </is>
      </c>
      <c r="AS1131" t="inlineStr">
        <is>
          <t>Yes</t>
        </is>
      </c>
      <c r="AT1131">
        <f>HYPERLINK("http://catalog.hathitrust.org/Record/000749882","HathiTrust Record")</f>
        <v/>
      </c>
      <c r="AU1131">
        <f>HYPERLINK("https://creighton-primo.hosted.exlibrisgroup.com/primo-explore/search?tab=default_tab&amp;search_scope=EVERYTHING&amp;vid=01CRU&amp;lang=en_US&amp;offset=0&amp;query=any,contains,991003960739702656","Catalog Record")</f>
        <v/>
      </c>
      <c r="AV1131">
        <f>HYPERLINK("http://www.worldcat.org/oclc/3352374","WorldCat Record")</f>
        <v/>
      </c>
      <c r="AW1131" t="inlineStr">
        <is>
          <t>347326897:eng</t>
        </is>
      </c>
      <c r="AX1131" t="inlineStr">
        <is>
          <t>3352374</t>
        </is>
      </c>
      <c r="AY1131" t="inlineStr">
        <is>
          <t>991003960739702656</t>
        </is>
      </c>
      <c r="AZ1131" t="inlineStr">
        <is>
          <t>991003960739702656</t>
        </is>
      </c>
      <c r="BA1131" t="inlineStr">
        <is>
          <t>2256459110002656</t>
        </is>
      </c>
      <c r="BB1131" t="inlineStr">
        <is>
          <t>BOOK</t>
        </is>
      </c>
      <c r="BD1131" t="inlineStr">
        <is>
          <t>9780902675605</t>
        </is>
      </c>
      <c r="BE1131" t="inlineStr">
        <is>
          <t>32285004690672</t>
        </is>
      </c>
      <c r="BF1131" t="inlineStr">
        <is>
          <t>893875521</t>
        </is>
      </c>
    </row>
    <row r="1132">
      <c r="A1132" t="inlineStr">
        <is>
          <t>No</t>
        </is>
      </c>
      <c r="B1132" t="inlineStr">
        <is>
          <t>CURAL</t>
        </is>
      </c>
      <c r="C1132" t="inlineStr">
        <is>
          <t>SHELVES</t>
        </is>
      </c>
      <c r="D1132" t="inlineStr">
        <is>
          <t>PR3546 .K55 1983</t>
        </is>
      </c>
      <c r="E1132" t="inlineStr">
        <is>
          <t>0                      PR 3546000K  55          1983</t>
        </is>
      </c>
      <c r="F1132" t="inlineStr">
        <is>
          <t>The unfortunate fall : theodicy and the moral imagination of Andrew Marvell / John Klause.</t>
        </is>
      </c>
      <c r="H1132" t="inlineStr">
        <is>
          <t>No</t>
        </is>
      </c>
      <c r="I1132" t="inlineStr">
        <is>
          <t>1</t>
        </is>
      </c>
      <c r="J1132" t="inlineStr">
        <is>
          <t>No</t>
        </is>
      </c>
      <c r="K1132" t="inlineStr">
        <is>
          <t>No</t>
        </is>
      </c>
      <c r="L1132" t="inlineStr">
        <is>
          <t>0</t>
        </is>
      </c>
      <c r="M1132" t="inlineStr">
        <is>
          <t>Klause, John, 1943-</t>
        </is>
      </c>
      <c r="N1132" t="inlineStr">
        <is>
          <t>Hamden, Conn. : Archon Books, 1983.</t>
        </is>
      </c>
      <c r="O1132" t="inlineStr">
        <is>
          <t>1983</t>
        </is>
      </c>
      <c r="Q1132" t="inlineStr">
        <is>
          <t>eng</t>
        </is>
      </c>
      <c r="R1132" t="inlineStr">
        <is>
          <t>ctu</t>
        </is>
      </c>
      <c r="T1132" t="inlineStr">
        <is>
          <t xml:space="preserve">PR </t>
        </is>
      </c>
      <c r="U1132" t="n">
        <v>2</v>
      </c>
      <c r="V1132" t="n">
        <v>2</v>
      </c>
      <c r="W1132" t="inlineStr">
        <is>
          <t>1998-04-05</t>
        </is>
      </c>
      <c r="X1132" t="inlineStr">
        <is>
          <t>1998-04-05</t>
        </is>
      </c>
      <c r="Y1132" t="inlineStr">
        <is>
          <t>1991-04-29</t>
        </is>
      </c>
      <c r="Z1132" t="inlineStr">
        <is>
          <t>1991-04-29</t>
        </is>
      </c>
      <c r="AA1132" t="n">
        <v>324</v>
      </c>
      <c r="AB1132" t="n">
        <v>260</v>
      </c>
      <c r="AC1132" t="n">
        <v>262</v>
      </c>
      <c r="AD1132" t="n">
        <v>3</v>
      </c>
      <c r="AE1132" t="n">
        <v>3</v>
      </c>
      <c r="AF1132" t="n">
        <v>14</v>
      </c>
      <c r="AG1132" t="n">
        <v>14</v>
      </c>
      <c r="AH1132" t="n">
        <v>4</v>
      </c>
      <c r="AI1132" t="n">
        <v>4</v>
      </c>
      <c r="AJ1132" t="n">
        <v>2</v>
      </c>
      <c r="AK1132" t="n">
        <v>2</v>
      </c>
      <c r="AL1132" t="n">
        <v>8</v>
      </c>
      <c r="AM1132" t="n">
        <v>8</v>
      </c>
      <c r="AN1132" t="n">
        <v>2</v>
      </c>
      <c r="AO1132" t="n">
        <v>2</v>
      </c>
      <c r="AP1132" t="n">
        <v>0</v>
      </c>
      <c r="AQ1132" t="n">
        <v>0</v>
      </c>
      <c r="AR1132" t="inlineStr">
        <is>
          <t>No</t>
        </is>
      </c>
      <c r="AS1132" t="inlineStr">
        <is>
          <t>Yes</t>
        </is>
      </c>
      <c r="AT1132">
        <f>HYPERLINK("http://catalog.hathitrust.org/Record/000281265","HathiTrust Record")</f>
        <v/>
      </c>
      <c r="AU1132">
        <f>HYPERLINK("https://creighton-primo.hosted.exlibrisgroup.com/primo-explore/search?tab=default_tab&amp;search_scope=EVERYTHING&amp;vid=01CRU&amp;lang=en_US&amp;offset=0&amp;query=any,contains,991000267149702656","Catalog Record")</f>
        <v/>
      </c>
      <c r="AV1132">
        <f>HYPERLINK("http://www.worldcat.org/oclc/9830898","WorldCat Record")</f>
        <v/>
      </c>
      <c r="AW1132" t="inlineStr">
        <is>
          <t>198424893:eng</t>
        </is>
      </c>
      <c r="AX1132" t="inlineStr">
        <is>
          <t>9830898</t>
        </is>
      </c>
      <c r="AY1132" t="inlineStr">
        <is>
          <t>991000267149702656</t>
        </is>
      </c>
      <c r="AZ1132" t="inlineStr">
        <is>
          <t>991000267149702656</t>
        </is>
      </c>
      <c r="BA1132" t="inlineStr">
        <is>
          <t>2255427640002656</t>
        </is>
      </c>
      <c r="BB1132" t="inlineStr">
        <is>
          <t>BOOK</t>
        </is>
      </c>
      <c r="BD1132" t="inlineStr">
        <is>
          <t>9780208020345</t>
        </is>
      </c>
      <c r="BE1132" t="inlineStr">
        <is>
          <t>32285000588649</t>
        </is>
      </c>
      <c r="BF1132" t="inlineStr">
        <is>
          <t>893708253</t>
        </is>
      </c>
    </row>
    <row r="1133">
      <c r="A1133" t="inlineStr">
        <is>
          <t>No</t>
        </is>
      </c>
      <c r="B1133" t="inlineStr">
        <is>
          <t>CURAL</t>
        </is>
      </c>
      <c r="C1133" t="inlineStr">
        <is>
          <t>SHELVES</t>
        </is>
      </c>
      <c r="D1133" t="inlineStr">
        <is>
          <t>PR3546 .L42</t>
        </is>
      </c>
      <c r="E1133" t="inlineStr">
        <is>
          <t>0                      PR 3546000L  42</t>
        </is>
      </c>
      <c r="F1133" t="inlineStr">
        <is>
          <t>Andrew Marvell : poet, puritan, patriot.</t>
        </is>
      </c>
      <c r="H1133" t="inlineStr">
        <is>
          <t>No</t>
        </is>
      </c>
      <c r="I1133" t="inlineStr">
        <is>
          <t>1</t>
        </is>
      </c>
      <c r="J1133" t="inlineStr">
        <is>
          <t>No</t>
        </is>
      </c>
      <c r="K1133" t="inlineStr">
        <is>
          <t>No</t>
        </is>
      </c>
      <c r="L1133" t="inlineStr">
        <is>
          <t>0</t>
        </is>
      </c>
      <c r="M1133" t="inlineStr">
        <is>
          <t>Legouis, Pierre, 1891-</t>
        </is>
      </c>
      <c r="N1133" t="inlineStr">
        <is>
          <t>Oxford : Clarendon Press, 1965.</t>
        </is>
      </c>
      <c r="O1133" t="inlineStr">
        <is>
          <t>1965</t>
        </is>
      </c>
      <c r="Q1133" t="inlineStr">
        <is>
          <t>eng</t>
        </is>
      </c>
      <c r="R1133" t="inlineStr">
        <is>
          <t>enk</t>
        </is>
      </c>
      <c r="T1133" t="inlineStr">
        <is>
          <t xml:space="preserve">PR </t>
        </is>
      </c>
      <c r="U1133" t="n">
        <v>2</v>
      </c>
      <c r="V1133" t="n">
        <v>2</v>
      </c>
      <c r="W1133" t="inlineStr">
        <is>
          <t>1993-02-25</t>
        </is>
      </c>
      <c r="X1133" t="inlineStr">
        <is>
          <t>1993-02-25</t>
        </is>
      </c>
      <c r="Y1133" t="inlineStr">
        <is>
          <t>1990-09-21</t>
        </is>
      </c>
      <c r="Z1133" t="inlineStr">
        <is>
          <t>1990-09-21</t>
        </is>
      </c>
      <c r="AA1133" t="n">
        <v>653</v>
      </c>
      <c r="AB1133" t="n">
        <v>492</v>
      </c>
      <c r="AC1133" t="n">
        <v>822</v>
      </c>
      <c r="AD1133" t="n">
        <v>4</v>
      </c>
      <c r="AE1133" t="n">
        <v>5</v>
      </c>
      <c r="AF1133" t="n">
        <v>30</v>
      </c>
      <c r="AG1133" t="n">
        <v>44</v>
      </c>
      <c r="AH1133" t="n">
        <v>11</v>
      </c>
      <c r="AI1133" t="n">
        <v>19</v>
      </c>
      <c r="AJ1133" t="n">
        <v>8</v>
      </c>
      <c r="AK1133" t="n">
        <v>10</v>
      </c>
      <c r="AL1133" t="n">
        <v>16</v>
      </c>
      <c r="AM1133" t="n">
        <v>22</v>
      </c>
      <c r="AN1133" t="n">
        <v>3</v>
      </c>
      <c r="AO1133" t="n">
        <v>4</v>
      </c>
      <c r="AP1133" t="n">
        <v>0</v>
      </c>
      <c r="AQ1133" t="n">
        <v>0</v>
      </c>
      <c r="AR1133" t="inlineStr">
        <is>
          <t>No</t>
        </is>
      </c>
      <c r="AS1133" t="inlineStr">
        <is>
          <t>Yes</t>
        </is>
      </c>
      <c r="AT1133">
        <f>HYPERLINK("http://catalog.hathitrust.org/Record/000629531","HathiTrust Record")</f>
        <v/>
      </c>
      <c r="AU1133">
        <f>HYPERLINK("https://creighton-primo.hosted.exlibrisgroup.com/primo-explore/search?tab=default_tab&amp;search_scope=EVERYTHING&amp;vid=01CRU&amp;lang=en_US&amp;offset=0&amp;query=any,contains,991001932349702656","Catalog Record")</f>
        <v/>
      </c>
      <c r="AV1133">
        <f>HYPERLINK("http://www.worldcat.org/oclc/249268","WorldCat Record")</f>
        <v/>
      </c>
      <c r="AW1133" t="inlineStr">
        <is>
          <t>1206143:eng</t>
        </is>
      </c>
      <c r="AX1133" t="inlineStr">
        <is>
          <t>249268</t>
        </is>
      </c>
      <c r="AY1133" t="inlineStr">
        <is>
          <t>991001932349702656</t>
        </is>
      </c>
      <c r="AZ1133" t="inlineStr">
        <is>
          <t>991001932349702656</t>
        </is>
      </c>
      <c r="BA1133" t="inlineStr">
        <is>
          <t>2258556080002656</t>
        </is>
      </c>
      <c r="BB1133" t="inlineStr">
        <is>
          <t>BOOK</t>
        </is>
      </c>
      <c r="BD1133" t="inlineStr">
        <is>
          <t>9780198710141</t>
        </is>
      </c>
      <c r="BE1133" t="inlineStr">
        <is>
          <t>32285000308170</t>
        </is>
      </c>
      <c r="BF1133" t="inlineStr">
        <is>
          <t>893250622</t>
        </is>
      </c>
    </row>
    <row r="1134">
      <c r="A1134" t="inlineStr">
        <is>
          <t>No</t>
        </is>
      </c>
      <c r="B1134" t="inlineStr">
        <is>
          <t>CURAL</t>
        </is>
      </c>
      <c r="C1134" t="inlineStr">
        <is>
          <t>SHELVES</t>
        </is>
      </c>
      <c r="D1134" t="inlineStr">
        <is>
          <t>PR3546 .L45 1968</t>
        </is>
      </c>
      <c r="E1134" t="inlineStr">
        <is>
          <t>0                      PR 3546000L  45          1968</t>
        </is>
      </c>
      <c r="F1134" t="inlineStr">
        <is>
          <t>The art of Marvell's poetry / J.B. Leishman.</t>
        </is>
      </c>
      <c r="H1134" t="inlineStr">
        <is>
          <t>No</t>
        </is>
      </c>
      <c r="I1134" t="inlineStr">
        <is>
          <t>1</t>
        </is>
      </c>
      <c r="J1134" t="inlineStr">
        <is>
          <t>No</t>
        </is>
      </c>
      <c r="K1134" t="inlineStr">
        <is>
          <t>No</t>
        </is>
      </c>
      <c r="L1134" t="inlineStr">
        <is>
          <t>0</t>
        </is>
      </c>
      <c r="M1134" t="inlineStr">
        <is>
          <t>Leishman, J. B. (James Blair), 1902-1963.</t>
        </is>
      </c>
      <c r="N1134" t="inlineStr">
        <is>
          <t>New York : Minerva Press, 1968.</t>
        </is>
      </c>
      <c r="O1134" t="inlineStr">
        <is>
          <t>1968</t>
        </is>
      </c>
      <c r="P1134" t="inlineStr">
        <is>
          <t>1st American ed.</t>
        </is>
      </c>
      <c r="Q1134" t="inlineStr">
        <is>
          <t>eng</t>
        </is>
      </c>
      <c r="R1134" t="inlineStr">
        <is>
          <t>nyu</t>
        </is>
      </c>
      <c r="T1134" t="inlineStr">
        <is>
          <t xml:space="preserve">PR </t>
        </is>
      </c>
      <c r="U1134" t="n">
        <v>1</v>
      </c>
      <c r="V1134" t="n">
        <v>1</v>
      </c>
      <c r="W1134" t="inlineStr">
        <is>
          <t>2001-07-12</t>
        </is>
      </c>
      <c r="X1134" t="inlineStr">
        <is>
          <t>2001-07-12</t>
        </is>
      </c>
      <c r="Y1134" t="inlineStr">
        <is>
          <t>2001-07-11</t>
        </is>
      </c>
      <c r="Z1134" t="inlineStr">
        <is>
          <t>2001-07-11</t>
        </is>
      </c>
      <c r="AA1134" t="n">
        <v>57</v>
      </c>
      <c r="AB1134" t="n">
        <v>54</v>
      </c>
      <c r="AC1134" t="n">
        <v>715</v>
      </c>
      <c r="AD1134" t="n">
        <v>2</v>
      </c>
      <c r="AE1134" t="n">
        <v>6</v>
      </c>
      <c r="AF1134" t="n">
        <v>5</v>
      </c>
      <c r="AG1134" t="n">
        <v>38</v>
      </c>
      <c r="AH1134" t="n">
        <v>3</v>
      </c>
      <c r="AI1134" t="n">
        <v>15</v>
      </c>
      <c r="AJ1134" t="n">
        <v>0</v>
      </c>
      <c r="AK1134" t="n">
        <v>9</v>
      </c>
      <c r="AL1134" t="n">
        <v>3</v>
      </c>
      <c r="AM1134" t="n">
        <v>21</v>
      </c>
      <c r="AN1134" t="n">
        <v>1</v>
      </c>
      <c r="AO1134" t="n">
        <v>5</v>
      </c>
      <c r="AP1134" t="n">
        <v>0</v>
      </c>
      <c r="AQ1134" t="n">
        <v>0</v>
      </c>
      <c r="AR1134" t="inlineStr">
        <is>
          <t>No</t>
        </is>
      </c>
      <c r="AS1134" t="inlineStr">
        <is>
          <t>No</t>
        </is>
      </c>
      <c r="AU1134">
        <f>HYPERLINK("https://creighton-primo.hosted.exlibrisgroup.com/primo-explore/search?tab=default_tab&amp;search_scope=EVERYTHING&amp;vid=01CRU&amp;lang=en_US&amp;offset=0&amp;query=any,contains,991003565369702656","Catalog Record")</f>
        <v/>
      </c>
      <c r="AV1134">
        <f>HYPERLINK("http://www.worldcat.org/oclc/1043573","WorldCat Record")</f>
        <v/>
      </c>
      <c r="AW1134" t="inlineStr">
        <is>
          <t>1501117:eng</t>
        </is>
      </c>
      <c r="AX1134" t="inlineStr">
        <is>
          <t>1043573</t>
        </is>
      </c>
      <c r="AY1134" t="inlineStr">
        <is>
          <t>991003565369702656</t>
        </is>
      </c>
      <c r="AZ1134" t="inlineStr">
        <is>
          <t>991003565369702656</t>
        </is>
      </c>
      <c r="BA1134" t="inlineStr">
        <is>
          <t>2267474870002656</t>
        </is>
      </c>
      <c r="BB1134" t="inlineStr">
        <is>
          <t>BOOK</t>
        </is>
      </c>
      <c r="BE1134" t="inlineStr">
        <is>
          <t>32285004331574</t>
        </is>
      </c>
      <c r="BF1134" t="inlineStr">
        <is>
          <t>893711489</t>
        </is>
      </c>
    </row>
    <row r="1135">
      <c r="A1135" t="inlineStr">
        <is>
          <t>No</t>
        </is>
      </c>
      <c r="B1135" t="inlineStr">
        <is>
          <t>CURAL</t>
        </is>
      </c>
      <c r="C1135" t="inlineStr">
        <is>
          <t>SHELVES</t>
        </is>
      </c>
      <c r="D1135" t="inlineStr">
        <is>
          <t>PR3546 .L6</t>
        </is>
      </c>
      <c r="E1135" t="inlineStr">
        <is>
          <t>0                      PR 3546000L  6</t>
        </is>
      </c>
      <c r="F1135" t="inlineStr">
        <is>
          <t>Andrew Marvell : a collection of critical essays / edited by George deF. Lord.</t>
        </is>
      </c>
      <c r="H1135" t="inlineStr">
        <is>
          <t>No</t>
        </is>
      </c>
      <c r="I1135" t="inlineStr">
        <is>
          <t>1</t>
        </is>
      </c>
      <c r="J1135" t="inlineStr">
        <is>
          <t>No</t>
        </is>
      </c>
      <c r="K1135" t="inlineStr">
        <is>
          <t>No</t>
        </is>
      </c>
      <c r="L1135" t="inlineStr">
        <is>
          <t>0</t>
        </is>
      </c>
      <c r="M1135" t="inlineStr">
        <is>
          <t>Lord, George deForest, 1919-2012 compiler.</t>
        </is>
      </c>
      <c r="N1135" t="inlineStr">
        <is>
          <t>Englewood Cliffs, N.J. : Prentice-Hall, [1968]</t>
        </is>
      </c>
      <c r="O1135" t="inlineStr">
        <is>
          <t>1968</t>
        </is>
      </c>
      <c r="Q1135" t="inlineStr">
        <is>
          <t>eng</t>
        </is>
      </c>
      <c r="R1135" t="inlineStr">
        <is>
          <t>nju</t>
        </is>
      </c>
      <c r="S1135" t="inlineStr">
        <is>
          <t>A Spectrum book.</t>
        </is>
      </c>
      <c r="T1135" t="inlineStr">
        <is>
          <t xml:space="preserve">PR </t>
        </is>
      </c>
      <c r="U1135" t="n">
        <v>2</v>
      </c>
      <c r="V1135" t="n">
        <v>2</v>
      </c>
      <c r="W1135" t="inlineStr">
        <is>
          <t>1997-10-12</t>
        </is>
      </c>
      <c r="X1135" t="inlineStr">
        <is>
          <t>1997-10-12</t>
        </is>
      </c>
      <c r="Y1135" t="inlineStr">
        <is>
          <t>1994-09-19</t>
        </is>
      </c>
      <c r="Z1135" t="inlineStr">
        <is>
          <t>1994-09-19</t>
        </is>
      </c>
      <c r="AA1135" t="n">
        <v>1641</v>
      </c>
      <c r="AB1135" t="n">
        <v>1413</v>
      </c>
      <c r="AC1135" t="n">
        <v>1422</v>
      </c>
      <c r="AD1135" t="n">
        <v>14</v>
      </c>
      <c r="AE1135" t="n">
        <v>14</v>
      </c>
      <c r="AF1135" t="n">
        <v>57</v>
      </c>
      <c r="AG1135" t="n">
        <v>57</v>
      </c>
      <c r="AH1135" t="n">
        <v>23</v>
      </c>
      <c r="AI1135" t="n">
        <v>23</v>
      </c>
      <c r="AJ1135" t="n">
        <v>9</v>
      </c>
      <c r="AK1135" t="n">
        <v>9</v>
      </c>
      <c r="AL1135" t="n">
        <v>24</v>
      </c>
      <c r="AM1135" t="n">
        <v>24</v>
      </c>
      <c r="AN1135" t="n">
        <v>12</v>
      </c>
      <c r="AO1135" t="n">
        <v>12</v>
      </c>
      <c r="AP1135" t="n">
        <v>0</v>
      </c>
      <c r="AQ1135" t="n">
        <v>0</v>
      </c>
      <c r="AR1135" t="inlineStr">
        <is>
          <t>No</t>
        </is>
      </c>
      <c r="AS1135" t="inlineStr">
        <is>
          <t>Yes</t>
        </is>
      </c>
      <c r="AT1135">
        <f>HYPERLINK("http://catalog.hathitrust.org/Record/000632286","HathiTrust Record")</f>
        <v/>
      </c>
      <c r="AU1135">
        <f>HYPERLINK("https://creighton-primo.hosted.exlibrisgroup.com/primo-explore/search?tab=default_tab&amp;search_scope=EVERYTHING&amp;vid=01CRU&amp;lang=en_US&amp;offset=0&amp;query=any,contains,991002225839702656","Catalog Record")</f>
        <v/>
      </c>
      <c r="AV1135">
        <f>HYPERLINK("http://www.worldcat.org/oclc/291479","WorldCat Record")</f>
        <v/>
      </c>
      <c r="AW1135" t="inlineStr">
        <is>
          <t>365566117:eng</t>
        </is>
      </c>
      <c r="AX1135" t="inlineStr">
        <is>
          <t>291479</t>
        </is>
      </c>
      <c r="AY1135" t="inlineStr">
        <is>
          <t>991002225839702656</t>
        </is>
      </c>
      <c r="AZ1135" t="inlineStr">
        <is>
          <t>991002225839702656</t>
        </is>
      </c>
      <c r="BA1135" t="inlineStr">
        <is>
          <t>2268088310002656</t>
        </is>
      </c>
      <c r="BB1135" t="inlineStr">
        <is>
          <t>BOOK</t>
        </is>
      </c>
      <c r="BE1135" t="inlineStr">
        <is>
          <t>32285001951093</t>
        </is>
      </c>
      <c r="BF1135" t="inlineStr">
        <is>
          <t>893785875</t>
        </is>
      </c>
    </row>
    <row r="1136">
      <c r="A1136" t="inlineStr">
        <is>
          <t>No</t>
        </is>
      </c>
      <c r="B1136" t="inlineStr">
        <is>
          <t>CURAL</t>
        </is>
      </c>
      <c r="C1136" t="inlineStr">
        <is>
          <t>SHELVES</t>
        </is>
      </c>
      <c r="D1136" t="inlineStr">
        <is>
          <t>PR3546 .P7 1966</t>
        </is>
      </c>
      <c r="E1136" t="inlineStr">
        <is>
          <t>0                      PR 3546000P  7           1966</t>
        </is>
      </c>
      <c r="F1136" t="inlineStr">
        <is>
          <t>Andrew Marvell.</t>
        </is>
      </c>
      <c r="H1136" t="inlineStr">
        <is>
          <t>No</t>
        </is>
      </c>
      <c r="I1136" t="inlineStr">
        <is>
          <t>1</t>
        </is>
      </c>
      <c r="J1136" t="inlineStr">
        <is>
          <t>No</t>
        </is>
      </c>
      <c r="K1136" t="inlineStr">
        <is>
          <t>No</t>
        </is>
      </c>
      <c r="L1136" t="inlineStr">
        <is>
          <t>0</t>
        </is>
      </c>
      <c r="M1136" t="inlineStr">
        <is>
          <t>Press, John.</t>
        </is>
      </c>
      <c r="N1136" t="inlineStr">
        <is>
          <t>London] : Published for the British Council and the National Book League by Longmans, Green, [1966]</t>
        </is>
      </c>
      <c r="O1136" t="inlineStr">
        <is>
          <t>1966</t>
        </is>
      </c>
      <c r="P1136" t="inlineStr">
        <is>
          <t>[Rev. ed.</t>
        </is>
      </c>
      <c r="Q1136" t="inlineStr">
        <is>
          <t>eng</t>
        </is>
      </c>
      <c r="R1136" t="inlineStr">
        <is>
          <t>enk</t>
        </is>
      </c>
      <c r="S1136" t="inlineStr">
        <is>
          <t>Bibliographical series of supplements to British book news on writers and their work ; no. 98</t>
        </is>
      </c>
      <c r="T1136" t="inlineStr">
        <is>
          <t xml:space="preserve">PR </t>
        </is>
      </c>
      <c r="U1136" t="n">
        <v>1</v>
      </c>
      <c r="V1136" t="n">
        <v>1</v>
      </c>
      <c r="W1136" t="inlineStr">
        <is>
          <t>1993-02-25</t>
        </is>
      </c>
      <c r="X1136" t="inlineStr">
        <is>
          <t>1993-02-25</t>
        </is>
      </c>
      <c r="Y1136" t="inlineStr">
        <is>
          <t>1991-09-05</t>
        </is>
      </c>
      <c r="Z1136" t="inlineStr">
        <is>
          <t>1991-09-05</t>
        </is>
      </c>
      <c r="AA1136" t="n">
        <v>264</v>
      </c>
      <c r="AB1136" t="n">
        <v>184</v>
      </c>
      <c r="AC1136" t="n">
        <v>530</v>
      </c>
      <c r="AD1136" t="n">
        <v>2</v>
      </c>
      <c r="AE1136" t="n">
        <v>6</v>
      </c>
      <c r="AF1136" t="n">
        <v>4</v>
      </c>
      <c r="AG1136" t="n">
        <v>30</v>
      </c>
      <c r="AH1136" t="n">
        <v>1</v>
      </c>
      <c r="AI1136" t="n">
        <v>12</v>
      </c>
      <c r="AJ1136" t="n">
        <v>0</v>
      </c>
      <c r="AK1136" t="n">
        <v>6</v>
      </c>
      <c r="AL1136" t="n">
        <v>2</v>
      </c>
      <c r="AM1136" t="n">
        <v>16</v>
      </c>
      <c r="AN1136" t="n">
        <v>1</v>
      </c>
      <c r="AO1136" t="n">
        <v>5</v>
      </c>
      <c r="AP1136" t="n">
        <v>0</v>
      </c>
      <c r="AQ1136" t="n">
        <v>0</v>
      </c>
      <c r="AR1136" t="inlineStr">
        <is>
          <t>No</t>
        </is>
      </c>
      <c r="AS1136" t="inlineStr">
        <is>
          <t>Yes</t>
        </is>
      </c>
      <c r="AT1136">
        <f>HYPERLINK("http://catalog.hathitrust.org/Record/000629557","HathiTrust Record")</f>
        <v/>
      </c>
      <c r="AU1136">
        <f>HYPERLINK("https://creighton-primo.hosted.exlibrisgroup.com/primo-explore/search?tab=default_tab&amp;search_scope=EVERYTHING&amp;vid=01CRU&amp;lang=en_US&amp;offset=0&amp;query=any,contains,991000682449702656","Catalog Record")</f>
        <v/>
      </c>
      <c r="AV1136">
        <f>HYPERLINK("http://www.worldcat.org/oclc/122198","WorldCat Record")</f>
        <v/>
      </c>
      <c r="AW1136" t="inlineStr">
        <is>
          <t>1753912110:eng</t>
        </is>
      </c>
      <c r="AX1136" t="inlineStr">
        <is>
          <t>122198</t>
        </is>
      </c>
      <c r="AY1136" t="inlineStr">
        <is>
          <t>991000682449702656</t>
        </is>
      </c>
      <c r="AZ1136" t="inlineStr">
        <is>
          <t>991000682449702656</t>
        </is>
      </c>
      <c r="BA1136" t="inlineStr">
        <is>
          <t>2263013200002656</t>
        </is>
      </c>
      <c r="BB1136" t="inlineStr">
        <is>
          <t>BOOK</t>
        </is>
      </c>
      <c r="BE1136" t="inlineStr">
        <is>
          <t>32285000736354</t>
        </is>
      </c>
      <c r="BF1136" t="inlineStr">
        <is>
          <t>893496461</t>
        </is>
      </c>
    </row>
    <row r="1137">
      <c r="A1137" t="inlineStr">
        <is>
          <t>No</t>
        </is>
      </c>
      <c r="B1137" t="inlineStr">
        <is>
          <t>CURAL</t>
        </is>
      </c>
      <c r="C1137" t="inlineStr">
        <is>
          <t>SHELVES</t>
        </is>
      </c>
      <c r="D1137" t="inlineStr">
        <is>
          <t>PR3546 .T4 1977</t>
        </is>
      </c>
      <c r="E1137" t="inlineStr">
        <is>
          <t>0                      PR 3546000T  4           1977</t>
        </is>
      </c>
      <c r="F1137" t="inlineStr">
        <is>
          <t>Tercentenary essays in honor of Andrew Marvell / edited by Kenneth Friedenreich.</t>
        </is>
      </c>
      <c r="H1137" t="inlineStr">
        <is>
          <t>No</t>
        </is>
      </c>
      <c r="I1137" t="inlineStr">
        <is>
          <t>1</t>
        </is>
      </c>
      <c r="J1137" t="inlineStr">
        <is>
          <t>No</t>
        </is>
      </c>
      <c r="K1137" t="inlineStr">
        <is>
          <t>No</t>
        </is>
      </c>
      <c r="L1137" t="inlineStr">
        <is>
          <t>0</t>
        </is>
      </c>
      <c r="N1137" t="inlineStr">
        <is>
          <t>Hamden, Conn. : Archon Books, 1977.</t>
        </is>
      </c>
      <c r="O1137" t="inlineStr">
        <is>
          <t>1977</t>
        </is>
      </c>
      <c r="Q1137" t="inlineStr">
        <is>
          <t>eng</t>
        </is>
      </c>
      <c r="R1137" t="inlineStr">
        <is>
          <t>ctu</t>
        </is>
      </c>
      <c r="T1137" t="inlineStr">
        <is>
          <t xml:space="preserve">PR </t>
        </is>
      </c>
      <c r="U1137" t="n">
        <v>1</v>
      </c>
      <c r="V1137" t="n">
        <v>1</v>
      </c>
      <c r="W1137" t="inlineStr">
        <is>
          <t>1992-10-05</t>
        </is>
      </c>
      <c r="X1137" t="inlineStr">
        <is>
          <t>1992-10-05</t>
        </is>
      </c>
      <c r="Y1137" t="inlineStr">
        <is>
          <t>1991-04-29</t>
        </is>
      </c>
      <c r="Z1137" t="inlineStr">
        <is>
          <t>1991-04-29</t>
        </is>
      </c>
      <c r="AA1137" t="n">
        <v>571</v>
      </c>
      <c r="AB1137" t="n">
        <v>475</v>
      </c>
      <c r="AC1137" t="n">
        <v>482</v>
      </c>
      <c r="AD1137" t="n">
        <v>5</v>
      </c>
      <c r="AE1137" t="n">
        <v>5</v>
      </c>
      <c r="AF1137" t="n">
        <v>21</v>
      </c>
      <c r="AG1137" t="n">
        <v>21</v>
      </c>
      <c r="AH1137" t="n">
        <v>7</v>
      </c>
      <c r="AI1137" t="n">
        <v>7</v>
      </c>
      <c r="AJ1137" t="n">
        <v>6</v>
      </c>
      <c r="AK1137" t="n">
        <v>6</v>
      </c>
      <c r="AL1137" t="n">
        <v>11</v>
      </c>
      <c r="AM1137" t="n">
        <v>11</v>
      </c>
      <c r="AN1137" t="n">
        <v>4</v>
      </c>
      <c r="AO1137" t="n">
        <v>4</v>
      </c>
      <c r="AP1137" t="n">
        <v>0</v>
      </c>
      <c r="AQ1137" t="n">
        <v>0</v>
      </c>
      <c r="AR1137" t="inlineStr">
        <is>
          <t>No</t>
        </is>
      </c>
      <c r="AS1137" t="inlineStr">
        <is>
          <t>Yes</t>
        </is>
      </c>
      <c r="AT1137">
        <f>HYPERLINK("http://catalog.hathitrust.org/Record/000293774","HathiTrust Record")</f>
        <v/>
      </c>
      <c r="AU1137">
        <f>HYPERLINK("https://creighton-primo.hosted.exlibrisgroup.com/primo-explore/search?tab=default_tab&amp;search_scope=EVERYTHING&amp;vid=01CRU&amp;lang=en_US&amp;offset=0&amp;query=any,contains,991004365339702656","Catalog Record")</f>
        <v/>
      </c>
      <c r="AV1137">
        <f>HYPERLINK("http://www.worldcat.org/oclc/3169213","WorldCat Record")</f>
        <v/>
      </c>
      <c r="AW1137" t="inlineStr">
        <is>
          <t>417609:eng</t>
        </is>
      </c>
      <c r="AX1137" t="inlineStr">
        <is>
          <t>3169213</t>
        </is>
      </c>
      <c r="AY1137" t="inlineStr">
        <is>
          <t>991004365339702656</t>
        </is>
      </c>
      <c r="AZ1137" t="inlineStr">
        <is>
          <t>991004365339702656</t>
        </is>
      </c>
      <c r="BA1137" t="inlineStr">
        <is>
          <t>2263088650002656</t>
        </is>
      </c>
      <c r="BB1137" t="inlineStr">
        <is>
          <t>BOOK</t>
        </is>
      </c>
      <c r="BD1137" t="inlineStr">
        <is>
          <t>9780208015679</t>
        </is>
      </c>
      <c r="BE1137" t="inlineStr">
        <is>
          <t>32285000588672</t>
        </is>
      </c>
      <c r="BF1137" t="inlineStr">
        <is>
          <t>893869633</t>
        </is>
      </c>
    </row>
    <row r="1138">
      <c r="A1138" t="inlineStr">
        <is>
          <t>No</t>
        </is>
      </c>
      <c r="B1138" t="inlineStr">
        <is>
          <t>CURAL</t>
        </is>
      </c>
      <c r="C1138" t="inlineStr">
        <is>
          <t>SHELVES</t>
        </is>
      </c>
      <c r="D1138" t="inlineStr">
        <is>
          <t>PR3546 .T6 1965</t>
        </is>
      </c>
      <c r="E1138" t="inlineStr">
        <is>
          <t>0                      PR 3546000T  6           1965</t>
        </is>
      </c>
      <c r="F1138" t="inlineStr">
        <is>
          <t>Marvell's ironic vision / by Harold E. Tolliver.</t>
        </is>
      </c>
      <c r="H1138" t="inlineStr">
        <is>
          <t>No</t>
        </is>
      </c>
      <c r="I1138" t="inlineStr">
        <is>
          <t>1</t>
        </is>
      </c>
      <c r="J1138" t="inlineStr">
        <is>
          <t>No</t>
        </is>
      </c>
      <c r="K1138" t="inlineStr">
        <is>
          <t>No</t>
        </is>
      </c>
      <c r="L1138" t="inlineStr">
        <is>
          <t>0</t>
        </is>
      </c>
      <c r="M1138" t="inlineStr">
        <is>
          <t>Toliver, Harold E.</t>
        </is>
      </c>
      <c r="N1138" t="inlineStr">
        <is>
          <t>New Haven : Yale University Press, 1965.</t>
        </is>
      </c>
      <c r="O1138" t="inlineStr">
        <is>
          <t>1965</t>
        </is>
      </c>
      <c r="Q1138" t="inlineStr">
        <is>
          <t>eng</t>
        </is>
      </c>
      <c r="R1138" t="inlineStr">
        <is>
          <t>ctu</t>
        </is>
      </c>
      <c r="T1138" t="inlineStr">
        <is>
          <t xml:space="preserve">PR </t>
        </is>
      </c>
      <c r="U1138" t="n">
        <v>1</v>
      </c>
      <c r="V1138" t="n">
        <v>1</v>
      </c>
      <c r="W1138" t="inlineStr">
        <is>
          <t>2002-12-11</t>
        </is>
      </c>
      <c r="X1138" t="inlineStr">
        <is>
          <t>2002-12-11</t>
        </is>
      </c>
      <c r="Y1138" t="inlineStr">
        <is>
          <t>2002-12-11</t>
        </is>
      </c>
      <c r="Z1138" t="inlineStr">
        <is>
          <t>2002-12-11</t>
        </is>
      </c>
      <c r="AA1138" t="n">
        <v>778</v>
      </c>
      <c r="AB1138" t="n">
        <v>625</v>
      </c>
      <c r="AC1138" t="n">
        <v>627</v>
      </c>
      <c r="AD1138" t="n">
        <v>6</v>
      </c>
      <c r="AE1138" t="n">
        <v>6</v>
      </c>
      <c r="AF1138" t="n">
        <v>40</v>
      </c>
      <c r="AG1138" t="n">
        <v>40</v>
      </c>
      <c r="AH1138" t="n">
        <v>17</v>
      </c>
      <c r="AI1138" t="n">
        <v>17</v>
      </c>
      <c r="AJ1138" t="n">
        <v>8</v>
      </c>
      <c r="AK1138" t="n">
        <v>8</v>
      </c>
      <c r="AL1138" t="n">
        <v>21</v>
      </c>
      <c r="AM1138" t="n">
        <v>21</v>
      </c>
      <c r="AN1138" t="n">
        <v>5</v>
      </c>
      <c r="AO1138" t="n">
        <v>5</v>
      </c>
      <c r="AP1138" t="n">
        <v>0</v>
      </c>
      <c r="AQ1138" t="n">
        <v>0</v>
      </c>
      <c r="AR1138" t="inlineStr">
        <is>
          <t>No</t>
        </is>
      </c>
      <c r="AS1138" t="inlineStr">
        <is>
          <t>No</t>
        </is>
      </c>
      <c r="AU1138">
        <f>HYPERLINK("https://creighton-primo.hosted.exlibrisgroup.com/primo-explore/search?tab=default_tab&amp;search_scope=EVERYTHING&amp;vid=01CRU&amp;lang=en_US&amp;offset=0&amp;query=any,contains,991003959729702656","Catalog Record")</f>
        <v/>
      </c>
      <c r="AV1138">
        <f>HYPERLINK("http://www.worldcat.org/oclc/352254","WorldCat Record")</f>
        <v/>
      </c>
      <c r="AW1138" t="inlineStr">
        <is>
          <t>1388362:eng</t>
        </is>
      </c>
      <c r="AX1138" t="inlineStr">
        <is>
          <t>352254</t>
        </is>
      </c>
      <c r="AY1138" t="inlineStr">
        <is>
          <t>991003959729702656</t>
        </is>
      </c>
      <c r="AZ1138" t="inlineStr">
        <is>
          <t>991003959729702656</t>
        </is>
      </c>
      <c r="BA1138" t="inlineStr">
        <is>
          <t>2265252640002656</t>
        </is>
      </c>
      <c r="BB1138" t="inlineStr">
        <is>
          <t>BOOK</t>
        </is>
      </c>
      <c r="BE1138" t="inlineStr">
        <is>
          <t>32285004690276</t>
        </is>
      </c>
      <c r="BF1138" t="inlineStr">
        <is>
          <t>893234876</t>
        </is>
      </c>
    </row>
    <row r="1139">
      <c r="A1139" t="inlineStr">
        <is>
          <t>No</t>
        </is>
      </c>
      <c r="B1139" t="inlineStr">
        <is>
          <t>CURAL</t>
        </is>
      </c>
      <c r="C1139" t="inlineStr">
        <is>
          <t>SHELVES</t>
        </is>
      </c>
      <c r="D1139" t="inlineStr">
        <is>
          <t>PR3558 .B7</t>
        </is>
      </c>
      <c r="E1139" t="inlineStr">
        <is>
          <t>0                      PR 3558000B  7</t>
        </is>
      </c>
      <c r="F1139" t="inlineStr">
        <is>
          <t>Reason &amp; imagination : a study of form and meaning in four poems.</t>
        </is>
      </c>
      <c r="H1139" t="inlineStr">
        <is>
          <t>No</t>
        </is>
      </c>
      <c r="I1139" t="inlineStr">
        <is>
          <t>1</t>
        </is>
      </c>
      <c r="J1139" t="inlineStr">
        <is>
          <t>No</t>
        </is>
      </c>
      <c r="K1139" t="inlineStr">
        <is>
          <t>No</t>
        </is>
      </c>
      <c r="L1139" t="inlineStr">
        <is>
          <t>0</t>
        </is>
      </c>
      <c r="M1139" t="inlineStr">
        <is>
          <t>Brett, R. L.</t>
        </is>
      </c>
      <c r="N1139" t="inlineStr">
        <is>
          <t>London ; New York : Published for the University of Hull by Oxford University Press, 1960.</t>
        </is>
      </c>
      <c r="O1139" t="inlineStr">
        <is>
          <t>1960</t>
        </is>
      </c>
      <c r="Q1139" t="inlineStr">
        <is>
          <t>eng</t>
        </is>
      </c>
      <c r="R1139" t="inlineStr">
        <is>
          <t>enk</t>
        </is>
      </c>
      <c r="S1139" t="inlineStr">
        <is>
          <t>University of Hull publications</t>
        </is>
      </c>
      <c r="T1139" t="inlineStr">
        <is>
          <t xml:space="preserve">PR </t>
        </is>
      </c>
      <c r="U1139" t="n">
        <v>12</v>
      </c>
      <c r="V1139" t="n">
        <v>12</v>
      </c>
      <c r="W1139" t="inlineStr">
        <is>
          <t>2003-11-15</t>
        </is>
      </c>
      <c r="X1139" t="inlineStr">
        <is>
          <t>2003-11-15</t>
        </is>
      </c>
      <c r="Y1139" t="inlineStr">
        <is>
          <t>1990-09-06</t>
        </is>
      </c>
      <c r="Z1139" t="inlineStr">
        <is>
          <t>1990-09-06</t>
        </is>
      </c>
      <c r="AA1139" t="n">
        <v>604</v>
      </c>
      <c r="AB1139" t="n">
        <v>466</v>
      </c>
      <c r="AC1139" t="n">
        <v>513</v>
      </c>
      <c r="AD1139" t="n">
        <v>4</v>
      </c>
      <c r="AE1139" t="n">
        <v>4</v>
      </c>
      <c r="AF1139" t="n">
        <v>28</v>
      </c>
      <c r="AG1139" t="n">
        <v>30</v>
      </c>
      <c r="AH1139" t="n">
        <v>10</v>
      </c>
      <c r="AI1139" t="n">
        <v>11</v>
      </c>
      <c r="AJ1139" t="n">
        <v>6</v>
      </c>
      <c r="AK1139" t="n">
        <v>6</v>
      </c>
      <c r="AL1139" t="n">
        <v>14</v>
      </c>
      <c r="AM1139" t="n">
        <v>15</v>
      </c>
      <c r="AN1139" t="n">
        <v>3</v>
      </c>
      <c r="AO1139" t="n">
        <v>3</v>
      </c>
      <c r="AP1139" t="n">
        <v>0</v>
      </c>
      <c r="AQ1139" t="n">
        <v>0</v>
      </c>
      <c r="AR1139" t="inlineStr">
        <is>
          <t>No</t>
        </is>
      </c>
      <c r="AS1139" t="inlineStr">
        <is>
          <t>Yes</t>
        </is>
      </c>
      <c r="AT1139">
        <f>HYPERLINK("http://catalog.hathitrust.org/Record/001397748","HathiTrust Record")</f>
        <v/>
      </c>
      <c r="AU1139">
        <f>HYPERLINK("https://creighton-primo.hosted.exlibrisgroup.com/primo-explore/search?tab=default_tab&amp;search_scope=EVERYTHING&amp;vid=01CRU&amp;lang=en_US&amp;offset=0&amp;query=any,contains,991002523519702656","Catalog Record")</f>
        <v/>
      </c>
      <c r="AV1139">
        <f>HYPERLINK("http://www.worldcat.org/oclc/366368","WorldCat Record")</f>
        <v/>
      </c>
      <c r="AW1139" t="inlineStr">
        <is>
          <t>1427031:eng</t>
        </is>
      </c>
      <c r="AX1139" t="inlineStr">
        <is>
          <t>366368</t>
        </is>
      </c>
      <c r="AY1139" t="inlineStr">
        <is>
          <t>991002523519702656</t>
        </is>
      </c>
      <c r="AZ1139" t="inlineStr">
        <is>
          <t>991002523519702656</t>
        </is>
      </c>
      <c r="BA1139" t="inlineStr">
        <is>
          <t>2264396720002656</t>
        </is>
      </c>
      <c r="BB1139" t="inlineStr">
        <is>
          <t>BOOK</t>
        </is>
      </c>
      <c r="BE1139" t="inlineStr">
        <is>
          <t>32285000300763</t>
        </is>
      </c>
      <c r="BF1139" t="inlineStr">
        <is>
          <t>893329200</t>
        </is>
      </c>
    </row>
    <row r="1140">
      <c r="A1140" t="inlineStr">
        <is>
          <t>No</t>
        </is>
      </c>
      <c r="B1140" t="inlineStr">
        <is>
          <t>CURAL</t>
        </is>
      </c>
      <c r="C1140" t="inlineStr">
        <is>
          <t>SHELVES</t>
        </is>
      </c>
      <c r="D1140" t="inlineStr">
        <is>
          <t>PR3562 .A44 1980</t>
        </is>
      </c>
      <c r="E1140" t="inlineStr">
        <is>
          <t>0                      PR 3562000A  44          1980</t>
        </is>
      </c>
      <c r="F1140" t="inlineStr">
        <is>
          <t>Of costliest emblem : Paradise Lost and the emblem tradition / Shahla Anand.</t>
        </is>
      </c>
      <c r="H1140" t="inlineStr">
        <is>
          <t>No</t>
        </is>
      </c>
      <c r="I1140" t="inlineStr">
        <is>
          <t>1</t>
        </is>
      </c>
      <c r="J1140" t="inlineStr">
        <is>
          <t>No</t>
        </is>
      </c>
      <c r="K1140" t="inlineStr">
        <is>
          <t>No</t>
        </is>
      </c>
      <c r="L1140" t="inlineStr">
        <is>
          <t>0</t>
        </is>
      </c>
      <c r="M1140" t="inlineStr">
        <is>
          <t>Anand, Shahla.</t>
        </is>
      </c>
      <c r="N1140" t="inlineStr">
        <is>
          <t>Washington, D. C. : University Press of America, 1980.</t>
        </is>
      </c>
      <c r="O1140" t="inlineStr">
        <is>
          <t>1980</t>
        </is>
      </c>
      <c r="Q1140" t="inlineStr">
        <is>
          <t>eng</t>
        </is>
      </c>
      <c r="R1140" t="inlineStr">
        <is>
          <t>dcu</t>
        </is>
      </c>
      <c r="T1140" t="inlineStr">
        <is>
          <t xml:space="preserve">PR </t>
        </is>
      </c>
      <c r="U1140" t="n">
        <v>5</v>
      </c>
      <c r="V1140" t="n">
        <v>5</v>
      </c>
      <c r="W1140" t="inlineStr">
        <is>
          <t>1994-02-04</t>
        </is>
      </c>
      <c r="X1140" t="inlineStr">
        <is>
          <t>1994-02-04</t>
        </is>
      </c>
      <c r="Y1140" t="inlineStr">
        <is>
          <t>1991-04-29</t>
        </is>
      </c>
      <c r="Z1140" t="inlineStr">
        <is>
          <t>1991-04-29</t>
        </is>
      </c>
      <c r="AA1140" t="n">
        <v>181</v>
      </c>
      <c r="AB1140" t="n">
        <v>163</v>
      </c>
      <c r="AC1140" t="n">
        <v>181</v>
      </c>
      <c r="AD1140" t="n">
        <v>3</v>
      </c>
      <c r="AE1140" t="n">
        <v>3</v>
      </c>
      <c r="AF1140" t="n">
        <v>12</v>
      </c>
      <c r="AG1140" t="n">
        <v>13</v>
      </c>
      <c r="AH1140" t="n">
        <v>4</v>
      </c>
      <c r="AI1140" t="n">
        <v>5</v>
      </c>
      <c r="AJ1140" t="n">
        <v>2</v>
      </c>
      <c r="AK1140" t="n">
        <v>2</v>
      </c>
      <c r="AL1140" t="n">
        <v>8</v>
      </c>
      <c r="AM1140" t="n">
        <v>8</v>
      </c>
      <c r="AN1140" t="n">
        <v>2</v>
      </c>
      <c r="AO1140" t="n">
        <v>2</v>
      </c>
      <c r="AP1140" t="n">
        <v>0</v>
      </c>
      <c r="AQ1140" t="n">
        <v>0</v>
      </c>
      <c r="AR1140" t="inlineStr">
        <is>
          <t>No</t>
        </is>
      </c>
      <c r="AS1140" t="inlineStr">
        <is>
          <t>No</t>
        </is>
      </c>
      <c r="AU1140">
        <f>HYPERLINK("https://creighton-primo.hosted.exlibrisgroup.com/primo-explore/search?tab=default_tab&amp;search_scope=EVERYTHING&amp;vid=01CRU&amp;lang=en_US&amp;offset=0&amp;query=any,contains,991004924149702656","Catalog Record")</f>
        <v/>
      </c>
      <c r="AV1140">
        <f>HYPERLINK("http://www.worldcat.org/oclc/6073955","WorldCat Record")</f>
        <v/>
      </c>
      <c r="AW1140" t="inlineStr">
        <is>
          <t>10220964:eng</t>
        </is>
      </c>
      <c r="AX1140" t="inlineStr">
        <is>
          <t>6073955</t>
        </is>
      </c>
      <c r="AY1140" t="inlineStr">
        <is>
          <t>991004924149702656</t>
        </is>
      </c>
      <c r="AZ1140" t="inlineStr">
        <is>
          <t>991004924149702656</t>
        </is>
      </c>
      <c r="BA1140" t="inlineStr">
        <is>
          <t>2269259040002656</t>
        </is>
      </c>
      <c r="BB1140" t="inlineStr">
        <is>
          <t>BOOK</t>
        </is>
      </c>
      <c r="BD1140" t="inlineStr">
        <is>
          <t>9780819105561</t>
        </is>
      </c>
      <c r="BE1140" t="inlineStr">
        <is>
          <t>32285000588748</t>
        </is>
      </c>
      <c r="BF1140" t="inlineStr">
        <is>
          <t>893694509</t>
        </is>
      </c>
    </row>
    <row r="1141">
      <c r="A1141" t="inlineStr">
        <is>
          <t>No</t>
        </is>
      </c>
      <c r="B1141" t="inlineStr">
        <is>
          <t>CURAL</t>
        </is>
      </c>
      <c r="C1141" t="inlineStr">
        <is>
          <t>SHELVES</t>
        </is>
      </c>
      <c r="D1141" t="inlineStr">
        <is>
          <t>PR3562 .A8</t>
        </is>
      </c>
      <c r="E1141" t="inlineStr">
        <is>
          <t>0                      PR 3562000A  8</t>
        </is>
      </c>
      <c r="F1141" t="inlineStr">
        <is>
          <t>Approaches to Paradise Lost; the York tercentenary lectures, by John Arthos [and others]; edited by C. A. Patrides.</t>
        </is>
      </c>
      <c r="H1141" t="inlineStr">
        <is>
          <t>No</t>
        </is>
      </c>
      <c r="I1141" t="inlineStr">
        <is>
          <t>1</t>
        </is>
      </c>
      <c r="J1141" t="inlineStr">
        <is>
          <t>No</t>
        </is>
      </c>
      <c r="K1141" t="inlineStr">
        <is>
          <t>No</t>
        </is>
      </c>
      <c r="L1141" t="inlineStr">
        <is>
          <t>0</t>
        </is>
      </c>
      <c r="N1141" t="inlineStr">
        <is>
          <t>London, Edward Arnold, 1968.</t>
        </is>
      </c>
      <c r="O1141" t="inlineStr">
        <is>
          <t>1968</t>
        </is>
      </c>
      <c r="Q1141" t="inlineStr">
        <is>
          <t>eng</t>
        </is>
      </c>
      <c r="R1141" t="inlineStr">
        <is>
          <t>enk</t>
        </is>
      </c>
      <c r="T1141" t="inlineStr">
        <is>
          <t xml:space="preserve">PR </t>
        </is>
      </c>
      <c r="U1141" t="n">
        <v>5</v>
      </c>
      <c r="V1141" t="n">
        <v>5</v>
      </c>
      <c r="W1141" t="inlineStr">
        <is>
          <t>2000-10-01</t>
        </is>
      </c>
      <c r="X1141" t="inlineStr">
        <is>
          <t>2000-10-01</t>
        </is>
      </c>
      <c r="Y1141" t="inlineStr">
        <is>
          <t>1997-07-24</t>
        </is>
      </c>
      <c r="Z1141" t="inlineStr">
        <is>
          <t>1997-07-24</t>
        </is>
      </c>
      <c r="AA1141" t="n">
        <v>671</v>
      </c>
      <c r="AB1141" t="n">
        <v>502</v>
      </c>
      <c r="AC1141" t="n">
        <v>797</v>
      </c>
      <c r="AD1141" t="n">
        <v>7</v>
      </c>
      <c r="AE1141" t="n">
        <v>8</v>
      </c>
      <c r="AF1141" t="n">
        <v>32</v>
      </c>
      <c r="AG1141" t="n">
        <v>45</v>
      </c>
      <c r="AH1141" t="n">
        <v>12</v>
      </c>
      <c r="AI1141" t="n">
        <v>19</v>
      </c>
      <c r="AJ1141" t="n">
        <v>6</v>
      </c>
      <c r="AK1141" t="n">
        <v>10</v>
      </c>
      <c r="AL1141" t="n">
        <v>18</v>
      </c>
      <c r="AM1141" t="n">
        <v>20</v>
      </c>
      <c r="AN1141" t="n">
        <v>6</v>
      </c>
      <c r="AO1141" t="n">
        <v>7</v>
      </c>
      <c r="AP1141" t="n">
        <v>0</v>
      </c>
      <c r="AQ1141" t="n">
        <v>0</v>
      </c>
      <c r="AR1141" t="inlineStr">
        <is>
          <t>No</t>
        </is>
      </c>
      <c r="AS1141" t="inlineStr">
        <is>
          <t>Yes</t>
        </is>
      </c>
      <c r="AT1141">
        <f>HYPERLINK("http://catalog.hathitrust.org/Record/000634716","HathiTrust Record")</f>
        <v/>
      </c>
      <c r="AU1141">
        <f>HYPERLINK("https://creighton-primo.hosted.exlibrisgroup.com/primo-explore/search?tab=default_tab&amp;search_scope=EVERYTHING&amp;vid=01CRU&amp;lang=en_US&amp;offset=0&amp;query=any,contains,991000097849702656","Catalog Record")</f>
        <v/>
      </c>
      <c r="AV1141">
        <f>HYPERLINK("http://www.worldcat.org/oclc/42685","WorldCat Record")</f>
        <v/>
      </c>
      <c r="AW1141" t="inlineStr">
        <is>
          <t>836632415:eng</t>
        </is>
      </c>
      <c r="AX1141" t="inlineStr">
        <is>
          <t>42685</t>
        </is>
      </c>
      <c r="AY1141" t="inlineStr">
        <is>
          <t>991000097849702656</t>
        </is>
      </c>
      <c r="AZ1141" t="inlineStr">
        <is>
          <t>991000097849702656</t>
        </is>
      </c>
      <c r="BA1141" t="inlineStr">
        <is>
          <t>2260453780002656</t>
        </is>
      </c>
      <c r="BB1141" t="inlineStr">
        <is>
          <t>BOOK</t>
        </is>
      </c>
      <c r="BD1141" t="inlineStr">
        <is>
          <t>9780713154184</t>
        </is>
      </c>
      <c r="BE1141" t="inlineStr">
        <is>
          <t>32285002957453</t>
        </is>
      </c>
      <c r="BF1141" t="inlineStr">
        <is>
          <t>893695593</t>
        </is>
      </c>
    </row>
    <row r="1142">
      <c r="A1142" t="inlineStr">
        <is>
          <t>No</t>
        </is>
      </c>
      <c r="B1142" t="inlineStr">
        <is>
          <t>CURAL</t>
        </is>
      </c>
      <c r="C1142" t="inlineStr">
        <is>
          <t>SHELVES</t>
        </is>
      </c>
      <c r="D1142" t="inlineStr">
        <is>
          <t>PR3562 .A83 1986</t>
        </is>
      </c>
      <c r="E1142" t="inlineStr">
        <is>
          <t>0                      PR 3562000A  83          1986</t>
        </is>
      </c>
      <c r="F1142" t="inlineStr">
        <is>
          <t>Approaches to teaching Milton's Paradise lost / edited by Galbraith M. Crump.</t>
        </is>
      </c>
      <c r="H1142" t="inlineStr">
        <is>
          <t>No</t>
        </is>
      </c>
      <c r="I1142" t="inlineStr">
        <is>
          <t>1</t>
        </is>
      </c>
      <c r="J1142" t="inlineStr">
        <is>
          <t>No</t>
        </is>
      </c>
      <c r="K1142" t="inlineStr">
        <is>
          <t>No</t>
        </is>
      </c>
      <c r="L1142" t="inlineStr">
        <is>
          <t>0</t>
        </is>
      </c>
      <c r="N1142" t="inlineStr">
        <is>
          <t>New York : Modern Language Association of America, 1986.</t>
        </is>
      </c>
      <c r="O1142" t="inlineStr">
        <is>
          <t>1986</t>
        </is>
      </c>
      <c r="Q1142" t="inlineStr">
        <is>
          <t>eng</t>
        </is>
      </c>
      <c r="R1142" t="inlineStr">
        <is>
          <t>nyu</t>
        </is>
      </c>
      <c r="S1142" t="inlineStr">
        <is>
          <t>Approaches to teaching masterpieces of world literature ; 10</t>
        </is>
      </c>
      <c r="T1142" t="inlineStr">
        <is>
          <t xml:space="preserve">PR </t>
        </is>
      </c>
      <c r="U1142" t="n">
        <v>8</v>
      </c>
      <c r="V1142" t="n">
        <v>8</v>
      </c>
      <c r="W1142" t="inlineStr">
        <is>
          <t>1998-10-10</t>
        </is>
      </c>
      <c r="X1142" t="inlineStr">
        <is>
          <t>1998-10-10</t>
        </is>
      </c>
      <c r="Y1142" t="inlineStr">
        <is>
          <t>1990-05-24</t>
        </is>
      </c>
      <c r="Z1142" t="inlineStr">
        <is>
          <t>1990-05-24</t>
        </is>
      </c>
      <c r="AA1142" t="n">
        <v>756</v>
      </c>
      <c r="AB1142" t="n">
        <v>666</v>
      </c>
      <c r="AC1142" t="n">
        <v>668</v>
      </c>
      <c r="AD1142" t="n">
        <v>7</v>
      </c>
      <c r="AE1142" t="n">
        <v>7</v>
      </c>
      <c r="AF1142" t="n">
        <v>29</v>
      </c>
      <c r="AG1142" t="n">
        <v>29</v>
      </c>
      <c r="AH1142" t="n">
        <v>10</v>
      </c>
      <c r="AI1142" t="n">
        <v>10</v>
      </c>
      <c r="AJ1142" t="n">
        <v>6</v>
      </c>
      <c r="AK1142" t="n">
        <v>6</v>
      </c>
      <c r="AL1142" t="n">
        <v>12</v>
      </c>
      <c r="AM1142" t="n">
        <v>12</v>
      </c>
      <c r="AN1142" t="n">
        <v>6</v>
      </c>
      <c r="AO1142" t="n">
        <v>6</v>
      </c>
      <c r="AP1142" t="n">
        <v>0</v>
      </c>
      <c r="AQ1142" t="n">
        <v>0</v>
      </c>
      <c r="AR1142" t="inlineStr">
        <is>
          <t>No</t>
        </is>
      </c>
      <c r="AS1142" t="inlineStr">
        <is>
          <t>No</t>
        </is>
      </c>
      <c r="AU1142">
        <f>HYPERLINK("https://creighton-primo.hosted.exlibrisgroup.com/primo-explore/search?tab=default_tab&amp;search_scope=EVERYTHING&amp;vid=01CRU&amp;lang=en_US&amp;offset=0&amp;query=any,contains,991000707339702656","Catalog Record")</f>
        <v/>
      </c>
      <c r="AV1142">
        <f>HYPERLINK("http://www.worldcat.org/oclc/12558068","WorldCat Record")</f>
        <v/>
      </c>
      <c r="AW1142" t="inlineStr">
        <is>
          <t>367589630:eng</t>
        </is>
      </c>
      <c r="AX1142" t="inlineStr">
        <is>
          <t>12558068</t>
        </is>
      </c>
      <c r="AY1142" t="inlineStr">
        <is>
          <t>991000707339702656</t>
        </is>
      </c>
      <c r="AZ1142" t="inlineStr">
        <is>
          <t>991000707339702656</t>
        </is>
      </c>
      <c r="BA1142" t="inlineStr">
        <is>
          <t>2256866380002656</t>
        </is>
      </c>
      <c r="BB1142" t="inlineStr">
        <is>
          <t>BOOK</t>
        </is>
      </c>
      <c r="BD1142" t="inlineStr">
        <is>
          <t>9780873524933</t>
        </is>
      </c>
      <c r="BE1142" t="inlineStr">
        <is>
          <t>32285000139708</t>
        </is>
      </c>
      <c r="BF1142" t="inlineStr">
        <is>
          <t>893438516</t>
        </is>
      </c>
    </row>
    <row r="1143">
      <c r="A1143" t="inlineStr">
        <is>
          <t>No</t>
        </is>
      </c>
      <c r="B1143" t="inlineStr">
        <is>
          <t>CURAL</t>
        </is>
      </c>
      <c r="C1143" t="inlineStr">
        <is>
          <t>SHELVES</t>
        </is>
      </c>
      <c r="D1143" t="inlineStr">
        <is>
          <t>PR3562 .B4</t>
        </is>
      </c>
      <c r="E1143" t="inlineStr">
        <is>
          <t>0                      PR 3562000B  4</t>
        </is>
      </c>
      <c r="F1143" t="inlineStr">
        <is>
          <t>Process of speech : Puritan religious writing &amp; Paradise lost / Boyd M. Berry.</t>
        </is>
      </c>
      <c r="H1143" t="inlineStr">
        <is>
          <t>No</t>
        </is>
      </c>
      <c r="I1143" t="inlineStr">
        <is>
          <t>1</t>
        </is>
      </c>
      <c r="J1143" t="inlineStr">
        <is>
          <t>No</t>
        </is>
      </c>
      <c r="K1143" t="inlineStr">
        <is>
          <t>No</t>
        </is>
      </c>
      <c r="L1143" t="inlineStr">
        <is>
          <t>0</t>
        </is>
      </c>
      <c r="M1143" t="inlineStr">
        <is>
          <t>Berry, Boyd M.</t>
        </is>
      </c>
      <c r="N1143" t="inlineStr">
        <is>
          <t>Baltimore : Johns Hopkins University Press, c1976.</t>
        </is>
      </c>
      <c r="O1143" t="inlineStr">
        <is>
          <t>1976</t>
        </is>
      </c>
      <c r="Q1143" t="inlineStr">
        <is>
          <t>eng</t>
        </is>
      </c>
      <c r="R1143" t="inlineStr">
        <is>
          <t>mdu</t>
        </is>
      </c>
      <c r="T1143" t="inlineStr">
        <is>
          <t xml:space="preserve">PR </t>
        </is>
      </c>
      <c r="U1143" t="n">
        <v>2</v>
      </c>
      <c r="V1143" t="n">
        <v>2</v>
      </c>
      <c r="W1143" t="inlineStr">
        <is>
          <t>2006-03-13</t>
        </is>
      </c>
      <c r="X1143" t="inlineStr">
        <is>
          <t>2006-03-13</t>
        </is>
      </c>
      <c r="Y1143" t="inlineStr">
        <is>
          <t>1997-07-24</t>
        </is>
      </c>
      <c r="Z1143" t="inlineStr">
        <is>
          <t>1997-07-24</t>
        </is>
      </c>
      <c r="AA1143" t="n">
        <v>622</v>
      </c>
      <c r="AB1143" t="n">
        <v>520</v>
      </c>
      <c r="AC1143" t="n">
        <v>522</v>
      </c>
      <c r="AD1143" t="n">
        <v>4</v>
      </c>
      <c r="AE1143" t="n">
        <v>4</v>
      </c>
      <c r="AF1143" t="n">
        <v>28</v>
      </c>
      <c r="AG1143" t="n">
        <v>28</v>
      </c>
      <c r="AH1143" t="n">
        <v>9</v>
      </c>
      <c r="AI1143" t="n">
        <v>9</v>
      </c>
      <c r="AJ1143" t="n">
        <v>5</v>
      </c>
      <c r="AK1143" t="n">
        <v>5</v>
      </c>
      <c r="AL1143" t="n">
        <v>18</v>
      </c>
      <c r="AM1143" t="n">
        <v>18</v>
      </c>
      <c r="AN1143" t="n">
        <v>3</v>
      </c>
      <c r="AO1143" t="n">
        <v>3</v>
      </c>
      <c r="AP1143" t="n">
        <v>0</v>
      </c>
      <c r="AQ1143" t="n">
        <v>0</v>
      </c>
      <c r="AR1143" t="inlineStr">
        <is>
          <t>No</t>
        </is>
      </c>
      <c r="AS1143" t="inlineStr">
        <is>
          <t>Yes</t>
        </is>
      </c>
      <c r="AT1143">
        <f>HYPERLINK("http://catalog.hathitrust.org/Record/000721326","HathiTrust Record")</f>
        <v/>
      </c>
      <c r="AU1143">
        <f>HYPERLINK("https://creighton-primo.hosted.exlibrisgroup.com/primo-explore/search?tab=default_tab&amp;search_scope=EVERYTHING&amp;vid=01CRU&amp;lang=en_US&amp;offset=0&amp;query=any,contains,991004007929702656","Catalog Record")</f>
        <v/>
      </c>
      <c r="AV1143">
        <f>HYPERLINK("http://www.worldcat.org/oclc/2089040","WorldCat Record")</f>
        <v/>
      </c>
      <c r="AW1143" t="inlineStr">
        <is>
          <t>199216286:eng</t>
        </is>
      </c>
      <c r="AX1143" t="inlineStr">
        <is>
          <t>2089040</t>
        </is>
      </c>
      <c r="AY1143" t="inlineStr">
        <is>
          <t>991004007929702656</t>
        </is>
      </c>
      <c r="AZ1143" t="inlineStr">
        <is>
          <t>991004007929702656</t>
        </is>
      </c>
      <c r="BA1143" t="inlineStr">
        <is>
          <t>2263496410002656</t>
        </is>
      </c>
      <c r="BB1143" t="inlineStr">
        <is>
          <t>BOOK</t>
        </is>
      </c>
      <c r="BD1143" t="inlineStr">
        <is>
          <t>9780801817793</t>
        </is>
      </c>
      <c r="BE1143" t="inlineStr">
        <is>
          <t>32285002957461</t>
        </is>
      </c>
      <c r="BF1143" t="inlineStr">
        <is>
          <t>893499991</t>
        </is>
      </c>
    </row>
    <row r="1144">
      <c r="A1144" t="inlineStr">
        <is>
          <t>No</t>
        </is>
      </c>
      <c r="B1144" t="inlineStr">
        <is>
          <t>CURAL</t>
        </is>
      </c>
      <c r="C1144" t="inlineStr">
        <is>
          <t>SHELVES</t>
        </is>
      </c>
      <c r="D1144" t="inlineStr">
        <is>
          <t>PR3562 .B7 1960</t>
        </is>
      </c>
      <c r="E1144" t="inlineStr">
        <is>
          <t>0                      PR 3562000B  7           1960</t>
        </is>
      </c>
      <c r="F1144" t="inlineStr">
        <is>
          <t>Some graver subject; an essay on Paradise lost.</t>
        </is>
      </c>
      <c r="H1144" t="inlineStr">
        <is>
          <t>No</t>
        </is>
      </c>
      <c r="I1144" t="inlineStr">
        <is>
          <t>1</t>
        </is>
      </c>
      <c r="J1144" t="inlineStr">
        <is>
          <t>No</t>
        </is>
      </c>
      <c r="K1144" t="inlineStr">
        <is>
          <t>No</t>
        </is>
      </c>
      <c r="L1144" t="inlineStr">
        <is>
          <t>0</t>
        </is>
      </c>
      <c r="M1144" t="inlineStr">
        <is>
          <t>Broadbent, J. B., 1926-2012.</t>
        </is>
      </c>
      <c r="N1144" t="inlineStr">
        <is>
          <t>London, Chatto &amp; Windus, 1960.</t>
        </is>
      </c>
      <c r="O1144" t="inlineStr">
        <is>
          <t>1960</t>
        </is>
      </c>
      <c r="Q1144" t="inlineStr">
        <is>
          <t>eng</t>
        </is>
      </c>
      <c r="R1144" t="inlineStr">
        <is>
          <t>enk</t>
        </is>
      </c>
      <c r="T1144" t="inlineStr">
        <is>
          <t xml:space="preserve">PR </t>
        </is>
      </c>
      <c r="U1144" t="n">
        <v>4</v>
      </c>
      <c r="V1144" t="n">
        <v>4</v>
      </c>
      <c r="W1144" t="inlineStr">
        <is>
          <t>2001-04-11</t>
        </is>
      </c>
      <c r="X1144" t="inlineStr">
        <is>
          <t>2001-04-11</t>
        </is>
      </c>
      <c r="Y1144" t="inlineStr">
        <is>
          <t>1991-12-16</t>
        </is>
      </c>
      <c r="Z1144" t="inlineStr">
        <is>
          <t>1991-12-16</t>
        </is>
      </c>
      <c r="AA1144" t="n">
        <v>339</v>
      </c>
      <c r="AB1144" t="n">
        <v>221</v>
      </c>
      <c r="AC1144" t="n">
        <v>843</v>
      </c>
      <c r="AD1144" t="n">
        <v>3</v>
      </c>
      <c r="AE1144" t="n">
        <v>6</v>
      </c>
      <c r="AF1144" t="n">
        <v>20</v>
      </c>
      <c r="AG1144" t="n">
        <v>44</v>
      </c>
      <c r="AH1144" t="n">
        <v>8</v>
      </c>
      <c r="AI1144" t="n">
        <v>19</v>
      </c>
      <c r="AJ1144" t="n">
        <v>3</v>
      </c>
      <c r="AK1144" t="n">
        <v>8</v>
      </c>
      <c r="AL1144" t="n">
        <v>14</v>
      </c>
      <c r="AM1144" t="n">
        <v>23</v>
      </c>
      <c r="AN1144" t="n">
        <v>2</v>
      </c>
      <c r="AO1144" t="n">
        <v>5</v>
      </c>
      <c r="AP1144" t="n">
        <v>0</v>
      </c>
      <c r="AQ1144" t="n">
        <v>0</v>
      </c>
      <c r="AR1144" t="inlineStr">
        <is>
          <t>No</t>
        </is>
      </c>
      <c r="AS1144" t="inlineStr">
        <is>
          <t>Yes</t>
        </is>
      </c>
      <c r="AT1144">
        <f>HYPERLINK("http://catalog.hathitrust.org/Record/000670005","HathiTrust Record")</f>
        <v/>
      </c>
      <c r="AU1144">
        <f>HYPERLINK("https://creighton-primo.hosted.exlibrisgroup.com/primo-explore/search?tab=default_tab&amp;search_scope=EVERYTHING&amp;vid=01CRU&amp;lang=en_US&amp;offset=0&amp;query=any,contains,991004337759702656","Catalog Record")</f>
        <v/>
      </c>
      <c r="AV1144">
        <f>HYPERLINK("http://www.worldcat.org/oclc/3079133","WorldCat Record")</f>
        <v/>
      </c>
      <c r="AW1144" t="inlineStr">
        <is>
          <t>1408254:eng</t>
        </is>
      </c>
      <c r="AX1144" t="inlineStr">
        <is>
          <t>3079133</t>
        </is>
      </c>
      <c r="AY1144" t="inlineStr">
        <is>
          <t>991004337759702656</t>
        </is>
      </c>
      <c r="AZ1144" t="inlineStr">
        <is>
          <t>991004337759702656</t>
        </is>
      </c>
      <c r="BA1144" t="inlineStr">
        <is>
          <t>2270930550002656</t>
        </is>
      </c>
      <c r="BB1144" t="inlineStr">
        <is>
          <t>BOOK</t>
        </is>
      </c>
      <c r="BE1144" t="inlineStr">
        <is>
          <t>32285000906296</t>
        </is>
      </c>
      <c r="BF1144" t="inlineStr">
        <is>
          <t>893901128</t>
        </is>
      </c>
    </row>
    <row r="1145">
      <c r="A1145" t="inlineStr">
        <is>
          <t>No</t>
        </is>
      </c>
      <c r="B1145" t="inlineStr">
        <is>
          <t>CURAL</t>
        </is>
      </c>
      <c r="C1145" t="inlineStr">
        <is>
          <t>SHELVES</t>
        </is>
      </c>
      <c r="D1145" t="inlineStr">
        <is>
          <t>PR3562 .B78 1967b</t>
        </is>
      </c>
      <c r="E1145" t="inlineStr">
        <is>
          <t>0                      PR 3562000B  78          1967b</t>
        </is>
      </c>
      <c r="F1145" t="inlineStr">
        <is>
          <t>The logical epic: a study of the argument of Paradise lost [by] Dennis H. Burden.</t>
        </is>
      </c>
      <c r="H1145" t="inlineStr">
        <is>
          <t>No</t>
        </is>
      </c>
      <c r="I1145" t="inlineStr">
        <is>
          <t>1</t>
        </is>
      </c>
      <c r="J1145" t="inlineStr">
        <is>
          <t>No</t>
        </is>
      </c>
      <c r="K1145" t="inlineStr">
        <is>
          <t>No</t>
        </is>
      </c>
      <c r="L1145" t="inlineStr">
        <is>
          <t>0</t>
        </is>
      </c>
      <c r="M1145" t="inlineStr">
        <is>
          <t>Burden, Dennis H.</t>
        </is>
      </c>
      <c r="N1145" t="inlineStr">
        <is>
          <t>London, Routledge &amp; K. Paul, 1967.</t>
        </is>
      </c>
      <c r="O1145" t="inlineStr">
        <is>
          <t>1967</t>
        </is>
      </c>
      <c r="Q1145" t="inlineStr">
        <is>
          <t>eng</t>
        </is>
      </c>
      <c r="R1145" t="inlineStr">
        <is>
          <t>enk</t>
        </is>
      </c>
      <c r="T1145" t="inlineStr">
        <is>
          <t xml:space="preserve">PR </t>
        </is>
      </c>
      <c r="U1145" t="n">
        <v>2</v>
      </c>
      <c r="V1145" t="n">
        <v>2</v>
      </c>
      <c r="W1145" t="inlineStr">
        <is>
          <t>2000-11-17</t>
        </is>
      </c>
      <c r="X1145" t="inlineStr">
        <is>
          <t>2000-11-17</t>
        </is>
      </c>
      <c r="Y1145" t="inlineStr">
        <is>
          <t>1997-07-24</t>
        </is>
      </c>
      <c r="Z1145" t="inlineStr">
        <is>
          <t>1997-07-24</t>
        </is>
      </c>
      <c r="AA1145" t="n">
        <v>213</v>
      </c>
      <c r="AB1145" t="n">
        <v>100</v>
      </c>
      <c r="AC1145" t="n">
        <v>570</v>
      </c>
      <c r="AD1145" t="n">
        <v>1</v>
      </c>
      <c r="AE1145" t="n">
        <v>5</v>
      </c>
      <c r="AF1145" t="n">
        <v>5</v>
      </c>
      <c r="AG1145" t="n">
        <v>39</v>
      </c>
      <c r="AH1145" t="n">
        <v>2</v>
      </c>
      <c r="AI1145" t="n">
        <v>14</v>
      </c>
      <c r="AJ1145" t="n">
        <v>3</v>
      </c>
      <c r="AK1145" t="n">
        <v>10</v>
      </c>
      <c r="AL1145" t="n">
        <v>4</v>
      </c>
      <c r="AM1145" t="n">
        <v>22</v>
      </c>
      <c r="AN1145" t="n">
        <v>0</v>
      </c>
      <c r="AO1145" t="n">
        <v>4</v>
      </c>
      <c r="AP1145" t="n">
        <v>0</v>
      </c>
      <c r="AQ1145" t="n">
        <v>0</v>
      </c>
      <c r="AR1145" t="inlineStr">
        <is>
          <t>No</t>
        </is>
      </c>
      <c r="AS1145" t="inlineStr">
        <is>
          <t>No</t>
        </is>
      </c>
      <c r="AU1145">
        <f>HYPERLINK("https://creighton-primo.hosted.exlibrisgroup.com/primo-explore/search?tab=default_tab&amp;search_scope=EVERYTHING&amp;vid=01CRU&amp;lang=en_US&amp;offset=0&amp;query=any,contains,991003416289702656","Catalog Record")</f>
        <v/>
      </c>
      <c r="AV1145">
        <f>HYPERLINK("http://www.worldcat.org/oclc/957176","WorldCat Record")</f>
        <v/>
      </c>
      <c r="AW1145" t="inlineStr">
        <is>
          <t>1408258:eng</t>
        </is>
      </c>
      <c r="AX1145" t="inlineStr">
        <is>
          <t>957176</t>
        </is>
      </c>
      <c r="AY1145" t="inlineStr">
        <is>
          <t>991003416289702656</t>
        </is>
      </c>
      <c r="AZ1145" t="inlineStr">
        <is>
          <t>991003416289702656</t>
        </is>
      </c>
      <c r="BA1145" t="inlineStr">
        <is>
          <t>2267735060002656</t>
        </is>
      </c>
      <c r="BB1145" t="inlineStr">
        <is>
          <t>BOOK</t>
        </is>
      </c>
      <c r="BE1145" t="inlineStr">
        <is>
          <t>32285002957495</t>
        </is>
      </c>
      <c r="BF1145" t="inlineStr">
        <is>
          <t>893324060</t>
        </is>
      </c>
    </row>
    <row r="1146">
      <c r="A1146" t="inlineStr">
        <is>
          <t>No</t>
        </is>
      </c>
      <c r="B1146" t="inlineStr">
        <is>
          <t>CURAL</t>
        </is>
      </c>
      <c r="C1146" t="inlineStr">
        <is>
          <t>SHELVES</t>
        </is>
      </c>
      <c r="D1146" t="inlineStr">
        <is>
          <t>PR3562 .B8 1957</t>
        </is>
      </c>
      <c r="E1146" t="inlineStr">
        <is>
          <t>0                      PR 3562000B  8           1957</t>
        </is>
      </c>
      <c r="F1146" t="inlineStr">
        <is>
          <t>Paradise lost in our time, some comments.</t>
        </is>
      </c>
      <c r="H1146" t="inlineStr">
        <is>
          <t>No</t>
        </is>
      </c>
      <c r="I1146" t="inlineStr">
        <is>
          <t>1</t>
        </is>
      </c>
      <c r="J1146" t="inlineStr">
        <is>
          <t>No</t>
        </is>
      </c>
      <c r="K1146" t="inlineStr">
        <is>
          <t>No</t>
        </is>
      </c>
      <c r="L1146" t="inlineStr">
        <is>
          <t>0</t>
        </is>
      </c>
      <c r="M1146" t="inlineStr">
        <is>
          <t>Bush, Douglas, 1896-1983.</t>
        </is>
      </c>
      <c r="N1146" t="inlineStr">
        <is>
          <t>Gloucester, Mass., P. Smith, 1957 [c1945]</t>
        </is>
      </c>
      <c r="O1146" t="inlineStr">
        <is>
          <t>1957</t>
        </is>
      </c>
      <c r="Q1146" t="inlineStr">
        <is>
          <t>eng</t>
        </is>
      </c>
      <c r="R1146" t="inlineStr">
        <is>
          <t>mau</t>
        </is>
      </c>
      <c r="T1146" t="inlineStr">
        <is>
          <t xml:space="preserve">PR </t>
        </is>
      </c>
      <c r="U1146" t="n">
        <v>7</v>
      </c>
      <c r="V1146" t="n">
        <v>7</v>
      </c>
      <c r="W1146" t="inlineStr">
        <is>
          <t>2007-10-31</t>
        </is>
      </c>
      <c r="X1146" t="inlineStr">
        <is>
          <t>2007-10-31</t>
        </is>
      </c>
      <c r="Y1146" t="inlineStr">
        <is>
          <t>1997-07-24</t>
        </is>
      </c>
      <c r="Z1146" t="inlineStr">
        <is>
          <t>1997-07-24</t>
        </is>
      </c>
      <c r="AA1146" t="n">
        <v>575</v>
      </c>
      <c r="AB1146" t="n">
        <v>486</v>
      </c>
      <c r="AC1146" t="n">
        <v>941</v>
      </c>
      <c r="AD1146" t="n">
        <v>3</v>
      </c>
      <c r="AE1146" t="n">
        <v>7</v>
      </c>
      <c r="AF1146" t="n">
        <v>26</v>
      </c>
      <c r="AG1146" t="n">
        <v>45</v>
      </c>
      <c r="AH1146" t="n">
        <v>10</v>
      </c>
      <c r="AI1146" t="n">
        <v>18</v>
      </c>
      <c r="AJ1146" t="n">
        <v>6</v>
      </c>
      <c r="AK1146" t="n">
        <v>8</v>
      </c>
      <c r="AL1146" t="n">
        <v>14</v>
      </c>
      <c r="AM1146" t="n">
        <v>25</v>
      </c>
      <c r="AN1146" t="n">
        <v>2</v>
      </c>
      <c r="AO1146" t="n">
        <v>6</v>
      </c>
      <c r="AP1146" t="n">
        <v>0</v>
      </c>
      <c r="AQ1146" t="n">
        <v>0</v>
      </c>
      <c r="AR1146" t="inlineStr">
        <is>
          <t>No</t>
        </is>
      </c>
      <c r="AS1146" t="inlineStr">
        <is>
          <t>Yes</t>
        </is>
      </c>
      <c r="AT1146">
        <f>HYPERLINK("http://catalog.hathitrust.org/Record/000670297","HathiTrust Record")</f>
        <v/>
      </c>
      <c r="AU1146">
        <f>HYPERLINK("https://creighton-primo.hosted.exlibrisgroup.com/primo-explore/search?tab=default_tab&amp;search_scope=EVERYTHING&amp;vid=01CRU&amp;lang=en_US&amp;offset=0&amp;query=any,contains,991002398719702656","Catalog Record")</f>
        <v/>
      </c>
      <c r="AV1146">
        <f>HYPERLINK("http://www.worldcat.org/oclc/335879","WorldCat Record")</f>
        <v/>
      </c>
      <c r="AW1146" t="inlineStr">
        <is>
          <t>150902117:eng</t>
        </is>
      </c>
      <c r="AX1146" t="inlineStr">
        <is>
          <t>335879</t>
        </is>
      </c>
      <c r="AY1146" t="inlineStr">
        <is>
          <t>991002398719702656</t>
        </is>
      </c>
      <c r="AZ1146" t="inlineStr">
        <is>
          <t>991002398719702656</t>
        </is>
      </c>
      <c r="BA1146" t="inlineStr">
        <is>
          <t>2256673610002656</t>
        </is>
      </c>
      <c r="BB1146" t="inlineStr">
        <is>
          <t>BOOK</t>
        </is>
      </c>
      <c r="BE1146" t="inlineStr">
        <is>
          <t>32285002957503</t>
        </is>
      </c>
      <c r="BF1146" t="inlineStr">
        <is>
          <t>893710238</t>
        </is>
      </c>
    </row>
    <row r="1147">
      <c r="A1147" t="inlineStr">
        <is>
          <t>No</t>
        </is>
      </c>
      <c r="B1147" t="inlineStr">
        <is>
          <t>CURAL</t>
        </is>
      </c>
      <c r="C1147" t="inlineStr">
        <is>
          <t>SHELVES</t>
        </is>
      </c>
      <c r="D1147" t="inlineStr">
        <is>
          <t>PR3562 .C625 1967aa</t>
        </is>
      </c>
      <c r="E1147" t="inlineStr">
        <is>
          <t>0                      PR 3562000C  625         1967aa</t>
        </is>
      </c>
      <c r="F1147" t="inlineStr">
        <is>
          <t>Paradise lost, a tercentenary tribute : papers given at the Conference on the Tercentenary of Paradise Lost, University of Western Ontario, October 1967 / edited by Balachandra Rajan.</t>
        </is>
      </c>
      <c r="H1147" t="inlineStr">
        <is>
          <t>No</t>
        </is>
      </c>
      <c r="I1147" t="inlineStr">
        <is>
          <t>1</t>
        </is>
      </c>
      <c r="J1147" t="inlineStr">
        <is>
          <t>No</t>
        </is>
      </c>
      <c r="K1147" t="inlineStr">
        <is>
          <t>No</t>
        </is>
      </c>
      <c r="L1147" t="inlineStr">
        <is>
          <t>0</t>
        </is>
      </c>
      <c r="M1147" t="inlineStr">
        <is>
          <t>Conference on the Tercentenary of Paradise Lost (1967 : University of Western Ontario)</t>
        </is>
      </c>
      <c r="N1147" t="inlineStr">
        <is>
          <t>[Toronto] : University of Toronto Press in association with University of Western Ontario, [1969]</t>
        </is>
      </c>
      <c r="O1147" t="inlineStr">
        <is>
          <t>1969</t>
        </is>
      </c>
      <c r="Q1147" t="inlineStr">
        <is>
          <t>eng</t>
        </is>
      </c>
      <c r="R1147" t="inlineStr">
        <is>
          <t>onc</t>
        </is>
      </c>
      <c r="T1147" t="inlineStr">
        <is>
          <t xml:space="preserve">PR </t>
        </is>
      </c>
      <c r="U1147" t="n">
        <v>3</v>
      </c>
      <c r="V1147" t="n">
        <v>3</v>
      </c>
      <c r="W1147" t="inlineStr">
        <is>
          <t>1997-09-23</t>
        </is>
      </c>
      <c r="X1147" t="inlineStr">
        <is>
          <t>1997-09-23</t>
        </is>
      </c>
      <c r="Y1147" t="inlineStr">
        <is>
          <t>1993-02-25</t>
        </is>
      </c>
      <c r="Z1147" t="inlineStr">
        <is>
          <t>1993-02-25</t>
        </is>
      </c>
      <c r="AA1147" t="n">
        <v>649</v>
      </c>
      <c r="AB1147" t="n">
        <v>557</v>
      </c>
      <c r="AC1147" t="n">
        <v>577</v>
      </c>
      <c r="AD1147" t="n">
        <v>5</v>
      </c>
      <c r="AE1147" t="n">
        <v>5</v>
      </c>
      <c r="AF1147" t="n">
        <v>32</v>
      </c>
      <c r="AG1147" t="n">
        <v>32</v>
      </c>
      <c r="AH1147" t="n">
        <v>11</v>
      </c>
      <c r="AI1147" t="n">
        <v>11</v>
      </c>
      <c r="AJ1147" t="n">
        <v>8</v>
      </c>
      <c r="AK1147" t="n">
        <v>8</v>
      </c>
      <c r="AL1147" t="n">
        <v>14</v>
      </c>
      <c r="AM1147" t="n">
        <v>14</v>
      </c>
      <c r="AN1147" t="n">
        <v>4</v>
      </c>
      <c r="AO1147" t="n">
        <v>4</v>
      </c>
      <c r="AP1147" t="n">
        <v>0</v>
      </c>
      <c r="AQ1147" t="n">
        <v>0</v>
      </c>
      <c r="AR1147" t="inlineStr">
        <is>
          <t>No</t>
        </is>
      </c>
      <c r="AS1147" t="inlineStr">
        <is>
          <t>Yes</t>
        </is>
      </c>
      <c r="AT1147">
        <f>HYPERLINK("http://catalog.hathitrust.org/Record/000634491","HathiTrust Record")</f>
        <v/>
      </c>
      <c r="AU1147">
        <f>HYPERLINK("https://creighton-primo.hosted.exlibrisgroup.com/primo-explore/search?tab=default_tab&amp;search_scope=EVERYTHING&amp;vid=01CRU&amp;lang=en_US&amp;offset=0&amp;query=any,contains,991000084489702656","Catalog Record")</f>
        <v/>
      </c>
      <c r="AV1147">
        <f>HYPERLINK("http://www.worldcat.org/oclc/33102","WorldCat Record")</f>
        <v/>
      </c>
      <c r="AW1147" t="inlineStr">
        <is>
          <t>1909024026:eng</t>
        </is>
      </c>
      <c r="AX1147" t="inlineStr">
        <is>
          <t>33102</t>
        </is>
      </c>
      <c r="AY1147" t="inlineStr">
        <is>
          <t>991000084489702656</t>
        </is>
      </c>
      <c r="AZ1147" t="inlineStr">
        <is>
          <t>991000084489702656</t>
        </is>
      </c>
      <c r="BA1147" t="inlineStr">
        <is>
          <t>2261410440002656</t>
        </is>
      </c>
      <c r="BB1147" t="inlineStr">
        <is>
          <t>BOOK</t>
        </is>
      </c>
      <c r="BD1147" t="inlineStr">
        <is>
          <t>9780802016058</t>
        </is>
      </c>
      <c r="BE1147" t="inlineStr">
        <is>
          <t>32285001538304</t>
        </is>
      </c>
      <c r="BF1147" t="inlineStr">
        <is>
          <t>893601438</t>
        </is>
      </c>
    </row>
    <row r="1148">
      <c r="A1148" t="inlineStr">
        <is>
          <t>No</t>
        </is>
      </c>
      <c r="B1148" t="inlineStr">
        <is>
          <t>CURAL</t>
        </is>
      </c>
      <c r="C1148" t="inlineStr">
        <is>
          <t>SHELVES</t>
        </is>
      </c>
      <c r="D1148" t="inlineStr">
        <is>
          <t>PR3562 .C63</t>
        </is>
      </c>
      <c r="E1148" t="inlineStr">
        <is>
          <t>0                      PR 3562000C  63</t>
        </is>
      </c>
      <c r="F1148" t="inlineStr">
        <is>
          <t>The metaphoric structure of Paradise lost.</t>
        </is>
      </c>
      <c r="H1148" t="inlineStr">
        <is>
          <t>No</t>
        </is>
      </c>
      <c r="I1148" t="inlineStr">
        <is>
          <t>1</t>
        </is>
      </c>
      <c r="J1148" t="inlineStr">
        <is>
          <t>No</t>
        </is>
      </c>
      <c r="K1148" t="inlineStr">
        <is>
          <t>No</t>
        </is>
      </c>
      <c r="L1148" t="inlineStr">
        <is>
          <t>0</t>
        </is>
      </c>
      <c r="M1148" t="inlineStr">
        <is>
          <t>Cope, Jackson I.</t>
        </is>
      </c>
      <c r="N1148" t="inlineStr">
        <is>
          <t>Baltimore, Johns Hopkins Press [1962]</t>
        </is>
      </c>
      <c r="O1148" t="inlineStr">
        <is>
          <t>1962</t>
        </is>
      </c>
      <c r="Q1148" t="inlineStr">
        <is>
          <t>eng</t>
        </is>
      </c>
      <c r="R1148" t="inlineStr">
        <is>
          <t>mdu</t>
        </is>
      </c>
      <c r="T1148" t="inlineStr">
        <is>
          <t xml:space="preserve">PR </t>
        </is>
      </c>
      <c r="U1148" t="n">
        <v>2</v>
      </c>
      <c r="V1148" t="n">
        <v>2</v>
      </c>
      <c r="W1148" t="inlineStr">
        <is>
          <t>2005-11-28</t>
        </is>
      </c>
      <c r="X1148" t="inlineStr">
        <is>
          <t>2005-11-28</t>
        </is>
      </c>
      <c r="Y1148" t="inlineStr">
        <is>
          <t>1997-07-24</t>
        </is>
      </c>
      <c r="Z1148" t="inlineStr">
        <is>
          <t>1997-07-24</t>
        </is>
      </c>
      <c r="AA1148" t="n">
        <v>942</v>
      </c>
      <c r="AB1148" t="n">
        <v>796</v>
      </c>
      <c r="AC1148" t="n">
        <v>928</v>
      </c>
      <c r="AD1148" t="n">
        <v>9</v>
      </c>
      <c r="AE1148" t="n">
        <v>9</v>
      </c>
      <c r="AF1148" t="n">
        <v>45</v>
      </c>
      <c r="AG1148" t="n">
        <v>49</v>
      </c>
      <c r="AH1148" t="n">
        <v>19</v>
      </c>
      <c r="AI1148" t="n">
        <v>22</v>
      </c>
      <c r="AJ1148" t="n">
        <v>10</v>
      </c>
      <c r="AK1148" t="n">
        <v>10</v>
      </c>
      <c r="AL1148" t="n">
        <v>22</v>
      </c>
      <c r="AM1148" t="n">
        <v>23</v>
      </c>
      <c r="AN1148" t="n">
        <v>7</v>
      </c>
      <c r="AO1148" t="n">
        <v>7</v>
      </c>
      <c r="AP1148" t="n">
        <v>0</v>
      </c>
      <c r="AQ1148" t="n">
        <v>0</v>
      </c>
      <c r="AR1148" t="inlineStr">
        <is>
          <t>No</t>
        </is>
      </c>
      <c r="AS1148" t="inlineStr">
        <is>
          <t>No</t>
        </is>
      </c>
      <c r="AT1148">
        <f>HYPERLINK("http://catalog.hathitrust.org/Record/000670009","HathiTrust Record")</f>
        <v/>
      </c>
      <c r="AU1148">
        <f>HYPERLINK("https://creighton-primo.hosted.exlibrisgroup.com/primo-explore/search?tab=default_tab&amp;search_scope=EVERYTHING&amp;vid=01CRU&amp;lang=en_US&amp;offset=0&amp;query=any,contains,991002477989702656","Catalog Record")</f>
        <v/>
      </c>
      <c r="AV1148">
        <f>HYPERLINK("http://www.worldcat.org/oclc/359109","WorldCat Record")</f>
        <v/>
      </c>
      <c r="AW1148" t="inlineStr">
        <is>
          <t>1408264:eng</t>
        </is>
      </c>
      <c r="AX1148" t="inlineStr">
        <is>
          <t>359109</t>
        </is>
      </c>
      <c r="AY1148" t="inlineStr">
        <is>
          <t>991002477989702656</t>
        </is>
      </c>
      <c r="AZ1148" t="inlineStr">
        <is>
          <t>991002477989702656</t>
        </is>
      </c>
      <c r="BA1148" t="inlineStr">
        <is>
          <t>2272673720002656</t>
        </is>
      </c>
      <c r="BB1148" t="inlineStr">
        <is>
          <t>BOOK</t>
        </is>
      </c>
      <c r="BE1148" t="inlineStr">
        <is>
          <t>32285002957511</t>
        </is>
      </c>
      <c r="BF1148" t="inlineStr">
        <is>
          <t>893433932</t>
        </is>
      </c>
    </row>
    <row r="1149">
      <c r="A1149" t="inlineStr">
        <is>
          <t>No</t>
        </is>
      </c>
      <c r="B1149" t="inlineStr">
        <is>
          <t>CURAL</t>
        </is>
      </c>
      <c r="C1149" t="inlineStr">
        <is>
          <t>SHELVES</t>
        </is>
      </c>
      <c r="D1149" t="inlineStr">
        <is>
          <t>PR3562 .C7</t>
        </is>
      </c>
      <c r="E1149" t="inlineStr">
        <is>
          <t>0                      PR 3562000C  7</t>
        </is>
      </c>
      <c r="F1149" t="inlineStr">
        <is>
          <t>The mystical design of Paradise lost.</t>
        </is>
      </c>
      <c r="H1149" t="inlineStr">
        <is>
          <t>No</t>
        </is>
      </c>
      <c r="I1149" t="inlineStr">
        <is>
          <t>1</t>
        </is>
      </c>
      <c r="J1149" t="inlineStr">
        <is>
          <t>No</t>
        </is>
      </c>
      <c r="K1149" t="inlineStr">
        <is>
          <t>No</t>
        </is>
      </c>
      <c r="L1149" t="inlineStr">
        <is>
          <t>0</t>
        </is>
      </c>
      <c r="M1149" t="inlineStr">
        <is>
          <t>Crump, Galbraith M. (Galbraith Miller), 1929-</t>
        </is>
      </c>
      <c r="N1149" t="inlineStr">
        <is>
          <t>Lewisburg [Pa.] Bucknell University Press [1975]</t>
        </is>
      </c>
      <c r="O1149" t="inlineStr">
        <is>
          <t>1975</t>
        </is>
      </c>
      <c r="Q1149" t="inlineStr">
        <is>
          <t>eng</t>
        </is>
      </c>
      <c r="R1149" t="inlineStr">
        <is>
          <t>pau</t>
        </is>
      </c>
      <c r="T1149" t="inlineStr">
        <is>
          <t xml:space="preserve">PR </t>
        </is>
      </c>
      <c r="U1149" t="n">
        <v>2</v>
      </c>
      <c r="V1149" t="n">
        <v>2</v>
      </c>
      <c r="W1149" t="inlineStr">
        <is>
          <t>2005-11-28</t>
        </is>
      </c>
      <c r="X1149" t="inlineStr">
        <is>
          <t>2005-11-28</t>
        </is>
      </c>
      <c r="Y1149" t="inlineStr">
        <is>
          <t>1997-07-24</t>
        </is>
      </c>
      <c r="Z1149" t="inlineStr">
        <is>
          <t>1997-07-24</t>
        </is>
      </c>
      <c r="AA1149" t="n">
        <v>741</v>
      </c>
      <c r="AB1149" t="n">
        <v>641</v>
      </c>
      <c r="AC1149" t="n">
        <v>648</v>
      </c>
      <c r="AD1149" t="n">
        <v>10</v>
      </c>
      <c r="AE1149" t="n">
        <v>10</v>
      </c>
      <c r="AF1149" t="n">
        <v>40</v>
      </c>
      <c r="AG1149" t="n">
        <v>40</v>
      </c>
      <c r="AH1149" t="n">
        <v>17</v>
      </c>
      <c r="AI1149" t="n">
        <v>17</v>
      </c>
      <c r="AJ1149" t="n">
        <v>8</v>
      </c>
      <c r="AK1149" t="n">
        <v>8</v>
      </c>
      <c r="AL1149" t="n">
        <v>19</v>
      </c>
      <c r="AM1149" t="n">
        <v>19</v>
      </c>
      <c r="AN1149" t="n">
        <v>8</v>
      </c>
      <c r="AO1149" t="n">
        <v>8</v>
      </c>
      <c r="AP1149" t="n">
        <v>0</v>
      </c>
      <c r="AQ1149" t="n">
        <v>0</v>
      </c>
      <c r="AR1149" t="inlineStr">
        <is>
          <t>No</t>
        </is>
      </c>
      <c r="AS1149" t="inlineStr">
        <is>
          <t>Yes</t>
        </is>
      </c>
      <c r="AT1149">
        <f>HYPERLINK("http://catalog.hathitrust.org/Record/000634830","HathiTrust Record")</f>
        <v/>
      </c>
      <c r="AU1149">
        <f>HYPERLINK("https://creighton-primo.hosted.exlibrisgroup.com/primo-explore/search?tab=default_tab&amp;search_scope=EVERYTHING&amp;vid=01CRU&amp;lang=en_US&amp;offset=0&amp;query=any,contains,991003455319702656","Catalog Record")</f>
        <v/>
      </c>
      <c r="AV1149">
        <f>HYPERLINK("http://www.worldcat.org/oclc/994943","WorldCat Record")</f>
        <v/>
      </c>
      <c r="AW1149" t="inlineStr">
        <is>
          <t>503518:eng</t>
        </is>
      </c>
      <c r="AX1149" t="inlineStr">
        <is>
          <t>994943</t>
        </is>
      </c>
      <c r="AY1149" t="inlineStr">
        <is>
          <t>991003455319702656</t>
        </is>
      </c>
      <c r="AZ1149" t="inlineStr">
        <is>
          <t>991003455319702656</t>
        </is>
      </c>
      <c r="BA1149" t="inlineStr">
        <is>
          <t>2256892280002656</t>
        </is>
      </c>
      <c r="BB1149" t="inlineStr">
        <is>
          <t>BOOK</t>
        </is>
      </c>
      <c r="BD1149" t="inlineStr">
        <is>
          <t>9780838715192</t>
        </is>
      </c>
      <c r="BE1149" t="inlineStr">
        <is>
          <t>32285002957529</t>
        </is>
      </c>
      <c r="BF1149" t="inlineStr">
        <is>
          <t>893499307</t>
        </is>
      </c>
    </row>
    <row r="1150">
      <c r="A1150" t="inlineStr">
        <is>
          <t>No</t>
        </is>
      </c>
      <c r="B1150" t="inlineStr">
        <is>
          <t>CURAL</t>
        </is>
      </c>
      <c r="C1150" t="inlineStr">
        <is>
          <t>SHELVES</t>
        </is>
      </c>
      <c r="D1150" t="inlineStr">
        <is>
          <t>PR3562 .D45 1958b</t>
        </is>
      </c>
      <c r="E1150" t="inlineStr">
        <is>
          <t>0                      PR 3562000D  45          1958b</t>
        </is>
      </c>
      <c r="F1150" t="inlineStr">
        <is>
          <t>Milton's Paradise lost : a commentary on the argument / by John S. Diekhoff.</t>
        </is>
      </c>
      <c r="H1150" t="inlineStr">
        <is>
          <t>No</t>
        </is>
      </c>
      <c r="I1150" t="inlineStr">
        <is>
          <t>1</t>
        </is>
      </c>
      <c r="J1150" t="inlineStr">
        <is>
          <t>No</t>
        </is>
      </c>
      <c r="K1150" t="inlineStr">
        <is>
          <t>Yes</t>
        </is>
      </c>
      <c r="L1150" t="inlineStr">
        <is>
          <t>0</t>
        </is>
      </c>
      <c r="M1150" t="inlineStr">
        <is>
          <t>Diekhoff, John S. (John Siemon), 1905-1976.</t>
        </is>
      </c>
      <c r="N1150" t="inlineStr">
        <is>
          <t>London, : Routledge &amp; Kegan Paul, 1958.</t>
        </is>
      </c>
      <c r="O1150" t="inlineStr">
        <is>
          <t>1958</t>
        </is>
      </c>
      <c r="Q1150" t="inlineStr">
        <is>
          <t>eng</t>
        </is>
      </c>
      <c r="R1150" t="inlineStr">
        <is>
          <t>enk</t>
        </is>
      </c>
      <c r="T1150" t="inlineStr">
        <is>
          <t xml:space="preserve">PR </t>
        </is>
      </c>
      <c r="U1150" t="n">
        <v>1</v>
      </c>
      <c r="V1150" t="n">
        <v>1</v>
      </c>
      <c r="W1150" t="inlineStr">
        <is>
          <t>1992-02-08</t>
        </is>
      </c>
      <c r="X1150" t="inlineStr">
        <is>
          <t>1992-02-08</t>
        </is>
      </c>
      <c r="Y1150" t="inlineStr">
        <is>
          <t>1991-10-04</t>
        </is>
      </c>
      <c r="Z1150" t="inlineStr">
        <is>
          <t>1991-10-04</t>
        </is>
      </c>
      <c r="AA1150" t="n">
        <v>66</v>
      </c>
      <c r="AB1150" t="n">
        <v>28</v>
      </c>
      <c r="AC1150" t="n">
        <v>824</v>
      </c>
      <c r="AD1150" t="n">
        <v>2</v>
      </c>
      <c r="AE1150" t="n">
        <v>12</v>
      </c>
      <c r="AF1150" t="n">
        <v>4</v>
      </c>
      <c r="AG1150" t="n">
        <v>46</v>
      </c>
      <c r="AH1150" t="n">
        <v>0</v>
      </c>
      <c r="AI1150" t="n">
        <v>19</v>
      </c>
      <c r="AJ1150" t="n">
        <v>1</v>
      </c>
      <c r="AK1150" t="n">
        <v>6</v>
      </c>
      <c r="AL1150" t="n">
        <v>3</v>
      </c>
      <c r="AM1150" t="n">
        <v>20</v>
      </c>
      <c r="AN1150" t="n">
        <v>1</v>
      </c>
      <c r="AO1150" t="n">
        <v>9</v>
      </c>
      <c r="AP1150" t="n">
        <v>0</v>
      </c>
      <c r="AQ1150" t="n">
        <v>0</v>
      </c>
      <c r="AR1150" t="inlineStr">
        <is>
          <t>No</t>
        </is>
      </c>
      <c r="AS1150" t="inlineStr">
        <is>
          <t>No</t>
        </is>
      </c>
      <c r="AU1150">
        <f>HYPERLINK("https://creighton-primo.hosted.exlibrisgroup.com/primo-explore/search?tab=default_tab&amp;search_scope=EVERYTHING&amp;vid=01CRU&amp;lang=en_US&amp;offset=0&amp;query=any,contains,991004088049702656","Catalog Record")</f>
        <v/>
      </c>
      <c r="AV1150">
        <f>HYPERLINK("http://www.worldcat.org/oclc/2336938","WorldCat Record")</f>
        <v/>
      </c>
      <c r="AW1150" t="inlineStr">
        <is>
          <t>199193182:eng</t>
        </is>
      </c>
      <c r="AX1150" t="inlineStr">
        <is>
          <t>2336938</t>
        </is>
      </c>
      <c r="AY1150" t="inlineStr">
        <is>
          <t>991004088049702656</t>
        </is>
      </c>
      <c r="AZ1150" t="inlineStr">
        <is>
          <t>991004088049702656</t>
        </is>
      </c>
      <c r="BA1150" t="inlineStr">
        <is>
          <t>2259917100002656</t>
        </is>
      </c>
      <c r="BB1150" t="inlineStr">
        <is>
          <t>BOOK</t>
        </is>
      </c>
      <c r="BE1150" t="inlineStr">
        <is>
          <t>32285000726504</t>
        </is>
      </c>
      <c r="BF1150" t="inlineStr">
        <is>
          <t>893500102</t>
        </is>
      </c>
    </row>
    <row r="1151">
      <c r="A1151" t="inlineStr">
        <is>
          <t>No</t>
        </is>
      </c>
      <c r="B1151" t="inlineStr">
        <is>
          <t>CURAL</t>
        </is>
      </c>
      <c r="C1151" t="inlineStr">
        <is>
          <t>SHELVES</t>
        </is>
      </c>
      <c r="D1151" t="inlineStr">
        <is>
          <t>PR3562 .D78</t>
        </is>
      </c>
      <c r="E1151" t="inlineStr">
        <is>
          <t>0                      PR 3562000D  78</t>
        </is>
      </c>
      <c r="F1151" t="inlineStr">
        <is>
          <t>Milton's earthly paradise : a historical study of Eden / Joseph E. Duncan.</t>
        </is>
      </c>
      <c r="H1151" t="inlineStr">
        <is>
          <t>No</t>
        </is>
      </c>
      <c r="I1151" t="inlineStr">
        <is>
          <t>1</t>
        </is>
      </c>
      <c r="J1151" t="inlineStr">
        <is>
          <t>No</t>
        </is>
      </c>
      <c r="K1151" t="inlineStr">
        <is>
          <t>No</t>
        </is>
      </c>
      <c r="L1151" t="inlineStr">
        <is>
          <t>0</t>
        </is>
      </c>
      <c r="M1151" t="inlineStr">
        <is>
          <t>Duncan, Joseph Ellis, 1921-</t>
        </is>
      </c>
      <c r="N1151" t="inlineStr">
        <is>
          <t>Minneapolis : University of Minnesota Press, [1972]</t>
        </is>
      </c>
      <c r="O1151" t="inlineStr">
        <is>
          <t>1972</t>
        </is>
      </c>
      <c r="Q1151" t="inlineStr">
        <is>
          <t>eng</t>
        </is>
      </c>
      <c r="R1151" t="inlineStr">
        <is>
          <t>mnu</t>
        </is>
      </c>
      <c r="S1151" t="inlineStr">
        <is>
          <t>Minnesota monographs in the humanities ; v. 5</t>
        </is>
      </c>
      <c r="T1151" t="inlineStr">
        <is>
          <t xml:space="preserve">PR </t>
        </is>
      </c>
      <c r="U1151" t="n">
        <v>1</v>
      </c>
      <c r="V1151" t="n">
        <v>1</v>
      </c>
      <c r="W1151" t="inlineStr">
        <is>
          <t>2007-10-31</t>
        </is>
      </c>
      <c r="X1151" t="inlineStr">
        <is>
          <t>2007-10-31</t>
        </is>
      </c>
      <c r="Y1151" t="inlineStr">
        <is>
          <t>1997-07-24</t>
        </is>
      </c>
      <c r="Z1151" t="inlineStr">
        <is>
          <t>1997-07-24</t>
        </is>
      </c>
      <c r="AA1151" t="n">
        <v>981</v>
      </c>
      <c r="AB1151" t="n">
        <v>837</v>
      </c>
      <c r="AC1151" t="n">
        <v>1140</v>
      </c>
      <c r="AD1151" t="n">
        <v>8</v>
      </c>
      <c r="AE1151" t="n">
        <v>9</v>
      </c>
      <c r="AF1151" t="n">
        <v>43</v>
      </c>
      <c r="AG1151" t="n">
        <v>54</v>
      </c>
      <c r="AH1151" t="n">
        <v>18</v>
      </c>
      <c r="AI1151" t="n">
        <v>24</v>
      </c>
      <c r="AJ1151" t="n">
        <v>9</v>
      </c>
      <c r="AK1151" t="n">
        <v>11</v>
      </c>
      <c r="AL1151" t="n">
        <v>22</v>
      </c>
      <c r="AM1151" t="n">
        <v>25</v>
      </c>
      <c r="AN1151" t="n">
        <v>6</v>
      </c>
      <c r="AO1151" t="n">
        <v>7</v>
      </c>
      <c r="AP1151" t="n">
        <v>0</v>
      </c>
      <c r="AQ1151" t="n">
        <v>1</v>
      </c>
      <c r="AR1151" t="inlineStr">
        <is>
          <t>No</t>
        </is>
      </c>
      <c r="AS1151" t="inlineStr">
        <is>
          <t>No</t>
        </is>
      </c>
      <c r="AU1151">
        <f>HYPERLINK("https://creighton-primo.hosted.exlibrisgroup.com/primo-explore/search?tab=default_tab&amp;search_scope=EVERYTHING&amp;vid=01CRU&amp;lang=en_US&amp;offset=0&amp;query=any,contains,991002712169702656","Catalog Record")</f>
        <v/>
      </c>
      <c r="AV1151">
        <f>HYPERLINK("http://www.worldcat.org/oclc/409612","WorldCat Record")</f>
        <v/>
      </c>
      <c r="AW1151" t="inlineStr">
        <is>
          <t>803194904:eng</t>
        </is>
      </c>
      <c r="AX1151" t="inlineStr">
        <is>
          <t>409612</t>
        </is>
      </c>
      <c r="AY1151" t="inlineStr">
        <is>
          <t>991002712169702656</t>
        </is>
      </c>
      <c r="AZ1151" t="inlineStr">
        <is>
          <t>991002712169702656</t>
        </is>
      </c>
      <c r="BA1151" t="inlineStr">
        <is>
          <t>2262323740002656</t>
        </is>
      </c>
      <c r="BB1151" t="inlineStr">
        <is>
          <t>BOOK</t>
        </is>
      </c>
      <c r="BD1151" t="inlineStr">
        <is>
          <t>9780816606337</t>
        </is>
      </c>
      <c r="BE1151" t="inlineStr">
        <is>
          <t>32285002957552</t>
        </is>
      </c>
      <c r="BF1151" t="inlineStr">
        <is>
          <t>893523961</t>
        </is>
      </c>
    </row>
    <row r="1152">
      <c r="A1152" t="inlineStr">
        <is>
          <t>No</t>
        </is>
      </c>
      <c r="B1152" t="inlineStr">
        <is>
          <t>CURAL</t>
        </is>
      </c>
      <c r="C1152" t="inlineStr">
        <is>
          <t>SHELVES</t>
        </is>
      </c>
      <c r="D1152" t="inlineStr">
        <is>
          <t>PR3562 .D84 1985</t>
        </is>
      </c>
      <c r="E1152" t="inlineStr">
        <is>
          <t>0                      PR 3562000D  84          1985</t>
        </is>
      </c>
      <c r="F1152" t="inlineStr">
        <is>
          <t>Milton and Ovid / Richard J. DuRocher.</t>
        </is>
      </c>
      <c r="H1152" t="inlineStr">
        <is>
          <t>No</t>
        </is>
      </c>
      <c r="I1152" t="inlineStr">
        <is>
          <t>1</t>
        </is>
      </c>
      <c r="J1152" t="inlineStr">
        <is>
          <t>No</t>
        </is>
      </c>
      <c r="K1152" t="inlineStr">
        <is>
          <t>No</t>
        </is>
      </c>
      <c r="L1152" t="inlineStr">
        <is>
          <t>0</t>
        </is>
      </c>
      <c r="M1152" t="inlineStr">
        <is>
          <t>DuRocher, Richard J.</t>
        </is>
      </c>
      <c r="N1152" t="inlineStr">
        <is>
          <t>Ithaca : Cornell University Press, 1985.</t>
        </is>
      </c>
      <c r="O1152" t="inlineStr">
        <is>
          <t>1985</t>
        </is>
      </c>
      <c r="Q1152" t="inlineStr">
        <is>
          <t>eng</t>
        </is>
      </c>
      <c r="R1152" t="inlineStr">
        <is>
          <t>nyu</t>
        </is>
      </c>
      <c r="T1152" t="inlineStr">
        <is>
          <t xml:space="preserve">PR </t>
        </is>
      </c>
      <c r="U1152" t="n">
        <v>1</v>
      </c>
      <c r="V1152" t="n">
        <v>1</v>
      </c>
      <c r="W1152" t="inlineStr">
        <is>
          <t>1998-10-10</t>
        </is>
      </c>
      <c r="X1152" t="inlineStr">
        <is>
          <t>1998-10-10</t>
        </is>
      </c>
      <c r="Y1152" t="inlineStr">
        <is>
          <t>1991-04-29</t>
        </is>
      </c>
      <c r="Z1152" t="inlineStr">
        <is>
          <t>1991-04-29</t>
        </is>
      </c>
      <c r="AA1152" t="n">
        <v>435</v>
      </c>
      <c r="AB1152" t="n">
        <v>339</v>
      </c>
      <c r="AC1152" t="n">
        <v>346</v>
      </c>
      <c r="AD1152" t="n">
        <v>3</v>
      </c>
      <c r="AE1152" t="n">
        <v>3</v>
      </c>
      <c r="AF1152" t="n">
        <v>21</v>
      </c>
      <c r="AG1152" t="n">
        <v>21</v>
      </c>
      <c r="AH1152" t="n">
        <v>10</v>
      </c>
      <c r="AI1152" t="n">
        <v>10</v>
      </c>
      <c r="AJ1152" t="n">
        <v>4</v>
      </c>
      <c r="AK1152" t="n">
        <v>4</v>
      </c>
      <c r="AL1152" t="n">
        <v>13</v>
      </c>
      <c r="AM1152" t="n">
        <v>13</v>
      </c>
      <c r="AN1152" t="n">
        <v>2</v>
      </c>
      <c r="AO1152" t="n">
        <v>2</v>
      </c>
      <c r="AP1152" t="n">
        <v>0</v>
      </c>
      <c r="AQ1152" t="n">
        <v>0</v>
      </c>
      <c r="AR1152" t="inlineStr">
        <is>
          <t>No</t>
        </is>
      </c>
      <c r="AS1152" t="inlineStr">
        <is>
          <t>Yes</t>
        </is>
      </c>
      <c r="AT1152">
        <f>HYPERLINK("http://catalog.hathitrust.org/Record/000421694","HathiTrust Record")</f>
        <v/>
      </c>
      <c r="AU1152">
        <f>HYPERLINK("https://creighton-primo.hosted.exlibrisgroup.com/primo-explore/search?tab=default_tab&amp;search_scope=EVERYTHING&amp;vid=01CRU&amp;lang=en_US&amp;offset=0&amp;query=any,contains,991000634059702656","Catalog Record")</f>
        <v/>
      </c>
      <c r="AV1152">
        <f>HYPERLINK("http://www.worldcat.org/oclc/12079098","WorldCat Record")</f>
        <v/>
      </c>
      <c r="AW1152" t="inlineStr">
        <is>
          <t>4676490:eng</t>
        </is>
      </c>
      <c r="AX1152" t="inlineStr">
        <is>
          <t>12079098</t>
        </is>
      </c>
      <c r="AY1152" t="inlineStr">
        <is>
          <t>991000634059702656</t>
        </is>
      </c>
      <c r="AZ1152" t="inlineStr">
        <is>
          <t>991000634059702656</t>
        </is>
      </c>
      <c r="BA1152" t="inlineStr">
        <is>
          <t>2269450740002656</t>
        </is>
      </c>
      <c r="BB1152" t="inlineStr">
        <is>
          <t>BOOK</t>
        </is>
      </c>
      <c r="BD1152" t="inlineStr">
        <is>
          <t>9780801418129</t>
        </is>
      </c>
      <c r="BE1152" t="inlineStr">
        <is>
          <t>32285000588813</t>
        </is>
      </c>
      <c r="BF1152" t="inlineStr">
        <is>
          <t>893595735</t>
        </is>
      </c>
    </row>
    <row r="1153">
      <c r="A1153" t="inlineStr">
        <is>
          <t>No</t>
        </is>
      </c>
      <c r="B1153" t="inlineStr">
        <is>
          <t>CURAL</t>
        </is>
      </c>
      <c r="C1153" t="inlineStr">
        <is>
          <t>SHELVES</t>
        </is>
      </c>
      <c r="D1153" t="inlineStr">
        <is>
          <t>PR3562 .D9</t>
        </is>
      </c>
      <c r="E1153" t="inlineStr">
        <is>
          <t>0                      PR 3562000D  9</t>
        </is>
      </c>
      <c r="F1153" t="inlineStr">
        <is>
          <t>Milton: Paradise Lost; a casebook edited by A. E. Dyson and Julian Lovelock.</t>
        </is>
      </c>
      <c r="H1153" t="inlineStr">
        <is>
          <t>No</t>
        </is>
      </c>
      <c r="I1153" t="inlineStr">
        <is>
          <t>1</t>
        </is>
      </c>
      <c r="J1153" t="inlineStr">
        <is>
          <t>No</t>
        </is>
      </c>
      <c r="K1153" t="inlineStr">
        <is>
          <t>No</t>
        </is>
      </c>
      <c r="L1153" t="inlineStr">
        <is>
          <t>0</t>
        </is>
      </c>
      <c r="M1153" t="inlineStr">
        <is>
          <t>Dyson, A. E.</t>
        </is>
      </c>
      <c r="N1153" t="inlineStr">
        <is>
          <t>[London] Macmillan [1973]</t>
        </is>
      </c>
      <c r="O1153" t="inlineStr">
        <is>
          <t>1973</t>
        </is>
      </c>
      <c r="Q1153" t="inlineStr">
        <is>
          <t>eng</t>
        </is>
      </c>
      <c r="R1153" t="inlineStr">
        <is>
          <t>enk</t>
        </is>
      </c>
      <c r="S1153" t="inlineStr">
        <is>
          <t>Casebook series</t>
        </is>
      </c>
      <c r="T1153" t="inlineStr">
        <is>
          <t xml:space="preserve">PR </t>
        </is>
      </c>
      <c r="U1153" t="n">
        <v>3</v>
      </c>
      <c r="V1153" t="n">
        <v>3</v>
      </c>
      <c r="W1153" t="inlineStr">
        <is>
          <t>2000-10-01</t>
        </is>
      </c>
      <c r="X1153" t="inlineStr">
        <is>
          <t>2000-10-01</t>
        </is>
      </c>
      <c r="Y1153" t="inlineStr">
        <is>
          <t>1997-07-24</t>
        </is>
      </c>
      <c r="Z1153" t="inlineStr">
        <is>
          <t>1997-07-24</t>
        </is>
      </c>
      <c r="AA1153" t="n">
        <v>355</v>
      </c>
      <c r="AB1153" t="n">
        <v>130</v>
      </c>
      <c r="AC1153" t="n">
        <v>132</v>
      </c>
      <c r="AD1153" t="n">
        <v>3</v>
      </c>
      <c r="AE1153" t="n">
        <v>3</v>
      </c>
      <c r="AF1153" t="n">
        <v>10</v>
      </c>
      <c r="AG1153" t="n">
        <v>10</v>
      </c>
      <c r="AH1153" t="n">
        <v>3</v>
      </c>
      <c r="AI1153" t="n">
        <v>3</v>
      </c>
      <c r="AJ1153" t="n">
        <v>2</v>
      </c>
      <c r="AK1153" t="n">
        <v>2</v>
      </c>
      <c r="AL1153" t="n">
        <v>7</v>
      </c>
      <c r="AM1153" t="n">
        <v>7</v>
      </c>
      <c r="AN1153" t="n">
        <v>2</v>
      </c>
      <c r="AO1153" t="n">
        <v>2</v>
      </c>
      <c r="AP1153" t="n">
        <v>0</v>
      </c>
      <c r="AQ1153" t="n">
        <v>0</v>
      </c>
      <c r="AR1153" t="inlineStr">
        <is>
          <t>No</t>
        </is>
      </c>
      <c r="AS1153" t="inlineStr">
        <is>
          <t>Yes</t>
        </is>
      </c>
      <c r="AT1153">
        <f>HYPERLINK("http://catalog.hathitrust.org/Record/000634850","HathiTrust Record")</f>
        <v/>
      </c>
      <c r="AU1153">
        <f>HYPERLINK("https://creighton-primo.hosted.exlibrisgroup.com/primo-explore/search?tab=default_tab&amp;search_scope=EVERYTHING&amp;vid=01CRU&amp;lang=en_US&amp;offset=0&amp;query=any,contains,991003241299702656","Catalog Record")</f>
        <v/>
      </c>
      <c r="AV1153">
        <f>HYPERLINK("http://www.worldcat.org/oclc/763956","WorldCat Record")</f>
        <v/>
      </c>
      <c r="AW1153" t="inlineStr">
        <is>
          <t>5618991599:eng</t>
        </is>
      </c>
      <c r="AX1153" t="inlineStr">
        <is>
          <t>763956</t>
        </is>
      </c>
      <c r="AY1153" t="inlineStr">
        <is>
          <t>991003241299702656</t>
        </is>
      </c>
      <c r="AZ1153" t="inlineStr">
        <is>
          <t>991003241299702656</t>
        </is>
      </c>
      <c r="BA1153" t="inlineStr">
        <is>
          <t>2266458160002656</t>
        </is>
      </c>
      <c r="BB1153" t="inlineStr">
        <is>
          <t>BOOK</t>
        </is>
      </c>
      <c r="BD1153" t="inlineStr">
        <is>
          <t>9780333138410</t>
        </is>
      </c>
      <c r="BE1153" t="inlineStr">
        <is>
          <t>32285002957560</t>
        </is>
      </c>
      <c r="BF1153" t="inlineStr">
        <is>
          <t>893410072</t>
        </is>
      </c>
    </row>
    <row r="1154">
      <c r="A1154" t="inlineStr">
        <is>
          <t>No</t>
        </is>
      </c>
      <c r="B1154" t="inlineStr">
        <is>
          <t>CURAL</t>
        </is>
      </c>
      <c r="C1154" t="inlineStr">
        <is>
          <t>SHELVES</t>
        </is>
      </c>
      <c r="D1154" t="inlineStr">
        <is>
          <t>PR3562 .E89 1996</t>
        </is>
      </c>
      <c r="E1154" t="inlineStr">
        <is>
          <t>0                      PR 3562000E  89          1996</t>
        </is>
      </c>
      <c r="F1154" t="inlineStr">
        <is>
          <t>Milton's imperial epic : Paradise lost and the discourse of colonialism / J. Martin Evans.</t>
        </is>
      </c>
      <c r="H1154" t="inlineStr">
        <is>
          <t>No</t>
        </is>
      </c>
      <c r="I1154" t="inlineStr">
        <is>
          <t>1</t>
        </is>
      </c>
      <c r="J1154" t="inlineStr">
        <is>
          <t>No</t>
        </is>
      </c>
      <c r="K1154" t="inlineStr">
        <is>
          <t>No</t>
        </is>
      </c>
      <c r="L1154" t="inlineStr">
        <is>
          <t>0</t>
        </is>
      </c>
      <c r="M1154" t="inlineStr">
        <is>
          <t>Evans, J. Martin (John Martin), 1935-2013.</t>
        </is>
      </c>
      <c r="N1154" t="inlineStr">
        <is>
          <t>Ithaca, N.Y. : Cornell University Press, 1996.</t>
        </is>
      </c>
      <c r="O1154" t="inlineStr">
        <is>
          <t>1996</t>
        </is>
      </c>
      <c r="Q1154" t="inlineStr">
        <is>
          <t>eng</t>
        </is>
      </c>
      <c r="R1154" t="inlineStr">
        <is>
          <t>nyu</t>
        </is>
      </c>
      <c r="T1154" t="inlineStr">
        <is>
          <t xml:space="preserve">PR </t>
        </is>
      </c>
      <c r="U1154" t="n">
        <v>5</v>
      </c>
      <c r="V1154" t="n">
        <v>5</v>
      </c>
      <c r="W1154" t="inlineStr">
        <is>
          <t>2010-11-15</t>
        </is>
      </c>
      <c r="X1154" t="inlineStr">
        <is>
          <t>2010-11-15</t>
        </is>
      </c>
      <c r="Y1154" t="inlineStr">
        <is>
          <t>1996-12-11</t>
        </is>
      </c>
      <c r="Z1154" t="inlineStr">
        <is>
          <t>1996-12-11</t>
        </is>
      </c>
      <c r="AA1154" t="n">
        <v>544</v>
      </c>
      <c r="AB1154" t="n">
        <v>426</v>
      </c>
      <c r="AC1154" t="n">
        <v>434</v>
      </c>
      <c r="AD1154" t="n">
        <v>5</v>
      </c>
      <c r="AE1154" t="n">
        <v>5</v>
      </c>
      <c r="AF1154" t="n">
        <v>29</v>
      </c>
      <c r="AG1154" t="n">
        <v>29</v>
      </c>
      <c r="AH1154" t="n">
        <v>10</v>
      </c>
      <c r="AI1154" t="n">
        <v>10</v>
      </c>
      <c r="AJ1154" t="n">
        <v>8</v>
      </c>
      <c r="AK1154" t="n">
        <v>8</v>
      </c>
      <c r="AL1154" t="n">
        <v>16</v>
      </c>
      <c r="AM1154" t="n">
        <v>16</v>
      </c>
      <c r="AN1154" t="n">
        <v>4</v>
      </c>
      <c r="AO1154" t="n">
        <v>4</v>
      </c>
      <c r="AP1154" t="n">
        <v>0</v>
      </c>
      <c r="AQ1154" t="n">
        <v>0</v>
      </c>
      <c r="AR1154" t="inlineStr">
        <is>
          <t>No</t>
        </is>
      </c>
      <c r="AS1154" t="inlineStr">
        <is>
          <t>No</t>
        </is>
      </c>
      <c r="AU1154">
        <f>HYPERLINK("https://creighton-primo.hosted.exlibrisgroup.com/primo-explore/search?tab=default_tab&amp;search_scope=EVERYTHING&amp;vid=01CRU&amp;lang=en_US&amp;offset=0&amp;query=any,contains,991002558729702656","Catalog Record")</f>
        <v/>
      </c>
      <c r="AV1154">
        <f>HYPERLINK("http://www.worldcat.org/oclc/33246127","WorldCat Record")</f>
        <v/>
      </c>
      <c r="AW1154" t="inlineStr">
        <is>
          <t>837005836:eng</t>
        </is>
      </c>
      <c r="AX1154" t="inlineStr">
        <is>
          <t>33246127</t>
        </is>
      </c>
      <c r="AY1154" t="inlineStr">
        <is>
          <t>991002558729702656</t>
        </is>
      </c>
      <c r="AZ1154" t="inlineStr">
        <is>
          <t>991002558729702656</t>
        </is>
      </c>
      <c r="BA1154" t="inlineStr">
        <is>
          <t>2258862900002656</t>
        </is>
      </c>
      <c r="BB1154" t="inlineStr">
        <is>
          <t>BOOK</t>
        </is>
      </c>
      <c r="BD1154" t="inlineStr">
        <is>
          <t>9780801432118</t>
        </is>
      </c>
      <c r="BE1154" t="inlineStr">
        <is>
          <t>32285002392412</t>
        </is>
      </c>
      <c r="BF1154" t="inlineStr">
        <is>
          <t>893445237</t>
        </is>
      </c>
    </row>
    <row r="1155">
      <c r="A1155" t="inlineStr">
        <is>
          <t>No</t>
        </is>
      </c>
      <c r="B1155" t="inlineStr">
        <is>
          <t>CURAL</t>
        </is>
      </c>
      <c r="C1155" t="inlineStr">
        <is>
          <t>SHELVES</t>
        </is>
      </c>
      <c r="D1155" t="inlineStr">
        <is>
          <t>PR3562 .F4</t>
        </is>
      </c>
      <c r="E1155" t="inlineStr">
        <is>
          <t>0                      PR 3562000F  4</t>
        </is>
      </c>
      <c r="F1155" t="inlineStr">
        <is>
          <t>Milton's epic voice; the narrator in Paradise lost.</t>
        </is>
      </c>
      <c r="H1155" t="inlineStr">
        <is>
          <t>No</t>
        </is>
      </c>
      <c r="I1155" t="inlineStr">
        <is>
          <t>1</t>
        </is>
      </c>
      <c r="J1155" t="inlineStr">
        <is>
          <t>No</t>
        </is>
      </c>
      <c r="K1155" t="inlineStr">
        <is>
          <t>No</t>
        </is>
      </c>
      <c r="L1155" t="inlineStr">
        <is>
          <t>0</t>
        </is>
      </c>
      <c r="M1155" t="inlineStr">
        <is>
          <t>Ferry, Anne.</t>
        </is>
      </c>
      <c r="N1155" t="inlineStr">
        <is>
          <t>Cambridge, Harvard University Press, 1963.</t>
        </is>
      </c>
      <c r="O1155" t="inlineStr">
        <is>
          <t>1963</t>
        </is>
      </c>
      <c r="Q1155" t="inlineStr">
        <is>
          <t>eng</t>
        </is>
      </c>
      <c r="R1155" t="inlineStr">
        <is>
          <t>mau</t>
        </is>
      </c>
      <c r="T1155" t="inlineStr">
        <is>
          <t xml:space="preserve">PR </t>
        </is>
      </c>
      <c r="U1155" t="n">
        <v>3</v>
      </c>
      <c r="V1155" t="n">
        <v>3</v>
      </c>
      <c r="W1155" t="inlineStr">
        <is>
          <t>2000-11-14</t>
        </is>
      </c>
      <c r="X1155" t="inlineStr">
        <is>
          <t>2000-11-14</t>
        </is>
      </c>
      <c r="Y1155" t="inlineStr">
        <is>
          <t>1997-07-24</t>
        </is>
      </c>
      <c r="Z1155" t="inlineStr">
        <is>
          <t>1997-07-24</t>
        </is>
      </c>
      <c r="AA1155" t="n">
        <v>929</v>
      </c>
      <c r="AB1155" t="n">
        <v>788</v>
      </c>
      <c r="AC1155" t="n">
        <v>838</v>
      </c>
      <c r="AD1155" t="n">
        <v>9</v>
      </c>
      <c r="AE1155" t="n">
        <v>9</v>
      </c>
      <c r="AF1155" t="n">
        <v>46</v>
      </c>
      <c r="AG1155" t="n">
        <v>48</v>
      </c>
      <c r="AH1155" t="n">
        <v>17</v>
      </c>
      <c r="AI1155" t="n">
        <v>19</v>
      </c>
      <c r="AJ1155" t="n">
        <v>10</v>
      </c>
      <c r="AK1155" t="n">
        <v>10</v>
      </c>
      <c r="AL1155" t="n">
        <v>23</v>
      </c>
      <c r="AM1155" t="n">
        <v>23</v>
      </c>
      <c r="AN1155" t="n">
        <v>8</v>
      </c>
      <c r="AO1155" t="n">
        <v>8</v>
      </c>
      <c r="AP1155" t="n">
        <v>0</v>
      </c>
      <c r="AQ1155" t="n">
        <v>0</v>
      </c>
      <c r="AR1155" t="inlineStr">
        <is>
          <t>No</t>
        </is>
      </c>
      <c r="AS1155" t="inlineStr">
        <is>
          <t>Yes</t>
        </is>
      </c>
      <c r="AT1155">
        <f>HYPERLINK("http://catalog.hathitrust.org/Record/000634857","HathiTrust Record")</f>
        <v/>
      </c>
      <c r="AU1155">
        <f>HYPERLINK("https://creighton-primo.hosted.exlibrisgroup.com/primo-explore/search?tab=default_tab&amp;search_scope=EVERYTHING&amp;vid=01CRU&amp;lang=en_US&amp;offset=0&amp;query=any,contains,991002457999702656","Catalog Record")</f>
        <v/>
      </c>
      <c r="AV1155">
        <f>HYPERLINK("http://www.worldcat.org/oclc/355067","WorldCat Record")</f>
        <v/>
      </c>
      <c r="AW1155" t="inlineStr">
        <is>
          <t>1397047:eng</t>
        </is>
      </c>
      <c r="AX1155" t="inlineStr">
        <is>
          <t>355067</t>
        </is>
      </c>
      <c r="AY1155" t="inlineStr">
        <is>
          <t>991002457999702656</t>
        </is>
      </c>
      <c r="AZ1155" t="inlineStr">
        <is>
          <t>991002457999702656</t>
        </is>
      </c>
      <c r="BA1155" t="inlineStr">
        <is>
          <t>2264561550002656</t>
        </is>
      </c>
      <c r="BB1155" t="inlineStr">
        <is>
          <t>BOOK</t>
        </is>
      </c>
      <c r="BE1155" t="inlineStr">
        <is>
          <t>32285002957586</t>
        </is>
      </c>
      <c r="BF1155" t="inlineStr">
        <is>
          <t>893510762</t>
        </is>
      </c>
    </row>
    <row r="1156">
      <c r="A1156" t="inlineStr">
        <is>
          <t>No</t>
        </is>
      </c>
      <c r="B1156" t="inlineStr">
        <is>
          <t>CURAL</t>
        </is>
      </c>
      <c r="C1156" t="inlineStr">
        <is>
          <t>SHELVES</t>
        </is>
      </c>
      <c r="D1156" t="inlineStr">
        <is>
          <t>PR3562 .F47</t>
        </is>
      </c>
      <c r="E1156" t="inlineStr">
        <is>
          <t>0                      PR 3562000F  47</t>
        </is>
      </c>
      <c r="F1156" t="inlineStr">
        <is>
          <t>Milton and Augustine : patterns of Augustinian thought in Paradise lost / Peter A. Fiore.</t>
        </is>
      </c>
      <c r="H1156" t="inlineStr">
        <is>
          <t>No</t>
        </is>
      </c>
      <c r="I1156" t="inlineStr">
        <is>
          <t>1</t>
        </is>
      </c>
      <c r="J1156" t="inlineStr">
        <is>
          <t>No</t>
        </is>
      </c>
      <c r="K1156" t="inlineStr">
        <is>
          <t>No</t>
        </is>
      </c>
      <c r="L1156" t="inlineStr">
        <is>
          <t>0</t>
        </is>
      </c>
      <c r="M1156" t="inlineStr">
        <is>
          <t>Fiore, Peter Amadeus, 1927-</t>
        </is>
      </c>
      <c r="N1156" t="inlineStr">
        <is>
          <t>University Park, PA : Pennsylvania State University, 1981.</t>
        </is>
      </c>
      <c r="O1156" t="inlineStr">
        <is>
          <t>1980</t>
        </is>
      </c>
      <c r="Q1156" t="inlineStr">
        <is>
          <t>eng</t>
        </is>
      </c>
      <c r="R1156" t="inlineStr">
        <is>
          <t>pau</t>
        </is>
      </c>
      <c r="T1156" t="inlineStr">
        <is>
          <t xml:space="preserve">PR </t>
        </is>
      </c>
      <c r="U1156" t="n">
        <v>4</v>
      </c>
      <c r="V1156" t="n">
        <v>4</v>
      </c>
      <c r="W1156" t="inlineStr">
        <is>
          <t>2010-11-23</t>
        </is>
      </c>
      <c r="X1156" t="inlineStr">
        <is>
          <t>2010-11-23</t>
        </is>
      </c>
      <c r="Y1156" t="inlineStr">
        <is>
          <t>1991-04-29</t>
        </is>
      </c>
      <c r="Z1156" t="inlineStr">
        <is>
          <t>1991-04-29</t>
        </is>
      </c>
      <c r="AA1156" t="n">
        <v>707</v>
      </c>
      <c r="AB1156" t="n">
        <v>595</v>
      </c>
      <c r="AC1156" t="n">
        <v>602</v>
      </c>
      <c r="AD1156" t="n">
        <v>8</v>
      </c>
      <c r="AE1156" t="n">
        <v>8</v>
      </c>
      <c r="AF1156" t="n">
        <v>33</v>
      </c>
      <c r="AG1156" t="n">
        <v>33</v>
      </c>
      <c r="AH1156" t="n">
        <v>12</v>
      </c>
      <c r="AI1156" t="n">
        <v>12</v>
      </c>
      <c r="AJ1156" t="n">
        <v>8</v>
      </c>
      <c r="AK1156" t="n">
        <v>8</v>
      </c>
      <c r="AL1156" t="n">
        <v>18</v>
      </c>
      <c r="AM1156" t="n">
        <v>18</v>
      </c>
      <c r="AN1156" t="n">
        <v>7</v>
      </c>
      <c r="AO1156" t="n">
        <v>7</v>
      </c>
      <c r="AP1156" t="n">
        <v>0</v>
      </c>
      <c r="AQ1156" t="n">
        <v>0</v>
      </c>
      <c r="AR1156" t="inlineStr">
        <is>
          <t>No</t>
        </is>
      </c>
      <c r="AS1156" t="inlineStr">
        <is>
          <t>Yes</t>
        </is>
      </c>
      <c r="AT1156">
        <f>HYPERLINK("http://catalog.hathitrust.org/Record/000128938","HathiTrust Record")</f>
        <v/>
      </c>
      <c r="AU1156">
        <f>HYPERLINK("https://creighton-primo.hosted.exlibrisgroup.com/primo-explore/search?tab=default_tab&amp;search_scope=EVERYTHING&amp;vid=01CRU&amp;lang=en_US&amp;offset=0&amp;query=any,contains,991004984599702656","Catalog Record")</f>
        <v/>
      </c>
      <c r="AV1156">
        <f>HYPERLINK("http://www.worldcat.org/oclc/6446915","WorldCat Record")</f>
        <v/>
      </c>
      <c r="AW1156" t="inlineStr">
        <is>
          <t>318572725:eng</t>
        </is>
      </c>
      <c r="AX1156" t="inlineStr">
        <is>
          <t>6446915</t>
        </is>
      </c>
      <c r="AY1156" t="inlineStr">
        <is>
          <t>991004984599702656</t>
        </is>
      </c>
      <c r="AZ1156" t="inlineStr">
        <is>
          <t>991004984599702656</t>
        </is>
      </c>
      <c r="BA1156" t="inlineStr">
        <is>
          <t>2255738590002656</t>
        </is>
      </c>
      <c r="BB1156" t="inlineStr">
        <is>
          <t>BOOK</t>
        </is>
      </c>
      <c r="BD1156" t="inlineStr">
        <is>
          <t>9780271002699</t>
        </is>
      </c>
      <c r="BE1156" t="inlineStr">
        <is>
          <t>32285000588821</t>
        </is>
      </c>
      <c r="BF1156" t="inlineStr">
        <is>
          <t>893526734</t>
        </is>
      </c>
    </row>
    <row r="1157">
      <c r="A1157" t="inlineStr">
        <is>
          <t>No</t>
        </is>
      </c>
      <c r="B1157" t="inlineStr">
        <is>
          <t>CURAL</t>
        </is>
      </c>
      <c r="C1157" t="inlineStr">
        <is>
          <t>SHELVES</t>
        </is>
      </c>
      <c r="D1157" t="inlineStr">
        <is>
          <t>PR3562 .F66</t>
        </is>
      </c>
      <c r="E1157" t="inlineStr">
        <is>
          <t>0                      PR 3562000F  66</t>
        </is>
      </c>
      <c r="F1157" t="inlineStr">
        <is>
          <t>Milton and the martial muse : Paradise lost and European traditions of war / James A. Freeman.</t>
        </is>
      </c>
      <c r="H1157" t="inlineStr">
        <is>
          <t>No</t>
        </is>
      </c>
      <c r="I1157" t="inlineStr">
        <is>
          <t>1</t>
        </is>
      </c>
      <c r="J1157" t="inlineStr">
        <is>
          <t>No</t>
        </is>
      </c>
      <c r="K1157" t="inlineStr">
        <is>
          <t>No</t>
        </is>
      </c>
      <c r="L1157" t="inlineStr">
        <is>
          <t>0</t>
        </is>
      </c>
      <c r="M1157" t="inlineStr">
        <is>
          <t>Freeman, James A., 1935-</t>
        </is>
      </c>
      <c r="N1157" t="inlineStr">
        <is>
          <t>Princeton, N.J. : Princeton University Press, c1980.</t>
        </is>
      </c>
      <c r="O1157" t="inlineStr">
        <is>
          <t>1980</t>
        </is>
      </c>
      <c r="Q1157" t="inlineStr">
        <is>
          <t>eng</t>
        </is>
      </c>
      <c r="R1157" t="inlineStr">
        <is>
          <t>nju</t>
        </is>
      </c>
      <c r="T1157" t="inlineStr">
        <is>
          <t xml:space="preserve">PR </t>
        </is>
      </c>
      <c r="U1157" t="n">
        <v>1</v>
      </c>
      <c r="V1157" t="n">
        <v>1</v>
      </c>
      <c r="W1157" t="inlineStr">
        <is>
          <t>2006-10-12</t>
        </is>
      </c>
      <c r="X1157" t="inlineStr">
        <is>
          <t>2006-10-12</t>
        </is>
      </c>
      <c r="Y1157" t="inlineStr">
        <is>
          <t>1991-04-29</t>
        </is>
      </c>
      <c r="Z1157" t="inlineStr">
        <is>
          <t>1991-04-29</t>
        </is>
      </c>
      <c r="AA1157" t="n">
        <v>560</v>
      </c>
      <c r="AB1157" t="n">
        <v>422</v>
      </c>
      <c r="AC1157" t="n">
        <v>645</v>
      </c>
      <c r="AD1157" t="n">
        <v>3</v>
      </c>
      <c r="AE1157" t="n">
        <v>5</v>
      </c>
      <c r="AF1157" t="n">
        <v>24</v>
      </c>
      <c r="AG1157" t="n">
        <v>33</v>
      </c>
      <c r="AH1157" t="n">
        <v>11</v>
      </c>
      <c r="AI1157" t="n">
        <v>16</v>
      </c>
      <c r="AJ1157" t="n">
        <v>6</v>
      </c>
      <c r="AK1157" t="n">
        <v>9</v>
      </c>
      <c r="AL1157" t="n">
        <v>15</v>
      </c>
      <c r="AM1157" t="n">
        <v>16</v>
      </c>
      <c r="AN1157" t="n">
        <v>2</v>
      </c>
      <c r="AO1157" t="n">
        <v>3</v>
      </c>
      <c r="AP1157" t="n">
        <v>0</v>
      </c>
      <c r="AQ1157" t="n">
        <v>0</v>
      </c>
      <c r="AR1157" t="inlineStr">
        <is>
          <t>No</t>
        </is>
      </c>
      <c r="AS1157" t="inlineStr">
        <is>
          <t>No</t>
        </is>
      </c>
      <c r="AU1157">
        <f>HYPERLINK("https://creighton-primo.hosted.exlibrisgroup.com/primo-explore/search?tab=default_tab&amp;search_scope=EVERYTHING&amp;vid=01CRU&amp;lang=en_US&amp;offset=0&amp;query=any,contains,991004929409702656","Catalog Record")</f>
        <v/>
      </c>
      <c r="AV1157">
        <f>HYPERLINK("http://www.worldcat.org/oclc/6091990","WorldCat Record")</f>
        <v/>
      </c>
      <c r="AW1157" t="inlineStr">
        <is>
          <t>287778799:eng</t>
        </is>
      </c>
      <c r="AX1157" t="inlineStr">
        <is>
          <t>6091990</t>
        </is>
      </c>
      <c r="AY1157" t="inlineStr">
        <is>
          <t>991004929409702656</t>
        </is>
      </c>
      <c r="AZ1157" t="inlineStr">
        <is>
          <t>991004929409702656</t>
        </is>
      </c>
      <c r="BA1157" t="inlineStr">
        <is>
          <t>2263810010002656</t>
        </is>
      </c>
      <c r="BB1157" t="inlineStr">
        <is>
          <t>BOOK</t>
        </is>
      </c>
      <c r="BD1157" t="inlineStr">
        <is>
          <t>9780691064352</t>
        </is>
      </c>
      <c r="BE1157" t="inlineStr">
        <is>
          <t>32285000588839</t>
        </is>
      </c>
      <c r="BF1157" t="inlineStr">
        <is>
          <t>893594246</t>
        </is>
      </c>
    </row>
    <row r="1158">
      <c r="A1158" t="inlineStr">
        <is>
          <t>No</t>
        </is>
      </c>
      <c r="B1158" t="inlineStr">
        <is>
          <t>CURAL</t>
        </is>
      </c>
      <c r="C1158" t="inlineStr">
        <is>
          <t>SHELVES</t>
        </is>
      </c>
      <c r="D1158" t="inlineStr">
        <is>
          <t>PR3562 .G3 1965</t>
        </is>
      </c>
      <c r="E1158" t="inlineStr">
        <is>
          <t>0                      PR 3562000G  3           1965</t>
        </is>
      </c>
      <c r="F1158" t="inlineStr">
        <is>
          <t>A reading of Paradise lost / by Helen Gardner.</t>
        </is>
      </c>
      <c r="H1158" t="inlineStr">
        <is>
          <t>No</t>
        </is>
      </c>
      <c r="I1158" t="inlineStr">
        <is>
          <t>1</t>
        </is>
      </c>
      <c r="J1158" t="inlineStr">
        <is>
          <t>No</t>
        </is>
      </c>
      <c r="K1158" t="inlineStr">
        <is>
          <t>No</t>
        </is>
      </c>
      <c r="L1158" t="inlineStr">
        <is>
          <t>0</t>
        </is>
      </c>
      <c r="M1158" t="inlineStr">
        <is>
          <t>Gardner, Helen, 1908-1986.</t>
        </is>
      </c>
      <c r="N1158" t="inlineStr">
        <is>
          <t>Oxford : Clarendon Press, 1965.</t>
        </is>
      </c>
      <c r="O1158" t="inlineStr">
        <is>
          <t>1965</t>
        </is>
      </c>
      <c r="Q1158" t="inlineStr">
        <is>
          <t>eng</t>
        </is>
      </c>
      <c r="R1158" t="inlineStr">
        <is>
          <t>enk</t>
        </is>
      </c>
      <c r="S1158" t="inlineStr">
        <is>
          <t>Alexander lectures in the University of Toronto, 1962</t>
        </is>
      </c>
      <c r="T1158" t="inlineStr">
        <is>
          <t xml:space="preserve">PR </t>
        </is>
      </c>
      <c r="U1158" t="n">
        <v>2</v>
      </c>
      <c r="V1158" t="n">
        <v>2</v>
      </c>
      <c r="W1158" t="inlineStr">
        <is>
          <t>1994-09-22</t>
        </is>
      </c>
      <c r="X1158" t="inlineStr">
        <is>
          <t>1994-09-22</t>
        </is>
      </c>
      <c r="Y1158" t="inlineStr">
        <is>
          <t>1992-02-11</t>
        </is>
      </c>
      <c r="Z1158" t="inlineStr">
        <is>
          <t>1992-02-11</t>
        </is>
      </c>
      <c r="AA1158" t="n">
        <v>920</v>
      </c>
      <c r="AB1158" t="n">
        <v>736</v>
      </c>
      <c r="AC1158" t="n">
        <v>853</v>
      </c>
      <c r="AD1158" t="n">
        <v>10</v>
      </c>
      <c r="AE1158" t="n">
        <v>10</v>
      </c>
      <c r="AF1158" t="n">
        <v>42</v>
      </c>
      <c r="AG1158" t="n">
        <v>47</v>
      </c>
      <c r="AH1158" t="n">
        <v>15</v>
      </c>
      <c r="AI1158" t="n">
        <v>19</v>
      </c>
      <c r="AJ1158" t="n">
        <v>10</v>
      </c>
      <c r="AK1158" t="n">
        <v>10</v>
      </c>
      <c r="AL1158" t="n">
        <v>20</v>
      </c>
      <c r="AM1158" t="n">
        <v>23</v>
      </c>
      <c r="AN1158" t="n">
        <v>9</v>
      </c>
      <c r="AO1158" t="n">
        <v>9</v>
      </c>
      <c r="AP1158" t="n">
        <v>0</v>
      </c>
      <c r="AQ1158" t="n">
        <v>0</v>
      </c>
      <c r="AR1158" t="inlineStr">
        <is>
          <t>No</t>
        </is>
      </c>
      <c r="AS1158" t="inlineStr">
        <is>
          <t>Yes</t>
        </is>
      </c>
      <c r="AT1158">
        <f>HYPERLINK("http://catalog.hathitrust.org/Record/000634873","HathiTrust Record")</f>
        <v/>
      </c>
      <c r="AU1158">
        <f>HYPERLINK("https://creighton-primo.hosted.exlibrisgroup.com/primo-explore/search?tab=default_tab&amp;search_scope=EVERYTHING&amp;vid=01CRU&amp;lang=en_US&amp;offset=0&amp;query=any,contains,991004757589702656","Catalog Record")</f>
        <v/>
      </c>
      <c r="AV1158">
        <f>HYPERLINK("http://www.worldcat.org/oclc/4977684","WorldCat Record")</f>
        <v/>
      </c>
      <c r="AW1158" t="inlineStr">
        <is>
          <t>119124297:eng</t>
        </is>
      </c>
      <c r="AX1158" t="inlineStr">
        <is>
          <t>4977684</t>
        </is>
      </c>
      <c r="AY1158" t="inlineStr">
        <is>
          <t>991004757589702656</t>
        </is>
      </c>
      <c r="AZ1158" t="inlineStr">
        <is>
          <t>991004757589702656</t>
        </is>
      </c>
      <c r="BA1158" t="inlineStr">
        <is>
          <t>2269480850002656</t>
        </is>
      </c>
      <c r="BB1158" t="inlineStr">
        <is>
          <t>BOOK</t>
        </is>
      </c>
      <c r="BE1158" t="inlineStr">
        <is>
          <t>32285000954965</t>
        </is>
      </c>
      <c r="BF1158" t="inlineStr">
        <is>
          <t>893325739</t>
        </is>
      </c>
    </row>
    <row r="1159">
      <c r="A1159" t="inlineStr">
        <is>
          <t>No</t>
        </is>
      </c>
      <c r="B1159" t="inlineStr">
        <is>
          <t>CURAL</t>
        </is>
      </c>
      <c r="C1159" t="inlineStr">
        <is>
          <t>SHELVES</t>
        </is>
      </c>
      <c r="D1159" t="inlineStr">
        <is>
          <t>PR3562 .G75</t>
        </is>
      </c>
      <c r="E1159" t="inlineStr">
        <is>
          <t>0                      PR 3562000G  75</t>
        </is>
      </c>
      <c r="F1159" t="inlineStr">
        <is>
          <t>Milton's epic process : Paradise lost and its Miltonic background.</t>
        </is>
      </c>
      <c r="H1159" t="inlineStr">
        <is>
          <t>No</t>
        </is>
      </c>
      <c r="I1159" t="inlineStr">
        <is>
          <t>1</t>
        </is>
      </c>
      <c r="J1159" t="inlineStr">
        <is>
          <t>No</t>
        </is>
      </c>
      <c r="K1159" t="inlineStr">
        <is>
          <t>No</t>
        </is>
      </c>
      <c r="L1159" t="inlineStr">
        <is>
          <t>0</t>
        </is>
      </c>
      <c r="M1159" t="inlineStr">
        <is>
          <t>Grose, Christopher.</t>
        </is>
      </c>
      <c r="N1159" t="inlineStr">
        <is>
          <t>New Haven : Yale University Press, 1973.</t>
        </is>
      </c>
      <c r="O1159" t="inlineStr">
        <is>
          <t>1973</t>
        </is>
      </c>
      <c r="Q1159" t="inlineStr">
        <is>
          <t>eng</t>
        </is>
      </c>
      <c r="R1159" t="inlineStr">
        <is>
          <t>ctu</t>
        </is>
      </c>
      <c r="T1159" t="inlineStr">
        <is>
          <t xml:space="preserve">PR </t>
        </is>
      </c>
      <c r="U1159" t="n">
        <v>2</v>
      </c>
      <c r="V1159" t="n">
        <v>2</v>
      </c>
      <c r="W1159" t="inlineStr">
        <is>
          <t>1994-11-15</t>
        </is>
      </c>
      <c r="X1159" t="inlineStr">
        <is>
          <t>1994-11-15</t>
        </is>
      </c>
      <c r="Y1159" t="inlineStr">
        <is>
          <t>1991-10-28</t>
        </is>
      </c>
      <c r="Z1159" t="inlineStr">
        <is>
          <t>1991-10-28</t>
        </is>
      </c>
      <c r="AA1159" t="n">
        <v>852</v>
      </c>
      <c r="AB1159" t="n">
        <v>698</v>
      </c>
      <c r="AC1159" t="n">
        <v>701</v>
      </c>
      <c r="AD1159" t="n">
        <v>4</v>
      </c>
      <c r="AE1159" t="n">
        <v>4</v>
      </c>
      <c r="AF1159" t="n">
        <v>36</v>
      </c>
      <c r="AG1159" t="n">
        <v>36</v>
      </c>
      <c r="AH1159" t="n">
        <v>15</v>
      </c>
      <c r="AI1159" t="n">
        <v>15</v>
      </c>
      <c r="AJ1159" t="n">
        <v>9</v>
      </c>
      <c r="AK1159" t="n">
        <v>9</v>
      </c>
      <c r="AL1159" t="n">
        <v>18</v>
      </c>
      <c r="AM1159" t="n">
        <v>18</v>
      </c>
      <c r="AN1159" t="n">
        <v>3</v>
      </c>
      <c r="AO1159" t="n">
        <v>3</v>
      </c>
      <c r="AP1159" t="n">
        <v>0</v>
      </c>
      <c r="AQ1159" t="n">
        <v>0</v>
      </c>
      <c r="AR1159" t="inlineStr">
        <is>
          <t>No</t>
        </is>
      </c>
      <c r="AS1159" t="inlineStr">
        <is>
          <t>No</t>
        </is>
      </c>
      <c r="AU1159">
        <f>HYPERLINK("https://creighton-primo.hosted.exlibrisgroup.com/primo-explore/search?tab=default_tab&amp;search_scope=EVERYTHING&amp;vid=01CRU&amp;lang=en_US&amp;offset=0&amp;query=any,contains,991003229989702656","Catalog Record")</f>
        <v/>
      </c>
      <c r="AV1159">
        <f>HYPERLINK("http://www.worldcat.org/oclc/754610","WorldCat Record")</f>
        <v/>
      </c>
      <c r="AW1159" t="inlineStr">
        <is>
          <t>197346635:eng</t>
        </is>
      </c>
      <c r="AX1159" t="inlineStr">
        <is>
          <t>754610</t>
        </is>
      </c>
      <c r="AY1159" t="inlineStr">
        <is>
          <t>991003229989702656</t>
        </is>
      </c>
      <c r="AZ1159" t="inlineStr">
        <is>
          <t>991003229989702656</t>
        </is>
      </c>
      <c r="BA1159" t="inlineStr">
        <is>
          <t>2267547380002656</t>
        </is>
      </c>
      <c r="BB1159" t="inlineStr">
        <is>
          <t>BOOK</t>
        </is>
      </c>
      <c r="BD1159" t="inlineStr">
        <is>
          <t>9780300015744</t>
        </is>
      </c>
      <c r="BE1159" t="inlineStr">
        <is>
          <t>32285000779347</t>
        </is>
      </c>
      <c r="BF1159" t="inlineStr">
        <is>
          <t>893499074</t>
        </is>
      </c>
    </row>
    <row r="1160">
      <c r="A1160" t="inlineStr">
        <is>
          <t>No</t>
        </is>
      </c>
      <c r="B1160" t="inlineStr">
        <is>
          <t>CURAL</t>
        </is>
      </c>
      <c r="C1160" t="inlineStr">
        <is>
          <t>SHELVES</t>
        </is>
      </c>
      <c r="D1160" t="inlineStr">
        <is>
          <t>PR3562 .H34</t>
        </is>
      </c>
      <c r="E1160" t="inlineStr">
        <is>
          <t>0                      PR 3562000H  34</t>
        </is>
      </c>
      <c r="F1160" t="inlineStr">
        <is>
          <t>The club of Hercules; studies in the classical background of Paradise lost.</t>
        </is>
      </c>
      <c r="H1160" t="inlineStr">
        <is>
          <t>No</t>
        </is>
      </c>
      <c r="I1160" t="inlineStr">
        <is>
          <t>1</t>
        </is>
      </c>
      <c r="J1160" t="inlineStr">
        <is>
          <t>No</t>
        </is>
      </c>
      <c r="K1160" t="inlineStr">
        <is>
          <t>No</t>
        </is>
      </c>
      <c r="L1160" t="inlineStr">
        <is>
          <t>0</t>
        </is>
      </c>
      <c r="M1160" t="inlineStr">
        <is>
          <t>Harding, Davis P. (Davis Philoon), 1914-1970.</t>
        </is>
      </c>
      <c r="N1160" t="inlineStr">
        <is>
          <t>Urbana, University of Illinois Press, 1962.</t>
        </is>
      </c>
      <c r="O1160" t="inlineStr">
        <is>
          <t>1962</t>
        </is>
      </c>
      <c r="Q1160" t="inlineStr">
        <is>
          <t>eng</t>
        </is>
      </c>
      <c r="R1160" t="inlineStr">
        <is>
          <t>ilu</t>
        </is>
      </c>
      <c r="S1160" t="inlineStr">
        <is>
          <t>Illinois studies in language and literature ; v. 50</t>
        </is>
      </c>
      <c r="T1160" t="inlineStr">
        <is>
          <t xml:space="preserve">PR </t>
        </is>
      </c>
      <c r="U1160" t="n">
        <v>6</v>
      </c>
      <c r="V1160" t="n">
        <v>6</v>
      </c>
      <c r="W1160" t="inlineStr">
        <is>
          <t>2007-10-31</t>
        </is>
      </c>
      <c r="X1160" t="inlineStr">
        <is>
          <t>2007-10-31</t>
        </is>
      </c>
      <c r="Y1160" t="inlineStr">
        <is>
          <t>1997-07-24</t>
        </is>
      </c>
      <c r="Z1160" t="inlineStr">
        <is>
          <t>1997-07-24</t>
        </is>
      </c>
      <c r="AA1160" t="n">
        <v>615</v>
      </c>
      <c r="AB1160" t="n">
        <v>519</v>
      </c>
      <c r="AC1160" t="n">
        <v>527</v>
      </c>
      <c r="AD1160" t="n">
        <v>3</v>
      </c>
      <c r="AE1160" t="n">
        <v>3</v>
      </c>
      <c r="AF1160" t="n">
        <v>32</v>
      </c>
      <c r="AG1160" t="n">
        <v>32</v>
      </c>
      <c r="AH1160" t="n">
        <v>12</v>
      </c>
      <c r="AI1160" t="n">
        <v>12</v>
      </c>
      <c r="AJ1160" t="n">
        <v>9</v>
      </c>
      <c r="AK1160" t="n">
        <v>9</v>
      </c>
      <c r="AL1160" t="n">
        <v>18</v>
      </c>
      <c r="AM1160" t="n">
        <v>18</v>
      </c>
      <c r="AN1160" t="n">
        <v>2</v>
      </c>
      <c r="AO1160" t="n">
        <v>2</v>
      </c>
      <c r="AP1160" t="n">
        <v>0</v>
      </c>
      <c r="AQ1160" t="n">
        <v>0</v>
      </c>
      <c r="AR1160" t="inlineStr">
        <is>
          <t>No</t>
        </is>
      </c>
      <c r="AS1160" t="inlineStr">
        <is>
          <t>No</t>
        </is>
      </c>
      <c r="AU1160">
        <f>HYPERLINK("https://creighton-primo.hosted.exlibrisgroup.com/primo-explore/search?tab=default_tab&amp;search_scope=EVERYTHING&amp;vid=01CRU&amp;lang=en_US&amp;offset=0&amp;query=any,contains,991001933219702656","Catalog Record")</f>
        <v/>
      </c>
      <c r="AV1160">
        <f>HYPERLINK("http://www.worldcat.org/oclc/249710","WorldCat Record")</f>
        <v/>
      </c>
      <c r="AW1160" t="inlineStr">
        <is>
          <t>898:eng</t>
        </is>
      </c>
      <c r="AX1160" t="inlineStr">
        <is>
          <t>249710</t>
        </is>
      </c>
      <c r="AY1160" t="inlineStr">
        <is>
          <t>991001933219702656</t>
        </is>
      </c>
      <c r="AZ1160" t="inlineStr">
        <is>
          <t>991001933219702656</t>
        </is>
      </c>
      <c r="BA1160" t="inlineStr">
        <is>
          <t>2256402370002656</t>
        </is>
      </c>
      <c r="BB1160" t="inlineStr">
        <is>
          <t>BOOK</t>
        </is>
      </c>
      <c r="BE1160" t="inlineStr">
        <is>
          <t>32285002957628</t>
        </is>
      </c>
      <c r="BF1160" t="inlineStr">
        <is>
          <t>893244558</t>
        </is>
      </c>
    </row>
    <row r="1161">
      <c r="A1161" t="inlineStr">
        <is>
          <t>No</t>
        </is>
      </c>
      <c r="B1161" t="inlineStr">
        <is>
          <t>CURAL</t>
        </is>
      </c>
      <c r="C1161" t="inlineStr">
        <is>
          <t>SHELVES</t>
        </is>
      </c>
      <c r="D1161" t="inlineStr">
        <is>
          <t>PR3562 .K6</t>
        </is>
      </c>
      <c r="E1161" t="inlineStr">
        <is>
          <t>0                      PR 3562000K  6</t>
        </is>
      </c>
      <c r="F1161" t="inlineStr">
        <is>
          <t>Milton's pastoral vision; an approach to Paradise lost [by] John R. Knott, Jr.</t>
        </is>
      </c>
      <c r="H1161" t="inlineStr">
        <is>
          <t>No</t>
        </is>
      </c>
      <c r="I1161" t="inlineStr">
        <is>
          <t>1</t>
        </is>
      </c>
      <c r="J1161" t="inlineStr">
        <is>
          <t>No</t>
        </is>
      </c>
      <c r="K1161" t="inlineStr">
        <is>
          <t>No</t>
        </is>
      </c>
      <c r="L1161" t="inlineStr">
        <is>
          <t>0</t>
        </is>
      </c>
      <c r="M1161" t="inlineStr">
        <is>
          <t>Knott, John R. (John Ray), 1937-</t>
        </is>
      </c>
      <c r="N1161" t="inlineStr">
        <is>
          <t>Chicago, University of Chicago Press [1971]</t>
        </is>
      </c>
      <c r="O1161" t="inlineStr">
        <is>
          <t>1971</t>
        </is>
      </c>
      <c r="Q1161" t="inlineStr">
        <is>
          <t>eng</t>
        </is>
      </c>
      <c r="R1161" t="inlineStr">
        <is>
          <t>ilu</t>
        </is>
      </c>
      <c r="T1161" t="inlineStr">
        <is>
          <t xml:space="preserve">PR </t>
        </is>
      </c>
      <c r="U1161" t="n">
        <v>2</v>
      </c>
      <c r="V1161" t="n">
        <v>2</v>
      </c>
      <c r="W1161" t="inlineStr">
        <is>
          <t>2000-10-01</t>
        </is>
      </c>
      <c r="X1161" t="inlineStr">
        <is>
          <t>2000-10-01</t>
        </is>
      </c>
      <c r="Y1161" t="inlineStr">
        <is>
          <t>1997-07-24</t>
        </is>
      </c>
      <c r="Z1161" t="inlineStr">
        <is>
          <t>1997-07-24</t>
        </is>
      </c>
      <c r="AA1161" t="n">
        <v>958</v>
      </c>
      <c r="AB1161" t="n">
        <v>793</v>
      </c>
      <c r="AC1161" t="n">
        <v>798</v>
      </c>
      <c r="AD1161" t="n">
        <v>5</v>
      </c>
      <c r="AE1161" t="n">
        <v>5</v>
      </c>
      <c r="AF1161" t="n">
        <v>34</v>
      </c>
      <c r="AG1161" t="n">
        <v>34</v>
      </c>
      <c r="AH1161" t="n">
        <v>15</v>
      </c>
      <c r="AI1161" t="n">
        <v>15</v>
      </c>
      <c r="AJ1161" t="n">
        <v>6</v>
      </c>
      <c r="AK1161" t="n">
        <v>6</v>
      </c>
      <c r="AL1161" t="n">
        <v>18</v>
      </c>
      <c r="AM1161" t="n">
        <v>18</v>
      </c>
      <c r="AN1161" t="n">
        <v>4</v>
      </c>
      <c r="AO1161" t="n">
        <v>4</v>
      </c>
      <c r="AP1161" t="n">
        <v>0</v>
      </c>
      <c r="AQ1161" t="n">
        <v>0</v>
      </c>
      <c r="AR1161" t="inlineStr">
        <is>
          <t>No</t>
        </is>
      </c>
      <c r="AS1161" t="inlineStr">
        <is>
          <t>No</t>
        </is>
      </c>
      <c r="AU1161">
        <f>HYPERLINK("https://creighton-primo.hosted.exlibrisgroup.com/primo-explore/search?tab=default_tab&amp;search_scope=EVERYTHING&amp;vid=01CRU&amp;lang=en_US&amp;offset=0&amp;query=any,contains,991000938239702656","Catalog Record")</f>
        <v/>
      </c>
      <c r="AV1161">
        <f>HYPERLINK("http://www.worldcat.org/oclc/165599","WorldCat Record")</f>
        <v/>
      </c>
      <c r="AW1161" t="inlineStr">
        <is>
          <t>209866945:eng</t>
        </is>
      </c>
      <c r="AX1161" t="inlineStr">
        <is>
          <t>165599</t>
        </is>
      </c>
      <c r="AY1161" t="inlineStr">
        <is>
          <t>991000938239702656</t>
        </is>
      </c>
      <c r="AZ1161" t="inlineStr">
        <is>
          <t>991000938239702656</t>
        </is>
      </c>
      <c r="BA1161" t="inlineStr">
        <is>
          <t>2269783280002656</t>
        </is>
      </c>
      <c r="BB1161" t="inlineStr">
        <is>
          <t>BOOK</t>
        </is>
      </c>
      <c r="BD1161" t="inlineStr">
        <is>
          <t>9780226448466</t>
        </is>
      </c>
      <c r="BE1161" t="inlineStr">
        <is>
          <t>32285002957651</t>
        </is>
      </c>
      <c r="BF1161" t="inlineStr">
        <is>
          <t>893872150</t>
        </is>
      </c>
    </row>
    <row r="1162">
      <c r="A1162" t="inlineStr">
        <is>
          <t>No</t>
        </is>
      </c>
      <c r="B1162" t="inlineStr">
        <is>
          <t>CURAL</t>
        </is>
      </c>
      <c r="C1162" t="inlineStr">
        <is>
          <t>SHELVES</t>
        </is>
      </c>
      <c r="D1162" t="inlineStr">
        <is>
          <t>PR3562 .L36 1990</t>
        </is>
      </c>
      <c r="E1162" t="inlineStr">
        <is>
          <t>0                      PR 3562000L  36          1990</t>
        </is>
      </c>
      <c r="F1162" t="inlineStr">
        <is>
          <t>Naming in Paradise : Milton and the language of Adam and Eve / John Leonard.</t>
        </is>
      </c>
      <c r="H1162" t="inlineStr">
        <is>
          <t>No</t>
        </is>
      </c>
      <c r="I1162" t="inlineStr">
        <is>
          <t>1</t>
        </is>
      </c>
      <c r="J1162" t="inlineStr">
        <is>
          <t>No</t>
        </is>
      </c>
      <c r="K1162" t="inlineStr">
        <is>
          <t>No</t>
        </is>
      </c>
      <c r="L1162" t="inlineStr">
        <is>
          <t>0</t>
        </is>
      </c>
      <c r="M1162" t="inlineStr">
        <is>
          <t>Leonard, John, 1940-</t>
        </is>
      </c>
      <c r="N1162" t="inlineStr">
        <is>
          <t>Oxford : Clarendon Press ; New York : Oxford University Press, 1990.</t>
        </is>
      </c>
      <c r="O1162" t="inlineStr">
        <is>
          <t>1990</t>
        </is>
      </c>
      <c r="Q1162" t="inlineStr">
        <is>
          <t>eng</t>
        </is>
      </c>
      <c r="R1162" t="inlineStr">
        <is>
          <t>enk</t>
        </is>
      </c>
      <c r="T1162" t="inlineStr">
        <is>
          <t xml:space="preserve">PR </t>
        </is>
      </c>
      <c r="U1162" t="n">
        <v>4</v>
      </c>
      <c r="V1162" t="n">
        <v>4</v>
      </c>
      <c r="W1162" t="inlineStr">
        <is>
          <t>2003-04-08</t>
        </is>
      </c>
      <c r="X1162" t="inlineStr">
        <is>
          <t>2003-04-08</t>
        </is>
      </c>
      <c r="Y1162" t="inlineStr">
        <is>
          <t>1992-05-28</t>
        </is>
      </c>
      <c r="Z1162" t="inlineStr">
        <is>
          <t>1992-05-28</t>
        </is>
      </c>
      <c r="AA1162" t="n">
        <v>425</v>
      </c>
      <c r="AB1162" t="n">
        <v>311</v>
      </c>
      <c r="AC1162" t="n">
        <v>313</v>
      </c>
      <c r="AD1162" t="n">
        <v>3</v>
      </c>
      <c r="AE1162" t="n">
        <v>3</v>
      </c>
      <c r="AF1162" t="n">
        <v>19</v>
      </c>
      <c r="AG1162" t="n">
        <v>19</v>
      </c>
      <c r="AH1162" t="n">
        <v>5</v>
      </c>
      <c r="AI1162" t="n">
        <v>5</v>
      </c>
      <c r="AJ1162" t="n">
        <v>5</v>
      </c>
      <c r="AK1162" t="n">
        <v>5</v>
      </c>
      <c r="AL1162" t="n">
        <v>12</v>
      </c>
      <c r="AM1162" t="n">
        <v>12</v>
      </c>
      <c r="AN1162" t="n">
        <v>2</v>
      </c>
      <c r="AO1162" t="n">
        <v>2</v>
      </c>
      <c r="AP1162" t="n">
        <v>0</v>
      </c>
      <c r="AQ1162" t="n">
        <v>0</v>
      </c>
      <c r="AR1162" t="inlineStr">
        <is>
          <t>No</t>
        </is>
      </c>
      <c r="AS1162" t="inlineStr">
        <is>
          <t>Yes</t>
        </is>
      </c>
      <c r="AT1162">
        <f>HYPERLINK("http://catalog.hathitrust.org/Record/001953993","HathiTrust Record")</f>
        <v/>
      </c>
      <c r="AU1162">
        <f>HYPERLINK("https://creighton-primo.hosted.exlibrisgroup.com/primo-explore/search?tab=default_tab&amp;search_scope=EVERYTHING&amp;vid=01CRU&amp;lang=en_US&amp;offset=0&amp;query=any,contains,991001519929702656","Catalog Record")</f>
        <v/>
      </c>
      <c r="AV1162">
        <f>HYPERLINK("http://www.worldcat.org/oclc/19971789","WorldCat Record")</f>
        <v/>
      </c>
      <c r="AW1162" t="inlineStr">
        <is>
          <t>836711063:eng</t>
        </is>
      </c>
      <c r="AX1162" t="inlineStr">
        <is>
          <t>19971789</t>
        </is>
      </c>
      <c r="AY1162" t="inlineStr">
        <is>
          <t>991001519929702656</t>
        </is>
      </c>
      <c r="AZ1162" t="inlineStr">
        <is>
          <t>991001519929702656</t>
        </is>
      </c>
      <c r="BA1162" t="inlineStr">
        <is>
          <t>2260707970002656</t>
        </is>
      </c>
      <c r="BB1162" t="inlineStr">
        <is>
          <t>BOOK</t>
        </is>
      </c>
      <c r="BD1162" t="inlineStr">
        <is>
          <t>9780198129585</t>
        </is>
      </c>
      <c r="BE1162" t="inlineStr">
        <is>
          <t>32285001119741</t>
        </is>
      </c>
      <c r="BF1162" t="inlineStr">
        <is>
          <t>893772641</t>
        </is>
      </c>
    </row>
    <row r="1163">
      <c r="A1163" t="inlineStr">
        <is>
          <t>No</t>
        </is>
      </c>
      <c r="B1163" t="inlineStr">
        <is>
          <t>CURAL</t>
        </is>
      </c>
      <c r="C1163" t="inlineStr">
        <is>
          <t>SHELVES</t>
        </is>
      </c>
      <c r="D1163" t="inlineStr">
        <is>
          <t>PR3562 .L52</t>
        </is>
      </c>
      <c r="E1163" t="inlineStr">
        <is>
          <t>0                      PR 3562000L  52</t>
        </is>
      </c>
      <c r="F1163" t="inlineStr">
        <is>
          <t>Poetics of the holy : a reading of Paradise lost / by Michael Lieb.</t>
        </is>
      </c>
      <c r="H1163" t="inlineStr">
        <is>
          <t>No</t>
        </is>
      </c>
      <c r="I1163" t="inlineStr">
        <is>
          <t>1</t>
        </is>
      </c>
      <c r="J1163" t="inlineStr">
        <is>
          <t>No</t>
        </is>
      </c>
      <c r="K1163" t="inlineStr">
        <is>
          <t>No</t>
        </is>
      </c>
      <c r="L1163" t="inlineStr">
        <is>
          <t>0</t>
        </is>
      </c>
      <c r="M1163" t="inlineStr">
        <is>
          <t>Lieb, Michael, 1940-</t>
        </is>
      </c>
      <c r="N1163" t="inlineStr">
        <is>
          <t>Chapel Hill : University of North Carolina Press, c1981.</t>
        </is>
      </c>
      <c r="O1163" t="inlineStr">
        <is>
          <t>1981</t>
        </is>
      </c>
      <c r="Q1163" t="inlineStr">
        <is>
          <t>eng</t>
        </is>
      </c>
      <c r="R1163" t="inlineStr">
        <is>
          <t>ncu</t>
        </is>
      </c>
      <c r="T1163" t="inlineStr">
        <is>
          <t xml:space="preserve">PR </t>
        </is>
      </c>
      <c r="U1163" t="n">
        <v>2</v>
      </c>
      <c r="V1163" t="n">
        <v>2</v>
      </c>
      <c r="W1163" t="inlineStr">
        <is>
          <t>1997-09-18</t>
        </is>
      </c>
      <c r="X1163" t="inlineStr">
        <is>
          <t>1997-09-18</t>
        </is>
      </c>
      <c r="Y1163" t="inlineStr">
        <is>
          <t>1991-04-29</t>
        </is>
      </c>
      <c r="Z1163" t="inlineStr">
        <is>
          <t>1991-04-29</t>
        </is>
      </c>
      <c r="AA1163" t="n">
        <v>760</v>
      </c>
      <c r="AB1163" t="n">
        <v>659</v>
      </c>
      <c r="AC1163" t="n">
        <v>666</v>
      </c>
      <c r="AD1163" t="n">
        <v>7</v>
      </c>
      <c r="AE1163" t="n">
        <v>7</v>
      </c>
      <c r="AF1163" t="n">
        <v>42</v>
      </c>
      <c r="AG1163" t="n">
        <v>42</v>
      </c>
      <c r="AH1163" t="n">
        <v>17</v>
      </c>
      <c r="AI1163" t="n">
        <v>17</v>
      </c>
      <c r="AJ1163" t="n">
        <v>11</v>
      </c>
      <c r="AK1163" t="n">
        <v>11</v>
      </c>
      <c r="AL1163" t="n">
        <v>19</v>
      </c>
      <c r="AM1163" t="n">
        <v>19</v>
      </c>
      <c r="AN1163" t="n">
        <v>6</v>
      </c>
      <c r="AO1163" t="n">
        <v>6</v>
      </c>
      <c r="AP1163" t="n">
        <v>0</v>
      </c>
      <c r="AQ1163" t="n">
        <v>0</v>
      </c>
      <c r="AR1163" t="inlineStr">
        <is>
          <t>No</t>
        </is>
      </c>
      <c r="AS1163" t="inlineStr">
        <is>
          <t>Yes</t>
        </is>
      </c>
      <c r="AT1163">
        <f>HYPERLINK("http://catalog.hathitrust.org/Record/000181948","HathiTrust Record")</f>
        <v/>
      </c>
      <c r="AU1163">
        <f>HYPERLINK("https://creighton-primo.hosted.exlibrisgroup.com/primo-explore/search?tab=default_tab&amp;search_scope=EVERYTHING&amp;vid=01CRU&amp;lang=en_US&amp;offset=0&amp;query=any,contains,991005083069702656","Catalog Record")</f>
        <v/>
      </c>
      <c r="AV1163">
        <f>HYPERLINK("http://www.worldcat.org/oclc/7175747","WorldCat Record")</f>
        <v/>
      </c>
      <c r="AW1163" t="inlineStr">
        <is>
          <t>197994762:eng</t>
        </is>
      </c>
      <c r="AX1163" t="inlineStr">
        <is>
          <t>7175747</t>
        </is>
      </c>
      <c r="AY1163" t="inlineStr">
        <is>
          <t>991005083069702656</t>
        </is>
      </c>
      <c r="AZ1163" t="inlineStr">
        <is>
          <t>991005083069702656</t>
        </is>
      </c>
      <c r="BA1163" t="inlineStr">
        <is>
          <t>2272280010002656</t>
        </is>
      </c>
      <c r="BB1163" t="inlineStr">
        <is>
          <t>BOOK</t>
        </is>
      </c>
      <c r="BD1163" t="inlineStr">
        <is>
          <t>9780807814796</t>
        </is>
      </c>
      <c r="BE1163" t="inlineStr">
        <is>
          <t>32285000588888</t>
        </is>
      </c>
      <c r="BF1163" t="inlineStr">
        <is>
          <t>893254435</t>
        </is>
      </c>
    </row>
    <row r="1164">
      <c r="A1164" t="inlineStr">
        <is>
          <t>No</t>
        </is>
      </c>
      <c r="B1164" t="inlineStr">
        <is>
          <t>CURAL</t>
        </is>
      </c>
      <c r="C1164" t="inlineStr">
        <is>
          <t>SHELVES</t>
        </is>
      </c>
      <c r="D1164" t="inlineStr">
        <is>
          <t>PR3562 .R54</t>
        </is>
      </c>
      <c r="E1164" t="inlineStr">
        <is>
          <t>0                      PR 3562000R  54</t>
        </is>
      </c>
      <c r="F1164" t="inlineStr">
        <is>
          <t>Milton's grand style.</t>
        </is>
      </c>
      <c r="H1164" t="inlineStr">
        <is>
          <t>No</t>
        </is>
      </c>
      <c r="I1164" t="inlineStr">
        <is>
          <t>1</t>
        </is>
      </c>
      <c r="J1164" t="inlineStr">
        <is>
          <t>No</t>
        </is>
      </c>
      <c r="K1164" t="inlineStr">
        <is>
          <t>No</t>
        </is>
      </c>
      <c r="L1164" t="inlineStr">
        <is>
          <t>0</t>
        </is>
      </c>
      <c r="M1164" t="inlineStr">
        <is>
          <t>Ricks, Christopher, 1933-</t>
        </is>
      </c>
      <c r="N1164" t="inlineStr">
        <is>
          <t>Oxford, Clarendon Press, 1963.</t>
        </is>
      </c>
      <c r="O1164" t="inlineStr">
        <is>
          <t>1963</t>
        </is>
      </c>
      <c r="Q1164" t="inlineStr">
        <is>
          <t>eng</t>
        </is>
      </c>
      <c r="R1164" t="inlineStr">
        <is>
          <t>enk</t>
        </is>
      </c>
      <c r="T1164" t="inlineStr">
        <is>
          <t xml:space="preserve">PR </t>
        </is>
      </c>
      <c r="U1164" t="n">
        <v>1</v>
      </c>
      <c r="V1164" t="n">
        <v>1</v>
      </c>
      <c r="W1164" t="inlineStr">
        <is>
          <t>2003-01-21</t>
        </is>
      </c>
      <c r="X1164" t="inlineStr">
        <is>
          <t>2003-01-21</t>
        </is>
      </c>
      <c r="Y1164" t="inlineStr">
        <is>
          <t>1997-07-24</t>
        </is>
      </c>
      <c r="Z1164" t="inlineStr">
        <is>
          <t>1997-07-24</t>
        </is>
      </c>
      <c r="AA1164" t="n">
        <v>919</v>
      </c>
      <c r="AB1164" t="n">
        <v>739</v>
      </c>
      <c r="AC1164" t="n">
        <v>894</v>
      </c>
      <c r="AD1164" t="n">
        <v>7</v>
      </c>
      <c r="AE1164" t="n">
        <v>7</v>
      </c>
      <c r="AF1164" t="n">
        <v>41</v>
      </c>
      <c r="AG1164" t="n">
        <v>46</v>
      </c>
      <c r="AH1164" t="n">
        <v>17</v>
      </c>
      <c r="AI1164" t="n">
        <v>19</v>
      </c>
      <c r="AJ1164" t="n">
        <v>7</v>
      </c>
      <c r="AK1164" t="n">
        <v>8</v>
      </c>
      <c r="AL1164" t="n">
        <v>25</v>
      </c>
      <c r="AM1164" t="n">
        <v>27</v>
      </c>
      <c r="AN1164" t="n">
        <v>5</v>
      </c>
      <c r="AO1164" t="n">
        <v>5</v>
      </c>
      <c r="AP1164" t="n">
        <v>0</v>
      </c>
      <c r="AQ1164" t="n">
        <v>0</v>
      </c>
      <c r="AR1164" t="inlineStr">
        <is>
          <t>No</t>
        </is>
      </c>
      <c r="AS1164" t="inlineStr">
        <is>
          <t>Yes</t>
        </is>
      </c>
      <c r="AT1164">
        <f>HYPERLINK("http://catalog.hathitrust.org/Record/000669811","HathiTrust Record")</f>
        <v/>
      </c>
      <c r="AU1164">
        <f>HYPERLINK("https://creighton-primo.hosted.exlibrisgroup.com/primo-explore/search?tab=default_tab&amp;search_scope=EVERYTHING&amp;vid=01CRU&amp;lang=en_US&amp;offset=0&amp;query=any,contains,991001977479702656","Catalog Record")</f>
        <v/>
      </c>
      <c r="AV1164">
        <f>HYPERLINK("http://www.worldcat.org/oclc/254429","WorldCat Record")</f>
        <v/>
      </c>
      <c r="AW1164" t="inlineStr">
        <is>
          <t>104602365:eng</t>
        </is>
      </c>
      <c r="AX1164" t="inlineStr">
        <is>
          <t>254429</t>
        </is>
      </c>
      <c r="AY1164" t="inlineStr">
        <is>
          <t>991001977479702656</t>
        </is>
      </c>
      <c r="AZ1164" t="inlineStr">
        <is>
          <t>991001977479702656</t>
        </is>
      </c>
      <c r="BA1164" t="inlineStr">
        <is>
          <t>2269279940002656</t>
        </is>
      </c>
      <c r="BB1164" t="inlineStr">
        <is>
          <t>BOOK</t>
        </is>
      </c>
      <c r="BE1164" t="inlineStr">
        <is>
          <t>32285002957693</t>
        </is>
      </c>
      <c r="BF1164" t="inlineStr">
        <is>
          <t>893885702</t>
        </is>
      </c>
    </row>
    <row r="1165">
      <c r="A1165" t="inlineStr">
        <is>
          <t>No</t>
        </is>
      </c>
      <c r="B1165" t="inlineStr">
        <is>
          <t>CURAL</t>
        </is>
      </c>
      <c r="C1165" t="inlineStr">
        <is>
          <t>SHELVES</t>
        </is>
      </c>
      <c r="D1165" t="inlineStr">
        <is>
          <t>PR3562 .S326 1992</t>
        </is>
      </c>
      <c r="E1165" t="inlineStr">
        <is>
          <t>0                      PR 3562000S  326         1992</t>
        </is>
      </c>
      <c r="F1165" t="inlineStr">
        <is>
          <t>Paradise lost, and the rise of the American Republic / Lydia Dittler Schulman.</t>
        </is>
      </c>
      <c r="H1165" t="inlineStr">
        <is>
          <t>No</t>
        </is>
      </c>
      <c r="I1165" t="inlineStr">
        <is>
          <t>1</t>
        </is>
      </c>
      <c r="J1165" t="inlineStr">
        <is>
          <t>No</t>
        </is>
      </c>
      <c r="K1165" t="inlineStr">
        <is>
          <t>No</t>
        </is>
      </c>
      <c r="L1165" t="inlineStr">
        <is>
          <t>0</t>
        </is>
      </c>
      <c r="M1165" t="inlineStr">
        <is>
          <t>Schulman, Lydia Dittler.</t>
        </is>
      </c>
      <c r="N1165" t="inlineStr">
        <is>
          <t>Boston : Northeastern University Press, c1992.</t>
        </is>
      </c>
      <c r="O1165" t="inlineStr">
        <is>
          <t>1992</t>
        </is>
      </c>
      <c r="Q1165" t="inlineStr">
        <is>
          <t>eng</t>
        </is>
      </c>
      <c r="R1165" t="inlineStr">
        <is>
          <t>mau</t>
        </is>
      </c>
      <c r="T1165" t="inlineStr">
        <is>
          <t xml:space="preserve">PR </t>
        </is>
      </c>
      <c r="U1165" t="n">
        <v>2</v>
      </c>
      <c r="V1165" t="n">
        <v>2</v>
      </c>
      <c r="W1165" t="inlineStr">
        <is>
          <t>2005-11-26</t>
        </is>
      </c>
      <c r="X1165" t="inlineStr">
        <is>
          <t>2005-11-26</t>
        </is>
      </c>
      <c r="Y1165" t="inlineStr">
        <is>
          <t>1995-04-07</t>
        </is>
      </c>
      <c r="Z1165" t="inlineStr">
        <is>
          <t>1995-04-07</t>
        </is>
      </c>
      <c r="AA1165" t="n">
        <v>289</v>
      </c>
      <c r="AB1165" t="n">
        <v>238</v>
      </c>
      <c r="AC1165" t="n">
        <v>240</v>
      </c>
      <c r="AD1165" t="n">
        <v>3</v>
      </c>
      <c r="AE1165" t="n">
        <v>3</v>
      </c>
      <c r="AF1165" t="n">
        <v>12</v>
      </c>
      <c r="AG1165" t="n">
        <v>12</v>
      </c>
      <c r="AH1165" t="n">
        <v>1</v>
      </c>
      <c r="AI1165" t="n">
        <v>1</v>
      </c>
      <c r="AJ1165" t="n">
        <v>3</v>
      </c>
      <c r="AK1165" t="n">
        <v>3</v>
      </c>
      <c r="AL1165" t="n">
        <v>9</v>
      </c>
      <c r="AM1165" t="n">
        <v>9</v>
      </c>
      <c r="AN1165" t="n">
        <v>2</v>
      </c>
      <c r="AO1165" t="n">
        <v>2</v>
      </c>
      <c r="AP1165" t="n">
        <v>0</v>
      </c>
      <c r="AQ1165" t="n">
        <v>0</v>
      </c>
      <c r="AR1165" t="inlineStr">
        <is>
          <t>No</t>
        </is>
      </c>
      <c r="AS1165" t="inlineStr">
        <is>
          <t>Yes</t>
        </is>
      </c>
      <c r="AT1165">
        <f>HYPERLINK("http://catalog.hathitrust.org/Record/002619506","HathiTrust Record")</f>
        <v/>
      </c>
      <c r="AU1165">
        <f>HYPERLINK("https://creighton-primo.hosted.exlibrisgroup.com/primo-explore/search?tab=default_tab&amp;search_scope=EVERYTHING&amp;vid=01CRU&amp;lang=en_US&amp;offset=0&amp;query=any,contains,991001947389702656","Catalog Record")</f>
        <v/>
      </c>
      <c r="AV1165">
        <f>HYPERLINK("http://www.worldcat.org/oclc/24626798","WorldCat Record")</f>
        <v/>
      </c>
      <c r="AW1165" t="inlineStr">
        <is>
          <t>26949693:eng</t>
        </is>
      </c>
      <c r="AX1165" t="inlineStr">
        <is>
          <t>24626798</t>
        </is>
      </c>
      <c r="AY1165" t="inlineStr">
        <is>
          <t>991001947389702656</t>
        </is>
      </c>
      <c r="AZ1165" t="inlineStr">
        <is>
          <t>991001947389702656</t>
        </is>
      </c>
      <c r="BA1165" t="inlineStr">
        <is>
          <t>2259997110002656</t>
        </is>
      </c>
      <c r="BB1165" t="inlineStr">
        <is>
          <t>BOOK</t>
        </is>
      </c>
      <c r="BD1165" t="inlineStr">
        <is>
          <t>9781555531256</t>
        </is>
      </c>
      <c r="BE1165" t="inlineStr">
        <is>
          <t>32285002017183</t>
        </is>
      </c>
      <c r="BF1165" t="inlineStr">
        <is>
          <t>893529367</t>
        </is>
      </c>
    </row>
    <row r="1166">
      <c r="A1166" t="inlineStr">
        <is>
          <t>No</t>
        </is>
      </c>
      <c r="B1166" t="inlineStr">
        <is>
          <t>CURAL</t>
        </is>
      </c>
      <c r="C1166" t="inlineStr">
        <is>
          <t>SHELVES</t>
        </is>
      </c>
      <c r="D1166" t="inlineStr">
        <is>
          <t>PR3562 .S64</t>
        </is>
      </c>
      <c r="E1166" t="inlineStr">
        <is>
          <t>0                      PR 3562000S  64</t>
        </is>
      </c>
      <c r="F1166" t="inlineStr">
        <is>
          <t>Epic and tragic structure in Paradise lost / John M. Steadman.</t>
        </is>
      </c>
      <c r="H1166" t="inlineStr">
        <is>
          <t>No</t>
        </is>
      </c>
      <c r="I1166" t="inlineStr">
        <is>
          <t>1</t>
        </is>
      </c>
      <c r="J1166" t="inlineStr">
        <is>
          <t>No</t>
        </is>
      </c>
      <c r="K1166" t="inlineStr">
        <is>
          <t>No</t>
        </is>
      </c>
      <c r="L1166" t="inlineStr">
        <is>
          <t>0</t>
        </is>
      </c>
      <c r="M1166" t="inlineStr">
        <is>
          <t>Steadman, John M.</t>
        </is>
      </c>
      <c r="N1166" t="inlineStr">
        <is>
          <t>Chicago : University of Chicago Press, 1976.</t>
        </is>
      </c>
      <c r="O1166" t="inlineStr">
        <is>
          <t>1976</t>
        </is>
      </c>
      <c r="Q1166" t="inlineStr">
        <is>
          <t>eng</t>
        </is>
      </c>
      <c r="R1166" t="inlineStr">
        <is>
          <t>ilu</t>
        </is>
      </c>
      <c r="T1166" t="inlineStr">
        <is>
          <t xml:space="preserve">PR </t>
        </is>
      </c>
      <c r="U1166" t="n">
        <v>5</v>
      </c>
      <c r="V1166" t="n">
        <v>5</v>
      </c>
      <c r="W1166" t="inlineStr">
        <is>
          <t>1995-10-08</t>
        </is>
      </c>
      <c r="X1166" t="inlineStr">
        <is>
          <t>1995-10-08</t>
        </is>
      </c>
      <c r="Y1166" t="inlineStr">
        <is>
          <t>1991-04-29</t>
        </is>
      </c>
      <c r="Z1166" t="inlineStr">
        <is>
          <t>1991-04-29</t>
        </is>
      </c>
      <c r="AA1166" t="n">
        <v>772</v>
      </c>
      <c r="AB1166" t="n">
        <v>653</v>
      </c>
      <c r="AC1166" t="n">
        <v>661</v>
      </c>
      <c r="AD1166" t="n">
        <v>4</v>
      </c>
      <c r="AE1166" t="n">
        <v>4</v>
      </c>
      <c r="AF1166" t="n">
        <v>37</v>
      </c>
      <c r="AG1166" t="n">
        <v>37</v>
      </c>
      <c r="AH1166" t="n">
        <v>14</v>
      </c>
      <c r="AI1166" t="n">
        <v>14</v>
      </c>
      <c r="AJ1166" t="n">
        <v>9</v>
      </c>
      <c r="AK1166" t="n">
        <v>9</v>
      </c>
      <c r="AL1166" t="n">
        <v>20</v>
      </c>
      <c r="AM1166" t="n">
        <v>20</v>
      </c>
      <c r="AN1166" t="n">
        <v>3</v>
      </c>
      <c r="AO1166" t="n">
        <v>3</v>
      </c>
      <c r="AP1166" t="n">
        <v>0</v>
      </c>
      <c r="AQ1166" t="n">
        <v>0</v>
      </c>
      <c r="AR1166" t="inlineStr">
        <is>
          <t>No</t>
        </is>
      </c>
      <c r="AS1166" t="inlineStr">
        <is>
          <t>Yes</t>
        </is>
      </c>
      <c r="AT1166">
        <f>HYPERLINK("http://catalog.hathitrust.org/Record/000720779","HathiTrust Record")</f>
        <v/>
      </c>
      <c r="AU1166">
        <f>HYPERLINK("https://creighton-primo.hosted.exlibrisgroup.com/primo-explore/search?tab=default_tab&amp;search_scope=EVERYTHING&amp;vid=01CRU&amp;lang=en_US&amp;offset=0&amp;query=any,contains,991004025679702656","Catalog Record")</f>
        <v/>
      </c>
      <c r="AV1166">
        <f>HYPERLINK("http://www.worldcat.org/oclc/2136552","WorldCat Record")</f>
        <v/>
      </c>
      <c r="AW1166" t="inlineStr">
        <is>
          <t>419345:eng</t>
        </is>
      </c>
      <c r="AX1166" t="inlineStr">
        <is>
          <t>2136552</t>
        </is>
      </c>
      <c r="AY1166" t="inlineStr">
        <is>
          <t>991004025679702656</t>
        </is>
      </c>
      <c r="AZ1166" t="inlineStr">
        <is>
          <t>991004025679702656</t>
        </is>
      </c>
      <c r="BA1166" t="inlineStr">
        <is>
          <t>2271465950002656</t>
        </is>
      </c>
      <c r="BB1166" t="inlineStr">
        <is>
          <t>BOOK</t>
        </is>
      </c>
      <c r="BD1166" t="inlineStr">
        <is>
          <t>9780226771342</t>
        </is>
      </c>
      <c r="BE1166" t="inlineStr">
        <is>
          <t>32285000588938</t>
        </is>
      </c>
      <c r="BF1166" t="inlineStr">
        <is>
          <t>893699741</t>
        </is>
      </c>
    </row>
    <row r="1167">
      <c r="A1167" t="inlineStr">
        <is>
          <t>No</t>
        </is>
      </c>
      <c r="B1167" t="inlineStr">
        <is>
          <t>CURAL</t>
        </is>
      </c>
      <c r="C1167" t="inlineStr">
        <is>
          <t>SHELVES</t>
        </is>
      </c>
      <c r="D1167" t="inlineStr">
        <is>
          <t>PR3562 .S7</t>
        </is>
      </c>
      <c r="E1167" t="inlineStr">
        <is>
          <t>0                      PR 3562000S  7</t>
        </is>
      </c>
      <c r="F1167" t="inlineStr">
        <is>
          <t>Answerable style: essays on Paradise lost.</t>
        </is>
      </c>
      <c r="H1167" t="inlineStr">
        <is>
          <t>No</t>
        </is>
      </c>
      <c r="I1167" t="inlineStr">
        <is>
          <t>1</t>
        </is>
      </c>
      <c r="J1167" t="inlineStr">
        <is>
          <t>No</t>
        </is>
      </c>
      <c r="K1167" t="inlineStr">
        <is>
          <t>No</t>
        </is>
      </c>
      <c r="L1167" t="inlineStr">
        <is>
          <t>0</t>
        </is>
      </c>
      <c r="M1167" t="inlineStr">
        <is>
          <t>Stein, Arnold Sidney, 1915-</t>
        </is>
      </c>
      <c r="N1167" t="inlineStr">
        <is>
          <t>Minneapolis, University of Minnesota Press [1953]</t>
        </is>
      </c>
      <c r="O1167" t="inlineStr">
        <is>
          <t>1953</t>
        </is>
      </c>
      <c r="Q1167" t="inlineStr">
        <is>
          <t>eng</t>
        </is>
      </c>
      <c r="R1167" t="inlineStr">
        <is>
          <t>mnu</t>
        </is>
      </c>
      <c r="T1167" t="inlineStr">
        <is>
          <t xml:space="preserve">PR </t>
        </is>
      </c>
      <c r="U1167" t="n">
        <v>5</v>
      </c>
      <c r="V1167" t="n">
        <v>5</v>
      </c>
      <c r="W1167" t="inlineStr">
        <is>
          <t>2008-12-03</t>
        </is>
      </c>
      <c r="X1167" t="inlineStr">
        <is>
          <t>2008-12-03</t>
        </is>
      </c>
      <c r="Y1167" t="inlineStr">
        <is>
          <t>1997-07-24</t>
        </is>
      </c>
      <c r="Z1167" t="inlineStr">
        <is>
          <t>1997-07-24</t>
        </is>
      </c>
      <c r="AA1167" t="n">
        <v>778</v>
      </c>
      <c r="AB1167" t="n">
        <v>668</v>
      </c>
      <c r="AC1167" t="n">
        <v>1115</v>
      </c>
      <c r="AD1167" t="n">
        <v>5</v>
      </c>
      <c r="AE1167" t="n">
        <v>9</v>
      </c>
      <c r="AF1167" t="n">
        <v>37</v>
      </c>
      <c r="AG1167" t="n">
        <v>53</v>
      </c>
      <c r="AH1167" t="n">
        <v>15</v>
      </c>
      <c r="AI1167" t="n">
        <v>22</v>
      </c>
      <c r="AJ1167" t="n">
        <v>7</v>
      </c>
      <c r="AK1167" t="n">
        <v>11</v>
      </c>
      <c r="AL1167" t="n">
        <v>17</v>
      </c>
      <c r="AM1167" t="n">
        <v>23</v>
      </c>
      <c r="AN1167" t="n">
        <v>4</v>
      </c>
      <c r="AO1167" t="n">
        <v>8</v>
      </c>
      <c r="AP1167" t="n">
        <v>0</v>
      </c>
      <c r="AQ1167" t="n">
        <v>1</v>
      </c>
      <c r="AR1167" t="inlineStr">
        <is>
          <t>No</t>
        </is>
      </c>
      <c r="AS1167" t="inlineStr">
        <is>
          <t>No</t>
        </is>
      </c>
      <c r="AT1167">
        <f>HYPERLINK("http://catalog.hathitrust.org/Record/000635161","HathiTrust Record")</f>
        <v/>
      </c>
      <c r="AU1167">
        <f>HYPERLINK("https://creighton-primo.hosted.exlibrisgroup.com/primo-explore/search?tab=default_tab&amp;search_scope=EVERYTHING&amp;vid=01CRU&amp;lang=en_US&amp;offset=0&amp;query=any,contains,991002454069702656","Catalog Record")</f>
        <v/>
      </c>
      <c r="AV1167">
        <f>HYPERLINK("http://www.worldcat.org/oclc/353789","WorldCat Record")</f>
        <v/>
      </c>
      <c r="AW1167" t="inlineStr">
        <is>
          <t>1392328:eng</t>
        </is>
      </c>
      <c r="AX1167" t="inlineStr">
        <is>
          <t>353789</t>
        </is>
      </c>
      <c r="AY1167" t="inlineStr">
        <is>
          <t>991002454069702656</t>
        </is>
      </c>
      <c r="AZ1167" t="inlineStr">
        <is>
          <t>991002454069702656</t>
        </is>
      </c>
      <c r="BA1167" t="inlineStr">
        <is>
          <t>2267799460002656</t>
        </is>
      </c>
      <c r="BB1167" t="inlineStr">
        <is>
          <t>BOOK</t>
        </is>
      </c>
      <c r="BE1167" t="inlineStr">
        <is>
          <t>32285002957719</t>
        </is>
      </c>
      <c r="BF1167" t="inlineStr">
        <is>
          <t>893786161</t>
        </is>
      </c>
    </row>
    <row r="1168">
      <c r="A1168" t="inlineStr">
        <is>
          <t>No</t>
        </is>
      </c>
      <c r="B1168" t="inlineStr">
        <is>
          <t>CURAL</t>
        </is>
      </c>
      <c r="C1168" t="inlineStr">
        <is>
          <t>SHELVES</t>
        </is>
      </c>
      <c r="D1168" t="inlineStr">
        <is>
          <t>PR3562 .S8 1981</t>
        </is>
      </c>
      <c r="E1168" t="inlineStr">
        <is>
          <t>0                      PR 3562000S  8           1981</t>
        </is>
      </c>
      <c r="F1168" t="inlineStr">
        <is>
          <t>The muse's method : an introduction to Paradise lost / Joseph H. Summers.</t>
        </is>
      </c>
      <c r="H1168" t="inlineStr">
        <is>
          <t>No</t>
        </is>
      </c>
      <c r="I1168" t="inlineStr">
        <is>
          <t>1</t>
        </is>
      </c>
      <c r="J1168" t="inlineStr">
        <is>
          <t>No</t>
        </is>
      </c>
      <c r="K1168" t="inlineStr">
        <is>
          <t>No</t>
        </is>
      </c>
      <c r="L1168" t="inlineStr">
        <is>
          <t>0</t>
        </is>
      </c>
      <c r="M1168" t="inlineStr">
        <is>
          <t>Summers, Joseph H. (Joseph Holmes), 1920-</t>
        </is>
      </c>
      <c r="N1168" t="inlineStr">
        <is>
          <t>Binghamton, New York : Center for Medieval and Early Renaissance Studies, 1981.</t>
        </is>
      </c>
      <c r="O1168" t="inlineStr">
        <is>
          <t>1981</t>
        </is>
      </c>
      <c r="Q1168" t="inlineStr">
        <is>
          <t>eng</t>
        </is>
      </c>
      <c r="R1168" t="inlineStr">
        <is>
          <t>nyu</t>
        </is>
      </c>
      <c r="S1168" t="inlineStr">
        <is>
          <t>Medieval &amp; Renaissance texts &amp; studies</t>
        </is>
      </c>
      <c r="T1168" t="inlineStr">
        <is>
          <t xml:space="preserve">PR </t>
        </is>
      </c>
      <c r="U1168" t="n">
        <v>3</v>
      </c>
      <c r="V1168" t="n">
        <v>3</v>
      </c>
      <c r="W1168" t="inlineStr">
        <is>
          <t>2006-10-12</t>
        </is>
      </c>
      <c r="X1168" t="inlineStr">
        <is>
          <t>2006-10-12</t>
        </is>
      </c>
      <c r="Y1168" t="inlineStr">
        <is>
          <t>1991-04-29</t>
        </is>
      </c>
      <c r="Z1168" t="inlineStr">
        <is>
          <t>1991-04-29</t>
        </is>
      </c>
      <c r="AA1168" t="n">
        <v>221</v>
      </c>
      <c r="AB1168" t="n">
        <v>200</v>
      </c>
      <c r="AC1168" t="n">
        <v>939</v>
      </c>
      <c r="AD1168" t="n">
        <v>2</v>
      </c>
      <c r="AE1168" t="n">
        <v>7</v>
      </c>
      <c r="AF1168" t="n">
        <v>12</v>
      </c>
      <c r="AG1168" t="n">
        <v>49</v>
      </c>
      <c r="AH1168" t="n">
        <v>5</v>
      </c>
      <c r="AI1168" t="n">
        <v>20</v>
      </c>
      <c r="AJ1168" t="n">
        <v>2</v>
      </c>
      <c r="AK1168" t="n">
        <v>9</v>
      </c>
      <c r="AL1168" t="n">
        <v>6</v>
      </c>
      <c r="AM1168" t="n">
        <v>24</v>
      </c>
      <c r="AN1168" t="n">
        <v>1</v>
      </c>
      <c r="AO1168" t="n">
        <v>6</v>
      </c>
      <c r="AP1168" t="n">
        <v>0</v>
      </c>
      <c r="AQ1168" t="n">
        <v>0</v>
      </c>
      <c r="AR1168" t="inlineStr">
        <is>
          <t>No</t>
        </is>
      </c>
      <c r="AS1168" t="inlineStr">
        <is>
          <t>Yes</t>
        </is>
      </c>
      <c r="AT1168">
        <f>HYPERLINK("http://catalog.hathitrust.org/Record/001534557","HathiTrust Record")</f>
        <v/>
      </c>
      <c r="AU1168">
        <f>HYPERLINK("https://creighton-primo.hosted.exlibrisgroup.com/primo-explore/search?tab=default_tab&amp;search_scope=EVERYTHING&amp;vid=01CRU&amp;lang=en_US&amp;offset=0&amp;query=any,contains,991005174969702656","Catalog Record")</f>
        <v/>
      </c>
      <c r="AV1168">
        <f>HYPERLINK("http://www.worldcat.org/oclc/7906003","WorldCat Record")</f>
        <v/>
      </c>
      <c r="AW1168" t="inlineStr">
        <is>
          <t>1392336:eng</t>
        </is>
      </c>
      <c r="AX1168" t="inlineStr">
        <is>
          <t>7906003</t>
        </is>
      </c>
      <c r="AY1168" t="inlineStr">
        <is>
          <t>991005174969702656</t>
        </is>
      </c>
      <c r="AZ1168" t="inlineStr">
        <is>
          <t>991005174969702656</t>
        </is>
      </c>
      <c r="BA1168" t="inlineStr">
        <is>
          <t>2267851100002656</t>
        </is>
      </c>
      <c r="BB1168" t="inlineStr">
        <is>
          <t>BOOK</t>
        </is>
      </c>
      <c r="BD1168" t="inlineStr">
        <is>
          <t>9780866980043</t>
        </is>
      </c>
      <c r="BE1168" t="inlineStr">
        <is>
          <t>32285000588946</t>
        </is>
      </c>
      <c r="BF1168" t="inlineStr">
        <is>
          <t>893326285</t>
        </is>
      </c>
    </row>
    <row r="1169">
      <c r="A1169" t="inlineStr">
        <is>
          <t>No</t>
        </is>
      </c>
      <c r="B1169" t="inlineStr">
        <is>
          <t>CURAL</t>
        </is>
      </c>
      <c r="C1169" t="inlineStr">
        <is>
          <t>SHELVES</t>
        </is>
      </c>
      <c r="D1169" t="inlineStr">
        <is>
          <t>PR3562 .W3 1959</t>
        </is>
      </c>
      <c r="E1169" t="inlineStr">
        <is>
          <t>0                      PR 3562000W  3           1959</t>
        </is>
      </c>
      <c r="F1169" t="inlineStr">
        <is>
          <t>Paradise lost and its critics / by A.J.A. Waldock.</t>
        </is>
      </c>
      <c r="H1169" t="inlineStr">
        <is>
          <t>No</t>
        </is>
      </c>
      <c r="I1169" t="inlineStr">
        <is>
          <t>1</t>
        </is>
      </c>
      <c r="J1169" t="inlineStr">
        <is>
          <t>No</t>
        </is>
      </c>
      <c r="K1169" t="inlineStr">
        <is>
          <t>No</t>
        </is>
      </c>
      <c r="L1169" t="inlineStr">
        <is>
          <t>0</t>
        </is>
      </c>
      <c r="M1169" t="inlineStr">
        <is>
          <t>Waldock, A. J. A. (Arthur John Alfred), 1898-1950.</t>
        </is>
      </c>
      <c r="N1169" t="inlineStr">
        <is>
          <t>Gloucester, Mass. : P. Smith, 1959.</t>
        </is>
      </c>
      <c r="O1169" t="inlineStr">
        <is>
          <t>1959</t>
        </is>
      </c>
      <c r="Q1169" t="inlineStr">
        <is>
          <t>eng</t>
        </is>
      </c>
      <c r="R1169" t="inlineStr">
        <is>
          <t>mau</t>
        </is>
      </c>
      <c r="T1169" t="inlineStr">
        <is>
          <t xml:space="preserve">PR </t>
        </is>
      </c>
      <c r="U1169" t="n">
        <v>9</v>
      </c>
      <c r="V1169" t="n">
        <v>9</v>
      </c>
      <c r="W1169" t="inlineStr">
        <is>
          <t>1999-10-03</t>
        </is>
      </c>
      <c r="X1169" t="inlineStr">
        <is>
          <t>1999-10-03</t>
        </is>
      </c>
      <c r="Y1169" t="inlineStr">
        <is>
          <t>1992-01-10</t>
        </is>
      </c>
      <c r="Z1169" t="inlineStr">
        <is>
          <t>1992-01-10</t>
        </is>
      </c>
      <c r="AA1169" t="n">
        <v>369</v>
      </c>
      <c r="AB1169" t="n">
        <v>314</v>
      </c>
      <c r="AC1169" t="n">
        <v>943</v>
      </c>
      <c r="AD1169" t="n">
        <v>3</v>
      </c>
      <c r="AE1169" t="n">
        <v>8</v>
      </c>
      <c r="AF1169" t="n">
        <v>15</v>
      </c>
      <c r="AG1169" t="n">
        <v>52</v>
      </c>
      <c r="AH1169" t="n">
        <v>6</v>
      </c>
      <c r="AI1169" t="n">
        <v>25</v>
      </c>
      <c r="AJ1169" t="n">
        <v>5</v>
      </c>
      <c r="AK1169" t="n">
        <v>9</v>
      </c>
      <c r="AL1169" t="n">
        <v>8</v>
      </c>
      <c r="AM1169" t="n">
        <v>26</v>
      </c>
      <c r="AN1169" t="n">
        <v>1</v>
      </c>
      <c r="AO1169" t="n">
        <v>5</v>
      </c>
      <c r="AP1169" t="n">
        <v>0</v>
      </c>
      <c r="AQ1169" t="n">
        <v>0</v>
      </c>
      <c r="AR1169" t="inlineStr">
        <is>
          <t>Yes</t>
        </is>
      </c>
      <c r="AS1169" t="inlineStr">
        <is>
          <t>No</t>
        </is>
      </c>
      <c r="AT1169">
        <f>HYPERLINK("http://catalog.hathitrust.org/Record/001421557","HathiTrust Record")</f>
        <v/>
      </c>
      <c r="AU1169">
        <f>HYPERLINK("https://creighton-primo.hosted.exlibrisgroup.com/primo-explore/search?tab=default_tab&amp;search_scope=EVERYTHING&amp;vid=01CRU&amp;lang=en_US&amp;offset=0&amp;query=any,contains,991004220449702656","Catalog Record")</f>
        <v/>
      </c>
      <c r="AV1169">
        <f>HYPERLINK("http://www.worldcat.org/oclc/2710589","WorldCat Record")</f>
        <v/>
      </c>
      <c r="AW1169" t="inlineStr">
        <is>
          <t>2945417:eng</t>
        </is>
      </c>
      <c r="AX1169" t="inlineStr">
        <is>
          <t>2710589</t>
        </is>
      </c>
      <c r="AY1169" t="inlineStr">
        <is>
          <t>991004220449702656</t>
        </is>
      </c>
      <c r="AZ1169" t="inlineStr">
        <is>
          <t>991004220449702656</t>
        </is>
      </c>
      <c r="BA1169" t="inlineStr">
        <is>
          <t>2270709560002656</t>
        </is>
      </c>
      <c r="BB1169" t="inlineStr">
        <is>
          <t>BOOK</t>
        </is>
      </c>
      <c r="BE1169" t="inlineStr">
        <is>
          <t>32285000864032</t>
        </is>
      </c>
      <c r="BF1169" t="inlineStr">
        <is>
          <t>893229073</t>
        </is>
      </c>
    </row>
    <row r="1170">
      <c r="A1170" t="inlineStr">
        <is>
          <t>No</t>
        </is>
      </c>
      <c r="B1170" t="inlineStr">
        <is>
          <t>CURAL</t>
        </is>
      </c>
      <c r="C1170" t="inlineStr">
        <is>
          <t>SHELVES</t>
        </is>
      </c>
      <c r="D1170" t="inlineStr">
        <is>
          <t>PR3562 .W34</t>
        </is>
      </c>
      <c r="E1170" t="inlineStr">
        <is>
          <t>0                      PR 3562000W  34</t>
        </is>
      </c>
      <c r="F1170" t="inlineStr">
        <is>
          <t>Milton and his epic tradition / by Joan Mallory Webber.</t>
        </is>
      </c>
      <c r="H1170" t="inlineStr">
        <is>
          <t>No</t>
        </is>
      </c>
      <c r="I1170" t="inlineStr">
        <is>
          <t>1</t>
        </is>
      </c>
      <c r="J1170" t="inlineStr">
        <is>
          <t>No</t>
        </is>
      </c>
      <c r="K1170" t="inlineStr">
        <is>
          <t>No</t>
        </is>
      </c>
      <c r="L1170" t="inlineStr">
        <is>
          <t>0</t>
        </is>
      </c>
      <c r="M1170" t="inlineStr">
        <is>
          <t>Webber, Joan.</t>
        </is>
      </c>
      <c r="N1170" t="inlineStr">
        <is>
          <t>Seattle : University of Washington Press, c1979.</t>
        </is>
      </c>
      <c r="O1170" t="inlineStr">
        <is>
          <t>1979</t>
        </is>
      </c>
      <c r="Q1170" t="inlineStr">
        <is>
          <t>eng</t>
        </is>
      </c>
      <c r="R1170" t="inlineStr">
        <is>
          <t>wau</t>
        </is>
      </c>
      <c r="T1170" t="inlineStr">
        <is>
          <t xml:space="preserve">PR </t>
        </is>
      </c>
      <c r="U1170" t="n">
        <v>4</v>
      </c>
      <c r="V1170" t="n">
        <v>4</v>
      </c>
      <c r="W1170" t="inlineStr">
        <is>
          <t>2007-10-31</t>
        </is>
      </c>
      <c r="X1170" t="inlineStr">
        <is>
          <t>2007-10-31</t>
        </is>
      </c>
      <c r="Y1170" t="inlineStr">
        <is>
          <t>1991-04-29</t>
        </is>
      </c>
      <c r="Z1170" t="inlineStr">
        <is>
          <t>1991-04-29</t>
        </is>
      </c>
      <c r="AA1170" t="n">
        <v>759</v>
      </c>
      <c r="AB1170" t="n">
        <v>625</v>
      </c>
      <c r="AC1170" t="n">
        <v>626</v>
      </c>
      <c r="AD1170" t="n">
        <v>7</v>
      </c>
      <c r="AE1170" t="n">
        <v>7</v>
      </c>
      <c r="AF1170" t="n">
        <v>40</v>
      </c>
      <c r="AG1170" t="n">
        <v>40</v>
      </c>
      <c r="AH1170" t="n">
        <v>14</v>
      </c>
      <c r="AI1170" t="n">
        <v>14</v>
      </c>
      <c r="AJ1170" t="n">
        <v>10</v>
      </c>
      <c r="AK1170" t="n">
        <v>10</v>
      </c>
      <c r="AL1170" t="n">
        <v>20</v>
      </c>
      <c r="AM1170" t="n">
        <v>20</v>
      </c>
      <c r="AN1170" t="n">
        <v>6</v>
      </c>
      <c r="AO1170" t="n">
        <v>6</v>
      </c>
      <c r="AP1170" t="n">
        <v>0</v>
      </c>
      <c r="AQ1170" t="n">
        <v>0</v>
      </c>
      <c r="AR1170" t="inlineStr">
        <is>
          <t>No</t>
        </is>
      </c>
      <c r="AS1170" t="inlineStr">
        <is>
          <t>No</t>
        </is>
      </c>
      <c r="AU1170">
        <f>HYPERLINK("https://creighton-primo.hosted.exlibrisgroup.com/primo-explore/search?tab=default_tab&amp;search_scope=EVERYTHING&amp;vid=01CRU&amp;lang=en_US&amp;offset=0&amp;query=any,contains,991004672259702656","Catalog Record")</f>
        <v/>
      </c>
      <c r="AV1170">
        <f>HYPERLINK("http://www.worldcat.org/oclc/4516143","WorldCat Record")</f>
        <v/>
      </c>
      <c r="AW1170" t="inlineStr">
        <is>
          <t>118143207:eng</t>
        </is>
      </c>
      <c r="AX1170" t="inlineStr">
        <is>
          <t>4516143</t>
        </is>
      </c>
      <c r="AY1170" t="inlineStr">
        <is>
          <t>991004672259702656</t>
        </is>
      </c>
      <c r="AZ1170" t="inlineStr">
        <is>
          <t>991004672259702656</t>
        </is>
      </c>
      <c r="BA1170" t="inlineStr">
        <is>
          <t>2264630520002656</t>
        </is>
      </c>
      <c r="BB1170" t="inlineStr">
        <is>
          <t>BOOK</t>
        </is>
      </c>
      <c r="BD1170" t="inlineStr">
        <is>
          <t>9780295956183</t>
        </is>
      </c>
      <c r="BE1170" t="inlineStr">
        <is>
          <t>32285000588961</t>
        </is>
      </c>
      <c r="BF1170" t="inlineStr">
        <is>
          <t>893325629</t>
        </is>
      </c>
    </row>
    <row r="1171">
      <c r="A1171" t="inlineStr">
        <is>
          <t>No</t>
        </is>
      </c>
      <c r="B1171" t="inlineStr">
        <is>
          <t>CURAL</t>
        </is>
      </c>
      <c r="C1171" t="inlineStr">
        <is>
          <t>SHELVES</t>
        </is>
      </c>
      <c r="D1171" t="inlineStr">
        <is>
          <t>PR3562 .W4 1952</t>
        </is>
      </c>
      <c r="E1171" t="inlineStr">
        <is>
          <t>0                      PR 3562000W  4           1952</t>
        </is>
      </c>
      <c r="F1171" t="inlineStr">
        <is>
          <t>Lucifer and Prometheus; a study of Milton's Satan. With an introd. by C. G. Jung.</t>
        </is>
      </c>
      <c r="H1171" t="inlineStr">
        <is>
          <t>No</t>
        </is>
      </c>
      <c r="I1171" t="inlineStr">
        <is>
          <t>1</t>
        </is>
      </c>
      <c r="J1171" t="inlineStr">
        <is>
          <t>No</t>
        </is>
      </c>
      <c r="K1171" t="inlineStr">
        <is>
          <t>No</t>
        </is>
      </c>
      <c r="L1171" t="inlineStr">
        <is>
          <t>0</t>
        </is>
      </c>
      <c r="M1171" t="inlineStr">
        <is>
          <t>Werblowsky, R. J. Zwi, 1924-2015.</t>
        </is>
      </c>
      <c r="N1171" t="inlineStr">
        <is>
          <t>London, Routledge &amp; K. Paul [1952]</t>
        </is>
      </c>
      <c r="O1171" t="inlineStr">
        <is>
          <t>1952</t>
        </is>
      </c>
      <c r="Q1171" t="inlineStr">
        <is>
          <t>eng</t>
        </is>
      </c>
      <c r="R1171" t="inlineStr">
        <is>
          <t>enk</t>
        </is>
      </c>
      <c r="T1171" t="inlineStr">
        <is>
          <t xml:space="preserve">PR </t>
        </is>
      </c>
      <c r="U1171" t="n">
        <v>7</v>
      </c>
      <c r="V1171" t="n">
        <v>7</v>
      </c>
      <c r="W1171" t="inlineStr">
        <is>
          <t>2010-11-17</t>
        </is>
      </c>
      <c r="X1171" t="inlineStr">
        <is>
          <t>2010-11-17</t>
        </is>
      </c>
      <c r="Y1171" t="inlineStr">
        <is>
          <t>1997-07-24</t>
        </is>
      </c>
      <c r="Z1171" t="inlineStr">
        <is>
          <t>1997-07-24</t>
        </is>
      </c>
      <c r="AA1171" t="n">
        <v>419</v>
      </c>
      <c r="AB1171" t="n">
        <v>344</v>
      </c>
      <c r="AC1171" t="n">
        <v>484</v>
      </c>
      <c r="AD1171" t="n">
        <v>5</v>
      </c>
      <c r="AE1171" t="n">
        <v>5</v>
      </c>
      <c r="AF1171" t="n">
        <v>24</v>
      </c>
      <c r="AG1171" t="n">
        <v>28</v>
      </c>
      <c r="AH1171" t="n">
        <v>10</v>
      </c>
      <c r="AI1171" t="n">
        <v>12</v>
      </c>
      <c r="AJ1171" t="n">
        <v>6</v>
      </c>
      <c r="AK1171" t="n">
        <v>7</v>
      </c>
      <c r="AL1171" t="n">
        <v>11</v>
      </c>
      <c r="AM1171" t="n">
        <v>13</v>
      </c>
      <c r="AN1171" t="n">
        <v>3</v>
      </c>
      <c r="AO1171" t="n">
        <v>3</v>
      </c>
      <c r="AP1171" t="n">
        <v>0</v>
      </c>
      <c r="AQ1171" t="n">
        <v>0</v>
      </c>
      <c r="AR1171" t="inlineStr">
        <is>
          <t>No</t>
        </is>
      </c>
      <c r="AS1171" t="inlineStr">
        <is>
          <t>Yes</t>
        </is>
      </c>
      <c r="AT1171">
        <f>HYPERLINK("http://catalog.hathitrust.org/Record/001022508","HathiTrust Record")</f>
        <v/>
      </c>
      <c r="AU1171">
        <f>HYPERLINK("https://creighton-primo.hosted.exlibrisgroup.com/primo-explore/search?tab=default_tab&amp;search_scope=EVERYTHING&amp;vid=01CRU&amp;lang=en_US&amp;offset=0&amp;query=any,contains,991004220469702656","Catalog Record")</f>
        <v/>
      </c>
      <c r="AV1171">
        <f>HYPERLINK("http://www.worldcat.org/oclc/2710669","WorldCat Record")</f>
        <v/>
      </c>
      <c r="AW1171" t="inlineStr">
        <is>
          <t>881834:eng</t>
        </is>
      </c>
      <c r="AX1171" t="inlineStr">
        <is>
          <t>2710669</t>
        </is>
      </c>
      <c r="AY1171" t="inlineStr">
        <is>
          <t>991004220469702656</t>
        </is>
      </c>
      <c r="AZ1171" t="inlineStr">
        <is>
          <t>991004220469702656</t>
        </is>
      </c>
      <c r="BA1171" t="inlineStr">
        <is>
          <t>2270723460002656</t>
        </is>
      </c>
      <c r="BB1171" t="inlineStr">
        <is>
          <t>BOOK</t>
        </is>
      </c>
      <c r="BE1171" t="inlineStr">
        <is>
          <t>32285002957735</t>
        </is>
      </c>
      <c r="BF1171" t="inlineStr">
        <is>
          <t>893506571</t>
        </is>
      </c>
    </row>
    <row r="1172">
      <c r="A1172" t="inlineStr">
        <is>
          <t>No</t>
        </is>
      </c>
      <c r="B1172" t="inlineStr">
        <is>
          <t>CURAL</t>
        </is>
      </c>
      <c r="C1172" t="inlineStr">
        <is>
          <t>SHELVES</t>
        </is>
      </c>
      <c r="D1172" t="inlineStr">
        <is>
          <t>PR3562 .W6</t>
        </is>
      </c>
      <c r="E1172" t="inlineStr">
        <is>
          <t>0                      PR 3562000W  6</t>
        </is>
      </c>
      <c r="F1172" t="inlineStr">
        <is>
          <t>The epic of Paradise lost : twelve essays / by Marianna Woodhull.</t>
        </is>
      </c>
      <c r="H1172" t="inlineStr">
        <is>
          <t>No</t>
        </is>
      </c>
      <c r="I1172" t="inlineStr">
        <is>
          <t>1</t>
        </is>
      </c>
      <c r="J1172" t="inlineStr">
        <is>
          <t>No</t>
        </is>
      </c>
      <c r="K1172" t="inlineStr">
        <is>
          <t>No</t>
        </is>
      </c>
      <c r="L1172" t="inlineStr">
        <is>
          <t>0</t>
        </is>
      </c>
      <c r="M1172" t="inlineStr">
        <is>
          <t>Woodhull, Marianna.</t>
        </is>
      </c>
      <c r="N1172" t="inlineStr">
        <is>
          <t>New York &amp; London : G. P. Putnam's sons, 1907.</t>
        </is>
      </c>
      <c r="O1172" t="inlineStr">
        <is>
          <t>1907</t>
        </is>
      </c>
      <c r="Q1172" t="inlineStr">
        <is>
          <t>eng</t>
        </is>
      </c>
      <c r="R1172" t="inlineStr">
        <is>
          <t>nyu</t>
        </is>
      </c>
      <c r="T1172" t="inlineStr">
        <is>
          <t xml:space="preserve">PR </t>
        </is>
      </c>
      <c r="U1172" t="n">
        <v>5</v>
      </c>
      <c r="V1172" t="n">
        <v>5</v>
      </c>
      <c r="W1172" t="inlineStr">
        <is>
          <t>1995-10-08</t>
        </is>
      </c>
      <c r="X1172" t="inlineStr">
        <is>
          <t>1995-10-08</t>
        </is>
      </c>
      <c r="Y1172" t="inlineStr">
        <is>
          <t>1991-12-04</t>
        </is>
      </c>
      <c r="Z1172" t="inlineStr">
        <is>
          <t>1991-12-04</t>
        </is>
      </c>
      <c r="AA1172" t="n">
        <v>155</v>
      </c>
      <c r="AB1172" t="n">
        <v>136</v>
      </c>
      <c r="AC1172" t="n">
        <v>570</v>
      </c>
      <c r="AD1172" t="n">
        <v>3</v>
      </c>
      <c r="AE1172" t="n">
        <v>10</v>
      </c>
      <c r="AF1172" t="n">
        <v>6</v>
      </c>
      <c r="AG1172" t="n">
        <v>37</v>
      </c>
      <c r="AH1172" t="n">
        <v>2</v>
      </c>
      <c r="AI1172" t="n">
        <v>16</v>
      </c>
      <c r="AJ1172" t="n">
        <v>1</v>
      </c>
      <c r="AK1172" t="n">
        <v>6</v>
      </c>
      <c r="AL1172" t="n">
        <v>2</v>
      </c>
      <c r="AM1172" t="n">
        <v>13</v>
      </c>
      <c r="AN1172" t="n">
        <v>2</v>
      </c>
      <c r="AO1172" t="n">
        <v>9</v>
      </c>
      <c r="AP1172" t="n">
        <v>0</v>
      </c>
      <c r="AQ1172" t="n">
        <v>0</v>
      </c>
      <c r="AR1172" t="inlineStr">
        <is>
          <t>Yes</t>
        </is>
      </c>
      <c r="AS1172" t="inlineStr">
        <is>
          <t>No</t>
        </is>
      </c>
      <c r="AT1172">
        <f>HYPERLINK("http://catalog.hathitrust.org/Record/001376061","HathiTrust Record")</f>
        <v/>
      </c>
      <c r="AU1172">
        <f>HYPERLINK("https://creighton-primo.hosted.exlibrisgroup.com/primo-explore/search?tab=default_tab&amp;search_scope=EVERYTHING&amp;vid=01CRU&amp;lang=en_US&amp;offset=0&amp;query=any,contains,991004255059702656","Catalog Record")</f>
        <v/>
      </c>
      <c r="AV1172">
        <f>HYPERLINK("http://www.worldcat.org/oclc/2821249","WorldCat Record")</f>
        <v/>
      </c>
      <c r="AW1172" t="inlineStr">
        <is>
          <t>536191:eng</t>
        </is>
      </c>
      <c r="AX1172" t="inlineStr">
        <is>
          <t>2821249</t>
        </is>
      </c>
      <c r="AY1172" t="inlineStr">
        <is>
          <t>991004255059702656</t>
        </is>
      </c>
      <c r="AZ1172" t="inlineStr">
        <is>
          <t>991004255059702656</t>
        </is>
      </c>
      <c r="BA1172" t="inlineStr">
        <is>
          <t>2263238420002656</t>
        </is>
      </c>
      <c r="BB1172" t="inlineStr">
        <is>
          <t>BOOK</t>
        </is>
      </c>
      <c r="BE1172" t="inlineStr">
        <is>
          <t>32285000844547</t>
        </is>
      </c>
      <c r="BF1172" t="inlineStr">
        <is>
          <t>893417400</t>
        </is>
      </c>
    </row>
    <row r="1173">
      <c r="A1173" t="inlineStr">
        <is>
          <t>No</t>
        </is>
      </c>
      <c r="B1173" t="inlineStr">
        <is>
          <t>CURAL</t>
        </is>
      </c>
      <c r="C1173" t="inlineStr">
        <is>
          <t>SHELVES</t>
        </is>
      </c>
      <c r="D1173" t="inlineStr">
        <is>
          <t>PR3565 .C3</t>
        </is>
      </c>
      <c r="E1173" t="inlineStr">
        <is>
          <t>0                      PR 3565000C  3</t>
        </is>
      </c>
      <c r="F1173" t="inlineStr">
        <is>
          <t>Calm of mind; tercentenary essays on Paradise regained and Samson Agonistes in honor of John S. Diekhoff. Edited by Joseph Anthony Wittreich, Jr.</t>
        </is>
      </c>
      <c r="H1173" t="inlineStr">
        <is>
          <t>No</t>
        </is>
      </c>
      <c r="I1173" t="inlineStr">
        <is>
          <t>1</t>
        </is>
      </c>
      <c r="J1173" t="inlineStr">
        <is>
          <t>No</t>
        </is>
      </c>
      <c r="K1173" t="inlineStr">
        <is>
          <t>No</t>
        </is>
      </c>
      <c r="L1173" t="inlineStr">
        <is>
          <t>0</t>
        </is>
      </c>
      <c r="N1173" t="inlineStr">
        <is>
          <t>Cleveland, Press of Case Western Reserve University, 1971.</t>
        </is>
      </c>
      <c r="O1173" t="inlineStr">
        <is>
          <t>1971</t>
        </is>
      </c>
      <c r="Q1173" t="inlineStr">
        <is>
          <t>eng</t>
        </is>
      </c>
      <c r="R1173" t="inlineStr">
        <is>
          <t>ohu</t>
        </is>
      </c>
      <c r="T1173" t="inlineStr">
        <is>
          <t xml:space="preserve">PR </t>
        </is>
      </c>
      <c r="U1173" t="n">
        <v>1</v>
      </c>
      <c r="V1173" t="n">
        <v>1</v>
      </c>
      <c r="W1173" t="inlineStr">
        <is>
          <t>2003-04-14</t>
        </is>
      </c>
      <c r="X1173" t="inlineStr">
        <is>
          <t>2003-04-14</t>
        </is>
      </c>
      <c r="Y1173" t="inlineStr">
        <is>
          <t>1997-07-24</t>
        </is>
      </c>
      <c r="Z1173" t="inlineStr">
        <is>
          <t>1997-07-24</t>
        </is>
      </c>
      <c r="AA1173" t="n">
        <v>829</v>
      </c>
      <c r="AB1173" t="n">
        <v>695</v>
      </c>
      <c r="AC1173" t="n">
        <v>702</v>
      </c>
      <c r="AD1173" t="n">
        <v>8</v>
      </c>
      <c r="AE1173" t="n">
        <v>8</v>
      </c>
      <c r="AF1173" t="n">
        <v>36</v>
      </c>
      <c r="AG1173" t="n">
        <v>36</v>
      </c>
      <c r="AH1173" t="n">
        <v>12</v>
      </c>
      <c r="AI1173" t="n">
        <v>12</v>
      </c>
      <c r="AJ1173" t="n">
        <v>8</v>
      </c>
      <c r="AK1173" t="n">
        <v>8</v>
      </c>
      <c r="AL1173" t="n">
        <v>18</v>
      </c>
      <c r="AM1173" t="n">
        <v>18</v>
      </c>
      <c r="AN1173" t="n">
        <v>7</v>
      </c>
      <c r="AO1173" t="n">
        <v>7</v>
      </c>
      <c r="AP1173" t="n">
        <v>0</v>
      </c>
      <c r="AQ1173" t="n">
        <v>0</v>
      </c>
      <c r="AR1173" t="inlineStr">
        <is>
          <t>No</t>
        </is>
      </c>
      <c r="AS1173" t="inlineStr">
        <is>
          <t>Yes</t>
        </is>
      </c>
      <c r="AT1173">
        <f>HYPERLINK("http://catalog.hathitrust.org/Record/000634486","HathiTrust Record")</f>
        <v/>
      </c>
      <c r="AU1173">
        <f>HYPERLINK("https://creighton-primo.hosted.exlibrisgroup.com/primo-explore/search?tab=default_tab&amp;search_scope=EVERYTHING&amp;vid=01CRU&amp;lang=en_US&amp;offset=0&amp;query=any,contains,991001272629702656","Catalog Record")</f>
        <v/>
      </c>
      <c r="AV1173">
        <f>HYPERLINK("http://www.worldcat.org/oclc/212223","WorldCat Record")</f>
        <v/>
      </c>
      <c r="AW1173" t="inlineStr">
        <is>
          <t>836681535:eng</t>
        </is>
      </c>
      <c r="AX1173" t="inlineStr">
        <is>
          <t>212223</t>
        </is>
      </c>
      <c r="AY1173" t="inlineStr">
        <is>
          <t>991001272629702656</t>
        </is>
      </c>
      <c r="AZ1173" t="inlineStr">
        <is>
          <t>991001272629702656</t>
        </is>
      </c>
      <c r="BA1173" t="inlineStr">
        <is>
          <t>2262058300002656</t>
        </is>
      </c>
      <c r="BB1173" t="inlineStr">
        <is>
          <t>BOOK</t>
        </is>
      </c>
      <c r="BD1173" t="inlineStr">
        <is>
          <t>9780829502145</t>
        </is>
      </c>
      <c r="BE1173" t="inlineStr">
        <is>
          <t>32285002957768</t>
        </is>
      </c>
      <c r="BF1173" t="inlineStr">
        <is>
          <t>893715320</t>
        </is>
      </c>
    </row>
    <row r="1174">
      <c r="A1174" t="inlineStr">
        <is>
          <t>No</t>
        </is>
      </c>
      <c r="B1174" t="inlineStr">
        <is>
          <t>CURAL</t>
        </is>
      </c>
      <c r="C1174" t="inlineStr">
        <is>
          <t>SHELVES</t>
        </is>
      </c>
      <c r="D1174" t="inlineStr">
        <is>
          <t>PR3565 .L48 1966</t>
        </is>
      </c>
      <c r="E1174" t="inlineStr">
        <is>
          <t>0                      PR 3565000L  48          1966</t>
        </is>
      </c>
      <c r="F1174" t="inlineStr">
        <is>
          <t>Milton's brief epic : the genre, meaning, and art of Paradise regained.</t>
        </is>
      </c>
      <c r="H1174" t="inlineStr">
        <is>
          <t>No</t>
        </is>
      </c>
      <c r="I1174" t="inlineStr">
        <is>
          <t>1</t>
        </is>
      </c>
      <c r="J1174" t="inlineStr">
        <is>
          <t>No</t>
        </is>
      </c>
      <c r="K1174" t="inlineStr">
        <is>
          <t>No</t>
        </is>
      </c>
      <c r="L1174" t="inlineStr">
        <is>
          <t>0</t>
        </is>
      </c>
      <c r="M1174" t="inlineStr">
        <is>
          <t>Lewalski, Barbara Kiefer, 1931-2018.</t>
        </is>
      </c>
      <c r="N1174" t="inlineStr">
        <is>
          <t>Providence : Brown University Press, 1966.</t>
        </is>
      </c>
      <c r="O1174" t="inlineStr">
        <is>
          <t>1966</t>
        </is>
      </c>
      <c r="Q1174" t="inlineStr">
        <is>
          <t>eng</t>
        </is>
      </c>
      <c r="R1174" t="inlineStr">
        <is>
          <t>riu</t>
        </is>
      </c>
      <c r="S1174" t="inlineStr">
        <is>
          <t>A Brown University bicentennial publication</t>
        </is>
      </c>
      <c r="T1174" t="inlineStr">
        <is>
          <t xml:space="preserve">PR </t>
        </is>
      </c>
      <c r="U1174" t="n">
        <v>5</v>
      </c>
      <c r="V1174" t="n">
        <v>5</v>
      </c>
      <c r="W1174" t="inlineStr">
        <is>
          <t>2003-03-22</t>
        </is>
      </c>
      <c r="X1174" t="inlineStr">
        <is>
          <t>2003-03-22</t>
        </is>
      </c>
      <c r="Y1174" t="inlineStr">
        <is>
          <t>1991-12-04</t>
        </is>
      </c>
      <c r="Z1174" t="inlineStr">
        <is>
          <t>1991-12-04</t>
        </is>
      </c>
      <c r="AA1174" t="n">
        <v>1149</v>
      </c>
      <c r="AB1174" t="n">
        <v>961</v>
      </c>
      <c r="AC1174" t="n">
        <v>969</v>
      </c>
      <c r="AD1174" t="n">
        <v>10</v>
      </c>
      <c r="AE1174" t="n">
        <v>10</v>
      </c>
      <c r="AF1174" t="n">
        <v>49</v>
      </c>
      <c r="AG1174" t="n">
        <v>49</v>
      </c>
      <c r="AH1174" t="n">
        <v>16</v>
      </c>
      <c r="AI1174" t="n">
        <v>16</v>
      </c>
      <c r="AJ1174" t="n">
        <v>10</v>
      </c>
      <c r="AK1174" t="n">
        <v>10</v>
      </c>
      <c r="AL1174" t="n">
        <v>24</v>
      </c>
      <c r="AM1174" t="n">
        <v>24</v>
      </c>
      <c r="AN1174" t="n">
        <v>9</v>
      </c>
      <c r="AO1174" t="n">
        <v>9</v>
      </c>
      <c r="AP1174" t="n">
        <v>0</v>
      </c>
      <c r="AQ1174" t="n">
        <v>0</v>
      </c>
      <c r="AR1174" t="inlineStr">
        <is>
          <t>No</t>
        </is>
      </c>
      <c r="AS1174" t="inlineStr">
        <is>
          <t>Yes</t>
        </is>
      </c>
      <c r="AT1174">
        <f>HYPERLINK("http://catalog.hathitrust.org/Record/000670615","HathiTrust Record")</f>
        <v/>
      </c>
      <c r="AU1174">
        <f>HYPERLINK("https://creighton-primo.hosted.exlibrisgroup.com/primo-explore/search?tab=default_tab&amp;search_scope=EVERYTHING&amp;vid=01CRU&amp;lang=en_US&amp;offset=0&amp;query=any,contains,991003180779702656","Catalog Record")</f>
        <v/>
      </c>
      <c r="AV1174">
        <f>HYPERLINK("http://www.worldcat.org/oclc/711727","WorldCat Record")</f>
        <v/>
      </c>
      <c r="AW1174" t="inlineStr">
        <is>
          <t>433220267:eng</t>
        </is>
      </c>
      <c r="AX1174" t="inlineStr">
        <is>
          <t>711727</t>
        </is>
      </c>
      <c r="AY1174" t="inlineStr">
        <is>
          <t>991003180779702656</t>
        </is>
      </c>
      <c r="AZ1174" t="inlineStr">
        <is>
          <t>991003180779702656</t>
        </is>
      </c>
      <c r="BA1174" t="inlineStr">
        <is>
          <t>2261845430002656</t>
        </is>
      </c>
      <c r="BB1174" t="inlineStr">
        <is>
          <t>BOOK</t>
        </is>
      </c>
      <c r="BE1174" t="inlineStr">
        <is>
          <t>32285000844539</t>
        </is>
      </c>
      <c r="BF1174" t="inlineStr">
        <is>
          <t>893511637</t>
        </is>
      </c>
    </row>
    <row r="1175">
      <c r="A1175" t="inlineStr">
        <is>
          <t>No</t>
        </is>
      </c>
      <c r="B1175" t="inlineStr">
        <is>
          <t>CURAL</t>
        </is>
      </c>
      <c r="C1175" t="inlineStr">
        <is>
          <t>SHELVES</t>
        </is>
      </c>
      <c r="D1175" t="inlineStr">
        <is>
          <t>PR3565 .P6 1962</t>
        </is>
      </c>
      <c r="E1175" t="inlineStr">
        <is>
          <t>0                      PR 3565000P  6           1962</t>
        </is>
      </c>
      <c r="F1175" t="inlineStr">
        <is>
          <t>Paradise regained; the tradition and the poem.</t>
        </is>
      </c>
      <c r="H1175" t="inlineStr">
        <is>
          <t>No</t>
        </is>
      </c>
      <c r="I1175" t="inlineStr">
        <is>
          <t>1</t>
        </is>
      </c>
      <c r="J1175" t="inlineStr">
        <is>
          <t>No</t>
        </is>
      </c>
      <c r="K1175" t="inlineStr">
        <is>
          <t>No</t>
        </is>
      </c>
      <c r="L1175" t="inlineStr">
        <is>
          <t>0</t>
        </is>
      </c>
      <c r="M1175" t="inlineStr">
        <is>
          <t>Pope, Elizabeth Marie, 1917-1992.</t>
        </is>
      </c>
      <c r="N1175" t="inlineStr">
        <is>
          <t>New York, Russell &amp; Russell, 1962 [c1947]</t>
        </is>
      </c>
      <c r="O1175" t="inlineStr">
        <is>
          <t>1962</t>
        </is>
      </c>
      <c r="Q1175" t="inlineStr">
        <is>
          <t>eng</t>
        </is>
      </c>
      <c r="R1175" t="inlineStr">
        <is>
          <t>nyu</t>
        </is>
      </c>
      <c r="T1175" t="inlineStr">
        <is>
          <t xml:space="preserve">PR </t>
        </is>
      </c>
      <c r="U1175" t="n">
        <v>2</v>
      </c>
      <c r="V1175" t="n">
        <v>2</v>
      </c>
      <c r="W1175" t="inlineStr">
        <is>
          <t>2003-03-22</t>
        </is>
      </c>
      <c r="X1175" t="inlineStr">
        <is>
          <t>2003-03-22</t>
        </is>
      </c>
      <c r="Y1175" t="inlineStr">
        <is>
          <t>1997-07-24</t>
        </is>
      </c>
      <c r="Z1175" t="inlineStr">
        <is>
          <t>1997-07-24</t>
        </is>
      </c>
      <c r="AA1175" t="n">
        <v>645</v>
      </c>
      <c r="AB1175" t="n">
        <v>575</v>
      </c>
      <c r="AC1175" t="n">
        <v>776</v>
      </c>
      <c r="AD1175" t="n">
        <v>5</v>
      </c>
      <c r="AE1175" t="n">
        <v>5</v>
      </c>
      <c r="AF1175" t="n">
        <v>32</v>
      </c>
      <c r="AG1175" t="n">
        <v>43</v>
      </c>
      <c r="AH1175" t="n">
        <v>13</v>
      </c>
      <c r="AI1175" t="n">
        <v>20</v>
      </c>
      <c r="AJ1175" t="n">
        <v>7</v>
      </c>
      <c r="AK1175" t="n">
        <v>8</v>
      </c>
      <c r="AL1175" t="n">
        <v>16</v>
      </c>
      <c r="AM1175" t="n">
        <v>23</v>
      </c>
      <c r="AN1175" t="n">
        <v>4</v>
      </c>
      <c r="AO1175" t="n">
        <v>4</v>
      </c>
      <c r="AP1175" t="n">
        <v>0</v>
      </c>
      <c r="AQ1175" t="n">
        <v>0</v>
      </c>
      <c r="AR1175" t="inlineStr">
        <is>
          <t>No</t>
        </is>
      </c>
      <c r="AS1175" t="inlineStr">
        <is>
          <t>Yes</t>
        </is>
      </c>
      <c r="AT1175">
        <f>HYPERLINK("http://catalog.hathitrust.org/Record/001421606","HathiTrust Record")</f>
        <v/>
      </c>
      <c r="AU1175">
        <f>HYPERLINK("https://creighton-primo.hosted.exlibrisgroup.com/primo-explore/search?tab=default_tab&amp;search_scope=EVERYTHING&amp;vid=01CRU&amp;lang=en_US&amp;offset=0&amp;query=any,contains,991002454119702656","Catalog Record")</f>
        <v/>
      </c>
      <c r="AV1175">
        <f>HYPERLINK("http://www.worldcat.org/oclc/353807","WorldCat Record")</f>
        <v/>
      </c>
      <c r="AW1175" t="inlineStr">
        <is>
          <t>836758045:eng</t>
        </is>
      </c>
      <c r="AX1175" t="inlineStr">
        <is>
          <t>353807</t>
        </is>
      </c>
      <c r="AY1175" t="inlineStr">
        <is>
          <t>991002454119702656</t>
        </is>
      </c>
      <c r="AZ1175" t="inlineStr">
        <is>
          <t>991002454119702656</t>
        </is>
      </c>
      <c r="BA1175" t="inlineStr">
        <is>
          <t>2267819150002656</t>
        </is>
      </c>
      <c r="BB1175" t="inlineStr">
        <is>
          <t>BOOK</t>
        </is>
      </c>
      <c r="BE1175" t="inlineStr">
        <is>
          <t>32285002957776</t>
        </is>
      </c>
      <c r="BF1175" t="inlineStr">
        <is>
          <t>893721476</t>
        </is>
      </c>
    </row>
    <row r="1176">
      <c r="A1176" t="inlineStr">
        <is>
          <t>No</t>
        </is>
      </c>
      <c r="B1176" t="inlineStr">
        <is>
          <t>CURAL</t>
        </is>
      </c>
      <c r="C1176" t="inlineStr">
        <is>
          <t>SHELVES</t>
        </is>
      </c>
      <c r="D1176" t="inlineStr">
        <is>
          <t>PR3566 .C7</t>
        </is>
      </c>
      <c r="E1176" t="inlineStr">
        <is>
          <t>0                      PR 3566000C  7</t>
        </is>
      </c>
      <c r="F1176" t="inlineStr">
        <is>
          <t>Twentieth century interpretations of Samson Agonistes; a collection of critical essays, edited by Galbraith M. Crump.</t>
        </is>
      </c>
      <c r="H1176" t="inlineStr">
        <is>
          <t>No</t>
        </is>
      </c>
      <c r="I1176" t="inlineStr">
        <is>
          <t>1</t>
        </is>
      </c>
      <c r="J1176" t="inlineStr">
        <is>
          <t>No</t>
        </is>
      </c>
      <c r="K1176" t="inlineStr">
        <is>
          <t>No</t>
        </is>
      </c>
      <c r="L1176" t="inlineStr">
        <is>
          <t>0</t>
        </is>
      </c>
      <c r="M1176" t="inlineStr">
        <is>
          <t>Crump, Galbraith M. (Galbraith Miller), 1929-, compiler.</t>
        </is>
      </c>
      <c r="N1176" t="inlineStr">
        <is>
          <t>Englewood Cliffs, N.J., Prentice-Hall [1968]</t>
        </is>
      </c>
      <c r="O1176" t="inlineStr">
        <is>
          <t>1968</t>
        </is>
      </c>
      <c r="Q1176" t="inlineStr">
        <is>
          <t>eng</t>
        </is>
      </c>
      <c r="R1176" t="inlineStr">
        <is>
          <t>nju</t>
        </is>
      </c>
      <c r="S1176" t="inlineStr">
        <is>
          <t>A Spectrum book.</t>
        </is>
      </c>
      <c r="T1176" t="inlineStr">
        <is>
          <t xml:space="preserve">PR </t>
        </is>
      </c>
      <c r="U1176" t="n">
        <v>1</v>
      </c>
      <c r="V1176" t="n">
        <v>1</v>
      </c>
      <c r="W1176" t="inlineStr">
        <is>
          <t>2000-12-06</t>
        </is>
      </c>
      <c r="X1176" t="inlineStr">
        <is>
          <t>2000-12-06</t>
        </is>
      </c>
      <c r="Y1176" t="inlineStr">
        <is>
          <t>1997-07-24</t>
        </is>
      </c>
      <c r="Z1176" t="inlineStr">
        <is>
          <t>1997-07-24</t>
        </is>
      </c>
      <c r="AA1176" t="n">
        <v>1488</v>
      </c>
      <c r="AB1176" t="n">
        <v>1346</v>
      </c>
      <c r="AC1176" t="n">
        <v>1418</v>
      </c>
      <c r="AD1176" t="n">
        <v>13</v>
      </c>
      <c r="AE1176" t="n">
        <v>14</v>
      </c>
      <c r="AF1176" t="n">
        <v>51</v>
      </c>
      <c r="AG1176" t="n">
        <v>52</v>
      </c>
      <c r="AH1176" t="n">
        <v>18</v>
      </c>
      <c r="AI1176" t="n">
        <v>18</v>
      </c>
      <c r="AJ1176" t="n">
        <v>7</v>
      </c>
      <c r="AK1176" t="n">
        <v>7</v>
      </c>
      <c r="AL1176" t="n">
        <v>22</v>
      </c>
      <c r="AM1176" t="n">
        <v>22</v>
      </c>
      <c r="AN1176" t="n">
        <v>12</v>
      </c>
      <c r="AO1176" t="n">
        <v>13</v>
      </c>
      <c r="AP1176" t="n">
        <v>0</v>
      </c>
      <c r="AQ1176" t="n">
        <v>0</v>
      </c>
      <c r="AR1176" t="inlineStr">
        <is>
          <t>No</t>
        </is>
      </c>
      <c r="AS1176" t="inlineStr">
        <is>
          <t>Yes</t>
        </is>
      </c>
      <c r="AT1176">
        <f>HYPERLINK("http://catalog.hathitrust.org/Record/000634494","HathiTrust Record")</f>
        <v/>
      </c>
      <c r="AU1176">
        <f>HYPERLINK("https://creighton-primo.hosted.exlibrisgroup.com/primo-explore/search?tab=default_tab&amp;search_scope=EVERYTHING&amp;vid=01CRU&amp;lang=en_US&amp;offset=0&amp;query=any,contains,991001015559702656","Catalog Record")</f>
        <v/>
      </c>
      <c r="AV1176">
        <f>HYPERLINK("http://www.worldcat.org/oclc/173518","WorldCat Record")</f>
        <v/>
      </c>
      <c r="AW1176" t="inlineStr">
        <is>
          <t>875123245:eng</t>
        </is>
      </c>
      <c r="AX1176" t="inlineStr">
        <is>
          <t>173518</t>
        </is>
      </c>
      <c r="AY1176" t="inlineStr">
        <is>
          <t>991001015559702656</t>
        </is>
      </c>
      <c r="AZ1176" t="inlineStr">
        <is>
          <t>991001015559702656</t>
        </is>
      </c>
      <c r="BA1176" t="inlineStr">
        <is>
          <t>2268481330002656</t>
        </is>
      </c>
      <c r="BB1176" t="inlineStr">
        <is>
          <t>BOOK</t>
        </is>
      </c>
      <c r="BE1176" t="inlineStr">
        <is>
          <t>32285002957818</t>
        </is>
      </c>
      <c r="BF1176" t="inlineStr">
        <is>
          <t>893503024</t>
        </is>
      </c>
    </row>
    <row r="1177">
      <c r="A1177" t="inlineStr">
        <is>
          <t>No</t>
        </is>
      </c>
      <c r="B1177" t="inlineStr">
        <is>
          <t>CURAL</t>
        </is>
      </c>
      <c r="C1177" t="inlineStr">
        <is>
          <t>SHELVES</t>
        </is>
      </c>
      <c r="D1177" t="inlineStr">
        <is>
          <t>PR3566 .K7 1974</t>
        </is>
      </c>
      <c r="E1177" t="inlineStr">
        <is>
          <t>0                      PR 3566000K  7           1974</t>
        </is>
      </c>
      <c r="F1177" t="inlineStr">
        <is>
          <t>Milton's Samson and the Christian tradition, by F. Michael Krouse.</t>
        </is>
      </c>
      <c r="H1177" t="inlineStr">
        <is>
          <t>No</t>
        </is>
      </c>
      <c r="I1177" t="inlineStr">
        <is>
          <t>1</t>
        </is>
      </c>
      <c r="J1177" t="inlineStr">
        <is>
          <t>No</t>
        </is>
      </c>
      <c r="K1177" t="inlineStr">
        <is>
          <t>No</t>
        </is>
      </c>
      <c r="L1177" t="inlineStr">
        <is>
          <t>0</t>
        </is>
      </c>
      <c r="M1177" t="inlineStr">
        <is>
          <t>Krouse, F. Michael.</t>
        </is>
      </c>
      <c r="N1177" t="inlineStr">
        <is>
          <t>New York, Octagon Books, 1974 [c1949]</t>
        </is>
      </c>
      <c r="O1177" t="inlineStr">
        <is>
          <t>1974</t>
        </is>
      </c>
      <c r="Q1177" t="inlineStr">
        <is>
          <t>eng</t>
        </is>
      </c>
      <c r="R1177" t="inlineStr">
        <is>
          <t>nyu</t>
        </is>
      </c>
      <c r="T1177" t="inlineStr">
        <is>
          <t xml:space="preserve">PR </t>
        </is>
      </c>
      <c r="U1177" t="n">
        <v>2</v>
      </c>
      <c r="V1177" t="n">
        <v>2</v>
      </c>
      <c r="W1177" t="inlineStr">
        <is>
          <t>2003-04-16</t>
        </is>
      </c>
      <c r="X1177" t="inlineStr">
        <is>
          <t>2003-04-16</t>
        </is>
      </c>
      <c r="Y1177" t="inlineStr">
        <is>
          <t>1997-07-24</t>
        </is>
      </c>
      <c r="Z1177" t="inlineStr">
        <is>
          <t>1997-07-24</t>
        </is>
      </c>
      <c r="AA1177" t="n">
        <v>193</v>
      </c>
      <c r="AB1177" t="n">
        <v>163</v>
      </c>
      <c r="AC1177" t="n">
        <v>724</v>
      </c>
      <c r="AD1177" t="n">
        <v>2</v>
      </c>
      <c r="AE1177" t="n">
        <v>9</v>
      </c>
      <c r="AF1177" t="n">
        <v>4</v>
      </c>
      <c r="AG1177" t="n">
        <v>46</v>
      </c>
      <c r="AH1177" t="n">
        <v>4</v>
      </c>
      <c r="AI1177" t="n">
        <v>21</v>
      </c>
      <c r="AJ1177" t="n">
        <v>1</v>
      </c>
      <c r="AK1177" t="n">
        <v>8</v>
      </c>
      <c r="AL1177" t="n">
        <v>1</v>
      </c>
      <c r="AM1177" t="n">
        <v>22</v>
      </c>
      <c r="AN1177" t="n">
        <v>0</v>
      </c>
      <c r="AO1177" t="n">
        <v>7</v>
      </c>
      <c r="AP1177" t="n">
        <v>0</v>
      </c>
      <c r="AQ1177" t="n">
        <v>0</v>
      </c>
      <c r="AR1177" t="inlineStr">
        <is>
          <t>No</t>
        </is>
      </c>
      <c r="AS1177" t="inlineStr">
        <is>
          <t>No</t>
        </is>
      </c>
      <c r="AU1177">
        <f>HYPERLINK("https://creighton-primo.hosted.exlibrisgroup.com/primo-explore/search?tab=default_tab&amp;search_scope=EVERYTHING&amp;vid=01CRU&amp;lang=en_US&amp;offset=0&amp;query=any,contains,991003283779702656","Catalog Record")</f>
        <v/>
      </c>
      <c r="AV1177">
        <f>HYPERLINK("http://www.worldcat.org/oclc/805800","WorldCat Record")</f>
        <v/>
      </c>
      <c r="AW1177" t="inlineStr">
        <is>
          <t>1629055:eng</t>
        </is>
      </c>
      <c r="AX1177" t="inlineStr">
        <is>
          <t>805800</t>
        </is>
      </c>
      <c r="AY1177" t="inlineStr">
        <is>
          <t>991003283779702656</t>
        </is>
      </c>
      <c r="AZ1177" t="inlineStr">
        <is>
          <t>991003283779702656</t>
        </is>
      </c>
      <c r="BA1177" t="inlineStr">
        <is>
          <t>2265291230002656</t>
        </is>
      </c>
      <c r="BB1177" t="inlineStr">
        <is>
          <t>BOOK</t>
        </is>
      </c>
      <c r="BD1177" t="inlineStr">
        <is>
          <t>9780374946517</t>
        </is>
      </c>
      <c r="BE1177" t="inlineStr">
        <is>
          <t>32285002957826</t>
        </is>
      </c>
      <c r="BF1177" t="inlineStr">
        <is>
          <t>893793490</t>
        </is>
      </c>
    </row>
    <row r="1178">
      <c r="A1178" t="inlineStr">
        <is>
          <t>No</t>
        </is>
      </c>
      <c r="B1178" t="inlineStr">
        <is>
          <t>CURAL</t>
        </is>
      </c>
      <c r="C1178" t="inlineStr">
        <is>
          <t>SHELVES</t>
        </is>
      </c>
      <c r="D1178" t="inlineStr">
        <is>
          <t>PR3566 .L6 1974</t>
        </is>
      </c>
      <c r="E1178" t="inlineStr">
        <is>
          <t>0                      PR 3566000L  6           1974</t>
        </is>
      </c>
      <c r="F1178" t="inlineStr">
        <is>
          <t>The blaze of noon: a reading of Samson Agonistes.</t>
        </is>
      </c>
      <c r="H1178" t="inlineStr">
        <is>
          <t>No</t>
        </is>
      </c>
      <c r="I1178" t="inlineStr">
        <is>
          <t>1</t>
        </is>
      </c>
      <c r="J1178" t="inlineStr">
        <is>
          <t>No</t>
        </is>
      </c>
      <c r="K1178" t="inlineStr">
        <is>
          <t>No</t>
        </is>
      </c>
      <c r="L1178" t="inlineStr">
        <is>
          <t>0</t>
        </is>
      </c>
      <c r="M1178" t="inlineStr">
        <is>
          <t>Low, Anthony, 1935-</t>
        </is>
      </c>
      <c r="N1178" t="inlineStr">
        <is>
          <t>New York, Columbia University Press, 1974.</t>
        </is>
      </c>
      <c r="O1178" t="inlineStr">
        <is>
          <t>1974</t>
        </is>
      </c>
      <c r="Q1178" t="inlineStr">
        <is>
          <t>eng</t>
        </is>
      </c>
      <c r="R1178" t="inlineStr">
        <is>
          <t>nyu</t>
        </is>
      </c>
      <c r="T1178" t="inlineStr">
        <is>
          <t xml:space="preserve">PR </t>
        </is>
      </c>
      <c r="U1178" t="n">
        <v>3</v>
      </c>
      <c r="V1178" t="n">
        <v>3</v>
      </c>
      <c r="W1178" t="inlineStr">
        <is>
          <t>2003-05-06</t>
        </is>
      </c>
      <c r="X1178" t="inlineStr">
        <is>
          <t>2003-05-06</t>
        </is>
      </c>
      <c r="Y1178" t="inlineStr">
        <is>
          <t>1997-07-24</t>
        </is>
      </c>
      <c r="Z1178" t="inlineStr">
        <is>
          <t>1997-07-24</t>
        </is>
      </c>
      <c r="AA1178" t="n">
        <v>695</v>
      </c>
      <c r="AB1178" t="n">
        <v>586</v>
      </c>
      <c r="AC1178" t="n">
        <v>592</v>
      </c>
      <c r="AD1178" t="n">
        <v>4</v>
      </c>
      <c r="AE1178" t="n">
        <v>4</v>
      </c>
      <c r="AF1178" t="n">
        <v>32</v>
      </c>
      <c r="AG1178" t="n">
        <v>32</v>
      </c>
      <c r="AH1178" t="n">
        <v>14</v>
      </c>
      <c r="AI1178" t="n">
        <v>14</v>
      </c>
      <c r="AJ1178" t="n">
        <v>8</v>
      </c>
      <c r="AK1178" t="n">
        <v>8</v>
      </c>
      <c r="AL1178" t="n">
        <v>17</v>
      </c>
      <c r="AM1178" t="n">
        <v>17</v>
      </c>
      <c r="AN1178" t="n">
        <v>3</v>
      </c>
      <c r="AO1178" t="n">
        <v>3</v>
      </c>
      <c r="AP1178" t="n">
        <v>0</v>
      </c>
      <c r="AQ1178" t="n">
        <v>0</v>
      </c>
      <c r="AR1178" t="inlineStr">
        <is>
          <t>No</t>
        </is>
      </c>
      <c r="AS1178" t="inlineStr">
        <is>
          <t>No</t>
        </is>
      </c>
      <c r="AU1178">
        <f>HYPERLINK("https://creighton-primo.hosted.exlibrisgroup.com/primo-explore/search?tab=default_tab&amp;search_scope=EVERYTHING&amp;vid=01CRU&amp;lang=en_US&amp;offset=0&amp;query=any,contains,991003289679702656","Catalog Record")</f>
        <v/>
      </c>
      <c r="AV1178">
        <f>HYPERLINK("http://www.worldcat.org/oclc/811105","WorldCat Record")</f>
        <v/>
      </c>
      <c r="AW1178" t="inlineStr">
        <is>
          <t>365440433:eng</t>
        </is>
      </c>
      <c r="AX1178" t="inlineStr">
        <is>
          <t>811105</t>
        </is>
      </c>
      <c r="AY1178" t="inlineStr">
        <is>
          <t>991003289679702656</t>
        </is>
      </c>
      <c r="AZ1178" t="inlineStr">
        <is>
          <t>991003289679702656</t>
        </is>
      </c>
      <c r="BA1178" t="inlineStr">
        <is>
          <t>2269383410002656</t>
        </is>
      </c>
      <c r="BB1178" t="inlineStr">
        <is>
          <t>BOOK</t>
        </is>
      </c>
      <c r="BD1178" t="inlineStr">
        <is>
          <t>9780231038423</t>
        </is>
      </c>
      <c r="BE1178" t="inlineStr">
        <is>
          <t>32285002957834</t>
        </is>
      </c>
      <c r="BF1178" t="inlineStr">
        <is>
          <t>893511786</t>
        </is>
      </c>
    </row>
    <row r="1179">
      <c r="A1179" t="inlineStr">
        <is>
          <t>No</t>
        </is>
      </c>
      <c r="B1179" t="inlineStr">
        <is>
          <t>CURAL</t>
        </is>
      </c>
      <c r="C1179" t="inlineStr">
        <is>
          <t>SHELVES</t>
        </is>
      </c>
      <c r="D1179" t="inlineStr">
        <is>
          <t>PR3567 .N3</t>
        </is>
      </c>
      <c r="E1179" t="inlineStr">
        <is>
          <t>0                      PR 3567000N  3</t>
        </is>
      </c>
      <c r="F1179" t="inlineStr">
        <is>
          <t>Milton's sonnets &amp; the ideal community / Anna K. Nardo.</t>
        </is>
      </c>
      <c r="H1179" t="inlineStr">
        <is>
          <t>No</t>
        </is>
      </c>
      <c r="I1179" t="inlineStr">
        <is>
          <t>1</t>
        </is>
      </c>
      <c r="J1179" t="inlineStr">
        <is>
          <t>No</t>
        </is>
      </c>
      <c r="K1179" t="inlineStr">
        <is>
          <t>No</t>
        </is>
      </c>
      <c r="L1179" t="inlineStr">
        <is>
          <t>0</t>
        </is>
      </c>
      <c r="M1179" t="inlineStr">
        <is>
          <t>Nardo, Anna K., 1947-</t>
        </is>
      </c>
      <c r="N1179" t="inlineStr">
        <is>
          <t>Lincoln : University of Nebraska Press, c1979.</t>
        </is>
      </c>
      <c r="O1179" t="inlineStr">
        <is>
          <t>1979</t>
        </is>
      </c>
      <c r="Q1179" t="inlineStr">
        <is>
          <t>eng</t>
        </is>
      </c>
      <c r="R1179" t="inlineStr">
        <is>
          <t>nbu</t>
        </is>
      </c>
      <c r="T1179" t="inlineStr">
        <is>
          <t xml:space="preserve">PR </t>
        </is>
      </c>
      <c r="U1179" t="n">
        <v>6</v>
      </c>
      <c r="V1179" t="n">
        <v>6</v>
      </c>
      <c r="W1179" t="inlineStr">
        <is>
          <t>2000-12-06</t>
        </is>
      </c>
      <c r="X1179" t="inlineStr">
        <is>
          <t>2000-12-06</t>
        </is>
      </c>
      <c r="Y1179" t="inlineStr">
        <is>
          <t>1991-04-29</t>
        </is>
      </c>
      <c r="Z1179" t="inlineStr">
        <is>
          <t>1991-04-29</t>
        </is>
      </c>
      <c r="AA1179" t="n">
        <v>418</v>
      </c>
      <c r="AB1179" t="n">
        <v>346</v>
      </c>
      <c r="AC1179" t="n">
        <v>350</v>
      </c>
      <c r="AD1179" t="n">
        <v>6</v>
      </c>
      <c r="AE1179" t="n">
        <v>6</v>
      </c>
      <c r="AF1179" t="n">
        <v>18</v>
      </c>
      <c r="AG1179" t="n">
        <v>18</v>
      </c>
      <c r="AH1179" t="n">
        <v>6</v>
      </c>
      <c r="AI1179" t="n">
        <v>6</v>
      </c>
      <c r="AJ1179" t="n">
        <v>3</v>
      </c>
      <c r="AK1179" t="n">
        <v>3</v>
      </c>
      <c r="AL1179" t="n">
        <v>10</v>
      </c>
      <c r="AM1179" t="n">
        <v>10</v>
      </c>
      <c r="AN1179" t="n">
        <v>4</v>
      </c>
      <c r="AO1179" t="n">
        <v>4</v>
      </c>
      <c r="AP1179" t="n">
        <v>0</v>
      </c>
      <c r="AQ1179" t="n">
        <v>0</v>
      </c>
      <c r="AR1179" t="inlineStr">
        <is>
          <t>No</t>
        </is>
      </c>
      <c r="AS1179" t="inlineStr">
        <is>
          <t>Yes</t>
        </is>
      </c>
      <c r="AT1179">
        <f>HYPERLINK("http://catalog.hathitrust.org/Record/000708945","HathiTrust Record")</f>
        <v/>
      </c>
      <c r="AU1179">
        <f>HYPERLINK("https://creighton-primo.hosted.exlibrisgroup.com/primo-explore/search?tab=default_tab&amp;search_scope=EVERYTHING&amp;vid=01CRU&amp;lang=en_US&amp;offset=0&amp;query=any,contains,991004789639702656","Catalog Record")</f>
        <v/>
      </c>
      <c r="AV1179">
        <f>HYPERLINK("http://www.worldcat.org/oclc/5170612","WorldCat Record")</f>
        <v/>
      </c>
      <c r="AW1179" t="inlineStr">
        <is>
          <t>578464:eng</t>
        </is>
      </c>
      <c r="AX1179" t="inlineStr">
        <is>
          <t>5170612</t>
        </is>
      </c>
      <c r="AY1179" t="inlineStr">
        <is>
          <t>991004789639702656</t>
        </is>
      </c>
      <c r="AZ1179" t="inlineStr">
        <is>
          <t>991004789639702656</t>
        </is>
      </c>
      <c r="BA1179" t="inlineStr">
        <is>
          <t>2256919060002656</t>
        </is>
      </c>
      <c r="BB1179" t="inlineStr">
        <is>
          <t>BOOK</t>
        </is>
      </c>
      <c r="BD1179" t="inlineStr">
        <is>
          <t>9780803233027</t>
        </is>
      </c>
      <c r="BE1179" t="inlineStr">
        <is>
          <t>32285000589118</t>
        </is>
      </c>
      <c r="BF1179" t="inlineStr">
        <is>
          <t>893338130</t>
        </is>
      </c>
    </row>
    <row r="1180">
      <c r="A1180" t="inlineStr">
        <is>
          <t>No</t>
        </is>
      </c>
      <c r="B1180" t="inlineStr">
        <is>
          <t>CURAL</t>
        </is>
      </c>
      <c r="C1180" t="inlineStr">
        <is>
          <t>SHELVES</t>
        </is>
      </c>
      <c r="D1180" t="inlineStr">
        <is>
          <t>PR3570.M6 C3</t>
        </is>
      </c>
      <c r="E1180" t="inlineStr">
        <is>
          <t>0                      PR 3570000M  6                  C  3</t>
        </is>
      </c>
      <c r="F1180" t="inlineStr">
        <is>
          <t>Milton's literary craftsmanship; a study of A brief history of Moscovia.</t>
        </is>
      </c>
      <c r="H1180" t="inlineStr">
        <is>
          <t>No</t>
        </is>
      </c>
      <c r="I1180" t="inlineStr">
        <is>
          <t>1</t>
        </is>
      </c>
      <c r="J1180" t="inlineStr">
        <is>
          <t>No</t>
        </is>
      </c>
      <c r="K1180" t="inlineStr">
        <is>
          <t>No</t>
        </is>
      </c>
      <c r="L1180" t="inlineStr">
        <is>
          <t>0</t>
        </is>
      </c>
      <c r="M1180" t="inlineStr">
        <is>
          <t>Cawley, Robert Ralston.</t>
        </is>
      </c>
      <c r="N1180" t="inlineStr">
        <is>
          <t>New York, Gordian Press, 1965.</t>
        </is>
      </c>
      <c r="O1180" t="inlineStr">
        <is>
          <t>1965</t>
        </is>
      </c>
      <c r="Q1180" t="inlineStr">
        <is>
          <t>eng</t>
        </is>
      </c>
      <c r="R1180" t="inlineStr">
        <is>
          <t>nyu</t>
        </is>
      </c>
      <c r="S1180" t="inlineStr">
        <is>
          <t>Princeton studies in English ; v. 24</t>
        </is>
      </c>
      <c r="T1180" t="inlineStr">
        <is>
          <t xml:space="preserve">PR </t>
        </is>
      </c>
      <c r="U1180" t="n">
        <v>1</v>
      </c>
      <c r="V1180" t="n">
        <v>1</v>
      </c>
      <c r="W1180" t="inlineStr">
        <is>
          <t>2005-11-28</t>
        </is>
      </c>
      <c r="X1180" t="inlineStr">
        <is>
          <t>2005-11-28</t>
        </is>
      </c>
      <c r="Y1180" t="inlineStr">
        <is>
          <t>1997-07-24</t>
        </is>
      </c>
      <c r="Z1180" t="inlineStr">
        <is>
          <t>1997-07-24</t>
        </is>
      </c>
      <c r="AA1180" t="n">
        <v>348</v>
      </c>
      <c r="AB1180" t="n">
        <v>314</v>
      </c>
      <c r="AC1180" t="n">
        <v>470</v>
      </c>
      <c r="AD1180" t="n">
        <v>3</v>
      </c>
      <c r="AE1180" t="n">
        <v>5</v>
      </c>
      <c r="AF1180" t="n">
        <v>21</v>
      </c>
      <c r="AG1180" t="n">
        <v>29</v>
      </c>
      <c r="AH1180" t="n">
        <v>8</v>
      </c>
      <c r="AI1180" t="n">
        <v>9</v>
      </c>
      <c r="AJ1180" t="n">
        <v>5</v>
      </c>
      <c r="AK1180" t="n">
        <v>6</v>
      </c>
      <c r="AL1180" t="n">
        <v>12</v>
      </c>
      <c r="AM1180" t="n">
        <v>17</v>
      </c>
      <c r="AN1180" t="n">
        <v>2</v>
      </c>
      <c r="AO1180" t="n">
        <v>4</v>
      </c>
      <c r="AP1180" t="n">
        <v>0</v>
      </c>
      <c r="AQ1180" t="n">
        <v>0</v>
      </c>
      <c r="AR1180" t="inlineStr">
        <is>
          <t>No</t>
        </is>
      </c>
      <c r="AS1180" t="inlineStr">
        <is>
          <t>Yes</t>
        </is>
      </c>
      <c r="AT1180">
        <f>HYPERLINK("http://catalog.hathitrust.org/Record/009980511","HathiTrust Record")</f>
        <v/>
      </c>
      <c r="AU1180">
        <f>HYPERLINK("https://creighton-primo.hosted.exlibrisgroup.com/primo-explore/search?tab=default_tab&amp;search_scope=EVERYTHING&amp;vid=01CRU&amp;lang=en_US&amp;offset=0&amp;query=any,contains,991002704569702656","Catalog Record")</f>
        <v/>
      </c>
      <c r="AV1180">
        <f>HYPERLINK("http://www.worldcat.org/oclc/406674","WorldCat Record")</f>
        <v/>
      </c>
      <c r="AW1180" t="inlineStr">
        <is>
          <t>1435767:eng</t>
        </is>
      </c>
      <c r="AX1180" t="inlineStr">
        <is>
          <t>406674</t>
        </is>
      </c>
      <c r="AY1180" t="inlineStr">
        <is>
          <t>991002704569702656</t>
        </is>
      </c>
      <c r="AZ1180" t="inlineStr">
        <is>
          <t>991002704569702656</t>
        </is>
      </c>
      <c r="BA1180" t="inlineStr">
        <is>
          <t>2261027050002656</t>
        </is>
      </c>
      <c r="BB1180" t="inlineStr">
        <is>
          <t>BOOK</t>
        </is>
      </c>
      <c r="BE1180" t="inlineStr">
        <is>
          <t>32285002958139</t>
        </is>
      </c>
      <c r="BF1180" t="inlineStr">
        <is>
          <t>893341747</t>
        </is>
      </c>
    </row>
    <row r="1181">
      <c r="A1181" t="inlineStr">
        <is>
          <t>No</t>
        </is>
      </c>
      <c r="B1181" t="inlineStr">
        <is>
          <t>CURAL</t>
        </is>
      </c>
      <c r="C1181" t="inlineStr">
        <is>
          <t>SHELVES</t>
        </is>
      </c>
      <c r="D1181" t="inlineStr">
        <is>
          <t>PR3580 .H83</t>
        </is>
      </c>
      <c r="E1181" t="inlineStr">
        <is>
          <t>0                      PR 3580000H  83</t>
        </is>
      </c>
      <c r="F1181" t="inlineStr">
        <is>
          <t>John Milton: an annotated bibliography, 1929-1968.</t>
        </is>
      </c>
      <c r="H1181" t="inlineStr">
        <is>
          <t>No</t>
        </is>
      </c>
      <c r="I1181" t="inlineStr">
        <is>
          <t>1</t>
        </is>
      </c>
      <c r="J1181" t="inlineStr">
        <is>
          <t>No</t>
        </is>
      </c>
      <c r="K1181" t="inlineStr">
        <is>
          <t>No</t>
        </is>
      </c>
      <c r="L1181" t="inlineStr">
        <is>
          <t>0</t>
        </is>
      </c>
      <c r="M1181" t="inlineStr">
        <is>
          <t>Huckabay, Calvin.</t>
        </is>
      </c>
      <c r="N1181" t="inlineStr">
        <is>
          <t>Pittsburgh, Duquesne University Press [c1969]</t>
        </is>
      </c>
      <c r="O1181" t="inlineStr">
        <is>
          <t>1969</t>
        </is>
      </c>
      <c r="P1181" t="inlineStr">
        <is>
          <t>Rev. ed.</t>
        </is>
      </c>
      <c r="Q1181" t="inlineStr">
        <is>
          <t>eng</t>
        </is>
      </c>
      <c r="R1181" t="inlineStr">
        <is>
          <t>pau</t>
        </is>
      </c>
      <c r="S1181" t="inlineStr">
        <is>
          <t>Duquesne studies. Philological series ; 1</t>
        </is>
      </c>
      <c r="T1181" t="inlineStr">
        <is>
          <t xml:space="preserve">PR </t>
        </is>
      </c>
      <c r="U1181" t="n">
        <v>1</v>
      </c>
      <c r="V1181" t="n">
        <v>1</v>
      </c>
      <c r="W1181" t="inlineStr">
        <is>
          <t>2000-10-01</t>
        </is>
      </c>
      <c r="X1181" t="inlineStr">
        <is>
          <t>2000-10-01</t>
        </is>
      </c>
      <c r="Y1181" t="inlineStr">
        <is>
          <t>1997-07-24</t>
        </is>
      </c>
      <c r="Z1181" t="inlineStr">
        <is>
          <t>1997-07-24</t>
        </is>
      </c>
      <c r="AA1181" t="n">
        <v>619</v>
      </c>
      <c r="AB1181" t="n">
        <v>539</v>
      </c>
      <c r="AC1181" t="n">
        <v>546</v>
      </c>
      <c r="AD1181" t="n">
        <v>5</v>
      </c>
      <c r="AE1181" t="n">
        <v>5</v>
      </c>
      <c r="AF1181" t="n">
        <v>33</v>
      </c>
      <c r="AG1181" t="n">
        <v>33</v>
      </c>
      <c r="AH1181" t="n">
        <v>15</v>
      </c>
      <c r="AI1181" t="n">
        <v>15</v>
      </c>
      <c r="AJ1181" t="n">
        <v>6</v>
      </c>
      <c r="AK1181" t="n">
        <v>6</v>
      </c>
      <c r="AL1181" t="n">
        <v>18</v>
      </c>
      <c r="AM1181" t="n">
        <v>18</v>
      </c>
      <c r="AN1181" t="n">
        <v>4</v>
      </c>
      <c r="AO1181" t="n">
        <v>4</v>
      </c>
      <c r="AP1181" t="n">
        <v>0</v>
      </c>
      <c r="AQ1181" t="n">
        <v>0</v>
      </c>
      <c r="AR1181" t="inlineStr">
        <is>
          <t>No</t>
        </is>
      </c>
      <c r="AS1181" t="inlineStr">
        <is>
          <t>Yes</t>
        </is>
      </c>
      <c r="AT1181">
        <f>HYPERLINK("http://catalog.hathitrust.org/Record/001644471","HathiTrust Record")</f>
        <v/>
      </c>
      <c r="AU1181">
        <f>HYPERLINK("https://creighton-primo.hosted.exlibrisgroup.com/primo-explore/search?tab=default_tab&amp;search_scope=EVERYTHING&amp;vid=01CRU&amp;lang=en_US&amp;offset=0&amp;query=any,contains,991000368319702656","Catalog Record")</f>
        <v/>
      </c>
      <c r="AV1181">
        <f>HYPERLINK("http://www.worldcat.org/oclc/71116","WorldCat Record")</f>
        <v/>
      </c>
      <c r="AW1181" t="inlineStr">
        <is>
          <t>4020666358:eng</t>
        </is>
      </c>
      <c r="AX1181" t="inlineStr">
        <is>
          <t>71116</t>
        </is>
      </c>
      <c r="AY1181" t="inlineStr">
        <is>
          <t>991000368319702656</t>
        </is>
      </c>
      <c r="AZ1181" t="inlineStr">
        <is>
          <t>991000368319702656</t>
        </is>
      </c>
      <c r="BA1181" t="inlineStr">
        <is>
          <t>2272789960002656</t>
        </is>
      </c>
      <c r="BB1181" t="inlineStr">
        <is>
          <t>BOOK</t>
        </is>
      </c>
      <c r="BE1181" t="inlineStr">
        <is>
          <t>32285002958188</t>
        </is>
      </c>
      <c r="BF1181" t="inlineStr">
        <is>
          <t>893796580</t>
        </is>
      </c>
    </row>
    <row r="1182">
      <c r="A1182" t="inlineStr">
        <is>
          <t>No</t>
        </is>
      </c>
      <c r="B1182" t="inlineStr">
        <is>
          <t>CURAL</t>
        </is>
      </c>
      <c r="C1182" t="inlineStr">
        <is>
          <t>SHELVES</t>
        </is>
      </c>
      <c r="D1182" t="inlineStr">
        <is>
          <t>PR3580 .L4</t>
        </is>
      </c>
      <c r="E1182" t="inlineStr">
        <is>
          <t>0                      PR 3580000L  4</t>
        </is>
      </c>
      <c r="F1182" t="inlineStr">
        <is>
          <t>A Milton dictionary.</t>
        </is>
      </c>
      <c r="H1182" t="inlineStr">
        <is>
          <t>No</t>
        </is>
      </c>
      <c r="I1182" t="inlineStr">
        <is>
          <t>1</t>
        </is>
      </c>
      <c r="J1182" t="inlineStr">
        <is>
          <t>No</t>
        </is>
      </c>
      <c r="K1182" t="inlineStr">
        <is>
          <t>No</t>
        </is>
      </c>
      <c r="L1182" t="inlineStr">
        <is>
          <t>0</t>
        </is>
      </c>
      <c r="M1182" t="inlineStr">
        <is>
          <t>Le Comte, Edward, 1916-2004.</t>
        </is>
      </c>
      <c r="N1182" t="inlineStr">
        <is>
          <t>New York, Philosophical Library [1961]</t>
        </is>
      </c>
      <c r="O1182" t="inlineStr">
        <is>
          <t>1961</t>
        </is>
      </c>
      <c r="Q1182" t="inlineStr">
        <is>
          <t>eng</t>
        </is>
      </c>
      <c r="R1182" t="inlineStr">
        <is>
          <t>nyu</t>
        </is>
      </c>
      <c r="T1182" t="inlineStr">
        <is>
          <t xml:space="preserve">PR </t>
        </is>
      </c>
      <c r="U1182" t="n">
        <v>3</v>
      </c>
      <c r="V1182" t="n">
        <v>3</v>
      </c>
      <c r="W1182" t="inlineStr">
        <is>
          <t>2000-11-21</t>
        </is>
      </c>
      <c r="X1182" t="inlineStr">
        <is>
          <t>2000-11-21</t>
        </is>
      </c>
      <c r="Y1182" t="inlineStr">
        <is>
          <t>1991-04-29</t>
        </is>
      </c>
      <c r="Z1182" t="inlineStr">
        <is>
          <t>1991-04-29</t>
        </is>
      </c>
      <c r="AA1182" t="n">
        <v>874</v>
      </c>
      <c r="AB1182" t="n">
        <v>802</v>
      </c>
      <c r="AC1182" t="n">
        <v>931</v>
      </c>
      <c r="AD1182" t="n">
        <v>7</v>
      </c>
      <c r="AE1182" t="n">
        <v>7</v>
      </c>
      <c r="AF1182" t="n">
        <v>40</v>
      </c>
      <c r="AG1182" t="n">
        <v>42</v>
      </c>
      <c r="AH1182" t="n">
        <v>18</v>
      </c>
      <c r="AI1182" t="n">
        <v>18</v>
      </c>
      <c r="AJ1182" t="n">
        <v>7</v>
      </c>
      <c r="AK1182" t="n">
        <v>8</v>
      </c>
      <c r="AL1182" t="n">
        <v>16</v>
      </c>
      <c r="AM1182" t="n">
        <v>18</v>
      </c>
      <c r="AN1182" t="n">
        <v>6</v>
      </c>
      <c r="AO1182" t="n">
        <v>6</v>
      </c>
      <c r="AP1182" t="n">
        <v>0</v>
      </c>
      <c r="AQ1182" t="n">
        <v>0</v>
      </c>
      <c r="AR1182" t="inlineStr">
        <is>
          <t>Yes</t>
        </is>
      </c>
      <c r="AS1182" t="inlineStr">
        <is>
          <t>No</t>
        </is>
      </c>
      <c r="AT1182">
        <f>HYPERLINK("http://catalog.hathitrust.org/Record/000670198","HathiTrust Record")</f>
        <v/>
      </c>
      <c r="AU1182">
        <f>HYPERLINK("https://creighton-primo.hosted.exlibrisgroup.com/primo-explore/search?tab=default_tab&amp;search_scope=EVERYTHING&amp;vid=01CRU&amp;lang=en_US&amp;offset=0&amp;query=any,contains,991002478769702656","Catalog Record")</f>
        <v/>
      </c>
      <c r="AV1182">
        <f>HYPERLINK("http://www.worldcat.org/oclc/359238","WorldCat Record")</f>
        <v/>
      </c>
      <c r="AW1182" t="inlineStr">
        <is>
          <t>1182848:eng</t>
        </is>
      </c>
      <c r="AX1182" t="inlineStr">
        <is>
          <t>359238</t>
        </is>
      </c>
      <c r="AY1182" t="inlineStr">
        <is>
          <t>991002478769702656</t>
        </is>
      </c>
      <c r="AZ1182" t="inlineStr">
        <is>
          <t>991002478769702656</t>
        </is>
      </c>
      <c r="BA1182" t="inlineStr">
        <is>
          <t>2272641590002656</t>
        </is>
      </c>
      <c r="BB1182" t="inlineStr">
        <is>
          <t>BOOK</t>
        </is>
      </c>
      <c r="BE1182" t="inlineStr">
        <is>
          <t>32285000589381</t>
        </is>
      </c>
      <c r="BF1182" t="inlineStr">
        <is>
          <t>893603647</t>
        </is>
      </c>
    </row>
    <row r="1183">
      <c r="A1183" t="inlineStr">
        <is>
          <t>No</t>
        </is>
      </c>
      <c r="B1183" t="inlineStr">
        <is>
          <t>CURAL</t>
        </is>
      </c>
      <c r="C1183" t="inlineStr">
        <is>
          <t>SHELVES</t>
        </is>
      </c>
      <c r="D1183" t="inlineStr">
        <is>
          <t>PR3580 .M5</t>
        </is>
      </c>
      <c r="E1183" t="inlineStr">
        <is>
          <t>0                      PR 3580000M  5</t>
        </is>
      </c>
      <c r="F1183" t="inlineStr">
        <is>
          <t>A Milton encyclopedia / edited by William B. Hunter, Jr., general editor, John T. Shawcross and John M. Steadman, co-editors, Purvis E. Boyette and Leonard Nathanson, associate editors.</t>
        </is>
      </c>
      <c r="G1183" t="inlineStr">
        <is>
          <t>V.8</t>
        </is>
      </c>
      <c r="H1183" t="inlineStr">
        <is>
          <t>Yes</t>
        </is>
      </c>
      <c r="I1183" t="inlineStr">
        <is>
          <t>1</t>
        </is>
      </c>
      <c r="J1183" t="inlineStr">
        <is>
          <t>No</t>
        </is>
      </c>
      <c r="K1183" t="inlineStr">
        <is>
          <t>No</t>
        </is>
      </c>
      <c r="L1183" t="inlineStr">
        <is>
          <t>0</t>
        </is>
      </c>
      <c r="N1183" t="inlineStr">
        <is>
          <t>Lewisburg : Bucknell University Press, c1978-</t>
        </is>
      </c>
      <c r="O1183" t="inlineStr">
        <is>
          <t>1978</t>
        </is>
      </c>
      <c r="Q1183" t="inlineStr">
        <is>
          <t>eng</t>
        </is>
      </c>
      <c r="R1183" t="inlineStr">
        <is>
          <t>pau</t>
        </is>
      </c>
      <c r="T1183" t="inlineStr">
        <is>
          <t xml:space="preserve">PR </t>
        </is>
      </c>
      <c r="U1183" t="n">
        <v>0</v>
      </c>
      <c r="V1183" t="n">
        <v>2</v>
      </c>
      <c r="X1183" t="inlineStr">
        <is>
          <t>2006-10-23</t>
        </is>
      </c>
      <c r="Y1183" t="inlineStr">
        <is>
          <t>1991-04-29</t>
        </is>
      </c>
      <c r="Z1183" t="inlineStr">
        <is>
          <t>1991-04-29</t>
        </is>
      </c>
      <c r="AA1183" t="n">
        <v>725</v>
      </c>
      <c r="AB1183" t="n">
        <v>631</v>
      </c>
      <c r="AC1183" t="n">
        <v>644</v>
      </c>
      <c r="AD1183" t="n">
        <v>5</v>
      </c>
      <c r="AE1183" t="n">
        <v>5</v>
      </c>
      <c r="AF1183" t="n">
        <v>34</v>
      </c>
      <c r="AG1183" t="n">
        <v>34</v>
      </c>
      <c r="AH1183" t="n">
        <v>14</v>
      </c>
      <c r="AI1183" t="n">
        <v>14</v>
      </c>
      <c r="AJ1183" t="n">
        <v>9</v>
      </c>
      <c r="AK1183" t="n">
        <v>9</v>
      </c>
      <c r="AL1183" t="n">
        <v>18</v>
      </c>
      <c r="AM1183" t="n">
        <v>18</v>
      </c>
      <c r="AN1183" t="n">
        <v>4</v>
      </c>
      <c r="AO1183" t="n">
        <v>4</v>
      </c>
      <c r="AP1183" t="n">
        <v>0</v>
      </c>
      <c r="AQ1183" t="n">
        <v>0</v>
      </c>
      <c r="AR1183" t="inlineStr">
        <is>
          <t>No</t>
        </is>
      </c>
      <c r="AS1183" t="inlineStr">
        <is>
          <t>Yes</t>
        </is>
      </c>
      <c r="AT1183">
        <f>HYPERLINK("http://catalog.hathitrust.org/Record/000233804","HathiTrust Record")</f>
        <v/>
      </c>
      <c r="AU1183">
        <f>HYPERLINK("https://creighton-primo.hosted.exlibrisgroup.com/primo-explore/search?tab=default_tab&amp;search_scope=EVERYTHING&amp;vid=01CRU&amp;lang=en_US&amp;offset=0&amp;query=any,contains,991004346869702656","Catalog Record")</f>
        <v/>
      </c>
      <c r="AV1183">
        <f>HYPERLINK("http://www.worldcat.org/oclc/3103762","WorldCat Record")</f>
        <v/>
      </c>
      <c r="AW1183" t="inlineStr">
        <is>
          <t>5481463948:eng</t>
        </is>
      </c>
      <c r="AX1183" t="inlineStr">
        <is>
          <t>3103762</t>
        </is>
      </c>
      <c r="AY1183" t="inlineStr">
        <is>
          <t>991004346869702656</t>
        </is>
      </c>
      <c r="AZ1183" t="inlineStr">
        <is>
          <t>991004346869702656</t>
        </is>
      </c>
      <c r="BA1183" t="inlineStr">
        <is>
          <t>2272639740002656</t>
        </is>
      </c>
      <c r="BB1183" t="inlineStr">
        <is>
          <t>BOOK</t>
        </is>
      </c>
      <c r="BD1183" t="inlineStr">
        <is>
          <t>9780838718346</t>
        </is>
      </c>
      <c r="BE1183" t="inlineStr">
        <is>
          <t>32285000589464</t>
        </is>
      </c>
      <c r="BF1183" t="inlineStr">
        <is>
          <t>893417519</t>
        </is>
      </c>
    </row>
    <row r="1184">
      <c r="A1184" t="inlineStr">
        <is>
          <t>No</t>
        </is>
      </c>
      <c r="B1184" t="inlineStr">
        <is>
          <t>CURAL</t>
        </is>
      </c>
      <c r="C1184" t="inlineStr">
        <is>
          <t>SHELVES</t>
        </is>
      </c>
      <c r="D1184" t="inlineStr">
        <is>
          <t>PR3580 .M5</t>
        </is>
      </c>
      <c r="E1184" t="inlineStr">
        <is>
          <t>0                      PR 3580000M  5</t>
        </is>
      </c>
      <c r="F1184" t="inlineStr">
        <is>
          <t>A Milton encyclopedia / edited by William B. Hunter, Jr., general editor, John T. Shawcross and John M. Steadman, co-editors, Purvis E. Boyette and Leonard Nathanson, associate editors.</t>
        </is>
      </c>
      <c r="G1184" t="inlineStr">
        <is>
          <t>V.4</t>
        </is>
      </c>
      <c r="H1184" t="inlineStr">
        <is>
          <t>Yes</t>
        </is>
      </c>
      <c r="I1184" t="inlineStr">
        <is>
          <t>1</t>
        </is>
      </c>
      <c r="J1184" t="inlineStr">
        <is>
          <t>No</t>
        </is>
      </c>
      <c r="K1184" t="inlineStr">
        <is>
          <t>No</t>
        </is>
      </c>
      <c r="L1184" t="inlineStr">
        <is>
          <t>0</t>
        </is>
      </c>
      <c r="N1184" t="inlineStr">
        <is>
          <t>Lewisburg : Bucknell University Press, c1978-</t>
        </is>
      </c>
      <c r="O1184" t="inlineStr">
        <is>
          <t>1978</t>
        </is>
      </c>
      <c r="Q1184" t="inlineStr">
        <is>
          <t>eng</t>
        </is>
      </c>
      <c r="R1184" t="inlineStr">
        <is>
          <t>pau</t>
        </is>
      </c>
      <c r="T1184" t="inlineStr">
        <is>
          <t xml:space="preserve">PR </t>
        </is>
      </c>
      <c r="U1184" t="n">
        <v>0</v>
      </c>
      <c r="V1184" t="n">
        <v>2</v>
      </c>
      <c r="X1184" t="inlineStr">
        <is>
          <t>2006-10-23</t>
        </is>
      </c>
      <c r="Y1184" t="inlineStr">
        <is>
          <t>1991-04-29</t>
        </is>
      </c>
      <c r="Z1184" t="inlineStr">
        <is>
          <t>1991-04-29</t>
        </is>
      </c>
      <c r="AA1184" t="n">
        <v>725</v>
      </c>
      <c r="AB1184" t="n">
        <v>631</v>
      </c>
      <c r="AC1184" t="n">
        <v>644</v>
      </c>
      <c r="AD1184" t="n">
        <v>5</v>
      </c>
      <c r="AE1184" t="n">
        <v>5</v>
      </c>
      <c r="AF1184" t="n">
        <v>34</v>
      </c>
      <c r="AG1184" t="n">
        <v>34</v>
      </c>
      <c r="AH1184" t="n">
        <v>14</v>
      </c>
      <c r="AI1184" t="n">
        <v>14</v>
      </c>
      <c r="AJ1184" t="n">
        <v>9</v>
      </c>
      <c r="AK1184" t="n">
        <v>9</v>
      </c>
      <c r="AL1184" t="n">
        <v>18</v>
      </c>
      <c r="AM1184" t="n">
        <v>18</v>
      </c>
      <c r="AN1184" t="n">
        <v>4</v>
      </c>
      <c r="AO1184" t="n">
        <v>4</v>
      </c>
      <c r="AP1184" t="n">
        <v>0</v>
      </c>
      <c r="AQ1184" t="n">
        <v>0</v>
      </c>
      <c r="AR1184" t="inlineStr">
        <is>
          <t>No</t>
        </is>
      </c>
      <c r="AS1184" t="inlineStr">
        <is>
          <t>Yes</t>
        </is>
      </c>
      <c r="AT1184">
        <f>HYPERLINK("http://catalog.hathitrust.org/Record/000233804","HathiTrust Record")</f>
        <v/>
      </c>
      <c r="AU1184">
        <f>HYPERLINK("https://creighton-primo.hosted.exlibrisgroup.com/primo-explore/search?tab=default_tab&amp;search_scope=EVERYTHING&amp;vid=01CRU&amp;lang=en_US&amp;offset=0&amp;query=any,contains,991004346869702656","Catalog Record")</f>
        <v/>
      </c>
      <c r="AV1184">
        <f>HYPERLINK("http://www.worldcat.org/oclc/3103762","WorldCat Record")</f>
        <v/>
      </c>
      <c r="AW1184" t="inlineStr">
        <is>
          <t>5481463948:eng</t>
        </is>
      </c>
      <c r="AX1184" t="inlineStr">
        <is>
          <t>3103762</t>
        </is>
      </c>
      <c r="AY1184" t="inlineStr">
        <is>
          <t>991004346869702656</t>
        </is>
      </c>
      <c r="AZ1184" t="inlineStr">
        <is>
          <t>991004346869702656</t>
        </is>
      </c>
      <c r="BA1184" t="inlineStr">
        <is>
          <t>2272639740002656</t>
        </is>
      </c>
      <c r="BB1184" t="inlineStr">
        <is>
          <t>BOOK</t>
        </is>
      </c>
      <c r="BD1184" t="inlineStr">
        <is>
          <t>9780838718346</t>
        </is>
      </c>
      <c r="BE1184" t="inlineStr">
        <is>
          <t>32285000589423</t>
        </is>
      </c>
      <c r="BF1184" t="inlineStr">
        <is>
          <t>893442509</t>
        </is>
      </c>
    </row>
    <row r="1185">
      <c r="A1185" t="inlineStr">
        <is>
          <t>No</t>
        </is>
      </c>
      <c r="B1185" t="inlineStr">
        <is>
          <t>CURAL</t>
        </is>
      </c>
      <c r="C1185" t="inlineStr">
        <is>
          <t>SHELVES</t>
        </is>
      </c>
      <c r="D1185" t="inlineStr">
        <is>
          <t>PR3580 .M5</t>
        </is>
      </c>
      <c r="E1185" t="inlineStr">
        <is>
          <t>0                      PR 3580000M  5</t>
        </is>
      </c>
      <c r="F1185" t="inlineStr">
        <is>
          <t>A Milton encyclopedia / edited by William B. Hunter, Jr., general editor, John T. Shawcross and John M. Steadman, co-editors, Purvis E. Boyette and Leonard Nathanson, associate editors.</t>
        </is>
      </c>
      <c r="G1185" t="inlineStr">
        <is>
          <t>V.5</t>
        </is>
      </c>
      <c r="H1185" t="inlineStr">
        <is>
          <t>Yes</t>
        </is>
      </c>
      <c r="I1185" t="inlineStr">
        <is>
          <t>1</t>
        </is>
      </c>
      <c r="J1185" t="inlineStr">
        <is>
          <t>No</t>
        </is>
      </c>
      <c r="K1185" t="inlineStr">
        <is>
          <t>No</t>
        </is>
      </c>
      <c r="L1185" t="inlineStr">
        <is>
          <t>0</t>
        </is>
      </c>
      <c r="N1185" t="inlineStr">
        <is>
          <t>Lewisburg : Bucknell University Press, c1978-</t>
        </is>
      </c>
      <c r="O1185" t="inlineStr">
        <is>
          <t>1978</t>
        </is>
      </c>
      <c r="Q1185" t="inlineStr">
        <is>
          <t>eng</t>
        </is>
      </c>
      <c r="R1185" t="inlineStr">
        <is>
          <t>pau</t>
        </is>
      </c>
      <c r="T1185" t="inlineStr">
        <is>
          <t xml:space="preserve">PR </t>
        </is>
      </c>
      <c r="U1185" t="n">
        <v>0</v>
      </c>
      <c r="V1185" t="n">
        <v>2</v>
      </c>
      <c r="X1185" t="inlineStr">
        <is>
          <t>2006-10-23</t>
        </is>
      </c>
      <c r="Y1185" t="inlineStr">
        <is>
          <t>1991-04-29</t>
        </is>
      </c>
      <c r="Z1185" t="inlineStr">
        <is>
          <t>1991-04-29</t>
        </is>
      </c>
      <c r="AA1185" t="n">
        <v>725</v>
      </c>
      <c r="AB1185" t="n">
        <v>631</v>
      </c>
      <c r="AC1185" t="n">
        <v>644</v>
      </c>
      <c r="AD1185" t="n">
        <v>5</v>
      </c>
      <c r="AE1185" t="n">
        <v>5</v>
      </c>
      <c r="AF1185" t="n">
        <v>34</v>
      </c>
      <c r="AG1185" t="n">
        <v>34</v>
      </c>
      <c r="AH1185" t="n">
        <v>14</v>
      </c>
      <c r="AI1185" t="n">
        <v>14</v>
      </c>
      <c r="AJ1185" t="n">
        <v>9</v>
      </c>
      <c r="AK1185" t="n">
        <v>9</v>
      </c>
      <c r="AL1185" t="n">
        <v>18</v>
      </c>
      <c r="AM1185" t="n">
        <v>18</v>
      </c>
      <c r="AN1185" t="n">
        <v>4</v>
      </c>
      <c r="AO1185" t="n">
        <v>4</v>
      </c>
      <c r="AP1185" t="n">
        <v>0</v>
      </c>
      <c r="AQ1185" t="n">
        <v>0</v>
      </c>
      <c r="AR1185" t="inlineStr">
        <is>
          <t>No</t>
        </is>
      </c>
      <c r="AS1185" t="inlineStr">
        <is>
          <t>Yes</t>
        </is>
      </c>
      <c r="AT1185">
        <f>HYPERLINK("http://catalog.hathitrust.org/Record/000233804","HathiTrust Record")</f>
        <v/>
      </c>
      <c r="AU1185">
        <f>HYPERLINK("https://creighton-primo.hosted.exlibrisgroup.com/primo-explore/search?tab=default_tab&amp;search_scope=EVERYTHING&amp;vid=01CRU&amp;lang=en_US&amp;offset=0&amp;query=any,contains,991004346869702656","Catalog Record")</f>
        <v/>
      </c>
      <c r="AV1185">
        <f>HYPERLINK("http://www.worldcat.org/oclc/3103762","WorldCat Record")</f>
        <v/>
      </c>
      <c r="AW1185" t="inlineStr">
        <is>
          <t>5481463948:eng</t>
        </is>
      </c>
      <c r="AX1185" t="inlineStr">
        <is>
          <t>3103762</t>
        </is>
      </c>
      <c r="AY1185" t="inlineStr">
        <is>
          <t>991004346869702656</t>
        </is>
      </c>
      <c r="AZ1185" t="inlineStr">
        <is>
          <t>991004346869702656</t>
        </is>
      </c>
      <c r="BA1185" t="inlineStr">
        <is>
          <t>2272639740002656</t>
        </is>
      </c>
      <c r="BB1185" t="inlineStr">
        <is>
          <t>BOOK</t>
        </is>
      </c>
      <c r="BD1185" t="inlineStr">
        <is>
          <t>9780838718346</t>
        </is>
      </c>
      <c r="BE1185" t="inlineStr">
        <is>
          <t>32285000589431</t>
        </is>
      </c>
      <c r="BF1185" t="inlineStr">
        <is>
          <t>893442508</t>
        </is>
      </c>
    </row>
    <row r="1186">
      <c r="A1186" t="inlineStr">
        <is>
          <t>No</t>
        </is>
      </c>
      <c r="B1186" t="inlineStr">
        <is>
          <t>CURAL</t>
        </is>
      </c>
      <c r="C1186" t="inlineStr">
        <is>
          <t>SHELVES</t>
        </is>
      </c>
      <c r="D1186" t="inlineStr">
        <is>
          <t>PR3580 .M5</t>
        </is>
      </c>
      <c r="E1186" t="inlineStr">
        <is>
          <t>0                      PR 3580000M  5</t>
        </is>
      </c>
      <c r="F1186" t="inlineStr">
        <is>
          <t>A Milton encyclopedia / edited by William B. Hunter, Jr., general editor, John T. Shawcross and John M. Steadman, co-editors, Purvis E. Boyette and Leonard Nathanson, associate editors.</t>
        </is>
      </c>
      <c r="G1186" t="inlineStr">
        <is>
          <t>V.2</t>
        </is>
      </c>
      <c r="H1186" t="inlineStr">
        <is>
          <t>Yes</t>
        </is>
      </c>
      <c r="I1186" t="inlineStr">
        <is>
          <t>1</t>
        </is>
      </c>
      <c r="J1186" t="inlineStr">
        <is>
          <t>No</t>
        </is>
      </c>
      <c r="K1186" t="inlineStr">
        <is>
          <t>No</t>
        </is>
      </c>
      <c r="L1186" t="inlineStr">
        <is>
          <t>0</t>
        </is>
      </c>
      <c r="N1186" t="inlineStr">
        <is>
          <t>Lewisburg : Bucknell University Press, c1978-</t>
        </is>
      </c>
      <c r="O1186" t="inlineStr">
        <is>
          <t>1978</t>
        </is>
      </c>
      <c r="Q1186" t="inlineStr">
        <is>
          <t>eng</t>
        </is>
      </c>
      <c r="R1186" t="inlineStr">
        <is>
          <t>pau</t>
        </is>
      </c>
      <c r="T1186" t="inlineStr">
        <is>
          <t xml:space="preserve">PR </t>
        </is>
      </c>
      <c r="U1186" t="n">
        <v>0</v>
      </c>
      <c r="V1186" t="n">
        <v>2</v>
      </c>
      <c r="X1186" t="inlineStr">
        <is>
          <t>2006-10-23</t>
        </is>
      </c>
      <c r="Y1186" t="inlineStr">
        <is>
          <t>1991-04-29</t>
        </is>
      </c>
      <c r="Z1186" t="inlineStr">
        <is>
          <t>1991-04-29</t>
        </is>
      </c>
      <c r="AA1186" t="n">
        <v>725</v>
      </c>
      <c r="AB1186" t="n">
        <v>631</v>
      </c>
      <c r="AC1186" t="n">
        <v>644</v>
      </c>
      <c r="AD1186" t="n">
        <v>5</v>
      </c>
      <c r="AE1186" t="n">
        <v>5</v>
      </c>
      <c r="AF1186" t="n">
        <v>34</v>
      </c>
      <c r="AG1186" t="n">
        <v>34</v>
      </c>
      <c r="AH1186" t="n">
        <v>14</v>
      </c>
      <c r="AI1186" t="n">
        <v>14</v>
      </c>
      <c r="AJ1186" t="n">
        <v>9</v>
      </c>
      <c r="AK1186" t="n">
        <v>9</v>
      </c>
      <c r="AL1186" t="n">
        <v>18</v>
      </c>
      <c r="AM1186" t="n">
        <v>18</v>
      </c>
      <c r="AN1186" t="n">
        <v>4</v>
      </c>
      <c r="AO1186" t="n">
        <v>4</v>
      </c>
      <c r="AP1186" t="n">
        <v>0</v>
      </c>
      <c r="AQ1186" t="n">
        <v>0</v>
      </c>
      <c r="AR1186" t="inlineStr">
        <is>
          <t>No</t>
        </is>
      </c>
      <c r="AS1186" t="inlineStr">
        <is>
          <t>Yes</t>
        </is>
      </c>
      <c r="AT1186">
        <f>HYPERLINK("http://catalog.hathitrust.org/Record/000233804","HathiTrust Record")</f>
        <v/>
      </c>
      <c r="AU1186">
        <f>HYPERLINK("https://creighton-primo.hosted.exlibrisgroup.com/primo-explore/search?tab=default_tab&amp;search_scope=EVERYTHING&amp;vid=01CRU&amp;lang=en_US&amp;offset=0&amp;query=any,contains,991004346869702656","Catalog Record")</f>
        <v/>
      </c>
      <c r="AV1186">
        <f>HYPERLINK("http://www.worldcat.org/oclc/3103762","WorldCat Record")</f>
        <v/>
      </c>
      <c r="AW1186" t="inlineStr">
        <is>
          <t>5481463948:eng</t>
        </is>
      </c>
      <c r="AX1186" t="inlineStr">
        <is>
          <t>3103762</t>
        </is>
      </c>
      <c r="AY1186" t="inlineStr">
        <is>
          <t>991004346869702656</t>
        </is>
      </c>
      <c r="AZ1186" t="inlineStr">
        <is>
          <t>991004346869702656</t>
        </is>
      </c>
      <c r="BA1186" t="inlineStr">
        <is>
          <t>2272639740002656</t>
        </is>
      </c>
      <c r="BB1186" t="inlineStr">
        <is>
          <t>BOOK</t>
        </is>
      </c>
      <c r="BD1186" t="inlineStr">
        <is>
          <t>9780838718346</t>
        </is>
      </c>
      <c r="BE1186" t="inlineStr">
        <is>
          <t>32285000589407</t>
        </is>
      </c>
      <c r="BF1186" t="inlineStr">
        <is>
          <t>893423696</t>
        </is>
      </c>
    </row>
    <row r="1187">
      <c r="A1187" t="inlineStr">
        <is>
          <t>No</t>
        </is>
      </c>
      <c r="B1187" t="inlineStr">
        <is>
          <t>CURAL</t>
        </is>
      </c>
      <c r="C1187" t="inlineStr">
        <is>
          <t>SHELVES</t>
        </is>
      </c>
      <c r="D1187" t="inlineStr">
        <is>
          <t>PR3580 .M5</t>
        </is>
      </c>
      <c r="E1187" t="inlineStr">
        <is>
          <t>0                      PR 3580000M  5</t>
        </is>
      </c>
      <c r="F1187" t="inlineStr">
        <is>
          <t>A Milton encyclopedia / edited by William B. Hunter, Jr., general editor, John T. Shawcross and John M. Steadman, co-editors, Purvis E. Boyette and Leonard Nathanson, associate editors.</t>
        </is>
      </c>
      <c r="G1187" t="inlineStr">
        <is>
          <t>V.3</t>
        </is>
      </c>
      <c r="H1187" t="inlineStr">
        <is>
          <t>Yes</t>
        </is>
      </c>
      <c r="I1187" t="inlineStr">
        <is>
          <t>1</t>
        </is>
      </c>
      <c r="J1187" t="inlineStr">
        <is>
          <t>No</t>
        </is>
      </c>
      <c r="K1187" t="inlineStr">
        <is>
          <t>No</t>
        </is>
      </c>
      <c r="L1187" t="inlineStr">
        <is>
          <t>0</t>
        </is>
      </c>
      <c r="N1187" t="inlineStr">
        <is>
          <t>Lewisburg : Bucknell University Press, c1978-</t>
        </is>
      </c>
      <c r="O1187" t="inlineStr">
        <is>
          <t>1978</t>
        </is>
      </c>
      <c r="Q1187" t="inlineStr">
        <is>
          <t>eng</t>
        </is>
      </c>
      <c r="R1187" t="inlineStr">
        <is>
          <t>pau</t>
        </is>
      </c>
      <c r="T1187" t="inlineStr">
        <is>
          <t xml:space="preserve">PR </t>
        </is>
      </c>
      <c r="U1187" t="n">
        <v>0</v>
      </c>
      <c r="V1187" t="n">
        <v>2</v>
      </c>
      <c r="X1187" t="inlineStr">
        <is>
          <t>2006-10-23</t>
        </is>
      </c>
      <c r="Y1187" t="inlineStr">
        <is>
          <t>1991-04-29</t>
        </is>
      </c>
      <c r="Z1187" t="inlineStr">
        <is>
          <t>1991-04-29</t>
        </is>
      </c>
      <c r="AA1187" t="n">
        <v>725</v>
      </c>
      <c r="AB1187" t="n">
        <v>631</v>
      </c>
      <c r="AC1187" t="n">
        <v>644</v>
      </c>
      <c r="AD1187" t="n">
        <v>5</v>
      </c>
      <c r="AE1187" t="n">
        <v>5</v>
      </c>
      <c r="AF1187" t="n">
        <v>34</v>
      </c>
      <c r="AG1187" t="n">
        <v>34</v>
      </c>
      <c r="AH1187" t="n">
        <v>14</v>
      </c>
      <c r="AI1187" t="n">
        <v>14</v>
      </c>
      <c r="AJ1187" t="n">
        <v>9</v>
      </c>
      <c r="AK1187" t="n">
        <v>9</v>
      </c>
      <c r="AL1187" t="n">
        <v>18</v>
      </c>
      <c r="AM1187" t="n">
        <v>18</v>
      </c>
      <c r="AN1187" t="n">
        <v>4</v>
      </c>
      <c r="AO1187" t="n">
        <v>4</v>
      </c>
      <c r="AP1187" t="n">
        <v>0</v>
      </c>
      <c r="AQ1187" t="n">
        <v>0</v>
      </c>
      <c r="AR1187" t="inlineStr">
        <is>
          <t>No</t>
        </is>
      </c>
      <c r="AS1187" t="inlineStr">
        <is>
          <t>Yes</t>
        </is>
      </c>
      <c r="AT1187">
        <f>HYPERLINK("http://catalog.hathitrust.org/Record/000233804","HathiTrust Record")</f>
        <v/>
      </c>
      <c r="AU1187">
        <f>HYPERLINK("https://creighton-primo.hosted.exlibrisgroup.com/primo-explore/search?tab=default_tab&amp;search_scope=EVERYTHING&amp;vid=01CRU&amp;lang=en_US&amp;offset=0&amp;query=any,contains,991004346869702656","Catalog Record")</f>
        <v/>
      </c>
      <c r="AV1187">
        <f>HYPERLINK("http://www.worldcat.org/oclc/3103762","WorldCat Record")</f>
        <v/>
      </c>
      <c r="AW1187" t="inlineStr">
        <is>
          <t>5481463948:eng</t>
        </is>
      </c>
      <c r="AX1187" t="inlineStr">
        <is>
          <t>3103762</t>
        </is>
      </c>
      <c r="AY1187" t="inlineStr">
        <is>
          <t>991004346869702656</t>
        </is>
      </c>
      <c r="AZ1187" t="inlineStr">
        <is>
          <t>991004346869702656</t>
        </is>
      </c>
      <c r="BA1187" t="inlineStr">
        <is>
          <t>2272639740002656</t>
        </is>
      </c>
      <c r="BB1187" t="inlineStr">
        <is>
          <t>BOOK</t>
        </is>
      </c>
      <c r="BD1187" t="inlineStr">
        <is>
          <t>9780838718346</t>
        </is>
      </c>
      <c r="BE1187" t="inlineStr">
        <is>
          <t>32285000589415</t>
        </is>
      </c>
      <c r="BF1187" t="inlineStr">
        <is>
          <t>893423697</t>
        </is>
      </c>
    </row>
    <row r="1188">
      <c r="A1188" t="inlineStr">
        <is>
          <t>No</t>
        </is>
      </c>
      <c r="B1188" t="inlineStr">
        <is>
          <t>CURAL</t>
        </is>
      </c>
      <c r="C1188" t="inlineStr">
        <is>
          <t>SHELVES</t>
        </is>
      </c>
      <c r="D1188" t="inlineStr">
        <is>
          <t>PR3580 .M5</t>
        </is>
      </c>
      <c r="E1188" t="inlineStr">
        <is>
          <t>0                      PR 3580000M  5</t>
        </is>
      </c>
      <c r="F1188" t="inlineStr">
        <is>
          <t>A Milton encyclopedia / edited by William B. Hunter, Jr., general editor, John T. Shawcross and John M. Steadman, co-editors, Purvis E. Boyette and Leonard Nathanson, associate editors.</t>
        </is>
      </c>
      <c r="G1188" t="inlineStr">
        <is>
          <t>V.7</t>
        </is>
      </c>
      <c r="H1188" t="inlineStr">
        <is>
          <t>Yes</t>
        </is>
      </c>
      <c r="I1188" t="inlineStr">
        <is>
          <t>1</t>
        </is>
      </c>
      <c r="J1188" t="inlineStr">
        <is>
          <t>No</t>
        </is>
      </c>
      <c r="K1188" t="inlineStr">
        <is>
          <t>No</t>
        </is>
      </c>
      <c r="L1188" t="inlineStr">
        <is>
          <t>0</t>
        </is>
      </c>
      <c r="N1188" t="inlineStr">
        <is>
          <t>Lewisburg : Bucknell University Press, c1978-</t>
        </is>
      </c>
      <c r="O1188" t="inlineStr">
        <is>
          <t>1978</t>
        </is>
      </c>
      <c r="Q1188" t="inlineStr">
        <is>
          <t>eng</t>
        </is>
      </c>
      <c r="R1188" t="inlineStr">
        <is>
          <t>pau</t>
        </is>
      </c>
      <c r="T1188" t="inlineStr">
        <is>
          <t xml:space="preserve">PR </t>
        </is>
      </c>
      <c r="U1188" t="n">
        <v>1</v>
      </c>
      <c r="V1188" t="n">
        <v>2</v>
      </c>
      <c r="W1188" t="inlineStr">
        <is>
          <t>2006-10-23</t>
        </is>
      </c>
      <c r="X1188" t="inlineStr">
        <is>
          <t>2006-10-23</t>
        </is>
      </c>
      <c r="Y1188" t="inlineStr">
        <is>
          <t>1991-04-29</t>
        </is>
      </c>
      <c r="Z1188" t="inlineStr">
        <is>
          <t>1991-04-29</t>
        </is>
      </c>
      <c r="AA1188" t="n">
        <v>725</v>
      </c>
      <c r="AB1188" t="n">
        <v>631</v>
      </c>
      <c r="AC1188" t="n">
        <v>644</v>
      </c>
      <c r="AD1188" t="n">
        <v>5</v>
      </c>
      <c r="AE1188" t="n">
        <v>5</v>
      </c>
      <c r="AF1188" t="n">
        <v>34</v>
      </c>
      <c r="AG1188" t="n">
        <v>34</v>
      </c>
      <c r="AH1188" t="n">
        <v>14</v>
      </c>
      <c r="AI1188" t="n">
        <v>14</v>
      </c>
      <c r="AJ1188" t="n">
        <v>9</v>
      </c>
      <c r="AK1188" t="n">
        <v>9</v>
      </c>
      <c r="AL1188" t="n">
        <v>18</v>
      </c>
      <c r="AM1188" t="n">
        <v>18</v>
      </c>
      <c r="AN1188" t="n">
        <v>4</v>
      </c>
      <c r="AO1188" t="n">
        <v>4</v>
      </c>
      <c r="AP1188" t="n">
        <v>0</v>
      </c>
      <c r="AQ1188" t="n">
        <v>0</v>
      </c>
      <c r="AR1188" t="inlineStr">
        <is>
          <t>No</t>
        </is>
      </c>
      <c r="AS1188" t="inlineStr">
        <is>
          <t>Yes</t>
        </is>
      </c>
      <c r="AT1188">
        <f>HYPERLINK("http://catalog.hathitrust.org/Record/000233804","HathiTrust Record")</f>
        <v/>
      </c>
      <c r="AU1188">
        <f>HYPERLINK("https://creighton-primo.hosted.exlibrisgroup.com/primo-explore/search?tab=default_tab&amp;search_scope=EVERYTHING&amp;vid=01CRU&amp;lang=en_US&amp;offset=0&amp;query=any,contains,991004346869702656","Catalog Record")</f>
        <v/>
      </c>
      <c r="AV1188">
        <f>HYPERLINK("http://www.worldcat.org/oclc/3103762","WorldCat Record")</f>
        <v/>
      </c>
      <c r="AW1188" t="inlineStr">
        <is>
          <t>5481463948:eng</t>
        </is>
      </c>
      <c r="AX1188" t="inlineStr">
        <is>
          <t>3103762</t>
        </is>
      </c>
      <c r="AY1188" t="inlineStr">
        <is>
          <t>991004346869702656</t>
        </is>
      </c>
      <c r="AZ1188" t="inlineStr">
        <is>
          <t>991004346869702656</t>
        </is>
      </c>
      <c r="BA1188" t="inlineStr">
        <is>
          <t>2272639740002656</t>
        </is>
      </c>
      <c r="BB1188" t="inlineStr">
        <is>
          <t>BOOK</t>
        </is>
      </c>
      <c r="BD1188" t="inlineStr">
        <is>
          <t>9780838718346</t>
        </is>
      </c>
      <c r="BE1188" t="inlineStr">
        <is>
          <t>32285000589456</t>
        </is>
      </c>
      <c r="BF1188" t="inlineStr">
        <is>
          <t>893442507</t>
        </is>
      </c>
    </row>
    <row r="1189">
      <c r="A1189" t="inlineStr">
        <is>
          <t>No</t>
        </is>
      </c>
      <c r="B1189" t="inlineStr">
        <is>
          <t>CURAL</t>
        </is>
      </c>
      <c r="C1189" t="inlineStr">
        <is>
          <t>SHELVES</t>
        </is>
      </c>
      <c r="D1189" t="inlineStr">
        <is>
          <t>PR3580 .M5</t>
        </is>
      </c>
      <c r="E1189" t="inlineStr">
        <is>
          <t>0                      PR 3580000M  5</t>
        </is>
      </c>
      <c r="F1189" t="inlineStr">
        <is>
          <t>A Milton encyclopedia / edited by William B. Hunter, Jr., general editor, John T. Shawcross and John M. Steadman, co-editors, Purvis E. Boyette and Leonard Nathanson, associate editors.</t>
        </is>
      </c>
      <c r="G1189" t="inlineStr">
        <is>
          <t>V.9</t>
        </is>
      </c>
      <c r="H1189" t="inlineStr">
        <is>
          <t>Yes</t>
        </is>
      </c>
      <c r="I1189" t="inlineStr">
        <is>
          <t>1</t>
        </is>
      </c>
      <c r="J1189" t="inlineStr">
        <is>
          <t>No</t>
        </is>
      </c>
      <c r="K1189" t="inlineStr">
        <is>
          <t>No</t>
        </is>
      </c>
      <c r="L1189" t="inlineStr">
        <is>
          <t>0</t>
        </is>
      </c>
      <c r="N1189" t="inlineStr">
        <is>
          <t>Lewisburg : Bucknell University Press, c1978-</t>
        </is>
      </c>
      <c r="O1189" t="inlineStr">
        <is>
          <t>1978</t>
        </is>
      </c>
      <c r="Q1189" t="inlineStr">
        <is>
          <t>eng</t>
        </is>
      </c>
      <c r="R1189" t="inlineStr">
        <is>
          <t>pau</t>
        </is>
      </c>
      <c r="T1189" t="inlineStr">
        <is>
          <t xml:space="preserve">PR </t>
        </is>
      </c>
      <c r="U1189" t="n">
        <v>0</v>
      </c>
      <c r="V1189" t="n">
        <v>2</v>
      </c>
      <c r="X1189" t="inlineStr">
        <is>
          <t>2006-10-23</t>
        </is>
      </c>
      <c r="Y1189" t="inlineStr">
        <is>
          <t>1991-04-29</t>
        </is>
      </c>
      <c r="Z1189" t="inlineStr">
        <is>
          <t>1991-04-29</t>
        </is>
      </c>
      <c r="AA1189" t="n">
        <v>725</v>
      </c>
      <c r="AB1189" t="n">
        <v>631</v>
      </c>
      <c r="AC1189" t="n">
        <v>644</v>
      </c>
      <c r="AD1189" t="n">
        <v>5</v>
      </c>
      <c r="AE1189" t="n">
        <v>5</v>
      </c>
      <c r="AF1189" t="n">
        <v>34</v>
      </c>
      <c r="AG1189" t="n">
        <v>34</v>
      </c>
      <c r="AH1189" t="n">
        <v>14</v>
      </c>
      <c r="AI1189" t="n">
        <v>14</v>
      </c>
      <c r="AJ1189" t="n">
        <v>9</v>
      </c>
      <c r="AK1189" t="n">
        <v>9</v>
      </c>
      <c r="AL1189" t="n">
        <v>18</v>
      </c>
      <c r="AM1189" t="n">
        <v>18</v>
      </c>
      <c r="AN1189" t="n">
        <v>4</v>
      </c>
      <c r="AO1189" t="n">
        <v>4</v>
      </c>
      <c r="AP1189" t="n">
        <v>0</v>
      </c>
      <c r="AQ1189" t="n">
        <v>0</v>
      </c>
      <c r="AR1189" t="inlineStr">
        <is>
          <t>No</t>
        </is>
      </c>
      <c r="AS1189" t="inlineStr">
        <is>
          <t>Yes</t>
        </is>
      </c>
      <c r="AT1189">
        <f>HYPERLINK("http://catalog.hathitrust.org/Record/000233804","HathiTrust Record")</f>
        <v/>
      </c>
      <c r="AU1189">
        <f>HYPERLINK("https://creighton-primo.hosted.exlibrisgroup.com/primo-explore/search?tab=default_tab&amp;search_scope=EVERYTHING&amp;vid=01CRU&amp;lang=en_US&amp;offset=0&amp;query=any,contains,991004346869702656","Catalog Record")</f>
        <v/>
      </c>
      <c r="AV1189">
        <f>HYPERLINK("http://www.worldcat.org/oclc/3103762","WorldCat Record")</f>
        <v/>
      </c>
      <c r="AW1189" t="inlineStr">
        <is>
          <t>5481463948:eng</t>
        </is>
      </c>
      <c r="AX1189" t="inlineStr">
        <is>
          <t>3103762</t>
        </is>
      </c>
      <c r="AY1189" t="inlineStr">
        <is>
          <t>991004346869702656</t>
        </is>
      </c>
      <c r="AZ1189" t="inlineStr">
        <is>
          <t>991004346869702656</t>
        </is>
      </c>
      <c r="BA1189" t="inlineStr">
        <is>
          <t>2272639740002656</t>
        </is>
      </c>
      <c r="BB1189" t="inlineStr">
        <is>
          <t>BOOK</t>
        </is>
      </c>
      <c r="BD1189" t="inlineStr">
        <is>
          <t>9780838718346</t>
        </is>
      </c>
      <c r="BE1189" t="inlineStr">
        <is>
          <t>32285000589472</t>
        </is>
      </c>
      <c r="BF1189" t="inlineStr">
        <is>
          <t>893423698</t>
        </is>
      </c>
    </row>
    <row r="1190">
      <c r="A1190" t="inlineStr">
        <is>
          <t>No</t>
        </is>
      </c>
      <c r="B1190" t="inlineStr">
        <is>
          <t>CURAL</t>
        </is>
      </c>
      <c r="C1190" t="inlineStr">
        <is>
          <t>SHELVES</t>
        </is>
      </c>
      <c r="D1190" t="inlineStr">
        <is>
          <t>PR3580 .M5</t>
        </is>
      </c>
      <c r="E1190" t="inlineStr">
        <is>
          <t>0                      PR 3580000M  5</t>
        </is>
      </c>
      <c r="F1190" t="inlineStr">
        <is>
          <t>A Milton encyclopedia / edited by William B. Hunter, Jr., general editor, John T. Shawcross and John M. Steadman, co-editors, Purvis E. Boyette and Leonard Nathanson, associate editors.</t>
        </is>
      </c>
      <c r="G1190" t="inlineStr">
        <is>
          <t>V.1</t>
        </is>
      </c>
      <c r="H1190" t="inlineStr">
        <is>
          <t>Yes</t>
        </is>
      </c>
      <c r="I1190" t="inlineStr">
        <is>
          <t>1</t>
        </is>
      </c>
      <c r="J1190" t="inlineStr">
        <is>
          <t>No</t>
        </is>
      </c>
      <c r="K1190" t="inlineStr">
        <is>
          <t>No</t>
        </is>
      </c>
      <c r="L1190" t="inlineStr">
        <is>
          <t>0</t>
        </is>
      </c>
      <c r="N1190" t="inlineStr">
        <is>
          <t>Lewisburg : Bucknell University Press, c1978-</t>
        </is>
      </c>
      <c r="O1190" t="inlineStr">
        <is>
          <t>1978</t>
        </is>
      </c>
      <c r="Q1190" t="inlineStr">
        <is>
          <t>eng</t>
        </is>
      </c>
      <c r="R1190" t="inlineStr">
        <is>
          <t>pau</t>
        </is>
      </c>
      <c r="T1190" t="inlineStr">
        <is>
          <t xml:space="preserve">PR </t>
        </is>
      </c>
      <c r="U1190" t="n">
        <v>0</v>
      </c>
      <c r="V1190" t="n">
        <v>2</v>
      </c>
      <c r="X1190" t="inlineStr">
        <is>
          <t>2006-10-23</t>
        </is>
      </c>
      <c r="Y1190" t="inlineStr">
        <is>
          <t>1991-04-29</t>
        </is>
      </c>
      <c r="Z1190" t="inlineStr">
        <is>
          <t>1991-04-29</t>
        </is>
      </c>
      <c r="AA1190" t="n">
        <v>725</v>
      </c>
      <c r="AB1190" t="n">
        <v>631</v>
      </c>
      <c r="AC1190" t="n">
        <v>644</v>
      </c>
      <c r="AD1190" t="n">
        <v>5</v>
      </c>
      <c r="AE1190" t="n">
        <v>5</v>
      </c>
      <c r="AF1190" t="n">
        <v>34</v>
      </c>
      <c r="AG1190" t="n">
        <v>34</v>
      </c>
      <c r="AH1190" t="n">
        <v>14</v>
      </c>
      <c r="AI1190" t="n">
        <v>14</v>
      </c>
      <c r="AJ1190" t="n">
        <v>9</v>
      </c>
      <c r="AK1190" t="n">
        <v>9</v>
      </c>
      <c r="AL1190" t="n">
        <v>18</v>
      </c>
      <c r="AM1190" t="n">
        <v>18</v>
      </c>
      <c r="AN1190" t="n">
        <v>4</v>
      </c>
      <c r="AO1190" t="n">
        <v>4</v>
      </c>
      <c r="AP1190" t="n">
        <v>0</v>
      </c>
      <c r="AQ1190" t="n">
        <v>0</v>
      </c>
      <c r="AR1190" t="inlineStr">
        <is>
          <t>No</t>
        </is>
      </c>
      <c r="AS1190" t="inlineStr">
        <is>
          <t>Yes</t>
        </is>
      </c>
      <c r="AT1190">
        <f>HYPERLINK("http://catalog.hathitrust.org/Record/000233804","HathiTrust Record")</f>
        <v/>
      </c>
      <c r="AU1190">
        <f>HYPERLINK("https://creighton-primo.hosted.exlibrisgroup.com/primo-explore/search?tab=default_tab&amp;search_scope=EVERYTHING&amp;vid=01CRU&amp;lang=en_US&amp;offset=0&amp;query=any,contains,991004346869702656","Catalog Record")</f>
        <v/>
      </c>
      <c r="AV1190">
        <f>HYPERLINK("http://www.worldcat.org/oclc/3103762","WorldCat Record")</f>
        <v/>
      </c>
      <c r="AW1190" t="inlineStr">
        <is>
          <t>5481463948:eng</t>
        </is>
      </c>
      <c r="AX1190" t="inlineStr">
        <is>
          <t>3103762</t>
        </is>
      </c>
      <c r="AY1190" t="inlineStr">
        <is>
          <t>991004346869702656</t>
        </is>
      </c>
      <c r="AZ1190" t="inlineStr">
        <is>
          <t>991004346869702656</t>
        </is>
      </c>
      <c r="BA1190" t="inlineStr">
        <is>
          <t>2272639740002656</t>
        </is>
      </c>
      <c r="BB1190" t="inlineStr">
        <is>
          <t>BOOK</t>
        </is>
      </c>
      <c r="BD1190" t="inlineStr">
        <is>
          <t>9780838718346</t>
        </is>
      </c>
      <c r="BE1190" t="inlineStr">
        <is>
          <t>32285000589399</t>
        </is>
      </c>
      <c r="BF1190" t="inlineStr">
        <is>
          <t>893429948</t>
        </is>
      </c>
    </row>
    <row r="1191">
      <c r="A1191" t="inlineStr">
        <is>
          <t>No</t>
        </is>
      </c>
      <c r="B1191" t="inlineStr">
        <is>
          <t>CURAL</t>
        </is>
      </c>
      <c r="C1191" t="inlineStr">
        <is>
          <t>SHELVES</t>
        </is>
      </c>
      <c r="D1191" t="inlineStr">
        <is>
          <t>PR3580 .M5</t>
        </is>
      </c>
      <c r="E1191" t="inlineStr">
        <is>
          <t>0                      PR 3580000M  5</t>
        </is>
      </c>
      <c r="F1191" t="inlineStr">
        <is>
          <t>A Milton encyclopedia / edited by William B. Hunter, Jr., general editor, John T. Shawcross and John M. Steadman, co-editors, Purvis E. Boyette and Leonard Nathanson, associate editors.</t>
        </is>
      </c>
      <c r="G1191" t="inlineStr">
        <is>
          <t>V.6</t>
        </is>
      </c>
      <c r="H1191" t="inlineStr">
        <is>
          <t>Yes</t>
        </is>
      </c>
      <c r="I1191" t="inlineStr">
        <is>
          <t>1</t>
        </is>
      </c>
      <c r="J1191" t="inlineStr">
        <is>
          <t>No</t>
        </is>
      </c>
      <c r="K1191" t="inlineStr">
        <is>
          <t>No</t>
        </is>
      </c>
      <c r="L1191" t="inlineStr">
        <is>
          <t>0</t>
        </is>
      </c>
      <c r="N1191" t="inlineStr">
        <is>
          <t>Lewisburg : Bucknell University Press, c1978-</t>
        </is>
      </c>
      <c r="O1191" t="inlineStr">
        <is>
          <t>1978</t>
        </is>
      </c>
      <c r="Q1191" t="inlineStr">
        <is>
          <t>eng</t>
        </is>
      </c>
      <c r="R1191" t="inlineStr">
        <is>
          <t>pau</t>
        </is>
      </c>
      <c r="T1191" t="inlineStr">
        <is>
          <t xml:space="preserve">PR </t>
        </is>
      </c>
      <c r="U1191" t="n">
        <v>1</v>
      </c>
      <c r="V1191" t="n">
        <v>2</v>
      </c>
      <c r="W1191" t="inlineStr">
        <is>
          <t>2006-10-23</t>
        </is>
      </c>
      <c r="X1191" t="inlineStr">
        <is>
          <t>2006-10-23</t>
        </is>
      </c>
      <c r="Y1191" t="inlineStr">
        <is>
          <t>1991-04-29</t>
        </is>
      </c>
      <c r="Z1191" t="inlineStr">
        <is>
          <t>1991-04-29</t>
        </is>
      </c>
      <c r="AA1191" t="n">
        <v>725</v>
      </c>
      <c r="AB1191" t="n">
        <v>631</v>
      </c>
      <c r="AC1191" t="n">
        <v>644</v>
      </c>
      <c r="AD1191" t="n">
        <v>5</v>
      </c>
      <c r="AE1191" t="n">
        <v>5</v>
      </c>
      <c r="AF1191" t="n">
        <v>34</v>
      </c>
      <c r="AG1191" t="n">
        <v>34</v>
      </c>
      <c r="AH1191" t="n">
        <v>14</v>
      </c>
      <c r="AI1191" t="n">
        <v>14</v>
      </c>
      <c r="AJ1191" t="n">
        <v>9</v>
      </c>
      <c r="AK1191" t="n">
        <v>9</v>
      </c>
      <c r="AL1191" t="n">
        <v>18</v>
      </c>
      <c r="AM1191" t="n">
        <v>18</v>
      </c>
      <c r="AN1191" t="n">
        <v>4</v>
      </c>
      <c r="AO1191" t="n">
        <v>4</v>
      </c>
      <c r="AP1191" t="n">
        <v>0</v>
      </c>
      <c r="AQ1191" t="n">
        <v>0</v>
      </c>
      <c r="AR1191" t="inlineStr">
        <is>
          <t>No</t>
        </is>
      </c>
      <c r="AS1191" t="inlineStr">
        <is>
          <t>Yes</t>
        </is>
      </c>
      <c r="AT1191">
        <f>HYPERLINK("http://catalog.hathitrust.org/Record/000233804","HathiTrust Record")</f>
        <v/>
      </c>
      <c r="AU1191">
        <f>HYPERLINK("https://creighton-primo.hosted.exlibrisgroup.com/primo-explore/search?tab=default_tab&amp;search_scope=EVERYTHING&amp;vid=01CRU&amp;lang=en_US&amp;offset=0&amp;query=any,contains,991004346869702656","Catalog Record")</f>
        <v/>
      </c>
      <c r="AV1191">
        <f>HYPERLINK("http://www.worldcat.org/oclc/3103762","WorldCat Record")</f>
        <v/>
      </c>
      <c r="AW1191" t="inlineStr">
        <is>
          <t>5481463948:eng</t>
        </is>
      </c>
      <c r="AX1191" t="inlineStr">
        <is>
          <t>3103762</t>
        </is>
      </c>
      <c r="AY1191" t="inlineStr">
        <is>
          <t>991004346869702656</t>
        </is>
      </c>
      <c r="AZ1191" t="inlineStr">
        <is>
          <t>991004346869702656</t>
        </is>
      </c>
      <c r="BA1191" t="inlineStr">
        <is>
          <t>2272639740002656</t>
        </is>
      </c>
      <c r="BB1191" t="inlineStr">
        <is>
          <t>BOOK</t>
        </is>
      </c>
      <c r="BD1191" t="inlineStr">
        <is>
          <t>9780838718346</t>
        </is>
      </c>
      <c r="BE1191" t="inlineStr">
        <is>
          <t>32285000589449</t>
        </is>
      </c>
      <c r="BF1191" t="inlineStr">
        <is>
          <t>893423695</t>
        </is>
      </c>
    </row>
    <row r="1192">
      <c r="A1192" t="inlineStr">
        <is>
          <t>No</t>
        </is>
      </c>
      <c r="B1192" t="inlineStr">
        <is>
          <t>CURAL</t>
        </is>
      </c>
      <c r="C1192" t="inlineStr">
        <is>
          <t>SHELVES</t>
        </is>
      </c>
      <c r="D1192" t="inlineStr">
        <is>
          <t>PR3581 .D3 1959</t>
        </is>
      </c>
      <c r="E1192" t="inlineStr">
        <is>
          <t>0                      PR 3581000D  3           1959</t>
        </is>
      </c>
      <c r="F1192" t="inlineStr">
        <is>
          <t>Milton.</t>
        </is>
      </c>
      <c r="H1192" t="inlineStr">
        <is>
          <t>No</t>
        </is>
      </c>
      <c r="I1192" t="inlineStr">
        <is>
          <t>1</t>
        </is>
      </c>
      <c r="J1192" t="inlineStr">
        <is>
          <t>No</t>
        </is>
      </c>
      <c r="K1192" t="inlineStr">
        <is>
          <t>No</t>
        </is>
      </c>
      <c r="L1192" t="inlineStr">
        <is>
          <t>0</t>
        </is>
      </c>
      <c r="M1192" t="inlineStr">
        <is>
          <t>Daiches, David, 1912-2005.</t>
        </is>
      </c>
      <c r="N1192" t="inlineStr">
        <is>
          <t>London, [Hutchinson, 1959]</t>
        </is>
      </c>
      <c r="O1192" t="inlineStr">
        <is>
          <t>1959</t>
        </is>
      </c>
      <c r="P1192" t="inlineStr">
        <is>
          <t>[2nd rev. ed.]</t>
        </is>
      </c>
      <c r="Q1192" t="inlineStr">
        <is>
          <t>eng</t>
        </is>
      </c>
      <c r="R1192" t="inlineStr">
        <is>
          <t xml:space="preserve">xx </t>
        </is>
      </c>
      <c r="S1192" t="inlineStr">
        <is>
          <t>Hutchinson university library. English literature</t>
        </is>
      </c>
      <c r="T1192" t="inlineStr">
        <is>
          <t xml:space="preserve">PR </t>
        </is>
      </c>
      <c r="U1192" t="n">
        <v>1</v>
      </c>
      <c r="V1192" t="n">
        <v>1</v>
      </c>
      <c r="W1192" t="inlineStr">
        <is>
          <t>2000-12-08</t>
        </is>
      </c>
      <c r="X1192" t="inlineStr">
        <is>
          <t>2000-12-08</t>
        </is>
      </c>
      <c r="Y1192" t="inlineStr">
        <is>
          <t>1997-07-24</t>
        </is>
      </c>
      <c r="Z1192" t="inlineStr">
        <is>
          <t>1997-07-24</t>
        </is>
      </c>
      <c r="AA1192" t="n">
        <v>246</v>
      </c>
      <c r="AB1192" t="n">
        <v>178</v>
      </c>
      <c r="AC1192" t="n">
        <v>940</v>
      </c>
      <c r="AD1192" t="n">
        <v>3</v>
      </c>
      <c r="AE1192" t="n">
        <v>6</v>
      </c>
      <c r="AF1192" t="n">
        <v>9</v>
      </c>
      <c r="AG1192" t="n">
        <v>40</v>
      </c>
      <c r="AH1192" t="n">
        <v>3</v>
      </c>
      <c r="AI1192" t="n">
        <v>15</v>
      </c>
      <c r="AJ1192" t="n">
        <v>1</v>
      </c>
      <c r="AK1192" t="n">
        <v>7</v>
      </c>
      <c r="AL1192" t="n">
        <v>3</v>
      </c>
      <c r="AM1192" t="n">
        <v>22</v>
      </c>
      <c r="AN1192" t="n">
        <v>2</v>
      </c>
      <c r="AO1192" t="n">
        <v>5</v>
      </c>
      <c r="AP1192" t="n">
        <v>0</v>
      </c>
      <c r="AQ1192" t="n">
        <v>0</v>
      </c>
      <c r="AR1192" t="inlineStr">
        <is>
          <t>No</t>
        </is>
      </c>
      <c r="AS1192" t="inlineStr">
        <is>
          <t>No</t>
        </is>
      </c>
      <c r="AU1192">
        <f>HYPERLINK("https://creighton-primo.hosted.exlibrisgroup.com/primo-explore/search?tab=default_tab&amp;search_scope=EVERYTHING&amp;vid=01CRU&amp;lang=en_US&amp;offset=0&amp;query=any,contains,991002892879702656","Catalog Record")</f>
        <v/>
      </c>
      <c r="AV1192">
        <f>HYPERLINK("http://www.worldcat.org/oclc/512526","WorldCat Record")</f>
        <v/>
      </c>
      <c r="AW1192" t="inlineStr">
        <is>
          <t>1908971680:eng</t>
        </is>
      </c>
      <c r="AX1192" t="inlineStr">
        <is>
          <t>512526</t>
        </is>
      </c>
      <c r="AY1192" t="inlineStr">
        <is>
          <t>991002892879702656</t>
        </is>
      </c>
      <c r="AZ1192" t="inlineStr">
        <is>
          <t>991002892879702656</t>
        </is>
      </c>
      <c r="BA1192" t="inlineStr">
        <is>
          <t>2263261050002656</t>
        </is>
      </c>
      <c r="BB1192" t="inlineStr">
        <is>
          <t>BOOK</t>
        </is>
      </c>
      <c r="BE1192" t="inlineStr">
        <is>
          <t>32285002958253</t>
        </is>
      </c>
      <c r="BF1192" t="inlineStr">
        <is>
          <t>893622870</t>
        </is>
      </c>
    </row>
    <row r="1193">
      <c r="A1193" t="inlineStr">
        <is>
          <t>No</t>
        </is>
      </c>
      <c r="B1193" t="inlineStr">
        <is>
          <t>CURAL</t>
        </is>
      </c>
      <c r="C1193" t="inlineStr">
        <is>
          <t>SHELVES</t>
        </is>
      </c>
      <c r="D1193" t="inlineStr">
        <is>
          <t>PR3581 .H25</t>
        </is>
      </c>
      <c r="E1193" t="inlineStr">
        <is>
          <t>0                      PR 3581000H  25</t>
        </is>
      </c>
      <c r="F1193" t="inlineStr">
        <is>
          <t>John Milton, Englishman.</t>
        </is>
      </c>
      <c r="H1193" t="inlineStr">
        <is>
          <t>No</t>
        </is>
      </c>
      <c r="I1193" t="inlineStr">
        <is>
          <t>1</t>
        </is>
      </c>
      <c r="J1193" t="inlineStr">
        <is>
          <t>No</t>
        </is>
      </c>
      <c r="K1193" t="inlineStr">
        <is>
          <t>No</t>
        </is>
      </c>
      <c r="L1193" t="inlineStr">
        <is>
          <t>0</t>
        </is>
      </c>
      <c r="M1193" t="inlineStr">
        <is>
          <t>Hanford, James Holly, 1882-1969.</t>
        </is>
      </c>
      <c r="N1193" t="inlineStr">
        <is>
          <t>New York, Crown Publishers [1949]</t>
        </is>
      </c>
      <c r="O1193" t="inlineStr">
        <is>
          <t>1949</t>
        </is>
      </c>
      <c r="Q1193" t="inlineStr">
        <is>
          <t>eng</t>
        </is>
      </c>
      <c r="R1193" t="inlineStr">
        <is>
          <t>nyu</t>
        </is>
      </c>
      <c r="T1193" t="inlineStr">
        <is>
          <t xml:space="preserve">PR </t>
        </is>
      </c>
      <c r="U1193" t="n">
        <v>2</v>
      </c>
      <c r="V1193" t="n">
        <v>2</v>
      </c>
      <c r="W1193" t="inlineStr">
        <is>
          <t>2006-10-22</t>
        </is>
      </c>
      <c r="X1193" t="inlineStr">
        <is>
          <t>2006-10-22</t>
        </is>
      </c>
      <c r="Y1193" t="inlineStr">
        <is>
          <t>1997-07-24</t>
        </is>
      </c>
      <c r="Z1193" t="inlineStr">
        <is>
          <t>1997-07-24</t>
        </is>
      </c>
      <c r="AA1193" t="n">
        <v>1116</v>
      </c>
      <c r="AB1193" t="n">
        <v>1026</v>
      </c>
      <c r="AC1193" t="n">
        <v>1084</v>
      </c>
      <c r="AD1193" t="n">
        <v>11</v>
      </c>
      <c r="AE1193" t="n">
        <v>12</v>
      </c>
      <c r="AF1193" t="n">
        <v>53</v>
      </c>
      <c r="AG1193" t="n">
        <v>55</v>
      </c>
      <c r="AH1193" t="n">
        <v>21</v>
      </c>
      <c r="AI1193" t="n">
        <v>22</v>
      </c>
      <c r="AJ1193" t="n">
        <v>8</v>
      </c>
      <c r="AK1193" t="n">
        <v>9</v>
      </c>
      <c r="AL1193" t="n">
        <v>25</v>
      </c>
      <c r="AM1193" t="n">
        <v>26</v>
      </c>
      <c r="AN1193" t="n">
        <v>10</v>
      </c>
      <c r="AO1193" t="n">
        <v>10</v>
      </c>
      <c r="AP1193" t="n">
        <v>0</v>
      </c>
      <c r="AQ1193" t="n">
        <v>0</v>
      </c>
      <c r="AR1193" t="inlineStr">
        <is>
          <t>No</t>
        </is>
      </c>
      <c r="AS1193" t="inlineStr">
        <is>
          <t>No</t>
        </is>
      </c>
      <c r="AT1193">
        <f>HYPERLINK("http://catalog.hathitrust.org/Record/000635170","HathiTrust Record")</f>
        <v/>
      </c>
      <c r="AU1193">
        <f>HYPERLINK("https://creighton-primo.hosted.exlibrisgroup.com/primo-explore/search?tab=default_tab&amp;search_scope=EVERYTHING&amp;vid=01CRU&amp;lang=en_US&amp;offset=0&amp;query=any,contains,991002479529702656","Catalog Record")</f>
        <v/>
      </c>
      <c r="AV1193">
        <f>HYPERLINK("http://www.worldcat.org/oclc/359506","WorldCat Record")</f>
        <v/>
      </c>
      <c r="AW1193" t="inlineStr">
        <is>
          <t>348769244:eng</t>
        </is>
      </c>
      <c r="AX1193" t="inlineStr">
        <is>
          <t>359506</t>
        </is>
      </c>
      <c r="AY1193" t="inlineStr">
        <is>
          <t>991002479529702656</t>
        </is>
      </c>
      <c r="AZ1193" t="inlineStr">
        <is>
          <t>991002479529702656</t>
        </is>
      </c>
      <c r="BA1193" t="inlineStr">
        <is>
          <t>2272406030002656</t>
        </is>
      </c>
      <c r="BB1193" t="inlineStr">
        <is>
          <t>BOOK</t>
        </is>
      </c>
      <c r="BE1193" t="inlineStr">
        <is>
          <t>32285002958287</t>
        </is>
      </c>
      <c r="BF1193" t="inlineStr">
        <is>
          <t>893809512</t>
        </is>
      </c>
    </row>
    <row r="1194">
      <c r="A1194" t="inlineStr">
        <is>
          <t>No</t>
        </is>
      </c>
      <c r="B1194" t="inlineStr">
        <is>
          <t>CURAL</t>
        </is>
      </c>
      <c r="C1194" t="inlineStr">
        <is>
          <t>SHELVES</t>
        </is>
      </c>
      <c r="D1194" t="inlineStr">
        <is>
          <t>PR3581 .H26 1976</t>
        </is>
      </c>
      <c r="E1194" t="inlineStr">
        <is>
          <t>0                      PR 3581000H  26          1976</t>
        </is>
      </c>
      <c r="F1194" t="inlineStr">
        <is>
          <t>John Milton, poet and humanist; essays by James Holly Hanford. Foreword by John S. Diekhoff.</t>
        </is>
      </c>
      <c r="H1194" t="inlineStr">
        <is>
          <t>No</t>
        </is>
      </c>
      <c r="I1194" t="inlineStr">
        <is>
          <t>1</t>
        </is>
      </c>
      <c r="J1194" t="inlineStr">
        <is>
          <t>No</t>
        </is>
      </c>
      <c r="K1194" t="inlineStr">
        <is>
          <t>No</t>
        </is>
      </c>
      <c r="L1194" t="inlineStr">
        <is>
          <t>0</t>
        </is>
      </c>
      <c r="M1194" t="inlineStr">
        <is>
          <t>Hanford, James Holly, 1882-1969.</t>
        </is>
      </c>
      <c r="N1194" t="inlineStr">
        <is>
          <t>Cleveland, Press of Western Reserve University, 1966.</t>
        </is>
      </c>
      <c r="O1194" t="inlineStr">
        <is>
          <t>1966</t>
        </is>
      </c>
      <c r="Q1194" t="inlineStr">
        <is>
          <t>eng</t>
        </is>
      </c>
      <c r="R1194" t="inlineStr">
        <is>
          <t>ohu</t>
        </is>
      </c>
      <c r="T1194" t="inlineStr">
        <is>
          <t xml:space="preserve">PR </t>
        </is>
      </c>
      <c r="U1194" t="n">
        <v>2</v>
      </c>
      <c r="V1194" t="n">
        <v>2</v>
      </c>
      <c r="W1194" t="inlineStr">
        <is>
          <t>2006-10-22</t>
        </is>
      </c>
      <c r="X1194" t="inlineStr">
        <is>
          <t>2006-10-22</t>
        </is>
      </c>
      <c r="Y1194" t="inlineStr">
        <is>
          <t>1997-07-24</t>
        </is>
      </c>
      <c r="Z1194" t="inlineStr">
        <is>
          <t>1997-07-24</t>
        </is>
      </c>
      <c r="AA1194" t="n">
        <v>862</v>
      </c>
      <c r="AB1194" t="n">
        <v>776</v>
      </c>
      <c r="AC1194" t="n">
        <v>785</v>
      </c>
      <c r="AD1194" t="n">
        <v>9</v>
      </c>
      <c r="AE1194" t="n">
        <v>9</v>
      </c>
      <c r="AF1194" t="n">
        <v>47</v>
      </c>
      <c r="AG1194" t="n">
        <v>47</v>
      </c>
      <c r="AH1194" t="n">
        <v>17</v>
      </c>
      <c r="AI1194" t="n">
        <v>17</v>
      </c>
      <c r="AJ1194" t="n">
        <v>10</v>
      </c>
      <c r="AK1194" t="n">
        <v>10</v>
      </c>
      <c r="AL1194" t="n">
        <v>23</v>
      </c>
      <c r="AM1194" t="n">
        <v>23</v>
      </c>
      <c r="AN1194" t="n">
        <v>8</v>
      </c>
      <c r="AO1194" t="n">
        <v>8</v>
      </c>
      <c r="AP1194" t="n">
        <v>0</v>
      </c>
      <c r="AQ1194" t="n">
        <v>0</v>
      </c>
      <c r="AR1194" t="inlineStr">
        <is>
          <t>No</t>
        </is>
      </c>
      <c r="AS1194" t="inlineStr">
        <is>
          <t>Yes</t>
        </is>
      </c>
      <c r="AT1194">
        <f>HYPERLINK("http://catalog.hathitrust.org/Record/000635173","HathiTrust Record")</f>
        <v/>
      </c>
      <c r="AU1194">
        <f>HYPERLINK("https://creighton-primo.hosted.exlibrisgroup.com/primo-explore/search?tab=default_tab&amp;search_scope=EVERYTHING&amp;vid=01CRU&amp;lang=en_US&amp;offset=0&amp;query=any,contains,991002197599702656","Catalog Record")</f>
        <v/>
      </c>
      <c r="AV1194">
        <f>HYPERLINK("http://www.worldcat.org/oclc/283606","WorldCat Record")</f>
        <v/>
      </c>
      <c r="AW1194" t="inlineStr">
        <is>
          <t>3769229209:eng</t>
        </is>
      </c>
      <c r="AX1194" t="inlineStr">
        <is>
          <t>283606</t>
        </is>
      </c>
      <c r="AY1194" t="inlineStr">
        <is>
          <t>991002197599702656</t>
        </is>
      </c>
      <c r="AZ1194" t="inlineStr">
        <is>
          <t>991002197599702656</t>
        </is>
      </c>
      <c r="BA1194" t="inlineStr">
        <is>
          <t>2265647010002656</t>
        </is>
      </c>
      <c r="BB1194" t="inlineStr">
        <is>
          <t>BOOK</t>
        </is>
      </c>
      <c r="BE1194" t="inlineStr">
        <is>
          <t>32285002958295</t>
        </is>
      </c>
      <c r="BF1194" t="inlineStr">
        <is>
          <t>893439874</t>
        </is>
      </c>
    </row>
    <row r="1195">
      <c r="A1195" t="inlineStr">
        <is>
          <t>No</t>
        </is>
      </c>
      <c r="B1195" t="inlineStr">
        <is>
          <t>CURAL</t>
        </is>
      </c>
      <c r="C1195" t="inlineStr">
        <is>
          <t>SHELVES</t>
        </is>
      </c>
      <c r="D1195" t="inlineStr">
        <is>
          <t>PR3581 .H85</t>
        </is>
      </c>
      <c r="E1195" t="inlineStr">
        <is>
          <t>0                      PR 3581000H  85</t>
        </is>
      </c>
      <c r="F1195" t="inlineStr">
        <is>
          <t>Milton and the English mind, by F.E. Hutchinson.</t>
        </is>
      </c>
      <c r="H1195" t="inlineStr">
        <is>
          <t>No</t>
        </is>
      </c>
      <c r="I1195" t="inlineStr">
        <is>
          <t>1</t>
        </is>
      </c>
      <c r="J1195" t="inlineStr">
        <is>
          <t>No</t>
        </is>
      </c>
      <c r="K1195" t="inlineStr">
        <is>
          <t>No</t>
        </is>
      </c>
      <c r="L1195" t="inlineStr">
        <is>
          <t>0</t>
        </is>
      </c>
      <c r="M1195" t="inlineStr">
        <is>
          <t>Hutchinson, F. E. (Francis Ernest), 1871-1947.</t>
        </is>
      </c>
      <c r="N1195" t="inlineStr">
        <is>
          <t>London, Pub. by Hodder &amp; Stoughton Limited for the English Universities Press [1946]</t>
        </is>
      </c>
      <c r="O1195" t="inlineStr">
        <is>
          <t>1946</t>
        </is>
      </c>
      <c r="Q1195" t="inlineStr">
        <is>
          <t>eng</t>
        </is>
      </c>
      <c r="R1195" t="inlineStr">
        <is>
          <t>enk</t>
        </is>
      </c>
      <c r="S1195" t="inlineStr">
        <is>
          <t>Teach yourself history library</t>
        </is>
      </c>
      <c r="T1195" t="inlineStr">
        <is>
          <t xml:space="preserve">PR </t>
        </is>
      </c>
      <c r="U1195" t="n">
        <v>1</v>
      </c>
      <c r="V1195" t="n">
        <v>1</v>
      </c>
      <c r="W1195" t="inlineStr">
        <is>
          <t>2002-11-18</t>
        </is>
      </c>
      <c r="X1195" t="inlineStr">
        <is>
          <t>2002-11-18</t>
        </is>
      </c>
      <c r="Y1195" t="inlineStr">
        <is>
          <t>1997-07-24</t>
        </is>
      </c>
      <c r="Z1195" t="inlineStr">
        <is>
          <t>1997-07-24</t>
        </is>
      </c>
      <c r="AA1195" t="n">
        <v>304</v>
      </c>
      <c r="AB1195" t="n">
        <v>204</v>
      </c>
      <c r="AC1195" t="n">
        <v>774</v>
      </c>
      <c r="AD1195" t="n">
        <v>1</v>
      </c>
      <c r="AE1195" t="n">
        <v>7</v>
      </c>
      <c r="AF1195" t="n">
        <v>10</v>
      </c>
      <c r="AG1195" t="n">
        <v>41</v>
      </c>
      <c r="AH1195" t="n">
        <v>4</v>
      </c>
      <c r="AI1195" t="n">
        <v>19</v>
      </c>
      <c r="AJ1195" t="n">
        <v>3</v>
      </c>
      <c r="AK1195" t="n">
        <v>9</v>
      </c>
      <c r="AL1195" t="n">
        <v>8</v>
      </c>
      <c r="AM1195" t="n">
        <v>20</v>
      </c>
      <c r="AN1195" t="n">
        <v>0</v>
      </c>
      <c r="AO1195" t="n">
        <v>6</v>
      </c>
      <c r="AP1195" t="n">
        <v>0</v>
      </c>
      <c r="AQ1195" t="n">
        <v>0</v>
      </c>
      <c r="AR1195" t="inlineStr">
        <is>
          <t>No</t>
        </is>
      </c>
      <c r="AS1195" t="inlineStr">
        <is>
          <t>Yes</t>
        </is>
      </c>
      <c r="AT1195">
        <f>HYPERLINK("http://catalog.hathitrust.org/Record/000634556","HathiTrust Record")</f>
        <v/>
      </c>
      <c r="AU1195">
        <f>HYPERLINK("https://creighton-primo.hosted.exlibrisgroup.com/primo-explore/search?tab=default_tab&amp;search_scope=EVERYTHING&amp;vid=01CRU&amp;lang=en_US&amp;offset=0&amp;query=any,contains,991003398139702656","Catalog Record")</f>
        <v/>
      </c>
      <c r="AV1195">
        <f>HYPERLINK("http://www.worldcat.org/oclc/937237","WorldCat Record")</f>
        <v/>
      </c>
      <c r="AW1195" t="inlineStr">
        <is>
          <t>502917:eng</t>
        </is>
      </c>
      <c r="AX1195" t="inlineStr">
        <is>
          <t>937237</t>
        </is>
      </c>
      <c r="AY1195" t="inlineStr">
        <is>
          <t>991003398139702656</t>
        </is>
      </c>
      <c r="AZ1195" t="inlineStr">
        <is>
          <t>991003398139702656</t>
        </is>
      </c>
      <c r="BA1195" t="inlineStr">
        <is>
          <t>2265937650002656</t>
        </is>
      </c>
      <c r="BB1195" t="inlineStr">
        <is>
          <t>BOOK</t>
        </is>
      </c>
      <c r="BE1195" t="inlineStr">
        <is>
          <t>32285002958303</t>
        </is>
      </c>
      <c r="BF1195" t="inlineStr">
        <is>
          <t>893410246</t>
        </is>
      </c>
    </row>
    <row r="1196">
      <c r="A1196" t="inlineStr">
        <is>
          <t>No</t>
        </is>
      </c>
      <c r="B1196" t="inlineStr">
        <is>
          <t>CURAL</t>
        </is>
      </c>
      <c r="C1196" t="inlineStr">
        <is>
          <t>SHELVES</t>
        </is>
      </c>
      <c r="D1196" t="inlineStr">
        <is>
          <t>PR3581 .L37 1978</t>
        </is>
      </c>
      <c r="E1196" t="inlineStr">
        <is>
          <t>0                      PR 3581000L  37          1978</t>
        </is>
      </c>
      <c r="F1196" t="inlineStr">
        <is>
          <t>Milton and sex / by Edward Le Comte.</t>
        </is>
      </c>
      <c r="H1196" t="inlineStr">
        <is>
          <t>No</t>
        </is>
      </c>
      <c r="I1196" t="inlineStr">
        <is>
          <t>1</t>
        </is>
      </c>
      <c r="J1196" t="inlineStr">
        <is>
          <t>No</t>
        </is>
      </c>
      <c r="K1196" t="inlineStr">
        <is>
          <t>No</t>
        </is>
      </c>
      <c r="L1196" t="inlineStr">
        <is>
          <t>0</t>
        </is>
      </c>
      <c r="M1196" t="inlineStr">
        <is>
          <t>Le Comte, Edward, 1916-2004.</t>
        </is>
      </c>
      <c r="N1196" t="inlineStr">
        <is>
          <t>New York : Columbia University Press, 1978.</t>
        </is>
      </c>
      <c r="O1196" t="inlineStr">
        <is>
          <t>1978</t>
        </is>
      </c>
      <c r="Q1196" t="inlineStr">
        <is>
          <t>eng</t>
        </is>
      </c>
      <c r="R1196" t="inlineStr">
        <is>
          <t>nyu</t>
        </is>
      </c>
      <c r="T1196" t="inlineStr">
        <is>
          <t xml:space="preserve">PR </t>
        </is>
      </c>
      <c r="U1196" t="n">
        <v>5</v>
      </c>
      <c r="V1196" t="n">
        <v>5</v>
      </c>
      <c r="W1196" t="inlineStr">
        <is>
          <t>2002-11-12</t>
        </is>
      </c>
      <c r="X1196" t="inlineStr">
        <is>
          <t>2002-11-12</t>
        </is>
      </c>
      <c r="Y1196" t="inlineStr">
        <is>
          <t>1997-07-24</t>
        </is>
      </c>
      <c r="Z1196" t="inlineStr">
        <is>
          <t>1997-07-24</t>
        </is>
      </c>
      <c r="AA1196" t="n">
        <v>636</v>
      </c>
      <c r="AB1196" t="n">
        <v>570</v>
      </c>
      <c r="AC1196" t="n">
        <v>603</v>
      </c>
      <c r="AD1196" t="n">
        <v>5</v>
      </c>
      <c r="AE1196" t="n">
        <v>5</v>
      </c>
      <c r="AF1196" t="n">
        <v>35</v>
      </c>
      <c r="AG1196" t="n">
        <v>35</v>
      </c>
      <c r="AH1196" t="n">
        <v>14</v>
      </c>
      <c r="AI1196" t="n">
        <v>14</v>
      </c>
      <c r="AJ1196" t="n">
        <v>8</v>
      </c>
      <c r="AK1196" t="n">
        <v>8</v>
      </c>
      <c r="AL1196" t="n">
        <v>19</v>
      </c>
      <c r="AM1196" t="n">
        <v>19</v>
      </c>
      <c r="AN1196" t="n">
        <v>4</v>
      </c>
      <c r="AO1196" t="n">
        <v>4</v>
      </c>
      <c r="AP1196" t="n">
        <v>0</v>
      </c>
      <c r="AQ1196" t="n">
        <v>0</v>
      </c>
      <c r="AR1196" t="inlineStr">
        <is>
          <t>No</t>
        </is>
      </c>
      <c r="AS1196" t="inlineStr">
        <is>
          <t>No</t>
        </is>
      </c>
      <c r="AU1196">
        <f>HYPERLINK("https://creighton-primo.hosted.exlibrisgroup.com/primo-explore/search?tab=default_tab&amp;search_scope=EVERYTHING&amp;vid=01CRU&amp;lang=en_US&amp;offset=0&amp;query=any,contains,991004245899702656","Catalog Record")</f>
        <v/>
      </c>
      <c r="AV1196">
        <f>HYPERLINK("http://www.worldcat.org/oclc/2798355","WorldCat Record")</f>
        <v/>
      </c>
      <c r="AW1196" t="inlineStr">
        <is>
          <t>420067:eng</t>
        </is>
      </c>
      <c r="AX1196" t="inlineStr">
        <is>
          <t>2798355</t>
        </is>
      </c>
      <c r="AY1196" t="inlineStr">
        <is>
          <t>991004245899702656</t>
        </is>
      </c>
      <c r="AZ1196" t="inlineStr">
        <is>
          <t>991004245899702656</t>
        </is>
      </c>
      <c r="BA1196" t="inlineStr">
        <is>
          <t>2272756970002656</t>
        </is>
      </c>
      <c r="BB1196" t="inlineStr">
        <is>
          <t>BOOK</t>
        </is>
      </c>
      <c r="BD1196" t="inlineStr">
        <is>
          <t>9780231043403</t>
        </is>
      </c>
      <c r="BE1196" t="inlineStr">
        <is>
          <t>32285002958329</t>
        </is>
      </c>
      <c r="BF1196" t="inlineStr">
        <is>
          <t>893888467</t>
        </is>
      </c>
    </row>
    <row r="1197">
      <c r="A1197" t="inlineStr">
        <is>
          <t>No</t>
        </is>
      </c>
      <c r="B1197" t="inlineStr">
        <is>
          <t>CURAL</t>
        </is>
      </c>
      <c r="C1197" t="inlineStr">
        <is>
          <t>SHELVES</t>
        </is>
      </c>
      <c r="D1197" t="inlineStr">
        <is>
          <t>PR3581 .M17 1934a</t>
        </is>
      </c>
      <c r="E1197" t="inlineStr">
        <is>
          <t>0                      PR 3581000M  17          1934a</t>
        </is>
      </c>
      <c r="F1197" t="inlineStr">
        <is>
          <t>Milton / by Rose Macaulay.</t>
        </is>
      </c>
      <c r="H1197" t="inlineStr">
        <is>
          <t>No</t>
        </is>
      </c>
      <c r="I1197" t="inlineStr">
        <is>
          <t>1</t>
        </is>
      </c>
      <c r="J1197" t="inlineStr">
        <is>
          <t>No</t>
        </is>
      </c>
      <c r="K1197" t="inlineStr">
        <is>
          <t>No</t>
        </is>
      </c>
      <c r="L1197" t="inlineStr">
        <is>
          <t>0</t>
        </is>
      </c>
      <c r="M1197" t="inlineStr">
        <is>
          <t>Macaulay, Rose, 1881-1958.</t>
        </is>
      </c>
      <c r="N1197" t="inlineStr">
        <is>
          <t>London, Duckworth [1934]</t>
        </is>
      </c>
      <c r="O1197" t="inlineStr">
        <is>
          <t>1934</t>
        </is>
      </c>
      <c r="Q1197" t="inlineStr">
        <is>
          <t>eng</t>
        </is>
      </c>
      <c r="R1197" t="inlineStr">
        <is>
          <t>enk</t>
        </is>
      </c>
      <c r="S1197" t="inlineStr">
        <is>
          <t>Great lives ; 26</t>
        </is>
      </c>
      <c r="T1197" t="inlineStr">
        <is>
          <t xml:space="preserve">PR </t>
        </is>
      </c>
      <c r="U1197" t="n">
        <v>1</v>
      </c>
      <c r="V1197" t="n">
        <v>1</v>
      </c>
      <c r="W1197" t="inlineStr">
        <is>
          <t>2000-12-06</t>
        </is>
      </c>
      <c r="X1197" t="inlineStr">
        <is>
          <t>2000-12-06</t>
        </is>
      </c>
      <c r="Y1197" t="inlineStr">
        <is>
          <t>1998-06-11</t>
        </is>
      </c>
      <c r="Z1197" t="inlineStr">
        <is>
          <t>1998-06-11</t>
        </is>
      </c>
      <c r="AA1197" t="n">
        <v>189</v>
      </c>
      <c r="AB1197" t="n">
        <v>114</v>
      </c>
      <c r="AC1197" t="n">
        <v>657</v>
      </c>
      <c r="AD1197" t="n">
        <v>1</v>
      </c>
      <c r="AE1197" t="n">
        <v>4</v>
      </c>
      <c r="AF1197" t="n">
        <v>6</v>
      </c>
      <c r="AG1197" t="n">
        <v>32</v>
      </c>
      <c r="AH1197" t="n">
        <v>3</v>
      </c>
      <c r="AI1197" t="n">
        <v>15</v>
      </c>
      <c r="AJ1197" t="n">
        <v>2</v>
      </c>
      <c r="AK1197" t="n">
        <v>6</v>
      </c>
      <c r="AL1197" t="n">
        <v>3</v>
      </c>
      <c r="AM1197" t="n">
        <v>19</v>
      </c>
      <c r="AN1197" t="n">
        <v>0</v>
      </c>
      <c r="AO1197" t="n">
        <v>3</v>
      </c>
      <c r="AP1197" t="n">
        <v>0</v>
      </c>
      <c r="AQ1197" t="n">
        <v>0</v>
      </c>
      <c r="AR1197" t="inlineStr">
        <is>
          <t>No</t>
        </is>
      </c>
      <c r="AS1197" t="inlineStr">
        <is>
          <t>Yes</t>
        </is>
      </c>
      <c r="AT1197">
        <f>HYPERLINK("http://catalog.hathitrust.org/Record/000634964","HathiTrust Record")</f>
        <v/>
      </c>
      <c r="AU1197">
        <f>HYPERLINK("https://creighton-primo.hosted.exlibrisgroup.com/primo-explore/search?tab=default_tab&amp;search_scope=EVERYTHING&amp;vid=01CRU&amp;lang=en_US&amp;offset=0&amp;query=any,contains,991003247099702656","Catalog Record")</f>
        <v/>
      </c>
      <c r="AV1197">
        <f>HYPERLINK("http://www.worldcat.org/oclc/771852","WorldCat Record")</f>
        <v/>
      </c>
      <c r="AW1197" t="inlineStr">
        <is>
          <t>1870168729:eng</t>
        </is>
      </c>
      <c r="AX1197" t="inlineStr">
        <is>
          <t>771852</t>
        </is>
      </c>
      <c r="AY1197" t="inlineStr">
        <is>
          <t>991003247099702656</t>
        </is>
      </c>
      <c r="AZ1197" t="inlineStr">
        <is>
          <t>991003247099702656</t>
        </is>
      </c>
      <c r="BA1197" t="inlineStr">
        <is>
          <t>2265003590002656</t>
        </is>
      </c>
      <c r="BB1197" t="inlineStr">
        <is>
          <t>BOOK</t>
        </is>
      </c>
      <c r="BE1197" t="inlineStr">
        <is>
          <t>32285003418646</t>
        </is>
      </c>
      <c r="BF1197" t="inlineStr">
        <is>
          <t>893904307</t>
        </is>
      </c>
    </row>
    <row r="1198">
      <c r="A1198" t="inlineStr">
        <is>
          <t>No</t>
        </is>
      </c>
      <c r="B1198" t="inlineStr">
        <is>
          <t>CURAL</t>
        </is>
      </c>
      <c r="C1198" t="inlineStr">
        <is>
          <t>SHELVES</t>
        </is>
      </c>
      <c r="D1198" t="inlineStr">
        <is>
          <t>PR3581 .M2 1898</t>
        </is>
      </c>
      <c r="E1198" t="inlineStr">
        <is>
          <t>0                      PR 3581000M  2           1898</t>
        </is>
      </c>
      <c r="F1198" t="inlineStr">
        <is>
          <t>Macaulay's essay on Milton / ed. with introduction and notes by Herbert Augustine Smith.</t>
        </is>
      </c>
      <c r="H1198" t="inlineStr">
        <is>
          <t>No</t>
        </is>
      </c>
      <c r="I1198" t="inlineStr">
        <is>
          <t>1</t>
        </is>
      </c>
      <c r="J1198" t="inlineStr">
        <is>
          <t>No</t>
        </is>
      </c>
      <c r="K1198" t="inlineStr">
        <is>
          <t>No</t>
        </is>
      </c>
      <c r="L1198" t="inlineStr">
        <is>
          <t>0</t>
        </is>
      </c>
      <c r="M1198" t="inlineStr">
        <is>
          <t>Macaulay, Thomas Babington Macaulay, Baron, 1800-1859.</t>
        </is>
      </c>
      <c r="N1198" t="inlineStr">
        <is>
          <t>Boston : London : Ginn and company, 1898.</t>
        </is>
      </c>
      <c r="O1198" t="inlineStr">
        <is>
          <t>1898</t>
        </is>
      </c>
      <c r="Q1198" t="inlineStr">
        <is>
          <t>eng</t>
        </is>
      </c>
      <c r="R1198" t="inlineStr">
        <is>
          <t>mau</t>
        </is>
      </c>
      <c r="S1198" t="inlineStr">
        <is>
          <t>Standard English classics</t>
        </is>
      </c>
      <c r="T1198" t="inlineStr">
        <is>
          <t xml:space="preserve">PR </t>
        </is>
      </c>
      <c r="U1198" t="n">
        <v>1</v>
      </c>
      <c r="V1198" t="n">
        <v>1</v>
      </c>
      <c r="W1198" t="inlineStr">
        <is>
          <t>2000-12-08</t>
        </is>
      </c>
      <c r="X1198" t="inlineStr">
        <is>
          <t>2000-12-08</t>
        </is>
      </c>
      <c r="Y1198" t="inlineStr">
        <is>
          <t>1998-06-11</t>
        </is>
      </c>
      <c r="Z1198" t="inlineStr">
        <is>
          <t>1998-06-11</t>
        </is>
      </c>
      <c r="AA1198" t="n">
        <v>49</v>
      </c>
      <c r="AB1198" t="n">
        <v>41</v>
      </c>
      <c r="AC1198" t="n">
        <v>304</v>
      </c>
      <c r="AD1198" t="n">
        <v>2</v>
      </c>
      <c r="AE1198" t="n">
        <v>4</v>
      </c>
      <c r="AF1198" t="n">
        <v>3</v>
      </c>
      <c r="AG1198" t="n">
        <v>13</v>
      </c>
      <c r="AH1198" t="n">
        <v>1</v>
      </c>
      <c r="AI1198" t="n">
        <v>4</v>
      </c>
      <c r="AJ1198" t="n">
        <v>0</v>
      </c>
      <c r="AK1198" t="n">
        <v>4</v>
      </c>
      <c r="AL1198" t="n">
        <v>1</v>
      </c>
      <c r="AM1198" t="n">
        <v>4</v>
      </c>
      <c r="AN1198" t="n">
        <v>1</v>
      </c>
      <c r="AO1198" t="n">
        <v>3</v>
      </c>
      <c r="AP1198" t="n">
        <v>0</v>
      </c>
      <c r="AQ1198" t="n">
        <v>0</v>
      </c>
      <c r="AR1198" t="inlineStr">
        <is>
          <t>Yes</t>
        </is>
      </c>
      <c r="AS1198" t="inlineStr">
        <is>
          <t>No</t>
        </is>
      </c>
      <c r="AT1198">
        <f>HYPERLINK("http://catalog.hathitrust.org/Record/100481589","HathiTrust Record")</f>
        <v/>
      </c>
      <c r="AU1198">
        <f>HYPERLINK("https://creighton-primo.hosted.exlibrisgroup.com/primo-explore/search?tab=default_tab&amp;search_scope=EVERYTHING&amp;vid=01CRU&amp;lang=en_US&amp;offset=0&amp;query=any,contains,991004876369702656","Catalog Record")</f>
        <v/>
      </c>
      <c r="AV1198">
        <f>HYPERLINK("http://www.worldcat.org/oclc/5793610","WorldCat Record")</f>
        <v/>
      </c>
      <c r="AW1198" t="inlineStr">
        <is>
          <t>1315036:eng</t>
        </is>
      </c>
      <c r="AX1198" t="inlineStr">
        <is>
          <t>5793610</t>
        </is>
      </c>
      <c r="AY1198" t="inlineStr">
        <is>
          <t>991004876369702656</t>
        </is>
      </c>
      <c r="AZ1198" t="inlineStr">
        <is>
          <t>991004876369702656</t>
        </is>
      </c>
      <c r="BA1198" t="inlineStr">
        <is>
          <t>2269485550002656</t>
        </is>
      </c>
      <c r="BB1198" t="inlineStr">
        <is>
          <t>BOOK</t>
        </is>
      </c>
      <c r="BE1198" t="inlineStr">
        <is>
          <t>32285003418653</t>
        </is>
      </c>
      <c r="BF1198" t="inlineStr">
        <is>
          <t>893526613</t>
        </is>
      </c>
    </row>
    <row r="1199">
      <c r="A1199" t="inlineStr">
        <is>
          <t>No</t>
        </is>
      </c>
      <c r="B1199" t="inlineStr">
        <is>
          <t>CURAL</t>
        </is>
      </c>
      <c r="C1199" t="inlineStr">
        <is>
          <t>SHELVES</t>
        </is>
      </c>
      <c r="D1199" t="inlineStr">
        <is>
          <t>PR3581 .M3</t>
        </is>
      </c>
      <c r="E1199" t="inlineStr">
        <is>
          <t>0                      PR 3581000M  3</t>
        </is>
      </c>
      <c r="F1199" t="inlineStr">
        <is>
          <t>The life of John Milton : narrated in connexion with the political, ecclesiastical, and literary history of his time / by David Masson.</t>
        </is>
      </c>
      <c r="G1199" t="inlineStr">
        <is>
          <t>V.3</t>
        </is>
      </c>
      <c r="H1199" t="inlineStr">
        <is>
          <t>Yes</t>
        </is>
      </c>
      <c r="I1199" t="inlineStr">
        <is>
          <t>1</t>
        </is>
      </c>
      <c r="J1199" t="inlineStr">
        <is>
          <t>No</t>
        </is>
      </c>
      <c r="K1199" t="inlineStr">
        <is>
          <t>No</t>
        </is>
      </c>
      <c r="L1199" t="inlineStr">
        <is>
          <t>0</t>
        </is>
      </c>
      <c r="M1199" t="inlineStr">
        <is>
          <t>Masson, David, 1822-1907.</t>
        </is>
      </c>
      <c r="N1199" t="inlineStr">
        <is>
          <t>New York : Peter Smith, 1946.</t>
        </is>
      </c>
      <c r="O1199" t="inlineStr">
        <is>
          <t>1946</t>
        </is>
      </c>
      <c r="Q1199" t="inlineStr">
        <is>
          <t>eng</t>
        </is>
      </c>
      <c r="R1199" t="inlineStr">
        <is>
          <t>nyu</t>
        </is>
      </c>
      <c r="T1199" t="inlineStr">
        <is>
          <t xml:space="preserve">PR </t>
        </is>
      </c>
      <c r="U1199" t="n">
        <v>0</v>
      </c>
      <c r="V1199" t="n">
        <v>4</v>
      </c>
      <c r="X1199" t="inlineStr">
        <is>
          <t>2003-02-23</t>
        </is>
      </c>
      <c r="Y1199" t="inlineStr">
        <is>
          <t>1998-06-11</t>
        </is>
      </c>
      <c r="Z1199" t="inlineStr">
        <is>
          <t>1998-06-11</t>
        </is>
      </c>
      <c r="AA1199" t="n">
        <v>218</v>
      </c>
      <c r="AB1199" t="n">
        <v>208</v>
      </c>
      <c r="AC1199" t="n">
        <v>675</v>
      </c>
      <c r="AD1199" t="n">
        <v>1</v>
      </c>
      <c r="AE1199" t="n">
        <v>5</v>
      </c>
      <c r="AF1199" t="n">
        <v>17</v>
      </c>
      <c r="AG1199" t="n">
        <v>43</v>
      </c>
      <c r="AH1199" t="n">
        <v>7</v>
      </c>
      <c r="AI1199" t="n">
        <v>18</v>
      </c>
      <c r="AJ1199" t="n">
        <v>4</v>
      </c>
      <c r="AK1199" t="n">
        <v>9</v>
      </c>
      <c r="AL1199" t="n">
        <v>10</v>
      </c>
      <c r="AM1199" t="n">
        <v>22</v>
      </c>
      <c r="AN1199" t="n">
        <v>0</v>
      </c>
      <c r="AO1199" t="n">
        <v>4</v>
      </c>
      <c r="AP1199" t="n">
        <v>0</v>
      </c>
      <c r="AQ1199" t="n">
        <v>0</v>
      </c>
      <c r="AR1199" t="inlineStr">
        <is>
          <t>Yes</t>
        </is>
      </c>
      <c r="AS1199" t="inlineStr">
        <is>
          <t>Yes</t>
        </is>
      </c>
      <c r="AT1199">
        <f>HYPERLINK("http://catalog.hathitrust.org/Record/000670235","HathiTrust Record")</f>
        <v/>
      </c>
      <c r="AU1199">
        <f>HYPERLINK("https://creighton-primo.hosted.exlibrisgroup.com/primo-explore/search?tab=default_tab&amp;search_scope=EVERYTHING&amp;vid=01CRU&amp;lang=en_US&amp;offset=0&amp;query=any,contains,991003258069702656","Catalog Record")</f>
        <v/>
      </c>
      <c r="AV1199">
        <f>HYPERLINK("http://www.worldcat.org/oclc/783826","WorldCat Record")</f>
        <v/>
      </c>
      <c r="AW1199" t="inlineStr">
        <is>
          <t>1378414:eng</t>
        </is>
      </c>
      <c r="AX1199" t="inlineStr">
        <is>
          <t>783826</t>
        </is>
      </c>
      <c r="AY1199" t="inlineStr">
        <is>
          <t>991003258069702656</t>
        </is>
      </c>
      <c r="AZ1199" t="inlineStr">
        <is>
          <t>991003258069702656</t>
        </is>
      </c>
      <c r="BA1199" t="inlineStr">
        <is>
          <t>2264004540002656</t>
        </is>
      </c>
      <c r="BB1199" t="inlineStr">
        <is>
          <t>BOOK</t>
        </is>
      </c>
      <c r="BE1199" t="inlineStr">
        <is>
          <t>32285003418687</t>
        </is>
      </c>
      <c r="BF1199" t="inlineStr">
        <is>
          <t>893240025</t>
        </is>
      </c>
    </row>
    <row r="1200">
      <c r="A1200" t="inlineStr">
        <is>
          <t>No</t>
        </is>
      </c>
      <c r="B1200" t="inlineStr">
        <is>
          <t>CURAL</t>
        </is>
      </c>
      <c r="C1200" t="inlineStr">
        <is>
          <t>SHELVES</t>
        </is>
      </c>
      <c r="D1200" t="inlineStr">
        <is>
          <t>PR3581 .M3</t>
        </is>
      </c>
      <c r="E1200" t="inlineStr">
        <is>
          <t>0                      PR 3581000M  3</t>
        </is>
      </c>
      <c r="F1200" t="inlineStr">
        <is>
          <t>The life of John Milton : narrated in connexion with the political, ecclesiastical, and literary history of his time / by David Masson.</t>
        </is>
      </c>
      <c r="G1200" t="inlineStr">
        <is>
          <t>V.2</t>
        </is>
      </c>
      <c r="H1200" t="inlineStr">
        <is>
          <t>Yes</t>
        </is>
      </c>
      <c r="I1200" t="inlineStr">
        <is>
          <t>1</t>
        </is>
      </c>
      <c r="J1200" t="inlineStr">
        <is>
          <t>No</t>
        </is>
      </c>
      <c r="K1200" t="inlineStr">
        <is>
          <t>No</t>
        </is>
      </c>
      <c r="L1200" t="inlineStr">
        <is>
          <t>0</t>
        </is>
      </c>
      <c r="M1200" t="inlineStr">
        <is>
          <t>Masson, David, 1822-1907.</t>
        </is>
      </c>
      <c r="N1200" t="inlineStr">
        <is>
          <t>New York : Peter Smith, 1946.</t>
        </is>
      </c>
      <c r="O1200" t="inlineStr">
        <is>
          <t>1946</t>
        </is>
      </c>
      <c r="Q1200" t="inlineStr">
        <is>
          <t>eng</t>
        </is>
      </c>
      <c r="R1200" t="inlineStr">
        <is>
          <t>nyu</t>
        </is>
      </c>
      <c r="T1200" t="inlineStr">
        <is>
          <t xml:space="preserve">PR </t>
        </is>
      </c>
      <c r="U1200" t="n">
        <v>2</v>
      </c>
      <c r="V1200" t="n">
        <v>4</v>
      </c>
      <c r="X1200" t="inlineStr">
        <is>
          <t>2003-02-23</t>
        </is>
      </c>
      <c r="Y1200" t="inlineStr">
        <is>
          <t>1998-06-11</t>
        </is>
      </c>
      <c r="Z1200" t="inlineStr">
        <is>
          <t>1998-06-11</t>
        </is>
      </c>
      <c r="AA1200" t="n">
        <v>218</v>
      </c>
      <c r="AB1200" t="n">
        <v>208</v>
      </c>
      <c r="AC1200" t="n">
        <v>675</v>
      </c>
      <c r="AD1200" t="n">
        <v>1</v>
      </c>
      <c r="AE1200" t="n">
        <v>5</v>
      </c>
      <c r="AF1200" t="n">
        <v>17</v>
      </c>
      <c r="AG1200" t="n">
        <v>43</v>
      </c>
      <c r="AH1200" t="n">
        <v>7</v>
      </c>
      <c r="AI1200" t="n">
        <v>18</v>
      </c>
      <c r="AJ1200" t="n">
        <v>4</v>
      </c>
      <c r="AK1200" t="n">
        <v>9</v>
      </c>
      <c r="AL1200" t="n">
        <v>10</v>
      </c>
      <c r="AM1200" t="n">
        <v>22</v>
      </c>
      <c r="AN1200" t="n">
        <v>0</v>
      </c>
      <c r="AO1200" t="n">
        <v>4</v>
      </c>
      <c r="AP1200" t="n">
        <v>0</v>
      </c>
      <c r="AQ1200" t="n">
        <v>0</v>
      </c>
      <c r="AR1200" t="inlineStr">
        <is>
          <t>Yes</t>
        </is>
      </c>
      <c r="AS1200" t="inlineStr">
        <is>
          <t>Yes</t>
        </is>
      </c>
      <c r="AT1200">
        <f>HYPERLINK("http://catalog.hathitrust.org/Record/000670235","HathiTrust Record")</f>
        <v/>
      </c>
      <c r="AU1200">
        <f>HYPERLINK("https://creighton-primo.hosted.exlibrisgroup.com/primo-explore/search?tab=default_tab&amp;search_scope=EVERYTHING&amp;vid=01CRU&amp;lang=en_US&amp;offset=0&amp;query=any,contains,991003258069702656","Catalog Record")</f>
        <v/>
      </c>
      <c r="AV1200">
        <f>HYPERLINK("http://www.worldcat.org/oclc/783826","WorldCat Record")</f>
        <v/>
      </c>
      <c r="AW1200" t="inlineStr">
        <is>
          <t>1378414:eng</t>
        </is>
      </c>
      <c r="AX1200" t="inlineStr">
        <is>
          <t>783826</t>
        </is>
      </c>
      <c r="AY1200" t="inlineStr">
        <is>
          <t>991003258069702656</t>
        </is>
      </c>
      <c r="AZ1200" t="inlineStr">
        <is>
          <t>991003258069702656</t>
        </is>
      </c>
      <c r="BA1200" t="inlineStr">
        <is>
          <t>2264004540002656</t>
        </is>
      </c>
      <c r="BB1200" t="inlineStr">
        <is>
          <t>BOOK</t>
        </is>
      </c>
      <c r="BE1200" t="inlineStr">
        <is>
          <t>32285003418679</t>
        </is>
      </c>
      <c r="BF1200" t="inlineStr">
        <is>
          <t>893252204</t>
        </is>
      </c>
    </row>
    <row r="1201">
      <c r="A1201" t="inlineStr">
        <is>
          <t>No</t>
        </is>
      </c>
      <c r="B1201" t="inlineStr">
        <is>
          <t>CURAL</t>
        </is>
      </c>
      <c r="C1201" t="inlineStr">
        <is>
          <t>SHELVES</t>
        </is>
      </c>
      <c r="D1201" t="inlineStr">
        <is>
          <t>PR3581 .M3</t>
        </is>
      </c>
      <c r="E1201" t="inlineStr">
        <is>
          <t>0                      PR 3581000M  3</t>
        </is>
      </c>
      <c r="F1201" t="inlineStr">
        <is>
          <t>The life of John Milton : narrated in connexion with the political, ecclesiastical, and literary history of his time / by David Masson.</t>
        </is>
      </c>
      <c r="G1201" t="inlineStr">
        <is>
          <t>V.4</t>
        </is>
      </c>
      <c r="H1201" t="inlineStr">
        <is>
          <t>Yes</t>
        </is>
      </c>
      <c r="I1201" t="inlineStr">
        <is>
          <t>1</t>
        </is>
      </c>
      <c r="J1201" t="inlineStr">
        <is>
          <t>No</t>
        </is>
      </c>
      <c r="K1201" t="inlineStr">
        <is>
          <t>No</t>
        </is>
      </c>
      <c r="L1201" t="inlineStr">
        <is>
          <t>0</t>
        </is>
      </c>
      <c r="M1201" t="inlineStr">
        <is>
          <t>Masson, David, 1822-1907.</t>
        </is>
      </c>
      <c r="N1201" t="inlineStr">
        <is>
          <t>New York : Peter Smith, 1946.</t>
        </is>
      </c>
      <c r="O1201" t="inlineStr">
        <is>
          <t>1946</t>
        </is>
      </c>
      <c r="Q1201" t="inlineStr">
        <is>
          <t>eng</t>
        </is>
      </c>
      <c r="R1201" t="inlineStr">
        <is>
          <t>nyu</t>
        </is>
      </c>
      <c r="T1201" t="inlineStr">
        <is>
          <t xml:space="preserve">PR </t>
        </is>
      </c>
      <c r="U1201" t="n">
        <v>1</v>
      </c>
      <c r="V1201" t="n">
        <v>4</v>
      </c>
      <c r="W1201" t="inlineStr">
        <is>
          <t>2003-02-23</t>
        </is>
      </c>
      <c r="X1201" t="inlineStr">
        <is>
          <t>2003-02-23</t>
        </is>
      </c>
      <c r="Y1201" t="inlineStr">
        <is>
          <t>1998-06-11</t>
        </is>
      </c>
      <c r="Z1201" t="inlineStr">
        <is>
          <t>1998-06-11</t>
        </is>
      </c>
      <c r="AA1201" t="n">
        <v>218</v>
      </c>
      <c r="AB1201" t="n">
        <v>208</v>
      </c>
      <c r="AC1201" t="n">
        <v>675</v>
      </c>
      <c r="AD1201" t="n">
        <v>1</v>
      </c>
      <c r="AE1201" t="n">
        <v>5</v>
      </c>
      <c r="AF1201" t="n">
        <v>17</v>
      </c>
      <c r="AG1201" t="n">
        <v>43</v>
      </c>
      <c r="AH1201" t="n">
        <v>7</v>
      </c>
      <c r="AI1201" t="n">
        <v>18</v>
      </c>
      <c r="AJ1201" t="n">
        <v>4</v>
      </c>
      <c r="AK1201" t="n">
        <v>9</v>
      </c>
      <c r="AL1201" t="n">
        <v>10</v>
      </c>
      <c r="AM1201" t="n">
        <v>22</v>
      </c>
      <c r="AN1201" t="n">
        <v>0</v>
      </c>
      <c r="AO1201" t="n">
        <v>4</v>
      </c>
      <c r="AP1201" t="n">
        <v>0</v>
      </c>
      <c r="AQ1201" t="n">
        <v>0</v>
      </c>
      <c r="AR1201" t="inlineStr">
        <is>
          <t>Yes</t>
        </is>
      </c>
      <c r="AS1201" t="inlineStr">
        <is>
          <t>Yes</t>
        </is>
      </c>
      <c r="AT1201">
        <f>HYPERLINK("http://catalog.hathitrust.org/Record/000670235","HathiTrust Record")</f>
        <v/>
      </c>
      <c r="AU1201">
        <f>HYPERLINK("https://creighton-primo.hosted.exlibrisgroup.com/primo-explore/search?tab=default_tab&amp;search_scope=EVERYTHING&amp;vid=01CRU&amp;lang=en_US&amp;offset=0&amp;query=any,contains,991003258069702656","Catalog Record")</f>
        <v/>
      </c>
      <c r="AV1201">
        <f>HYPERLINK("http://www.worldcat.org/oclc/783826","WorldCat Record")</f>
        <v/>
      </c>
      <c r="AW1201" t="inlineStr">
        <is>
          <t>1378414:eng</t>
        </is>
      </c>
      <c r="AX1201" t="inlineStr">
        <is>
          <t>783826</t>
        </is>
      </c>
      <c r="AY1201" t="inlineStr">
        <is>
          <t>991003258069702656</t>
        </is>
      </c>
      <c r="AZ1201" t="inlineStr">
        <is>
          <t>991003258069702656</t>
        </is>
      </c>
      <c r="BA1201" t="inlineStr">
        <is>
          <t>2264004540002656</t>
        </is>
      </c>
      <c r="BB1201" t="inlineStr">
        <is>
          <t>BOOK</t>
        </is>
      </c>
      <c r="BE1201" t="inlineStr">
        <is>
          <t>32285003418695</t>
        </is>
      </c>
      <c r="BF1201" t="inlineStr">
        <is>
          <t>893252203</t>
        </is>
      </c>
    </row>
    <row r="1202">
      <c r="A1202" t="inlineStr">
        <is>
          <t>No</t>
        </is>
      </c>
      <c r="B1202" t="inlineStr">
        <is>
          <t>CURAL</t>
        </is>
      </c>
      <c r="C1202" t="inlineStr">
        <is>
          <t>SHELVES</t>
        </is>
      </c>
      <c r="D1202" t="inlineStr">
        <is>
          <t>PR3581 .M3</t>
        </is>
      </c>
      <c r="E1202" t="inlineStr">
        <is>
          <t>0                      PR 3581000M  3</t>
        </is>
      </c>
      <c r="F1202" t="inlineStr">
        <is>
          <t>The life of John Milton : narrated in connexion with the political, ecclesiastical, and literary history of his time / by David Masson.</t>
        </is>
      </c>
      <c r="G1202" t="inlineStr">
        <is>
          <t>V.6</t>
        </is>
      </c>
      <c r="H1202" t="inlineStr">
        <is>
          <t>Yes</t>
        </is>
      </c>
      <c r="I1202" t="inlineStr">
        <is>
          <t>1</t>
        </is>
      </c>
      <c r="J1202" t="inlineStr">
        <is>
          <t>No</t>
        </is>
      </c>
      <c r="K1202" t="inlineStr">
        <is>
          <t>No</t>
        </is>
      </c>
      <c r="L1202" t="inlineStr">
        <is>
          <t>0</t>
        </is>
      </c>
      <c r="M1202" t="inlineStr">
        <is>
          <t>Masson, David, 1822-1907.</t>
        </is>
      </c>
      <c r="N1202" t="inlineStr">
        <is>
          <t>New York : Peter Smith, 1946.</t>
        </is>
      </c>
      <c r="O1202" t="inlineStr">
        <is>
          <t>1946</t>
        </is>
      </c>
      <c r="Q1202" t="inlineStr">
        <is>
          <t>eng</t>
        </is>
      </c>
      <c r="R1202" t="inlineStr">
        <is>
          <t>nyu</t>
        </is>
      </c>
      <c r="T1202" t="inlineStr">
        <is>
          <t xml:space="preserve">PR </t>
        </is>
      </c>
      <c r="U1202" t="n">
        <v>0</v>
      </c>
      <c r="V1202" t="n">
        <v>4</v>
      </c>
      <c r="X1202" t="inlineStr">
        <is>
          <t>2003-02-23</t>
        </is>
      </c>
      <c r="Y1202" t="inlineStr">
        <is>
          <t>1998-06-11</t>
        </is>
      </c>
      <c r="Z1202" t="inlineStr">
        <is>
          <t>1998-06-11</t>
        </is>
      </c>
      <c r="AA1202" t="n">
        <v>218</v>
      </c>
      <c r="AB1202" t="n">
        <v>208</v>
      </c>
      <c r="AC1202" t="n">
        <v>675</v>
      </c>
      <c r="AD1202" t="n">
        <v>1</v>
      </c>
      <c r="AE1202" t="n">
        <v>5</v>
      </c>
      <c r="AF1202" t="n">
        <v>17</v>
      </c>
      <c r="AG1202" t="n">
        <v>43</v>
      </c>
      <c r="AH1202" t="n">
        <v>7</v>
      </c>
      <c r="AI1202" t="n">
        <v>18</v>
      </c>
      <c r="AJ1202" t="n">
        <v>4</v>
      </c>
      <c r="AK1202" t="n">
        <v>9</v>
      </c>
      <c r="AL1202" t="n">
        <v>10</v>
      </c>
      <c r="AM1202" t="n">
        <v>22</v>
      </c>
      <c r="AN1202" t="n">
        <v>0</v>
      </c>
      <c r="AO1202" t="n">
        <v>4</v>
      </c>
      <c r="AP1202" t="n">
        <v>0</v>
      </c>
      <c r="AQ1202" t="n">
        <v>0</v>
      </c>
      <c r="AR1202" t="inlineStr">
        <is>
          <t>Yes</t>
        </is>
      </c>
      <c r="AS1202" t="inlineStr">
        <is>
          <t>Yes</t>
        </is>
      </c>
      <c r="AT1202">
        <f>HYPERLINK("http://catalog.hathitrust.org/Record/000670235","HathiTrust Record")</f>
        <v/>
      </c>
      <c r="AU1202">
        <f>HYPERLINK("https://creighton-primo.hosted.exlibrisgroup.com/primo-explore/search?tab=default_tab&amp;search_scope=EVERYTHING&amp;vid=01CRU&amp;lang=en_US&amp;offset=0&amp;query=any,contains,991003258069702656","Catalog Record")</f>
        <v/>
      </c>
      <c r="AV1202">
        <f>HYPERLINK("http://www.worldcat.org/oclc/783826","WorldCat Record")</f>
        <v/>
      </c>
      <c r="AW1202" t="inlineStr">
        <is>
          <t>1378414:eng</t>
        </is>
      </c>
      <c r="AX1202" t="inlineStr">
        <is>
          <t>783826</t>
        </is>
      </c>
      <c r="AY1202" t="inlineStr">
        <is>
          <t>991003258069702656</t>
        </is>
      </c>
      <c r="AZ1202" t="inlineStr">
        <is>
          <t>991003258069702656</t>
        </is>
      </c>
      <c r="BA1202" t="inlineStr">
        <is>
          <t>2264004540002656</t>
        </is>
      </c>
      <c r="BB1202" t="inlineStr">
        <is>
          <t>BOOK</t>
        </is>
      </c>
      <c r="BE1202" t="inlineStr">
        <is>
          <t>32285003418711</t>
        </is>
      </c>
      <c r="BF1202" t="inlineStr">
        <is>
          <t>893227870</t>
        </is>
      </c>
    </row>
    <row r="1203">
      <c r="A1203" t="inlineStr">
        <is>
          <t>No</t>
        </is>
      </c>
      <c r="B1203" t="inlineStr">
        <is>
          <t>CURAL</t>
        </is>
      </c>
      <c r="C1203" t="inlineStr">
        <is>
          <t>SHELVES</t>
        </is>
      </c>
      <c r="D1203" t="inlineStr">
        <is>
          <t>PR3581 .M3</t>
        </is>
      </c>
      <c r="E1203" t="inlineStr">
        <is>
          <t>0                      PR 3581000M  3</t>
        </is>
      </c>
      <c r="F1203" t="inlineStr">
        <is>
          <t>The life of John Milton : narrated in connexion with the political, ecclesiastical, and literary history of his time / by David Masson.</t>
        </is>
      </c>
      <c r="G1203" t="inlineStr">
        <is>
          <t>V.5</t>
        </is>
      </c>
      <c r="H1203" t="inlineStr">
        <is>
          <t>Yes</t>
        </is>
      </c>
      <c r="I1203" t="inlineStr">
        <is>
          <t>1</t>
        </is>
      </c>
      <c r="J1203" t="inlineStr">
        <is>
          <t>No</t>
        </is>
      </c>
      <c r="K1203" t="inlineStr">
        <is>
          <t>No</t>
        </is>
      </c>
      <c r="L1203" t="inlineStr">
        <is>
          <t>0</t>
        </is>
      </c>
      <c r="M1203" t="inlineStr">
        <is>
          <t>Masson, David, 1822-1907.</t>
        </is>
      </c>
      <c r="N1203" t="inlineStr">
        <is>
          <t>New York : Peter Smith, 1946.</t>
        </is>
      </c>
      <c r="O1203" t="inlineStr">
        <is>
          <t>1946</t>
        </is>
      </c>
      <c r="Q1203" t="inlineStr">
        <is>
          <t>eng</t>
        </is>
      </c>
      <c r="R1203" t="inlineStr">
        <is>
          <t>nyu</t>
        </is>
      </c>
      <c r="T1203" t="inlineStr">
        <is>
          <t xml:space="preserve">PR </t>
        </is>
      </c>
      <c r="U1203" t="n">
        <v>0</v>
      </c>
      <c r="V1203" t="n">
        <v>4</v>
      </c>
      <c r="X1203" t="inlineStr">
        <is>
          <t>2003-02-23</t>
        </is>
      </c>
      <c r="Y1203" t="inlineStr">
        <is>
          <t>1998-06-11</t>
        </is>
      </c>
      <c r="Z1203" t="inlineStr">
        <is>
          <t>1998-06-11</t>
        </is>
      </c>
      <c r="AA1203" t="n">
        <v>218</v>
      </c>
      <c r="AB1203" t="n">
        <v>208</v>
      </c>
      <c r="AC1203" t="n">
        <v>675</v>
      </c>
      <c r="AD1203" t="n">
        <v>1</v>
      </c>
      <c r="AE1203" t="n">
        <v>5</v>
      </c>
      <c r="AF1203" t="n">
        <v>17</v>
      </c>
      <c r="AG1203" t="n">
        <v>43</v>
      </c>
      <c r="AH1203" t="n">
        <v>7</v>
      </c>
      <c r="AI1203" t="n">
        <v>18</v>
      </c>
      <c r="AJ1203" t="n">
        <v>4</v>
      </c>
      <c r="AK1203" t="n">
        <v>9</v>
      </c>
      <c r="AL1203" t="n">
        <v>10</v>
      </c>
      <c r="AM1203" t="n">
        <v>22</v>
      </c>
      <c r="AN1203" t="n">
        <v>0</v>
      </c>
      <c r="AO1203" t="n">
        <v>4</v>
      </c>
      <c r="AP1203" t="n">
        <v>0</v>
      </c>
      <c r="AQ1203" t="n">
        <v>0</v>
      </c>
      <c r="AR1203" t="inlineStr">
        <is>
          <t>Yes</t>
        </is>
      </c>
      <c r="AS1203" t="inlineStr">
        <is>
          <t>Yes</t>
        </is>
      </c>
      <c r="AT1203">
        <f>HYPERLINK("http://catalog.hathitrust.org/Record/000670235","HathiTrust Record")</f>
        <v/>
      </c>
      <c r="AU1203">
        <f>HYPERLINK("https://creighton-primo.hosted.exlibrisgroup.com/primo-explore/search?tab=default_tab&amp;search_scope=EVERYTHING&amp;vid=01CRU&amp;lang=en_US&amp;offset=0&amp;query=any,contains,991003258069702656","Catalog Record")</f>
        <v/>
      </c>
      <c r="AV1203">
        <f>HYPERLINK("http://www.worldcat.org/oclc/783826","WorldCat Record")</f>
        <v/>
      </c>
      <c r="AW1203" t="inlineStr">
        <is>
          <t>1378414:eng</t>
        </is>
      </c>
      <c r="AX1203" t="inlineStr">
        <is>
          <t>783826</t>
        </is>
      </c>
      <c r="AY1203" t="inlineStr">
        <is>
          <t>991003258069702656</t>
        </is>
      </c>
      <c r="AZ1203" t="inlineStr">
        <is>
          <t>991003258069702656</t>
        </is>
      </c>
      <c r="BA1203" t="inlineStr">
        <is>
          <t>2264004540002656</t>
        </is>
      </c>
      <c r="BB1203" t="inlineStr">
        <is>
          <t>BOOK</t>
        </is>
      </c>
      <c r="BE1203" t="inlineStr">
        <is>
          <t>32285003418703</t>
        </is>
      </c>
      <c r="BF1203" t="inlineStr">
        <is>
          <t>893246187</t>
        </is>
      </c>
    </row>
    <row r="1204">
      <c r="A1204" t="inlineStr">
        <is>
          <t>No</t>
        </is>
      </c>
      <c r="B1204" t="inlineStr">
        <is>
          <t>CURAL</t>
        </is>
      </c>
      <c r="C1204" t="inlineStr">
        <is>
          <t>SHELVES</t>
        </is>
      </c>
      <c r="D1204" t="inlineStr">
        <is>
          <t>PR3581 .M3</t>
        </is>
      </c>
      <c r="E1204" t="inlineStr">
        <is>
          <t>0                      PR 3581000M  3</t>
        </is>
      </c>
      <c r="F1204" t="inlineStr">
        <is>
          <t>The life of John Milton : narrated in connexion with the political, ecclesiastical, and literary history of his time / by David Masson.</t>
        </is>
      </c>
      <c r="G1204" t="inlineStr">
        <is>
          <t>V.1</t>
        </is>
      </c>
      <c r="H1204" t="inlineStr">
        <is>
          <t>Yes</t>
        </is>
      </c>
      <c r="I1204" t="inlineStr">
        <is>
          <t>1</t>
        </is>
      </c>
      <c r="J1204" t="inlineStr">
        <is>
          <t>No</t>
        </is>
      </c>
      <c r="K1204" t="inlineStr">
        <is>
          <t>No</t>
        </is>
      </c>
      <c r="L1204" t="inlineStr">
        <is>
          <t>0</t>
        </is>
      </c>
      <c r="M1204" t="inlineStr">
        <is>
          <t>Masson, David, 1822-1907.</t>
        </is>
      </c>
      <c r="N1204" t="inlineStr">
        <is>
          <t>New York : Peter Smith, 1946.</t>
        </is>
      </c>
      <c r="O1204" t="inlineStr">
        <is>
          <t>1946</t>
        </is>
      </c>
      <c r="Q1204" t="inlineStr">
        <is>
          <t>eng</t>
        </is>
      </c>
      <c r="R1204" t="inlineStr">
        <is>
          <t>nyu</t>
        </is>
      </c>
      <c r="T1204" t="inlineStr">
        <is>
          <t xml:space="preserve">PR </t>
        </is>
      </c>
      <c r="U1204" t="n">
        <v>1</v>
      </c>
      <c r="V1204" t="n">
        <v>4</v>
      </c>
      <c r="W1204" t="inlineStr">
        <is>
          <t>2003-02-23</t>
        </is>
      </c>
      <c r="X1204" t="inlineStr">
        <is>
          <t>2003-02-23</t>
        </is>
      </c>
      <c r="Y1204" t="inlineStr">
        <is>
          <t>1998-06-11</t>
        </is>
      </c>
      <c r="Z1204" t="inlineStr">
        <is>
          <t>1998-06-11</t>
        </is>
      </c>
      <c r="AA1204" t="n">
        <v>218</v>
      </c>
      <c r="AB1204" t="n">
        <v>208</v>
      </c>
      <c r="AC1204" t="n">
        <v>675</v>
      </c>
      <c r="AD1204" t="n">
        <v>1</v>
      </c>
      <c r="AE1204" t="n">
        <v>5</v>
      </c>
      <c r="AF1204" t="n">
        <v>17</v>
      </c>
      <c r="AG1204" t="n">
        <v>43</v>
      </c>
      <c r="AH1204" t="n">
        <v>7</v>
      </c>
      <c r="AI1204" t="n">
        <v>18</v>
      </c>
      <c r="AJ1204" t="n">
        <v>4</v>
      </c>
      <c r="AK1204" t="n">
        <v>9</v>
      </c>
      <c r="AL1204" t="n">
        <v>10</v>
      </c>
      <c r="AM1204" t="n">
        <v>22</v>
      </c>
      <c r="AN1204" t="n">
        <v>0</v>
      </c>
      <c r="AO1204" t="n">
        <v>4</v>
      </c>
      <c r="AP1204" t="n">
        <v>0</v>
      </c>
      <c r="AQ1204" t="n">
        <v>0</v>
      </c>
      <c r="AR1204" t="inlineStr">
        <is>
          <t>Yes</t>
        </is>
      </c>
      <c r="AS1204" t="inlineStr">
        <is>
          <t>Yes</t>
        </is>
      </c>
      <c r="AT1204">
        <f>HYPERLINK("http://catalog.hathitrust.org/Record/000670235","HathiTrust Record")</f>
        <v/>
      </c>
      <c r="AU1204">
        <f>HYPERLINK("https://creighton-primo.hosted.exlibrisgroup.com/primo-explore/search?tab=default_tab&amp;search_scope=EVERYTHING&amp;vid=01CRU&amp;lang=en_US&amp;offset=0&amp;query=any,contains,991003258069702656","Catalog Record")</f>
        <v/>
      </c>
      <c r="AV1204">
        <f>HYPERLINK("http://www.worldcat.org/oclc/783826","WorldCat Record")</f>
        <v/>
      </c>
      <c r="AW1204" t="inlineStr">
        <is>
          <t>1378414:eng</t>
        </is>
      </c>
      <c r="AX1204" t="inlineStr">
        <is>
          <t>783826</t>
        </is>
      </c>
      <c r="AY1204" t="inlineStr">
        <is>
          <t>991003258069702656</t>
        </is>
      </c>
      <c r="AZ1204" t="inlineStr">
        <is>
          <t>991003258069702656</t>
        </is>
      </c>
      <c r="BA1204" t="inlineStr">
        <is>
          <t>2264004540002656</t>
        </is>
      </c>
      <c r="BB1204" t="inlineStr">
        <is>
          <t>BOOK</t>
        </is>
      </c>
      <c r="BE1204" t="inlineStr">
        <is>
          <t>32285003418661</t>
        </is>
      </c>
      <c r="BF1204" t="inlineStr">
        <is>
          <t>893246186</t>
        </is>
      </c>
    </row>
    <row r="1205">
      <c r="A1205" t="inlineStr">
        <is>
          <t>No</t>
        </is>
      </c>
      <c r="B1205" t="inlineStr">
        <is>
          <t>CURAL</t>
        </is>
      </c>
      <c r="C1205" t="inlineStr">
        <is>
          <t>SHELVES</t>
        </is>
      </c>
      <c r="D1205" t="inlineStr">
        <is>
          <t>PR3581 .M3</t>
        </is>
      </c>
      <c r="E1205" t="inlineStr">
        <is>
          <t>0                      PR 3581000M  3</t>
        </is>
      </c>
      <c r="F1205" t="inlineStr">
        <is>
          <t>The life of John Milton : narrated in connexion with the political, ecclesiastical, and literary history of his time / by David Masson.</t>
        </is>
      </c>
      <c r="G1205" t="inlineStr">
        <is>
          <t>V.7</t>
        </is>
      </c>
      <c r="H1205" t="inlineStr">
        <is>
          <t>Yes</t>
        </is>
      </c>
      <c r="I1205" t="inlineStr">
        <is>
          <t>1</t>
        </is>
      </c>
      <c r="J1205" t="inlineStr">
        <is>
          <t>No</t>
        </is>
      </c>
      <c r="K1205" t="inlineStr">
        <is>
          <t>No</t>
        </is>
      </c>
      <c r="L1205" t="inlineStr">
        <is>
          <t>0</t>
        </is>
      </c>
      <c r="M1205" t="inlineStr">
        <is>
          <t>Masson, David, 1822-1907.</t>
        </is>
      </c>
      <c r="N1205" t="inlineStr">
        <is>
          <t>New York : Peter Smith, 1946.</t>
        </is>
      </c>
      <c r="O1205" t="inlineStr">
        <is>
          <t>1946</t>
        </is>
      </c>
      <c r="Q1205" t="inlineStr">
        <is>
          <t>eng</t>
        </is>
      </c>
      <c r="R1205" t="inlineStr">
        <is>
          <t>nyu</t>
        </is>
      </c>
      <c r="T1205" t="inlineStr">
        <is>
          <t xml:space="preserve">PR </t>
        </is>
      </c>
      <c r="U1205" t="n">
        <v>0</v>
      </c>
      <c r="V1205" t="n">
        <v>4</v>
      </c>
      <c r="X1205" t="inlineStr">
        <is>
          <t>2003-02-23</t>
        </is>
      </c>
      <c r="Y1205" t="inlineStr">
        <is>
          <t>1998-06-11</t>
        </is>
      </c>
      <c r="Z1205" t="inlineStr">
        <is>
          <t>1998-06-11</t>
        </is>
      </c>
      <c r="AA1205" t="n">
        <v>218</v>
      </c>
      <c r="AB1205" t="n">
        <v>208</v>
      </c>
      <c r="AC1205" t="n">
        <v>675</v>
      </c>
      <c r="AD1205" t="n">
        <v>1</v>
      </c>
      <c r="AE1205" t="n">
        <v>5</v>
      </c>
      <c r="AF1205" t="n">
        <v>17</v>
      </c>
      <c r="AG1205" t="n">
        <v>43</v>
      </c>
      <c r="AH1205" t="n">
        <v>7</v>
      </c>
      <c r="AI1205" t="n">
        <v>18</v>
      </c>
      <c r="AJ1205" t="n">
        <v>4</v>
      </c>
      <c r="AK1205" t="n">
        <v>9</v>
      </c>
      <c r="AL1205" t="n">
        <v>10</v>
      </c>
      <c r="AM1205" t="n">
        <v>22</v>
      </c>
      <c r="AN1205" t="n">
        <v>0</v>
      </c>
      <c r="AO1205" t="n">
        <v>4</v>
      </c>
      <c r="AP1205" t="n">
        <v>0</v>
      </c>
      <c r="AQ1205" t="n">
        <v>0</v>
      </c>
      <c r="AR1205" t="inlineStr">
        <is>
          <t>Yes</t>
        </is>
      </c>
      <c r="AS1205" t="inlineStr">
        <is>
          <t>Yes</t>
        </is>
      </c>
      <c r="AT1205">
        <f>HYPERLINK("http://catalog.hathitrust.org/Record/000670235","HathiTrust Record")</f>
        <v/>
      </c>
      <c r="AU1205">
        <f>HYPERLINK("https://creighton-primo.hosted.exlibrisgroup.com/primo-explore/search?tab=default_tab&amp;search_scope=EVERYTHING&amp;vid=01CRU&amp;lang=en_US&amp;offset=0&amp;query=any,contains,991003258069702656","Catalog Record")</f>
        <v/>
      </c>
      <c r="AV1205">
        <f>HYPERLINK("http://www.worldcat.org/oclc/783826","WorldCat Record")</f>
        <v/>
      </c>
      <c r="AW1205" t="inlineStr">
        <is>
          <t>1378414:eng</t>
        </is>
      </c>
      <c r="AX1205" t="inlineStr">
        <is>
          <t>783826</t>
        </is>
      </c>
      <c r="AY1205" t="inlineStr">
        <is>
          <t>991003258069702656</t>
        </is>
      </c>
      <c r="AZ1205" t="inlineStr">
        <is>
          <t>991003258069702656</t>
        </is>
      </c>
      <c r="BA1205" t="inlineStr">
        <is>
          <t>2264004540002656</t>
        </is>
      </c>
      <c r="BB1205" t="inlineStr">
        <is>
          <t>BOOK</t>
        </is>
      </c>
      <c r="BE1205" t="inlineStr">
        <is>
          <t>32285003418729</t>
        </is>
      </c>
      <c r="BF1205" t="inlineStr">
        <is>
          <t>893240024</t>
        </is>
      </c>
    </row>
    <row r="1206">
      <c r="A1206" t="inlineStr">
        <is>
          <t>No</t>
        </is>
      </c>
      <c r="B1206" t="inlineStr">
        <is>
          <t>CURAL</t>
        </is>
      </c>
      <c r="C1206" t="inlineStr">
        <is>
          <t>SHELVES</t>
        </is>
      </c>
      <c r="D1206" t="inlineStr">
        <is>
          <t>PR3581 .P27</t>
        </is>
      </c>
      <c r="E1206" t="inlineStr">
        <is>
          <t>0                      PR 3581000P  27</t>
        </is>
      </c>
      <c r="F1206" t="inlineStr">
        <is>
          <t>Milton: a biography.</t>
        </is>
      </c>
      <c r="G1206" t="inlineStr">
        <is>
          <t>V.1</t>
        </is>
      </c>
      <c r="H1206" t="inlineStr">
        <is>
          <t>Yes</t>
        </is>
      </c>
      <c r="I1206" t="inlineStr">
        <is>
          <t>1</t>
        </is>
      </c>
      <c r="J1206" t="inlineStr">
        <is>
          <t>No</t>
        </is>
      </c>
      <c r="K1206" t="inlineStr">
        <is>
          <t>Yes</t>
        </is>
      </c>
      <c r="L1206" t="inlineStr">
        <is>
          <t>0</t>
        </is>
      </c>
      <c r="M1206" t="inlineStr">
        <is>
          <t>Parker, William Riley, 1906-1968.</t>
        </is>
      </c>
      <c r="N1206" t="inlineStr">
        <is>
          <t>Oxford, Clarendon P., 1968.</t>
        </is>
      </c>
      <c r="O1206" t="inlineStr">
        <is>
          <t>1968</t>
        </is>
      </c>
      <c r="Q1206" t="inlineStr">
        <is>
          <t>eng</t>
        </is>
      </c>
      <c r="R1206" t="inlineStr">
        <is>
          <t>enk</t>
        </is>
      </c>
      <c r="T1206" t="inlineStr">
        <is>
          <t xml:space="preserve">PR </t>
        </is>
      </c>
      <c r="U1206" t="n">
        <v>2</v>
      </c>
      <c r="V1206" t="n">
        <v>2</v>
      </c>
      <c r="W1206" t="inlineStr">
        <is>
          <t>2002-10-29</t>
        </is>
      </c>
      <c r="X1206" t="inlineStr">
        <is>
          <t>2002-10-29</t>
        </is>
      </c>
      <c r="Y1206" t="inlineStr">
        <is>
          <t>1997-07-24</t>
        </is>
      </c>
      <c r="Z1206" t="inlineStr">
        <is>
          <t>1997-07-24</t>
        </is>
      </c>
      <c r="AA1206" t="n">
        <v>1060</v>
      </c>
      <c r="AB1206" t="n">
        <v>925</v>
      </c>
      <c r="AC1206" t="n">
        <v>997</v>
      </c>
      <c r="AD1206" t="n">
        <v>12</v>
      </c>
      <c r="AE1206" t="n">
        <v>12</v>
      </c>
      <c r="AF1206" t="n">
        <v>52</v>
      </c>
      <c r="AG1206" t="n">
        <v>55</v>
      </c>
      <c r="AH1206" t="n">
        <v>22</v>
      </c>
      <c r="AI1206" t="n">
        <v>23</v>
      </c>
      <c r="AJ1206" t="n">
        <v>7</v>
      </c>
      <c r="AK1206" t="n">
        <v>8</v>
      </c>
      <c r="AL1206" t="n">
        <v>22</v>
      </c>
      <c r="AM1206" t="n">
        <v>24</v>
      </c>
      <c r="AN1206" t="n">
        <v>11</v>
      </c>
      <c r="AO1206" t="n">
        <v>11</v>
      </c>
      <c r="AP1206" t="n">
        <v>0</v>
      </c>
      <c r="AQ1206" t="n">
        <v>0</v>
      </c>
      <c r="AR1206" t="inlineStr">
        <is>
          <t>No</t>
        </is>
      </c>
      <c r="AS1206" t="inlineStr">
        <is>
          <t>Yes</t>
        </is>
      </c>
      <c r="AT1206">
        <f>HYPERLINK("http://catalog.hathitrust.org/Record/000669815","HathiTrust Record")</f>
        <v/>
      </c>
      <c r="AU1206">
        <f>HYPERLINK("https://creighton-primo.hosted.exlibrisgroup.com/primo-explore/search?tab=default_tab&amp;search_scope=EVERYTHING&amp;vid=01CRU&amp;lang=en_US&amp;offset=0&amp;query=any,contains,991002822869702656","Catalog Record")</f>
        <v/>
      </c>
      <c r="AV1206">
        <f>HYPERLINK("http://www.worldcat.org/oclc/468247","WorldCat Record")</f>
        <v/>
      </c>
      <c r="AW1206" t="inlineStr">
        <is>
          <t>3761378733:eng</t>
        </is>
      </c>
      <c r="AX1206" t="inlineStr">
        <is>
          <t>468247</t>
        </is>
      </c>
      <c r="AY1206" t="inlineStr">
        <is>
          <t>991002822869702656</t>
        </is>
      </c>
      <c r="AZ1206" t="inlineStr">
        <is>
          <t>991002822869702656</t>
        </is>
      </c>
      <c r="BA1206" t="inlineStr">
        <is>
          <t>2260875650002656</t>
        </is>
      </c>
      <c r="BB1206" t="inlineStr">
        <is>
          <t>BOOK</t>
        </is>
      </c>
      <c r="BE1206" t="inlineStr">
        <is>
          <t>32285002958345</t>
        </is>
      </c>
      <c r="BF1206" t="inlineStr">
        <is>
          <t>893329601</t>
        </is>
      </c>
    </row>
    <row r="1207">
      <c r="A1207" t="inlineStr">
        <is>
          <t>No</t>
        </is>
      </c>
      <c r="B1207" t="inlineStr">
        <is>
          <t>CURAL</t>
        </is>
      </c>
      <c r="C1207" t="inlineStr">
        <is>
          <t>SHELVES</t>
        </is>
      </c>
      <c r="D1207" t="inlineStr">
        <is>
          <t>PR3581 .P27</t>
        </is>
      </c>
      <c r="E1207" t="inlineStr">
        <is>
          <t>0                      PR 3581000P  27</t>
        </is>
      </c>
      <c r="F1207" t="inlineStr">
        <is>
          <t>Milton: a biography.</t>
        </is>
      </c>
      <c r="G1207" t="inlineStr">
        <is>
          <t>V.2</t>
        </is>
      </c>
      <c r="H1207" t="inlineStr">
        <is>
          <t>Yes</t>
        </is>
      </c>
      <c r="I1207" t="inlineStr">
        <is>
          <t>1</t>
        </is>
      </c>
      <c r="J1207" t="inlineStr">
        <is>
          <t>No</t>
        </is>
      </c>
      <c r="K1207" t="inlineStr">
        <is>
          <t>Yes</t>
        </is>
      </c>
      <c r="L1207" t="inlineStr">
        <is>
          <t>0</t>
        </is>
      </c>
      <c r="M1207" t="inlineStr">
        <is>
          <t>Parker, William Riley, 1906-1968.</t>
        </is>
      </c>
      <c r="N1207" t="inlineStr">
        <is>
          <t>Oxford, Clarendon P., 1968.</t>
        </is>
      </c>
      <c r="O1207" t="inlineStr">
        <is>
          <t>1968</t>
        </is>
      </c>
      <c r="Q1207" t="inlineStr">
        <is>
          <t>eng</t>
        </is>
      </c>
      <c r="R1207" t="inlineStr">
        <is>
          <t>enk</t>
        </is>
      </c>
      <c r="T1207" t="inlineStr">
        <is>
          <t xml:space="preserve">PR </t>
        </is>
      </c>
      <c r="U1207" t="n">
        <v>0</v>
      </c>
      <c r="V1207" t="n">
        <v>2</v>
      </c>
      <c r="W1207" t="inlineStr">
        <is>
          <t>2002-10-29</t>
        </is>
      </c>
      <c r="X1207" t="inlineStr">
        <is>
          <t>2002-10-29</t>
        </is>
      </c>
      <c r="Y1207" t="inlineStr">
        <is>
          <t>1997-07-24</t>
        </is>
      </c>
      <c r="Z1207" t="inlineStr">
        <is>
          <t>1997-07-24</t>
        </is>
      </c>
      <c r="AA1207" t="n">
        <v>1060</v>
      </c>
      <c r="AB1207" t="n">
        <v>925</v>
      </c>
      <c r="AC1207" t="n">
        <v>997</v>
      </c>
      <c r="AD1207" t="n">
        <v>12</v>
      </c>
      <c r="AE1207" t="n">
        <v>12</v>
      </c>
      <c r="AF1207" t="n">
        <v>52</v>
      </c>
      <c r="AG1207" t="n">
        <v>55</v>
      </c>
      <c r="AH1207" t="n">
        <v>22</v>
      </c>
      <c r="AI1207" t="n">
        <v>23</v>
      </c>
      <c r="AJ1207" t="n">
        <v>7</v>
      </c>
      <c r="AK1207" t="n">
        <v>8</v>
      </c>
      <c r="AL1207" t="n">
        <v>22</v>
      </c>
      <c r="AM1207" t="n">
        <v>24</v>
      </c>
      <c r="AN1207" t="n">
        <v>11</v>
      </c>
      <c r="AO1207" t="n">
        <v>11</v>
      </c>
      <c r="AP1207" t="n">
        <v>0</v>
      </c>
      <c r="AQ1207" t="n">
        <v>0</v>
      </c>
      <c r="AR1207" t="inlineStr">
        <is>
          <t>No</t>
        </is>
      </c>
      <c r="AS1207" t="inlineStr">
        <is>
          <t>Yes</t>
        </is>
      </c>
      <c r="AT1207">
        <f>HYPERLINK("http://catalog.hathitrust.org/Record/000669815","HathiTrust Record")</f>
        <v/>
      </c>
      <c r="AU1207">
        <f>HYPERLINK("https://creighton-primo.hosted.exlibrisgroup.com/primo-explore/search?tab=default_tab&amp;search_scope=EVERYTHING&amp;vid=01CRU&amp;lang=en_US&amp;offset=0&amp;query=any,contains,991002822869702656","Catalog Record")</f>
        <v/>
      </c>
      <c r="AV1207">
        <f>HYPERLINK("http://www.worldcat.org/oclc/468247","WorldCat Record")</f>
        <v/>
      </c>
      <c r="AW1207" t="inlineStr">
        <is>
          <t>3761378733:eng</t>
        </is>
      </c>
      <c r="AX1207" t="inlineStr">
        <is>
          <t>468247</t>
        </is>
      </c>
      <c r="AY1207" t="inlineStr">
        <is>
          <t>991002822869702656</t>
        </is>
      </c>
      <c r="AZ1207" t="inlineStr">
        <is>
          <t>991002822869702656</t>
        </is>
      </c>
      <c r="BA1207" t="inlineStr">
        <is>
          <t>2260875650002656</t>
        </is>
      </c>
      <c r="BB1207" t="inlineStr">
        <is>
          <t>BOOK</t>
        </is>
      </c>
      <c r="BE1207" t="inlineStr">
        <is>
          <t>32285002958352</t>
        </is>
      </c>
      <c r="BF1207" t="inlineStr">
        <is>
          <t>893347969</t>
        </is>
      </c>
    </row>
    <row r="1208">
      <c r="A1208" t="inlineStr">
        <is>
          <t>No</t>
        </is>
      </c>
      <c r="B1208" t="inlineStr">
        <is>
          <t>CURAL</t>
        </is>
      </c>
      <c r="C1208" t="inlineStr">
        <is>
          <t>SHELVES</t>
        </is>
      </c>
      <c r="D1208" t="inlineStr">
        <is>
          <t>PR3581 .P3 1880</t>
        </is>
      </c>
      <c r="E1208" t="inlineStr">
        <is>
          <t>0                      PR 3581000P  3           1880</t>
        </is>
      </c>
      <c r="F1208" t="inlineStr">
        <is>
          <t>Milton / by Mark Pattison.</t>
        </is>
      </c>
      <c r="H1208" t="inlineStr">
        <is>
          <t>No</t>
        </is>
      </c>
      <c r="I1208" t="inlineStr">
        <is>
          <t>1</t>
        </is>
      </c>
      <c r="J1208" t="inlineStr">
        <is>
          <t>No</t>
        </is>
      </c>
      <c r="K1208" t="inlineStr">
        <is>
          <t>No</t>
        </is>
      </c>
      <c r="L1208" t="inlineStr">
        <is>
          <t>0</t>
        </is>
      </c>
      <c r="M1208" t="inlineStr">
        <is>
          <t>Pattison, Mark, 1813-1884.</t>
        </is>
      </c>
      <c r="N1208" t="inlineStr">
        <is>
          <t>New York : Harper &amp; Brothers, 1880.</t>
        </is>
      </c>
      <c r="O1208" t="inlineStr">
        <is>
          <t>1880</t>
        </is>
      </c>
      <c r="Q1208" t="inlineStr">
        <is>
          <t>eng</t>
        </is>
      </c>
      <c r="R1208" t="inlineStr">
        <is>
          <t>nyu</t>
        </is>
      </c>
      <c r="S1208" t="inlineStr">
        <is>
          <t>English men of letters</t>
        </is>
      </c>
      <c r="T1208" t="inlineStr">
        <is>
          <t xml:space="preserve">PR </t>
        </is>
      </c>
      <c r="U1208" t="n">
        <v>1</v>
      </c>
      <c r="V1208" t="n">
        <v>1</v>
      </c>
      <c r="W1208" t="inlineStr">
        <is>
          <t>2003-02-23</t>
        </is>
      </c>
      <c r="X1208" t="inlineStr">
        <is>
          <t>2003-02-23</t>
        </is>
      </c>
      <c r="Y1208" t="inlineStr">
        <is>
          <t>1995-08-14</t>
        </is>
      </c>
      <c r="Z1208" t="inlineStr">
        <is>
          <t>1995-08-14</t>
        </is>
      </c>
      <c r="AA1208" t="n">
        <v>289</v>
      </c>
      <c r="AB1208" t="n">
        <v>275</v>
      </c>
      <c r="AC1208" t="n">
        <v>953</v>
      </c>
      <c r="AD1208" t="n">
        <v>3</v>
      </c>
      <c r="AE1208" t="n">
        <v>10</v>
      </c>
      <c r="AF1208" t="n">
        <v>8</v>
      </c>
      <c r="AG1208" t="n">
        <v>46</v>
      </c>
      <c r="AH1208" t="n">
        <v>1</v>
      </c>
      <c r="AI1208" t="n">
        <v>17</v>
      </c>
      <c r="AJ1208" t="n">
        <v>2</v>
      </c>
      <c r="AK1208" t="n">
        <v>9</v>
      </c>
      <c r="AL1208" t="n">
        <v>4</v>
      </c>
      <c r="AM1208" t="n">
        <v>21</v>
      </c>
      <c r="AN1208" t="n">
        <v>2</v>
      </c>
      <c r="AO1208" t="n">
        <v>9</v>
      </c>
      <c r="AP1208" t="n">
        <v>0</v>
      </c>
      <c r="AQ1208" t="n">
        <v>0</v>
      </c>
      <c r="AR1208" t="inlineStr">
        <is>
          <t>Yes</t>
        </is>
      </c>
      <c r="AS1208" t="inlineStr">
        <is>
          <t>No</t>
        </is>
      </c>
      <c r="AT1208">
        <f>HYPERLINK("http://catalog.hathitrust.org/Record/000669902","HathiTrust Record")</f>
        <v/>
      </c>
      <c r="AU1208">
        <f>HYPERLINK("https://creighton-primo.hosted.exlibrisgroup.com/primo-explore/search?tab=default_tab&amp;search_scope=EVERYTHING&amp;vid=01CRU&amp;lang=en_US&amp;offset=0&amp;query=any,contains,991002877459702656","Catalog Record")</f>
        <v/>
      </c>
      <c r="AV1208">
        <f>HYPERLINK("http://www.worldcat.org/oclc/503791","WorldCat Record")</f>
        <v/>
      </c>
      <c r="AW1208" t="inlineStr">
        <is>
          <t>1134217:eng</t>
        </is>
      </c>
      <c r="AX1208" t="inlineStr">
        <is>
          <t>503791</t>
        </is>
      </c>
      <c r="AY1208" t="inlineStr">
        <is>
          <t>991002877459702656</t>
        </is>
      </c>
      <c r="AZ1208" t="inlineStr">
        <is>
          <t>991002877459702656</t>
        </is>
      </c>
      <c r="BA1208" t="inlineStr">
        <is>
          <t>2262030600002656</t>
        </is>
      </c>
      <c r="BB1208" t="inlineStr">
        <is>
          <t>BOOK</t>
        </is>
      </c>
      <c r="BE1208" t="inlineStr">
        <is>
          <t>32285002063872</t>
        </is>
      </c>
      <c r="BF1208" t="inlineStr">
        <is>
          <t>893793040</t>
        </is>
      </c>
    </row>
    <row r="1209">
      <c r="A1209" t="inlineStr">
        <is>
          <t>No</t>
        </is>
      </c>
      <c r="B1209" t="inlineStr">
        <is>
          <t>CURAL</t>
        </is>
      </c>
      <c r="C1209" t="inlineStr">
        <is>
          <t>SHELVES</t>
        </is>
      </c>
      <c r="D1209" t="inlineStr">
        <is>
          <t>PR3581 .P37 1987</t>
        </is>
      </c>
      <c r="E1209" t="inlineStr">
        <is>
          <t>0                      PR 3581000P  37          1987</t>
        </is>
      </c>
      <c r="F1209" t="inlineStr">
        <is>
          <t>An annotated critical bibliography of John Milton / C.A. Patrides.</t>
        </is>
      </c>
      <c r="H1209" t="inlineStr">
        <is>
          <t>No</t>
        </is>
      </c>
      <c r="I1209" t="inlineStr">
        <is>
          <t>1</t>
        </is>
      </c>
      <c r="J1209" t="inlineStr">
        <is>
          <t>No</t>
        </is>
      </c>
      <c r="K1209" t="inlineStr">
        <is>
          <t>No</t>
        </is>
      </c>
      <c r="L1209" t="inlineStr">
        <is>
          <t>0</t>
        </is>
      </c>
      <c r="M1209" t="inlineStr">
        <is>
          <t>Patrides, C. A.</t>
        </is>
      </c>
      <c r="N1209" t="inlineStr">
        <is>
          <t>New York : St. Martin's Press, 1987.</t>
        </is>
      </c>
      <c r="O1209" t="inlineStr">
        <is>
          <t>1987</t>
        </is>
      </c>
      <c r="Q1209" t="inlineStr">
        <is>
          <t>eng</t>
        </is>
      </c>
      <c r="R1209" t="inlineStr">
        <is>
          <t>nyu</t>
        </is>
      </c>
      <c r="T1209" t="inlineStr">
        <is>
          <t xml:space="preserve">PR </t>
        </is>
      </c>
      <c r="U1209" t="n">
        <v>2</v>
      </c>
      <c r="V1209" t="n">
        <v>2</v>
      </c>
      <c r="W1209" t="inlineStr">
        <is>
          <t>1999-09-01</t>
        </is>
      </c>
      <c r="X1209" t="inlineStr">
        <is>
          <t>1999-09-01</t>
        </is>
      </c>
      <c r="Y1209" t="inlineStr">
        <is>
          <t>1991-04-29</t>
        </is>
      </c>
      <c r="Z1209" t="inlineStr">
        <is>
          <t>1991-04-29</t>
        </is>
      </c>
      <c r="AA1209" t="n">
        <v>226</v>
      </c>
      <c r="AB1209" t="n">
        <v>210</v>
      </c>
      <c r="AC1209" t="n">
        <v>268</v>
      </c>
      <c r="AD1209" t="n">
        <v>2</v>
      </c>
      <c r="AE1209" t="n">
        <v>3</v>
      </c>
      <c r="AF1209" t="n">
        <v>10</v>
      </c>
      <c r="AG1209" t="n">
        <v>13</v>
      </c>
      <c r="AH1209" t="n">
        <v>5</v>
      </c>
      <c r="AI1209" t="n">
        <v>5</v>
      </c>
      <c r="AJ1209" t="n">
        <v>3</v>
      </c>
      <c r="AK1209" t="n">
        <v>4</v>
      </c>
      <c r="AL1209" t="n">
        <v>7</v>
      </c>
      <c r="AM1209" t="n">
        <v>9</v>
      </c>
      <c r="AN1209" t="n">
        <v>1</v>
      </c>
      <c r="AO1209" t="n">
        <v>2</v>
      </c>
      <c r="AP1209" t="n">
        <v>0</v>
      </c>
      <c r="AQ1209" t="n">
        <v>0</v>
      </c>
      <c r="AR1209" t="inlineStr">
        <is>
          <t>No</t>
        </is>
      </c>
      <c r="AS1209" t="inlineStr">
        <is>
          <t>No</t>
        </is>
      </c>
      <c r="AU1209">
        <f>HYPERLINK("https://creighton-primo.hosted.exlibrisgroup.com/primo-explore/search?tab=default_tab&amp;search_scope=EVERYTHING&amp;vid=01CRU&amp;lang=en_US&amp;offset=0&amp;query=any,contains,991000946529702656","Catalog Record")</f>
        <v/>
      </c>
      <c r="AV1209">
        <f>HYPERLINK("http://www.worldcat.org/oclc/14586453","WorldCat Record")</f>
        <v/>
      </c>
      <c r="AW1209" t="inlineStr">
        <is>
          <t>9019384:eng</t>
        </is>
      </c>
      <c r="AX1209" t="inlineStr">
        <is>
          <t>14586453</t>
        </is>
      </c>
      <c r="AY1209" t="inlineStr">
        <is>
          <t>991000946529702656</t>
        </is>
      </c>
      <c r="AZ1209" t="inlineStr">
        <is>
          <t>991000946529702656</t>
        </is>
      </c>
      <c r="BA1209" t="inlineStr">
        <is>
          <t>2272397840002656</t>
        </is>
      </c>
      <c r="BB1209" t="inlineStr">
        <is>
          <t>BOOK</t>
        </is>
      </c>
      <c r="BD1209" t="inlineStr">
        <is>
          <t>9780312004804</t>
        </is>
      </c>
      <c r="BE1209" t="inlineStr">
        <is>
          <t>32285000589498</t>
        </is>
      </c>
      <c r="BF1209" t="inlineStr">
        <is>
          <t>893340029</t>
        </is>
      </c>
    </row>
    <row r="1210">
      <c r="A1210" t="inlineStr">
        <is>
          <t>No</t>
        </is>
      </c>
      <c r="B1210" t="inlineStr">
        <is>
          <t>CURAL</t>
        </is>
      </c>
      <c r="C1210" t="inlineStr">
        <is>
          <t>SHELVES</t>
        </is>
      </c>
      <c r="D1210" t="inlineStr">
        <is>
          <t>PR3581 .S52 1984</t>
        </is>
      </c>
      <c r="E1210" t="inlineStr">
        <is>
          <t>0                      PR 3581000S  52          1984</t>
        </is>
      </c>
      <c r="F1210" t="inlineStr">
        <is>
          <t>Milton : a bibliography for the years 1624-1700 / compiled by John T. Shawcross.</t>
        </is>
      </c>
      <c r="H1210" t="inlineStr">
        <is>
          <t>No</t>
        </is>
      </c>
      <c r="I1210" t="inlineStr">
        <is>
          <t>1</t>
        </is>
      </c>
      <c r="J1210" t="inlineStr">
        <is>
          <t>No</t>
        </is>
      </c>
      <c r="K1210" t="inlineStr">
        <is>
          <t>No</t>
        </is>
      </c>
      <c r="L1210" t="inlineStr">
        <is>
          <t>0</t>
        </is>
      </c>
      <c r="M1210" t="inlineStr">
        <is>
          <t>Shawcross, John T.</t>
        </is>
      </c>
      <c r="N1210" t="inlineStr">
        <is>
          <t>Binghamton, N.Y. : Medieval &amp; Renaissance Texts &amp; Studies, 1984.</t>
        </is>
      </c>
      <c r="O1210" t="inlineStr">
        <is>
          <t>1984</t>
        </is>
      </c>
      <c r="Q1210" t="inlineStr">
        <is>
          <t>eng</t>
        </is>
      </c>
      <c r="R1210" t="inlineStr">
        <is>
          <t>nyu</t>
        </is>
      </c>
      <c r="S1210" t="inlineStr">
        <is>
          <t>Medieval &amp; Renaissance texts &amp; studies ; v. 30</t>
        </is>
      </c>
      <c r="T1210" t="inlineStr">
        <is>
          <t xml:space="preserve">PR </t>
        </is>
      </c>
      <c r="U1210" t="n">
        <v>1</v>
      </c>
      <c r="V1210" t="n">
        <v>1</v>
      </c>
      <c r="W1210" t="inlineStr">
        <is>
          <t>2003-02-11</t>
        </is>
      </c>
      <c r="X1210" t="inlineStr">
        <is>
          <t>2003-02-11</t>
        </is>
      </c>
      <c r="Y1210" t="inlineStr">
        <is>
          <t>1991-04-29</t>
        </is>
      </c>
      <c r="Z1210" t="inlineStr">
        <is>
          <t>1991-04-29</t>
        </is>
      </c>
      <c r="AA1210" t="n">
        <v>416</v>
      </c>
      <c r="AB1210" t="n">
        <v>331</v>
      </c>
      <c r="AC1210" t="n">
        <v>338</v>
      </c>
      <c r="AD1210" t="n">
        <v>3</v>
      </c>
      <c r="AE1210" t="n">
        <v>3</v>
      </c>
      <c r="AF1210" t="n">
        <v>19</v>
      </c>
      <c r="AG1210" t="n">
        <v>19</v>
      </c>
      <c r="AH1210" t="n">
        <v>6</v>
      </c>
      <c r="AI1210" t="n">
        <v>6</v>
      </c>
      <c r="AJ1210" t="n">
        <v>4</v>
      </c>
      <c r="AK1210" t="n">
        <v>4</v>
      </c>
      <c r="AL1210" t="n">
        <v>13</v>
      </c>
      <c r="AM1210" t="n">
        <v>13</v>
      </c>
      <c r="AN1210" t="n">
        <v>2</v>
      </c>
      <c r="AO1210" t="n">
        <v>2</v>
      </c>
      <c r="AP1210" t="n">
        <v>0</v>
      </c>
      <c r="AQ1210" t="n">
        <v>0</v>
      </c>
      <c r="AR1210" t="inlineStr">
        <is>
          <t>No</t>
        </is>
      </c>
      <c r="AS1210" t="inlineStr">
        <is>
          <t>Yes</t>
        </is>
      </c>
      <c r="AT1210">
        <f>HYPERLINK("http://catalog.hathitrust.org/Record/000248297","HathiTrust Record")</f>
        <v/>
      </c>
      <c r="AU1210">
        <f>HYPERLINK("https://creighton-primo.hosted.exlibrisgroup.com/primo-explore/search?tab=default_tab&amp;search_scope=EVERYTHING&amp;vid=01CRU&amp;lang=en_US&amp;offset=0&amp;query=any,contains,991000365639702656","Catalog Record")</f>
        <v/>
      </c>
      <c r="AV1210">
        <f>HYPERLINK("http://www.worldcat.org/oclc/10402691","WorldCat Record")</f>
        <v/>
      </c>
      <c r="AW1210" t="inlineStr">
        <is>
          <t>292489345:eng</t>
        </is>
      </c>
      <c r="AX1210" t="inlineStr">
        <is>
          <t>10402691</t>
        </is>
      </c>
      <c r="AY1210" t="inlineStr">
        <is>
          <t>991000365639702656</t>
        </is>
      </c>
      <c r="AZ1210" t="inlineStr">
        <is>
          <t>991000365639702656</t>
        </is>
      </c>
      <c r="BA1210" t="inlineStr">
        <is>
          <t>2269368300002656</t>
        </is>
      </c>
      <c r="BB1210" t="inlineStr">
        <is>
          <t>BOOK</t>
        </is>
      </c>
      <c r="BD1210" t="inlineStr">
        <is>
          <t>9780866980647</t>
        </is>
      </c>
      <c r="BE1210" t="inlineStr">
        <is>
          <t>32285000589506</t>
        </is>
      </c>
      <c r="BF1210" t="inlineStr">
        <is>
          <t>893320986</t>
        </is>
      </c>
    </row>
    <row r="1211">
      <c r="A1211" t="inlineStr">
        <is>
          <t>No</t>
        </is>
      </c>
      <c r="B1211" t="inlineStr">
        <is>
          <t>CURAL</t>
        </is>
      </c>
      <c r="C1211" t="inlineStr">
        <is>
          <t>SHELVES</t>
        </is>
      </c>
      <c r="D1211" t="inlineStr">
        <is>
          <t>PR3581 .W29 1970</t>
        </is>
      </c>
      <c r="E1211" t="inlineStr">
        <is>
          <t>0                      PR 3581000W  29          1970</t>
        </is>
      </c>
      <c r="F1211" t="inlineStr">
        <is>
          <t>The personality of Milton / [by] Edward Wagenknecht.</t>
        </is>
      </c>
      <c r="H1211" t="inlineStr">
        <is>
          <t>No</t>
        </is>
      </c>
      <c r="I1211" t="inlineStr">
        <is>
          <t>1</t>
        </is>
      </c>
      <c r="J1211" t="inlineStr">
        <is>
          <t>No</t>
        </is>
      </c>
      <c r="K1211" t="inlineStr">
        <is>
          <t>No</t>
        </is>
      </c>
      <c r="L1211" t="inlineStr">
        <is>
          <t>0</t>
        </is>
      </c>
      <c r="M1211" t="inlineStr">
        <is>
          <t>Wagenknecht, Edward, 1900-2004.</t>
        </is>
      </c>
      <c r="N1211" t="inlineStr">
        <is>
          <t>Norman : University of Oklahoma Press, [1970]</t>
        </is>
      </c>
      <c r="O1211" t="inlineStr">
        <is>
          <t>1970</t>
        </is>
      </c>
      <c r="Q1211" t="inlineStr">
        <is>
          <t>eng</t>
        </is>
      </c>
      <c r="R1211" t="inlineStr">
        <is>
          <t>oku</t>
        </is>
      </c>
      <c r="T1211" t="inlineStr">
        <is>
          <t xml:space="preserve">PR </t>
        </is>
      </c>
      <c r="U1211" t="n">
        <v>5</v>
      </c>
      <c r="V1211" t="n">
        <v>5</v>
      </c>
      <c r="W1211" t="inlineStr">
        <is>
          <t>2003-01-23</t>
        </is>
      </c>
      <c r="X1211" t="inlineStr">
        <is>
          <t>2003-01-23</t>
        </is>
      </c>
      <c r="Y1211" t="inlineStr">
        <is>
          <t>1991-04-29</t>
        </is>
      </c>
      <c r="Z1211" t="inlineStr">
        <is>
          <t>1991-04-29</t>
        </is>
      </c>
      <c r="AA1211" t="n">
        <v>808</v>
      </c>
      <c r="AB1211" t="n">
        <v>684</v>
      </c>
      <c r="AC1211" t="n">
        <v>687</v>
      </c>
      <c r="AD1211" t="n">
        <v>6</v>
      </c>
      <c r="AE1211" t="n">
        <v>6</v>
      </c>
      <c r="AF1211" t="n">
        <v>26</v>
      </c>
      <c r="AG1211" t="n">
        <v>26</v>
      </c>
      <c r="AH1211" t="n">
        <v>8</v>
      </c>
      <c r="AI1211" t="n">
        <v>8</v>
      </c>
      <c r="AJ1211" t="n">
        <v>8</v>
      </c>
      <c r="AK1211" t="n">
        <v>8</v>
      </c>
      <c r="AL1211" t="n">
        <v>13</v>
      </c>
      <c r="AM1211" t="n">
        <v>13</v>
      </c>
      <c r="AN1211" t="n">
        <v>5</v>
      </c>
      <c r="AO1211" t="n">
        <v>5</v>
      </c>
      <c r="AP1211" t="n">
        <v>0</v>
      </c>
      <c r="AQ1211" t="n">
        <v>0</v>
      </c>
      <c r="AR1211" t="inlineStr">
        <is>
          <t>No</t>
        </is>
      </c>
      <c r="AS1211" t="inlineStr">
        <is>
          <t>Yes</t>
        </is>
      </c>
      <c r="AT1211">
        <f>HYPERLINK("http://catalog.hathitrust.org/Record/000670581","HathiTrust Record")</f>
        <v/>
      </c>
      <c r="AU1211">
        <f>HYPERLINK("https://creighton-primo.hosted.exlibrisgroup.com/primo-explore/search?tab=default_tab&amp;search_scope=EVERYTHING&amp;vid=01CRU&amp;lang=en_US&amp;offset=0&amp;query=any,contains,991000565759702656","Catalog Record")</f>
        <v/>
      </c>
      <c r="AV1211">
        <f>HYPERLINK("http://www.worldcat.org/oclc/94207","WorldCat Record")</f>
        <v/>
      </c>
      <c r="AW1211" t="inlineStr">
        <is>
          <t>1313111:eng</t>
        </is>
      </c>
      <c r="AX1211" t="inlineStr">
        <is>
          <t>94207</t>
        </is>
      </c>
      <c r="AY1211" t="inlineStr">
        <is>
          <t>991000565759702656</t>
        </is>
      </c>
      <c r="AZ1211" t="inlineStr">
        <is>
          <t>991000565759702656</t>
        </is>
      </c>
      <c r="BA1211" t="inlineStr">
        <is>
          <t>2266150650002656</t>
        </is>
      </c>
      <c r="BB1211" t="inlineStr">
        <is>
          <t>BOOK</t>
        </is>
      </c>
      <c r="BD1211" t="inlineStr">
        <is>
          <t>9780806109169</t>
        </is>
      </c>
      <c r="BE1211" t="inlineStr">
        <is>
          <t>32285000589522</t>
        </is>
      </c>
      <c r="BF1211" t="inlineStr">
        <is>
          <t>893407317</t>
        </is>
      </c>
    </row>
    <row r="1212">
      <c r="A1212" t="inlineStr">
        <is>
          <t>No</t>
        </is>
      </c>
      <c r="B1212" t="inlineStr">
        <is>
          <t>CURAL</t>
        </is>
      </c>
      <c r="C1212" t="inlineStr">
        <is>
          <t>SHELVES</t>
        </is>
      </c>
      <c r="D1212" t="inlineStr">
        <is>
          <t>PR3581 .W471 1984</t>
        </is>
      </c>
      <c r="E1212" t="inlineStr">
        <is>
          <t>0                      PR 3581000W  471         1984</t>
        </is>
      </c>
      <c r="F1212" t="inlineStr">
        <is>
          <t>The life of John Milton / A.N. Wilson.</t>
        </is>
      </c>
      <c r="H1212" t="inlineStr">
        <is>
          <t>No</t>
        </is>
      </c>
      <c r="I1212" t="inlineStr">
        <is>
          <t>1</t>
        </is>
      </c>
      <c r="J1212" t="inlineStr">
        <is>
          <t>No</t>
        </is>
      </c>
      <c r="K1212" t="inlineStr">
        <is>
          <t>No</t>
        </is>
      </c>
      <c r="L1212" t="inlineStr">
        <is>
          <t>0</t>
        </is>
      </c>
      <c r="M1212" t="inlineStr">
        <is>
          <t>Wilson, A. N., 1950-</t>
        </is>
      </c>
      <c r="N1212" t="inlineStr">
        <is>
          <t>Oxford [Oxfordshire] ; New York : Oxford University Press, 1984, c1983.</t>
        </is>
      </c>
      <c r="O1212" t="inlineStr">
        <is>
          <t>1984</t>
        </is>
      </c>
      <c r="Q1212" t="inlineStr">
        <is>
          <t>eng</t>
        </is>
      </c>
      <c r="R1212" t="inlineStr">
        <is>
          <t>enk</t>
        </is>
      </c>
      <c r="S1212" t="inlineStr">
        <is>
          <t>Oxford paperbacks</t>
        </is>
      </c>
      <c r="T1212" t="inlineStr">
        <is>
          <t xml:space="preserve">PR </t>
        </is>
      </c>
      <c r="U1212" t="n">
        <v>5</v>
      </c>
      <c r="V1212" t="n">
        <v>5</v>
      </c>
      <c r="W1212" t="inlineStr">
        <is>
          <t>2006-11-20</t>
        </is>
      </c>
      <c r="X1212" t="inlineStr">
        <is>
          <t>2006-11-20</t>
        </is>
      </c>
      <c r="Y1212" t="inlineStr">
        <is>
          <t>1991-04-29</t>
        </is>
      </c>
      <c r="Z1212" t="inlineStr">
        <is>
          <t>1991-04-29</t>
        </is>
      </c>
      <c r="AA1212" t="n">
        <v>146</v>
      </c>
      <c r="AB1212" t="n">
        <v>90</v>
      </c>
      <c r="AC1212" t="n">
        <v>92</v>
      </c>
      <c r="AD1212" t="n">
        <v>1</v>
      </c>
      <c r="AE1212" t="n">
        <v>1</v>
      </c>
      <c r="AF1212" t="n">
        <v>8</v>
      </c>
      <c r="AG1212" t="n">
        <v>8</v>
      </c>
      <c r="AH1212" t="n">
        <v>5</v>
      </c>
      <c r="AI1212" t="n">
        <v>5</v>
      </c>
      <c r="AJ1212" t="n">
        <v>0</v>
      </c>
      <c r="AK1212" t="n">
        <v>0</v>
      </c>
      <c r="AL1212" t="n">
        <v>5</v>
      </c>
      <c r="AM1212" t="n">
        <v>5</v>
      </c>
      <c r="AN1212" t="n">
        <v>0</v>
      </c>
      <c r="AO1212" t="n">
        <v>0</v>
      </c>
      <c r="AP1212" t="n">
        <v>0</v>
      </c>
      <c r="AQ1212" t="n">
        <v>0</v>
      </c>
      <c r="AR1212" t="inlineStr">
        <is>
          <t>No</t>
        </is>
      </c>
      <c r="AS1212" t="inlineStr">
        <is>
          <t>No</t>
        </is>
      </c>
      <c r="AU1212">
        <f>HYPERLINK("https://creighton-primo.hosted.exlibrisgroup.com/primo-explore/search?tab=default_tab&amp;search_scope=EVERYTHING&amp;vid=01CRU&amp;lang=en_US&amp;offset=0&amp;query=any,contains,991000287979702656","Catalog Record")</f>
        <v/>
      </c>
      <c r="AV1212">
        <f>HYPERLINK("http://www.worldcat.org/oclc/9945886","WorldCat Record")</f>
        <v/>
      </c>
      <c r="AW1212" t="inlineStr">
        <is>
          <t>9463283454:eng</t>
        </is>
      </c>
      <c r="AX1212" t="inlineStr">
        <is>
          <t>9945886</t>
        </is>
      </c>
      <c r="AY1212" t="inlineStr">
        <is>
          <t>991000287979702656</t>
        </is>
      </c>
      <c r="AZ1212" t="inlineStr">
        <is>
          <t>991000287979702656</t>
        </is>
      </c>
      <c r="BA1212" t="inlineStr">
        <is>
          <t>2261873800002656</t>
        </is>
      </c>
      <c r="BB1212" t="inlineStr">
        <is>
          <t>BOOK</t>
        </is>
      </c>
      <c r="BD1212" t="inlineStr">
        <is>
          <t>9780192814739</t>
        </is>
      </c>
      <c r="BE1212" t="inlineStr">
        <is>
          <t>32285000589548</t>
        </is>
      </c>
      <c r="BF1212" t="inlineStr">
        <is>
          <t>893689597</t>
        </is>
      </c>
    </row>
    <row r="1213">
      <c r="A1213" t="inlineStr">
        <is>
          <t>No</t>
        </is>
      </c>
      <c r="B1213" t="inlineStr">
        <is>
          <t>CURAL</t>
        </is>
      </c>
      <c r="C1213" t="inlineStr">
        <is>
          <t>SHELVES</t>
        </is>
      </c>
      <c r="D1213" t="inlineStr">
        <is>
          <t>PR3582 .B7 1968</t>
        </is>
      </c>
      <c r="E1213" t="inlineStr">
        <is>
          <t>0                      PR 3582000B  7           1968</t>
        </is>
      </c>
      <c r="F1213" t="inlineStr">
        <is>
          <t>Milton's blindness.</t>
        </is>
      </c>
      <c r="H1213" t="inlineStr">
        <is>
          <t>No</t>
        </is>
      </c>
      <c r="I1213" t="inlineStr">
        <is>
          <t>1</t>
        </is>
      </c>
      <c r="J1213" t="inlineStr">
        <is>
          <t>No</t>
        </is>
      </c>
      <c r="K1213" t="inlineStr">
        <is>
          <t>No</t>
        </is>
      </c>
      <c r="L1213" t="inlineStr">
        <is>
          <t>0</t>
        </is>
      </c>
      <c r="M1213" t="inlineStr">
        <is>
          <t>Brown, Eleanor Gertrude, 1888-1964.</t>
        </is>
      </c>
      <c r="N1213" t="inlineStr">
        <is>
          <t>New York : Octagon Books, 1968 [c1934]</t>
        </is>
      </c>
      <c r="O1213" t="inlineStr">
        <is>
          <t>1968</t>
        </is>
      </c>
      <c r="Q1213" t="inlineStr">
        <is>
          <t>eng</t>
        </is>
      </c>
      <c r="R1213" t="inlineStr">
        <is>
          <t>nyu</t>
        </is>
      </c>
      <c r="S1213" t="inlineStr">
        <is>
          <t>Columbia University studies in English and comparative literature</t>
        </is>
      </c>
      <c r="T1213" t="inlineStr">
        <is>
          <t xml:space="preserve">PR </t>
        </is>
      </c>
      <c r="U1213" t="n">
        <v>2</v>
      </c>
      <c r="V1213" t="n">
        <v>2</v>
      </c>
      <c r="W1213" t="inlineStr">
        <is>
          <t>2003-01-21</t>
        </is>
      </c>
      <c r="X1213" t="inlineStr">
        <is>
          <t>2003-01-21</t>
        </is>
      </c>
      <c r="Y1213" t="inlineStr">
        <is>
          <t>1990-04-12</t>
        </is>
      </c>
      <c r="Z1213" t="inlineStr">
        <is>
          <t>1990-04-12</t>
        </is>
      </c>
      <c r="AA1213" t="n">
        <v>441</v>
      </c>
      <c r="AB1213" t="n">
        <v>402</v>
      </c>
      <c r="AC1213" t="n">
        <v>644</v>
      </c>
      <c r="AD1213" t="n">
        <v>4</v>
      </c>
      <c r="AE1213" t="n">
        <v>6</v>
      </c>
      <c r="AF1213" t="n">
        <v>17</v>
      </c>
      <c r="AG1213" t="n">
        <v>32</v>
      </c>
      <c r="AH1213" t="n">
        <v>8</v>
      </c>
      <c r="AI1213" t="n">
        <v>13</v>
      </c>
      <c r="AJ1213" t="n">
        <v>3</v>
      </c>
      <c r="AK1213" t="n">
        <v>7</v>
      </c>
      <c r="AL1213" t="n">
        <v>8</v>
      </c>
      <c r="AM1213" t="n">
        <v>17</v>
      </c>
      <c r="AN1213" t="n">
        <v>2</v>
      </c>
      <c r="AO1213" t="n">
        <v>4</v>
      </c>
      <c r="AP1213" t="n">
        <v>0</v>
      </c>
      <c r="AQ1213" t="n">
        <v>0</v>
      </c>
      <c r="AR1213" t="inlineStr">
        <is>
          <t>No</t>
        </is>
      </c>
      <c r="AS1213" t="inlineStr">
        <is>
          <t>Yes</t>
        </is>
      </c>
      <c r="AT1213">
        <f>HYPERLINK("http://catalog.hathitrust.org/Record/008573115","HathiTrust Record")</f>
        <v/>
      </c>
      <c r="AU1213">
        <f>HYPERLINK("https://creighton-primo.hosted.exlibrisgroup.com/primo-explore/search?tab=default_tab&amp;search_scope=EVERYTHING&amp;vid=01CRU&amp;lang=en_US&amp;offset=0&amp;query=any,contains,991002477479702656","Catalog Record")</f>
        <v/>
      </c>
      <c r="AV1213">
        <f>HYPERLINK("http://www.worldcat.org/oclc/359013","WorldCat Record")</f>
        <v/>
      </c>
      <c r="AW1213" t="inlineStr">
        <is>
          <t>1408030:eng</t>
        </is>
      </c>
      <c r="AX1213" t="inlineStr">
        <is>
          <t>359013</t>
        </is>
      </c>
      <c r="AY1213" t="inlineStr">
        <is>
          <t>991002477479702656</t>
        </is>
      </c>
      <c r="AZ1213" t="inlineStr">
        <is>
          <t>991002477479702656</t>
        </is>
      </c>
      <c r="BA1213" t="inlineStr">
        <is>
          <t>2272594770002656</t>
        </is>
      </c>
      <c r="BB1213" t="inlineStr">
        <is>
          <t>BOOK</t>
        </is>
      </c>
      <c r="BE1213" t="inlineStr">
        <is>
          <t>32285000115112</t>
        </is>
      </c>
      <c r="BF1213" t="inlineStr">
        <is>
          <t>893415239</t>
        </is>
      </c>
    </row>
    <row r="1214">
      <c r="A1214" t="inlineStr">
        <is>
          <t>No</t>
        </is>
      </c>
      <c r="B1214" t="inlineStr">
        <is>
          <t>CURAL</t>
        </is>
      </c>
      <c r="C1214" t="inlineStr">
        <is>
          <t>SHELVES</t>
        </is>
      </c>
      <c r="D1214" t="inlineStr">
        <is>
          <t>PR3582 .C5</t>
        </is>
      </c>
      <c r="E1214" t="inlineStr">
        <is>
          <t>0                      PR 3582000C  5</t>
        </is>
      </c>
      <c r="F1214" t="inlineStr">
        <is>
          <t>John Milton at St. Paul's School, a study of ancient rhetoric in English Renaissance education.</t>
        </is>
      </c>
      <c r="H1214" t="inlineStr">
        <is>
          <t>No</t>
        </is>
      </c>
      <c r="I1214" t="inlineStr">
        <is>
          <t>1</t>
        </is>
      </c>
      <c r="J1214" t="inlineStr">
        <is>
          <t>No</t>
        </is>
      </c>
      <c r="K1214" t="inlineStr">
        <is>
          <t>No</t>
        </is>
      </c>
      <c r="L1214" t="inlineStr">
        <is>
          <t>0</t>
        </is>
      </c>
      <c r="M1214" t="inlineStr">
        <is>
          <t>Clark, Donald Lemen, 1888-1966.</t>
        </is>
      </c>
      <c r="N1214" t="inlineStr">
        <is>
          <t>New York, Columbia Univ. Press, 1948.</t>
        </is>
      </c>
      <c r="O1214" t="inlineStr">
        <is>
          <t>1948</t>
        </is>
      </c>
      <c r="Q1214" t="inlineStr">
        <is>
          <t>eng</t>
        </is>
      </c>
      <c r="R1214" t="inlineStr">
        <is>
          <t>nyu</t>
        </is>
      </c>
      <c r="T1214" t="inlineStr">
        <is>
          <t xml:space="preserve">PR </t>
        </is>
      </c>
      <c r="U1214" t="n">
        <v>2</v>
      </c>
      <c r="V1214" t="n">
        <v>2</v>
      </c>
      <c r="W1214" t="inlineStr">
        <is>
          <t>2003-02-05</t>
        </is>
      </c>
      <c r="X1214" t="inlineStr">
        <is>
          <t>2003-02-05</t>
        </is>
      </c>
      <c r="Y1214" t="inlineStr">
        <is>
          <t>1997-07-24</t>
        </is>
      </c>
      <c r="Z1214" t="inlineStr">
        <is>
          <t>1997-07-24</t>
        </is>
      </c>
      <c r="AA1214" t="n">
        <v>455</v>
      </c>
      <c r="AB1214" t="n">
        <v>406</v>
      </c>
      <c r="AC1214" t="n">
        <v>661</v>
      </c>
      <c r="AD1214" t="n">
        <v>2</v>
      </c>
      <c r="AE1214" t="n">
        <v>3</v>
      </c>
      <c r="AF1214" t="n">
        <v>33</v>
      </c>
      <c r="AG1214" t="n">
        <v>39</v>
      </c>
      <c r="AH1214" t="n">
        <v>15</v>
      </c>
      <c r="AI1214" t="n">
        <v>18</v>
      </c>
      <c r="AJ1214" t="n">
        <v>6</v>
      </c>
      <c r="AK1214" t="n">
        <v>7</v>
      </c>
      <c r="AL1214" t="n">
        <v>21</v>
      </c>
      <c r="AM1214" t="n">
        <v>23</v>
      </c>
      <c r="AN1214" t="n">
        <v>1</v>
      </c>
      <c r="AO1214" t="n">
        <v>2</v>
      </c>
      <c r="AP1214" t="n">
        <v>0</v>
      </c>
      <c r="AQ1214" t="n">
        <v>0</v>
      </c>
      <c r="AR1214" t="inlineStr">
        <is>
          <t>No</t>
        </is>
      </c>
      <c r="AS1214" t="inlineStr">
        <is>
          <t>Yes</t>
        </is>
      </c>
      <c r="AT1214">
        <f>HYPERLINK("http://catalog.hathitrust.org/Record/000670327","HathiTrust Record")</f>
        <v/>
      </c>
      <c r="AU1214">
        <f>HYPERLINK("https://creighton-primo.hosted.exlibrisgroup.com/primo-explore/search?tab=default_tab&amp;search_scope=EVERYTHING&amp;vid=01CRU&amp;lang=en_US&amp;offset=0&amp;query=any,contains,991002987219702656","Catalog Record")</f>
        <v/>
      </c>
      <c r="AV1214">
        <f>HYPERLINK("http://www.worldcat.org/oclc/558192","WorldCat Record")</f>
        <v/>
      </c>
      <c r="AW1214" t="inlineStr">
        <is>
          <t>1410650:eng</t>
        </is>
      </c>
      <c r="AX1214" t="inlineStr">
        <is>
          <t>558192</t>
        </is>
      </c>
      <c r="AY1214" t="inlineStr">
        <is>
          <t>991002987219702656</t>
        </is>
      </c>
      <c r="AZ1214" t="inlineStr">
        <is>
          <t>991002987219702656</t>
        </is>
      </c>
      <c r="BA1214" t="inlineStr">
        <is>
          <t>2258199260002656</t>
        </is>
      </c>
      <c r="BB1214" t="inlineStr">
        <is>
          <t>BOOK</t>
        </is>
      </c>
      <c r="BE1214" t="inlineStr">
        <is>
          <t>32285002958436</t>
        </is>
      </c>
      <c r="BF1214" t="inlineStr">
        <is>
          <t>893535294</t>
        </is>
      </c>
    </row>
    <row r="1215">
      <c r="A1215" t="inlineStr">
        <is>
          <t>No</t>
        </is>
      </c>
      <c r="B1215" t="inlineStr">
        <is>
          <t>CURAL</t>
        </is>
      </c>
      <c r="C1215" t="inlineStr">
        <is>
          <t>SHELVES</t>
        </is>
      </c>
      <c r="D1215" t="inlineStr">
        <is>
          <t>PR3587.3 .R85 1996</t>
        </is>
      </c>
      <c r="E1215" t="inlineStr">
        <is>
          <t>0                      PR 3587300R  85          1996</t>
        </is>
      </c>
      <c r="F1215" t="inlineStr">
        <is>
          <t>Milton unbound : controversy and reinterpretation / John P. Rumrich.</t>
        </is>
      </c>
      <c r="H1215" t="inlineStr">
        <is>
          <t>No</t>
        </is>
      </c>
      <c r="I1215" t="inlineStr">
        <is>
          <t>1</t>
        </is>
      </c>
      <c r="J1215" t="inlineStr">
        <is>
          <t>No</t>
        </is>
      </c>
      <c r="K1215" t="inlineStr">
        <is>
          <t>No</t>
        </is>
      </c>
      <c r="L1215" t="inlineStr">
        <is>
          <t>0</t>
        </is>
      </c>
      <c r="M1215" t="inlineStr">
        <is>
          <t>Rumrich, John Peter, 1954-</t>
        </is>
      </c>
      <c r="N1215" t="inlineStr">
        <is>
          <t>Cambridge ; New York : Cambridge University Press, 1996.</t>
        </is>
      </c>
      <c r="O1215" t="inlineStr">
        <is>
          <t>1996</t>
        </is>
      </c>
      <c r="Q1215" t="inlineStr">
        <is>
          <t>eng</t>
        </is>
      </c>
      <c r="R1215" t="inlineStr">
        <is>
          <t>enk</t>
        </is>
      </c>
      <c r="T1215" t="inlineStr">
        <is>
          <t xml:space="preserve">PR </t>
        </is>
      </c>
      <c r="U1215" t="n">
        <v>1</v>
      </c>
      <c r="V1215" t="n">
        <v>1</v>
      </c>
      <c r="W1215" t="inlineStr">
        <is>
          <t>2000-12-06</t>
        </is>
      </c>
      <c r="X1215" t="inlineStr">
        <is>
          <t>2000-12-06</t>
        </is>
      </c>
      <c r="Y1215" t="inlineStr">
        <is>
          <t>1997-01-22</t>
        </is>
      </c>
      <c r="Z1215" t="inlineStr">
        <is>
          <t>1997-01-22</t>
        </is>
      </c>
      <c r="AA1215" t="n">
        <v>528</v>
      </c>
      <c r="AB1215" t="n">
        <v>406</v>
      </c>
      <c r="AC1215" t="n">
        <v>423</v>
      </c>
      <c r="AD1215" t="n">
        <v>3</v>
      </c>
      <c r="AE1215" t="n">
        <v>3</v>
      </c>
      <c r="AF1215" t="n">
        <v>26</v>
      </c>
      <c r="AG1215" t="n">
        <v>26</v>
      </c>
      <c r="AH1215" t="n">
        <v>10</v>
      </c>
      <c r="AI1215" t="n">
        <v>10</v>
      </c>
      <c r="AJ1215" t="n">
        <v>8</v>
      </c>
      <c r="AK1215" t="n">
        <v>8</v>
      </c>
      <c r="AL1215" t="n">
        <v>14</v>
      </c>
      <c r="AM1215" t="n">
        <v>14</v>
      </c>
      <c r="AN1215" t="n">
        <v>2</v>
      </c>
      <c r="AO1215" t="n">
        <v>2</v>
      </c>
      <c r="AP1215" t="n">
        <v>0</v>
      </c>
      <c r="AQ1215" t="n">
        <v>0</v>
      </c>
      <c r="AR1215" t="inlineStr">
        <is>
          <t>No</t>
        </is>
      </c>
      <c r="AS1215" t="inlineStr">
        <is>
          <t>No</t>
        </is>
      </c>
      <c r="AU1215">
        <f>HYPERLINK("https://creighton-primo.hosted.exlibrisgroup.com/primo-explore/search?tab=default_tab&amp;search_scope=EVERYTHING&amp;vid=01CRU&amp;lang=en_US&amp;offset=0&amp;query=any,contains,991002488179702656","Catalog Record")</f>
        <v/>
      </c>
      <c r="AV1215">
        <f>HYPERLINK("http://www.worldcat.org/oclc/32388347","WorldCat Record")</f>
        <v/>
      </c>
      <c r="AW1215" t="inlineStr">
        <is>
          <t>836908982:eng</t>
        </is>
      </c>
      <c r="AX1215" t="inlineStr">
        <is>
          <t>32388347</t>
        </is>
      </c>
      <c r="AY1215" t="inlineStr">
        <is>
          <t>991002488179702656</t>
        </is>
      </c>
      <c r="AZ1215" t="inlineStr">
        <is>
          <t>991002488179702656</t>
        </is>
      </c>
      <c r="BA1215" t="inlineStr">
        <is>
          <t>2258513430002656</t>
        </is>
      </c>
      <c r="BB1215" t="inlineStr">
        <is>
          <t>BOOK</t>
        </is>
      </c>
      <c r="BD1215" t="inlineStr">
        <is>
          <t>9780521551731</t>
        </is>
      </c>
      <c r="BE1215" t="inlineStr">
        <is>
          <t>32285002410180</t>
        </is>
      </c>
      <c r="BF1215" t="inlineStr">
        <is>
          <t>893616187</t>
        </is>
      </c>
    </row>
    <row r="1216">
      <c r="A1216" t="inlineStr">
        <is>
          <t>No</t>
        </is>
      </c>
      <c r="B1216" t="inlineStr">
        <is>
          <t>CURAL</t>
        </is>
      </c>
      <c r="C1216" t="inlineStr">
        <is>
          <t>SHELVES</t>
        </is>
      </c>
      <c r="D1216" t="inlineStr">
        <is>
          <t>PR3588 .A3</t>
        </is>
      </c>
      <c r="E1216" t="inlineStr">
        <is>
          <t>0                      PR 3588000A  3</t>
        </is>
      </c>
      <c r="F1216" t="inlineStr">
        <is>
          <t>Ikon: John Milton and the modern critics.</t>
        </is>
      </c>
      <c r="H1216" t="inlineStr">
        <is>
          <t>No</t>
        </is>
      </c>
      <c r="I1216" t="inlineStr">
        <is>
          <t>1</t>
        </is>
      </c>
      <c r="J1216" t="inlineStr">
        <is>
          <t>No</t>
        </is>
      </c>
      <c r="K1216" t="inlineStr">
        <is>
          <t>No</t>
        </is>
      </c>
      <c r="L1216" t="inlineStr">
        <is>
          <t>0</t>
        </is>
      </c>
      <c r="M1216" t="inlineStr">
        <is>
          <t>Adams, Robert M. (Robert Martin), 1915-1996.</t>
        </is>
      </c>
      <c r="N1216" t="inlineStr">
        <is>
          <t>Ithaca, Cornell University Press [1955]</t>
        </is>
      </c>
      <c r="O1216" t="inlineStr">
        <is>
          <t>1955</t>
        </is>
      </c>
      <c r="Q1216" t="inlineStr">
        <is>
          <t>eng</t>
        </is>
      </c>
      <c r="R1216" t="inlineStr">
        <is>
          <t>nyu</t>
        </is>
      </c>
      <c r="T1216" t="inlineStr">
        <is>
          <t xml:space="preserve">PR </t>
        </is>
      </c>
      <c r="U1216" t="n">
        <v>1</v>
      </c>
      <c r="V1216" t="n">
        <v>1</v>
      </c>
      <c r="W1216" t="inlineStr">
        <is>
          <t>2003-04-02</t>
        </is>
      </c>
      <c r="X1216" t="inlineStr">
        <is>
          <t>2003-04-02</t>
        </is>
      </c>
      <c r="Y1216" t="inlineStr">
        <is>
          <t>1995-08-28</t>
        </is>
      </c>
      <c r="Z1216" t="inlineStr">
        <is>
          <t>1995-08-28</t>
        </is>
      </c>
      <c r="AA1216" t="n">
        <v>821</v>
      </c>
      <c r="AB1216" t="n">
        <v>703</v>
      </c>
      <c r="AC1216" t="n">
        <v>817</v>
      </c>
      <c r="AD1216" t="n">
        <v>9</v>
      </c>
      <c r="AE1216" t="n">
        <v>9</v>
      </c>
      <c r="AF1216" t="n">
        <v>41</v>
      </c>
      <c r="AG1216" t="n">
        <v>44</v>
      </c>
      <c r="AH1216" t="n">
        <v>14</v>
      </c>
      <c r="AI1216" t="n">
        <v>17</v>
      </c>
      <c r="AJ1216" t="n">
        <v>9</v>
      </c>
      <c r="AK1216" t="n">
        <v>9</v>
      </c>
      <c r="AL1216" t="n">
        <v>20</v>
      </c>
      <c r="AM1216" t="n">
        <v>21</v>
      </c>
      <c r="AN1216" t="n">
        <v>8</v>
      </c>
      <c r="AO1216" t="n">
        <v>8</v>
      </c>
      <c r="AP1216" t="n">
        <v>0</v>
      </c>
      <c r="AQ1216" t="n">
        <v>0</v>
      </c>
      <c r="AR1216" t="inlineStr">
        <is>
          <t>No</t>
        </is>
      </c>
      <c r="AS1216" t="inlineStr">
        <is>
          <t>Yes</t>
        </is>
      </c>
      <c r="AT1216">
        <f>HYPERLINK("http://catalog.hathitrust.org/Record/000634497","HathiTrust Record")</f>
        <v/>
      </c>
      <c r="AU1216">
        <f>HYPERLINK("https://creighton-primo.hosted.exlibrisgroup.com/primo-explore/search?tab=default_tab&amp;search_scope=EVERYTHING&amp;vid=01CRU&amp;lang=en_US&amp;offset=0&amp;query=any,contains,991001139049702656","Catalog Record")</f>
        <v/>
      </c>
      <c r="AV1216">
        <f>HYPERLINK("http://www.worldcat.org/oclc/16729641","WorldCat Record")</f>
        <v/>
      </c>
      <c r="AW1216" t="inlineStr">
        <is>
          <t>1382624:eng</t>
        </is>
      </c>
      <c r="AX1216" t="inlineStr">
        <is>
          <t>16729641</t>
        </is>
      </c>
      <c r="AY1216" t="inlineStr">
        <is>
          <t>991001139049702656</t>
        </is>
      </c>
      <c r="AZ1216" t="inlineStr">
        <is>
          <t>991001139049702656</t>
        </is>
      </c>
      <c r="BA1216" t="inlineStr">
        <is>
          <t>2270746200002656</t>
        </is>
      </c>
      <c r="BB1216" t="inlineStr">
        <is>
          <t>BOOK</t>
        </is>
      </c>
      <c r="BE1216" t="inlineStr">
        <is>
          <t>32285002023389</t>
        </is>
      </c>
      <c r="BF1216" t="inlineStr">
        <is>
          <t>893528691</t>
        </is>
      </c>
    </row>
    <row r="1217">
      <c r="A1217" t="inlineStr">
        <is>
          <t>No</t>
        </is>
      </c>
      <c r="B1217" t="inlineStr">
        <is>
          <t>CURAL</t>
        </is>
      </c>
      <c r="C1217" t="inlineStr">
        <is>
          <t>SHELVES</t>
        </is>
      </c>
      <c r="D1217" t="inlineStr">
        <is>
          <t>PR3588 .C58 2001</t>
        </is>
      </c>
      <c r="E1217" t="inlineStr">
        <is>
          <t>0                      PR 3588000C  58          2001</t>
        </is>
      </c>
      <c r="F1217" t="inlineStr">
        <is>
          <t>A companion to Milton / edited by Thomas N. Corns.</t>
        </is>
      </c>
      <c r="H1217" t="inlineStr">
        <is>
          <t>No</t>
        </is>
      </c>
      <c r="I1217" t="inlineStr">
        <is>
          <t>1</t>
        </is>
      </c>
      <c r="J1217" t="inlineStr">
        <is>
          <t>No</t>
        </is>
      </c>
      <c r="K1217" t="inlineStr">
        <is>
          <t>No</t>
        </is>
      </c>
      <c r="L1217" t="inlineStr">
        <is>
          <t>0</t>
        </is>
      </c>
      <c r="N1217" t="inlineStr">
        <is>
          <t>Oxford, UK ; Malden, Mass. : Blackwell Publishers, 2001.</t>
        </is>
      </c>
      <c r="O1217" t="inlineStr">
        <is>
          <t>2001</t>
        </is>
      </c>
      <c r="Q1217" t="inlineStr">
        <is>
          <t>eng</t>
        </is>
      </c>
      <c r="R1217" t="inlineStr">
        <is>
          <t>enk</t>
        </is>
      </c>
      <c r="S1217" t="inlineStr">
        <is>
          <t>Blackwell companions to literature and culture ; 10</t>
        </is>
      </c>
      <c r="T1217" t="inlineStr">
        <is>
          <t xml:space="preserve">PR </t>
        </is>
      </c>
      <c r="U1217" t="n">
        <v>6</v>
      </c>
      <c r="V1217" t="n">
        <v>6</v>
      </c>
      <c r="W1217" t="inlineStr">
        <is>
          <t>2009-11-30</t>
        </is>
      </c>
      <c r="X1217" t="inlineStr">
        <is>
          <t>2009-11-30</t>
        </is>
      </c>
      <c r="Y1217" t="inlineStr">
        <is>
          <t>2002-02-12</t>
        </is>
      </c>
      <c r="Z1217" t="inlineStr">
        <is>
          <t>2002-02-12</t>
        </is>
      </c>
      <c r="AA1217" t="n">
        <v>598</v>
      </c>
      <c r="AB1217" t="n">
        <v>463</v>
      </c>
      <c r="AC1217" t="n">
        <v>821</v>
      </c>
      <c r="AD1217" t="n">
        <v>2</v>
      </c>
      <c r="AE1217" t="n">
        <v>6</v>
      </c>
      <c r="AF1217" t="n">
        <v>30</v>
      </c>
      <c r="AG1217" t="n">
        <v>41</v>
      </c>
      <c r="AH1217" t="n">
        <v>15</v>
      </c>
      <c r="AI1217" t="n">
        <v>18</v>
      </c>
      <c r="AJ1217" t="n">
        <v>9</v>
      </c>
      <c r="AK1217" t="n">
        <v>9</v>
      </c>
      <c r="AL1217" t="n">
        <v>14</v>
      </c>
      <c r="AM1217" t="n">
        <v>17</v>
      </c>
      <c r="AN1217" t="n">
        <v>1</v>
      </c>
      <c r="AO1217" t="n">
        <v>5</v>
      </c>
      <c r="AP1217" t="n">
        <v>0</v>
      </c>
      <c r="AQ1217" t="n">
        <v>1</v>
      </c>
      <c r="AR1217" t="inlineStr">
        <is>
          <t>No</t>
        </is>
      </c>
      <c r="AS1217" t="inlineStr">
        <is>
          <t>No</t>
        </is>
      </c>
      <c r="AU1217">
        <f>HYPERLINK("https://creighton-primo.hosted.exlibrisgroup.com/primo-explore/search?tab=default_tab&amp;search_scope=EVERYTHING&amp;vid=01CRU&amp;lang=en_US&amp;offset=0&amp;query=any,contains,991003702349702656","Catalog Record")</f>
        <v/>
      </c>
      <c r="AV1217">
        <f>HYPERLINK("http://www.worldcat.org/oclc/45284647","WorldCat Record")</f>
        <v/>
      </c>
      <c r="AW1217" t="inlineStr">
        <is>
          <t>766079816:eng</t>
        </is>
      </c>
      <c r="AX1217" t="inlineStr">
        <is>
          <t>45284647</t>
        </is>
      </c>
      <c r="AY1217" t="inlineStr">
        <is>
          <t>991003702349702656</t>
        </is>
      </c>
      <c r="AZ1217" t="inlineStr">
        <is>
          <t>991003702349702656</t>
        </is>
      </c>
      <c r="BA1217" t="inlineStr">
        <is>
          <t>2272552550002656</t>
        </is>
      </c>
      <c r="BB1217" t="inlineStr">
        <is>
          <t>BOOK</t>
        </is>
      </c>
      <c r="BD1217" t="inlineStr">
        <is>
          <t>9780631214083</t>
        </is>
      </c>
      <c r="BE1217" t="inlineStr">
        <is>
          <t>32285004453915</t>
        </is>
      </c>
      <c r="BF1217" t="inlineStr">
        <is>
          <t>893598880</t>
        </is>
      </c>
    </row>
    <row r="1218">
      <c r="A1218" t="inlineStr">
        <is>
          <t>No</t>
        </is>
      </c>
      <c r="B1218" t="inlineStr">
        <is>
          <t>CURAL</t>
        </is>
      </c>
      <c r="C1218" t="inlineStr">
        <is>
          <t>SHELVES</t>
        </is>
      </c>
      <c r="D1218" t="inlineStr">
        <is>
          <t>PR3588 .F5</t>
        </is>
      </c>
      <c r="E1218" t="inlineStr">
        <is>
          <t>0                      PR 3588000F  5</t>
        </is>
      </c>
      <c r="F1218" t="inlineStr">
        <is>
          <t>Th'upright heart and pure; essays on John Milton commemorating the tercentenary of the publication of Paradise lost. Edited by Amadeus P. Fiore.</t>
        </is>
      </c>
      <c r="H1218" t="inlineStr">
        <is>
          <t>No</t>
        </is>
      </c>
      <c r="I1218" t="inlineStr">
        <is>
          <t>1</t>
        </is>
      </c>
      <c r="J1218" t="inlineStr">
        <is>
          <t>No</t>
        </is>
      </c>
      <c r="K1218" t="inlineStr">
        <is>
          <t>No</t>
        </is>
      </c>
      <c r="L1218" t="inlineStr">
        <is>
          <t>0</t>
        </is>
      </c>
      <c r="M1218" t="inlineStr">
        <is>
          <t>Fiore, Peter Amadeus, 1927-</t>
        </is>
      </c>
      <c r="N1218" t="inlineStr">
        <is>
          <t>Pittsburgh, Duquesne University Press [c1967]</t>
        </is>
      </c>
      <c r="O1218" t="inlineStr">
        <is>
          <t>1967</t>
        </is>
      </c>
      <c r="Q1218" t="inlineStr">
        <is>
          <t>eng</t>
        </is>
      </c>
      <c r="R1218" t="inlineStr">
        <is>
          <t>pau</t>
        </is>
      </c>
      <c r="S1218" t="inlineStr">
        <is>
          <t>Duquesne studies. Philological series ; 10</t>
        </is>
      </c>
      <c r="T1218" t="inlineStr">
        <is>
          <t xml:space="preserve">PR </t>
        </is>
      </c>
      <c r="U1218" t="n">
        <v>1</v>
      </c>
      <c r="V1218" t="n">
        <v>1</v>
      </c>
      <c r="W1218" t="inlineStr">
        <is>
          <t>1997-09-22</t>
        </is>
      </c>
      <c r="X1218" t="inlineStr">
        <is>
          <t>1997-09-22</t>
        </is>
      </c>
      <c r="Y1218" t="inlineStr">
        <is>
          <t>1997-07-24</t>
        </is>
      </c>
      <c r="Z1218" t="inlineStr">
        <is>
          <t>1997-07-24</t>
        </is>
      </c>
      <c r="AA1218" t="n">
        <v>673</v>
      </c>
      <c r="AB1218" t="n">
        <v>602</v>
      </c>
      <c r="AC1218" t="n">
        <v>609</v>
      </c>
      <c r="AD1218" t="n">
        <v>9</v>
      </c>
      <c r="AE1218" t="n">
        <v>9</v>
      </c>
      <c r="AF1218" t="n">
        <v>39</v>
      </c>
      <c r="AG1218" t="n">
        <v>39</v>
      </c>
      <c r="AH1218" t="n">
        <v>13</v>
      </c>
      <c r="AI1218" t="n">
        <v>13</v>
      </c>
      <c r="AJ1218" t="n">
        <v>7</v>
      </c>
      <c r="AK1218" t="n">
        <v>7</v>
      </c>
      <c r="AL1218" t="n">
        <v>20</v>
      </c>
      <c r="AM1218" t="n">
        <v>20</v>
      </c>
      <c r="AN1218" t="n">
        <v>7</v>
      </c>
      <c r="AO1218" t="n">
        <v>7</v>
      </c>
      <c r="AP1218" t="n">
        <v>0</v>
      </c>
      <c r="AQ1218" t="n">
        <v>0</v>
      </c>
      <c r="AR1218" t="inlineStr">
        <is>
          <t>No</t>
        </is>
      </c>
      <c r="AS1218" t="inlineStr">
        <is>
          <t>Yes</t>
        </is>
      </c>
      <c r="AT1218">
        <f>HYPERLINK("http://catalog.hathitrust.org/Record/001647415","HathiTrust Record")</f>
        <v/>
      </c>
      <c r="AU1218">
        <f>HYPERLINK("https://creighton-primo.hosted.exlibrisgroup.com/primo-explore/search?tab=default_tab&amp;search_scope=EVERYTHING&amp;vid=01CRU&amp;lang=en_US&amp;offset=0&amp;query=any,contains,991002955439702656","Catalog Record")</f>
        <v/>
      </c>
      <c r="AV1218">
        <f>HYPERLINK("http://www.worldcat.org/oclc/541852","WorldCat Record")</f>
        <v/>
      </c>
      <c r="AW1218" t="inlineStr">
        <is>
          <t>384192229:eng</t>
        </is>
      </c>
      <c r="AX1218" t="inlineStr">
        <is>
          <t>541852</t>
        </is>
      </c>
      <c r="AY1218" t="inlineStr">
        <is>
          <t>991002955439702656</t>
        </is>
      </c>
      <c r="AZ1218" t="inlineStr">
        <is>
          <t>991002955439702656</t>
        </is>
      </c>
      <c r="BA1218" t="inlineStr">
        <is>
          <t>2268240670002656</t>
        </is>
      </c>
      <c r="BB1218" t="inlineStr">
        <is>
          <t>BOOK</t>
        </is>
      </c>
      <c r="BE1218" t="inlineStr">
        <is>
          <t>32285002958568</t>
        </is>
      </c>
      <c r="BF1218" t="inlineStr">
        <is>
          <t>893805259</t>
        </is>
      </c>
    </row>
    <row r="1219">
      <c r="A1219" t="inlineStr">
        <is>
          <t>No</t>
        </is>
      </c>
      <c r="B1219" t="inlineStr">
        <is>
          <t>CURAL</t>
        </is>
      </c>
      <c r="C1219" t="inlineStr">
        <is>
          <t>SHELVES</t>
        </is>
      </c>
      <c r="D1219" t="inlineStr">
        <is>
          <t>PR3588 .G75 1986</t>
        </is>
      </c>
      <c r="E1219" t="inlineStr">
        <is>
          <t>0                      PR 3588000G  75          1986</t>
        </is>
      </c>
      <c r="F1219" t="inlineStr">
        <is>
          <t>Regaining paradise : Milton and the eighteenth century / Dustin Griffin.</t>
        </is>
      </c>
      <c r="H1219" t="inlineStr">
        <is>
          <t>No</t>
        </is>
      </c>
      <c r="I1219" t="inlineStr">
        <is>
          <t>1</t>
        </is>
      </c>
      <c r="J1219" t="inlineStr">
        <is>
          <t>No</t>
        </is>
      </c>
      <c r="K1219" t="inlineStr">
        <is>
          <t>No</t>
        </is>
      </c>
      <c r="L1219" t="inlineStr">
        <is>
          <t>0</t>
        </is>
      </c>
      <c r="M1219" t="inlineStr">
        <is>
          <t>Griffin, Dustin H.</t>
        </is>
      </c>
      <c r="N1219" t="inlineStr">
        <is>
          <t>Cambridge [Cambridgeshire] ; New York : Cambridge University Press, 1986.</t>
        </is>
      </c>
      <c r="O1219" t="inlineStr">
        <is>
          <t>1986</t>
        </is>
      </c>
      <c r="Q1219" t="inlineStr">
        <is>
          <t>eng</t>
        </is>
      </c>
      <c r="R1219" t="inlineStr">
        <is>
          <t>enk</t>
        </is>
      </c>
      <c r="T1219" t="inlineStr">
        <is>
          <t xml:space="preserve">PR </t>
        </is>
      </c>
      <c r="U1219" t="n">
        <v>6</v>
      </c>
      <c r="V1219" t="n">
        <v>6</v>
      </c>
      <c r="W1219" t="inlineStr">
        <is>
          <t>2004-09-07</t>
        </is>
      </c>
      <c r="X1219" t="inlineStr">
        <is>
          <t>2004-09-07</t>
        </is>
      </c>
      <c r="Y1219" t="inlineStr">
        <is>
          <t>1991-04-26</t>
        </is>
      </c>
      <c r="Z1219" t="inlineStr">
        <is>
          <t>1991-04-26</t>
        </is>
      </c>
      <c r="AA1219" t="n">
        <v>673</v>
      </c>
      <c r="AB1219" t="n">
        <v>540</v>
      </c>
      <c r="AC1219" t="n">
        <v>547</v>
      </c>
      <c r="AD1219" t="n">
        <v>4</v>
      </c>
      <c r="AE1219" t="n">
        <v>5</v>
      </c>
      <c r="AF1219" t="n">
        <v>27</v>
      </c>
      <c r="AG1219" t="n">
        <v>28</v>
      </c>
      <c r="AH1219" t="n">
        <v>9</v>
      </c>
      <c r="AI1219" t="n">
        <v>9</v>
      </c>
      <c r="AJ1219" t="n">
        <v>7</v>
      </c>
      <c r="AK1219" t="n">
        <v>7</v>
      </c>
      <c r="AL1219" t="n">
        <v>17</v>
      </c>
      <c r="AM1219" t="n">
        <v>17</v>
      </c>
      <c r="AN1219" t="n">
        <v>3</v>
      </c>
      <c r="AO1219" t="n">
        <v>4</v>
      </c>
      <c r="AP1219" t="n">
        <v>0</v>
      </c>
      <c r="AQ1219" t="n">
        <v>0</v>
      </c>
      <c r="AR1219" t="inlineStr">
        <is>
          <t>No</t>
        </is>
      </c>
      <c r="AS1219" t="inlineStr">
        <is>
          <t>No</t>
        </is>
      </c>
      <c r="AU1219">
        <f>HYPERLINK("https://creighton-primo.hosted.exlibrisgroup.com/primo-explore/search?tab=default_tab&amp;search_scope=EVERYTHING&amp;vid=01CRU&amp;lang=en_US&amp;offset=0&amp;query=any,contains,991000669549702656","Catalog Record")</f>
        <v/>
      </c>
      <c r="AV1219">
        <f>HYPERLINK("http://www.worldcat.org/oclc/12313645","WorldCat Record")</f>
        <v/>
      </c>
      <c r="AW1219" t="inlineStr">
        <is>
          <t>309122928:eng</t>
        </is>
      </c>
      <c r="AX1219" t="inlineStr">
        <is>
          <t>12313645</t>
        </is>
      </c>
      <c r="AY1219" t="inlineStr">
        <is>
          <t>991000669549702656</t>
        </is>
      </c>
      <c r="AZ1219" t="inlineStr">
        <is>
          <t>991000669549702656</t>
        </is>
      </c>
      <c r="BA1219" t="inlineStr">
        <is>
          <t>2271749430002656</t>
        </is>
      </c>
      <c r="BB1219" t="inlineStr">
        <is>
          <t>BOOK</t>
        </is>
      </c>
      <c r="BD1219" t="inlineStr">
        <is>
          <t>9780521309134</t>
        </is>
      </c>
      <c r="BE1219" t="inlineStr">
        <is>
          <t>32285000522994</t>
        </is>
      </c>
      <c r="BF1219" t="inlineStr">
        <is>
          <t>893508991</t>
        </is>
      </c>
    </row>
    <row r="1220">
      <c r="A1220" t="inlineStr">
        <is>
          <t>No</t>
        </is>
      </c>
      <c r="B1220" t="inlineStr">
        <is>
          <t>CURAL</t>
        </is>
      </c>
      <c r="C1220" t="inlineStr">
        <is>
          <t>SHELVES</t>
        </is>
      </c>
      <c r="D1220" t="inlineStr">
        <is>
          <t>PR3588 .G76 1988</t>
        </is>
      </c>
      <c r="E1220" t="inlineStr">
        <is>
          <t>0                      PR 3588000G  76          1988</t>
        </is>
      </c>
      <c r="F1220" t="inlineStr">
        <is>
          <t>Milton and the sense of tradition / Christopher Grose.</t>
        </is>
      </c>
      <c r="H1220" t="inlineStr">
        <is>
          <t>No</t>
        </is>
      </c>
      <c r="I1220" t="inlineStr">
        <is>
          <t>1</t>
        </is>
      </c>
      <c r="J1220" t="inlineStr">
        <is>
          <t>No</t>
        </is>
      </c>
      <c r="K1220" t="inlineStr">
        <is>
          <t>No</t>
        </is>
      </c>
      <c r="L1220" t="inlineStr">
        <is>
          <t>0</t>
        </is>
      </c>
      <c r="M1220" t="inlineStr">
        <is>
          <t>Grose, Christopher.</t>
        </is>
      </c>
      <c r="N1220" t="inlineStr">
        <is>
          <t>New Haven : Yale University Press, c1988.</t>
        </is>
      </c>
      <c r="O1220" t="inlineStr">
        <is>
          <t>1988</t>
        </is>
      </c>
      <c r="Q1220" t="inlineStr">
        <is>
          <t>eng</t>
        </is>
      </c>
      <c r="R1220" t="inlineStr">
        <is>
          <t>ctu</t>
        </is>
      </c>
      <c r="T1220" t="inlineStr">
        <is>
          <t xml:space="preserve">PR </t>
        </is>
      </c>
      <c r="U1220" t="n">
        <v>4</v>
      </c>
      <c r="V1220" t="n">
        <v>4</v>
      </c>
      <c r="W1220" t="inlineStr">
        <is>
          <t>2003-04-14</t>
        </is>
      </c>
      <c r="X1220" t="inlineStr">
        <is>
          <t>2003-04-14</t>
        </is>
      </c>
      <c r="Y1220" t="inlineStr">
        <is>
          <t>1991-04-26</t>
        </is>
      </c>
      <c r="Z1220" t="inlineStr">
        <is>
          <t>1991-04-26</t>
        </is>
      </c>
      <c r="AA1220" t="n">
        <v>478</v>
      </c>
      <c r="AB1220" t="n">
        <v>370</v>
      </c>
      <c r="AC1220" t="n">
        <v>542</v>
      </c>
      <c r="AD1220" t="n">
        <v>3</v>
      </c>
      <c r="AE1220" t="n">
        <v>3</v>
      </c>
      <c r="AF1220" t="n">
        <v>21</v>
      </c>
      <c r="AG1220" t="n">
        <v>28</v>
      </c>
      <c r="AH1220" t="n">
        <v>9</v>
      </c>
      <c r="AI1220" t="n">
        <v>14</v>
      </c>
      <c r="AJ1220" t="n">
        <v>5</v>
      </c>
      <c r="AK1220" t="n">
        <v>7</v>
      </c>
      <c r="AL1220" t="n">
        <v>13</v>
      </c>
      <c r="AM1220" t="n">
        <v>14</v>
      </c>
      <c r="AN1220" t="n">
        <v>2</v>
      </c>
      <c r="AO1220" t="n">
        <v>2</v>
      </c>
      <c r="AP1220" t="n">
        <v>0</v>
      </c>
      <c r="AQ1220" t="n">
        <v>0</v>
      </c>
      <c r="AR1220" t="inlineStr">
        <is>
          <t>No</t>
        </is>
      </c>
      <c r="AS1220" t="inlineStr">
        <is>
          <t>No</t>
        </is>
      </c>
      <c r="AU1220">
        <f>HYPERLINK("https://creighton-primo.hosted.exlibrisgroup.com/primo-explore/search?tab=default_tab&amp;search_scope=EVERYTHING&amp;vid=01CRU&amp;lang=en_US&amp;offset=0&amp;query=any,contains,991001231179702656","Catalog Record")</f>
        <v/>
      </c>
      <c r="AV1220">
        <f>HYPERLINK("http://www.worldcat.org/oclc/17547063","WorldCat Record")</f>
        <v/>
      </c>
      <c r="AW1220" t="inlineStr">
        <is>
          <t>16131461:eng</t>
        </is>
      </c>
      <c r="AX1220" t="inlineStr">
        <is>
          <t>17547063</t>
        </is>
      </c>
      <c r="AY1220" t="inlineStr">
        <is>
          <t>991001231179702656</t>
        </is>
      </c>
      <c r="AZ1220" t="inlineStr">
        <is>
          <t>991001231179702656</t>
        </is>
      </c>
      <c r="BA1220" t="inlineStr">
        <is>
          <t>2265272200002656</t>
        </is>
      </c>
      <c r="BB1220" t="inlineStr">
        <is>
          <t>BOOK</t>
        </is>
      </c>
      <c r="BD1220" t="inlineStr">
        <is>
          <t>9780300041712</t>
        </is>
      </c>
      <c r="BE1220" t="inlineStr">
        <is>
          <t>32285000523000</t>
        </is>
      </c>
      <c r="BF1220" t="inlineStr">
        <is>
          <t>893432709</t>
        </is>
      </c>
    </row>
    <row r="1221">
      <c r="A1221" t="inlineStr">
        <is>
          <t>No</t>
        </is>
      </c>
      <c r="B1221" t="inlineStr">
        <is>
          <t>CURAL</t>
        </is>
      </c>
      <c r="C1221" t="inlineStr">
        <is>
          <t>SHELVES</t>
        </is>
      </c>
      <c r="D1221" t="inlineStr">
        <is>
          <t>PR3588 .H3 1961</t>
        </is>
      </c>
      <c r="E1221" t="inlineStr">
        <is>
          <t>0                      PR 3588000H  3           1961</t>
        </is>
      </c>
      <c r="F1221" t="inlineStr">
        <is>
          <t>The influence of Milton on English poetry.</t>
        </is>
      </c>
      <c r="H1221" t="inlineStr">
        <is>
          <t>No</t>
        </is>
      </c>
      <c r="I1221" t="inlineStr">
        <is>
          <t>1</t>
        </is>
      </c>
      <c r="J1221" t="inlineStr">
        <is>
          <t>No</t>
        </is>
      </c>
      <c r="K1221" t="inlineStr">
        <is>
          <t>No</t>
        </is>
      </c>
      <c r="L1221" t="inlineStr">
        <is>
          <t>0</t>
        </is>
      </c>
      <c r="M1221" t="inlineStr">
        <is>
          <t>Havens, Raymond Dexter, 1880-1954.</t>
        </is>
      </c>
      <c r="N1221" t="inlineStr">
        <is>
          <t>New York, Russell &amp; Russell, 1961 [c1922]</t>
        </is>
      </c>
      <c r="O1221" t="inlineStr">
        <is>
          <t>1961</t>
        </is>
      </c>
      <c r="Q1221" t="inlineStr">
        <is>
          <t>eng</t>
        </is>
      </c>
      <c r="R1221" t="inlineStr">
        <is>
          <t>nyu</t>
        </is>
      </c>
      <c r="T1221" t="inlineStr">
        <is>
          <t xml:space="preserve">PR </t>
        </is>
      </c>
      <c r="U1221" t="n">
        <v>4</v>
      </c>
      <c r="V1221" t="n">
        <v>4</v>
      </c>
      <c r="W1221" t="inlineStr">
        <is>
          <t>2003-01-21</t>
        </is>
      </c>
      <c r="X1221" t="inlineStr">
        <is>
          <t>2003-01-21</t>
        </is>
      </c>
      <c r="Y1221" t="inlineStr">
        <is>
          <t>1997-07-24</t>
        </is>
      </c>
      <c r="Z1221" t="inlineStr">
        <is>
          <t>1997-07-24</t>
        </is>
      </c>
      <c r="AA1221" t="n">
        <v>701</v>
      </c>
      <c r="AB1221" t="n">
        <v>605</v>
      </c>
      <c r="AC1221" t="n">
        <v>901</v>
      </c>
      <c r="AD1221" t="n">
        <v>8</v>
      </c>
      <c r="AE1221" t="n">
        <v>11</v>
      </c>
      <c r="AF1221" t="n">
        <v>31</v>
      </c>
      <c r="AG1221" t="n">
        <v>49</v>
      </c>
      <c r="AH1221" t="n">
        <v>16</v>
      </c>
      <c r="AI1221" t="n">
        <v>21</v>
      </c>
      <c r="AJ1221" t="n">
        <v>4</v>
      </c>
      <c r="AK1221" t="n">
        <v>8</v>
      </c>
      <c r="AL1221" t="n">
        <v>13</v>
      </c>
      <c r="AM1221" t="n">
        <v>23</v>
      </c>
      <c r="AN1221" t="n">
        <v>7</v>
      </c>
      <c r="AO1221" t="n">
        <v>10</v>
      </c>
      <c r="AP1221" t="n">
        <v>0</v>
      </c>
      <c r="AQ1221" t="n">
        <v>0</v>
      </c>
      <c r="AR1221" t="inlineStr">
        <is>
          <t>Yes</t>
        </is>
      </c>
      <c r="AS1221" t="inlineStr">
        <is>
          <t>No</t>
        </is>
      </c>
      <c r="AT1221">
        <f>HYPERLINK("http://catalog.hathitrust.org/Record/000634495","HathiTrust Record")</f>
        <v/>
      </c>
      <c r="AU1221">
        <f>HYPERLINK("https://creighton-primo.hosted.exlibrisgroup.com/primo-explore/search?tab=default_tab&amp;search_scope=EVERYTHING&amp;vid=01CRU&amp;lang=en_US&amp;offset=0&amp;query=any,contains,991002483049702656","Catalog Record")</f>
        <v/>
      </c>
      <c r="AV1221">
        <f>HYPERLINK("http://www.worldcat.org/oclc/360221","WorldCat Record")</f>
        <v/>
      </c>
      <c r="AW1221" t="inlineStr">
        <is>
          <t>529424:eng</t>
        </is>
      </c>
      <c r="AX1221" t="inlineStr">
        <is>
          <t>360221</t>
        </is>
      </c>
      <c r="AY1221" t="inlineStr">
        <is>
          <t>991002483049702656</t>
        </is>
      </c>
      <c r="AZ1221" t="inlineStr">
        <is>
          <t>991002483049702656</t>
        </is>
      </c>
      <c r="BA1221" t="inlineStr">
        <is>
          <t>2263820780002656</t>
        </is>
      </c>
      <c r="BB1221" t="inlineStr">
        <is>
          <t>BOOK</t>
        </is>
      </c>
      <c r="BE1221" t="inlineStr">
        <is>
          <t>32285002958584</t>
        </is>
      </c>
      <c r="BF1221" t="inlineStr">
        <is>
          <t>893498165</t>
        </is>
      </c>
    </row>
    <row r="1222">
      <c r="A1222" t="inlineStr">
        <is>
          <t>No</t>
        </is>
      </c>
      <c r="B1222" t="inlineStr">
        <is>
          <t>CURAL</t>
        </is>
      </c>
      <c r="C1222" t="inlineStr">
        <is>
          <t>SHELVES</t>
        </is>
      </c>
      <c r="D1222" t="inlineStr">
        <is>
          <t>PR3588 .H48 1979</t>
        </is>
      </c>
      <c r="E1222" t="inlineStr">
        <is>
          <t>0                      PR 3588000H  48          1979</t>
        </is>
      </c>
      <c r="F1222" t="inlineStr">
        <is>
          <t>John Milton, poet, priest, and prophet : a study of divine vocation in Milton's poetry and prose / John Spencer Hill.</t>
        </is>
      </c>
      <c r="H1222" t="inlineStr">
        <is>
          <t>No</t>
        </is>
      </c>
      <c r="I1222" t="inlineStr">
        <is>
          <t>1</t>
        </is>
      </c>
      <c r="J1222" t="inlineStr">
        <is>
          <t>No</t>
        </is>
      </c>
      <c r="K1222" t="inlineStr">
        <is>
          <t>No</t>
        </is>
      </c>
      <c r="L1222" t="inlineStr">
        <is>
          <t>0</t>
        </is>
      </c>
      <c r="M1222" t="inlineStr">
        <is>
          <t>Hill, John Spencer, 1943-</t>
        </is>
      </c>
      <c r="N1222" t="inlineStr">
        <is>
          <t>Totowa, N.J. : Rowman and Littlefield, 1979.</t>
        </is>
      </c>
      <c r="O1222" t="inlineStr">
        <is>
          <t>1979</t>
        </is>
      </c>
      <c r="Q1222" t="inlineStr">
        <is>
          <t>eng</t>
        </is>
      </c>
      <c r="R1222" t="inlineStr">
        <is>
          <t>nju</t>
        </is>
      </c>
      <c r="T1222" t="inlineStr">
        <is>
          <t xml:space="preserve">PR </t>
        </is>
      </c>
      <c r="U1222" t="n">
        <v>1</v>
      </c>
      <c r="V1222" t="n">
        <v>1</v>
      </c>
      <c r="W1222" t="inlineStr">
        <is>
          <t>2000-10-01</t>
        </is>
      </c>
      <c r="X1222" t="inlineStr">
        <is>
          <t>2000-10-01</t>
        </is>
      </c>
      <c r="Y1222" t="inlineStr">
        <is>
          <t>1991-04-26</t>
        </is>
      </c>
      <c r="Z1222" t="inlineStr">
        <is>
          <t>1991-04-26</t>
        </is>
      </c>
      <c r="AA1222" t="n">
        <v>507</v>
      </c>
      <c r="AB1222" t="n">
        <v>474</v>
      </c>
      <c r="AC1222" t="n">
        <v>540</v>
      </c>
      <c r="AD1222" t="n">
        <v>3</v>
      </c>
      <c r="AE1222" t="n">
        <v>5</v>
      </c>
      <c r="AF1222" t="n">
        <v>25</v>
      </c>
      <c r="AG1222" t="n">
        <v>28</v>
      </c>
      <c r="AH1222" t="n">
        <v>10</v>
      </c>
      <c r="AI1222" t="n">
        <v>11</v>
      </c>
      <c r="AJ1222" t="n">
        <v>6</v>
      </c>
      <c r="AK1222" t="n">
        <v>6</v>
      </c>
      <c r="AL1222" t="n">
        <v>16</v>
      </c>
      <c r="AM1222" t="n">
        <v>16</v>
      </c>
      <c r="AN1222" t="n">
        <v>1</v>
      </c>
      <c r="AO1222" t="n">
        <v>3</v>
      </c>
      <c r="AP1222" t="n">
        <v>0</v>
      </c>
      <c r="AQ1222" t="n">
        <v>0</v>
      </c>
      <c r="AR1222" t="inlineStr">
        <is>
          <t>No</t>
        </is>
      </c>
      <c r="AS1222" t="inlineStr">
        <is>
          <t>Yes</t>
        </is>
      </c>
      <c r="AT1222">
        <f>HYPERLINK("http://catalog.hathitrust.org/Record/000042150","HathiTrust Record")</f>
        <v/>
      </c>
      <c r="AU1222">
        <f>HYPERLINK("https://creighton-primo.hosted.exlibrisgroup.com/primo-explore/search?tab=default_tab&amp;search_scope=EVERYTHING&amp;vid=01CRU&amp;lang=en_US&amp;offset=0&amp;query=any,contains,991004660699702656","Catalog Record")</f>
        <v/>
      </c>
      <c r="AV1222">
        <f>HYPERLINK("http://www.worldcat.org/oclc/4496678","WorldCat Record")</f>
        <v/>
      </c>
      <c r="AW1222" t="inlineStr">
        <is>
          <t>14776063:eng</t>
        </is>
      </c>
      <c r="AX1222" t="inlineStr">
        <is>
          <t>4496678</t>
        </is>
      </c>
      <c r="AY1222" t="inlineStr">
        <is>
          <t>991004660699702656</t>
        </is>
      </c>
      <c r="AZ1222" t="inlineStr">
        <is>
          <t>991004660699702656</t>
        </is>
      </c>
      <c r="BA1222" t="inlineStr">
        <is>
          <t>2268710080002656</t>
        </is>
      </c>
      <c r="BB1222" t="inlineStr">
        <is>
          <t>BOOK</t>
        </is>
      </c>
      <c r="BD1222" t="inlineStr">
        <is>
          <t>9780847661244</t>
        </is>
      </c>
      <c r="BE1222" t="inlineStr">
        <is>
          <t>32285000523018</t>
        </is>
      </c>
      <c r="BF1222" t="inlineStr">
        <is>
          <t>893532651</t>
        </is>
      </c>
    </row>
    <row r="1223">
      <c r="A1223" t="inlineStr">
        <is>
          <t>No</t>
        </is>
      </c>
      <c r="B1223" t="inlineStr">
        <is>
          <t>CURAL</t>
        </is>
      </c>
      <c r="C1223" t="inlineStr">
        <is>
          <t>SHELVES</t>
        </is>
      </c>
      <c r="D1223" t="inlineStr">
        <is>
          <t>PR3588 .H86 1989</t>
        </is>
      </c>
      <c r="E1223" t="inlineStr">
        <is>
          <t>0                      PR 3588000H  86          1989</t>
        </is>
      </c>
      <c r="F1223" t="inlineStr">
        <is>
          <t>The descent of Urania : studies in Milton, 1946-1988 / William B. Hunter.</t>
        </is>
      </c>
      <c r="H1223" t="inlineStr">
        <is>
          <t>No</t>
        </is>
      </c>
      <c r="I1223" t="inlineStr">
        <is>
          <t>1</t>
        </is>
      </c>
      <c r="J1223" t="inlineStr">
        <is>
          <t>No</t>
        </is>
      </c>
      <c r="K1223" t="inlineStr">
        <is>
          <t>No</t>
        </is>
      </c>
      <c r="L1223" t="inlineStr">
        <is>
          <t>0</t>
        </is>
      </c>
      <c r="M1223" t="inlineStr">
        <is>
          <t>Hunter, William B., Jr. (William Bridges), 1915-2006.</t>
        </is>
      </c>
      <c r="N1223" t="inlineStr">
        <is>
          <t>Lewisburg, Pa. : Bucknell University Press, c1989.</t>
        </is>
      </c>
      <c r="O1223" t="inlineStr">
        <is>
          <t>1989</t>
        </is>
      </c>
      <c r="Q1223" t="inlineStr">
        <is>
          <t>eng</t>
        </is>
      </c>
      <c r="R1223" t="inlineStr">
        <is>
          <t>pau</t>
        </is>
      </c>
      <c r="T1223" t="inlineStr">
        <is>
          <t xml:space="preserve">PR </t>
        </is>
      </c>
      <c r="U1223" t="n">
        <v>3</v>
      </c>
      <c r="V1223" t="n">
        <v>3</v>
      </c>
      <c r="W1223" t="inlineStr">
        <is>
          <t>2006-11-12</t>
        </is>
      </c>
      <c r="X1223" t="inlineStr">
        <is>
          <t>2006-11-12</t>
        </is>
      </c>
      <c r="Y1223" t="inlineStr">
        <is>
          <t>1989-12-05</t>
        </is>
      </c>
      <c r="Z1223" t="inlineStr">
        <is>
          <t>1989-12-05</t>
        </is>
      </c>
      <c r="AA1223" t="n">
        <v>321</v>
      </c>
      <c r="AB1223" t="n">
        <v>257</v>
      </c>
      <c r="AC1223" t="n">
        <v>259</v>
      </c>
      <c r="AD1223" t="n">
        <v>1</v>
      </c>
      <c r="AE1223" t="n">
        <v>1</v>
      </c>
      <c r="AF1223" t="n">
        <v>9</v>
      </c>
      <c r="AG1223" t="n">
        <v>9</v>
      </c>
      <c r="AH1223" t="n">
        <v>1</v>
      </c>
      <c r="AI1223" t="n">
        <v>1</v>
      </c>
      <c r="AJ1223" t="n">
        <v>3</v>
      </c>
      <c r="AK1223" t="n">
        <v>3</v>
      </c>
      <c r="AL1223" t="n">
        <v>8</v>
      </c>
      <c r="AM1223" t="n">
        <v>8</v>
      </c>
      <c r="AN1223" t="n">
        <v>0</v>
      </c>
      <c r="AO1223" t="n">
        <v>0</v>
      </c>
      <c r="AP1223" t="n">
        <v>0</v>
      </c>
      <c r="AQ1223" t="n">
        <v>0</v>
      </c>
      <c r="AR1223" t="inlineStr">
        <is>
          <t>No</t>
        </is>
      </c>
      <c r="AS1223" t="inlineStr">
        <is>
          <t>Yes</t>
        </is>
      </c>
      <c r="AT1223">
        <f>HYPERLINK("http://catalog.hathitrust.org/Record/001816167","HathiTrust Record")</f>
        <v/>
      </c>
      <c r="AU1223">
        <f>HYPERLINK("https://creighton-primo.hosted.exlibrisgroup.com/primo-explore/search?tab=default_tab&amp;search_scope=EVERYTHING&amp;vid=01CRU&amp;lang=en_US&amp;offset=0&amp;query=any,contains,991001419129702656","Catalog Record")</f>
        <v/>
      </c>
      <c r="AV1223">
        <f>HYPERLINK("http://www.worldcat.org/oclc/18961429","WorldCat Record")</f>
        <v/>
      </c>
      <c r="AW1223" t="inlineStr">
        <is>
          <t>18422843:eng</t>
        </is>
      </c>
      <c r="AX1223" t="inlineStr">
        <is>
          <t>18961429</t>
        </is>
      </c>
      <c r="AY1223" t="inlineStr">
        <is>
          <t>991001419129702656</t>
        </is>
      </c>
      <c r="AZ1223" t="inlineStr">
        <is>
          <t>991001419129702656</t>
        </is>
      </c>
      <c r="BA1223" t="inlineStr">
        <is>
          <t>2262031640002656</t>
        </is>
      </c>
      <c r="BB1223" t="inlineStr">
        <is>
          <t>BOOK</t>
        </is>
      </c>
      <c r="BD1223" t="inlineStr">
        <is>
          <t>9780838751572</t>
        </is>
      </c>
      <c r="BE1223" t="inlineStr">
        <is>
          <t>32285000017383</t>
        </is>
      </c>
      <c r="BF1223" t="inlineStr">
        <is>
          <t>893791438</t>
        </is>
      </c>
    </row>
    <row r="1224">
      <c r="A1224" t="inlineStr">
        <is>
          <t>No</t>
        </is>
      </c>
      <c r="B1224" t="inlineStr">
        <is>
          <t>CURAL</t>
        </is>
      </c>
      <c r="C1224" t="inlineStr">
        <is>
          <t>SHELVES</t>
        </is>
      </c>
      <c r="D1224" t="inlineStr">
        <is>
          <t>PR3588 .L38 1991</t>
        </is>
      </c>
      <c r="E1224" t="inlineStr">
        <is>
          <t>0                      PR 3588000L  38          1991</t>
        </is>
      </c>
      <c r="F1224" t="inlineStr">
        <is>
          <t>Milton re-viewed : ten essays / Edward Le Comte.</t>
        </is>
      </c>
      <c r="H1224" t="inlineStr">
        <is>
          <t>No</t>
        </is>
      </c>
      <c r="I1224" t="inlineStr">
        <is>
          <t>1</t>
        </is>
      </c>
      <c r="J1224" t="inlineStr">
        <is>
          <t>No</t>
        </is>
      </c>
      <c r="K1224" t="inlineStr">
        <is>
          <t>No</t>
        </is>
      </c>
      <c r="L1224" t="inlineStr">
        <is>
          <t>0</t>
        </is>
      </c>
      <c r="M1224" t="inlineStr">
        <is>
          <t>Le Comte, Edward, 1916-2004.</t>
        </is>
      </c>
      <c r="N1224" t="inlineStr">
        <is>
          <t>New York : Garland, 1991.</t>
        </is>
      </c>
      <c r="O1224" t="inlineStr">
        <is>
          <t>1991</t>
        </is>
      </c>
      <c r="Q1224" t="inlineStr">
        <is>
          <t>eng</t>
        </is>
      </c>
      <c r="R1224" t="inlineStr">
        <is>
          <t>nyu</t>
        </is>
      </c>
      <c r="S1224" t="inlineStr">
        <is>
          <t>Garland reference library of the humanities ; vol. 1446</t>
        </is>
      </c>
      <c r="T1224" t="inlineStr">
        <is>
          <t xml:space="preserve">PR </t>
        </is>
      </c>
      <c r="U1224" t="n">
        <v>4</v>
      </c>
      <c r="V1224" t="n">
        <v>4</v>
      </c>
      <c r="W1224" t="inlineStr">
        <is>
          <t>2006-10-22</t>
        </is>
      </c>
      <c r="X1224" t="inlineStr">
        <is>
          <t>2006-10-22</t>
        </is>
      </c>
      <c r="Y1224" t="inlineStr">
        <is>
          <t>1992-04-23</t>
        </is>
      </c>
      <c r="Z1224" t="inlineStr">
        <is>
          <t>1992-04-23</t>
        </is>
      </c>
      <c r="AA1224" t="n">
        <v>208</v>
      </c>
      <c r="AB1224" t="n">
        <v>157</v>
      </c>
      <c r="AC1224" t="n">
        <v>175</v>
      </c>
      <c r="AD1224" t="n">
        <v>2</v>
      </c>
      <c r="AE1224" t="n">
        <v>2</v>
      </c>
      <c r="AF1224" t="n">
        <v>9</v>
      </c>
      <c r="AG1224" t="n">
        <v>9</v>
      </c>
      <c r="AH1224" t="n">
        <v>2</v>
      </c>
      <c r="AI1224" t="n">
        <v>2</v>
      </c>
      <c r="AJ1224" t="n">
        <v>3</v>
      </c>
      <c r="AK1224" t="n">
        <v>3</v>
      </c>
      <c r="AL1224" t="n">
        <v>7</v>
      </c>
      <c r="AM1224" t="n">
        <v>7</v>
      </c>
      <c r="AN1224" t="n">
        <v>1</v>
      </c>
      <c r="AO1224" t="n">
        <v>1</v>
      </c>
      <c r="AP1224" t="n">
        <v>0</v>
      </c>
      <c r="AQ1224" t="n">
        <v>0</v>
      </c>
      <c r="AR1224" t="inlineStr">
        <is>
          <t>No</t>
        </is>
      </c>
      <c r="AS1224" t="inlineStr">
        <is>
          <t>No</t>
        </is>
      </c>
      <c r="AU1224">
        <f>HYPERLINK("https://creighton-primo.hosted.exlibrisgroup.com/primo-explore/search?tab=default_tab&amp;search_scope=EVERYTHING&amp;vid=01CRU&amp;lang=en_US&amp;offset=0&amp;query=any,contains,991001856539702656","Catalog Record")</f>
        <v/>
      </c>
      <c r="AV1224">
        <f>HYPERLINK("http://www.worldcat.org/oclc/23287386","WorldCat Record")</f>
        <v/>
      </c>
      <c r="AW1224" t="inlineStr">
        <is>
          <t>2765264:eng</t>
        </is>
      </c>
      <c r="AX1224" t="inlineStr">
        <is>
          <t>23287386</t>
        </is>
      </c>
      <c r="AY1224" t="inlineStr">
        <is>
          <t>991001856539702656</t>
        </is>
      </c>
      <c r="AZ1224" t="inlineStr">
        <is>
          <t>991001856539702656</t>
        </is>
      </c>
      <c r="BA1224" t="inlineStr">
        <is>
          <t>2272035200002656</t>
        </is>
      </c>
      <c r="BB1224" t="inlineStr">
        <is>
          <t>BOOK</t>
        </is>
      </c>
      <c r="BD1224" t="inlineStr">
        <is>
          <t>9780815303060</t>
        </is>
      </c>
      <c r="BE1224" t="inlineStr">
        <is>
          <t>32285001037299</t>
        </is>
      </c>
      <c r="BF1224" t="inlineStr">
        <is>
          <t>893261964</t>
        </is>
      </c>
    </row>
    <row r="1225">
      <c r="A1225" t="inlineStr">
        <is>
          <t>No</t>
        </is>
      </c>
      <c r="B1225" t="inlineStr">
        <is>
          <t>CURAL</t>
        </is>
      </c>
      <c r="C1225" t="inlineStr">
        <is>
          <t>SHELVES</t>
        </is>
      </c>
      <c r="D1225" t="inlineStr">
        <is>
          <t>PR3588 .L58 1994</t>
        </is>
      </c>
      <c r="E1225" t="inlineStr">
        <is>
          <t>0                      PR 3588000L  58          1994</t>
        </is>
      </c>
      <c r="F1225" t="inlineStr">
        <is>
          <t>Literary Milton : text, pretext, context / edited by Diana Treviño Benet &amp; Michael Lieb.</t>
        </is>
      </c>
      <c r="H1225" t="inlineStr">
        <is>
          <t>No</t>
        </is>
      </c>
      <c r="I1225" t="inlineStr">
        <is>
          <t>1</t>
        </is>
      </c>
      <c r="J1225" t="inlineStr">
        <is>
          <t>No</t>
        </is>
      </c>
      <c r="K1225" t="inlineStr">
        <is>
          <t>No</t>
        </is>
      </c>
      <c r="L1225" t="inlineStr">
        <is>
          <t>0</t>
        </is>
      </c>
      <c r="N1225" t="inlineStr">
        <is>
          <t>Pittsburgh, Pa. : Duquesne University Press, c1994.</t>
        </is>
      </c>
      <c r="O1225" t="inlineStr">
        <is>
          <t>1994</t>
        </is>
      </c>
      <c r="Q1225" t="inlineStr">
        <is>
          <t>eng</t>
        </is>
      </c>
      <c r="R1225" t="inlineStr">
        <is>
          <t>pau</t>
        </is>
      </c>
      <c r="S1225" t="inlineStr">
        <is>
          <t>Duquesne studies. Language and literature series ; v. 16</t>
        </is>
      </c>
      <c r="T1225" t="inlineStr">
        <is>
          <t xml:space="preserve">PR </t>
        </is>
      </c>
      <c r="U1225" t="n">
        <v>3</v>
      </c>
      <c r="V1225" t="n">
        <v>3</v>
      </c>
      <c r="W1225" t="inlineStr">
        <is>
          <t>2005-11-28</t>
        </is>
      </c>
      <c r="X1225" t="inlineStr">
        <is>
          <t>2005-11-28</t>
        </is>
      </c>
      <c r="Y1225" t="inlineStr">
        <is>
          <t>1995-02-21</t>
        </is>
      </c>
      <c r="Z1225" t="inlineStr">
        <is>
          <t>1995-02-21</t>
        </is>
      </c>
      <c r="AA1225" t="n">
        <v>384</v>
      </c>
      <c r="AB1225" t="n">
        <v>297</v>
      </c>
      <c r="AC1225" t="n">
        <v>304</v>
      </c>
      <c r="AD1225" t="n">
        <v>4</v>
      </c>
      <c r="AE1225" t="n">
        <v>4</v>
      </c>
      <c r="AF1225" t="n">
        <v>20</v>
      </c>
      <c r="AG1225" t="n">
        <v>20</v>
      </c>
      <c r="AH1225" t="n">
        <v>5</v>
      </c>
      <c r="AI1225" t="n">
        <v>5</v>
      </c>
      <c r="AJ1225" t="n">
        <v>6</v>
      </c>
      <c r="AK1225" t="n">
        <v>6</v>
      </c>
      <c r="AL1225" t="n">
        <v>10</v>
      </c>
      <c r="AM1225" t="n">
        <v>10</v>
      </c>
      <c r="AN1225" t="n">
        <v>3</v>
      </c>
      <c r="AO1225" t="n">
        <v>3</v>
      </c>
      <c r="AP1225" t="n">
        <v>0</v>
      </c>
      <c r="AQ1225" t="n">
        <v>0</v>
      </c>
      <c r="AR1225" t="inlineStr">
        <is>
          <t>No</t>
        </is>
      </c>
      <c r="AS1225" t="inlineStr">
        <is>
          <t>Yes</t>
        </is>
      </c>
      <c r="AT1225">
        <f>HYPERLINK("http://catalog.hathitrust.org/Record/002900404","HathiTrust Record")</f>
        <v/>
      </c>
      <c r="AU1225">
        <f>HYPERLINK("https://creighton-primo.hosted.exlibrisgroup.com/primo-explore/search?tab=default_tab&amp;search_scope=EVERYTHING&amp;vid=01CRU&amp;lang=en_US&amp;offset=0&amp;query=any,contains,991002329839702656","Catalog Record")</f>
        <v/>
      </c>
      <c r="AV1225">
        <f>HYPERLINK("http://www.worldcat.org/oclc/30319560","WorldCat Record")</f>
        <v/>
      </c>
      <c r="AW1225" t="inlineStr">
        <is>
          <t>809278510:eng</t>
        </is>
      </c>
      <c r="AX1225" t="inlineStr">
        <is>
          <t>30319560</t>
        </is>
      </c>
      <c r="AY1225" t="inlineStr">
        <is>
          <t>991002329839702656</t>
        </is>
      </c>
      <c r="AZ1225" t="inlineStr">
        <is>
          <t>991002329839702656</t>
        </is>
      </c>
      <c r="BA1225" t="inlineStr">
        <is>
          <t>2268075930002656</t>
        </is>
      </c>
      <c r="BB1225" t="inlineStr">
        <is>
          <t>BOOK</t>
        </is>
      </c>
      <c r="BD1225" t="inlineStr">
        <is>
          <t>9780820702599</t>
        </is>
      </c>
      <c r="BE1225" t="inlineStr">
        <is>
          <t>32285001999753</t>
        </is>
      </c>
      <c r="BF1225" t="inlineStr">
        <is>
          <t>893792328</t>
        </is>
      </c>
    </row>
    <row r="1226">
      <c r="A1226" t="inlineStr">
        <is>
          <t>No</t>
        </is>
      </c>
      <c r="B1226" t="inlineStr">
        <is>
          <t>CURAL</t>
        </is>
      </c>
      <c r="C1226" t="inlineStr">
        <is>
          <t>SHELVES</t>
        </is>
      </c>
      <c r="D1226" t="inlineStr">
        <is>
          <t>PR3588 .M37</t>
        </is>
      </c>
      <c r="E1226" t="inlineStr">
        <is>
          <t>0                      PR 3588000M  37</t>
        </is>
      </c>
      <c r="F1226" t="inlineStr">
        <is>
          <t>Milton &amp; modern man; selected essays, by E. L. Marilla. Pref. by Douglas Bush.</t>
        </is>
      </c>
      <c r="H1226" t="inlineStr">
        <is>
          <t>No</t>
        </is>
      </c>
      <c r="I1226" t="inlineStr">
        <is>
          <t>1</t>
        </is>
      </c>
      <c r="J1226" t="inlineStr">
        <is>
          <t>No</t>
        </is>
      </c>
      <c r="K1226" t="inlineStr">
        <is>
          <t>No</t>
        </is>
      </c>
      <c r="L1226" t="inlineStr">
        <is>
          <t>0</t>
        </is>
      </c>
      <c r="M1226" t="inlineStr">
        <is>
          <t>Marilla, E. L. (Esmond Linworth), 1900-1970.</t>
        </is>
      </c>
      <c r="N1226" t="inlineStr">
        <is>
          <t>University, Ala., University of Alabama Press [1968]</t>
        </is>
      </c>
      <c r="O1226" t="inlineStr">
        <is>
          <t>1968</t>
        </is>
      </c>
      <c r="Q1226" t="inlineStr">
        <is>
          <t>eng</t>
        </is>
      </c>
      <c r="R1226" t="inlineStr">
        <is>
          <t>alu</t>
        </is>
      </c>
      <c r="T1226" t="inlineStr">
        <is>
          <t xml:space="preserve">PR </t>
        </is>
      </c>
      <c r="U1226" t="n">
        <v>1</v>
      </c>
      <c r="V1226" t="n">
        <v>1</v>
      </c>
      <c r="W1226" t="inlineStr">
        <is>
          <t>2000-09-29</t>
        </is>
      </c>
      <c r="X1226" t="inlineStr">
        <is>
          <t>2000-09-29</t>
        </is>
      </c>
      <c r="Y1226" t="inlineStr">
        <is>
          <t>1997-07-24</t>
        </is>
      </c>
      <c r="Z1226" t="inlineStr">
        <is>
          <t>1997-07-24</t>
        </is>
      </c>
      <c r="AA1226" t="n">
        <v>624</v>
      </c>
      <c r="AB1226" t="n">
        <v>571</v>
      </c>
      <c r="AC1226" t="n">
        <v>574</v>
      </c>
      <c r="AD1226" t="n">
        <v>4</v>
      </c>
      <c r="AE1226" t="n">
        <v>4</v>
      </c>
      <c r="AF1226" t="n">
        <v>28</v>
      </c>
      <c r="AG1226" t="n">
        <v>28</v>
      </c>
      <c r="AH1226" t="n">
        <v>10</v>
      </c>
      <c r="AI1226" t="n">
        <v>10</v>
      </c>
      <c r="AJ1226" t="n">
        <v>5</v>
      </c>
      <c r="AK1226" t="n">
        <v>5</v>
      </c>
      <c r="AL1226" t="n">
        <v>17</v>
      </c>
      <c r="AM1226" t="n">
        <v>17</v>
      </c>
      <c r="AN1226" t="n">
        <v>3</v>
      </c>
      <c r="AO1226" t="n">
        <v>3</v>
      </c>
      <c r="AP1226" t="n">
        <v>0</v>
      </c>
      <c r="AQ1226" t="n">
        <v>0</v>
      </c>
      <c r="AR1226" t="inlineStr">
        <is>
          <t>No</t>
        </is>
      </c>
      <c r="AS1226" t="inlineStr">
        <is>
          <t>Yes</t>
        </is>
      </c>
      <c r="AT1226">
        <f>HYPERLINK("http://catalog.hathitrust.org/Record/000669785","HathiTrust Record")</f>
        <v/>
      </c>
      <c r="AU1226">
        <f>HYPERLINK("https://creighton-primo.hosted.exlibrisgroup.com/primo-explore/search?tab=default_tab&amp;search_scope=EVERYTHING&amp;vid=01CRU&amp;lang=en_US&amp;offset=0&amp;query=any,contains,991003183999702656","Catalog Record")</f>
        <v/>
      </c>
      <c r="AV1226">
        <f>HYPERLINK("http://www.worldcat.org/oclc/712390","WorldCat Record")</f>
        <v/>
      </c>
      <c r="AW1226" t="inlineStr">
        <is>
          <t>296970283:eng</t>
        </is>
      </c>
      <c r="AX1226" t="inlineStr">
        <is>
          <t>712390</t>
        </is>
      </c>
      <c r="AY1226" t="inlineStr">
        <is>
          <t>991003183999702656</t>
        </is>
      </c>
      <c r="AZ1226" t="inlineStr">
        <is>
          <t>991003183999702656</t>
        </is>
      </c>
      <c r="BA1226" t="inlineStr">
        <is>
          <t>2256440870002656</t>
        </is>
      </c>
      <c r="BB1226" t="inlineStr">
        <is>
          <t>BOOK</t>
        </is>
      </c>
      <c r="BE1226" t="inlineStr">
        <is>
          <t>32285002958634</t>
        </is>
      </c>
      <c r="BF1226" t="inlineStr">
        <is>
          <t>893246097</t>
        </is>
      </c>
    </row>
    <row r="1227">
      <c r="A1227" t="inlineStr">
        <is>
          <t>No</t>
        </is>
      </c>
      <c r="B1227" t="inlineStr">
        <is>
          <t>CURAL</t>
        </is>
      </c>
      <c r="C1227" t="inlineStr">
        <is>
          <t>SHELVES</t>
        </is>
      </c>
      <c r="D1227" t="inlineStr">
        <is>
          <t>PR3588 .M376</t>
        </is>
      </c>
      <c r="E1227" t="inlineStr">
        <is>
          <t>0                      PR 3588000M  376</t>
        </is>
      </c>
      <c r="F1227" t="inlineStr">
        <is>
          <t>Poet of exile : a study of Milton's poetry / by Louis L. Martz.</t>
        </is>
      </c>
      <c r="H1227" t="inlineStr">
        <is>
          <t>No</t>
        </is>
      </c>
      <c r="I1227" t="inlineStr">
        <is>
          <t>1</t>
        </is>
      </c>
      <c r="J1227" t="inlineStr">
        <is>
          <t>No</t>
        </is>
      </c>
      <c r="K1227" t="inlineStr">
        <is>
          <t>No</t>
        </is>
      </c>
      <c r="L1227" t="inlineStr">
        <is>
          <t>0</t>
        </is>
      </c>
      <c r="M1227" t="inlineStr">
        <is>
          <t>Martz, Louis L. (Louis Lohr), 1913-2001.</t>
        </is>
      </c>
      <c r="N1227" t="inlineStr">
        <is>
          <t>New Haven, Conn. : Yale University Press, 1980.</t>
        </is>
      </c>
      <c r="O1227" t="inlineStr">
        <is>
          <t>1980</t>
        </is>
      </c>
      <c r="Q1227" t="inlineStr">
        <is>
          <t>eng</t>
        </is>
      </c>
      <c r="R1227" t="inlineStr">
        <is>
          <t>ctu</t>
        </is>
      </c>
      <c r="T1227" t="inlineStr">
        <is>
          <t xml:space="preserve">PR </t>
        </is>
      </c>
      <c r="U1227" t="n">
        <v>1</v>
      </c>
      <c r="V1227" t="n">
        <v>1</v>
      </c>
      <c r="W1227" t="inlineStr">
        <is>
          <t>2003-04-22</t>
        </is>
      </c>
      <c r="X1227" t="inlineStr">
        <is>
          <t>2003-04-22</t>
        </is>
      </c>
      <c r="Y1227" t="inlineStr">
        <is>
          <t>1991-04-26</t>
        </is>
      </c>
      <c r="Z1227" t="inlineStr">
        <is>
          <t>1991-04-26</t>
        </is>
      </c>
      <c r="AA1227" t="n">
        <v>912</v>
      </c>
      <c r="AB1227" t="n">
        <v>739</v>
      </c>
      <c r="AC1227" t="n">
        <v>740</v>
      </c>
      <c r="AD1227" t="n">
        <v>4</v>
      </c>
      <c r="AE1227" t="n">
        <v>4</v>
      </c>
      <c r="AF1227" t="n">
        <v>37</v>
      </c>
      <c r="AG1227" t="n">
        <v>37</v>
      </c>
      <c r="AH1227" t="n">
        <v>15</v>
      </c>
      <c r="AI1227" t="n">
        <v>15</v>
      </c>
      <c r="AJ1227" t="n">
        <v>9</v>
      </c>
      <c r="AK1227" t="n">
        <v>9</v>
      </c>
      <c r="AL1227" t="n">
        <v>21</v>
      </c>
      <c r="AM1227" t="n">
        <v>21</v>
      </c>
      <c r="AN1227" t="n">
        <v>3</v>
      </c>
      <c r="AO1227" t="n">
        <v>3</v>
      </c>
      <c r="AP1227" t="n">
        <v>0</v>
      </c>
      <c r="AQ1227" t="n">
        <v>0</v>
      </c>
      <c r="AR1227" t="inlineStr">
        <is>
          <t>No</t>
        </is>
      </c>
      <c r="AS1227" t="inlineStr">
        <is>
          <t>No</t>
        </is>
      </c>
      <c r="AU1227">
        <f>HYPERLINK("https://creighton-primo.hosted.exlibrisgroup.com/primo-explore/search?tab=default_tab&amp;search_scope=EVERYTHING&amp;vid=01CRU&amp;lang=en_US&amp;offset=0&amp;query=any,contains,991004762529702656","Catalog Record")</f>
        <v/>
      </c>
      <c r="AV1227">
        <f>HYPERLINK("http://www.worldcat.org/oclc/5008002","WorldCat Record")</f>
        <v/>
      </c>
      <c r="AW1227" t="inlineStr">
        <is>
          <t>118149411:eng</t>
        </is>
      </c>
      <c r="AX1227" t="inlineStr">
        <is>
          <t>5008002</t>
        </is>
      </c>
      <c r="AY1227" t="inlineStr">
        <is>
          <t>991004762529702656</t>
        </is>
      </c>
      <c r="AZ1227" t="inlineStr">
        <is>
          <t>991004762529702656</t>
        </is>
      </c>
      <c r="BA1227" t="inlineStr">
        <is>
          <t>2269341280002656</t>
        </is>
      </c>
      <c r="BB1227" t="inlineStr">
        <is>
          <t>BOOK</t>
        </is>
      </c>
      <c r="BD1227" t="inlineStr">
        <is>
          <t>9780300023930</t>
        </is>
      </c>
      <c r="BE1227" t="inlineStr">
        <is>
          <t>32285000523026</t>
        </is>
      </c>
      <c r="BF1227" t="inlineStr">
        <is>
          <t>893807448</t>
        </is>
      </c>
    </row>
    <row r="1228">
      <c r="A1228" t="inlineStr">
        <is>
          <t>No</t>
        </is>
      </c>
      <c r="B1228" t="inlineStr">
        <is>
          <t>CURAL</t>
        </is>
      </c>
      <c r="C1228" t="inlineStr">
        <is>
          <t>SHELVES</t>
        </is>
      </c>
      <c r="D1228" t="inlineStr">
        <is>
          <t>PR3588 .M475</t>
        </is>
      </c>
      <c r="E1228" t="inlineStr">
        <is>
          <t>0                      PR 3588000M  475</t>
        </is>
      </c>
      <c r="F1228" t="inlineStr">
        <is>
          <t>Milton and the art of sacred song : essays / by Mortimer H. Frank ... [et al.] ; edited by J. Max Patrick &amp; Roger H. Sundell.</t>
        </is>
      </c>
      <c r="H1228" t="inlineStr">
        <is>
          <t>No</t>
        </is>
      </c>
      <c r="I1228" t="inlineStr">
        <is>
          <t>1</t>
        </is>
      </c>
      <c r="J1228" t="inlineStr">
        <is>
          <t>No</t>
        </is>
      </c>
      <c r="K1228" t="inlineStr">
        <is>
          <t>No</t>
        </is>
      </c>
      <c r="L1228" t="inlineStr">
        <is>
          <t>0</t>
        </is>
      </c>
      <c r="N1228" t="inlineStr">
        <is>
          <t>Madison : University of Wisconsin Press, 1979.</t>
        </is>
      </c>
      <c r="O1228" t="inlineStr">
        <is>
          <t>1979</t>
        </is>
      </c>
      <c r="Q1228" t="inlineStr">
        <is>
          <t>eng</t>
        </is>
      </c>
      <c r="R1228" t="inlineStr">
        <is>
          <t>wiu</t>
        </is>
      </c>
      <c r="T1228" t="inlineStr">
        <is>
          <t xml:space="preserve">PR </t>
        </is>
      </c>
      <c r="U1228" t="n">
        <v>3</v>
      </c>
      <c r="V1228" t="n">
        <v>3</v>
      </c>
      <c r="W1228" t="inlineStr">
        <is>
          <t>2003-04-21</t>
        </is>
      </c>
      <c r="X1228" t="inlineStr">
        <is>
          <t>2003-04-21</t>
        </is>
      </c>
      <c r="Y1228" t="inlineStr">
        <is>
          <t>1991-04-26</t>
        </is>
      </c>
      <c r="Z1228" t="inlineStr">
        <is>
          <t>1991-04-26</t>
        </is>
      </c>
      <c r="AA1228" t="n">
        <v>730</v>
      </c>
      <c r="AB1228" t="n">
        <v>646</v>
      </c>
      <c r="AC1228" t="n">
        <v>665</v>
      </c>
      <c r="AD1228" t="n">
        <v>5</v>
      </c>
      <c r="AE1228" t="n">
        <v>5</v>
      </c>
      <c r="AF1228" t="n">
        <v>35</v>
      </c>
      <c r="AG1228" t="n">
        <v>35</v>
      </c>
      <c r="AH1228" t="n">
        <v>17</v>
      </c>
      <c r="AI1228" t="n">
        <v>17</v>
      </c>
      <c r="AJ1228" t="n">
        <v>10</v>
      </c>
      <c r="AK1228" t="n">
        <v>10</v>
      </c>
      <c r="AL1228" t="n">
        <v>15</v>
      </c>
      <c r="AM1228" t="n">
        <v>15</v>
      </c>
      <c r="AN1228" t="n">
        <v>4</v>
      </c>
      <c r="AO1228" t="n">
        <v>4</v>
      </c>
      <c r="AP1228" t="n">
        <v>0</v>
      </c>
      <c r="AQ1228" t="n">
        <v>0</v>
      </c>
      <c r="AR1228" t="inlineStr">
        <is>
          <t>No</t>
        </is>
      </c>
      <c r="AS1228" t="inlineStr">
        <is>
          <t>Yes</t>
        </is>
      </c>
      <c r="AT1228">
        <f>HYPERLINK("http://catalog.hathitrust.org/Record/000299056","HathiTrust Record")</f>
        <v/>
      </c>
      <c r="AU1228">
        <f>HYPERLINK("https://creighton-primo.hosted.exlibrisgroup.com/primo-explore/search?tab=default_tab&amp;search_scope=EVERYTHING&amp;vid=01CRU&amp;lang=en_US&amp;offset=0&amp;query=any,contains,991004730689702656","Catalog Record")</f>
        <v/>
      </c>
      <c r="AV1228">
        <f>HYPERLINK("http://www.worldcat.org/oclc/4834617","WorldCat Record")</f>
        <v/>
      </c>
      <c r="AW1228" t="inlineStr">
        <is>
          <t>836624465:eng</t>
        </is>
      </c>
      <c r="AX1228" t="inlineStr">
        <is>
          <t>4834617</t>
        </is>
      </c>
      <c r="AY1228" t="inlineStr">
        <is>
          <t>991004730689702656</t>
        </is>
      </c>
      <c r="AZ1228" t="inlineStr">
        <is>
          <t>991004730689702656</t>
        </is>
      </c>
      <c r="BA1228" t="inlineStr">
        <is>
          <t>2267765360002656</t>
        </is>
      </c>
      <c r="BB1228" t="inlineStr">
        <is>
          <t>BOOK</t>
        </is>
      </c>
      <c r="BD1228" t="inlineStr">
        <is>
          <t>9780299078300</t>
        </is>
      </c>
      <c r="BE1228" t="inlineStr">
        <is>
          <t>32285000523042</t>
        </is>
      </c>
      <c r="BF1228" t="inlineStr">
        <is>
          <t>893712956</t>
        </is>
      </c>
    </row>
    <row r="1229">
      <c r="A1229" t="inlineStr">
        <is>
          <t>No</t>
        </is>
      </c>
      <c r="B1229" t="inlineStr">
        <is>
          <t>CURAL</t>
        </is>
      </c>
      <c r="C1229" t="inlineStr">
        <is>
          <t>SHELVES</t>
        </is>
      </c>
      <c r="D1229" t="inlineStr">
        <is>
          <t>PR3588 .M49 1976</t>
        </is>
      </c>
      <c r="E1229" t="inlineStr">
        <is>
          <t>0                      PR 3588000M  49          1976</t>
        </is>
      </c>
      <c r="F1229" t="inlineStr">
        <is>
          <t>Milton reconsidered : essays in honor of Arthur E. Barker / edited by John Karl Franson.</t>
        </is>
      </c>
      <c r="H1229" t="inlineStr">
        <is>
          <t>No</t>
        </is>
      </c>
      <c r="I1229" t="inlineStr">
        <is>
          <t>1</t>
        </is>
      </c>
      <c r="J1229" t="inlineStr">
        <is>
          <t>No</t>
        </is>
      </c>
      <c r="K1229" t="inlineStr">
        <is>
          <t>No</t>
        </is>
      </c>
      <c r="L1229" t="inlineStr">
        <is>
          <t>0</t>
        </is>
      </c>
      <c r="N1229" t="inlineStr">
        <is>
          <t>Salzburg : Institut für Englische Sprache und Literatur, Universität Salzburg, 1976.</t>
        </is>
      </c>
      <c r="O1229" t="inlineStr">
        <is>
          <t>1976</t>
        </is>
      </c>
      <c r="Q1229" t="inlineStr">
        <is>
          <t>eng</t>
        </is>
      </c>
      <c r="R1229" t="inlineStr">
        <is>
          <t xml:space="preserve">au </t>
        </is>
      </c>
      <c r="S1229" t="inlineStr">
        <is>
          <t>Elizabethan and Renaissance studies ; 49</t>
        </is>
      </c>
      <c r="T1229" t="inlineStr">
        <is>
          <t xml:space="preserve">PR </t>
        </is>
      </c>
      <c r="U1229" t="n">
        <v>3</v>
      </c>
      <c r="V1229" t="n">
        <v>3</v>
      </c>
      <c r="W1229" t="inlineStr">
        <is>
          <t>2003-04-02</t>
        </is>
      </c>
      <c r="X1229" t="inlineStr">
        <is>
          <t>2003-04-02</t>
        </is>
      </c>
      <c r="Y1229" t="inlineStr">
        <is>
          <t>1991-04-26</t>
        </is>
      </c>
      <c r="Z1229" t="inlineStr">
        <is>
          <t>1991-04-26</t>
        </is>
      </c>
      <c r="AA1229" t="n">
        <v>203</v>
      </c>
      <c r="AB1229" t="n">
        <v>154</v>
      </c>
      <c r="AC1229" t="n">
        <v>161</v>
      </c>
      <c r="AD1229" t="n">
        <v>4</v>
      </c>
      <c r="AE1229" t="n">
        <v>4</v>
      </c>
      <c r="AF1229" t="n">
        <v>13</v>
      </c>
      <c r="AG1229" t="n">
        <v>13</v>
      </c>
      <c r="AH1229" t="n">
        <v>2</v>
      </c>
      <c r="AI1229" t="n">
        <v>2</v>
      </c>
      <c r="AJ1229" t="n">
        <v>4</v>
      </c>
      <c r="AK1229" t="n">
        <v>4</v>
      </c>
      <c r="AL1229" t="n">
        <v>7</v>
      </c>
      <c r="AM1229" t="n">
        <v>7</v>
      </c>
      <c r="AN1229" t="n">
        <v>3</v>
      </c>
      <c r="AO1229" t="n">
        <v>3</v>
      </c>
      <c r="AP1229" t="n">
        <v>0</v>
      </c>
      <c r="AQ1229" t="n">
        <v>0</v>
      </c>
      <c r="AR1229" t="inlineStr">
        <is>
          <t>No</t>
        </is>
      </c>
      <c r="AS1229" t="inlineStr">
        <is>
          <t>Yes</t>
        </is>
      </c>
      <c r="AT1229">
        <f>HYPERLINK("http://catalog.hathitrust.org/Record/000171499","HathiTrust Record")</f>
        <v/>
      </c>
      <c r="AU1229">
        <f>HYPERLINK("https://creighton-primo.hosted.exlibrisgroup.com/primo-explore/search?tab=default_tab&amp;search_scope=EVERYTHING&amp;vid=01CRU&amp;lang=en_US&amp;offset=0&amp;query=any,contains,991004224299702656","Catalog Record")</f>
        <v/>
      </c>
      <c r="AV1229">
        <f>HYPERLINK("http://www.worldcat.org/oclc/2723367","WorldCat Record")</f>
        <v/>
      </c>
      <c r="AW1229" t="inlineStr">
        <is>
          <t>365361200:eng</t>
        </is>
      </c>
      <c r="AX1229" t="inlineStr">
        <is>
          <t>2723367</t>
        </is>
      </c>
      <c r="AY1229" t="inlineStr">
        <is>
          <t>991004224299702656</t>
        </is>
      </c>
      <c r="AZ1229" t="inlineStr">
        <is>
          <t>991004224299702656</t>
        </is>
      </c>
      <c r="BA1229" t="inlineStr">
        <is>
          <t>2259612110002656</t>
        </is>
      </c>
      <c r="BB1229" t="inlineStr">
        <is>
          <t>BOOK</t>
        </is>
      </c>
      <c r="BE1229" t="inlineStr">
        <is>
          <t>32285000523059</t>
        </is>
      </c>
      <c r="BF1229" t="inlineStr">
        <is>
          <t>893241171</t>
        </is>
      </c>
    </row>
    <row r="1230">
      <c r="A1230" t="inlineStr">
        <is>
          <t>No</t>
        </is>
      </c>
      <c r="B1230" t="inlineStr">
        <is>
          <t>CURAL</t>
        </is>
      </c>
      <c r="C1230" t="inlineStr">
        <is>
          <t>SHELVES</t>
        </is>
      </c>
      <c r="D1230" t="inlineStr">
        <is>
          <t>PR3588 .P6 1970</t>
        </is>
      </c>
      <c r="E1230" t="inlineStr">
        <is>
          <t>0                      PR 3588000P  6           1970</t>
        </is>
      </c>
      <c r="F1230" t="inlineStr">
        <is>
          <t>Milton &amp; English art [by] Marcia R. Pointon.</t>
        </is>
      </c>
      <c r="H1230" t="inlineStr">
        <is>
          <t>No</t>
        </is>
      </c>
      <c r="I1230" t="inlineStr">
        <is>
          <t>1</t>
        </is>
      </c>
      <c r="J1230" t="inlineStr">
        <is>
          <t>No</t>
        </is>
      </c>
      <c r="K1230" t="inlineStr">
        <is>
          <t>No</t>
        </is>
      </c>
      <c r="L1230" t="inlineStr">
        <is>
          <t>0</t>
        </is>
      </c>
      <c r="M1230" t="inlineStr">
        <is>
          <t>Pointon, Marcia R.</t>
        </is>
      </c>
      <c r="N1230" t="inlineStr">
        <is>
          <t>[Toronto] University of Toronto Press [1970]</t>
        </is>
      </c>
      <c r="O1230" t="inlineStr">
        <is>
          <t>1970</t>
        </is>
      </c>
      <c r="Q1230" t="inlineStr">
        <is>
          <t>eng</t>
        </is>
      </c>
      <c r="R1230" t="inlineStr">
        <is>
          <t>onc</t>
        </is>
      </c>
      <c r="T1230" t="inlineStr">
        <is>
          <t xml:space="preserve">PR </t>
        </is>
      </c>
      <c r="U1230" t="n">
        <v>4</v>
      </c>
      <c r="V1230" t="n">
        <v>4</v>
      </c>
      <c r="W1230" t="inlineStr">
        <is>
          <t>2008-12-18</t>
        </is>
      </c>
      <c r="X1230" t="inlineStr">
        <is>
          <t>2008-12-18</t>
        </is>
      </c>
      <c r="Y1230" t="inlineStr">
        <is>
          <t>1997-07-24</t>
        </is>
      </c>
      <c r="Z1230" t="inlineStr">
        <is>
          <t>1997-07-24</t>
        </is>
      </c>
      <c r="AA1230" t="n">
        <v>484</v>
      </c>
      <c r="AB1230" t="n">
        <v>433</v>
      </c>
      <c r="AC1230" t="n">
        <v>583</v>
      </c>
      <c r="AD1230" t="n">
        <v>2</v>
      </c>
      <c r="AE1230" t="n">
        <v>3</v>
      </c>
      <c r="AF1230" t="n">
        <v>18</v>
      </c>
      <c r="AG1230" t="n">
        <v>30</v>
      </c>
      <c r="AH1230" t="n">
        <v>6</v>
      </c>
      <c r="AI1230" t="n">
        <v>14</v>
      </c>
      <c r="AJ1230" t="n">
        <v>5</v>
      </c>
      <c r="AK1230" t="n">
        <v>6</v>
      </c>
      <c r="AL1230" t="n">
        <v>10</v>
      </c>
      <c r="AM1230" t="n">
        <v>16</v>
      </c>
      <c r="AN1230" t="n">
        <v>1</v>
      </c>
      <c r="AO1230" t="n">
        <v>2</v>
      </c>
      <c r="AP1230" t="n">
        <v>0</v>
      </c>
      <c r="AQ1230" t="n">
        <v>0</v>
      </c>
      <c r="AR1230" t="inlineStr">
        <is>
          <t>No</t>
        </is>
      </c>
      <c r="AS1230" t="inlineStr">
        <is>
          <t>Yes</t>
        </is>
      </c>
      <c r="AT1230">
        <f>HYPERLINK("http://catalog.hathitrust.org/Record/007128214","HathiTrust Record")</f>
        <v/>
      </c>
      <c r="AU1230">
        <f>HYPERLINK("https://creighton-primo.hosted.exlibrisgroup.com/primo-explore/search?tab=default_tab&amp;search_scope=EVERYTHING&amp;vid=01CRU&amp;lang=en_US&amp;offset=0&amp;query=any,contains,991000556569702656","Catalog Record")</f>
        <v/>
      </c>
      <c r="AV1230">
        <f>HYPERLINK("http://www.worldcat.org/oclc/93176","WorldCat Record")</f>
        <v/>
      </c>
      <c r="AW1230" t="inlineStr">
        <is>
          <t>1269532:eng</t>
        </is>
      </c>
      <c r="AX1230" t="inlineStr">
        <is>
          <t>93176</t>
        </is>
      </c>
      <c r="AY1230" t="inlineStr">
        <is>
          <t>991000556569702656</t>
        </is>
      </c>
      <c r="AZ1230" t="inlineStr">
        <is>
          <t>991000556569702656</t>
        </is>
      </c>
      <c r="BA1230" t="inlineStr">
        <is>
          <t>2265578750002656</t>
        </is>
      </c>
      <c r="BB1230" t="inlineStr">
        <is>
          <t>BOOK</t>
        </is>
      </c>
      <c r="BD1230" t="inlineStr">
        <is>
          <t>9780802017086</t>
        </is>
      </c>
      <c r="BE1230" t="inlineStr">
        <is>
          <t>32285002958675</t>
        </is>
      </c>
      <c r="BF1230" t="inlineStr">
        <is>
          <t>893327394</t>
        </is>
      </c>
    </row>
    <row r="1231">
      <c r="A1231" t="inlineStr">
        <is>
          <t>No</t>
        </is>
      </c>
      <c r="B1231" t="inlineStr">
        <is>
          <t>CURAL</t>
        </is>
      </c>
      <c r="C1231" t="inlineStr">
        <is>
          <t>SHELVES</t>
        </is>
      </c>
      <c r="D1231" t="inlineStr">
        <is>
          <t>PR3588 .R46 1988</t>
        </is>
      </c>
      <c r="E1231" t="inlineStr">
        <is>
          <t>0                      PR 3588000R  46          1988</t>
        </is>
      </c>
      <c r="F1231" t="inlineStr">
        <is>
          <t>Re-membering Milton : essays on the texts and traditions / edited by Mary Nyquist and Margaret W. Ferguson.</t>
        </is>
      </c>
      <c r="H1231" t="inlineStr">
        <is>
          <t>No</t>
        </is>
      </c>
      <c r="I1231" t="inlineStr">
        <is>
          <t>1</t>
        </is>
      </c>
      <c r="J1231" t="inlineStr">
        <is>
          <t>No</t>
        </is>
      </c>
      <c r="K1231" t="inlineStr">
        <is>
          <t>No</t>
        </is>
      </c>
      <c r="L1231" t="inlineStr">
        <is>
          <t>0</t>
        </is>
      </c>
      <c r="N1231" t="inlineStr">
        <is>
          <t>London ; New York : Methuen, 1988.</t>
        </is>
      </c>
      <c r="O1231" t="inlineStr">
        <is>
          <t>1987</t>
        </is>
      </c>
      <c r="Q1231" t="inlineStr">
        <is>
          <t>eng</t>
        </is>
      </c>
      <c r="R1231" t="inlineStr">
        <is>
          <t>enk</t>
        </is>
      </c>
      <c r="T1231" t="inlineStr">
        <is>
          <t xml:space="preserve">PR </t>
        </is>
      </c>
      <c r="U1231" t="n">
        <v>2</v>
      </c>
      <c r="V1231" t="n">
        <v>2</v>
      </c>
      <c r="W1231" t="inlineStr">
        <is>
          <t>2006-03-06</t>
        </is>
      </c>
      <c r="X1231" t="inlineStr">
        <is>
          <t>2006-03-06</t>
        </is>
      </c>
      <c r="Y1231" t="inlineStr">
        <is>
          <t>1991-04-26</t>
        </is>
      </c>
      <c r="Z1231" t="inlineStr">
        <is>
          <t>1991-04-26</t>
        </is>
      </c>
      <c r="AA1231" t="n">
        <v>493</v>
      </c>
      <c r="AB1231" t="n">
        <v>349</v>
      </c>
      <c r="AC1231" t="n">
        <v>376</v>
      </c>
      <c r="AD1231" t="n">
        <v>2</v>
      </c>
      <c r="AE1231" t="n">
        <v>2</v>
      </c>
      <c r="AF1231" t="n">
        <v>19</v>
      </c>
      <c r="AG1231" t="n">
        <v>19</v>
      </c>
      <c r="AH1231" t="n">
        <v>9</v>
      </c>
      <c r="AI1231" t="n">
        <v>9</v>
      </c>
      <c r="AJ1231" t="n">
        <v>5</v>
      </c>
      <c r="AK1231" t="n">
        <v>5</v>
      </c>
      <c r="AL1231" t="n">
        <v>10</v>
      </c>
      <c r="AM1231" t="n">
        <v>10</v>
      </c>
      <c r="AN1231" t="n">
        <v>1</v>
      </c>
      <c r="AO1231" t="n">
        <v>1</v>
      </c>
      <c r="AP1231" t="n">
        <v>0</v>
      </c>
      <c r="AQ1231" t="n">
        <v>0</v>
      </c>
      <c r="AR1231" t="inlineStr">
        <is>
          <t>No</t>
        </is>
      </c>
      <c r="AS1231" t="inlineStr">
        <is>
          <t>Yes</t>
        </is>
      </c>
      <c r="AT1231">
        <f>HYPERLINK("http://catalog.hathitrust.org/Record/000872529","HathiTrust Record")</f>
        <v/>
      </c>
      <c r="AU1231">
        <f>HYPERLINK("https://creighton-primo.hosted.exlibrisgroup.com/primo-explore/search?tab=default_tab&amp;search_scope=EVERYTHING&amp;vid=01CRU&amp;lang=en_US&amp;offset=0&amp;query=any,contains,991001083319702656","Catalog Record")</f>
        <v/>
      </c>
      <c r="AV1231">
        <f>HYPERLINK("http://www.worldcat.org/oclc/16091617","WorldCat Record")</f>
        <v/>
      </c>
      <c r="AW1231" t="inlineStr">
        <is>
          <t>836639408:eng</t>
        </is>
      </c>
      <c r="AX1231" t="inlineStr">
        <is>
          <t>16091617</t>
        </is>
      </c>
      <c r="AY1231" t="inlineStr">
        <is>
          <t>991001083319702656</t>
        </is>
      </c>
      <c r="AZ1231" t="inlineStr">
        <is>
          <t>991001083319702656</t>
        </is>
      </c>
      <c r="BA1231" t="inlineStr">
        <is>
          <t>2263148810002656</t>
        </is>
      </c>
      <c r="BB1231" t="inlineStr">
        <is>
          <t>BOOK</t>
        </is>
      </c>
      <c r="BD1231" t="inlineStr">
        <is>
          <t>9780416397406</t>
        </is>
      </c>
      <c r="BE1231" t="inlineStr">
        <is>
          <t>32285000523083</t>
        </is>
      </c>
      <c r="BF1231" t="inlineStr">
        <is>
          <t>893503089</t>
        </is>
      </c>
    </row>
    <row r="1232">
      <c r="A1232" t="inlineStr">
        <is>
          <t>No</t>
        </is>
      </c>
      <c r="B1232" t="inlineStr">
        <is>
          <t>CURAL</t>
        </is>
      </c>
      <c r="C1232" t="inlineStr">
        <is>
          <t>SHELVES</t>
        </is>
      </c>
      <c r="D1232" t="inlineStr">
        <is>
          <t>PR3588 .R8 1970</t>
        </is>
      </c>
      <c r="E1232" t="inlineStr">
        <is>
          <t>0                      PR 3588000R  8           1970</t>
        </is>
      </c>
      <c r="F1232" t="inlineStr">
        <is>
          <t>Milton. edited by Alan Rudrum.</t>
        </is>
      </c>
      <c r="H1232" t="inlineStr">
        <is>
          <t>No</t>
        </is>
      </c>
      <c r="I1232" t="inlineStr">
        <is>
          <t>1</t>
        </is>
      </c>
      <c r="J1232" t="inlineStr">
        <is>
          <t>No</t>
        </is>
      </c>
      <c r="K1232" t="inlineStr">
        <is>
          <t>No</t>
        </is>
      </c>
      <c r="L1232" t="inlineStr">
        <is>
          <t>0</t>
        </is>
      </c>
      <c r="M1232" t="inlineStr">
        <is>
          <t>Rudrum, Alan compiler.</t>
        </is>
      </c>
      <c r="N1232" t="inlineStr">
        <is>
          <t>Nashville, Aurora Publishers [c1970]</t>
        </is>
      </c>
      <c r="O1232" t="inlineStr">
        <is>
          <t>1970</t>
        </is>
      </c>
      <c r="Q1232" t="inlineStr">
        <is>
          <t>eng</t>
        </is>
      </c>
      <c r="R1232" t="inlineStr">
        <is>
          <t>tnu</t>
        </is>
      </c>
      <c r="S1232" t="inlineStr">
        <is>
          <t>Modern judgements</t>
        </is>
      </c>
      <c r="T1232" t="inlineStr">
        <is>
          <t xml:space="preserve">PR </t>
        </is>
      </c>
      <c r="U1232" t="n">
        <v>7</v>
      </c>
      <c r="V1232" t="n">
        <v>7</v>
      </c>
      <c r="W1232" t="inlineStr">
        <is>
          <t>2008-12-03</t>
        </is>
      </c>
      <c r="X1232" t="inlineStr">
        <is>
          <t>2008-12-03</t>
        </is>
      </c>
      <c r="Y1232" t="inlineStr">
        <is>
          <t>1991-04-26</t>
        </is>
      </c>
      <c r="Z1232" t="inlineStr">
        <is>
          <t>1991-04-26</t>
        </is>
      </c>
      <c r="AA1232" t="n">
        <v>157</v>
      </c>
      <c r="AB1232" t="n">
        <v>145</v>
      </c>
      <c r="AC1232" t="n">
        <v>272</v>
      </c>
      <c r="AD1232" t="n">
        <v>3</v>
      </c>
      <c r="AE1232" t="n">
        <v>3</v>
      </c>
      <c r="AF1232" t="n">
        <v>9</v>
      </c>
      <c r="AG1232" t="n">
        <v>21</v>
      </c>
      <c r="AH1232" t="n">
        <v>4</v>
      </c>
      <c r="AI1232" t="n">
        <v>9</v>
      </c>
      <c r="AJ1232" t="n">
        <v>0</v>
      </c>
      <c r="AK1232" t="n">
        <v>5</v>
      </c>
      <c r="AL1232" t="n">
        <v>3</v>
      </c>
      <c r="AM1232" t="n">
        <v>13</v>
      </c>
      <c r="AN1232" t="n">
        <v>2</v>
      </c>
      <c r="AO1232" t="n">
        <v>2</v>
      </c>
      <c r="AP1232" t="n">
        <v>0</v>
      </c>
      <c r="AQ1232" t="n">
        <v>0</v>
      </c>
      <c r="AR1232" t="inlineStr">
        <is>
          <t>No</t>
        </is>
      </c>
      <c r="AS1232" t="inlineStr">
        <is>
          <t>No</t>
        </is>
      </c>
      <c r="AU1232">
        <f>HYPERLINK("https://creighton-primo.hosted.exlibrisgroup.com/primo-explore/search?tab=default_tab&amp;search_scope=EVERYTHING&amp;vid=01CRU&amp;lang=en_US&amp;offset=0&amp;query=any,contains,991002838969702656","Catalog Record")</f>
        <v/>
      </c>
      <c r="AV1232">
        <f>HYPERLINK("http://www.worldcat.org/oclc/481155","WorldCat Record")</f>
        <v/>
      </c>
      <c r="AW1232" t="inlineStr">
        <is>
          <t>9462998074:eng</t>
        </is>
      </c>
      <c r="AX1232" t="inlineStr">
        <is>
          <t>481155</t>
        </is>
      </c>
      <c r="AY1232" t="inlineStr">
        <is>
          <t>991002838969702656</t>
        </is>
      </c>
      <c r="AZ1232" t="inlineStr">
        <is>
          <t>991002838969702656</t>
        </is>
      </c>
      <c r="BA1232" t="inlineStr">
        <is>
          <t>2269472110002656</t>
        </is>
      </c>
      <c r="BB1232" t="inlineStr">
        <is>
          <t>BOOK</t>
        </is>
      </c>
      <c r="BD1232" t="inlineStr">
        <is>
          <t>9780876951002</t>
        </is>
      </c>
      <c r="BE1232" t="inlineStr">
        <is>
          <t>32285000523091</t>
        </is>
      </c>
      <c r="BF1232" t="inlineStr">
        <is>
          <t>893880485</t>
        </is>
      </c>
    </row>
    <row r="1233">
      <c r="A1233" t="inlineStr">
        <is>
          <t>No</t>
        </is>
      </c>
      <c r="B1233" t="inlineStr">
        <is>
          <t>CURAL</t>
        </is>
      </c>
      <c r="C1233" t="inlineStr">
        <is>
          <t>SHELVES</t>
        </is>
      </c>
      <c r="D1233" t="inlineStr">
        <is>
          <t>PR3588 .S42</t>
        </is>
      </c>
      <c r="E1233" t="inlineStr">
        <is>
          <t>0                      PR 3588000S  42</t>
        </is>
      </c>
      <c r="F1233" t="inlineStr">
        <is>
          <t>Milton and forbidden knowledge.</t>
        </is>
      </c>
      <c r="H1233" t="inlineStr">
        <is>
          <t>No</t>
        </is>
      </c>
      <c r="I1233" t="inlineStr">
        <is>
          <t>1</t>
        </is>
      </c>
      <c r="J1233" t="inlineStr">
        <is>
          <t>No</t>
        </is>
      </c>
      <c r="K1233" t="inlineStr">
        <is>
          <t>No</t>
        </is>
      </c>
      <c r="L1233" t="inlineStr">
        <is>
          <t>0</t>
        </is>
      </c>
      <c r="M1233" t="inlineStr">
        <is>
          <t>Schultz, John Howard, 1907-</t>
        </is>
      </c>
      <c r="N1233" t="inlineStr">
        <is>
          <t>New York, Modern Language Association of America, 1955.</t>
        </is>
      </c>
      <c r="O1233" t="inlineStr">
        <is>
          <t>1955</t>
        </is>
      </c>
      <c r="Q1233" t="inlineStr">
        <is>
          <t>eng</t>
        </is>
      </c>
      <c r="R1233" t="inlineStr">
        <is>
          <t>nyu</t>
        </is>
      </c>
      <c r="T1233" t="inlineStr">
        <is>
          <t xml:space="preserve">PR </t>
        </is>
      </c>
      <c r="U1233" t="n">
        <v>1</v>
      </c>
      <c r="V1233" t="n">
        <v>1</v>
      </c>
      <c r="W1233" t="inlineStr">
        <is>
          <t>2003-02-11</t>
        </is>
      </c>
      <c r="X1233" t="inlineStr">
        <is>
          <t>2003-02-11</t>
        </is>
      </c>
      <c r="Y1233" t="inlineStr">
        <is>
          <t>1997-07-24</t>
        </is>
      </c>
      <c r="Z1233" t="inlineStr">
        <is>
          <t>1997-07-24</t>
        </is>
      </c>
      <c r="AA1233" t="n">
        <v>491</v>
      </c>
      <c r="AB1233" t="n">
        <v>418</v>
      </c>
      <c r="AC1233" t="n">
        <v>508</v>
      </c>
      <c r="AD1233" t="n">
        <v>3</v>
      </c>
      <c r="AE1233" t="n">
        <v>3</v>
      </c>
      <c r="AF1233" t="n">
        <v>31</v>
      </c>
      <c r="AG1233" t="n">
        <v>32</v>
      </c>
      <c r="AH1233" t="n">
        <v>13</v>
      </c>
      <c r="AI1233" t="n">
        <v>14</v>
      </c>
      <c r="AJ1233" t="n">
        <v>7</v>
      </c>
      <c r="AK1233" t="n">
        <v>7</v>
      </c>
      <c r="AL1233" t="n">
        <v>19</v>
      </c>
      <c r="AM1233" t="n">
        <v>19</v>
      </c>
      <c r="AN1233" t="n">
        <v>2</v>
      </c>
      <c r="AO1233" t="n">
        <v>2</v>
      </c>
      <c r="AP1233" t="n">
        <v>0</v>
      </c>
      <c r="AQ1233" t="n">
        <v>0</v>
      </c>
      <c r="AR1233" t="inlineStr">
        <is>
          <t>Yes</t>
        </is>
      </c>
      <c r="AS1233" t="inlineStr">
        <is>
          <t>No</t>
        </is>
      </c>
      <c r="AT1233">
        <f>HYPERLINK("http://catalog.hathitrust.org/Record/000670300","HathiTrust Record")</f>
        <v/>
      </c>
      <c r="AU1233">
        <f>HYPERLINK("https://creighton-primo.hosted.exlibrisgroup.com/primo-explore/search?tab=default_tab&amp;search_scope=EVERYTHING&amp;vid=01CRU&amp;lang=en_US&amp;offset=0&amp;query=any,contains,991004064169702656","Catalog Record")</f>
        <v/>
      </c>
      <c r="AV1233">
        <f>HYPERLINK("http://www.worldcat.org/oclc/2281853","WorldCat Record")</f>
        <v/>
      </c>
      <c r="AW1233" t="inlineStr">
        <is>
          <t>1412309:eng</t>
        </is>
      </c>
      <c r="AX1233" t="inlineStr">
        <is>
          <t>2281853</t>
        </is>
      </c>
      <c r="AY1233" t="inlineStr">
        <is>
          <t>991004064169702656</t>
        </is>
      </c>
      <c r="AZ1233" t="inlineStr">
        <is>
          <t>991004064169702656</t>
        </is>
      </c>
      <c r="BA1233" t="inlineStr">
        <is>
          <t>2268016800002656</t>
        </is>
      </c>
      <c r="BB1233" t="inlineStr">
        <is>
          <t>BOOK</t>
        </is>
      </c>
      <c r="BE1233" t="inlineStr">
        <is>
          <t>32285002958725</t>
        </is>
      </c>
      <c r="BF1233" t="inlineStr">
        <is>
          <t>893331168</t>
        </is>
      </c>
    </row>
    <row r="1234">
      <c r="A1234" t="inlineStr">
        <is>
          <t>No</t>
        </is>
      </c>
      <c r="B1234" t="inlineStr">
        <is>
          <t>CURAL</t>
        </is>
      </c>
      <c r="C1234" t="inlineStr">
        <is>
          <t>SHELVES</t>
        </is>
      </c>
      <c r="D1234" t="inlineStr">
        <is>
          <t>PR3588 .S67 1994</t>
        </is>
      </c>
      <c r="E1234" t="inlineStr">
        <is>
          <t>0                      PR 3588000S  67          1994</t>
        </is>
      </c>
      <c r="F1234" t="inlineStr">
        <is>
          <t>Spokesperson Milton : voices in contemporary criticism / edited by Charles W. Durham and Kristin Pruitt McColgan.</t>
        </is>
      </c>
      <c r="H1234" t="inlineStr">
        <is>
          <t>No</t>
        </is>
      </c>
      <c r="I1234" t="inlineStr">
        <is>
          <t>1</t>
        </is>
      </c>
      <c r="J1234" t="inlineStr">
        <is>
          <t>No</t>
        </is>
      </c>
      <c r="K1234" t="inlineStr">
        <is>
          <t>No</t>
        </is>
      </c>
      <c r="L1234" t="inlineStr">
        <is>
          <t>0</t>
        </is>
      </c>
      <c r="N1234" t="inlineStr">
        <is>
          <t>Selinsgrove : Susquehanna University Press ; London ; Cranbury, NJ : Associated University Presses, c1994.</t>
        </is>
      </c>
      <c r="O1234" t="inlineStr">
        <is>
          <t>1994</t>
        </is>
      </c>
      <c r="Q1234" t="inlineStr">
        <is>
          <t>eng</t>
        </is>
      </c>
      <c r="R1234" t="inlineStr">
        <is>
          <t>pau</t>
        </is>
      </c>
      <c r="T1234" t="inlineStr">
        <is>
          <t xml:space="preserve">PR </t>
        </is>
      </c>
      <c r="U1234" t="n">
        <v>3</v>
      </c>
      <c r="V1234" t="n">
        <v>3</v>
      </c>
      <c r="W1234" t="inlineStr">
        <is>
          <t>2003-02-22</t>
        </is>
      </c>
      <c r="X1234" t="inlineStr">
        <is>
          <t>2003-02-22</t>
        </is>
      </c>
      <c r="Y1234" t="inlineStr">
        <is>
          <t>1995-03-29</t>
        </is>
      </c>
      <c r="Z1234" t="inlineStr">
        <is>
          <t>1995-03-29</t>
        </is>
      </c>
      <c r="AA1234" t="n">
        <v>324</v>
      </c>
      <c r="AB1234" t="n">
        <v>272</v>
      </c>
      <c r="AC1234" t="n">
        <v>274</v>
      </c>
      <c r="AD1234" t="n">
        <v>4</v>
      </c>
      <c r="AE1234" t="n">
        <v>4</v>
      </c>
      <c r="AF1234" t="n">
        <v>19</v>
      </c>
      <c r="AG1234" t="n">
        <v>19</v>
      </c>
      <c r="AH1234" t="n">
        <v>4</v>
      </c>
      <c r="AI1234" t="n">
        <v>4</v>
      </c>
      <c r="AJ1234" t="n">
        <v>6</v>
      </c>
      <c r="AK1234" t="n">
        <v>6</v>
      </c>
      <c r="AL1234" t="n">
        <v>9</v>
      </c>
      <c r="AM1234" t="n">
        <v>9</v>
      </c>
      <c r="AN1234" t="n">
        <v>3</v>
      </c>
      <c r="AO1234" t="n">
        <v>3</v>
      </c>
      <c r="AP1234" t="n">
        <v>0</v>
      </c>
      <c r="AQ1234" t="n">
        <v>0</v>
      </c>
      <c r="AR1234" t="inlineStr">
        <is>
          <t>No</t>
        </is>
      </c>
      <c r="AS1234" t="inlineStr">
        <is>
          <t>Yes</t>
        </is>
      </c>
      <c r="AT1234">
        <f>HYPERLINK("http://catalog.hathitrust.org/Record/002955788","HathiTrust Record")</f>
        <v/>
      </c>
      <c r="AU1234">
        <f>HYPERLINK("https://creighton-primo.hosted.exlibrisgroup.com/primo-explore/search?tab=default_tab&amp;search_scope=EVERYTHING&amp;vid=01CRU&amp;lang=en_US&amp;offset=0&amp;query=any,contains,991002274809702656","Catalog Record")</f>
        <v/>
      </c>
      <c r="AV1234">
        <f>HYPERLINK("http://www.worldcat.org/oclc/29519392","WorldCat Record")</f>
        <v/>
      </c>
      <c r="AW1234" t="inlineStr">
        <is>
          <t>346188436:eng</t>
        </is>
      </c>
      <c r="AX1234" t="inlineStr">
        <is>
          <t>29519392</t>
        </is>
      </c>
      <c r="AY1234" t="inlineStr">
        <is>
          <t>991002274809702656</t>
        </is>
      </c>
      <c r="AZ1234" t="inlineStr">
        <is>
          <t>991002274809702656</t>
        </is>
      </c>
      <c r="BA1234" t="inlineStr">
        <is>
          <t>2256199890002656</t>
        </is>
      </c>
      <c r="BB1234" t="inlineStr">
        <is>
          <t>BOOK</t>
        </is>
      </c>
      <c r="BD1234" t="inlineStr">
        <is>
          <t>9780945636656</t>
        </is>
      </c>
      <c r="BE1234" t="inlineStr">
        <is>
          <t>32285002015138</t>
        </is>
      </c>
      <c r="BF1234" t="inlineStr">
        <is>
          <t>893691419</t>
        </is>
      </c>
    </row>
    <row r="1235">
      <c r="A1235" t="inlineStr">
        <is>
          <t>No</t>
        </is>
      </c>
      <c r="B1235" t="inlineStr">
        <is>
          <t>CURAL</t>
        </is>
      </c>
      <c r="C1235" t="inlineStr">
        <is>
          <t>SHELVES</t>
        </is>
      </c>
      <c r="D1235" t="inlineStr">
        <is>
          <t>PR3588 .S7</t>
        </is>
      </c>
      <c r="E1235" t="inlineStr">
        <is>
          <t>0                      PR 3588000S  7</t>
        </is>
      </c>
      <c r="F1235" t="inlineStr">
        <is>
          <t>On Milton's poetry; a selection of modern studies. Edited by Arnold Stein.</t>
        </is>
      </c>
      <c r="H1235" t="inlineStr">
        <is>
          <t>No</t>
        </is>
      </c>
      <c r="I1235" t="inlineStr">
        <is>
          <t>1</t>
        </is>
      </c>
      <c r="J1235" t="inlineStr">
        <is>
          <t>No</t>
        </is>
      </c>
      <c r="K1235" t="inlineStr">
        <is>
          <t>No</t>
        </is>
      </c>
      <c r="L1235" t="inlineStr">
        <is>
          <t>0</t>
        </is>
      </c>
      <c r="M1235" t="inlineStr">
        <is>
          <t>Stein, Arnold Sidney, 1915- compiler.</t>
        </is>
      </c>
      <c r="N1235" t="inlineStr">
        <is>
          <t>Greenwich, Conn., Fawcett Publications [1970]</t>
        </is>
      </c>
      <c r="O1235" t="inlineStr">
        <is>
          <t>1970</t>
        </is>
      </c>
      <c r="Q1235" t="inlineStr">
        <is>
          <t>eng</t>
        </is>
      </c>
      <c r="R1235" t="inlineStr">
        <is>
          <t>ctu</t>
        </is>
      </c>
      <c r="S1235" t="inlineStr">
        <is>
          <t>A Fawcett premier book, Q499.</t>
        </is>
      </c>
      <c r="T1235" t="inlineStr">
        <is>
          <t xml:space="preserve">PR </t>
        </is>
      </c>
      <c r="U1235" t="n">
        <v>2</v>
      </c>
      <c r="V1235" t="n">
        <v>2</v>
      </c>
      <c r="W1235" t="inlineStr">
        <is>
          <t>1997-09-09</t>
        </is>
      </c>
      <c r="X1235" t="inlineStr">
        <is>
          <t>1997-09-09</t>
        </is>
      </c>
      <c r="Y1235" t="inlineStr">
        <is>
          <t>1997-07-24</t>
        </is>
      </c>
      <c r="Z1235" t="inlineStr">
        <is>
          <t>1997-07-24</t>
        </is>
      </c>
      <c r="AA1235" t="n">
        <v>220</v>
      </c>
      <c r="AB1235" t="n">
        <v>191</v>
      </c>
      <c r="AC1235" t="n">
        <v>193</v>
      </c>
      <c r="AD1235" t="n">
        <v>5</v>
      </c>
      <c r="AE1235" t="n">
        <v>5</v>
      </c>
      <c r="AF1235" t="n">
        <v>13</v>
      </c>
      <c r="AG1235" t="n">
        <v>13</v>
      </c>
      <c r="AH1235" t="n">
        <v>6</v>
      </c>
      <c r="AI1235" t="n">
        <v>6</v>
      </c>
      <c r="AJ1235" t="n">
        <v>0</v>
      </c>
      <c r="AK1235" t="n">
        <v>0</v>
      </c>
      <c r="AL1235" t="n">
        <v>8</v>
      </c>
      <c r="AM1235" t="n">
        <v>8</v>
      </c>
      <c r="AN1235" t="n">
        <v>3</v>
      </c>
      <c r="AO1235" t="n">
        <v>3</v>
      </c>
      <c r="AP1235" t="n">
        <v>0</v>
      </c>
      <c r="AQ1235" t="n">
        <v>0</v>
      </c>
      <c r="AR1235" t="inlineStr">
        <is>
          <t>No</t>
        </is>
      </c>
      <c r="AS1235" t="inlineStr">
        <is>
          <t>Yes</t>
        </is>
      </c>
      <c r="AT1235">
        <f>HYPERLINK("http://catalog.hathitrust.org/Record/009919423","HathiTrust Record")</f>
        <v/>
      </c>
      <c r="AU1235">
        <f>HYPERLINK("https://creighton-primo.hosted.exlibrisgroup.com/primo-explore/search?tab=default_tab&amp;search_scope=EVERYTHING&amp;vid=01CRU&amp;lang=en_US&amp;offset=0&amp;query=any,contains,991000627449702656","Catalog Record")</f>
        <v/>
      </c>
      <c r="AV1235">
        <f>HYPERLINK("http://www.worldcat.org/oclc/104771","WorldCat Record")</f>
        <v/>
      </c>
      <c r="AW1235" t="inlineStr">
        <is>
          <t>1183639:eng</t>
        </is>
      </c>
      <c r="AX1235" t="inlineStr">
        <is>
          <t>104771</t>
        </is>
      </c>
      <c r="AY1235" t="inlineStr">
        <is>
          <t>991000627449702656</t>
        </is>
      </c>
      <c r="AZ1235" t="inlineStr">
        <is>
          <t>991000627449702656</t>
        </is>
      </c>
      <c r="BA1235" t="inlineStr">
        <is>
          <t>2260573620002656</t>
        </is>
      </c>
      <c r="BB1235" t="inlineStr">
        <is>
          <t>BOOK</t>
        </is>
      </c>
      <c r="BE1235" t="inlineStr">
        <is>
          <t>32285002958774</t>
        </is>
      </c>
      <c r="BF1235" t="inlineStr">
        <is>
          <t>893614356</t>
        </is>
      </c>
    </row>
    <row r="1236">
      <c r="A1236" t="inlineStr">
        <is>
          <t>No</t>
        </is>
      </c>
      <c r="B1236" t="inlineStr">
        <is>
          <t>CURAL</t>
        </is>
      </c>
      <c r="C1236" t="inlineStr">
        <is>
          <t>SHELVES</t>
        </is>
      </c>
      <c r="D1236" t="inlineStr">
        <is>
          <t>PR3588 .T56 1950</t>
        </is>
      </c>
      <c r="E1236" t="inlineStr">
        <is>
          <t>0                      PR 3588000T  56          1950</t>
        </is>
      </c>
      <c r="F1236" t="inlineStr">
        <is>
          <t>Milton criticism : selections from four centuries / edited by James Thorpe.</t>
        </is>
      </c>
      <c r="H1236" t="inlineStr">
        <is>
          <t>No</t>
        </is>
      </c>
      <c r="I1236" t="inlineStr">
        <is>
          <t>1</t>
        </is>
      </c>
      <c r="J1236" t="inlineStr">
        <is>
          <t>No</t>
        </is>
      </c>
      <c r="K1236" t="inlineStr">
        <is>
          <t>No</t>
        </is>
      </c>
      <c r="L1236" t="inlineStr">
        <is>
          <t>0</t>
        </is>
      </c>
      <c r="M1236" t="inlineStr">
        <is>
          <t>Thorpe, James, 1915-2009, editor.</t>
        </is>
      </c>
      <c r="N1236" t="inlineStr">
        <is>
          <t>New York : Rinehart, 1950.</t>
        </is>
      </c>
      <c r="O1236" t="inlineStr">
        <is>
          <t>1950</t>
        </is>
      </c>
      <c r="Q1236" t="inlineStr">
        <is>
          <t>eng</t>
        </is>
      </c>
      <c r="R1236" t="inlineStr">
        <is>
          <t>nyu</t>
        </is>
      </c>
      <c r="T1236" t="inlineStr">
        <is>
          <t xml:space="preserve">PR </t>
        </is>
      </c>
      <c r="U1236" t="n">
        <v>1</v>
      </c>
      <c r="V1236" t="n">
        <v>1</v>
      </c>
      <c r="W1236" t="inlineStr">
        <is>
          <t>2003-01-22</t>
        </is>
      </c>
      <c r="X1236" t="inlineStr">
        <is>
          <t>2003-01-22</t>
        </is>
      </c>
      <c r="Y1236" t="inlineStr">
        <is>
          <t>1991-04-26</t>
        </is>
      </c>
      <c r="Z1236" t="inlineStr">
        <is>
          <t>1991-04-26</t>
        </is>
      </c>
      <c r="AA1236" t="n">
        <v>656</v>
      </c>
      <c r="AB1236" t="n">
        <v>617</v>
      </c>
      <c r="AC1236" t="n">
        <v>619</v>
      </c>
      <c r="AD1236" t="n">
        <v>7</v>
      </c>
      <c r="AE1236" t="n">
        <v>7</v>
      </c>
      <c r="AF1236" t="n">
        <v>32</v>
      </c>
      <c r="AG1236" t="n">
        <v>32</v>
      </c>
      <c r="AH1236" t="n">
        <v>10</v>
      </c>
      <c r="AI1236" t="n">
        <v>10</v>
      </c>
      <c r="AJ1236" t="n">
        <v>5</v>
      </c>
      <c r="AK1236" t="n">
        <v>5</v>
      </c>
      <c r="AL1236" t="n">
        <v>18</v>
      </c>
      <c r="AM1236" t="n">
        <v>18</v>
      </c>
      <c r="AN1236" t="n">
        <v>6</v>
      </c>
      <c r="AO1236" t="n">
        <v>6</v>
      </c>
      <c r="AP1236" t="n">
        <v>0</v>
      </c>
      <c r="AQ1236" t="n">
        <v>0</v>
      </c>
      <c r="AR1236" t="inlineStr">
        <is>
          <t>No</t>
        </is>
      </c>
      <c r="AS1236" t="inlineStr">
        <is>
          <t>Yes</t>
        </is>
      </c>
      <c r="AT1236">
        <f>HYPERLINK("http://catalog.hathitrust.org/Record/000670428","HathiTrust Record")</f>
        <v/>
      </c>
      <c r="AU1236">
        <f>HYPERLINK("https://creighton-primo.hosted.exlibrisgroup.com/primo-explore/search?tab=default_tab&amp;search_scope=EVERYTHING&amp;vid=01CRU&amp;lang=en_US&amp;offset=0&amp;query=any,contains,991002183599702656","Catalog Record")</f>
        <v/>
      </c>
      <c r="AV1236">
        <f>HYPERLINK("http://www.worldcat.org/oclc/279498","WorldCat Record")</f>
        <v/>
      </c>
      <c r="AW1236" t="inlineStr">
        <is>
          <t>8908217114:eng</t>
        </is>
      </c>
      <c r="AX1236" t="inlineStr">
        <is>
          <t>279498</t>
        </is>
      </c>
      <c r="AY1236" t="inlineStr">
        <is>
          <t>991002183599702656</t>
        </is>
      </c>
      <c r="AZ1236" t="inlineStr">
        <is>
          <t>991002183599702656</t>
        </is>
      </c>
      <c r="BA1236" t="inlineStr">
        <is>
          <t>2261767030002656</t>
        </is>
      </c>
      <c r="BB1236" t="inlineStr">
        <is>
          <t>BOOK</t>
        </is>
      </c>
      <c r="BE1236" t="inlineStr">
        <is>
          <t>32285000523109</t>
        </is>
      </c>
      <c r="BF1236" t="inlineStr">
        <is>
          <t>893804320</t>
        </is>
      </c>
    </row>
    <row r="1237">
      <c r="A1237" t="inlineStr">
        <is>
          <t>No</t>
        </is>
      </c>
      <c r="B1237" t="inlineStr">
        <is>
          <t>CURAL</t>
        </is>
      </c>
      <c r="C1237" t="inlineStr">
        <is>
          <t>SHELVES</t>
        </is>
      </c>
      <c r="D1237" t="inlineStr">
        <is>
          <t>PR3588 .T62</t>
        </is>
      </c>
      <c r="E1237" t="inlineStr">
        <is>
          <t>0                      PR 3588000T  62</t>
        </is>
      </c>
      <c r="F1237" t="inlineStr">
        <is>
          <t>The Miltonic setting, past &amp; present, by E. M. W. Tillyard.</t>
        </is>
      </c>
      <c r="H1237" t="inlineStr">
        <is>
          <t>No</t>
        </is>
      </c>
      <c r="I1237" t="inlineStr">
        <is>
          <t>1</t>
        </is>
      </c>
      <c r="J1237" t="inlineStr">
        <is>
          <t>No</t>
        </is>
      </c>
      <c r="K1237" t="inlineStr">
        <is>
          <t>No</t>
        </is>
      </c>
      <c r="L1237" t="inlineStr">
        <is>
          <t>0</t>
        </is>
      </c>
      <c r="M1237" t="inlineStr">
        <is>
          <t>Tillyard, E. M. W. (Eustace Mandeville Wetenhall), 1889-1962.</t>
        </is>
      </c>
      <c r="N1237" t="inlineStr">
        <is>
          <t>Cambridge [Eng.] The University Press, 1938.</t>
        </is>
      </c>
      <c r="O1237" t="inlineStr">
        <is>
          <t>1938</t>
        </is>
      </c>
      <c r="Q1237" t="inlineStr">
        <is>
          <t>eng</t>
        </is>
      </c>
      <c r="R1237" t="inlineStr">
        <is>
          <t>enk</t>
        </is>
      </c>
      <c r="T1237" t="inlineStr">
        <is>
          <t xml:space="preserve">PR </t>
        </is>
      </c>
      <c r="U1237" t="n">
        <v>1</v>
      </c>
      <c r="V1237" t="n">
        <v>1</v>
      </c>
      <c r="W1237" t="inlineStr">
        <is>
          <t>2003-01-16</t>
        </is>
      </c>
      <c r="X1237" t="inlineStr">
        <is>
          <t>2003-01-16</t>
        </is>
      </c>
      <c r="Y1237" t="inlineStr">
        <is>
          <t>1997-07-24</t>
        </is>
      </c>
      <c r="Z1237" t="inlineStr">
        <is>
          <t>1997-07-24</t>
        </is>
      </c>
      <c r="AA1237" t="n">
        <v>459</v>
      </c>
      <c r="AB1237" t="n">
        <v>381</v>
      </c>
      <c r="AC1237" t="n">
        <v>978</v>
      </c>
      <c r="AD1237" t="n">
        <v>6</v>
      </c>
      <c r="AE1237" t="n">
        <v>10</v>
      </c>
      <c r="AF1237" t="n">
        <v>24</v>
      </c>
      <c r="AG1237" t="n">
        <v>56</v>
      </c>
      <c r="AH1237" t="n">
        <v>5</v>
      </c>
      <c r="AI1237" t="n">
        <v>23</v>
      </c>
      <c r="AJ1237" t="n">
        <v>4</v>
      </c>
      <c r="AK1237" t="n">
        <v>10</v>
      </c>
      <c r="AL1237" t="n">
        <v>14</v>
      </c>
      <c r="AM1237" t="n">
        <v>28</v>
      </c>
      <c r="AN1237" t="n">
        <v>5</v>
      </c>
      <c r="AO1237" t="n">
        <v>9</v>
      </c>
      <c r="AP1237" t="n">
        <v>0</v>
      </c>
      <c r="AQ1237" t="n">
        <v>0</v>
      </c>
      <c r="AR1237" t="inlineStr">
        <is>
          <t>No</t>
        </is>
      </c>
      <c r="AS1237" t="inlineStr">
        <is>
          <t>Yes</t>
        </is>
      </c>
      <c r="AT1237">
        <f>HYPERLINK("http://catalog.hathitrust.org/Record/000670414","HathiTrust Record")</f>
        <v/>
      </c>
      <c r="AU1237">
        <f>HYPERLINK("https://creighton-primo.hosted.exlibrisgroup.com/primo-explore/search?tab=default_tab&amp;search_scope=EVERYTHING&amp;vid=01CRU&amp;lang=en_US&amp;offset=0&amp;query=any,contains,991004042969702656","Catalog Record")</f>
        <v/>
      </c>
      <c r="AV1237">
        <f>HYPERLINK("http://www.worldcat.org/oclc/2190297","WorldCat Record")</f>
        <v/>
      </c>
      <c r="AW1237" t="inlineStr">
        <is>
          <t>2945937864:eng</t>
        </is>
      </c>
      <c r="AX1237" t="inlineStr">
        <is>
          <t>2190297</t>
        </is>
      </c>
      <c r="AY1237" t="inlineStr">
        <is>
          <t>991004042969702656</t>
        </is>
      </c>
      <c r="AZ1237" t="inlineStr">
        <is>
          <t>991004042969702656</t>
        </is>
      </c>
      <c r="BA1237" t="inlineStr">
        <is>
          <t>2255829150002656</t>
        </is>
      </c>
      <c r="BB1237" t="inlineStr">
        <is>
          <t>BOOK</t>
        </is>
      </c>
      <c r="BE1237" t="inlineStr">
        <is>
          <t>32285002958808</t>
        </is>
      </c>
      <c r="BF1237" t="inlineStr">
        <is>
          <t>893535779</t>
        </is>
      </c>
    </row>
    <row r="1238">
      <c r="A1238" t="inlineStr">
        <is>
          <t>No</t>
        </is>
      </c>
      <c r="B1238" t="inlineStr">
        <is>
          <t>CURAL</t>
        </is>
      </c>
      <c r="C1238" t="inlineStr">
        <is>
          <t>SHELVES</t>
        </is>
      </c>
      <c r="D1238" t="inlineStr">
        <is>
          <t>PR3588 .T64 1951</t>
        </is>
      </c>
      <c r="E1238" t="inlineStr">
        <is>
          <t>0                      PR 3588000T  64          1951</t>
        </is>
      </c>
      <c r="F1238" t="inlineStr">
        <is>
          <t>Studies in Milton.</t>
        </is>
      </c>
      <c r="H1238" t="inlineStr">
        <is>
          <t>No</t>
        </is>
      </c>
      <c r="I1238" t="inlineStr">
        <is>
          <t>1</t>
        </is>
      </c>
      <c r="J1238" t="inlineStr">
        <is>
          <t>No</t>
        </is>
      </c>
      <c r="K1238" t="inlineStr">
        <is>
          <t>No</t>
        </is>
      </c>
      <c r="L1238" t="inlineStr">
        <is>
          <t>0</t>
        </is>
      </c>
      <c r="M1238" t="inlineStr">
        <is>
          <t>Tillyard, E. M. W. (Eustace Mandeville Wetenhall), 1889-1962.</t>
        </is>
      </c>
      <c r="N1238" t="inlineStr">
        <is>
          <t>London, Chatto &amp; Windus, 1951.</t>
        </is>
      </c>
      <c r="O1238" t="inlineStr">
        <is>
          <t>1951</t>
        </is>
      </c>
      <c r="Q1238" t="inlineStr">
        <is>
          <t>eng</t>
        </is>
      </c>
      <c r="R1238" t="inlineStr">
        <is>
          <t>enk</t>
        </is>
      </c>
      <c r="T1238" t="inlineStr">
        <is>
          <t xml:space="preserve">PR </t>
        </is>
      </c>
      <c r="U1238" t="n">
        <v>1</v>
      </c>
      <c r="V1238" t="n">
        <v>1</v>
      </c>
      <c r="W1238" t="inlineStr">
        <is>
          <t>2006-11-19</t>
        </is>
      </c>
      <c r="X1238" t="inlineStr">
        <is>
          <t>2006-11-19</t>
        </is>
      </c>
      <c r="Y1238" t="inlineStr">
        <is>
          <t>1997-07-24</t>
        </is>
      </c>
      <c r="Z1238" t="inlineStr">
        <is>
          <t>1997-07-24</t>
        </is>
      </c>
      <c r="AA1238" t="n">
        <v>732</v>
      </c>
      <c r="AB1238" t="n">
        <v>603</v>
      </c>
      <c r="AC1238" t="n">
        <v>985</v>
      </c>
      <c r="AD1238" t="n">
        <v>5</v>
      </c>
      <c r="AE1238" t="n">
        <v>10</v>
      </c>
      <c r="AF1238" t="n">
        <v>34</v>
      </c>
      <c r="AG1238" t="n">
        <v>48</v>
      </c>
      <c r="AH1238" t="n">
        <v>12</v>
      </c>
      <c r="AI1238" t="n">
        <v>19</v>
      </c>
      <c r="AJ1238" t="n">
        <v>7</v>
      </c>
      <c r="AK1238" t="n">
        <v>9</v>
      </c>
      <c r="AL1238" t="n">
        <v>19</v>
      </c>
      <c r="AM1238" t="n">
        <v>25</v>
      </c>
      <c r="AN1238" t="n">
        <v>4</v>
      </c>
      <c r="AO1238" t="n">
        <v>8</v>
      </c>
      <c r="AP1238" t="n">
        <v>0</v>
      </c>
      <c r="AQ1238" t="n">
        <v>0</v>
      </c>
      <c r="AR1238" t="inlineStr">
        <is>
          <t>No</t>
        </is>
      </c>
      <c r="AS1238" t="inlineStr">
        <is>
          <t>Yes</t>
        </is>
      </c>
      <c r="AT1238">
        <f>HYPERLINK("http://catalog.hathitrust.org/Record/000670420","HathiTrust Record")</f>
        <v/>
      </c>
      <c r="AU1238">
        <f>HYPERLINK("https://creighton-primo.hosted.exlibrisgroup.com/primo-explore/search?tab=default_tab&amp;search_scope=EVERYTHING&amp;vid=01CRU&amp;lang=en_US&amp;offset=0&amp;query=any,contains,991004161599702656","Catalog Record")</f>
        <v/>
      </c>
      <c r="AV1238">
        <f>HYPERLINK("http://www.worldcat.org/oclc/2552603","WorldCat Record")</f>
        <v/>
      </c>
      <c r="AW1238" t="inlineStr">
        <is>
          <t>1408585:eng</t>
        </is>
      </c>
      <c r="AX1238" t="inlineStr">
        <is>
          <t>2552603</t>
        </is>
      </c>
      <c r="AY1238" t="inlineStr">
        <is>
          <t>991004161599702656</t>
        </is>
      </c>
      <c r="AZ1238" t="inlineStr">
        <is>
          <t>991004161599702656</t>
        </is>
      </c>
      <c r="BA1238" t="inlineStr">
        <is>
          <t>2254998230002656</t>
        </is>
      </c>
      <c r="BB1238" t="inlineStr">
        <is>
          <t>BOOK</t>
        </is>
      </c>
      <c r="BE1238" t="inlineStr">
        <is>
          <t>32285002958816</t>
        </is>
      </c>
      <c r="BF1238" t="inlineStr">
        <is>
          <t>893806738</t>
        </is>
      </c>
    </row>
    <row r="1239">
      <c r="A1239" t="inlineStr">
        <is>
          <t>No</t>
        </is>
      </c>
      <c r="B1239" t="inlineStr">
        <is>
          <t>CURAL</t>
        </is>
      </c>
      <c r="C1239" t="inlineStr">
        <is>
          <t>SHELVES</t>
        </is>
      </c>
      <c r="D1239" t="inlineStr">
        <is>
          <t>PR3588 .T8</t>
        </is>
      </c>
      <c r="E1239" t="inlineStr">
        <is>
          <t>0                      PR 3588000T  8</t>
        </is>
      </c>
      <c r="F1239" t="inlineStr">
        <is>
          <t>Images &amp; themes in five poems by Milton.</t>
        </is>
      </c>
      <c r="H1239" t="inlineStr">
        <is>
          <t>No</t>
        </is>
      </c>
      <c r="I1239" t="inlineStr">
        <is>
          <t>1</t>
        </is>
      </c>
      <c r="J1239" t="inlineStr">
        <is>
          <t>No</t>
        </is>
      </c>
      <c r="K1239" t="inlineStr">
        <is>
          <t>No</t>
        </is>
      </c>
      <c r="L1239" t="inlineStr">
        <is>
          <t>0</t>
        </is>
      </c>
      <c r="M1239" t="inlineStr">
        <is>
          <t>Tuve, Rosemond, 1903-1964.</t>
        </is>
      </c>
      <c r="N1239" t="inlineStr">
        <is>
          <t>Cambridge, Harvard University Press, 1957.</t>
        </is>
      </c>
      <c r="O1239" t="inlineStr">
        <is>
          <t>1957</t>
        </is>
      </c>
      <c r="Q1239" t="inlineStr">
        <is>
          <t>eng</t>
        </is>
      </c>
      <c r="R1239" t="inlineStr">
        <is>
          <t>mau</t>
        </is>
      </c>
      <c r="T1239" t="inlineStr">
        <is>
          <t xml:space="preserve">PR </t>
        </is>
      </c>
      <c r="U1239" t="n">
        <v>3</v>
      </c>
      <c r="V1239" t="n">
        <v>3</v>
      </c>
      <c r="W1239" t="inlineStr">
        <is>
          <t>1997-09-28</t>
        </is>
      </c>
      <c r="X1239" t="inlineStr">
        <is>
          <t>1997-09-28</t>
        </is>
      </c>
      <c r="Y1239" t="inlineStr">
        <is>
          <t>1997-07-24</t>
        </is>
      </c>
      <c r="Z1239" t="inlineStr">
        <is>
          <t>1997-07-24</t>
        </is>
      </c>
      <c r="AA1239" t="n">
        <v>849</v>
      </c>
      <c r="AB1239" t="n">
        <v>700</v>
      </c>
      <c r="AC1239" t="n">
        <v>733</v>
      </c>
      <c r="AD1239" t="n">
        <v>9</v>
      </c>
      <c r="AE1239" t="n">
        <v>10</v>
      </c>
      <c r="AF1239" t="n">
        <v>40</v>
      </c>
      <c r="AG1239" t="n">
        <v>41</v>
      </c>
      <c r="AH1239" t="n">
        <v>15</v>
      </c>
      <c r="AI1239" t="n">
        <v>15</v>
      </c>
      <c r="AJ1239" t="n">
        <v>7</v>
      </c>
      <c r="AK1239" t="n">
        <v>7</v>
      </c>
      <c r="AL1239" t="n">
        <v>21</v>
      </c>
      <c r="AM1239" t="n">
        <v>21</v>
      </c>
      <c r="AN1239" t="n">
        <v>7</v>
      </c>
      <c r="AO1239" t="n">
        <v>8</v>
      </c>
      <c r="AP1239" t="n">
        <v>0</v>
      </c>
      <c r="AQ1239" t="n">
        <v>0</v>
      </c>
      <c r="AR1239" t="inlineStr">
        <is>
          <t>No</t>
        </is>
      </c>
      <c r="AS1239" t="inlineStr">
        <is>
          <t>Yes</t>
        </is>
      </c>
      <c r="AT1239">
        <f>HYPERLINK("http://catalog.hathitrust.org/Record/000670593","HathiTrust Record")</f>
        <v/>
      </c>
      <c r="AU1239">
        <f>HYPERLINK("https://creighton-primo.hosted.exlibrisgroup.com/primo-explore/search?tab=default_tab&amp;search_scope=EVERYTHING&amp;vid=01CRU&amp;lang=en_US&amp;offset=0&amp;query=any,contains,991004800519702656","Catalog Record")</f>
        <v/>
      </c>
      <c r="AV1239">
        <f>HYPERLINK("http://www.worldcat.org/oclc/5212894","WorldCat Record")</f>
        <v/>
      </c>
      <c r="AW1239" t="inlineStr">
        <is>
          <t>3155379:eng</t>
        </is>
      </c>
      <c r="AX1239" t="inlineStr">
        <is>
          <t>5212894</t>
        </is>
      </c>
      <c r="AY1239" t="inlineStr">
        <is>
          <t>991004800519702656</t>
        </is>
      </c>
      <c r="AZ1239" t="inlineStr">
        <is>
          <t>991004800519702656</t>
        </is>
      </c>
      <c r="BA1239" t="inlineStr">
        <is>
          <t>2269727660002656</t>
        </is>
      </c>
      <c r="BB1239" t="inlineStr">
        <is>
          <t>BOOK</t>
        </is>
      </c>
      <c r="BE1239" t="inlineStr">
        <is>
          <t>32285002958824</t>
        </is>
      </c>
      <c r="BF1239" t="inlineStr">
        <is>
          <t>893344275</t>
        </is>
      </c>
    </row>
    <row r="1240">
      <c r="A1240" t="inlineStr">
        <is>
          <t>No</t>
        </is>
      </c>
      <c r="B1240" t="inlineStr">
        <is>
          <t>CURAL</t>
        </is>
      </c>
      <c r="C1240" t="inlineStr">
        <is>
          <t>SHELVES</t>
        </is>
      </c>
      <c r="D1240" t="inlineStr">
        <is>
          <t>PR3588 .W3</t>
        </is>
      </c>
      <c r="E1240" t="inlineStr">
        <is>
          <t>0                      PR 3588000W  3</t>
        </is>
      </c>
      <c r="F1240" t="inlineStr">
        <is>
          <t>An anatomy of Milton's verse.</t>
        </is>
      </c>
      <c r="H1240" t="inlineStr">
        <is>
          <t>No</t>
        </is>
      </c>
      <c r="I1240" t="inlineStr">
        <is>
          <t>1</t>
        </is>
      </c>
      <c r="J1240" t="inlineStr">
        <is>
          <t>No</t>
        </is>
      </c>
      <c r="K1240" t="inlineStr">
        <is>
          <t>No</t>
        </is>
      </c>
      <c r="L1240" t="inlineStr">
        <is>
          <t>0</t>
        </is>
      </c>
      <c r="M1240" t="inlineStr">
        <is>
          <t>Watkins, W. B. C. (Walter Barker Critz), 1907-1957.</t>
        </is>
      </c>
      <c r="N1240" t="inlineStr">
        <is>
          <t>Baton Rouge, Louisiana State University Press [1955]</t>
        </is>
      </c>
      <c r="O1240" t="inlineStr">
        <is>
          <t>1955</t>
        </is>
      </c>
      <c r="Q1240" t="inlineStr">
        <is>
          <t>eng</t>
        </is>
      </c>
      <c r="R1240" t="inlineStr">
        <is>
          <t>lau</t>
        </is>
      </c>
      <c r="T1240" t="inlineStr">
        <is>
          <t xml:space="preserve">PR </t>
        </is>
      </c>
      <c r="U1240" t="n">
        <v>2</v>
      </c>
      <c r="V1240" t="n">
        <v>2</v>
      </c>
      <c r="W1240" t="inlineStr">
        <is>
          <t>2005-11-28</t>
        </is>
      </c>
      <c r="X1240" t="inlineStr">
        <is>
          <t>2005-11-28</t>
        </is>
      </c>
      <c r="Y1240" t="inlineStr">
        <is>
          <t>1997-07-24</t>
        </is>
      </c>
      <c r="Z1240" t="inlineStr">
        <is>
          <t>1997-07-24</t>
        </is>
      </c>
      <c r="AA1240" t="n">
        <v>395</v>
      </c>
      <c r="AB1240" t="n">
        <v>349</v>
      </c>
      <c r="AC1240" t="n">
        <v>689</v>
      </c>
      <c r="AD1240" t="n">
        <v>3</v>
      </c>
      <c r="AE1240" t="n">
        <v>4</v>
      </c>
      <c r="AF1240" t="n">
        <v>30</v>
      </c>
      <c r="AG1240" t="n">
        <v>40</v>
      </c>
      <c r="AH1240" t="n">
        <v>12</v>
      </c>
      <c r="AI1240" t="n">
        <v>18</v>
      </c>
      <c r="AJ1240" t="n">
        <v>6</v>
      </c>
      <c r="AK1240" t="n">
        <v>8</v>
      </c>
      <c r="AL1240" t="n">
        <v>18</v>
      </c>
      <c r="AM1240" t="n">
        <v>22</v>
      </c>
      <c r="AN1240" t="n">
        <v>2</v>
      </c>
      <c r="AO1240" t="n">
        <v>3</v>
      </c>
      <c r="AP1240" t="n">
        <v>0</v>
      </c>
      <c r="AQ1240" t="n">
        <v>0</v>
      </c>
      <c r="AR1240" t="inlineStr">
        <is>
          <t>No</t>
        </is>
      </c>
      <c r="AS1240" t="inlineStr">
        <is>
          <t>No</t>
        </is>
      </c>
      <c r="AU1240">
        <f>HYPERLINK("https://creighton-primo.hosted.exlibrisgroup.com/primo-explore/search?tab=default_tab&amp;search_scope=EVERYTHING&amp;vid=01CRU&amp;lang=en_US&amp;offset=0&amp;query=any,contains,991004332909702656","Catalog Record")</f>
        <v/>
      </c>
      <c r="AV1240">
        <f>HYPERLINK("http://www.worldcat.org/oclc/3067385","WorldCat Record")</f>
        <v/>
      </c>
      <c r="AW1240" t="inlineStr">
        <is>
          <t>1410710:eng</t>
        </is>
      </c>
      <c r="AX1240" t="inlineStr">
        <is>
          <t>3067385</t>
        </is>
      </c>
      <c r="AY1240" t="inlineStr">
        <is>
          <t>991004332909702656</t>
        </is>
      </c>
      <c r="AZ1240" t="inlineStr">
        <is>
          <t>991004332909702656</t>
        </is>
      </c>
      <c r="BA1240" t="inlineStr">
        <is>
          <t>2264617690002656</t>
        </is>
      </c>
      <c r="BB1240" t="inlineStr">
        <is>
          <t>BOOK</t>
        </is>
      </c>
      <c r="BE1240" t="inlineStr">
        <is>
          <t>32285002958832</t>
        </is>
      </c>
      <c r="BF1240" t="inlineStr">
        <is>
          <t>893446151</t>
        </is>
      </c>
    </row>
    <row r="1241">
      <c r="A1241" t="inlineStr">
        <is>
          <t>No</t>
        </is>
      </c>
      <c r="B1241" t="inlineStr">
        <is>
          <t>CURAL</t>
        </is>
      </c>
      <c r="C1241" t="inlineStr">
        <is>
          <t>SHELVES</t>
        </is>
      </c>
      <c r="D1241" t="inlineStr">
        <is>
          <t>PR3588 .W56</t>
        </is>
      </c>
      <c r="E1241" t="inlineStr">
        <is>
          <t>0                      PR 3588000W  56</t>
        </is>
      </c>
      <c r="F1241" t="inlineStr">
        <is>
          <t>Visionary poetics : Milton's tradition and his legacy / by Joseph Anthony Wittreich, Jr.</t>
        </is>
      </c>
      <c r="H1241" t="inlineStr">
        <is>
          <t>No</t>
        </is>
      </c>
      <c r="I1241" t="inlineStr">
        <is>
          <t>1</t>
        </is>
      </c>
      <c r="J1241" t="inlineStr">
        <is>
          <t>No</t>
        </is>
      </c>
      <c r="K1241" t="inlineStr">
        <is>
          <t>No</t>
        </is>
      </c>
      <c r="L1241" t="inlineStr">
        <is>
          <t>0</t>
        </is>
      </c>
      <c r="M1241" t="inlineStr">
        <is>
          <t>Wittreich, Joseph Anthony.</t>
        </is>
      </c>
      <c r="N1241" t="inlineStr">
        <is>
          <t>San Marino, Calif. : Huntington Library, c1979.</t>
        </is>
      </c>
      <c r="O1241" t="inlineStr">
        <is>
          <t>1979</t>
        </is>
      </c>
      <c r="Q1241" t="inlineStr">
        <is>
          <t>eng</t>
        </is>
      </c>
      <c r="R1241" t="inlineStr">
        <is>
          <t>cau</t>
        </is>
      </c>
      <c r="T1241" t="inlineStr">
        <is>
          <t xml:space="preserve">PR </t>
        </is>
      </c>
      <c r="U1241" t="n">
        <v>1</v>
      </c>
      <c r="V1241" t="n">
        <v>1</v>
      </c>
      <c r="W1241" t="inlineStr">
        <is>
          <t>2004-04-20</t>
        </is>
      </c>
      <c r="X1241" t="inlineStr">
        <is>
          <t>2004-04-20</t>
        </is>
      </c>
      <c r="Y1241" t="inlineStr">
        <is>
          <t>1991-04-26</t>
        </is>
      </c>
      <c r="Z1241" t="inlineStr">
        <is>
          <t>1991-04-26</t>
        </is>
      </c>
      <c r="AA1241" t="n">
        <v>616</v>
      </c>
      <c r="AB1241" t="n">
        <v>500</v>
      </c>
      <c r="AC1241" t="n">
        <v>507</v>
      </c>
      <c r="AD1241" t="n">
        <v>4</v>
      </c>
      <c r="AE1241" t="n">
        <v>4</v>
      </c>
      <c r="AF1241" t="n">
        <v>35</v>
      </c>
      <c r="AG1241" t="n">
        <v>35</v>
      </c>
      <c r="AH1241" t="n">
        <v>15</v>
      </c>
      <c r="AI1241" t="n">
        <v>15</v>
      </c>
      <c r="AJ1241" t="n">
        <v>8</v>
      </c>
      <c r="AK1241" t="n">
        <v>8</v>
      </c>
      <c r="AL1241" t="n">
        <v>19</v>
      </c>
      <c r="AM1241" t="n">
        <v>19</v>
      </c>
      <c r="AN1241" t="n">
        <v>3</v>
      </c>
      <c r="AO1241" t="n">
        <v>3</v>
      </c>
      <c r="AP1241" t="n">
        <v>0</v>
      </c>
      <c r="AQ1241" t="n">
        <v>0</v>
      </c>
      <c r="AR1241" t="inlineStr">
        <is>
          <t>No</t>
        </is>
      </c>
      <c r="AS1241" t="inlineStr">
        <is>
          <t>Yes</t>
        </is>
      </c>
      <c r="AT1241">
        <f>HYPERLINK("http://catalog.hathitrust.org/Record/000300131","HathiTrust Record")</f>
        <v/>
      </c>
      <c r="AU1241">
        <f>HYPERLINK("https://creighton-primo.hosted.exlibrisgroup.com/primo-explore/search?tab=default_tab&amp;search_scope=EVERYTHING&amp;vid=01CRU&amp;lang=en_US&amp;offset=0&amp;query=any,contains,991004743389702656","Catalog Record")</f>
        <v/>
      </c>
      <c r="AV1241">
        <f>HYPERLINK("http://www.worldcat.org/oclc/4893668","WorldCat Record")</f>
        <v/>
      </c>
      <c r="AW1241" t="inlineStr">
        <is>
          <t>374298092:eng</t>
        </is>
      </c>
      <c r="AX1241" t="inlineStr">
        <is>
          <t>4893668</t>
        </is>
      </c>
      <c r="AY1241" t="inlineStr">
        <is>
          <t>991004743389702656</t>
        </is>
      </c>
      <c r="AZ1241" t="inlineStr">
        <is>
          <t>991004743389702656</t>
        </is>
      </c>
      <c r="BA1241" t="inlineStr">
        <is>
          <t>2254824610002656</t>
        </is>
      </c>
      <c r="BB1241" t="inlineStr">
        <is>
          <t>BOOK</t>
        </is>
      </c>
      <c r="BD1241" t="inlineStr">
        <is>
          <t>9780873281010</t>
        </is>
      </c>
      <c r="BE1241" t="inlineStr">
        <is>
          <t>32285000523117</t>
        </is>
      </c>
      <c r="BF1241" t="inlineStr">
        <is>
          <t>893901698</t>
        </is>
      </c>
    </row>
    <row r="1242">
      <c r="A1242" t="inlineStr">
        <is>
          <t>No</t>
        </is>
      </c>
      <c r="B1242" t="inlineStr">
        <is>
          <t>CURAL</t>
        </is>
      </c>
      <c r="C1242" t="inlineStr">
        <is>
          <t>SHELVES</t>
        </is>
      </c>
      <c r="D1242" t="inlineStr">
        <is>
          <t>PR3588 .W59</t>
        </is>
      </c>
      <c r="E1242" t="inlineStr">
        <is>
          <t>0                      PR 3588000W  59</t>
        </is>
      </c>
      <c r="F1242" t="inlineStr">
        <is>
          <t>The heavenly muse; a preface to Milton. Edited by Hugh MacCallum.</t>
        </is>
      </c>
      <c r="H1242" t="inlineStr">
        <is>
          <t>No</t>
        </is>
      </c>
      <c r="I1242" t="inlineStr">
        <is>
          <t>1</t>
        </is>
      </c>
      <c r="J1242" t="inlineStr">
        <is>
          <t>No</t>
        </is>
      </c>
      <c r="K1242" t="inlineStr">
        <is>
          <t>No</t>
        </is>
      </c>
      <c r="L1242" t="inlineStr">
        <is>
          <t>0</t>
        </is>
      </c>
      <c r="M1242" t="inlineStr">
        <is>
          <t>Woodhouse, A. S. P. (Arthur Sutherland Pigott), 1895-1964.</t>
        </is>
      </c>
      <c r="N1242" t="inlineStr">
        <is>
          <t>[Toronto, Buffalo] University of Toronto Press [1972]</t>
        </is>
      </c>
      <c r="O1242" t="inlineStr">
        <is>
          <t>1972</t>
        </is>
      </c>
      <c r="Q1242" t="inlineStr">
        <is>
          <t>eng</t>
        </is>
      </c>
      <c r="R1242" t="inlineStr">
        <is>
          <t>onc</t>
        </is>
      </c>
      <c r="S1242" t="inlineStr">
        <is>
          <t>University of Toronto. Dept. of English. Studies and texts, no. 21</t>
        </is>
      </c>
      <c r="T1242" t="inlineStr">
        <is>
          <t xml:space="preserve">PR </t>
        </is>
      </c>
      <c r="U1242" t="n">
        <v>2</v>
      </c>
      <c r="V1242" t="n">
        <v>2</v>
      </c>
      <c r="W1242" t="inlineStr">
        <is>
          <t>2005-11-09</t>
        </is>
      </c>
      <c r="X1242" t="inlineStr">
        <is>
          <t>2005-11-09</t>
        </is>
      </c>
      <c r="Y1242" t="inlineStr">
        <is>
          <t>1997-07-24</t>
        </is>
      </c>
      <c r="Z1242" t="inlineStr">
        <is>
          <t>1997-07-24</t>
        </is>
      </c>
      <c r="AA1242" t="n">
        <v>863</v>
      </c>
      <c r="AB1242" t="n">
        <v>719</v>
      </c>
      <c r="AC1242" t="n">
        <v>751</v>
      </c>
      <c r="AD1242" t="n">
        <v>6</v>
      </c>
      <c r="AE1242" t="n">
        <v>7</v>
      </c>
      <c r="AF1242" t="n">
        <v>42</v>
      </c>
      <c r="AG1242" t="n">
        <v>45</v>
      </c>
      <c r="AH1242" t="n">
        <v>17</v>
      </c>
      <c r="AI1242" t="n">
        <v>19</v>
      </c>
      <c r="AJ1242" t="n">
        <v>8</v>
      </c>
      <c r="AK1242" t="n">
        <v>8</v>
      </c>
      <c r="AL1242" t="n">
        <v>22</v>
      </c>
      <c r="AM1242" t="n">
        <v>24</v>
      </c>
      <c r="AN1242" t="n">
        <v>5</v>
      </c>
      <c r="AO1242" t="n">
        <v>6</v>
      </c>
      <c r="AP1242" t="n">
        <v>0</v>
      </c>
      <c r="AQ1242" t="n">
        <v>0</v>
      </c>
      <c r="AR1242" t="inlineStr">
        <is>
          <t>No</t>
        </is>
      </c>
      <c r="AS1242" t="inlineStr">
        <is>
          <t>Yes</t>
        </is>
      </c>
      <c r="AT1242">
        <f>HYPERLINK("http://catalog.hathitrust.org/Record/000670683","HathiTrust Record")</f>
        <v/>
      </c>
      <c r="AU1242">
        <f>HYPERLINK("https://creighton-primo.hosted.exlibrisgroup.com/primo-explore/search?tab=default_tab&amp;search_scope=EVERYTHING&amp;vid=01CRU&amp;lang=en_US&amp;offset=0&amp;query=any,contains,991003026549702656","Catalog Record")</f>
        <v/>
      </c>
      <c r="AV1242">
        <f>HYPERLINK("http://www.worldcat.org/oclc/590591","WorldCat Record")</f>
        <v/>
      </c>
      <c r="AW1242" t="inlineStr">
        <is>
          <t>1776643:eng</t>
        </is>
      </c>
      <c r="AX1242" t="inlineStr">
        <is>
          <t>590591</t>
        </is>
      </c>
      <c r="AY1242" t="inlineStr">
        <is>
          <t>991003026549702656</t>
        </is>
      </c>
      <c r="AZ1242" t="inlineStr">
        <is>
          <t>991003026549702656</t>
        </is>
      </c>
      <c r="BA1242" t="inlineStr">
        <is>
          <t>2262872510002656</t>
        </is>
      </c>
      <c r="BB1242" t="inlineStr">
        <is>
          <t>BOOK</t>
        </is>
      </c>
      <c r="BD1242" t="inlineStr">
        <is>
          <t>9780802052476</t>
        </is>
      </c>
      <c r="BE1242" t="inlineStr">
        <is>
          <t>32285002958857</t>
        </is>
      </c>
      <c r="BF1242" t="inlineStr">
        <is>
          <t>893887054</t>
        </is>
      </c>
    </row>
    <row r="1243">
      <c r="A1243" t="inlineStr">
        <is>
          <t>No</t>
        </is>
      </c>
      <c r="B1243" t="inlineStr">
        <is>
          <t>CURAL</t>
        </is>
      </c>
      <c r="C1243" t="inlineStr">
        <is>
          <t>SHELVES</t>
        </is>
      </c>
      <c r="D1243" t="inlineStr">
        <is>
          <t>PR3592.A66 F78</t>
        </is>
      </c>
      <c r="E1243" t="inlineStr">
        <is>
          <t>0                      PR 3592000A  66                 F  78</t>
        </is>
      </c>
      <c r="F1243" t="inlineStr">
        <is>
          <t>Milton's imagery and the visual arts : iconographic tradition in the epic poems / Roland Mushat Frye.</t>
        </is>
      </c>
      <c r="H1243" t="inlineStr">
        <is>
          <t>No</t>
        </is>
      </c>
      <c r="I1243" t="inlineStr">
        <is>
          <t>1</t>
        </is>
      </c>
      <c r="J1243" t="inlineStr">
        <is>
          <t>No</t>
        </is>
      </c>
      <c r="K1243" t="inlineStr">
        <is>
          <t>No</t>
        </is>
      </c>
      <c r="L1243" t="inlineStr">
        <is>
          <t>0</t>
        </is>
      </c>
      <c r="M1243" t="inlineStr">
        <is>
          <t>Frye, Roland Mushat.</t>
        </is>
      </c>
      <c r="N1243" t="inlineStr">
        <is>
          <t>Princeton, N.J. : Princeton University Press, c1978.</t>
        </is>
      </c>
      <c r="O1243" t="inlineStr">
        <is>
          <t>1978</t>
        </is>
      </c>
      <c r="Q1243" t="inlineStr">
        <is>
          <t>eng</t>
        </is>
      </c>
      <c r="R1243" t="inlineStr">
        <is>
          <t>nju</t>
        </is>
      </c>
      <c r="T1243" t="inlineStr">
        <is>
          <t xml:space="preserve">PR </t>
        </is>
      </c>
      <c r="U1243" t="n">
        <v>4</v>
      </c>
      <c r="V1243" t="n">
        <v>4</v>
      </c>
      <c r="W1243" t="inlineStr">
        <is>
          <t>2000-09-29</t>
        </is>
      </c>
      <c r="X1243" t="inlineStr">
        <is>
          <t>2000-09-29</t>
        </is>
      </c>
      <c r="Y1243" t="inlineStr">
        <is>
          <t>1997-07-24</t>
        </is>
      </c>
      <c r="Z1243" t="inlineStr">
        <is>
          <t>1997-07-24</t>
        </is>
      </c>
      <c r="AA1243" t="n">
        <v>964</v>
      </c>
      <c r="AB1243" t="n">
        <v>772</v>
      </c>
      <c r="AC1243" t="n">
        <v>776</v>
      </c>
      <c r="AD1243" t="n">
        <v>5</v>
      </c>
      <c r="AE1243" t="n">
        <v>5</v>
      </c>
      <c r="AF1243" t="n">
        <v>41</v>
      </c>
      <c r="AG1243" t="n">
        <v>41</v>
      </c>
      <c r="AH1243" t="n">
        <v>20</v>
      </c>
      <c r="AI1243" t="n">
        <v>20</v>
      </c>
      <c r="AJ1243" t="n">
        <v>9</v>
      </c>
      <c r="AK1243" t="n">
        <v>9</v>
      </c>
      <c r="AL1243" t="n">
        <v>20</v>
      </c>
      <c r="AM1243" t="n">
        <v>20</v>
      </c>
      <c r="AN1243" t="n">
        <v>4</v>
      </c>
      <c r="AO1243" t="n">
        <v>4</v>
      </c>
      <c r="AP1243" t="n">
        <v>0</v>
      </c>
      <c r="AQ1243" t="n">
        <v>0</v>
      </c>
      <c r="AR1243" t="inlineStr">
        <is>
          <t>No</t>
        </is>
      </c>
      <c r="AS1243" t="inlineStr">
        <is>
          <t>No</t>
        </is>
      </c>
      <c r="AU1243">
        <f>HYPERLINK("https://creighton-primo.hosted.exlibrisgroup.com/primo-explore/search?tab=default_tab&amp;search_scope=EVERYTHING&amp;vid=01CRU&amp;lang=en_US&amp;offset=0&amp;query=any,contains,991004370219702656","Catalog Record")</f>
        <v/>
      </c>
      <c r="AV1243">
        <f>HYPERLINK("http://www.worldcat.org/oclc/3186672","WorldCat Record")</f>
        <v/>
      </c>
      <c r="AW1243" t="inlineStr">
        <is>
          <t>290777709:eng</t>
        </is>
      </c>
      <c r="AX1243" t="inlineStr">
        <is>
          <t>3186672</t>
        </is>
      </c>
      <c r="AY1243" t="inlineStr">
        <is>
          <t>991004370219702656</t>
        </is>
      </c>
      <c r="AZ1243" t="inlineStr">
        <is>
          <t>991004370219702656</t>
        </is>
      </c>
      <c r="BA1243" t="inlineStr">
        <is>
          <t>2259971360002656</t>
        </is>
      </c>
      <c r="BB1243" t="inlineStr">
        <is>
          <t>BOOK</t>
        </is>
      </c>
      <c r="BD1243" t="inlineStr">
        <is>
          <t>9780691063492</t>
        </is>
      </c>
      <c r="BE1243" t="inlineStr">
        <is>
          <t>32285002958931</t>
        </is>
      </c>
      <c r="BF1243" t="inlineStr">
        <is>
          <t>893325298</t>
        </is>
      </c>
    </row>
    <row r="1244">
      <c r="A1244" t="inlineStr">
        <is>
          <t>No</t>
        </is>
      </c>
      <c r="B1244" t="inlineStr">
        <is>
          <t>CURAL</t>
        </is>
      </c>
      <c r="C1244" t="inlineStr">
        <is>
          <t>SHELVES</t>
        </is>
      </c>
      <c r="D1244" t="inlineStr">
        <is>
          <t>PR3592.H5 L68 1990</t>
        </is>
      </c>
      <c r="E1244" t="inlineStr">
        <is>
          <t>0                      PR 3592000H  5                  L  68          1990</t>
        </is>
      </c>
      <c r="F1244" t="inlineStr">
        <is>
          <t>Milton and the drama of history : historical vision, iconoclasm, and the literary imagination / David Loewenstein.</t>
        </is>
      </c>
      <c r="H1244" t="inlineStr">
        <is>
          <t>No</t>
        </is>
      </c>
      <c r="I1244" t="inlineStr">
        <is>
          <t>1</t>
        </is>
      </c>
      <c r="J1244" t="inlineStr">
        <is>
          <t>No</t>
        </is>
      </c>
      <c r="K1244" t="inlineStr">
        <is>
          <t>No</t>
        </is>
      </c>
      <c r="L1244" t="inlineStr">
        <is>
          <t>0</t>
        </is>
      </c>
      <c r="M1244" t="inlineStr">
        <is>
          <t>Loewenstein, David.</t>
        </is>
      </c>
      <c r="N1244" t="inlineStr">
        <is>
          <t>Cambridge, [England] ; New York : Cambridge University Press, 1990.</t>
        </is>
      </c>
      <c r="O1244" t="inlineStr">
        <is>
          <t>1990</t>
        </is>
      </c>
      <c r="Q1244" t="inlineStr">
        <is>
          <t>eng</t>
        </is>
      </c>
      <c r="R1244" t="inlineStr">
        <is>
          <t>enk</t>
        </is>
      </c>
      <c r="T1244" t="inlineStr">
        <is>
          <t xml:space="preserve">PR </t>
        </is>
      </c>
      <c r="U1244" t="n">
        <v>1</v>
      </c>
      <c r="V1244" t="n">
        <v>1</v>
      </c>
      <c r="W1244" t="inlineStr">
        <is>
          <t>2010-11-15</t>
        </is>
      </c>
      <c r="X1244" t="inlineStr">
        <is>
          <t>2010-11-15</t>
        </is>
      </c>
      <c r="Y1244" t="inlineStr">
        <is>
          <t>1991-05-13</t>
        </is>
      </c>
      <c r="Z1244" t="inlineStr">
        <is>
          <t>1991-05-13</t>
        </is>
      </c>
      <c r="AA1244" t="n">
        <v>506</v>
      </c>
      <c r="AB1244" t="n">
        <v>354</v>
      </c>
      <c r="AC1244" t="n">
        <v>359</v>
      </c>
      <c r="AD1244" t="n">
        <v>3</v>
      </c>
      <c r="AE1244" t="n">
        <v>3</v>
      </c>
      <c r="AF1244" t="n">
        <v>19</v>
      </c>
      <c r="AG1244" t="n">
        <v>19</v>
      </c>
      <c r="AH1244" t="n">
        <v>5</v>
      </c>
      <c r="AI1244" t="n">
        <v>5</v>
      </c>
      <c r="AJ1244" t="n">
        <v>6</v>
      </c>
      <c r="AK1244" t="n">
        <v>6</v>
      </c>
      <c r="AL1244" t="n">
        <v>12</v>
      </c>
      <c r="AM1244" t="n">
        <v>12</v>
      </c>
      <c r="AN1244" t="n">
        <v>2</v>
      </c>
      <c r="AO1244" t="n">
        <v>2</v>
      </c>
      <c r="AP1244" t="n">
        <v>0</v>
      </c>
      <c r="AQ1244" t="n">
        <v>0</v>
      </c>
      <c r="AR1244" t="inlineStr">
        <is>
          <t>No</t>
        </is>
      </c>
      <c r="AS1244" t="inlineStr">
        <is>
          <t>No</t>
        </is>
      </c>
      <c r="AU1244">
        <f>HYPERLINK("https://creighton-primo.hosted.exlibrisgroup.com/primo-explore/search?tab=default_tab&amp;search_scope=EVERYTHING&amp;vid=01CRU&amp;lang=en_US&amp;offset=0&amp;query=any,contains,991001561189702656","Catalog Record")</f>
        <v/>
      </c>
      <c r="AV1244">
        <f>HYPERLINK("http://www.worldcat.org/oclc/20296959","WorldCat Record")</f>
        <v/>
      </c>
      <c r="AW1244" t="inlineStr">
        <is>
          <t>808724471:eng</t>
        </is>
      </c>
      <c r="AX1244" t="inlineStr">
        <is>
          <t>20296959</t>
        </is>
      </c>
      <c r="AY1244" t="inlineStr">
        <is>
          <t>991001561189702656</t>
        </is>
      </c>
      <c r="AZ1244" t="inlineStr">
        <is>
          <t>991001561189702656</t>
        </is>
      </c>
      <c r="BA1244" t="inlineStr">
        <is>
          <t>2260188460002656</t>
        </is>
      </c>
      <c r="BB1244" t="inlineStr">
        <is>
          <t>BOOK</t>
        </is>
      </c>
      <c r="BD1244" t="inlineStr">
        <is>
          <t>9780521372534</t>
        </is>
      </c>
      <c r="BE1244" t="inlineStr">
        <is>
          <t>32285000572817</t>
        </is>
      </c>
      <c r="BF1244" t="inlineStr">
        <is>
          <t>893238180</t>
        </is>
      </c>
    </row>
    <row r="1245">
      <c r="A1245" t="inlineStr">
        <is>
          <t>No</t>
        </is>
      </c>
      <c r="B1245" t="inlineStr">
        <is>
          <t>CURAL</t>
        </is>
      </c>
      <c r="C1245" t="inlineStr">
        <is>
          <t>SHELVES</t>
        </is>
      </c>
      <c r="D1245" t="inlineStr">
        <is>
          <t>PR3592.I47 M55 1999</t>
        </is>
      </c>
      <c r="E1245" t="inlineStr">
        <is>
          <t>0                      PR 3592000I  47                 M  55          1999</t>
        </is>
      </c>
      <c r="F1245" t="inlineStr">
        <is>
          <t>Milton and the imperial vision / edited by Balachandra Rajan and Elizabeth Sauer.</t>
        </is>
      </c>
      <c r="H1245" t="inlineStr">
        <is>
          <t>No</t>
        </is>
      </c>
      <c r="I1245" t="inlineStr">
        <is>
          <t>1</t>
        </is>
      </c>
      <c r="J1245" t="inlineStr">
        <is>
          <t>No</t>
        </is>
      </c>
      <c r="K1245" t="inlineStr">
        <is>
          <t>No</t>
        </is>
      </c>
      <c r="L1245" t="inlineStr">
        <is>
          <t>0</t>
        </is>
      </c>
      <c r="N1245" t="inlineStr">
        <is>
          <t>Pittsburgh, Pa. : Duquesne University Press, c1999.</t>
        </is>
      </c>
      <c r="O1245" t="inlineStr">
        <is>
          <t>1999</t>
        </is>
      </c>
      <c r="Q1245" t="inlineStr">
        <is>
          <t>eng</t>
        </is>
      </c>
      <c r="R1245" t="inlineStr">
        <is>
          <t>pau</t>
        </is>
      </c>
      <c r="S1245" t="inlineStr">
        <is>
          <t>Medieval &amp; Renaissance literary studies</t>
        </is>
      </c>
      <c r="T1245" t="inlineStr">
        <is>
          <t xml:space="preserve">PR </t>
        </is>
      </c>
      <c r="U1245" t="n">
        <v>4</v>
      </c>
      <c r="V1245" t="n">
        <v>4</v>
      </c>
      <c r="W1245" t="inlineStr">
        <is>
          <t>2010-11-15</t>
        </is>
      </c>
      <c r="X1245" t="inlineStr">
        <is>
          <t>2010-11-15</t>
        </is>
      </c>
      <c r="Y1245" t="inlineStr">
        <is>
          <t>2000-12-19</t>
        </is>
      </c>
      <c r="Z1245" t="inlineStr">
        <is>
          <t>2000-12-19</t>
        </is>
      </c>
      <c r="AA1245" t="n">
        <v>437</v>
      </c>
      <c r="AB1245" t="n">
        <v>355</v>
      </c>
      <c r="AC1245" t="n">
        <v>357</v>
      </c>
      <c r="AD1245" t="n">
        <v>3</v>
      </c>
      <c r="AE1245" t="n">
        <v>3</v>
      </c>
      <c r="AF1245" t="n">
        <v>16</v>
      </c>
      <c r="AG1245" t="n">
        <v>16</v>
      </c>
      <c r="AH1245" t="n">
        <v>4</v>
      </c>
      <c r="AI1245" t="n">
        <v>4</v>
      </c>
      <c r="AJ1245" t="n">
        <v>5</v>
      </c>
      <c r="AK1245" t="n">
        <v>5</v>
      </c>
      <c r="AL1245" t="n">
        <v>10</v>
      </c>
      <c r="AM1245" t="n">
        <v>10</v>
      </c>
      <c r="AN1245" t="n">
        <v>2</v>
      </c>
      <c r="AO1245" t="n">
        <v>2</v>
      </c>
      <c r="AP1245" t="n">
        <v>0</v>
      </c>
      <c r="AQ1245" t="n">
        <v>0</v>
      </c>
      <c r="AR1245" t="inlineStr">
        <is>
          <t>No</t>
        </is>
      </c>
      <c r="AS1245" t="inlineStr">
        <is>
          <t>Yes</t>
        </is>
      </c>
      <c r="AT1245">
        <f>HYPERLINK("http://catalog.hathitrust.org/Record/004033627","HathiTrust Record")</f>
        <v/>
      </c>
      <c r="AU1245">
        <f>HYPERLINK("https://creighton-primo.hosted.exlibrisgroup.com/primo-explore/search?tab=default_tab&amp;search_scope=EVERYTHING&amp;vid=01CRU&amp;lang=en_US&amp;offset=0&amp;query=any,contains,991003323479702656","Catalog Record")</f>
        <v/>
      </c>
      <c r="AV1245">
        <f>HYPERLINK("http://www.worldcat.org/oclc/39800587","WorldCat Record")</f>
        <v/>
      </c>
      <c r="AW1245" t="inlineStr">
        <is>
          <t>353860187:eng</t>
        </is>
      </c>
      <c r="AX1245" t="inlineStr">
        <is>
          <t>39800587</t>
        </is>
      </c>
      <c r="AY1245" t="inlineStr">
        <is>
          <t>991003323479702656</t>
        </is>
      </c>
      <c r="AZ1245" t="inlineStr">
        <is>
          <t>991003323479702656</t>
        </is>
      </c>
      <c r="BA1245" t="inlineStr">
        <is>
          <t>2270169760002656</t>
        </is>
      </c>
      <c r="BB1245" t="inlineStr">
        <is>
          <t>BOOK</t>
        </is>
      </c>
      <c r="BD1245" t="inlineStr">
        <is>
          <t>9780820703039</t>
        </is>
      </c>
      <c r="BE1245" t="inlineStr">
        <is>
          <t>32285004277611</t>
        </is>
      </c>
      <c r="BF1245" t="inlineStr">
        <is>
          <t>893692611</t>
        </is>
      </c>
    </row>
    <row r="1246">
      <c r="A1246" t="inlineStr">
        <is>
          <t>No</t>
        </is>
      </c>
      <c r="B1246" t="inlineStr">
        <is>
          <t>CURAL</t>
        </is>
      </c>
      <c r="C1246" t="inlineStr">
        <is>
          <t>SHELVES</t>
        </is>
      </c>
      <c r="D1246" t="inlineStr">
        <is>
          <t>PR3592.K6 B3 1950</t>
        </is>
      </c>
      <c r="E1246" t="inlineStr">
        <is>
          <t>0                      PR 3592000K  6                  B  3           1950</t>
        </is>
      </c>
      <c r="F1246" t="inlineStr">
        <is>
          <t>Milton's imagery.</t>
        </is>
      </c>
      <c r="H1246" t="inlineStr">
        <is>
          <t>No</t>
        </is>
      </c>
      <c r="I1246" t="inlineStr">
        <is>
          <t>1</t>
        </is>
      </c>
      <c r="J1246" t="inlineStr">
        <is>
          <t>No</t>
        </is>
      </c>
      <c r="K1246" t="inlineStr">
        <is>
          <t>No</t>
        </is>
      </c>
      <c r="L1246" t="inlineStr">
        <is>
          <t>0</t>
        </is>
      </c>
      <c r="M1246" t="inlineStr">
        <is>
          <t>Banks, Theodore Howard, 1895-1969.</t>
        </is>
      </c>
      <c r="N1246" t="inlineStr">
        <is>
          <t>New York, Columbia University Press, 1950.</t>
        </is>
      </c>
      <c r="O1246" t="inlineStr">
        <is>
          <t>1950</t>
        </is>
      </c>
      <c r="Q1246" t="inlineStr">
        <is>
          <t>eng</t>
        </is>
      </c>
      <c r="R1246" t="inlineStr">
        <is>
          <t>nyu</t>
        </is>
      </c>
      <c r="T1246" t="inlineStr">
        <is>
          <t xml:space="preserve">PR </t>
        </is>
      </c>
      <c r="U1246" t="n">
        <v>3</v>
      </c>
      <c r="V1246" t="n">
        <v>3</v>
      </c>
      <c r="W1246" t="inlineStr">
        <is>
          <t>2006-10-22</t>
        </is>
      </c>
      <c r="X1246" t="inlineStr">
        <is>
          <t>2006-10-22</t>
        </is>
      </c>
      <c r="Y1246" t="inlineStr">
        <is>
          <t>1997-07-24</t>
        </is>
      </c>
      <c r="Z1246" t="inlineStr">
        <is>
          <t>1997-07-24</t>
        </is>
      </c>
      <c r="AA1246" t="n">
        <v>577</v>
      </c>
      <c r="AB1246" t="n">
        <v>497</v>
      </c>
      <c r="AC1246" t="n">
        <v>772</v>
      </c>
      <c r="AD1246" t="n">
        <v>6</v>
      </c>
      <c r="AE1246" t="n">
        <v>6</v>
      </c>
      <c r="AF1246" t="n">
        <v>36</v>
      </c>
      <c r="AG1246" t="n">
        <v>44</v>
      </c>
      <c r="AH1246" t="n">
        <v>18</v>
      </c>
      <c r="AI1246" t="n">
        <v>22</v>
      </c>
      <c r="AJ1246" t="n">
        <v>6</v>
      </c>
      <c r="AK1246" t="n">
        <v>9</v>
      </c>
      <c r="AL1246" t="n">
        <v>17</v>
      </c>
      <c r="AM1246" t="n">
        <v>21</v>
      </c>
      <c r="AN1246" t="n">
        <v>5</v>
      </c>
      <c r="AO1246" t="n">
        <v>5</v>
      </c>
      <c r="AP1246" t="n">
        <v>0</v>
      </c>
      <c r="AQ1246" t="n">
        <v>0</v>
      </c>
      <c r="AR1246" t="inlineStr">
        <is>
          <t>No</t>
        </is>
      </c>
      <c r="AS1246" t="inlineStr">
        <is>
          <t>No</t>
        </is>
      </c>
      <c r="AT1246">
        <f>HYPERLINK("http://catalog.hathitrust.org/Record/000634512","HathiTrust Record")</f>
        <v/>
      </c>
      <c r="AU1246">
        <f>HYPERLINK("https://creighton-primo.hosted.exlibrisgroup.com/primo-explore/search?tab=default_tab&amp;search_scope=EVERYTHING&amp;vid=01CRU&amp;lang=en_US&amp;offset=0&amp;query=any,contains,991004105479702656","Catalog Record")</f>
        <v/>
      </c>
      <c r="AV1246">
        <f>HYPERLINK("http://www.worldcat.org/oclc/2382675","WorldCat Record")</f>
        <v/>
      </c>
      <c r="AW1246" t="inlineStr">
        <is>
          <t>474324:eng</t>
        </is>
      </c>
      <c r="AX1246" t="inlineStr">
        <is>
          <t>2382675</t>
        </is>
      </c>
      <c r="AY1246" t="inlineStr">
        <is>
          <t>991004105479702656</t>
        </is>
      </c>
      <c r="AZ1246" t="inlineStr">
        <is>
          <t>991004105479702656</t>
        </is>
      </c>
      <c r="BA1246" t="inlineStr">
        <is>
          <t>2271700930002656</t>
        </is>
      </c>
      <c r="BB1246" t="inlineStr">
        <is>
          <t>BOOK</t>
        </is>
      </c>
      <c r="BE1246" t="inlineStr">
        <is>
          <t>32285002958956</t>
        </is>
      </c>
      <c r="BF1246" t="inlineStr">
        <is>
          <t>893423388</t>
        </is>
      </c>
    </row>
    <row r="1247">
      <c r="A1247" t="inlineStr">
        <is>
          <t>No</t>
        </is>
      </c>
      <c r="B1247" t="inlineStr">
        <is>
          <t>CURAL</t>
        </is>
      </c>
      <c r="C1247" t="inlineStr">
        <is>
          <t>SHELVES</t>
        </is>
      </c>
      <c r="D1247" t="inlineStr">
        <is>
          <t>PR3592.M3 H3</t>
        </is>
      </c>
      <c r="E1247" t="inlineStr">
        <is>
          <t>0                      PR 3592000M  3                  H  3</t>
        </is>
      </c>
      <c r="F1247" t="inlineStr">
        <is>
          <t>Milton and the idea of matrimony; a study of the divorce tracts and Paradise Lost.</t>
        </is>
      </c>
      <c r="H1247" t="inlineStr">
        <is>
          <t>No</t>
        </is>
      </c>
      <c r="I1247" t="inlineStr">
        <is>
          <t>1</t>
        </is>
      </c>
      <c r="J1247" t="inlineStr">
        <is>
          <t>No</t>
        </is>
      </c>
      <c r="K1247" t="inlineStr">
        <is>
          <t>No</t>
        </is>
      </c>
      <c r="L1247" t="inlineStr">
        <is>
          <t>0</t>
        </is>
      </c>
      <c r="M1247" t="inlineStr">
        <is>
          <t>Halkett, John G., 1933-</t>
        </is>
      </c>
      <c r="N1247" t="inlineStr">
        <is>
          <t>New Haven, Yale University Press, 1970.</t>
        </is>
      </c>
      <c r="O1247" t="inlineStr">
        <is>
          <t>1970</t>
        </is>
      </c>
      <c r="Q1247" t="inlineStr">
        <is>
          <t>eng</t>
        </is>
      </c>
      <c r="R1247" t="inlineStr">
        <is>
          <t>ctu</t>
        </is>
      </c>
      <c r="S1247" t="inlineStr">
        <is>
          <t>Yale studies in English ; 173</t>
        </is>
      </c>
      <c r="T1247" t="inlineStr">
        <is>
          <t xml:space="preserve">PR </t>
        </is>
      </c>
      <c r="U1247" t="n">
        <v>5</v>
      </c>
      <c r="V1247" t="n">
        <v>5</v>
      </c>
      <c r="W1247" t="inlineStr">
        <is>
          <t>2003-04-16</t>
        </is>
      </c>
      <c r="X1247" t="inlineStr">
        <is>
          <t>2003-04-16</t>
        </is>
      </c>
      <c r="Y1247" t="inlineStr">
        <is>
          <t>1997-07-24</t>
        </is>
      </c>
      <c r="Z1247" t="inlineStr">
        <is>
          <t>1997-07-24</t>
        </is>
      </c>
      <c r="AA1247" t="n">
        <v>900</v>
      </c>
      <c r="AB1247" t="n">
        <v>762</v>
      </c>
      <c r="AC1247" t="n">
        <v>768</v>
      </c>
      <c r="AD1247" t="n">
        <v>10</v>
      </c>
      <c r="AE1247" t="n">
        <v>10</v>
      </c>
      <c r="AF1247" t="n">
        <v>46</v>
      </c>
      <c r="AG1247" t="n">
        <v>46</v>
      </c>
      <c r="AH1247" t="n">
        <v>18</v>
      </c>
      <c r="AI1247" t="n">
        <v>18</v>
      </c>
      <c r="AJ1247" t="n">
        <v>10</v>
      </c>
      <c r="AK1247" t="n">
        <v>10</v>
      </c>
      <c r="AL1247" t="n">
        <v>19</v>
      </c>
      <c r="AM1247" t="n">
        <v>19</v>
      </c>
      <c r="AN1247" t="n">
        <v>9</v>
      </c>
      <c r="AO1247" t="n">
        <v>9</v>
      </c>
      <c r="AP1247" t="n">
        <v>0</v>
      </c>
      <c r="AQ1247" t="n">
        <v>0</v>
      </c>
      <c r="AR1247" t="inlineStr">
        <is>
          <t>No</t>
        </is>
      </c>
      <c r="AS1247" t="inlineStr">
        <is>
          <t>No</t>
        </is>
      </c>
      <c r="AU1247">
        <f>HYPERLINK("https://creighton-primo.hosted.exlibrisgroup.com/primo-explore/search?tab=default_tab&amp;search_scope=EVERYTHING&amp;vid=01CRU&amp;lang=en_US&amp;offset=0&amp;query=any,contains,991000361699702656","Catalog Record")</f>
        <v/>
      </c>
      <c r="AV1247">
        <f>HYPERLINK("http://www.worldcat.org/oclc/70774","WorldCat Record")</f>
        <v/>
      </c>
      <c r="AW1247" t="inlineStr">
        <is>
          <t>111839189:eng</t>
        </is>
      </c>
      <c r="AX1247" t="inlineStr">
        <is>
          <t>70774</t>
        </is>
      </c>
      <c r="AY1247" t="inlineStr">
        <is>
          <t>991000361699702656</t>
        </is>
      </c>
      <c r="AZ1247" t="inlineStr">
        <is>
          <t>991000361699702656</t>
        </is>
      </c>
      <c r="BA1247" t="inlineStr">
        <is>
          <t>2270322760002656</t>
        </is>
      </c>
      <c r="BB1247" t="inlineStr">
        <is>
          <t>BOOK</t>
        </is>
      </c>
      <c r="BD1247" t="inlineStr">
        <is>
          <t>9780300011968</t>
        </is>
      </c>
      <c r="BE1247" t="inlineStr">
        <is>
          <t>32285002958964</t>
        </is>
      </c>
      <c r="BF1247" t="inlineStr">
        <is>
          <t>893601681</t>
        </is>
      </c>
    </row>
    <row r="1248">
      <c r="A1248" t="inlineStr">
        <is>
          <t>No</t>
        </is>
      </c>
      <c r="B1248" t="inlineStr">
        <is>
          <t>CURAL</t>
        </is>
      </c>
      <c r="C1248" t="inlineStr">
        <is>
          <t>SHELVES</t>
        </is>
      </c>
      <c r="D1248" t="inlineStr">
        <is>
          <t>PR3592.M53 M5 1982</t>
        </is>
      </c>
      <c r="E1248" t="inlineStr">
        <is>
          <t>0                      PR 3592000M  53                 M  5           1982</t>
        </is>
      </c>
      <c r="F1248" t="inlineStr">
        <is>
          <t>Milton and the Middle Ages / edited by John Mulryan.</t>
        </is>
      </c>
      <c r="H1248" t="inlineStr">
        <is>
          <t>No</t>
        </is>
      </c>
      <c r="I1248" t="inlineStr">
        <is>
          <t>1</t>
        </is>
      </c>
      <c r="J1248" t="inlineStr">
        <is>
          <t>No</t>
        </is>
      </c>
      <c r="K1248" t="inlineStr">
        <is>
          <t>No</t>
        </is>
      </c>
      <c r="L1248" t="inlineStr">
        <is>
          <t>0</t>
        </is>
      </c>
      <c r="N1248" t="inlineStr">
        <is>
          <t>Lewisburg [Pa.] : Bucknell University Press ; East Brunswick, N.J. : Associated University Presses, c1982.</t>
        </is>
      </c>
      <c r="O1248" t="inlineStr">
        <is>
          <t>1982</t>
        </is>
      </c>
      <c r="Q1248" t="inlineStr">
        <is>
          <t>eng</t>
        </is>
      </c>
      <c r="R1248" t="inlineStr">
        <is>
          <t>pau</t>
        </is>
      </c>
      <c r="T1248" t="inlineStr">
        <is>
          <t xml:space="preserve">PR </t>
        </is>
      </c>
      <c r="U1248" t="n">
        <v>3</v>
      </c>
      <c r="V1248" t="n">
        <v>3</v>
      </c>
      <c r="W1248" t="inlineStr">
        <is>
          <t>1995-11-28</t>
        </is>
      </c>
      <c r="X1248" t="inlineStr">
        <is>
          <t>1995-11-28</t>
        </is>
      </c>
      <c r="Y1248" t="inlineStr">
        <is>
          <t>1991-04-26</t>
        </is>
      </c>
      <c r="Z1248" t="inlineStr">
        <is>
          <t>1991-04-26</t>
        </is>
      </c>
      <c r="AA1248" t="n">
        <v>465</v>
      </c>
      <c r="AB1248" t="n">
        <v>393</v>
      </c>
      <c r="AC1248" t="n">
        <v>400</v>
      </c>
      <c r="AD1248" t="n">
        <v>5</v>
      </c>
      <c r="AE1248" t="n">
        <v>5</v>
      </c>
      <c r="AF1248" t="n">
        <v>25</v>
      </c>
      <c r="AG1248" t="n">
        <v>25</v>
      </c>
      <c r="AH1248" t="n">
        <v>10</v>
      </c>
      <c r="AI1248" t="n">
        <v>10</v>
      </c>
      <c r="AJ1248" t="n">
        <v>6</v>
      </c>
      <c r="AK1248" t="n">
        <v>6</v>
      </c>
      <c r="AL1248" t="n">
        <v>13</v>
      </c>
      <c r="AM1248" t="n">
        <v>13</v>
      </c>
      <c r="AN1248" t="n">
        <v>4</v>
      </c>
      <c r="AO1248" t="n">
        <v>4</v>
      </c>
      <c r="AP1248" t="n">
        <v>0</v>
      </c>
      <c r="AQ1248" t="n">
        <v>0</v>
      </c>
      <c r="AR1248" t="inlineStr">
        <is>
          <t>No</t>
        </is>
      </c>
      <c r="AS1248" t="inlineStr">
        <is>
          <t>Yes</t>
        </is>
      </c>
      <c r="AT1248">
        <f>HYPERLINK("http://catalog.hathitrust.org/Record/000271806","HathiTrust Record")</f>
        <v/>
      </c>
      <c r="AU1248">
        <f>HYPERLINK("https://creighton-primo.hosted.exlibrisgroup.com/primo-explore/search?tab=default_tab&amp;search_scope=EVERYTHING&amp;vid=01CRU&amp;lang=en_US&amp;offset=0&amp;query=any,contains,991005232349702656","Catalog Record")</f>
        <v/>
      </c>
      <c r="AV1248">
        <f>HYPERLINK("http://www.worldcat.org/oclc/8345252","WorldCat Record")</f>
        <v/>
      </c>
      <c r="AW1248" t="inlineStr">
        <is>
          <t>503714:eng</t>
        </is>
      </c>
      <c r="AX1248" t="inlineStr">
        <is>
          <t>8345252</t>
        </is>
      </c>
      <c r="AY1248" t="inlineStr">
        <is>
          <t>991005232349702656</t>
        </is>
      </c>
      <c r="AZ1248" t="inlineStr">
        <is>
          <t>991005232349702656</t>
        </is>
      </c>
      <c r="BA1248" t="inlineStr">
        <is>
          <t>2263332600002656</t>
        </is>
      </c>
      <c r="BB1248" t="inlineStr">
        <is>
          <t>BOOK</t>
        </is>
      </c>
      <c r="BD1248" t="inlineStr">
        <is>
          <t>9780838750360</t>
        </is>
      </c>
      <c r="BE1248" t="inlineStr">
        <is>
          <t>32285000523174</t>
        </is>
      </c>
      <c r="BF1248" t="inlineStr">
        <is>
          <t>893801973</t>
        </is>
      </c>
    </row>
    <row r="1249">
      <c r="A1249" t="inlineStr">
        <is>
          <t>No</t>
        </is>
      </c>
      <c r="B1249" t="inlineStr">
        <is>
          <t>CURAL</t>
        </is>
      </c>
      <c r="C1249" t="inlineStr">
        <is>
          <t>SHELVES</t>
        </is>
      </c>
      <c r="D1249" t="inlineStr">
        <is>
          <t>PR3592.M96 M85 1996</t>
        </is>
      </c>
      <c r="E1249" t="inlineStr">
        <is>
          <t>0                      PR 3592000M  96                 M  85          1996</t>
        </is>
      </c>
      <c r="F1249" t="inlineStr">
        <is>
          <t>Through a glass darkly : Milton's reinvention of the mythological tradition / John Mulryan.</t>
        </is>
      </c>
      <c r="H1249" t="inlineStr">
        <is>
          <t>No</t>
        </is>
      </c>
      <c r="I1249" t="inlineStr">
        <is>
          <t>1</t>
        </is>
      </c>
      <c r="J1249" t="inlineStr">
        <is>
          <t>No</t>
        </is>
      </c>
      <c r="K1249" t="inlineStr">
        <is>
          <t>No</t>
        </is>
      </c>
      <c r="L1249" t="inlineStr">
        <is>
          <t>0</t>
        </is>
      </c>
      <c r="M1249" t="inlineStr">
        <is>
          <t>Mulryan, John, 1939-</t>
        </is>
      </c>
      <c r="N1249" t="inlineStr">
        <is>
          <t>Pittsburgh : Duquesne University Press, c1996.</t>
        </is>
      </c>
      <c r="O1249" t="inlineStr">
        <is>
          <t>1996</t>
        </is>
      </c>
      <c r="Q1249" t="inlineStr">
        <is>
          <t>eng</t>
        </is>
      </c>
      <c r="R1249" t="inlineStr">
        <is>
          <t>pau</t>
        </is>
      </c>
      <c r="S1249" t="inlineStr">
        <is>
          <t>Duquesne studies. Language and literature series ; v. 21</t>
        </is>
      </c>
      <c r="T1249" t="inlineStr">
        <is>
          <t xml:space="preserve">PR </t>
        </is>
      </c>
      <c r="U1249" t="n">
        <v>3</v>
      </c>
      <c r="V1249" t="n">
        <v>3</v>
      </c>
      <c r="W1249" t="inlineStr">
        <is>
          <t>2006-11-12</t>
        </is>
      </c>
      <c r="X1249" t="inlineStr">
        <is>
          <t>2006-11-12</t>
        </is>
      </c>
      <c r="Y1249" t="inlineStr">
        <is>
          <t>1997-05-27</t>
        </is>
      </c>
      <c r="Z1249" t="inlineStr">
        <is>
          <t>1997-05-27</t>
        </is>
      </c>
      <c r="AA1249" t="n">
        <v>390</v>
      </c>
      <c r="AB1249" t="n">
        <v>328</v>
      </c>
      <c r="AC1249" t="n">
        <v>330</v>
      </c>
      <c r="AD1249" t="n">
        <v>3</v>
      </c>
      <c r="AE1249" t="n">
        <v>3</v>
      </c>
      <c r="AF1249" t="n">
        <v>19</v>
      </c>
      <c r="AG1249" t="n">
        <v>19</v>
      </c>
      <c r="AH1249" t="n">
        <v>5</v>
      </c>
      <c r="AI1249" t="n">
        <v>5</v>
      </c>
      <c r="AJ1249" t="n">
        <v>7</v>
      </c>
      <c r="AK1249" t="n">
        <v>7</v>
      </c>
      <c r="AL1249" t="n">
        <v>11</v>
      </c>
      <c r="AM1249" t="n">
        <v>11</v>
      </c>
      <c r="AN1249" t="n">
        <v>2</v>
      </c>
      <c r="AO1249" t="n">
        <v>2</v>
      </c>
      <c r="AP1249" t="n">
        <v>0</v>
      </c>
      <c r="AQ1249" t="n">
        <v>0</v>
      </c>
      <c r="AR1249" t="inlineStr">
        <is>
          <t>No</t>
        </is>
      </c>
      <c r="AS1249" t="inlineStr">
        <is>
          <t>Yes</t>
        </is>
      </c>
      <c r="AT1249">
        <f>HYPERLINK("http://catalog.hathitrust.org/Record/003096396","HathiTrust Record")</f>
        <v/>
      </c>
      <c r="AU1249">
        <f>HYPERLINK("https://creighton-primo.hosted.exlibrisgroup.com/primo-explore/search?tab=default_tab&amp;search_scope=EVERYTHING&amp;vid=01CRU&amp;lang=en_US&amp;offset=0&amp;query=any,contains,991002617759702656","Catalog Record")</f>
        <v/>
      </c>
      <c r="AV1249">
        <f>HYPERLINK("http://www.worldcat.org/oclc/34319596","WorldCat Record")</f>
        <v/>
      </c>
      <c r="AW1249" t="inlineStr">
        <is>
          <t>197761042:eng</t>
        </is>
      </c>
      <c r="AX1249" t="inlineStr">
        <is>
          <t>34319596</t>
        </is>
      </c>
      <c r="AY1249" t="inlineStr">
        <is>
          <t>991002617759702656</t>
        </is>
      </c>
      <c r="AZ1249" t="inlineStr">
        <is>
          <t>991002617759702656</t>
        </is>
      </c>
      <c r="BA1249" t="inlineStr">
        <is>
          <t>2268710200002656</t>
        </is>
      </c>
      <c r="BB1249" t="inlineStr">
        <is>
          <t>BOOK</t>
        </is>
      </c>
      <c r="BD1249" t="inlineStr">
        <is>
          <t>9780820702674</t>
        </is>
      </c>
      <c r="BE1249" t="inlineStr">
        <is>
          <t>32285002611670</t>
        </is>
      </c>
      <c r="BF1249" t="inlineStr">
        <is>
          <t>893523835</t>
        </is>
      </c>
    </row>
    <row r="1250">
      <c r="A1250" t="inlineStr">
        <is>
          <t>No</t>
        </is>
      </c>
      <c r="B1250" t="inlineStr">
        <is>
          <t>CURAL</t>
        </is>
      </c>
      <c r="C1250" t="inlineStr">
        <is>
          <t>SHELVES</t>
        </is>
      </c>
      <c r="D1250" t="inlineStr">
        <is>
          <t>PR3592.P6 L3</t>
        </is>
      </c>
      <c r="E1250" t="inlineStr">
        <is>
          <t>0                      PR 3592000P  6                  L  3</t>
        </is>
      </c>
      <c r="F1250" t="inlineStr">
        <is>
          <t>Milton's theory of poetry and fine art; an essay, with a collection of illustrative passages from his works.</t>
        </is>
      </c>
      <c r="H1250" t="inlineStr">
        <is>
          <t>No</t>
        </is>
      </c>
      <c r="I1250" t="inlineStr">
        <is>
          <t>1</t>
        </is>
      </c>
      <c r="J1250" t="inlineStr">
        <is>
          <t>No</t>
        </is>
      </c>
      <c r="K1250" t="inlineStr">
        <is>
          <t>No</t>
        </is>
      </c>
      <c r="L1250" t="inlineStr">
        <is>
          <t>0</t>
        </is>
      </c>
      <c r="M1250" t="inlineStr">
        <is>
          <t>Langdon, Ida, 1880-1964.</t>
        </is>
      </c>
      <c r="N1250" t="inlineStr">
        <is>
          <t>New York, Russell &amp; Russell, 1965 [c1924]</t>
        </is>
      </c>
      <c r="O1250" t="inlineStr">
        <is>
          <t>1965</t>
        </is>
      </c>
      <c r="Q1250" t="inlineStr">
        <is>
          <t>eng</t>
        </is>
      </c>
      <c r="R1250" t="inlineStr">
        <is>
          <t>nyu</t>
        </is>
      </c>
      <c r="T1250" t="inlineStr">
        <is>
          <t xml:space="preserve">PR </t>
        </is>
      </c>
      <c r="U1250" t="n">
        <v>2</v>
      </c>
      <c r="V1250" t="n">
        <v>2</v>
      </c>
      <c r="W1250" t="inlineStr">
        <is>
          <t>2000-11-07</t>
        </is>
      </c>
      <c r="X1250" t="inlineStr">
        <is>
          <t>2000-11-07</t>
        </is>
      </c>
      <c r="Y1250" t="inlineStr">
        <is>
          <t>1997-07-24</t>
        </is>
      </c>
      <c r="Z1250" t="inlineStr">
        <is>
          <t>1997-07-24</t>
        </is>
      </c>
      <c r="AA1250" t="n">
        <v>496</v>
      </c>
      <c r="AB1250" t="n">
        <v>431</v>
      </c>
      <c r="AC1250" t="n">
        <v>435</v>
      </c>
      <c r="AD1250" t="n">
        <v>3</v>
      </c>
      <c r="AE1250" t="n">
        <v>3</v>
      </c>
      <c r="AF1250" t="n">
        <v>18</v>
      </c>
      <c r="AG1250" t="n">
        <v>18</v>
      </c>
      <c r="AH1250" t="n">
        <v>9</v>
      </c>
      <c r="AI1250" t="n">
        <v>9</v>
      </c>
      <c r="AJ1250" t="n">
        <v>4</v>
      </c>
      <c r="AK1250" t="n">
        <v>4</v>
      </c>
      <c r="AL1250" t="n">
        <v>9</v>
      </c>
      <c r="AM1250" t="n">
        <v>9</v>
      </c>
      <c r="AN1250" t="n">
        <v>2</v>
      </c>
      <c r="AO1250" t="n">
        <v>2</v>
      </c>
      <c r="AP1250" t="n">
        <v>0</v>
      </c>
      <c r="AQ1250" t="n">
        <v>0</v>
      </c>
      <c r="AR1250" t="inlineStr">
        <is>
          <t>No</t>
        </is>
      </c>
      <c r="AS1250" t="inlineStr">
        <is>
          <t>Yes</t>
        </is>
      </c>
      <c r="AT1250">
        <f>HYPERLINK("http://catalog.hathitrust.org/Record/001022546","HathiTrust Record")</f>
        <v/>
      </c>
      <c r="AU1250">
        <f>HYPERLINK("https://creighton-primo.hosted.exlibrisgroup.com/primo-explore/search?tab=default_tab&amp;search_scope=EVERYTHING&amp;vid=01CRU&amp;lang=en_US&amp;offset=0&amp;query=any,contains,991002479759702656","Catalog Record")</f>
        <v/>
      </c>
      <c r="AV1250">
        <f>HYPERLINK("http://www.worldcat.org/oclc/359548","WorldCat Record")</f>
        <v/>
      </c>
      <c r="AW1250" t="inlineStr">
        <is>
          <t>1409412:eng</t>
        </is>
      </c>
      <c r="AX1250" t="inlineStr">
        <is>
          <t>359548</t>
        </is>
      </c>
      <c r="AY1250" t="inlineStr">
        <is>
          <t>991002479759702656</t>
        </is>
      </c>
      <c r="AZ1250" t="inlineStr">
        <is>
          <t>991002479759702656</t>
        </is>
      </c>
      <c r="BA1250" t="inlineStr">
        <is>
          <t>2272399910002656</t>
        </is>
      </c>
      <c r="BB1250" t="inlineStr">
        <is>
          <t>BOOK</t>
        </is>
      </c>
      <c r="BE1250" t="inlineStr">
        <is>
          <t>32285002958980</t>
        </is>
      </c>
      <c r="BF1250" t="inlineStr">
        <is>
          <t>893716505</t>
        </is>
      </c>
    </row>
    <row r="1251">
      <c r="A1251" t="inlineStr">
        <is>
          <t>No</t>
        </is>
      </c>
      <c r="B1251" t="inlineStr">
        <is>
          <t>CURAL</t>
        </is>
      </c>
      <c r="C1251" t="inlineStr">
        <is>
          <t>SHELVES</t>
        </is>
      </c>
      <c r="D1251" t="inlineStr">
        <is>
          <t>PR3592.P64 H5</t>
        </is>
      </c>
      <c r="E1251" t="inlineStr">
        <is>
          <t>0                      PR 3592000P  64                 H  5</t>
        </is>
      </c>
      <c r="F1251" t="inlineStr">
        <is>
          <t>Milton and the English Revolution / by Christopher Hill.</t>
        </is>
      </c>
      <c r="H1251" t="inlineStr">
        <is>
          <t>No</t>
        </is>
      </c>
      <c r="I1251" t="inlineStr">
        <is>
          <t>1</t>
        </is>
      </c>
      <c r="J1251" t="inlineStr">
        <is>
          <t>No</t>
        </is>
      </c>
      <c r="K1251" t="inlineStr">
        <is>
          <t>No</t>
        </is>
      </c>
      <c r="L1251" t="inlineStr">
        <is>
          <t>0</t>
        </is>
      </c>
      <c r="M1251" t="inlineStr">
        <is>
          <t>Hill, Christopher, 1912-2003.</t>
        </is>
      </c>
      <c r="N1251" t="inlineStr">
        <is>
          <t>New York : Viking Press, 1978, c1977.</t>
        </is>
      </c>
      <c r="O1251" t="inlineStr">
        <is>
          <t>1978</t>
        </is>
      </c>
      <c r="Q1251" t="inlineStr">
        <is>
          <t>eng</t>
        </is>
      </c>
      <c r="R1251" t="inlineStr">
        <is>
          <t>nyu</t>
        </is>
      </c>
      <c r="T1251" t="inlineStr">
        <is>
          <t xml:space="preserve">PR </t>
        </is>
      </c>
      <c r="U1251" t="n">
        <v>2</v>
      </c>
      <c r="V1251" t="n">
        <v>2</v>
      </c>
      <c r="W1251" t="inlineStr">
        <is>
          <t>2000-09-24</t>
        </is>
      </c>
      <c r="X1251" t="inlineStr">
        <is>
          <t>2000-09-24</t>
        </is>
      </c>
      <c r="Y1251" t="inlineStr">
        <is>
          <t>1997-07-24</t>
        </is>
      </c>
      <c r="Z1251" t="inlineStr">
        <is>
          <t>1997-07-24</t>
        </is>
      </c>
      <c r="AA1251" t="n">
        <v>897</v>
      </c>
      <c r="AB1251" t="n">
        <v>838</v>
      </c>
      <c r="AC1251" t="n">
        <v>1047</v>
      </c>
      <c r="AD1251" t="n">
        <v>8</v>
      </c>
      <c r="AE1251" t="n">
        <v>11</v>
      </c>
      <c r="AF1251" t="n">
        <v>39</v>
      </c>
      <c r="AG1251" t="n">
        <v>49</v>
      </c>
      <c r="AH1251" t="n">
        <v>13</v>
      </c>
      <c r="AI1251" t="n">
        <v>17</v>
      </c>
      <c r="AJ1251" t="n">
        <v>9</v>
      </c>
      <c r="AK1251" t="n">
        <v>10</v>
      </c>
      <c r="AL1251" t="n">
        <v>20</v>
      </c>
      <c r="AM1251" t="n">
        <v>24</v>
      </c>
      <c r="AN1251" t="n">
        <v>7</v>
      </c>
      <c r="AO1251" t="n">
        <v>10</v>
      </c>
      <c r="AP1251" t="n">
        <v>0</v>
      </c>
      <c r="AQ1251" t="n">
        <v>0</v>
      </c>
      <c r="AR1251" t="inlineStr">
        <is>
          <t>No</t>
        </is>
      </c>
      <c r="AS1251" t="inlineStr">
        <is>
          <t>No</t>
        </is>
      </c>
      <c r="AU1251">
        <f>HYPERLINK("https://creighton-primo.hosted.exlibrisgroup.com/primo-explore/search?tab=default_tab&amp;search_scope=EVERYTHING&amp;vid=01CRU&amp;lang=en_US&amp;offset=0&amp;query=any,contains,991004363009702656","Catalog Record")</f>
        <v/>
      </c>
      <c r="AV1251">
        <f>HYPERLINK("http://www.worldcat.org/oclc/3168360","WorldCat Record")</f>
        <v/>
      </c>
      <c r="AW1251" t="inlineStr">
        <is>
          <t>58208326:eng</t>
        </is>
      </c>
      <c r="AX1251" t="inlineStr">
        <is>
          <t>3168360</t>
        </is>
      </c>
      <c r="AY1251" t="inlineStr">
        <is>
          <t>991004363009702656</t>
        </is>
      </c>
      <c r="AZ1251" t="inlineStr">
        <is>
          <t>991004363009702656</t>
        </is>
      </c>
      <c r="BA1251" t="inlineStr">
        <is>
          <t>2262223350002656</t>
        </is>
      </c>
      <c r="BB1251" t="inlineStr">
        <is>
          <t>BOOK</t>
        </is>
      </c>
      <c r="BD1251" t="inlineStr">
        <is>
          <t>9780670476121</t>
        </is>
      </c>
      <c r="BE1251" t="inlineStr">
        <is>
          <t>32285002959004</t>
        </is>
      </c>
      <c r="BF1251" t="inlineStr">
        <is>
          <t>893513135</t>
        </is>
      </c>
    </row>
    <row r="1252">
      <c r="A1252" t="inlineStr">
        <is>
          <t>No</t>
        </is>
      </c>
      <c r="B1252" t="inlineStr">
        <is>
          <t>CURAL</t>
        </is>
      </c>
      <c r="C1252" t="inlineStr">
        <is>
          <t>SHELVES</t>
        </is>
      </c>
      <c r="D1252" t="inlineStr">
        <is>
          <t>PR3592.P64 M5 1981</t>
        </is>
      </c>
      <c r="E1252" t="inlineStr">
        <is>
          <t>0                      PR 3592000P  64                 M  5           1981</t>
        </is>
      </c>
      <c r="F1252" t="inlineStr">
        <is>
          <t>John Milton and the English Revolution : a study in the sociology of literature / Andrew Milner.</t>
        </is>
      </c>
      <c r="H1252" t="inlineStr">
        <is>
          <t>No</t>
        </is>
      </c>
      <c r="I1252" t="inlineStr">
        <is>
          <t>1</t>
        </is>
      </c>
      <c r="J1252" t="inlineStr">
        <is>
          <t>No</t>
        </is>
      </c>
      <c r="K1252" t="inlineStr">
        <is>
          <t>No</t>
        </is>
      </c>
      <c r="L1252" t="inlineStr">
        <is>
          <t>0</t>
        </is>
      </c>
      <c r="M1252" t="inlineStr">
        <is>
          <t>Milner, Andrew.</t>
        </is>
      </c>
      <c r="N1252" t="inlineStr">
        <is>
          <t>Totowa, N.J. : Barnes &amp; Noble Books, 1981.</t>
        </is>
      </c>
      <c r="O1252" t="inlineStr">
        <is>
          <t>1981</t>
        </is>
      </c>
      <c r="Q1252" t="inlineStr">
        <is>
          <t>eng</t>
        </is>
      </c>
      <c r="R1252" t="inlineStr">
        <is>
          <t>nju</t>
        </is>
      </c>
      <c r="T1252" t="inlineStr">
        <is>
          <t xml:space="preserve">PR </t>
        </is>
      </c>
      <c r="U1252" t="n">
        <v>3</v>
      </c>
      <c r="V1252" t="n">
        <v>3</v>
      </c>
      <c r="W1252" t="inlineStr">
        <is>
          <t>2008-12-12</t>
        </is>
      </c>
      <c r="X1252" t="inlineStr">
        <is>
          <t>2008-12-12</t>
        </is>
      </c>
      <c r="Y1252" t="inlineStr">
        <is>
          <t>1991-04-26</t>
        </is>
      </c>
      <c r="Z1252" t="inlineStr">
        <is>
          <t>1991-04-26</t>
        </is>
      </c>
      <c r="AA1252" t="n">
        <v>396</v>
      </c>
      <c r="AB1252" t="n">
        <v>350</v>
      </c>
      <c r="AC1252" t="n">
        <v>403</v>
      </c>
      <c r="AD1252" t="n">
        <v>1</v>
      </c>
      <c r="AE1252" t="n">
        <v>3</v>
      </c>
      <c r="AF1252" t="n">
        <v>23</v>
      </c>
      <c r="AG1252" t="n">
        <v>25</v>
      </c>
      <c r="AH1252" t="n">
        <v>11</v>
      </c>
      <c r="AI1252" t="n">
        <v>11</v>
      </c>
      <c r="AJ1252" t="n">
        <v>6</v>
      </c>
      <c r="AK1252" t="n">
        <v>6</v>
      </c>
      <c r="AL1252" t="n">
        <v>16</v>
      </c>
      <c r="AM1252" t="n">
        <v>16</v>
      </c>
      <c r="AN1252" t="n">
        <v>0</v>
      </c>
      <c r="AO1252" t="n">
        <v>2</v>
      </c>
      <c r="AP1252" t="n">
        <v>0</v>
      </c>
      <c r="AQ1252" t="n">
        <v>0</v>
      </c>
      <c r="AR1252" t="inlineStr">
        <is>
          <t>No</t>
        </is>
      </c>
      <c r="AS1252" t="inlineStr">
        <is>
          <t>No</t>
        </is>
      </c>
      <c r="AU1252">
        <f>HYPERLINK("https://creighton-primo.hosted.exlibrisgroup.com/primo-explore/search?tab=default_tab&amp;search_scope=EVERYTHING&amp;vid=01CRU&amp;lang=en_US&amp;offset=0&amp;query=any,contains,991005101989702656","Catalog Record")</f>
        <v/>
      </c>
      <c r="AV1252">
        <f>HYPERLINK("http://www.worldcat.org/oclc/7297457","WorldCat Record")</f>
        <v/>
      </c>
      <c r="AW1252" t="inlineStr">
        <is>
          <t>26867269:eng</t>
        </is>
      </c>
      <c r="AX1252" t="inlineStr">
        <is>
          <t>7297457</t>
        </is>
      </c>
      <c r="AY1252" t="inlineStr">
        <is>
          <t>991005101989702656</t>
        </is>
      </c>
      <c r="AZ1252" t="inlineStr">
        <is>
          <t>991005101989702656</t>
        </is>
      </c>
      <c r="BA1252" t="inlineStr">
        <is>
          <t>2254746190002656</t>
        </is>
      </c>
      <c r="BB1252" t="inlineStr">
        <is>
          <t>BOOK</t>
        </is>
      </c>
      <c r="BD1252" t="inlineStr">
        <is>
          <t>9780389201236</t>
        </is>
      </c>
      <c r="BE1252" t="inlineStr">
        <is>
          <t>32285000523190</t>
        </is>
      </c>
      <c r="BF1252" t="inlineStr">
        <is>
          <t>893260549</t>
        </is>
      </c>
    </row>
    <row r="1253">
      <c r="A1253" t="inlineStr">
        <is>
          <t>No</t>
        </is>
      </c>
      <c r="B1253" t="inlineStr">
        <is>
          <t>CURAL</t>
        </is>
      </c>
      <c r="C1253" t="inlineStr">
        <is>
          <t>SHELVES</t>
        </is>
      </c>
      <c r="D1253" t="inlineStr">
        <is>
          <t>PR3592.P7 B3</t>
        </is>
      </c>
      <c r="E1253" t="inlineStr">
        <is>
          <t>0                      PR 3592000P  7                  B  3</t>
        </is>
      </c>
      <c r="F1253" t="inlineStr">
        <is>
          <t>Milton and the Puritan dilemma, 1641-1660.</t>
        </is>
      </c>
      <c r="H1253" t="inlineStr">
        <is>
          <t>No</t>
        </is>
      </c>
      <c r="I1253" t="inlineStr">
        <is>
          <t>1</t>
        </is>
      </c>
      <c r="J1253" t="inlineStr">
        <is>
          <t>No</t>
        </is>
      </c>
      <c r="K1253" t="inlineStr">
        <is>
          <t>No</t>
        </is>
      </c>
      <c r="L1253" t="inlineStr">
        <is>
          <t>0</t>
        </is>
      </c>
      <c r="M1253" t="inlineStr">
        <is>
          <t>Barker, Arthur Edward, 1911-</t>
        </is>
      </c>
      <c r="N1253" t="inlineStr">
        <is>
          <t>[Toronto] The University of Toronto press, [c1942]</t>
        </is>
      </c>
      <c r="O1253" t="inlineStr">
        <is>
          <t>1942</t>
        </is>
      </c>
      <c r="Q1253" t="inlineStr">
        <is>
          <t>eng</t>
        </is>
      </c>
      <c r="R1253" t="inlineStr">
        <is>
          <t>onc</t>
        </is>
      </c>
      <c r="S1253" t="inlineStr">
        <is>
          <t>University of Toronto. Dept. of English. Studies and texts, no.1</t>
        </is>
      </c>
      <c r="T1253" t="inlineStr">
        <is>
          <t xml:space="preserve">PR </t>
        </is>
      </c>
      <c r="U1253" t="n">
        <v>5</v>
      </c>
      <c r="V1253" t="n">
        <v>5</v>
      </c>
      <c r="W1253" t="inlineStr">
        <is>
          <t>2005-11-27</t>
        </is>
      </c>
      <c r="X1253" t="inlineStr">
        <is>
          <t>2005-11-27</t>
        </is>
      </c>
      <c r="Y1253" t="inlineStr">
        <is>
          <t>1997-07-24</t>
        </is>
      </c>
      <c r="Z1253" t="inlineStr">
        <is>
          <t>1997-07-24</t>
        </is>
      </c>
      <c r="AA1253" t="n">
        <v>827</v>
      </c>
      <c r="AB1253" t="n">
        <v>701</v>
      </c>
      <c r="AC1253" t="n">
        <v>1193</v>
      </c>
      <c r="AD1253" t="n">
        <v>6</v>
      </c>
      <c r="AE1253" t="n">
        <v>15</v>
      </c>
      <c r="AF1253" t="n">
        <v>37</v>
      </c>
      <c r="AG1253" t="n">
        <v>56</v>
      </c>
      <c r="AH1253" t="n">
        <v>14</v>
      </c>
      <c r="AI1253" t="n">
        <v>20</v>
      </c>
      <c r="AJ1253" t="n">
        <v>8</v>
      </c>
      <c r="AK1253" t="n">
        <v>11</v>
      </c>
      <c r="AL1253" t="n">
        <v>17</v>
      </c>
      <c r="AM1253" t="n">
        <v>20</v>
      </c>
      <c r="AN1253" t="n">
        <v>5</v>
      </c>
      <c r="AO1253" t="n">
        <v>13</v>
      </c>
      <c r="AP1253" t="n">
        <v>0</v>
      </c>
      <c r="AQ1253" t="n">
        <v>1</v>
      </c>
      <c r="AR1253" t="inlineStr">
        <is>
          <t>No</t>
        </is>
      </c>
      <c r="AS1253" t="inlineStr">
        <is>
          <t>Yes</t>
        </is>
      </c>
      <c r="AT1253">
        <f>HYPERLINK("http://catalog.hathitrust.org/Record/000634514","HathiTrust Record")</f>
        <v/>
      </c>
      <c r="AU1253">
        <f>HYPERLINK("https://creighton-primo.hosted.exlibrisgroup.com/primo-explore/search?tab=default_tab&amp;search_scope=EVERYTHING&amp;vid=01CRU&amp;lang=en_US&amp;offset=0&amp;query=any,contains,991002466589702656","Catalog Record")</f>
        <v/>
      </c>
      <c r="AV1253">
        <f>HYPERLINK("http://www.worldcat.org/oclc/357836","WorldCat Record")</f>
        <v/>
      </c>
      <c r="AW1253" t="inlineStr">
        <is>
          <t>1405019:eng</t>
        </is>
      </c>
      <c r="AX1253" t="inlineStr">
        <is>
          <t>357836</t>
        </is>
      </c>
      <c r="AY1253" t="inlineStr">
        <is>
          <t>991002466589702656</t>
        </is>
      </c>
      <c r="AZ1253" t="inlineStr">
        <is>
          <t>991002466589702656</t>
        </is>
      </c>
      <c r="BA1253" t="inlineStr">
        <is>
          <t>2265691050002656</t>
        </is>
      </c>
      <c r="BB1253" t="inlineStr">
        <is>
          <t>BOOK</t>
        </is>
      </c>
      <c r="BE1253" t="inlineStr">
        <is>
          <t>32285002959012</t>
        </is>
      </c>
      <c r="BF1253" t="inlineStr">
        <is>
          <t>893603630</t>
        </is>
      </c>
    </row>
    <row r="1254">
      <c r="A1254" t="inlineStr">
        <is>
          <t>No</t>
        </is>
      </c>
      <c r="B1254" t="inlineStr">
        <is>
          <t>CURAL</t>
        </is>
      </c>
      <c r="C1254" t="inlineStr">
        <is>
          <t>SHELVES</t>
        </is>
      </c>
      <c r="D1254" t="inlineStr">
        <is>
          <t>PR3592.R4 C56 1982</t>
        </is>
      </c>
      <c r="E1254" t="inlineStr">
        <is>
          <t>0                      PR 3592000R  4                  C  56          1982</t>
        </is>
      </c>
      <c r="F1254" t="inlineStr">
        <is>
          <t>Milton and the science of the saints / Georgia B. Christopher.</t>
        </is>
      </c>
      <c r="H1254" t="inlineStr">
        <is>
          <t>No</t>
        </is>
      </c>
      <c r="I1254" t="inlineStr">
        <is>
          <t>1</t>
        </is>
      </c>
      <c r="J1254" t="inlineStr">
        <is>
          <t>No</t>
        </is>
      </c>
      <c r="K1254" t="inlineStr">
        <is>
          <t>No</t>
        </is>
      </c>
      <c r="L1254" t="inlineStr">
        <is>
          <t>0</t>
        </is>
      </c>
      <c r="M1254" t="inlineStr">
        <is>
          <t>Christopher, Georgia B., 1932-</t>
        </is>
      </c>
      <c r="N1254" t="inlineStr">
        <is>
          <t>Princeton, N.J. : Princeton University Press, c1982.</t>
        </is>
      </c>
      <c r="O1254" t="inlineStr">
        <is>
          <t>1982</t>
        </is>
      </c>
      <c r="Q1254" t="inlineStr">
        <is>
          <t>eng</t>
        </is>
      </c>
      <c r="R1254" t="inlineStr">
        <is>
          <t>nju</t>
        </is>
      </c>
      <c r="T1254" t="inlineStr">
        <is>
          <t xml:space="preserve">PR </t>
        </is>
      </c>
      <c r="U1254" t="n">
        <v>2</v>
      </c>
      <c r="V1254" t="n">
        <v>2</v>
      </c>
      <c r="W1254" t="inlineStr">
        <is>
          <t>2006-11-19</t>
        </is>
      </c>
      <c r="X1254" t="inlineStr">
        <is>
          <t>2006-11-19</t>
        </is>
      </c>
      <c r="Y1254" t="inlineStr">
        <is>
          <t>1991-04-26</t>
        </is>
      </c>
      <c r="Z1254" t="inlineStr">
        <is>
          <t>1991-04-26</t>
        </is>
      </c>
      <c r="AA1254" t="n">
        <v>609</v>
      </c>
      <c r="AB1254" t="n">
        <v>470</v>
      </c>
      <c r="AC1254" t="n">
        <v>681</v>
      </c>
      <c r="AD1254" t="n">
        <v>4</v>
      </c>
      <c r="AE1254" t="n">
        <v>6</v>
      </c>
      <c r="AF1254" t="n">
        <v>30</v>
      </c>
      <c r="AG1254" t="n">
        <v>38</v>
      </c>
      <c r="AH1254" t="n">
        <v>16</v>
      </c>
      <c r="AI1254" t="n">
        <v>20</v>
      </c>
      <c r="AJ1254" t="n">
        <v>6</v>
      </c>
      <c r="AK1254" t="n">
        <v>9</v>
      </c>
      <c r="AL1254" t="n">
        <v>17</v>
      </c>
      <c r="AM1254" t="n">
        <v>18</v>
      </c>
      <c r="AN1254" t="n">
        <v>3</v>
      </c>
      <c r="AO1254" t="n">
        <v>4</v>
      </c>
      <c r="AP1254" t="n">
        <v>0</v>
      </c>
      <c r="AQ1254" t="n">
        <v>0</v>
      </c>
      <c r="AR1254" t="inlineStr">
        <is>
          <t>No</t>
        </is>
      </c>
      <c r="AS1254" t="inlineStr">
        <is>
          <t>Yes</t>
        </is>
      </c>
      <c r="AT1254">
        <f>HYPERLINK("http://catalog.hathitrust.org/Record/000150331","HathiTrust Record")</f>
        <v/>
      </c>
      <c r="AU1254">
        <f>HYPERLINK("https://creighton-primo.hosted.exlibrisgroup.com/primo-explore/search?tab=default_tab&amp;search_scope=EVERYTHING&amp;vid=01CRU&amp;lang=en_US&amp;offset=0&amp;query=any,contains,991005214159702656","Catalog Record")</f>
        <v/>
      </c>
      <c r="AV1254">
        <f>HYPERLINK("http://www.worldcat.org/oclc/8172046","WorldCat Record")</f>
        <v/>
      </c>
      <c r="AW1254" t="inlineStr">
        <is>
          <t>442019:eng</t>
        </is>
      </c>
      <c r="AX1254" t="inlineStr">
        <is>
          <t>8172046</t>
        </is>
      </c>
      <c r="AY1254" t="inlineStr">
        <is>
          <t>991005214159702656</t>
        </is>
      </c>
      <c r="AZ1254" t="inlineStr">
        <is>
          <t>991005214159702656</t>
        </is>
      </c>
      <c r="BA1254" t="inlineStr">
        <is>
          <t>2256837960002656</t>
        </is>
      </c>
      <c r="BB1254" t="inlineStr">
        <is>
          <t>BOOK</t>
        </is>
      </c>
      <c r="BD1254" t="inlineStr">
        <is>
          <t>9780691065083</t>
        </is>
      </c>
      <c r="BE1254" t="inlineStr">
        <is>
          <t>32285000523224</t>
        </is>
      </c>
      <c r="BF1254" t="inlineStr">
        <is>
          <t>893254654</t>
        </is>
      </c>
    </row>
    <row r="1255">
      <c r="A1255" t="inlineStr">
        <is>
          <t>No</t>
        </is>
      </c>
      <c r="B1255" t="inlineStr">
        <is>
          <t>CURAL</t>
        </is>
      </c>
      <c r="C1255" t="inlineStr">
        <is>
          <t>SHELVES</t>
        </is>
      </c>
      <c r="D1255" t="inlineStr">
        <is>
          <t>PR3592.R4 E35</t>
        </is>
      </c>
      <c r="E1255" t="inlineStr">
        <is>
          <t>0                      PR 3592000R  4                  E  35</t>
        </is>
      </c>
      <c r="F1255" t="inlineStr">
        <is>
          <t>The inward teacher : Milton's rhetoric of Christian liberty / by James Egan.</t>
        </is>
      </c>
      <c r="H1255" t="inlineStr">
        <is>
          <t>No</t>
        </is>
      </c>
      <c r="I1255" t="inlineStr">
        <is>
          <t>1</t>
        </is>
      </c>
      <c r="J1255" t="inlineStr">
        <is>
          <t>No</t>
        </is>
      </c>
      <c r="K1255" t="inlineStr">
        <is>
          <t>No</t>
        </is>
      </c>
      <c r="L1255" t="inlineStr">
        <is>
          <t>0</t>
        </is>
      </c>
      <c r="M1255" t="inlineStr">
        <is>
          <t>Egan, James J.</t>
        </is>
      </c>
      <c r="N1255" t="inlineStr">
        <is>
          <t>University Park, Pa. : Seventeenth-Century News, Pennsylvania State University, 1980.</t>
        </is>
      </c>
      <c r="O1255" t="inlineStr">
        <is>
          <t>1980</t>
        </is>
      </c>
      <c r="Q1255" t="inlineStr">
        <is>
          <t>eng</t>
        </is>
      </c>
      <c r="R1255" t="inlineStr">
        <is>
          <t>pau</t>
        </is>
      </c>
      <c r="S1255" t="inlineStr">
        <is>
          <t>SCN editions and studies ; v. 2</t>
        </is>
      </c>
      <c r="T1255" t="inlineStr">
        <is>
          <t xml:space="preserve">PR </t>
        </is>
      </c>
      <c r="U1255" t="n">
        <v>3</v>
      </c>
      <c r="V1255" t="n">
        <v>3</v>
      </c>
      <c r="W1255" t="inlineStr">
        <is>
          <t>2003-04-14</t>
        </is>
      </c>
      <c r="X1255" t="inlineStr">
        <is>
          <t>2003-04-14</t>
        </is>
      </c>
      <c r="Y1255" t="inlineStr">
        <is>
          <t>1991-04-26</t>
        </is>
      </c>
      <c r="Z1255" t="inlineStr">
        <is>
          <t>1991-04-26</t>
        </is>
      </c>
      <c r="AA1255" t="n">
        <v>347</v>
      </c>
      <c r="AB1255" t="n">
        <v>277</v>
      </c>
      <c r="AC1255" t="n">
        <v>279</v>
      </c>
      <c r="AD1255" t="n">
        <v>2</v>
      </c>
      <c r="AE1255" t="n">
        <v>2</v>
      </c>
      <c r="AF1255" t="n">
        <v>16</v>
      </c>
      <c r="AG1255" t="n">
        <v>16</v>
      </c>
      <c r="AH1255" t="n">
        <v>4</v>
      </c>
      <c r="AI1255" t="n">
        <v>4</v>
      </c>
      <c r="AJ1255" t="n">
        <v>5</v>
      </c>
      <c r="AK1255" t="n">
        <v>5</v>
      </c>
      <c r="AL1255" t="n">
        <v>11</v>
      </c>
      <c r="AM1255" t="n">
        <v>11</v>
      </c>
      <c r="AN1255" t="n">
        <v>1</v>
      </c>
      <c r="AO1255" t="n">
        <v>1</v>
      </c>
      <c r="AP1255" t="n">
        <v>0</v>
      </c>
      <c r="AQ1255" t="n">
        <v>0</v>
      </c>
      <c r="AR1255" t="inlineStr">
        <is>
          <t>No</t>
        </is>
      </c>
      <c r="AS1255" t="inlineStr">
        <is>
          <t>Yes</t>
        </is>
      </c>
      <c r="AT1255">
        <f>HYPERLINK("http://catalog.hathitrust.org/Record/000159268","HathiTrust Record")</f>
        <v/>
      </c>
      <c r="AU1255">
        <f>HYPERLINK("https://creighton-primo.hosted.exlibrisgroup.com/primo-explore/search?tab=default_tab&amp;search_scope=EVERYTHING&amp;vid=01CRU&amp;lang=en_US&amp;offset=0&amp;query=any,contains,991005104269702656","Catalog Record")</f>
        <v/>
      </c>
      <c r="AV1255">
        <f>HYPERLINK("http://www.worldcat.org/oclc/7320160","WorldCat Record")</f>
        <v/>
      </c>
      <c r="AW1255" t="inlineStr">
        <is>
          <t>292052921:eng</t>
        </is>
      </c>
      <c r="AX1255" t="inlineStr">
        <is>
          <t>7320160</t>
        </is>
      </c>
      <c r="AY1255" t="inlineStr">
        <is>
          <t>991005104269702656</t>
        </is>
      </c>
      <c r="AZ1255" t="inlineStr">
        <is>
          <t>991005104269702656</t>
        </is>
      </c>
      <c r="BA1255" t="inlineStr">
        <is>
          <t>2266702530002656</t>
        </is>
      </c>
      <c r="BB1255" t="inlineStr">
        <is>
          <t>BOOK</t>
        </is>
      </c>
      <c r="BE1255" t="inlineStr">
        <is>
          <t>32285000523232</t>
        </is>
      </c>
      <c r="BF1255" t="inlineStr">
        <is>
          <t>893776834</t>
        </is>
      </c>
    </row>
    <row r="1256">
      <c r="A1256" t="inlineStr">
        <is>
          <t>No</t>
        </is>
      </c>
      <c r="B1256" t="inlineStr">
        <is>
          <t>CURAL</t>
        </is>
      </c>
      <c r="C1256" t="inlineStr">
        <is>
          <t>SHELVES</t>
        </is>
      </c>
      <c r="D1256" t="inlineStr">
        <is>
          <t>PR3592.R4 K4 1962</t>
        </is>
      </c>
      <c r="E1256" t="inlineStr">
        <is>
          <t>0                      PR 3592000R  4                  K  4           1962</t>
        </is>
      </c>
      <c r="F1256" t="inlineStr">
        <is>
          <t>This great argument : a study of Milton's De doctrina Christiana as a gloss upon Paradise lost / Maurice Kelley.</t>
        </is>
      </c>
      <c r="H1256" t="inlineStr">
        <is>
          <t>No</t>
        </is>
      </c>
      <c r="I1256" t="inlineStr">
        <is>
          <t>1</t>
        </is>
      </c>
      <c r="J1256" t="inlineStr">
        <is>
          <t>No</t>
        </is>
      </c>
      <c r="K1256" t="inlineStr">
        <is>
          <t>No</t>
        </is>
      </c>
      <c r="L1256" t="inlineStr">
        <is>
          <t>0</t>
        </is>
      </c>
      <c r="M1256" t="inlineStr">
        <is>
          <t>Kelley, Maurice, 1903-1996.</t>
        </is>
      </c>
      <c r="N1256" t="inlineStr">
        <is>
          <t>Gloucester, Mass. : P. Smith, 1962.</t>
        </is>
      </c>
      <c r="O1256" t="inlineStr">
        <is>
          <t>1962</t>
        </is>
      </c>
      <c r="Q1256" t="inlineStr">
        <is>
          <t>eng</t>
        </is>
      </c>
      <c r="R1256" t="inlineStr">
        <is>
          <t>mau</t>
        </is>
      </c>
      <c r="S1256" t="inlineStr">
        <is>
          <t>Princeton studies in English ; v. 22</t>
        </is>
      </c>
      <c r="T1256" t="inlineStr">
        <is>
          <t xml:space="preserve">PR </t>
        </is>
      </c>
      <c r="U1256" t="n">
        <v>2</v>
      </c>
      <c r="V1256" t="n">
        <v>2</v>
      </c>
      <c r="W1256" t="inlineStr">
        <is>
          <t>2006-11-15</t>
        </is>
      </c>
      <c r="X1256" t="inlineStr">
        <is>
          <t>2006-11-15</t>
        </is>
      </c>
      <c r="Y1256" t="inlineStr">
        <is>
          <t>1997-07-24</t>
        </is>
      </c>
      <c r="Z1256" t="inlineStr">
        <is>
          <t>1997-07-24</t>
        </is>
      </c>
      <c r="AA1256" t="n">
        <v>370</v>
      </c>
      <c r="AB1256" t="n">
        <v>312</v>
      </c>
      <c r="AC1256" t="n">
        <v>558</v>
      </c>
      <c r="AD1256" t="n">
        <v>3</v>
      </c>
      <c r="AE1256" t="n">
        <v>5</v>
      </c>
      <c r="AF1256" t="n">
        <v>16</v>
      </c>
      <c r="AG1256" t="n">
        <v>31</v>
      </c>
      <c r="AH1256" t="n">
        <v>6</v>
      </c>
      <c r="AI1256" t="n">
        <v>13</v>
      </c>
      <c r="AJ1256" t="n">
        <v>2</v>
      </c>
      <c r="AK1256" t="n">
        <v>8</v>
      </c>
      <c r="AL1256" t="n">
        <v>10</v>
      </c>
      <c r="AM1256" t="n">
        <v>16</v>
      </c>
      <c r="AN1256" t="n">
        <v>2</v>
      </c>
      <c r="AO1256" t="n">
        <v>4</v>
      </c>
      <c r="AP1256" t="n">
        <v>0</v>
      </c>
      <c r="AQ1256" t="n">
        <v>0</v>
      </c>
      <c r="AR1256" t="inlineStr">
        <is>
          <t>No</t>
        </is>
      </c>
      <c r="AS1256" t="inlineStr">
        <is>
          <t>Yes</t>
        </is>
      </c>
      <c r="AT1256">
        <f>HYPERLINK("http://catalog.hathitrust.org/Record/001421968","HathiTrust Record")</f>
        <v/>
      </c>
      <c r="AU1256">
        <f>HYPERLINK("https://creighton-primo.hosted.exlibrisgroup.com/primo-explore/search?tab=default_tab&amp;search_scope=EVERYTHING&amp;vid=01CRU&amp;lang=en_US&amp;offset=0&amp;query=any,contains,991002462919702656","Catalog Record")</f>
        <v/>
      </c>
      <c r="AV1256">
        <f>HYPERLINK("http://www.worldcat.org/oclc/356655","WorldCat Record")</f>
        <v/>
      </c>
      <c r="AW1256" t="inlineStr">
        <is>
          <t>4757651604:eng</t>
        </is>
      </c>
      <c r="AX1256" t="inlineStr">
        <is>
          <t>356655</t>
        </is>
      </c>
      <c r="AY1256" t="inlineStr">
        <is>
          <t>991002462919702656</t>
        </is>
      </c>
      <c r="AZ1256" t="inlineStr">
        <is>
          <t>991002462919702656</t>
        </is>
      </c>
      <c r="BA1256" t="inlineStr">
        <is>
          <t>2262605100002656</t>
        </is>
      </c>
      <c r="BB1256" t="inlineStr">
        <is>
          <t>BOOK</t>
        </is>
      </c>
      <c r="BE1256" t="inlineStr">
        <is>
          <t>32285002959079</t>
        </is>
      </c>
      <c r="BF1256" t="inlineStr">
        <is>
          <t>893530023</t>
        </is>
      </c>
    </row>
    <row r="1257">
      <c r="A1257" t="inlineStr">
        <is>
          <t>No</t>
        </is>
      </c>
      <c r="B1257" t="inlineStr">
        <is>
          <t>CURAL</t>
        </is>
      </c>
      <c r="C1257" t="inlineStr">
        <is>
          <t>SHELVES</t>
        </is>
      </c>
      <c r="D1257" t="inlineStr">
        <is>
          <t>PR3592.R4 K8</t>
        </is>
      </c>
      <c r="E1257" t="inlineStr">
        <is>
          <t>0                      PR 3592000R  4                  K  8</t>
        </is>
      </c>
      <c r="F1257" t="inlineStr">
        <is>
          <t>Milton and Christian heroism; Biblical epic themes and forms in seventeenth-century England, by Burton O. Kurth.</t>
        </is>
      </c>
      <c r="H1257" t="inlineStr">
        <is>
          <t>No</t>
        </is>
      </c>
      <c r="I1257" t="inlineStr">
        <is>
          <t>1</t>
        </is>
      </c>
      <c r="J1257" t="inlineStr">
        <is>
          <t>No</t>
        </is>
      </c>
      <c r="K1257" t="inlineStr">
        <is>
          <t>No</t>
        </is>
      </c>
      <c r="L1257" t="inlineStr">
        <is>
          <t>0</t>
        </is>
      </c>
      <c r="M1257" t="inlineStr">
        <is>
          <t>Kurth, Burton O.</t>
        </is>
      </c>
      <c r="N1257" t="inlineStr">
        <is>
          <t>Hamden, Conn., Archon Books, 1966.</t>
        </is>
      </c>
      <c r="O1257" t="inlineStr">
        <is>
          <t>1966</t>
        </is>
      </c>
      <c r="Q1257" t="inlineStr">
        <is>
          <t>eng</t>
        </is>
      </c>
      <c r="R1257" t="inlineStr">
        <is>
          <t>ctu</t>
        </is>
      </c>
      <c r="T1257" t="inlineStr">
        <is>
          <t xml:space="preserve">PR </t>
        </is>
      </c>
      <c r="U1257" t="n">
        <v>1</v>
      </c>
      <c r="V1257" t="n">
        <v>1</v>
      </c>
      <c r="W1257" t="inlineStr">
        <is>
          <t>2000-12-06</t>
        </is>
      </c>
      <c r="X1257" t="inlineStr">
        <is>
          <t>2000-12-06</t>
        </is>
      </c>
      <c r="Y1257" t="inlineStr">
        <is>
          <t>1997-07-29</t>
        </is>
      </c>
      <c r="Z1257" t="inlineStr">
        <is>
          <t>1997-07-29</t>
        </is>
      </c>
      <c r="AA1257" t="n">
        <v>519</v>
      </c>
      <c r="AB1257" t="n">
        <v>474</v>
      </c>
      <c r="AC1257" t="n">
        <v>676</v>
      </c>
      <c r="AD1257" t="n">
        <v>2</v>
      </c>
      <c r="AE1257" t="n">
        <v>6</v>
      </c>
      <c r="AF1257" t="n">
        <v>25</v>
      </c>
      <c r="AG1257" t="n">
        <v>36</v>
      </c>
      <c r="AH1257" t="n">
        <v>14</v>
      </c>
      <c r="AI1257" t="n">
        <v>17</v>
      </c>
      <c r="AJ1257" t="n">
        <v>5</v>
      </c>
      <c r="AK1257" t="n">
        <v>6</v>
      </c>
      <c r="AL1257" t="n">
        <v>12</v>
      </c>
      <c r="AM1257" t="n">
        <v>19</v>
      </c>
      <c r="AN1257" t="n">
        <v>1</v>
      </c>
      <c r="AO1257" t="n">
        <v>4</v>
      </c>
      <c r="AP1257" t="n">
        <v>0</v>
      </c>
      <c r="AQ1257" t="n">
        <v>0</v>
      </c>
      <c r="AR1257" t="inlineStr">
        <is>
          <t>No</t>
        </is>
      </c>
      <c r="AS1257" t="inlineStr">
        <is>
          <t>Yes</t>
        </is>
      </c>
      <c r="AT1257">
        <f>HYPERLINK("http://catalog.hathitrust.org/Record/000670131","HathiTrust Record")</f>
        <v/>
      </c>
      <c r="AU1257">
        <f>HYPERLINK("https://creighton-primo.hosted.exlibrisgroup.com/primo-explore/search?tab=default_tab&amp;search_scope=EVERYTHING&amp;vid=01CRU&amp;lang=en_US&amp;offset=0&amp;query=any,contains,991003780679702656","Catalog Record")</f>
        <v/>
      </c>
      <c r="AV1257">
        <f>HYPERLINK("http://www.worldcat.org/oclc/1493907","WorldCat Record")</f>
        <v/>
      </c>
      <c r="AW1257" t="inlineStr">
        <is>
          <t>273369936:eng</t>
        </is>
      </c>
      <c r="AX1257" t="inlineStr">
        <is>
          <t>1493907</t>
        </is>
      </c>
      <c r="AY1257" t="inlineStr">
        <is>
          <t>991003780679702656</t>
        </is>
      </c>
      <c r="AZ1257" t="inlineStr">
        <is>
          <t>991003780679702656</t>
        </is>
      </c>
      <c r="BA1257" t="inlineStr">
        <is>
          <t>2271521890002656</t>
        </is>
      </c>
      <c r="BB1257" t="inlineStr">
        <is>
          <t>BOOK</t>
        </is>
      </c>
      <c r="BE1257" t="inlineStr">
        <is>
          <t>32285002963212</t>
        </is>
      </c>
      <c r="BF1257" t="inlineStr">
        <is>
          <t>893592884</t>
        </is>
      </c>
    </row>
    <row r="1258">
      <c r="A1258" t="inlineStr">
        <is>
          <t>No</t>
        </is>
      </c>
      <c r="B1258" t="inlineStr">
        <is>
          <t>CURAL</t>
        </is>
      </c>
      <c r="C1258" t="inlineStr">
        <is>
          <t>SHELVES</t>
        </is>
      </c>
      <c r="D1258" t="inlineStr">
        <is>
          <t>PR3592.T5 T3</t>
        </is>
      </c>
      <c r="E1258" t="inlineStr">
        <is>
          <t>0                      PR 3592000T  5                  T  3</t>
        </is>
      </c>
      <c r="F1258" t="inlineStr">
        <is>
          <t>Milton's poetry : its development in time / by Edward W. Tayler.</t>
        </is>
      </c>
      <c r="H1258" t="inlineStr">
        <is>
          <t>No</t>
        </is>
      </c>
      <c r="I1258" t="inlineStr">
        <is>
          <t>1</t>
        </is>
      </c>
      <c r="J1258" t="inlineStr">
        <is>
          <t>No</t>
        </is>
      </c>
      <c r="K1258" t="inlineStr">
        <is>
          <t>No</t>
        </is>
      </c>
      <c r="L1258" t="inlineStr">
        <is>
          <t>0</t>
        </is>
      </c>
      <c r="M1258" t="inlineStr">
        <is>
          <t>Tayler, Edward W., 1931-</t>
        </is>
      </c>
      <c r="N1258" t="inlineStr">
        <is>
          <t>Pittsburgh : Duquesne University Press, [1978]</t>
        </is>
      </c>
      <c r="O1258" t="inlineStr">
        <is>
          <t>1978</t>
        </is>
      </c>
      <c r="Q1258" t="inlineStr">
        <is>
          <t>eng</t>
        </is>
      </c>
      <c r="R1258" t="inlineStr">
        <is>
          <t>pau</t>
        </is>
      </c>
      <c r="S1258" t="inlineStr">
        <is>
          <t>Duquesne studies. Language and literature series ; v. 2</t>
        </is>
      </c>
      <c r="T1258" t="inlineStr">
        <is>
          <t xml:space="preserve">PR </t>
        </is>
      </c>
      <c r="U1258" t="n">
        <v>4</v>
      </c>
      <c r="V1258" t="n">
        <v>4</v>
      </c>
      <c r="W1258" t="inlineStr">
        <is>
          <t>2006-09-14</t>
        </is>
      </c>
      <c r="X1258" t="inlineStr">
        <is>
          <t>2006-09-14</t>
        </is>
      </c>
      <c r="Y1258" t="inlineStr">
        <is>
          <t>1991-04-26</t>
        </is>
      </c>
      <c r="Z1258" t="inlineStr">
        <is>
          <t>1991-04-26</t>
        </is>
      </c>
      <c r="AA1258" t="n">
        <v>507</v>
      </c>
      <c r="AB1258" t="n">
        <v>440</v>
      </c>
      <c r="AC1258" t="n">
        <v>449</v>
      </c>
      <c r="AD1258" t="n">
        <v>5</v>
      </c>
      <c r="AE1258" t="n">
        <v>5</v>
      </c>
      <c r="AF1258" t="n">
        <v>27</v>
      </c>
      <c r="AG1258" t="n">
        <v>27</v>
      </c>
      <c r="AH1258" t="n">
        <v>9</v>
      </c>
      <c r="AI1258" t="n">
        <v>9</v>
      </c>
      <c r="AJ1258" t="n">
        <v>8</v>
      </c>
      <c r="AK1258" t="n">
        <v>8</v>
      </c>
      <c r="AL1258" t="n">
        <v>14</v>
      </c>
      <c r="AM1258" t="n">
        <v>14</v>
      </c>
      <c r="AN1258" t="n">
        <v>4</v>
      </c>
      <c r="AO1258" t="n">
        <v>4</v>
      </c>
      <c r="AP1258" t="n">
        <v>0</v>
      </c>
      <c r="AQ1258" t="n">
        <v>0</v>
      </c>
      <c r="AR1258" t="inlineStr">
        <is>
          <t>No</t>
        </is>
      </c>
      <c r="AS1258" t="inlineStr">
        <is>
          <t>Yes</t>
        </is>
      </c>
      <c r="AT1258">
        <f>HYPERLINK("http://catalog.hathitrust.org/Record/000717730","HathiTrust Record")</f>
        <v/>
      </c>
      <c r="AU1258">
        <f>HYPERLINK("https://creighton-primo.hosted.exlibrisgroup.com/primo-explore/search?tab=default_tab&amp;search_scope=EVERYTHING&amp;vid=01CRU&amp;lang=en_US&amp;offset=0&amp;query=any,contains,991004662019702656","Catalog Record")</f>
        <v/>
      </c>
      <c r="AV1258">
        <f>HYPERLINK("http://www.worldcat.org/oclc/4497423","WorldCat Record")</f>
        <v/>
      </c>
      <c r="AW1258" t="inlineStr">
        <is>
          <t>890423892:eng</t>
        </is>
      </c>
      <c r="AX1258" t="inlineStr">
        <is>
          <t>4497423</t>
        </is>
      </c>
      <c r="AY1258" t="inlineStr">
        <is>
          <t>991004662019702656</t>
        </is>
      </c>
      <c r="AZ1258" t="inlineStr">
        <is>
          <t>991004662019702656</t>
        </is>
      </c>
      <c r="BA1258" t="inlineStr">
        <is>
          <t>2266864760002656</t>
        </is>
      </c>
      <c r="BB1258" t="inlineStr">
        <is>
          <t>BOOK</t>
        </is>
      </c>
      <c r="BD1258" t="inlineStr">
        <is>
          <t>9780391008632</t>
        </is>
      </c>
      <c r="BE1258" t="inlineStr">
        <is>
          <t>32285000523273</t>
        </is>
      </c>
      <c r="BF1258" t="inlineStr">
        <is>
          <t>893782504</t>
        </is>
      </c>
    </row>
    <row r="1259">
      <c r="A1259" t="inlineStr">
        <is>
          <t>No</t>
        </is>
      </c>
      <c r="B1259" t="inlineStr">
        <is>
          <t>CURAL</t>
        </is>
      </c>
      <c r="C1259" t="inlineStr">
        <is>
          <t>SHELVES</t>
        </is>
      </c>
      <c r="D1259" t="inlineStr">
        <is>
          <t>PR3594 .M87 1988</t>
        </is>
      </c>
      <c r="E1259" t="inlineStr">
        <is>
          <t>0                      PR 3594000M  87          1988</t>
        </is>
      </c>
      <c r="F1259" t="inlineStr">
        <is>
          <t>"Such prompt eloquence" : language as agency and character in Milton's epics / Leonard Mustazza.</t>
        </is>
      </c>
      <c r="H1259" t="inlineStr">
        <is>
          <t>No</t>
        </is>
      </c>
      <c r="I1259" t="inlineStr">
        <is>
          <t>1</t>
        </is>
      </c>
      <c r="J1259" t="inlineStr">
        <is>
          <t>No</t>
        </is>
      </c>
      <c r="K1259" t="inlineStr">
        <is>
          <t>No</t>
        </is>
      </c>
      <c r="L1259" t="inlineStr">
        <is>
          <t>0</t>
        </is>
      </c>
      <c r="M1259" t="inlineStr">
        <is>
          <t>Mustazza, Leonard, 1952-</t>
        </is>
      </c>
      <c r="N1259" t="inlineStr">
        <is>
          <t>Lewisburg : Bucknell University Press ; London ; Cranbury, NJ : Associated University Presses, c1988.</t>
        </is>
      </c>
      <c r="O1259" t="inlineStr">
        <is>
          <t>1988</t>
        </is>
      </c>
      <c r="Q1259" t="inlineStr">
        <is>
          <t>eng</t>
        </is>
      </c>
      <c r="R1259" t="inlineStr">
        <is>
          <t>pau</t>
        </is>
      </c>
      <c r="T1259" t="inlineStr">
        <is>
          <t xml:space="preserve">PR </t>
        </is>
      </c>
      <c r="U1259" t="n">
        <v>1</v>
      </c>
      <c r="V1259" t="n">
        <v>1</v>
      </c>
      <c r="W1259" t="inlineStr">
        <is>
          <t>2005-11-28</t>
        </is>
      </c>
      <c r="X1259" t="inlineStr">
        <is>
          <t>2005-11-28</t>
        </is>
      </c>
      <c r="Y1259" t="inlineStr">
        <is>
          <t>1990-01-23</t>
        </is>
      </c>
      <c r="Z1259" t="inlineStr">
        <is>
          <t>1990-01-23</t>
        </is>
      </c>
      <c r="AA1259" t="n">
        <v>293</v>
      </c>
      <c r="AB1259" t="n">
        <v>233</v>
      </c>
      <c r="AC1259" t="n">
        <v>240</v>
      </c>
      <c r="AD1259" t="n">
        <v>2</v>
      </c>
      <c r="AE1259" t="n">
        <v>2</v>
      </c>
      <c r="AF1259" t="n">
        <v>10</v>
      </c>
      <c r="AG1259" t="n">
        <v>10</v>
      </c>
      <c r="AH1259" t="n">
        <v>3</v>
      </c>
      <c r="AI1259" t="n">
        <v>3</v>
      </c>
      <c r="AJ1259" t="n">
        <v>3</v>
      </c>
      <c r="AK1259" t="n">
        <v>3</v>
      </c>
      <c r="AL1259" t="n">
        <v>7</v>
      </c>
      <c r="AM1259" t="n">
        <v>7</v>
      </c>
      <c r="AN1259" t="n">
        <v>1</v>
      </c>
      <c r="AO1259" t="n">
        <v>1</v>
      </c>
      <c r="AP1259" t="n">
        <v>0</v>
      </c>
      <c r="AQ1259" t="n">
        <v>0</v>
      </c>
      <c r="AR1259" t="inlineStr">
        <is>
          <t>No</t>
        </is>
      </c>
      <c r="AS1259" t="inlineStr">
        <is>
          <t>Yes</t>
        </is>
      </c>
      <c r="AT1259">
        <f>HYPERLINK("http://catalog.hathitrust.org/Record/000916698","HathiTrust Record")</f>
        <v/>
      </c>
      <c r="AU1259">
        <f>HYPERLINK("https://creighton-primo.hosted.exlibrisgroup.com/primo-explore/search?tab=default_tab&amp;search_scope=EVERYTHING&amp;vid=01CRU&amp;lang=en_US&amp;offset=0&amp;query=any,contains,991001119379702656","Catalog Record")</f>
        <v/>
      </c>
      <c r="AV1259">
        <f>HYPERLINK("http://www.worldcat.org/oclc/16578541","WorldCat Record")</f>
        <v/>
      </c>
      <c r="AW1259" t="inlineStr">
        <is>
          <t>3046015:eng</t>
        </is>
      </c>
      <c r="AX1259" t="inlineStr">
        <is>
          <t>16578541</t>
        </is>
      </c>
      <c r="AY1259" t="inlineStr">
        <is>
          <t>991001119379702656</t>
        </is>
      </c>
      <c r="AZ1259" t="inlineStr">
        <is>
          <t>991001119379702656</t>
        </is>
      </c>
      <c r="BA1259" t="inlineStr">
        <is>
          <t>2272026790002656</t>
        </is>
      </c>
      <c r="BB1259" t="inlineStr">
        <is>
          <t>BOOK</t>
        </is>
      </c>
      <c r="BD1259" t="inlineStr">
        <is>
          <t>9780838751213</t>
        </is>
      </c>
      <c r="BE1259" t="inlineStr">
        <is>
          <t>32285000029347</t>
        </is>
      </c>
      <c r="BF1259" t="inlineStr">
        <is>
          <t>893327886</t>
        </is>
      </c>
    </row>
    <row r="1260">
      <c r="A1260" t="inlineStr">
        <is>
          <t>No</t>
        </is>
      </c>
      <c r="B1260" t="inlineStr">
        <is>
          <t>CURAL</t>
        </is>
      </c>
      <c r="C1260" t="inlineStr">
        <is>
          <t>SHELVES</t>
        </is>
      </c>
      <c r="D1260" t="inlineStr">
        <is>
          <t>PR3596 .E5</t>
        </is>
      </c>
      <c r="E1260" t="inlineStr">
        <is>
          <t>0                      PR 3596000E  5</t>
        </is>
      </c>
      <c r="F1260" t="inlineStr">
        <is>
          <t>Milton's grammar.</t>
        </is>
      </c>
      <c r="H1260" t="inlineStr">
        <is>
          <t>No</t>
        </is>
      </c>
      <c r="I1260" t="inlineStr">
        <is>
          <t>1</t>
        </is>
      </c>
      <c r="J1260" t="inlineStr">
        <is>
          <t>No</t>
        </is>
      </c>
      <c r="K1260" t="inlineStr">
        <is>
          <t>No</t>
        </is>
      </c>
      <c r="L1260" t="inlineStr">
        <is>
          <t>0</t>
        </is>
      </c>
      <c r="M1260" t="inlineStr">
        <is>
          <t>Emma, Ronald David.</t>
        </is>
      </c>
      <c r="N1260" t="inlineStr">
        <is>
          <t>The Hague, Mouton, 1964.</t>
        </is>
      </c>
      <c r="O1260" t="inlineStr">
        <is>
          <t>1964</t>
        </is>
      </c>
      <c r="Q1260" t="inlineStr">
        <is>
          <t>eng</t>
        </is>
      </c>
      <c r="R1260" t="inlineStr">
        <is>
          <t xml:space="preserve">xx </t>
        </is>
      </c>
      <c r="S1260" t="inlineStr">
        <is>
          <t>Studies in English literature ; v. 2</t>
        </is>
      </c>
      <c r="T1260" t="inlineStr">
        <is>
          <t xml:space="preserve">PR </t>
        </is>
      </c>
      <c r="U1260" t="n">
        <v>1</v>
      </c>
      <c r="V1260" t="n">
        <v>1</v>
      </c>
      <c r="W1260" t="inlineStr">
        <is>
          <t>2005-11-28</t>
        </is>
      </c>
      <c r="X1260" t="inlineStr">
        <is>
          <t>2005-11-28</t>
        </is>
      </c>
      <c r="Y1260" t="inlineStr">
        <is>
          <t>1997-07-24</t>
        </is>
      </c>
      <c r="Z1260" t="inlineStr">
        <is>
          <t>1997-07-24</t>
        </is>
      </c>
      <c r="AA1260" t="n">
        <v>494</v>
      </c>
      <c r="AB1260" t="n">
        <v>380</v>
      </c>
      <c r="AC1260" t="n">
        <v>402</v>
      </c>
      <c r="AD1260" t="n">
        <v>3</v>
      </c>
      <c r="AE1260" t="n">
        <v>3</v>
      </c>
      <c r="AF1260" t="n">
        <v>25</v>
      </c>
      <c r="AG1260" t="n">
        <v>27</v>
      </c>
      <c r="AH1260" t="n">
        <v>11</v>
      </c>
      <c r="AI1260" t="n">
        <v>13</v>
      </c>
      <c r="AJ1260" t="n">
        <v>4</v>
      </c>
      <c r="AK1260" t="n">
        <v>4</v>
      </c>
      <c r="AL1260" t="n">
        <v>14</v>
      </c>
      <c r="AM1260" t="n">
        <v>16</v>
      </c>
      <c r="AN1260" t="n">
        <v>2</v>
      </c>
      <c r="AO1260" t="n">
        <v>2</v>
      </c>
      <c r="AP1260" t="n">
        <v>0</v>
      </c>
      <c r="AQ1260" t="n">
        <v>0</v>
      </c>
      <c r="AR1260" t="inlineStr">
        <is>
          <t>No</t>
        </is>
      </c>
      <c r="AS1260" t="inlineStr">
        <is>
          <t>Yes</t>
        </is>
      </c>
      <c r="AT1260">
        <f>HYPERLINK("http://catalog.hathitrust.org/Record/000670044","HathiTrust Record")</f>
        <v/>
      </c>
      <c r="AU1260">
        <f>HYPERLINK("https://creighton-primo.hosted.exlibrisgroup.com/primo-explore/search?tab=default_tab&amp;search_scope=EVERYTHING&amp;vid=01CRU&amp;lang=en_US&amp;offset=0&amp;query=any,contains,991002478889702656","Catalog Record")</f>
        <v/>
      </c>
      <c r="AV1260">
        <f>HYPERLINK("http://www.worldcat.org/oclc/359263","WorldCat Record")</f>
        <v/>
      </c>
      <c r="AW1260" t="inlineStr">
        <is>
          <t>1408680:eng</t>
        </is>
      </c>
      <c r="AX1260" t="inlineStr">
        <is>
          <t>359263</t>
        </is>
      </c>
      <c r="AY1260" t="inlineStr">
        <is>
          <t>991002478889702656</t>
        </is>
      </c>
      <c r="AZ1260" t="inlineStr">
        <is>
          <t>991002478889702656</t>
        </is>
      </c>
      <c r="BA1260" t="inlineStr">
        <is>
          <t>2272647280002656</t>
        </is>
      </c>
      <c r="BB1260" t="inlineStr">
        <is>
          <t>BOOK</t>
        </is>
      </c>
      <c r="BE1260" t="inlineStr">
        <is>
          <t>32285002959178</t>
        </is>
      </c>
      <c r="BF1260" t="inlineStr">
        <is>
          <t>893691664</t>
        </is>
      </c>
    </row>
    <row r="1261">
      <c r="A1261" t="inlineStr">
        <is>
          <t>No</t>
        </is>
      </c>
      <c r="B1261" t="inlineStr">
        <is>
          <t>CURAL</t>
        </is>
      </c>
      <c r="C1261" t="inlineStr">
        <is>
          <t>SHELVES</t>
        </is>
      </c>
      <c r="D1261" t="inlineStr">
        <is>
          <t>PR3605 .M6 1835</t>
        </is>
      </c>
      <c r="E1261" t="inlineStr">
        <is>
          <t>0                      PR 3605000M  6           1835</t>
        </is>
      </c>
      <c r="F1261" t="inlineStr">
        <is>
          <t>The works of Hannah More.</t>
        </is>
      </c>
      <c r="H1261" t="inlineStr">
        <is>
          <t>No</t>
        </is>
      </c>
      <c r="I1261" t="inlineStr">
        <is>
          <t>1</t>
        </is>
      </c>
      <c r="J1261" t="inlineStr">
        <is>
          <t>No</t>
        </is>
      </c>
      <c r="K1261" t="inlineStr">
        <is>
          <t>No</t>
        </is>
      </c>
      <c r="L1261" t="inlineStr">
        <is>
          <t>0</t>
        </is>
      </c>
      <c r="M1261" t="inlineStr">
        <is>
          <t>More, Hannah, 1745-1833.</t>
        </is>
      </c>
      <c r="N1261" t="inlineStr">
        <is>
          <t>New York : Harper &amp; Brothers, 1835.</t>
        </is>
      </c>
      <c r="O1261" t="inlineStr">
        <is>
          <t>1835</t>
        </is>
      </c>
      <c r="P1261" t="inlineStr">
        <is>
          <t>1st complete American ed.</t>
        </is>
      </c>
      <c r="Q1261" t="inlineStr">
        <is>
          <t>eng</t>
        </is>
      </c>
      <c r="R1261" t="inlineStr">
        <is>
          <t>nyu</t>
        </is>
      </c>
      <c r="T1261" t="inlineStr">
        <is>
          <t xml:space="preserve">PR </t>
        </is>
      </c>
      <c r="U1261" t="n">
        <v>2</v>
      </c>
      <c r="V1261" t="n">
        <v>2</v>
      </c>
      <c r="W1261" t="inlineStr">
        <is>
          <t>2003-04-04</t>
        </is>
      </c>
      <c r="X1261" t="inlineStr">
        <is>
          <t>2003-04-04</t>
        </is>
      </c>
      <c r="Y1261" t="inlineStr">
        <is>
          <t>1998-06-11</t>
        </is>
      </c>
      <c r="Z1261" t="inlineStr">
        <is>
          <t>1998-06-11</t>
        </is>
      </c>
      <c r="AA1261" t="n">
        <v>82</v>
      </c>
      <c r="AB1261" t="n">
        <v>76</v>
      </c>
      <c r="AC1261" t="n">
        <v>331</v>
      </c>
      <c r="AD1261" t="n">
        <v>1</v>
      </c>
      <c r="AE1261" t="n">
        <v>2</v>
      </c>
      <c r="AF1261" t="n">
        <v>4</v>
      </c>
      <c r="AG1261" t="n">
        <v>16</v>
      </c>
      <c r="AH1261" t="n">
        <v>2</v>
      </c>
      <c r="AI1261" t="n">
        <v>4</v>
      </c>
      <c r="AJ1261" t="n">
        <v>2</v>
      </c>
      <c r="AK1261" t="n">
        <v>6</v>
      </c>
      <c r="AL1261" t="n">
        <v>1</v>
      </c>
      <c r="AM1261" t="n">
        <v>10</v>
      </c>
      <c r="AN1261" t="n">
        <v>0</v>
      </c>
      <c r="AO1261" t="n">
        <v>1</v>
      </c>
      <c r="AP1261" t="n">
        <v>0</v>
      </c>
      <c r="AQ1261" t="n">
        <v>0</v>
      </c>
      <c r="AR1261" t="inlineStr">
        <is>
          <t>Yes</t>
        </is>
      </c>
      <c r="AS1261" t="inlineStr">
        <is>
          <t>No</t>
        </is>
      </c>
      <c r="AT1261">
        <f>HYPERLINK("http://catalog.hathitrust.org/Record/000241900","HathiTrust Record")</f>
        <v/>
      </c>
      <c r="AU1261">
        <f>HYPERLINK("https://creighton-primo.hosted.exlibrisgroup.com/primo-explore/search?tab=default_tab&amp;search_scope=EVERYTHING&amp;vid=01CRU&amp;lang=en_US&amp;offset=0&amp;query=any,contains,991003656329702656","Catalog Record")</f>
        <v/>
      </c>
      <c r="AV1261">
        <f>HYPERLINK("http://www.worldcat.org/oclc/1261127","WorldCat Record")</f>
        <v/>
      </c>
      <c r="AW1261" t="inlineStr">
        <is>
          <t>3372249531:eng</t>
        </is>
      </c>
      <c r="AX1261" t="inlineStr">
        <is>
          <t>1261127</t>
        </is>
      </c>
      <c r="AY1261" t="inlineStr">
        <is>
          <t>991003656329702656</t>
        </is>
      </c>
      <c r="AZ1261" t="inlineStr">
        <is>
          <t>991003656329702656</t>
        </is>
      </c>
      <c r="BA1261" t="inlineStr">
        <is>
          <t>2263827250002656</t>
        </is>
      </c>
      <c r="BB1261" t="inlineStr">
        <is>
          <t>BOOK</t>
        </is>
      </c>
      <c r="BE1261" t="inlineStr">
        <is>
          <t>32285003418745</t>
        </is>
      </c>
      <c r="BF1261" t="inlineStr">
        <is>
          <t>893429044</t>
        </is>
      </c>
    </row>
    <row r="1262">
      <c r="A1262" t="inlineStr">
        <is>
          <t>No</t>
        </is>
      </c>
      <c r="B1262" t="inlineStr">
        <is>
          <t>CURAL</t>
        </is>
      </c>
      <c r="C1262" t="inlineStr">
        <is>
          <t>SHELVES</t>
        </is>
      </c>
      <c r="D1262" t="inlineStr">
        <is>
          <t>PR3616.Z5 W66 1985</t>
        </is>
      </c>
      <c r="E1262" t="inlineStr">
        <is>
          <t>0                      PR 3616000Z  5                  W  66          1985</t>
        </is>
      </c>
      <c r="F1262" t="inlineStr">
        <is>
          <t>Thomas Parnell / by Thomas M. Woodman.</t>
        </is>
      </c>
      <c r="H1262" t="inlineStr">
        <is>
          <t>No</t>
        </is>
      </c>
      <c r="I1262" t="inlineStr">
        <is>
          <t>1</t>
        </is>
      </c>
      <c r="J1262" t="inlineStr">
        <is>
          <t>No</t>
        </is>
      </c>
      <c r="K1262" t="inlineStr">
        <is>
          <t>No</t>
        </is>
      </c>
      <c r="L1262" t="inlineStr">
        <is>
          <t>0</t>
        </is>
      </c>
      <c r="M1262" t="inlineStr">
        <is>
          <t>Woodman, Thomas M.</t>
        </is>
      </c>
      <c r="N1262" t="inlineStr">
        <is>
          <t>Boston : Twayne Publishers, c1985.</t>
        </is>
      </c>
      <c r="O1262" t="inlineStr">
        <is>
          <t>1985</t>
        </is>
      </c>
      <c r="Q1262" t="inlineStr">
        <is>
          <t>eng</t>
        </is>
      </c>
      <c r="R1262" t="inlineStr">
        <is>
          <t>mau</t>
        </is>
      </c>
      <c r="S1262" t="inlineStr">
        <is>
          <t>Twayne's English authors series ; TEAS 397</t>
        </is>
      </c>
      <c r="T1262" t="inlineStr">
        <is>
          <t xml:space="preserve">PR </t>
        </is>
      </c>
      <c r="U1262" t="n">
        <v>6</v>
      </c>
      <c r="V1262" t="n">
        <v>6</v>
      </c>
      <c r="W1262" t="inlineStr">
        <is>
          <t>1996-04-30</t>
        </is>
      </c>
      <c r="X1262" t="inlineStr">
        <is>
          <t>1996-04-30</t>
        </is>
      </c>
      <c r="Y1262" t="inlineStr">
        <is>
          <t>1991-04-30</t>
        </is>
      </c>
      <c r="Z1262" t="inlineStr">
        <is>
          <t>1991-04-30</t>
        </is>
      </c>
      <c r="AA1262" t="n">
        <v>477</v>
      </c>
      <c r="AB1262" t="n">
        <v>409</v>
      </c>
      <c r="AC1262" t="n">
        <v>412</v>
      </c>
      <c r="AD1262" t="n">
        <v>5</v>
      </c>
      <c r="AE1262" t="n">
        <v>5</v>
      </c>
      <c r="AF1262" t="n">
        <v>21</v>
      </c>
      <c r="AG1262" t="n">
        <v>21</v>
      </c>
      <c r="AH1262" t="n">
        <v>6</v>
      </c>
      <c r="AI1262" t="n">
        <v>6</v>
      </c>
      <c r="AJ1262" t="n">
        <v>4</v>
      </c>
      <c r="AK1262" t="n">
        <v>4</v>
      </c>
      <c r="AL1262" t="n">
        <v>14</v>
      </c>
      <c r="AM1262" t="n">
        <v>14</v>
      </c>
      <c r="AN1262" t="n">
        <v>4</v>
      </c>
      <c r="AO1262" t="n">
        <v>4</v>
      </c>
      <c r="AP1262" t="n">
        <v>0</v>
      </c>
      <c r="AQ1262" t="n">
        <v>0</v>
      </c>
      <c r="AR1262" t="inlineStr">
        <is>
          <t>No</t>
        </is>
      </c>
      <c r="AS1262" t="inlineStr">
        <is>
          <t>Yes</t>
        </is>
      </c>
      <c r="AT1262">
        <f>HYPERLINK("http://catalog.hathitrust.org/Record/000563366","HathiTrust Record")</f>
        <v/>
      </c>
      <c r="AU1262">
        <f>HYPERLINK("https://creighton-primo.hosted.exlibrisgroup.com/primo-explore/search?tab=default_tab&amp;search_scope=EVERYTHING&amp;vid=01CRU&amp;lang=en_US&amp;offset=0&amp;query=any,contains,991000470099702656","Catalog Record")</f>
        <v/>
      </c>
      <c r="AV1262">
        <f>HYPERLINK("http://www.worldcat.org/oclc/10996710","WorldCat Record")</f>
        <v/>
      </c>
      <c r="AW1262" t="inlineStr">
        <is>
          <t>3458260:eng</t>
        </is>
      </c>
      <c r="AX1262" t="inlineStr">
        <is>
          <t>10996710</t>
        </is>
      </c>
      <c r="AY1262" t="inlineStr">
        <is>
          <t>991000470099702656</t>
        </is>
      </c>
      <c r="AZ1262" t="inlineStr">
        <is>
          <t>991000470099702656</t>
        </is>
      </c>
      <c r="BA1262" t="inlineStr">
        <is>
          <t>2261956930002656</t>
        </is>
      </c>
      <c r="BB1262" t="inlineStr">
        <is>
          <t>BOOK</t>
        </is>
      </c>
      <c r="BD1262" t="inlineStr">
        <is>
          <t>9780805768831</t>
        </is>
      </c>
      <c r="BE1262" t="inlineStr">
        <is>
          <t>32285000578251</t>
        </is>
      </c>
      <c r="BF1262" t="inlineStr">
        <is>
          <t>893333499</t>
        </is>
      </c>
    </row>
    <row r="1263">
      <c r="A1263" t="inlineStr">
        <is>
          <t>No</t>
        </is>
      </c>
      <c r="B1263" t="inlineStr">
        <is>
          <t>CURAL</t>
        </is>
      </c>
      <c r="C1263" t="inlineStr">
        <is>
          <t>SHELVES</t>
        </is>
      </c>
      <c r="D1263" t="inlineStr">
        <is>
          <t>PR3617.P5 C3</t>
        </is>
      </c>
      <c r="E1263" t="inlineStr">
        <is>
          <t>0                      PR 3617000P  5                  C  3</t>
        </is>
      </c>
      <c r="F1263" t="inlineStr">
        <is>
          <t>Castle of Wolfenbach / by Eliza Parsons.</t>
        </is>
      </c>
      <c r="H1263" t="inlineStr">
        <is>
          <t>No</t>
        </is>
      </c>
      <c r="I1263" t="inlineStr">
        <is>
          <t>1</t>
        </is>
      </c>
      <c r="J1263" t="inlineStr">
        <is>
          <t>No</t>
        </is>
      </c>
      <c r="K1263" t="inlineStr">
        <is>
          <t>No</t>
        </is>
      </c>
      <c r="L1263" t="inlineStr">
        <is>
          <t>0</t>
        </is>
      </c>
      <c r="M1263" t="inlineStr">
        <is>
          <t>Parsons, Eliza, -1811.</t>
        </is>
      </c>
      <c r="N1263" t="inlineStr">
        <is>
          <t>London : Folio Press, 1968.</t>
        </is>
      </c>
      <c r="O1263" t="inlineStr">
        <is>
          <t>1968</t>
        </is>
      </c>
      <c r="Q1263" t="inlineStr">
        <is>
          <t>eng</t>
        </is>
      </c>
      <c r="R1263" t="inlineStr">
        <is>
          <t>enk</t>
        </is>
      </c>
      <c r="S1263" t="inlineStr">
        <is>
          <t>The Northanger set of Jane Austen horrid novels</t>
        </is>
      </c>
      <c r="T1263" t="inlineStr">
        <is>
          <t xml:space="preserve">PR </t>
        </is>
      </c>
      <c r="U1263" t="n">
        <v>2</v>
      </c>
      <c r="V1263" t="n">
        <v>2</v>
      </c>
      <c r="W1263" t="inlineStr">
        <is>
          <t>1998-07-21</t>
        </is>
      </c>
      <c r="X1263" t="inlineStr">
        <is>
          <t>1998-07-21</t>
        </is>
      </c>
      <c r="Y1263" t="inlineStr">
        <is>
          <t>1997-07-24</t>
        </is>
      </c>
      <c r="Z1263" t="inlineStr">
        <is>
          <t>1997-07-24</t>
        </is>
      </c>
      <c r="AA1263" t="n">
        <v>331</v>
      </c>
      <c r="AB1263" t="n">
        <v>270</v>
      </c>
      <c r="AC1263" t="n">
        <v>277</v>
      </c>
      <c r="AD1263" t="n">
        <v>5</v>
      </c>
      <c r="AE1263" t="n">
        <v>5</v>
      </c>
      <c r="AF1263" t="n">
        <v>16</v>
      </c>
      <c r="AG1263" t="n">
        <v>17</v>
      </c>
      <c r="AH1263" t="n">
        <v>7</v>
      </c>
      <c r="AI1263" t="n">
        <v>7</v>
      </c>
      <c r="AJ1263" t="n">
        <v>1</v>
      </c>
      <c r="AK1263" t="n">
        <v>2</v>
      </c>
      <c r="AL1263" t="n">
        <v>7</v>
      </c>
      <c r="AM1263" t="n">
        <v>8</v>
      </c>
      <c r="AN1263" t="n">
        <v>4</v>
      </c>
      <c r="AO1263" t="n">
        <v>4</v>
      </c>
      <c r="AP1263" t="n">
        <v>0</v>
      </c>
      <c r="AQ1263" t="n">
        <v>0</v>
      </c>
      <c r="AR1263" t="inlineStr">
        <is>
          <t>No</t>
        </is>
      </c>
      <c r="AS1263" t="inlineStr">
        <is>
          <t>Yes</t>
        </is>
      </c>
      <c r="AT1263">
        <f>HYPERLINK("http://catalog.hathitrust.org/Record/001376317","HathiTrust Record")</f>
        <v/>
      </c>
      <c r="AU1263">
        <f>HYPERLINK("https://creighton-primo.hosted.exlibrisgroup.com/primo-explore/search?tab=default_tab&amp;search_scope=EVERYTHING&amp;vid=01CRU&amp;lang=en_US&amp;offset=0&amp;query=any,contains,991002816899702656","Catalog Record")</f>
        <v/>
      </c>
      <c r="AV1263">
        <f>HYPERLINK("http://www.worldcat.org/oclc/461178","WorldCat Record")</f>
        <v/>
      </c>
      <c r="AW1263" t="inlineStr">
        <is>
          <t>1496499:eng</t>
        </is>
      </c>
      <c r="AX1263" t="inlineStr">
        <is>
          <t>461178</t>
        </is>
      </c>
      <c r="AY1263" t="inlineStr">
        <is>
          <t>991002816899702656</t>
        </is>
      </c>
      <c r="AZ1263" t="inlineStr">
        <is>
          <t>991002816899702656</t>
        </is>
      </c>
      <c r="BA1263" t="inlineStr">
        <is>
          <t>2259486550002656</t>
        </is>
      </c>
      <c r="BB1263" t="inlineStr">
        <is>
          <t>BOOK</t>
        </is>
      </c>
      <c r="BE1263" t="inlineStr">
        <is>
          <t>32285002959327</t>
        </is>
      </c>
      <c r="BF1263" t="inlineStr">
        <is>
          <t>893347961</t>
        </is>
      </c>
    </row>
    <row r="1264">
      <c r="A1264" t="inlineStr">
        <is>
          <t>No</t>
        </is>
      </c>
      <c r="B1264" t="inlineStr">
        <is>
          <t>CURAL</t>
        </is>
      </c>
      <c r="C1264" t="inlineStr">
        <is>
          <t>SHELVES</t>
        </is>
      </c>
      <c r="D1264" t="inlineStr">
        <is>
          <t>PR3619.P4 S6</t>
        </is>
      </c>
      <c r="E1264" t="inlineStr">
        <is>
          <t>0                      PR 3619000P  4                  S  6</t>
        </is>
      </c>
      <c r="F1264" t="inlineStr">
        <is>
          <t>The matchless Orinda, by Philip Webster Souers.</t>
        </is>
      </c>
      <c r="H1264" t="inlineStr">
        <is>
          <t>No</t>
        </is>
      </c>
      <c r="I1264" t="inlineStr">
        <is>
          <t>1</t>
        </is>
      </c>
      <c r="J1264" t="inlineStr">
        <is>
          <t>No</t>
        </is>
      </c>
      <c r="K1264" t="inlineStr">
        <is>
          <t>No</t>
        </is>
      </c>
      <c r="L1264" t="inlineStr">
        <is>
          <t>0</t>
        </is>
      </c>
      <c r="M1264" t="inlineStr">
        <is>
          <t>Souers, Philip Webster.</t>
        </is>
      </c>
      <c r="N1264" t="inlineStr">
        <is>
          <t>Cambridge, Harvard university press, 1931.</t>
        </is>
      </c>
      <c r="O1264" t="inlineStr">
        <is>
          <t>1931</t>
        </is>
      </c>
      <c r="Q1264" t="inlineStr">
        <is>
          <t>eng</t>
        </is>
      </c>
      <c r="R1264" t="inlineStr">
        <is>
          <t>mau</t>
        </is>
      </c>
      <c r="S1264" t="inlineStr">
        <is>
          <t>Harvard studies in English, vol. V</t>
        </is>
      </c>
      <c r="T1264" t="inlineStr">
        <is>
          <t xml:space="preserve">PR </t>
        </is>
      </c>
      <c r="U1264" t="n">
        <v>1</v>
      </c>
      <c r="V1264" t="n">
        <v>1</v>
      </c>
      <c r="W1264" t="inlineStr">
        <is>
          <t>2003-11-19</t>
        </is>
      </c>
      <c r="X1264" t="inlineStr">
        <is>
          <t>2003-11-19</t>
        </is>
      </c>
      <c r="Y1264" t="inlineStr">
        <is>
          <t>1997-07-24</t>
        </is>
      </c>
      <c r="Z1264" t="inlineStr">
        <is>
          <t>1997-07-24</t>
        </is>
      </c>
      <c r="AA1264" t="n">
        <v>337</v>
      </c>
      <c r="AB1264" t="n">
        <v>286</v>
      </c>
      <c r="AC1264" t="n">
        <v>333</v>
      </c>
      <c r="AD1264" t="n">
        <v>2</v>
      </c>
      <c r="AE1264" t="n">
        <v>2</v>
      </c>
      <c r="AF1264" t="n">
        <v>15</v>
      </c>
      <c r="AG1264" t="n">
        <v>15</v>
      </c>
      <c r="AH1264" t="n">
        <v>5</v>
      </c>
      <c r="AI1264" t="n">
        <v>5</v>
      </c>
      <c r="AJ1264" t="n">
        <v>3</v>
      </c>
      <c r="AK1264" t="n">
        <v>3</v>
      </c>
      <c r="AL1264" t="n">
        <v>11</v>
      </c>
      <c r="AM1264" t="n">
        <v>11</v>
      </c>
      <c r="AN1264" t="n">
        <v>1</v>
      </c>
      <c r="AO1264" t="n">
        <v>1</v>
      </c>
      <c r="AP1264" t="n">
        <v>0</v>
      </c>
      <c r="AQ1264" t="n">
        <v>0</v>
      </c>
      <c r="AR1264" t="inlineStr">
        <is>
          <t>Yes</t>
        </is>
      </c>
      <c r="AS1264" t="inlineStr">
        <is>
          <t>No</t>
        </is>
      </c>
      <c r="AT1264">
        <f>HYPERLINK("http://catalog.hathitrust.org/Record/001376508","HathiTrust Record")</f>
        <v/>
      </c>
      <c r="AU1264">
        <f>HYPERLINK("https://creighton-primo.hosted.exlibrisgroup.com/primo-explore/search?tab=default_tab&amp;search_scope=EVERYTHING&amp;vid=01CRU&amp;lang=en_US&amp;offset=0&amp;query=any,contains,991004037039702656","Catalog Record")</f>
        <v/>
      </c>
      <c r="AV1264">
        <f>HYPERLINK("http://www.worldcat.org/oclc/2174707","WorldCat Record")</f>
        <v/>
      </c>
      <c r="AW1264" t="inlineStr">
        <is>
          <t>2210314:eng</t>
        </is>
      </c>
      <c r="AX1264" t="inlineStr">
        <is>
          <t>2174707</t>
        </is>
      </c>
      <c r="AY1264" t="inlineStr">
        <is>
          <t>991004037039702656</t>
        </is>
      </c>
      <c r="AZ1264" t="inlineStr">
        <is>
          <t>991004037039702656</t>
        </is>
      </c>
      <c r="BA1264" t="inlineStr">
        <is>
          <t>2266354050002656</t>
        </is>
      </c>
      <c r="BB1264" t="inlineStr">
        <is>
          <t>BOOK</t>
        </is>
      </c>
      <c r="BE1264" t="inlineStr">
        <is>
          <t>32285002959376</t>
        </is>
      </c>
      <c r="BF1264" t="inlineStr">
        <is>
          <t>893512724</t>
        </is>
      </c>
    </row>
    <row r="1265">
      <c r="A1265" t="inlineStr">
        <is>
          <t>No</t>
        </is>
      </c>
      <c r="B1265" t="inlineStr">
        <is>
          <t>CURAL</t>
        </is>
      </c>
      <c r="C1265" t="inlineStr">
        <is>
          <t>SHELVES</t>
        </is>
      </c>
      <c r="D1265" t="inlineStr">
        <is>
          <t>PR3625 .S5</t>
        </is>
      </c>
      <c r="E1265" t="inlineStr">
        <is>
          <t>0                      PR 3625000S  5</t>
        </is>
      </c>
      <c r="F1265" t="inlineStr">
        <is>
          <t>The poetry of Pope's Dunciad [by] John E. Sitter.</t>
        </is>
      </c>
      <c r="H1265" t="inlineStr">
        <is>
          <t>No</t>
        </is>
      </c>
      <c r="I1265" t="inlineStr">
        <is>
          <t>1</t>
        </is>
      </c>
      <c r="J1265" t="inlineStr">
        <is>
          <t>No</t>
        </is>
      </c>
      <c r="K1265" t="inlineStr">
        <is>
          <t>No</t>
        </is>
      </c>
      <c r="L1265" t="inlineStr">
        <is>
          <t>0</t>
        </is>
      </c>
      <c r="M1265" t="inlineStr">
        <is>
          <t>Sitter, John E.</t>
        </is>
      </c>
      <c r="N1265" t="inlineStr">
        <is>
          <t>Minneapolis, University of Minnesota Press [c1971]</t>
        </is>
      </c>
      <c r="O1265" t="inlineStr">
        <is>
          <t>1971</t>
        </is>
      </c>
      <c r="Q1265" t="inlineStr">
        <is>
          <t>eng</t>
        </is>
      </c>
      <c r="R1265" t="inlineStr">
        <is>
          <t>mnu</t>
        </is>
      </c>
      <c r="T1265" t="inlineStr">
        <is>
          <t xml:space="preserve">PR </t>
        </is>
      </c>
      <c r="U1265" t="n">
        <v>1</v>
      </c>
      <c r="V1265" t="n">
        <v>1</v>
      </c>
      <c r="W1265" t="inlineStr">
        <is>
          <t>2002-11-05</t>
        </is>
      </c>
      <c r="X1265" t="inlineStr">
        <is>
          <t>2002-11-05</t>
        </is>
      </c>
      <c r="Y1265" t="inlineStr">
        <is>
          <t>1997-07-24</t>
        </is>
      </c>
      <c r="Z1265" t="inlineStr">
        <is>
          <t>1997-07-24</t>
        </is>
      </c>
      <c r="AA1265" t="n">
        <v>651</v>
      </c>
      <c r="AB1265" t="n">
        <v>533</v>
      </c>
      <c r="AC1265" t="n">
        <v>538</v>
      </c>
      <c r="AD1265" t="n">
        <v>4</v>
      </c>
      <c r="AE1265" t="n">
        <v>4</v>
      </c>
      <c r="AF1265" t="n">
        <v>33</v>
      </c>
      <c r="AG1265" t="n">
        <v>33</v>
      </c>
      <c r="AH1265" t="n">
        <v>11</v>
      </c>
      <c r="AI1265" t="n">
        <v>11</v>
      </c>
      <c r="AJ1265" t="n">
        <v>9</v>
      </c>
      <c r="AK1265" t="n">
        <v>9</v>
      </c>
      <c r="AL1265" t="n">
        <v>21</v>
      </c>
      <c r="AM1265" t="n">
        <v>21</v>
      </c>
      <c r="AN1265" t="n">
        <v>3</v>
      </c>
      <c r="AO1265" t="n">
        <v>3</v>
      </c>
      <c r="AP1265" t="n">
        <v>0</v>
      </c>
      <c r="AQ1265" t="n">
        <v>0</v>
      </c>
      <c r="AR1265" t="inlineStr">
        <is>
          <t>No</t>
        </is>
      </c>
      <c r="AS1265" t="inlineStr">
        <is>
          <t>Yes</t>
        </is>
      </c>
      <c r="AT1265">
        <f>HYPERLINK("http://catalog.hathitrust.org/Record/001376676","HathiTrust Record")</f>
        <v/>
      </c>
      <c r="AU1265">
        <f>HYPERLINK("https://creighton-primo.hosted.exlibrisgroup.com/primo-explore/search?tab=default_tab&amp;search_scope=EVERYTHING&amp;vid=01CRU&amp;lang=en_US&amp;offset=0&amp;query=any,contains,991002056699702656","Catalog Record")</f>
        <v/>
      </c>
      <c r="AV1265">
        <f>HYPERLINK("http://www.worldcat.org/oclc/262288","WorldCat Record")</f>
        <v/>
      </c>
      <c r="AW1265" t="inlineStr">
        <is>
          <t>1373326:eng</t>
        </is>
      </c>
      <c r="AX1265" t="inlineStr">
        <is>
          <t>262288</t>
        </is>
      </c>
      <c r="AY1265" t="inlineStr">
        <is>
          <t>991002056699702656</t>
        </is>
      </c>
      <c r="AZ1265" t="inlineStr">
        <is>
          <t>991002056699702656</t>
        </is>
      </c>
      <c r="BA1265" t="inlineStr">
        <is>
          <t>2266793800002656</t>
        </is>
      </c>
      <c r="BB1265" t="inlineStr">
        <is>
          <t>BOOK</t>
        </is>
      </c>
      <c r="BD1265" t="inlineStr">
        <is>
          <t>9780816606290</t>
        </is>
      </c>
      <c r="BE1265" t="inlineStr">
        <is>
          <t>32285002959558</t>
        </is>
      </c>
      <c r="BF1265" t="inlineStr">
        <is>
          <t>893503970</t>
        </is>
      </c>
    </row>
    <row r="1266">
      <c r="A1266" t="inlineStr">
        <is>
          <t>No</t>
        </is>
      </c>
      <c r="B1266" t="inlineStr">
        <is>
          <t>CURAL</t>
        </is>
      </c>
      <c r="C1266" t="inlineStr">
        <is>
          <t>SHELVES</t>
        </is>
      </c>
      <c r="D1266" t="inlineStr">
        <is>
          <t>PR3625 .W5</t>
        </is>
      </c>
      <c r="E1266" t="inlineStr">
        <is>
          <t>0                      PR 3625000W  5</t>
        </is>
      </c>
      <c r="F1266" t="inlineStr">
        <is>
          <t>Pope's Dunciad; a study of its meaning.</t>
        </is>
      </c>
      <c r="H1266" t="inlineStr">
        <is>
          <t>No</t>
        </is>
      </c>
      <c r="I1266" t="inlineStr">
        <is>
          <t>1</t>
        </is>
      </c>
      <c r="J1266" t="inlineStr">
        <is>
          <t>No</t>
        </is>
      </c>
      <c r="K1266" t="inlineStr">
        <is>
          <t>No</t>
        </is>
      </c>
      <c r="L1266" t="inlineStr">
        <is>
          <t>0</t>
        </is>
      </c>
      <c r="M1266" t="inlineStr">
        <is>
          <t>Williams, Aubrey L.</t>
        </is>
      </c>
      <c r="N1266" t="inlineStr">
        <is>
          <t>Baton Rouge, Louisiana State University Press, [1955]</t>
        </is>
      </c>
      <c r="O1266" t="inlineStr">
        <is>
          <t>1955</t>
        </is>
      </c>
      <c r="Q1266" t="inlineStr">
        <is>
          <t>eng</t>
        </is>
      </c>
      <c r="R1266" t="inlineStr">
        <is>
          <t xml:space="preserve">xx </t>
        </is>
      </c>
      <c r="T1266" t="inlineStr">
        <is>
          <t xml:space="preserve">PR </t>
        </is>
      </c>
      <c r="U1266" t="n">
        <v>1</v>
      </c>
      <c r="V1266" t="n">
        <v>1</v>
      </c>
      <c r="W1266" t="inlineStr">
        <is>
          <t>2002-11-05</t>
        </is>
      </c>
      <c r="X1266" t="inlineStr">
        <is>
          <t>2002-11-05</t>
        </is>
      </c>
      <c r="Y1266" t="inlineStr">
        <is>
          <t>1997-07-24</t>
        </is>
      </c>
      <c r="Z1266" t="inlineStr">
        <is>
          <t>1997-07-24</t>
        </is>
      </c>
      <c r="AA1266" t="n">
        <v>328</v>
      </c>
      <c r="AB1266" t="n">
        <v>305</v>
      </c>
      <c r="AC1266" t="n">
        <v>795</v>
      </c>
      <c r="AD1266" t="n">
        <v>4</v>
      </c>
      <c r="AE1266" t="n">
        <v>7</v>
      </c>
      <c r="AF1266" t="n">
        <v>20</v>
      </c>
      <c r="AG1266" t="n">
        <v>47</v>
      </c>
      <c r="AH1266" t="n">
        <v>6</v>
      </c>
      <c r="AI1266" t="n">
        <v>20</v>
      </c>
      <c r="AJ1266" t="n">
        <v>5</v>
      </c>
      <c r="AK1266" t="n">
        <v>10</v>
      </c>
      <c r="AL1266" t="n">
        <v>8</v>
      </c>
      <c r="AM1266" t="n">
        <v>22</v>
      </c>
      <c r="AN1266" t="n">
        <v>3</v>
      </c>
      <c r="AO1266" t="n">
        <v>6</v>
      </c>
      <c r="AP1266" t="n">
        <v>0</v>
      </c>
      <c r="AQ1266" t="n">
        <v>0</v>
      </c>
      <c r="AR1266" t="inlineStr">
        <is>
          <t>No</t>
        </is>
      </c>
      <c r="AS1266" t="inlineStr">
        <is>
          <t>Yes</t>
        </is>
      </c>
      <c r="AT1266">
        <f>HYPERLINK("http://catalog.hathitrust.org/Record/001019793","HathiTrust Record")</f>
        <v/>
      </c>
      <c r="AU1266">
        <f>HYPERLINK("https://creighton-primo.hosted.exlibrisgroup.com/primo-explore/search?tab=default_tab&amp;search_scope=EVERYTHING&amp;vid=01CRU&amp;lang=en_US&amp;offset=0&amp;query=any,contains,991004220549702656","Catalog Record")</f>
        <v/>
      </c>
      <c r="AV1266">
        <f>HYPERLINK("http://www.worldcat.org/oclc/2710784","WorldCat Record")</f>
        <v/>
      </c>
      <c r="AW1266" t="inlineStr">
        <is>
          <t>1370849:eng</t>
        </is>
      </c>
      <c r="AX1266" t="inlineStr">
        <is>
          <t>2710784</t>
        </is>
      </c>
      <c r="AY1266" t="inlineStr">
        <is>
          <t>991004220549702656</t>
        </is>
      </c>
      <c r="AZ1266" t="inlineStr">
        <is>
          <t>991004220549702656</t>
        </is>
      </c>
      <c r="BA1266" t="inlineStr">
        <is>
          <t>2270785240002656</t>
        </is>
      </c>
      <c r="BB1266" t="inlineStr">
        <is>
          <t>BOOK</t>
        </is>
      </c>
      <c r="BE1266" t="inlineStr">
        <is>
          <t>32285002959566</t>
        </is>
      </c>
      <c r="BF1266" t="inlineStr">
        <is>
          <t>893800746</t>
        </is>
      </c>
    </row>
    <row r="1267">
      <c r="A1267" t="inlineStr">
        <is>
          <t>No</t>
        </is>
      </c>
      <c r="B1267" t="inlineStr">
        <is>
          <t>CURAL</t>
        </is>
      </c>
      <c r="C1267" t="inlineStr">
        <is>
          <t>SHELVES</t>
        </is>
      </c>
      <c r="D1267" t="inlineStr">
        <is>
          <t>PR3629 .H34</t>
        </is>
      </c>
      <c r="E1267" t="inlineStr">
        <is>
          <t>0                      PR 3629000H  34</t>
        </is>
      </c>
      <c r="F1267" t="inlineStr">
        <is>
          <t>The rape of the lock and its illustrations, 1714-1896 / Robert Halsband.</t>
        </is>
      </c>
      <c r="H1267" t="inlineStr">
        <is>
          <t>No</t>
        </is>
      </c>
      <c r="I1267" t="inlineStr">
        <is>
          <t>1</t>
        </is>
      </c>
      <c r="J1267" t="inlineStr">
        <is>
          <t>No</t>
        </is>
      </c>
      <c r="K1267" t="inlineStr">
        <is>
          <t>No</t>
        </is>
      </c>
      <c r="L1267" t="inlineStr">
        <is>
          <t>0</t>
        </is>
      </c>
      <c r="M1267" t="inlineStr">
        <is>
          <t>Halsband, Robert, 1914-1989.</t>
        </is>
      </c>
      <c r="N1267" t="inlineStr">
        <is>
          <t>Oxford : Clarendon Press ; New York : Oxford University Press, 1980.</t>
        </is>
      </c>
      <c r="O1267" t="inlineStr">
        <is>
          <t>1980</t>
        </is>
      </c>
      <c r="Q1267" t="inlineStr">
        <is>
          <t>eng</t>
        </is>
      </c>
      <c r="R1267" t="inlineStr">
        <is>
          <t>enk</t>
        </is>
      </c>
      <c r="T1267" t="inlineStr">
        <is>
          <t xml:space="preserve">PR </t>
        </is>
      </c>
      <c r="U1267" t="n">
        <v>5</v>
      </c>
      <c r="V1267" t="n">
        <v>5</v>
      </c>
      <c r="W1267" t="inlineStr">
        <is>
          <t>2003-11-20</t>
        </is>
      </c>
      <c r="X1267" t="inlineStr">
        <is>
          <t>2003-11-20</t>
        </is>
      </c>
      <c r="Y1267" t="inlineStr">
        <is>
          <t>1992-06-10</t>
        </is>
      </c>
      <c r="Z1267" t="inlineStr">
        <is>
          <t>1992-06-10</t>
        </is>
      </c>
      <c r="AA1267" t="n">
        <v>662</v>
      </c>
      <c r="AB1267" t="n">
        <v>497</v>
      </c>
      <c r="AC1267" t="n">
        <v>504</v>
      </c>
      <c r="AD1267" t="n">
        <v>4</v>
      </c>
      <c r="AE1267" t="n">
        <v>4</v>
      </c>
      <c r="AF1267" t="n">
        <v>26</v>
      </c>
      <c r="AG1267" t="n">
        <v>26</v>
      </c>
      <c r="AH1267" t="n">
        <v>14</v>
      </c>
      <c r="AI1267" t="n">
        <v>14</v>
      </c>
      <c r="AJ1267" t="n">
        <v>5</v>
      </c>
      <c r="AK1267" t="n">
        <v>5</v>
      </c>
      <c r="AL1267" t="n">
        <v>11</v>
      </c>
      <c r="AM1267" t="n">
        <v>11</v>
      </c>
      <c r="AN1267" t="n">
        <v>3</v>
      </c>
      <c r="AO1267" t="n">
        <v>3</v>
      </c>
      <c r="AP1267" t="n">
        <v>0</v>
      </c>
      <c r="AQ1267" t="n">
        <v>0</v>
      </c>
      <c r="AR1267" t="inlineStr">
        <is>
          <t>No</t>
        </is>
      </c>
      <c r="AS1267" t="inlineStr">
        <is>
          <t>Yes</t>
        </is>
      </c>
      <c r="AT1267">
        <f>HYPERLINK("http://catalog.hathitrust.org/Record/000739864","HathiTrust Record")</f>
        <v/>
      </c>
      <c r="AU1267">
        <f>HYPERLINK("https://creighton-primo.hosted.exlibrisgroup.com/primo-explore/search?tab=default_tab&amp;search_scope=EVERYTHING&amp;vid=01CRU&amp;lang=en_US&amp;offset=0&amp;query=any,contains,991004774949702656","Catalog Record")</f>
        <v/>
      </c>
      <c r="AV1267">
        <f>HYPERLINK("http://www.worldcat.org/oclc/5100943","WorldCat Record")</f>
        <v/>
      </c>
      <c r="AW1267" t="inlineStr">
        <is>
          <t>684754373:eng</t>
        </is>
      </c>
      <c r="AX1267" t="inlineStr">
        <is>
          <t>5100943</t>
        </is>
      </c>
      <c r="AY1267" t="inlineStr">
        <is>
          <t>991004774949702656</t>
        </is>
      </c>
      <c r="AZ1267" t="inlineStr">
        <is>
          <t>991004774949702656</t>
        </is>
      </c>
      <c r="BA1267" t="inlineStr">
        <is>
          <t>2256114280002656</t>
        </is>
      </c>
      <c r="BB1267" t="inlineStr">
        <is>
          <t>BOOK</t>
        </is>
      </c>
      <c r="BD1267" t="inlineStr">
        <is>
          <t>9780198120988</t>
        </is>
      </c>
      <c r="BE1267" t="inlineStr">
        <is>
          <t>32285001076107</t>
        </is>
      </c>
      <c r="BF1267" t="inlineStr">
        <is>
          <t>893700655</t>
        </is>
      </c>
    </row>
    <row r="1268">
      <c r="A1268" t="inlineStr">
        <is>
          <t>No</t>
        </is>
      </c>
      <c r="B1268" t="inlineStr">
        <is>
          <t>CURAL</t>
        </is>
      </c>
      <c r="C1268" t="inlineStr">
        <is>
          <t>SHELVES</t>
        </is>
      </c>
      <c r="D1268" t="inlineStr">
        <is>
          <t>PR3629 .R3</t>
        </is>
      </c>
      <c r="E1268" t="inlineStr">
        <is>
          <t>0                      PR 3629000R  3</t>
        </is>
      </c>
      <c r="F1268" t="inlineStr">
        <is>
          <t>The Rape of the lock : [texts] / [selected by] William Kinsley.</t>
        </is>
      </c>
      <c r="H1268" t="inlineStr">
        <is>
          <t>No</t>
        </is>
      </c>
      <c r="I1268" t="inlineStr">
        <is>
          <t>1</t>
        </is>
      </c>
      <c r="J1268" t="inlineStr">
        <is>
          <t>No</t>
        </is>
      </c>
      <c r="K1268" t="inlineStr">
        <is>
          <t>No</t>
        </is>
      </c>
      <c r="L1268" t="inlineStr">
        <is>
          <t>0</t>
        </is>
      </c>
      <c r="N1268" t="inlineStr">
        <is>
          <t>Hamden, Conn. : Archon Books, 1979.</t>
        </is>
      </c>
      <c r="O1268" t="inlineStr">
        <is>
          <t>1979</t>
        </is>
      </c>
      <c r="Q1268" t="inlineStr">
        <is>
          <t>eng</t>
        </is>
      </c>
      <c r="R1268" t="inlineStr">
        <is>
          <t>ctu</t>
        </is>
      </c>
      <c r="S1268" t="inlineStr">
        <is>
          <t>Contexts--selected literary works in their historical settings ; 2</t>
        </is>
      </c>
      <c r="T1268" t="inlineStr">
        <is>
          <t xml:space="preserve">PR </t>
        </is>
      </c>
      <c r="U1268" t="n">
        <v>4</v>
      </c>
      <c r="V1268" t="n">
        <v>4</v>
      </c>
      <c r="W1268" t="inlineStr">
        <is>
          <t>2003-11-19</t>
        </is>
      </c>
      <c r="X1268" t="inlineStr">
        <is>
          <t>2003-11-19</t>
        </is>
      </c>
      <c r="Y1268" t="inlineStr">
        <is>
          <t>1991-04-30</t>
        </is>
      </c>
      <c r="Z1268" t="inlineStr">
        <is>
          <t>1991-04-30</t>
        </is>
      </c>
      <c r="AA1268" t="n">
        <v>385</v>
      </c>
      <c r="AB1268" t="n">
        <v>317</v>
      </c>
      <c r="AC1268" t="n">
        <v>322</v>
      </c>
      <c r="AD1268" t="n">
        <v>3</v>
      </c>
      <c r="AE1268" t="n">
        <v>3</v>
      </c>
      <c r="AF1268" t="n">
        <v>17</v>
      </c>
      <c r="AG1268" t="n">
        <v>17</v>
      </c>
      <c r="AH1268" t="n">
        <v>7</v>
      </c>
      <c r="AI1268" t="n">
        <v>7</v>
      </c>
      <c r="AJ1268" t="n">
        <v>4</v>
      </c>
      <c r="AK1268" t="n">
        <v>4</v>
      </c>
      <c r="AL1268" t="n">
        <v>8</v>
      </c>
      <c r="AM1268" t="n">
        <v>8</v>
      </c>
      <c r="AN1268" t="n">
        <v>2</v>
      </c>
      <c r="AO1268" t="n">
        <v>2</v>
      </c>
      <c r="AP1268" t="n">
        <v>0</v>
      </c>
      <c r="AQ1268" t="n">
        <v>0</v>
      </c>
      <c r="AR1268" t="inlineStr">
        <is>
          <t>No</t>
        </is>
      </c>
      <c r="AS1268" t="inlineStr">
        <is>
          <t>No</t>
        </is>
      </c>
      <c r="AU1268">
        <f>HYPERLINK("https://creighton-primo.hosted.exlibrisgroup.com/primo-explore/search?tab=default_tab&amp;search_scope=EVERYTHING&amp;vid=01CRU&amp;lang=en_US&amp;offset=0&amp;query=any,contains,991004822729702656","Catalog Record")</f>
        <v/>
      </c>
      <c r="AV1268">
        <f>HYPERLINK("http://www.worldcat.org/oclc/5336870","WorldCat Record")</f>
        <v/>
      </c>
      <c r="AW1268" t="inlineStr">
        <is>
          <t>4663566162:eng</t>
        </is>
      </c>
      <c r="AX1268" t="inlineStr">
        <is>
          <t>5336870</t>
        </is>
      </c>
      <c r="AY1268" t="inlineStr">
        <is>
          <t>991004822729702656</t>
        </is>
      </c>
      <c r="AZ1268" t="inlineStr">
        <is>
          <t>991004822729702656</t>
        </is>
      </c>
      <c r="BA1268" t="inlineStr">
        <is>
          <t>2265220380002656</t>
        </is>
      </c>
      <c r="BB1268" t="inlineStr">
        <is>
          <t>BOOK</t>
        </is>
      </c>
      <c r="BD1268" t="inlineStr">
        <is>
          <t>9780208016331</t>
        </is>
      </c>
      <c r="BE1268" t="inlineStr">
        <is>
          <t>32285000578350</t>
        </is>
      </c>
      <c r="BF1268" t="inlineStr">
        <is>
          <t>893612811</t>
        </is>
      </c>
    </row>
    <row r="1269">
      <c r="A1269" t="inlineStr">
        <is>
          <t>No</t>
        </is>
      </c>
      <c r="B1269" t="inlineStr">
        <is>
          <t>CURAL</t>
        </is>
      </c>
      <c r="C1269" t="inlineStr">
        <is>
          <t>SHELVES</t>
        </is>
      </c>
      <c r="D1269" t="inlineStr">
        <is>
          <t>PR3630 .M4 1988</t>
        </is>
      </c>
      <c r="E1269" t="inlineStr">
        <is>
          <t>0                      PR 3630000M  4           1988</t>
        </is>
      </c>
      <c r="F1269" t="inlineStr">
        <is>
          <t>Memoirs of the extraordinary life, works, and discoveries of Martinus Scriblerus / written in collaboration by the members of the Scriblerus Club, John Arbuthnot ... [et al.] ; edited by Charles Kerby-Miller.</t>
        </is>
      </c>
      <c r="H1269" t="inlineStr">
        <is>
          <t>No</t>
        </is>
      </c>
      <c r="I1269" t="inlineStr">
        <is>
          <t>1</t>
        </is>
      </c>
      <c r="J1269" t="inlineStr">
        <is>
          <t>No</t>
        </is>
      </c>
      <c r="K1269" t="inlineStr">
        <is>
          <t>Yes</t>
        </is>
      </c>
      <c r="L1269" t="inlineStr">
        <is>
          <t>0</t>
        </is>
      </c>
      <c r="N1269" t="inlineStr">
        <is>
          <t>New York ; Oxford : Oxford University Press, 1988, c1950.</t>
        </is>
      </c>
      <c r="O1269" t="inlineStr">
        <is>
          <t>1988</t>
        </is>
      </c>
      <c r="Q1269" t="inlineStr">
        <is>
          <t>eng</t>
        </is>
      </c>
      <c r="R1269" t="inlineStr">
        <is>
          <t>nyu</t>
        </is>
      </c>
      <c r="T1269" t="inlineStr">
        <is>
          <t xml:space="preserve">PR </t>
        </is>
      </c>
      <c r="U1269" t="n">
        <v>1</v>
      </c>
      <c r="V1269" t="n">
        <v>1</v>
      </c>
      <c r="W1269" t="inlineStr">
        <is>
          <t>2003-12-07</t>
        </is>
      </c>
      <c r="X1269" t="inlineStr">
        <is>
          <t>2003-12-07</t>
        </is>
      </c>
      <c r="Y1269" t="inlineStr">
        <is>
          <t>1991-06-11</t>
        </is>
      </c>
      <c r="Z1269" t="inlineStr">
        <is>
          <t>1991-06-11</t>
        </is>
      </c>
      <c r="AA1269" t="n">
        <v>160</v>
      </c>
      <c r="AB1269" t="n">
        <v>122</v>
      </c>
      <c r="AC1269" t="n">
        <v>667</v>
      </c>
      <c r="AD1269" t="n">
        <v>1</v>
      </c>
      <c r="AE1269" t="n">
        <v>5</v>
      </c>
      <c r="AF1269" t="n">
        <v>7</v>
      </c>
      <c r="AG1269" t="n">
        <v>33</v>
      </c>
      <c r="AH1269" t="n">
        <v>2</v>
      </c>
      <c r="AI1269" t="n">
        <v>14</v>
      </c>
      <c r="AJ1269" t="n">
        <v>2</v>
      </c>
      <c r="AK1269" t="n">
        <v>9</v>
      </c>
      <c r="AL1269" t="n">
        <v>5</v>
      </c>
      <c r="AM1269" t="n">
        <v>15</v>
      </c>
      <c r="AN1269" t="n">
        <v>0</v>
      </c>
      <c r="AO1269" t="n">
        <v>4</v>
      </c>
      <c r="AP1269" t="n">
        <v>0</v>
      </c>
      <c r="AQ1269" t="n">
        <v>0</v>
      </c>
      <c r="AR1269" t="inlineStr">
        <is>
          <t>No</t>
        </is>
      </c>
      <c r="AS1269" t="inlineStr">
        <is>
          <t>Yes</t>
        </is>
      </c>
      <c r="AT1269">
        <f>HYPERLINK("http://catalog.hathitrust.org/Record/004543823","HathiTrust Record")</f>
        <v/>
      </c>
      <c r="AU1269">
        <f>HYPERLINK("https://creighton-primo.hosted.exlibrisgroup.com/primo-explore/search?tab=default_tab&amp;search_scope=EVERYTHING&amp;vid=01CRU&amp;lang=en_US&amp;offset=0&amp;query=any,contains,991001192069702656","Catalog Record")</f>
        <v/>
      </c>
      <c r="AV1269">
        <f>HYPERLINK("http://www.worldcat.org/oclc/17260565","WorldCat Record")</f>
        <v/>
      </c>
      <c r="AW1269" t="inlineStr">
        <is>
          <t>4920288647:eng</t>
        </is>
      </c>
      <c r="AX1269" t="inlineStr">
        <is>
          <t>17260565</t>
        </is>
      </c>
      <c r="AY1269" t="inlineStr">
        <is>
          <t>991001192069702656</t>
        </is>
      </c>
      <c r="AZ1269" t="inlineStr">
        <is>
          <t>991001192069702656</t>
        </is>
      </c>
      <c r="BA1269" t="inlineStr">
        <is>
          <t>2267664930002656</t>
        </is>
      </c>
      <c r="BB1269" t="inlineStr">
        <is>
          <t>BOOK</t>
        </is>
      </c>
      <c r="BD1269" t="inlineStr">
        <is>
          <t>9780195206487</t>
        </is>
      </c>
      <c r="BE1269" t="inlineStr">
        <is>
          <t>32285000655372</t>
        </is>
      </c>
      <c r="BF1269" t="inlineStr">
        <is>
          <t>893426401</t>
        </is>
      </c>
    </row>
    <row r="1270">
      <c r="A1270" t="inlineStr">
        <is>
          <t>No</t>
        </is>
      </c>
      <c r="B1270" t="inlineStr">
        <is>
          <t>CURAL</t>
        </is>
      </c>
      <c r="C1270" t="inlineStr">
        <is>
          <t>SHELVES</t>
        </is>
      </c>
      <c r="D1270" t="inlineStr">
        <is>
          <t>PR3630.I53 F84 1989</t>
        </is>
      </c>
      <c r="E1270" t="inlineStr">
        <is>
          <t>0                      PR 3630000I  53                 F  84          1989</t>
        </is>
      </c>
      <c r="F1270" t="inlineStr">
        <is>
          <t>Reading Pope's Imitations of Horace / Jacob Fuchs.</t>
        </is>
      </c>
      <c r="H1270" t="inlineStr">
        <is>
          <t>No</t>
        </is>
      </c>
      <c r="I1270" t="inlineStr">
        <is>
          <t>1</t>
        </is>
      </c>
      <c r="J1270" t="inlineStr">
        <is>
          <t>No</t>
        </is>
      </c>
      <c r="K1270" t="inlineStr">
        <is>
          <t>No</t>
        </is>
      </c>
      <c r="L1270" t="inlineStr">
        <is>
          <t>0</t>
        </is>
      </c>
      <c r="M1270" t="inlineStr">
        <is>
          <t>Fuchs, Jacob, 1939-</t>
        </is>
      </c>
      <c r="N1270" t="inlineStr">
        <is>
          <t>Lewisburg : Bucknell University Press ; London ; Cranbury, N.J. : Associated University Presses, c1989.</t>
        </is>
      </c>
      <c r="O1270" t="inlineStr">
        <is>
          <t>1989</t>
        </is>
      </c>
      <c r="Q1270" t="inlineStr">
        <is>
          <t>eng</t>
        </is>
      </c>
      <c r="R1270" t="inlineStr">
        <is>
          <t>pau</t>
        </is>
      </c>
      <c r="T1270" t="inlineStr">
        <is>
          <t xml:space="preserve">PR </t>
        </is>
      </c>
      <c r="U1270" t="n">
        <v>4</v>
      </c>
      <c r="V1270" t="n">
        <v>4</v>
      </c>
      <c r="W1270" t="inlineStr">
        <is>
          <t>1999-11-16</t>
        </is>
      </c>
      <c r="X1270" t="inlineStr">
        <is>
          <t>1999-11-16</t>
        </is>
      </c>
      <c r="Y1270" t="inlineStr">
        <is>
          <t>1994-04-20</t>
        </is>
      </c>
      <c r="Z1270" t="inlineStr">
        <is>
          <t>1994-04-20</t>
        </is>
      </c>
      <c r="AA1270" t="n">
        <v>323</v>
      </c>
      <c r="AB1270" t="n">
        <v>246</v>
      </c>
      <c r="AC1270" t="n">
        <v>248</v>
      </c>
      <c r="AD1270" t="n">
        <v>2</v>
      </c>
      <c r="AE1270" t="n">
        <v>2</v>
      </c>
      <c r="AF1270" t="n">
        <v>12</v>
      </c>
      <c r="AG1270" t="n">
        <v>12</v>
      </c>
      <c r="AH1270" t="n">
        <v>3</v>
      </c>
      <c r="AI1270" t="n">
        <v>3</v>
      </c>
      <c r="AJ1270" t="n">
        <v>3</v>
      </c>
      <c r="AK1270" t="n">
        <v>3</v>
      </c>
      <c r="AL1270" t="n">
        <v>10</v>
      </c>
      <c r="AM1270" t="n">
        <v>10</v>
      </c>
      <c r="AN1270" t="n">
        <v>1</v>
      </c>
      <c r="AO1270" t="n">
        <v>1</v>
      </c>
      <c r="AP1270" t="n">
        <v>0</v>
      </c>
      <c r="AQ1270" t="n">
        <v>0</v>
      </c>
      <c r="AR1270" t="inlineStr">
        <is>
          <t>No</t>
        </is>
      </c>
      <c r="AS1270" t="inlineStr">
        <is>
          <t>Yes</t>
        </is>
      </c>
      <c r="AT1270">
        <f>HYPERLINK("http://catalog.hathitrust.org/Record/001296395","HathiTrust Record")</f>
        <v/>
      </c>
      <c r="AU1270">
        <f>HYPERLINK("https://creighton-primo.hosted.exlibrisgroup.com/primo-explore/search?tab=default_tab&amp;search_scope=EVERYTHING&amp;vid=01CRU&amp;lang=en_US&amp;offset=0&amp;query=any,contains,991001320779702656","Catalog Record")</f>
        <v/>
      </c>
      <c r="AV1270">
        <f>HYPERLINK("http://www.worldcat.org/oclc/18224084","WorldCat Record")</f>
        <v/>
      </c>
      <c r="AW1270" t="inlineStr">
        <is>
          <t>17533132:eng</t>
        </is>
      </c>
      <c r="AX1270" t="inlineStr">
        <is>
          <t>18224084</t>
        </is>
      </c>
      <c r="AY1270" t="inlineStr">
        <is>
          <t>991001320779702656</t>
        </is>
      </c>
      <c r="AZ1270" t="inlineStr">
        <is>
          <t>991001320779702656</t>
        </is>
      </c>
      <c r="BA1270" t="inlineStr">
        <is>
          <t>2261604420002656</t>
        </is>
      </c>
      <c r="BB1270" t="inlineStr">
        <is>
          <t>BOOK</t>
        </is>
      </c>
      <c r="BD1270" t="inlineStr">
        <is>
          <t>9780838751480</t>
        </is>
      </c>
      <c r="BE1270" t="inlineStr">
        <is>
          <t>32285001875532</t>
        </is>
      </c>
      <c r="BF1270" t="inlineStr">
        <is>
          <t>893414159</t>
        </is>
      </c>
    </row>
    <row r="1271">
      <c r="A1271" t="inlineStr">
        <is>
          <t>No</t>
        </is>
      </c>
      <c r="B1271" t="inlineStr">
        <is>
          <t>CURAL</t>
        </is>
      </c>
      <c r="C1271" t="inlineStr">
        <is>
          <t>SHELVES</t>
        </is>
      </c>
      <c r="D1271" t="inlineStr">
        <is>
          <t>PR3632 .A73</t>
        </is>
      </c>
      <c r="E1271" t="inlineStr">
        <is>
          <t>0                      PR 3632000A  73</t>
        </is>
      </c>
      <c r="F1271" t="inlineStr">
        <is>
          <t>A concordance to the works of Alexander Pope / D. Appleton, 1875.</t>
        </is>
      </c>
      <c r="H1271" t="inlineStr">
        <is>
          <t>No</t>
        </is>
      </c>
      <c r="I1271" t="inlineStr">
        <is>
          <t>1</t>
        </is>
      </c>
      <c r="J1271" t="inlineStr">
        <is>
          <t>No</t>
        </is>
      </c>
      <c r="K1271" t="inlineStr">
        <is>
          <t>No</t>
        </is>
      </c>
      <c r="L1271" t="inlineStr">
        <is>
          <t>0</t>
        </is>
      </c>
      <c r="M1271" t="inlineStr">
        <is>
          <t>Abbott, Edwin, 1808-1882.</t>
        </is>
      </c>
      <c r="N1271" t="inlineStr">
        <is>
          <t>New York : Kraus Reprint Corp., 1965.</t>
        </is>
      </c>
      <c r="O1271" t="inlineStr">
        <is>
          <t>1965</t>
        </is>
      </c>
      <c r="Q1271" t="inlineStr">
        <is>
          <t>eng</t>
        </is>
      </c>
      <c r="R1271" t="inlineStr">
        <is>
          <t>nyu</t>
        </is>
      </c>
      <c r="T1271" t="inlineStr">
        <is>
          <t xml:space="preserve">PR </t>
        </is>
      </c>
      <c r="U1271" t="n">
        <v>1</v>
      </c>
      <c r="V1271" t="n">
        <v>1</v>
      </c>
      <c r="W1271" t="inlineStr">
        <is>
          <t>2003-12-10</t>
        </is>
      </c>
      <c r="X1271" t="inlineStr">
        <is>
          <t>2003-12-10</t>
        </is>
      </c>
      <c r="Y1271" t="inlineStr">
        <is>
          <t>1992-04-02</t>
        </is>
      </c>
      <c r="Z1271" t="inlineStr">
        <is>
          <t>1992-04-02</t>
        </is>
      </c>
      <c r="AA1271" t="n">
        <v>302</v>
      </c>
      <c r="AB1271" t="n">
        <v>247</v>
      </c>
      <c r="AC1271" t="n">
        <v>531</v>
      </c>
      <c r="AD1271" t="n">
        <v>2</v>
      </c>
      <c r="AE1271" t="n">
        <v>5</v>
      </c>
      <c r="AF1271" t="n">
        <v>13</v>
      </c>
      <c r="AG1271" t="n">
        <v>33</v>
      </c>
      <c r="AH1271" t="n">
        <v>6</v>
      </c>
      <c r="AI1271" t="n">
        <v>11</v>
      </c>
      <c r="AJ1271" t="n">
        <v>2</v>
      </c>
      <c r="AK1271" t="n">
        <v>8</v>
      </c>
      <c r="AL1271" t="n">
        <v>8</v>
      </c>
      <c r="AM1271" t="n">
        <v>18</v>
      </c>
      <c r="AN1271" t="n">
        <v>1</v>
      </c>
      <c r="AO1271" t="n">
        <v>4</v>
      </c>
      <c r="AP1271" t="n">
        <v>0</v>
      </c>
      <c r="AQ1271" t="n">
        <v>0</v>
      </c>
      <c r="AR1271" t="inlineStr">
        <is>
          <t>No</t>
        </is>
      </c>
      <c r="AS1271" t="inlineStr">
        <is>
          <t>Yes</t>
        </is>
      </c>
      <c r="AT1271">
        <f>HYPERLINK("http://catalog.hathitrust.org/Record/004441573","HathiTrust Record")</f>
        <v/>
      </c>
      <c r="AU1271">
        <f>HYPERLINK("https://creighton-primo.hosted.exlibrisgroup.com/primo-explore/search?tab=default_tab&amp;search_scope=EVERYTHING&amp;vid=01CRU&amp;lang=en_US&amp;offset=0&amp;query=any,contains,991002461039702656","Catalog Record")</f>
        <v/>
      </c>
      <c r="AV1271">
        <f>HYPERLINK("http://www.worldcat.org/oclc/355915","WorldCat Record")</f>
        <v/>
      </c>
      <c r="AW1271" t="inlineStr">
        <is>
          <t>1399149:eng</t>
        </is>
      </c>
      <c r="AX1271" t="inlineStr">
        <is>
          <t>355915</t>
        </is>
      </c>
      <c r="AY1271" t="inlineStr">
        <is>
          <t>991002461039702656</t>
        </is>
      </c>
      <c r="AZ1271" t="inlineStr">
        <is>
          <t>991002461039702656</t>
        </is>
      </c>
      <c r="BA1271" t="inlineStr">
        <is>
          <t>2264809430002656</t>
        </is>
      </c>
      <c r="BB1271" t="inlineStr">
        <is>
          <t>BOOK</t>
        </is>
      </c>
      <c r="BE1271" t="inlineStr">
        <is>
          <t>32285001032647</t>
        </is>
      </c>
      <c r="BF1271" t="inlineStr">
        <is>
          <t>893879957</t>
        </is>
      </c>
    </row>
    <row r="1272">
      <c r="A1272" t="inlineStr">
        <is>
          <t>No</t>
        </is>
      </c>
      <c r="B1272" t="inlineStr">
        <is>
          <t>CURAL</t>
        </is>
      </c>
      <c r="C1272" t="inlineStr">
        <is>
          <t>SHELVES</t>
        </is>
      </c>
      <c r="D1272" t="inlineStr">
        <is>
          <t>PR3632 .L65</t>
        </is>
      </c>
      <c r="E1272" t="inlineStr">
        <is>
          <t>0                      PR 3632000L  65</t>
        </is>
      </c>
      <c r="F1272" t="inlineStr">
        <is>
          <t>Alexander Pope; an annotated bibliography, 1945-1967, by Cecilia L. Lopez.</t>
        </is>
      </c>
      <c r="H1272" t="inlineStr">
        <is>
          <t>No</t>
        </is>
      </c>
      <c r="I1272" t="inlineStr">
        <is>
          <t>1</t>
        </is>
      </c>
      <c r="J1272" t="inlineStr">
        <is>
          <t>No</t>
        </is>
      </c>
      <c r="K1272" t="inlineStr">
        <is>
          <t>No</t>
        </is>
      </c>
      <c r="L1272" t="inlineStr">
        <is>
          <t>0</t>
        </is>
      </c>
      <c r="M1272" t="inlineStr">
        <is>
          <t>Lopez, Cecilia L. (Cecilia Louise), 1941-</t>
        </is>
      </c>
      <c r="N1272" t="inlineStr">
        <is>
          <t>Gainesville, University of Florida Press, 1970.</t>
        </is>
      </c>
      <c r="O1272" t="inlineStr">
        <is>
          <t>1970</t>
        </is>
      </c>
      <c r="Q1272" t="inlineStr">
        <is>
          <t>eng</t>
        </is>
      </c>
      <c r="R1272" t="inlineStr">
        <is>
          <t>flu</t>
        </is>
      </c>
      <c r="T1272" t="inlineStr">
        <is>
          <t xml:space="preserve">PR </t>
        </is>
      </c>
      <c r="U1272" t="n">
        <v>3</v>
      </c>
      <c r="V1272" t="n">
        <v>3</v>
      </c>
      <c r="W1272" t="inlineStr">
        <is>
          <t>1998-02-02</t>
        </is>
      </c>
      <c r="X1272" t="inlineStr">
        <is>
          <t>1998-02-02</t>
        </is>
      </c>
      <c r="Y1272" t="inlineStr">
        <is>
          <t>1997-07-24</t>
        </is>
      </c>
      <c r="Z1272" t="inlineStr">
        <is>
          <t>1997-07-24</t>
        </is>
      </c>
      <c r="AA1272" t="n">
        <v>579</v>
      </c>
      <c r="AB1272" t="n">
        <v>491</v>
      </c>
      <c r="AC1272" t="n">
        <v>502</v>
      </c>
      <c r="AD1272" t="n">
        <v>4</v>
      </c>
      <c r="AE1272" t="n">
        <v>4</v>
      </c>
      <c r="AF1272" t="n">
        <v>25</v>
      </c>
      <c r="AG1272" t="n">
        <v>25</v>
      </c>
      <c r="AH1272" t="n">
        <v>9</v>
      </c>
      <c r="AI1272" t="n">
        <v>9</v>
      </c>
      <c r="AJ1272" t="n">
        <v>4</v>
      </c>
      <c r="AK1272" t="n">
        <v>4</v>
      </c>
      <c r="AL1272" t="n">
        <v>14</v>
      </c>
      <c r="AM1272" t="n">
        <v>14</v>
      </c>
      <c r="AN1272" t="n">
        <v>3</v>
      </c>
      <c r="AO1272" t="n">
        <v>3</v>
      </c>
      <c r="AP1272" t="n">
        <v>0</v>
      </c>
      <c r="AQ1272" t="n">
        <v>0</v>
      </c>
      <c r="AR1272" t="inlineStr">
        <is>
          <t>No</t>
        </is>
      </c>
      <c r="AS1272" t="inlineStr">
        <is>
          <t>No</t>
        </is>
      </c>
      <c r="AU1272">
        <f>HYPERLINK("https://creighton-primo.hosted.exlibrisgroup.com/primo-explore/search?tab=default_tab&amp;search_scope=EVERYTHING&amp;vid=01CRU&amp;lang=en_US&amp;offset=0&amp;query=any,contains,991000663449702656","Catalog Record")</f>
        <v/>
      </c>
      <c r="AV1272">
        <f>HYPERLINK("http://www.worldcat.org/oclc/117726","WorldCat Record")</f>
        <v/>
      </c>
      <c r="AW1272" t="inlineStr">
        <is>
          <t>1236451:eng</t>
        </is>
      </c>
      <c r="AX1272" t="inlineStr">
        <is>
          <t>117726</t>
        </is>
      </c>
      <c r="AY1272" t="inlineStr">
        <is>
          <t>991000663449702656</t>
        </is>
      </c>
      <c r="AZ1272" t="inlineStr">
        <is>
          <t>991000663449702656</t>
        </is>
      </c>
      <c r="BA1272" t="inlineStr">
        <is>
          <t>2261023870002656</t>
        </is>
      </c>
      <c r="BB1272" t="inlineStr">
        <is>
          <t>BOOK</t>
        </is>
      </c>
      <c r="BD1272" t="inlineStr">
        <is>
          <t>9780813002927</t>
        </is>
      </c>
      <c r="BE1272" t="inlineStr">
        <is>
          <t>32285002959640</t>
        </is>
      </c>
      <c r="BF1272" t="inlineStr">
        <is>
          <t>893608156</t>
        </is>
      </c>
    </row>
    <row r="1273">
      <c r="A1273" t="inlineStr">
        <is>
          <t>No</t>
        </is>
      </c>
      <c r="B1273" t="inlineStr">
        <is>
          <t>CURAL</t>
        </is>
      </c>
      <c r="C1273" t="inlineStr">
        <is>
          <t>SHELVES</t>
        </is>
      </c>
      <c r="D1273" t="inlineStr">
        <is>
          <t>PR3633 .A8</t>
        </is>
      </c>
      <c r="E1273" t="inlineStr">
        <is>
          <t>0                      PR 3633000A  8</t>
        </is>
      </c>
      <c r="F1273" t="inlineStr">
        <is>
          <t>New light on Pope; with some additions to his poetry hitherto unknown.</t>
        </is>
      </c>
      <c r="H1273" t="inlineStr">
        <is>
          <t>No</t>
        </is>
      </c>
      <c r="I1273" t="inlineStr">
        <is>
          <t>1</t>
        </is>
      </c>
      <c r="J1273" t="inlineStr">
        <is>
          <t>No</t>
        </is>
      </c>
      <c r="K1273" t="inlineStr">
        <is>
          <t>No</t>
        </is>
      </c>
      <c r="L1273" t="inlineStr">
        <is>
          <t>0</t>
        </is>
      </c>
      <c r="M1273" t="inlineStr">
        <is>
          <t>Ault, Norman, 1880-1950, editor.</t>
        </is>
      </c>
      <c r="N1273" t="inlineStr">
        <is>
          <t>London, Methuen, 1949.</t>
        </is>
      </c>
      <c r="O1273" t="inlineStr">
        <is>
          <t>1949</t>
        </is>
      </c>
      <c r="Q1273" t="inlineStr">
        <is>
          <t>eng</t>
        </is>
      </c>
      <c r="R1273" t="inlineStr">
        <is>
          <t>enk</t>
        </is>
      </c>
      <c r="T1273" t="inlineStr">
        <is>
          <t xml:space="preserve">PR </t>
        </is>
      </c>
      <c r="U1273" t="n">
        <v>3</v>
      </c>
      <c r="V1273" t="n">
        <v>3</v>
      </c>
      <c r="W1273" t="inlineStr">
        <is>
          <t>2003-12-10</t>
        </is>
      </c>
      <c r="X1273" t="inlineStr">
        <is>
          <t>2003-12-10</t>
        </is>
      </c>
      <c r="Y1273" t="inlineStr">
        <is>
          <t>1997-07-24</t>
        </is>
      </c>
      <c r="Z1273" t="inlineStr">
        <is>
          <t>1997-07-24</t>
        </is>
      </c>
      <c r="AA1273" t="n">
        <v>389</v>
      </c>
      <c r="AB1273" t="n">
        <v>294</v>
      </c>
      <c r="AC1273" t="n">
        <v>643</v>
      </c>
      <c r="AD1273" t="n">
        <v>5</v>
      </c>
      <c r="AE1273" t="n">
        <v>6</v>
      </c>
      <c r="AF1273" t="n">
        <v>24</v>
      </c>
      <c r="AG1273" t="n">
        <v>41</v>
      </c>
      <c r="AH1273" t="n">
        <v>7</v>
      </c>
      <c r="AI1273" t="n">
        <v>18</v>
      </c>
      <c r="AJ1273" t="n">
        <v>6</v>
      </c>
      <c r="AK1273" t="n">
        <v>7</v>
      </c>
      <c r="AL1273" t="n">
        <v>14</v>
      </c>
      <c r="AM1273" t="n">
        <v>21</v>
      </c>
      <c r="AN1273" t="n">
        <v>4</v>
      </c>
      <c r="AO1273" t="n">
        <v>5</v>
      </c>
      <c r="AP1273" t="n">
        <v>0</v>
      </c>
      <c r="AQ1273" t="n">
        <v>0</v>
      </c>
      <c r="AR1273" t="inlineStr">
        <is>
          <t>No</t>
        </is>
      </c>
      <c r="AS1273" t="inlineStr">
        <is>
          <t>Yes</t>
        </is>
      </c>
      <c r="AT1273">
        <f>HYPERLINK("http://catalog.hathitrust.org/Record/001022664","HathiTrust Record")</f>
        <v/>
      </c>
      <c r="AU1273">
        <f>HYPERLINK("https://creighton-primo.hosted.exlibrisgroup.com/primo-explore/search?tab=default_tab&amp;search_scope=EVERYTHING&amp;vid=01CRU&amp;lang=en_US&amp;offset=0&amp;query=any,contains,991004130879702656","Catalog Record")</f>
        <v/>
      </c>
      <c r="AV1273">
        <f>HYPERLINK("http://www.worldcat.org/oclc/2469290","WorldCat Record")</f>
        <v/>
      </c>
      <c r="AW1273" t="inlineStr">
        <is>
          <t>159369580:eng</t>
        </is>
      </c>
      <c r="AX1273" t="inlineStr">
        <is>
          <t>2469290</t>
        </is>
      </c>
      <c r="AY1273" t="inlineStr">
        <is>
          <t>991004130879702656</t>
        </is>
      </c>
      <c r="AZ1273" t="inlineStr">
        <is>
          <t>991004130879702656</t>
        </is>
      </c>
      <c r="BA1273" t="inlineStr">
        <is>
          <t>2271001910002656</t>
        </is>
      </c>
      <c r="BB1273" t="inlineStr">
        <is>
          <t>BOOK</t>
        </is>
      </c>
      <c r="BE1273" t="inlineStr">
        <is>
          <t>32285002959707</t>
        </is>
      </c>
      <c r="BF1273" t="inlineStr">
        <is>
          <t>893712197</t>
        </is>
      </c>
    </row>
    <row r="1274">
      <c r="A1274" t="inlineStr">
        <is>
          <t>No</t>
        </is>
      </c>
      <c r="B1274" t="inlineStr">
        <is>
          <t>CURAL</t>
        </is>
      </c>
      <c r="C1274" t="inlineStr">
        <is>
          <t>SHELVES</t>
        </is>
      </c>
      <c r="D1274" t="inlineStr">
        <is>
          <t>PR3633 .B35</t>
        </is>
      </c>
      <c r="E1274" t="inlineStr">
        <is>
          <t>0                      PR 3633000B  35</t>
        </is>
      </c>
      <c r="F1274" t="inlineStr">
        <is>
          <t>Alexander Pope : a critical anthology / edited by F. W. Bateson and N. A. Joukovsky.</t>
        </is>
      </c>
      <c r="H1274" t="inlineStr">
        <is>
          <t>No</t>
        </is>
      </c>
      <c r="I1274" t="inlineStr">
        <is>
          <t>1</t>
        </is>
      </c>
      <c r="J1274" t="inlineStr">
        <is>
          <t>No</t>
        </is>
      </c>
      <c r="K1274" t="inlineStr">
        <is>
          <t>No</t>
        </is>
      </c>
      <c r="L1274" t="inlineStr">
        <is>
          <t>0</t>
        </is>
      </c>
      <c r="M1274" t="inlineStr">
        <is>
          <t>Bateson, Frederick Wilse, 1901-1978, compiler.</t>
        </is>
      </c>
      <c r="N1274" t="inlineStr">
        <is>
          <t>Harmondsworth : Penguin, 1971.</t>
        </is>
      </c>
      <c r="O1274" t="inlineStr">
        <is>
          <t>1971</t>
        </is>
      </c>
      <c r="Q1274" t="inlineStr">
        <is>
          <t>eng</t>
        </is>
      </c>
      <c r="R1274" t="inlineStr">
        <is>
          <t>enk</t>
        </is>
      </c>
      <c r="S1274" t="inlineStr">
        <is>
          <t>Penguin critical anthologies</t>
        </is>
      </c>
      <c r="T1274" t="inlineStr">
        <is>
          <t xml:space="preserve">PR </t>
        </is>
      </c>
      <c r="U1274" t="n">
        <v>1</v>
      </c>
      <c r="V1274" t="n">
        <v>1</v>
      </c>
      <c r="W1274" t="inlineStr">
        <is>
          <t>2003-12-10</t>
        </is>
      </c>
      <c r="X1274" t="inlineStr">
        <is>
          <t>2003-12-10</t>
        </is>
      </c>
      <c r="Y1274" t="inlineStr">
        <is>
          <t>1991-05-20</t>
        </is>
      </c>
      <c r="Z1274" t="inlineStr">
        <is>
          <t>1991-05-20</t>
        </is>
      </c>
      <c r="AA1274" t="n">
        <v>271</v>
      </c>
      <c r="AB1274" t="n">
        <v>133</v>
      </c>
      <c r="AC1274" t="n">
        <v>135</v>
      </c>
      <c r="AD1274" t="n">
        <v>2</v>
      </c>
      <c r="AE1274" t="n">
        <v>2</v>
      </c>
      <c r="AF1274" t="n">
        <v>10</v>
      </c>
      <c r="AG1274" t="n">
        <v>10</v>
      </c>
      <c r="AH1274" t="n">
        <v>2</v>
      </c>
      <c r="AI1274" t="n">
        <v>2</v>
      </c>
      <c r="AJ1274" t="n">
        <v>3</v>
      </c>
      <c r="AK1274" t="n">
        <v>3</v>
      </c>
      <c r="AL1274" t="n">
        <v>7</v>
      </c>
      <c r="AM1274" t="n">
        <v>7</v>
      </c>
      <c r="AN1274" t="n">
        <v>1</v>
      </c>
      <c r="AO1274" t="n">
        <v>1</v>
      </c>
      <c r="AP1274" t="n">
        <v>0</v>
      </c>
      <c r="AQ1274" t="n">
        <v>0</v>
      </c>
      <c r="AR1274" t="inlineStr">
        <is>
          <t>No</t>
        </is>
      </c>
      <c r="AS1274" t="inlineStr">
        <is>
          <t>Yes</t>
        </is>
      </c>
      <c r="AT1274">
        <f>HYPERLINK("http://catalog.hathitrust.org/Record/009492882","HathiTrust Record")</f>
        <v/>
      </c>
      <c r="AU1274">
        <f>HYPERLINK("https://creighton-primo.hosted.exlibrisgroup.com/primo-explore/search?tab=default_tab&amp;search_scope=EVERYTHING&amp;vid=01CRU&amp;lang=en_US&amp;offset=0&amp;query=any,contains,991002837889702656","Catalog Record")</f>
        <v/>
      </c>
      <c r="AV1274">
        <f>HYPERLINK("http://www.worldcat.org/oclc/480844","WorldCat Record")</f>
        <v/>
      </c>
      <c r="AW1274" t="inlineStr">
        <is>
          <t>2288290041:eng</t>
        </is>
      </c>
      <c r="AX1274" t="inlineStr">
        <is>
          <t>480844</t>
        </is>
      </c>
      <c r="AY1274" t="inlineStr">
        <is>
          <t>991002837889702656</t>
        </is>
      </c>
      <c r="AZ1274" t="inlineStr">
        <is>
          <t>991002837889702656</t>
        </is>
      </c>
      <c r="BA1274" t="inlineStr">
        <is>
          <t>2270914740002656</t>
        </is>
      </c>
      <c r="BB1274" t="inlineStr">
        <is>
          <t>BOOK</t>
        </is>
      </c>
      <c r="BD1274" t="inlineStr">
        <is>
          <t>9780140801033</t>
        </is>
      </c>
      <c r="BE1274" t="inlineStr">
        <is>
          <t>32285000597293</t>
        </is>
      </c>
      <c r="BF1274" t="inlineStr">
        <is>
          <t>893233489</t>
        </is>
      </c>
    </row>
    <row r="1275">
      <c r="A1275" t="inlineStr">
        <is>
          <t>No</t>
        </is>
      </c>
      <c r="B1275" t="inlineStr">
        <is>
          <t>CURAL</t>
        </is>
      </c>
      <c r="C1275" t="inlineStr">
        <is>
          <t>SHELVES</t>
        </is>
      </c>
      <c r="D1275" t="inlineStr">
        <is>
          <t>PR3633 .F7</t>
        </is>
      </c>
      <c r="E1275" t="inlineStr">
        <is>
          <t>0                      PR 3633000F  7</t>
        </is>
      </c>
      <c r="F1275" t="inlineStr">
        <is>
          <t>Alexander Pope / by George S. Fraser.</t>
        </is>
      </c>
      <c r="H1275" t="inlineStr">
        <is>
          <t>No</t>
        </is>
      </c>
      <c r="I1275" t="inlineStr">
        <is>
          <t>1</t>
        </is>
      </c>
      <c r="J1275" t="inlineStr">
        <is>
          <t>No</t>
        </is>
      </c>
      <c r="K1275" t="inlineStr">
        <is>
          <t>No</t>
        </is>
      </c>
      <c r="L1275" t="inlineStr">
        <is>
          <t>0</t>
        </is>
      </c>
      <c r="M1275" t="inlineStr">
        <is>
          <t>Fraser, G. S. (George Sutherland), 1915-1980.</t>
        </is>
      </c>
      <c r="N1275" t="inlineStr">
        <is>
          <t>London ; Boston : Routledge and Paul, 1978.</t>
        </is>
      </c>
      <c r="O1275" t="inlineStr">
        <is>
          <t>1978</t>
        </is>
      </c>
      <c r="Q1275" t="inlineStr">
        <is>
          <t>eng</t>
        </is>
      </c>
      <c r="R1275" t="inlineStr">
        <is>
          <t>enk</t>
        </is>
      </c>
      <c r="T1275" t="inlineStr">
        <is>
          <t xml:space="preserve">PR </t>
        </is>
      </c>
      <c r="U1275" t="n">
        <v>1</v>
      </c>
      <c r="V1275" t="n">
        <v>1</v>
      </c>
      <c r="W1275" t="inlineStr">
        <is>
          <t>2002-12-11</t>
        </is>
      </c>
      <c r="X1275" t="inlineStr">
        <is>
          <t>2002-12-11</t>
        </is>
      </c>
      <c r="Y1275" t="inlineStr">
        <is>
          <t>1992-06-10</t>
        </is>
      </c>
      <c r="Z1275" t="inlineStr">
        <is>
          <t>1992-06-10</t>
        </is>
      </c>
      <c r="AA1275" t="n">
        <v>558</v>
      </c>
      <c r="AB1275" t="n">
        <v>367</v>
      </c>
      <c r="AC1275" t="n">
        <v>374</v>
      </c>
      <c r="AD1275" t="n">
        <v>4</v>
      </c>
      <c r="AE1275" t="n">
        <v>4</v>
      </c>
      <c r="AF1275" t="n">
        <v>18</v>
      </c>
      <c r="AG1275" t="n">
        <v>18</v>
      </c>
      <c r="AH1275" t="n">
        <v>6</v>
      </c>
      <c r="AI1275" t="n">
        <v>6</v>
      </c>
      <c r="AJ1275" t="n">
        <v>6</v>
      </c>
      <c r="AK1275" t="n">
        <v>6</v>
      </c>
      <c r="AL1275" t="n">
        <v>12</v>
      </c>
      <c r="AM1275" t="n">
        <v>12</v>
      </c>
      <c r="AN1275" t="n">
        <v>3</v>
      </c>
      <c r="AO1275" t="n">
        <v>3</v>
      </c>
      <c r="AP1275" t="n">
        <v>0</v>
      </c>
      <c r="AQ1275" t="n">
        <v>0</v>
      </c>
      <c r="AR1275" t="inlineStr">
        <is>
          <t>No</t>
        </is>
      </c>
      <c r="AS1275" t="inlineStr">
        <is>
          <t>Yes</t>
        </is>
      </c>
      <c r="AT1275">
        <f>HYPERLINK("http://catalog.hathitrust.org/Record/000258884","HathiTrust Record")</f>
        <v/>
      </c>
      <c r="AU1275">
        <f>HYPERLINK("https://creighton-primo.hosted.exlibrisgroup.com/primo-explore/search?tab=default_tab&amp;search_scope=EVERYTHING&amp;vid=01CRU&amp;lang=en_US&amp;offset=0&amp;query=any,contains,991004683769702656","Catalog Record")</f>
        <v/>
      </c>
      <c r="AV1275">
        <f>HYPERLINK("http://www.worldcat.org/oclc/4582372","WorldCat Record")</f>
        <v/>
      </c>
      <c r="AW1275" t="inlineStr">
        <is>
          <t>280705162:eng</t>
        </is>
      </c>
      <c r="AX1275" t="inlineStr">
        <is>
          <t>4582372</t>
        </is>
      </c>
      <c r="AY1275" t="inlineStr">
        <is>
          <t>991004683769702656</t>
        </is>
      </c>
      <c r="AZ1275" t="inlineStr">
        <is>
          <t>991004683769702656</t>
        </is>
      </c>
      <c r="BA1275" t="inlineStr">
        <is>
          <t>2267026520002656</t>
        </is>
      </c>
      <c r="BB1275" t="inlineStr">
        <is>
          <t>BOOK</t>
        </is>
      </c>
      <c r="BD1275" t="inlineStr">
        <is>
          <t>9780710089908</t>
        </is>
      </c>
      <c r="BE1275" t="inlineStr">
        <is>
          <t>32285001076115</t>
        </is>
      </c>
      <c r="BF1275" t="inlineStr">
        <is>
          <t>893901616</t>
        </is>
      </c>
    </row>
    <row r="1276">
      <c r="A1276" t="inlineStr">
        <is>
          <t>No</t>
        </is>
      </c>
      <c r="B1276" t="inlineStr">
        <is>
          <t>CURAL</t>
        </is>
      </c>
      <c r="C1276" t="inlineStr">
        <is>
          <t>SHELVES</t>
        </is>
      </c>
      <c r="D1276" t="inlineStr">
        <is>
          <t>PR3633 .H34 1986</t>
        </is>
      </c>
      <c r="E1276" t="inlineStr">
        <is>
          <t>0                      PR 3633000H  34          1986</t>
        </is>
      </c>
      <c r="F1276" t="inlineStr">
        <is>
          <t>Pope / Brean S. Hammond.</t>
        </is>
      </c>
      <c r="H1276" t="inlineStr">
        <is>
          <t>No</t>
        </is>
      </c>
      <c r="I1276" t="inlineStr">
        <is>
          <t>1</t>
        </is>
      </c>
      <c r="J1276" t="inlineStr">
        <is>
          <t>No</t>
        </is>
      </c>
      <c r="K1276" t="inlineStr">
        <is>
          <t>No</t>
        </is>
      </c>
      <c r="L1276" t="inlineStr">
        <is>
          <t>0</t>
        </is>
      </c>
      <c r="M1276" t="inlineStr">
        <is>
          <t>Hammond, Brean S., 1951-</t>
        </is>
      </c>
      <c r="N1276" t="inlineStr">
        <is>
          <t>Brighton, Sussex : Harvester Press, 1986.</t>
        </is>
      </c>
      <c r="O1276" t="inlineStr">
        <is>
          <t>1986</t>
        </is>
      </c>
      <c r="Q1276" t="inlineStr">
        <is>
          <t>eng</t>
        </is>
      </c>
      <c r="R1276" t="inlineStr">
        <is>
          <t>enk</t>
        </is>
      </c>
      <c r="S1276" t="inlineStr">
        <is>
          <t>Harvester new readings</t>
        </is>
      </c>
      <c r="T1276" t="inlineStr">
        <is>
          <t xml:space="preserve">PR </t>
        </is>
      </c>
      <c r="U1276" t="n">
        <v>1</v>
      </c>
      <c r="V1276" t="n">
        <v>1</v>
      </c>
      <c r="W1276" t="inlineStr">
        <is>
          <t>2004-11-18</t>
        </is>
      </c>
      <c r="X1276" t="inlineStr">
        <is>
          <t>2004-11-18</t>
        </is>
      </c>
      <c r="Y1276" t="inlineStr">
        <is>
          <t>2004-11-18</t>
        </is>
      </c>
      <c r="Z1276" t="inlineStr">
        <is>
          <t>2004-11-18</t>
        </is>
      </c>
      <c r="AA1276" t="n">
        <v>205</v>
      </c>
      <c r="AB1276" t="n">
        <v>78</v>
      </c>
      <c r="AC1276" t="n">
        <v>452</v>
      </c>
      <c r="AD1276" t="n">
        <v>3</v>
      </c>
      <c r="AE1276" t="n">
        <v>5</v>
      </c>
      <c r="AF1276" t="n">
        <v>2</v>
      </c>
      <c r="AG1276" t="n">
        <v>22</v>
      </c>
      <c r="AH1276" t="n">
        <v>0</v>
      </c>
      <c r="AI1276" t="n">
        <v>6</v>
      </c>
      <c r="AJ1276" t="n">
        <v>0</v>
      </c>
      <c r="AK1276" t="n">
        <v>6</v>
      </c>
      <c r="AL1276" t="n">
        <v>0</v>
      </c>
      <c r="AM1276" t="n">
        <v>12</v>
      </c>
      <c r="AN1276" t="n">
        <v>2</v>
      </c>
      <c r="AO1276" t="n">
        <v>4</v>
      </c>
      <c r="AP1276" t="n">
        <v>0</v>
      </c>
      <c r="AQ1276" t="n">
        <v>0</v>
      </c>
      <c r="AR1276" t="inlineStr">
        <is>
          <t>No</t>
        </is>
      </c>
      <c r="AS1276" t="inlineStr">
        <is>
          <t>Yes</t>
        </is>
      </c>
      <c r="AT1276">
        <f>HYPERLINK("http://catalog.hathitrust.org/Record/000482349","HathiTrust Record")</f>
        <v/>
      </c>
      <c r="AU1276">
        <f>HYPERLINK("https://creighton-primo.hosted.exlibrisgroup.com/primo-explore/search?tab=default_tab&amp;search_scope=EVERYTHING&amp;vid=01CRU&amp;lang=en_US&amp;offset=0&amp;query=any,contains,991004426089702656","Catalog Record")</f>
        <v/>
      </c>
      <c r="AV1276">
        <f>HYPERLINK("http://www.worldcat.org/oclc/21162587","WorldCat Record")</f>
        <v/>
      </c>
      <c r="AW1276" t="inlineStr">
        <is>
          <t>9657825729:eng</t>
        </is>
      </c>
      <c r="AX1276" t="inlineStr">
        <is>
          <t>21162587</t>
        </is>
      </c>
      <c r="AY1276" t="inlineStr">
        <is>
          <t>991004426089702656</t>
        </is>
      </c>
      <c r="AZ1276" t="inlineStr">
        <is>
          <t>991004426089702656</t>
        </is>
      </c>
      <c r="BA1276" t="inlineStr">
        <is>
          <t>2258424390002656</t>
        </is>
      </c>
      <c r="BB1276" t="inlineStr">
        <is>
          <t>BOOK</t>
        </is>
      </c>
      <c r="BD1276" t="inlineStr">
        <is>
          <t>9780710806444</t>
        </is>
      </c>
      <c r="BE1276" t="inlineStr">
        <is>
          <t>32285005012140</t>
        </is>
      </c>
      <c r="BF1276" t="inlineStr">
        <is>
          <t>893712573</t>
        </is>
      </c>
    </row>
    <row r="1277">
      <c r="A1277" t="inlineStr">
        <is>
          <t>No</t>
        </is>
      </c>
      <c r="B1277" t="inlineStr">
        <is>
          <t>CURAL</t>
        </is>
      </c>
      <c r="C1277" t="inlineStr">
        <is>
          <t>SHELVES</t>
        </is>
      </c>
      <c r="D1277" t="inlineStr">
        <is>
          <t>PR3633 .H35 1984</t>
        </is>
      </c>
      <c r="E1277" t="inlineStr">
        <is>
          <t>0                      PR 3633000H  35          1984</t>
        </is>
      </c>
      <c r="F1277" t="inlineStr">
        <is>
          <t>Pope and Bolingbroke : a study of friendship and influence / Brean S. Hammond.</t>
        </is>
      </c>
      <c r="H1277" t="inlineStr">
        <is>
          <t>No</t>
        </is>
      </c>
      <c r="I1277" t="inlineStr">
        <is>
          <t>1</t>
        </is>
      </c>
      <c r="J1277" t="inlineStr">
        <is>
          <t>No</t>
        </is>
      </c>
      <c r="K1277" t="inlineStr">
        <is>
          <t>No</t>
        </is>
      </c>
      <c r="L1277" t="inlineStr">
        <is>
          <t>0</t>
        </is>
      </c>
      <c r="M1277" t="inlineStr">
        <is>
          <t>Hammond, Brean S., 1951-</t>
        </is>
      </c>
      <c r="N1277" t="inlineStr">
        <is>
          <t>Columbia, Mo. : University of Missouri Press, 1984.</t>
        </is>
      </c>
      <c r="O1277" t="inlineStr">
        <is>
          <t>1984</t>
        </is>
      </c>
      <c r="Q1277" t="inlineStr">
        <is>
          <t>eng</t>
        </is>
      </c>
      <c r="R1277" t="inlineStr">
        <is>
          <t>mou</t>
        </is>
      </c>
      <c r="T1277" t="inlineStr">
        <is>
          <t xml:space="preserve">PR </t>
        </is>
      </c>
      <c r="U1277" t="n">
        <v>1</v>
      </c>
      <c r="V1277" t="n">
        <v>1</v>
      </c>
      <c r="W1277" t="inlineStr">
        <is>
          <t>2002-11-20</t>
        </is>
      </c>
      <c r="X1277" t="inlineStr">
        <is>
          <t>2002-11-20</t>
        </is>
      </c>
      <c r="Y1277" t="inlineStr">
        <is>
          <t>1991-04-30</t>
        </is>
      </c>
      <c r="Z1277" t="inlineStr">
        <is>
          <t>1991-04-30</t>
        </is>
      </c>
      <c r="AA1277" t="n">
        <v>461</v>
      </c>
      <c r="AB1277" t="n">
        <v>373</v>
      </c>
      <c r="AC1277" t="n">
        <v>380</v>
      </c>
      <c r="AD1277" t="n">
        <v>4</v>
      </c>
      <c r="AE1277" t="n">
        <v>4</v>
      </c>
      <c r="AF1277" t="n">
        <v>24</v>
      </c>
      <c r="AG1277" t="n">
        <v>24</v>
      </c>
      <c r="AH1277" t="n">
        <v>8</v>
      </c>
      <c r="AI1277" t="n">
        <v>8</v>
      </c>
      <c r="AJ1277" t="n">
        <v>7</v>
      </c>
      <c r="AK1277" t="n">
        <v>7</v>
      </c>
      <c r="AL1277" t="n">
        <v>13</v>
      </c>
      <c r="AM1277" t="n">
        <v>13</v>
      </c>
      <c r="AN1277" t="n">
        <v>3</v>
      </c>
      <c r="AO1277" t="n">
        <v>3</v>
      </c>
      <c r="AP1277" t="n">
        <v>0</v>
      </c>
      <c r="AQ1277" t="n">
        <v>0</v>
      </c>
      <c r="AR1277" t="inlineStr">
        <is>
          <t>No</t>
        </is>
      </c>
      <c r="AS1277" t="inlineStr">
        <is>
          <t>Yes</t>
        </is>
      </c>
      <c r="AT1277">
        <f>HYPERLINK("http://catalog.hathitrust.org/Record/000324175","HathiTrust Record")</f>
        <v/>
      </c>
      <c r="AU1277">
        <f>HYPERLINK("https://creighton-primo.hosted.exlibrisgroup.com/primo-explore/search?tab=default_tab&amp;search_scope=EVERYTHING&amp;vid=01CRU&amp;lang=en_US&amp;offset=0&amp;query=any,contains,991000405859702656","Catalog Record")</f>
        <v/>
      </c>
      <c r="AV1277">
        <f>HYPERLINK("http://www.worldcat.org/oclc/9196377","WorldCat Record")</f>
        <v/>
      </c>
      <c r="AW1277" t="inlineStr">
        <is>
          <t>345927363:eng</t>
        </is>
      </c>
      <c r="AX1277" t="inlineStr">
        <is>
          <t>9196377</t>
        </is>
      </c>
      <c r="AY1277" t="inlineStr">
        <is>
          <t>991000405859702656</t>
        </is>
      </c>
      <c r="AZ1277" t="inlineStr">
        <is>
          <t>991000405859702656</t>
        </is>
      </c>
      <c r="BA1277" t="inlineStr">
        <is>
          <t>2266841670002656</t>
        </is>
      </c>
      <c r="BB1277" t="inlineStr">
        <is>
          <t>BOOK</t>
        </is>
      </c>
      <c r="BD1277" t="inlineStr">
        <is>
          <t>9780826204042</t>
        </is>
      </c>
      <c r="BE1277" t="inlineStr">
        <is>
          <t>32285000578400</t>
        </is>
      </c>
      <c r="BF1277" t="inlineStr">
        <is>
          <t>893515248</t>
        </is>
      </c>
    </row>
    <row r="1278">
      <c r="A1278" t="inlineStr">
        <is>
          <t>No</t>
        </is>
      </c>
      <c r="B1278" t="inlineStr">
        <is>
          <t>CURAL</t>
        </is>
      </c>
      <c r="C1278" t="inlineStr">
        <is>
          <t>SHELVES</t>
        </is>
      </c>
      <c r="D1278" t="inlineStr">
        <is>
          <t>PR3633 .M33</t>
        </is>
      </c>
      <c r="E1278" t="inlineStr">
        <is>
          <t>0                      PR 3633000M  33</t>
        </is>
      </c>
      <c r="F1278" t="inlineStr">
        <is>
          <t>The garden and the city; retirement and politics in the later poetry of Pope, 1731-1743.</t>
        </is>
      </c>
      <c r="H1278" t="inlineStr">
        <is>
          <t>No</t>
        </is>
      </c>
      <c r="I1278" t="inlineStr">
        <is>
          <t>1</t>
        </is>
      </c>
      <c r="J1278" t="inlineStr">
        <is>
          <t>No</t>
        </is>
      </c>
      <c r="K1278" t="inlineStr">
        <is>
          <t>No</t>
        </is>
      </c>
      <c r="L1278" t="inlineStr">
        <is>
          <t>0</t>
        </is>
      </c>
      <c r="M1278" t="inlineStr">
        <is>
          <t>Mack, Maynard, 1909-2001.</t>
        </is>
      </c>
      <c r="N1278" t="inlineStr">
        <is>
          <t>[Toronto] University of Toronto Press [1969]</t>
        </is>
      </c>
      <c r="O1278" t="inlineStr">
        <is>
          <t>1969</t>
        </is>
      </c>
      <c r="Q1278" t="inlineStr">
        <is>
          <t>eng</t>
        </is>
      </c>
      <c r="R1278" t="inlineStr">
        <is>
          <t>onc</t>
        </is>
      </c>
      <c r="T1278" t="inlineStr">
        <is>
          <t xml:space="preserve">PR </t>
        </is>
      </c>
      <c r="U1278" t="n">
        <v>1</v>
      </c>
      <c r="V1278" t="n">
        <v>1</v>
      </c>
      <c r="W1278" t="inlineStr">
        <is>
          <t>2004-11-15</t>
        </is>
      </c>
      <c r="X1278" t="inlineStr">
        <is>
          <t>2004-11-15</t>
        </is>
      </c>
      <c r="Y1278" t="inlineStr">
        <is>
          <t>1997-07-24</t>
        </is>
      </c>
      <c r="Z1278" t="inlineStr">
        <is>
          <t>1997-07-24</t>
        </is>
      </c>
      <c r="AA1278" t="n">
        <v>1069</v>
      </c>
      <c r="AB1278" t="n">
        <v>886</v>
      </c>
      <c r="AC1278" t="n">
        <v>926</v>
      </c>
      <c r="AD1278" t="n">
        <v>10</v>
      </c>
      <c r="AE1278" t="n">
        <v>10</v>
      </c>
      <c r="AF1278" t="n">
        <v>51</v>
      </c>
      <c r="AG1278" t="n">
        <v>54</v>
      </c>
      <c r="AH1278" t="n">
        <v>20</v>
      </c>
      <c r="AI1278" t="n">
        <v>23</v>
      </c>
      <c r="AJ1278" t="n">
        <v>10</v>
      </c>
      <c r="AK1278" t="n">
        <v>10</v>
      </c>
      <c r="AL1278" t="n">
        <v>24</v>
      </c>
      <c r="AM1278" t="n">
        <v>24</v>
      </c>
      <c r="AN1278" t="n">
        <v>9</v>
      </c>
      <c r="AO1278" t="n">
        <v>9</v>
      </c>
      <c r="AP1278" t="n">
        <v>0</v>
      </c>
      <c r="AQ1278" t="n">
        <v>0</v>
      </c>
      <c r="AR1278" t="inlineStr">
        <is>
          <t>No</t>
        </is>
      </c>
      <c r="AS1278" t="inlineStr">
        <is>
          <t>Yes</t>
        </is>
      </c>
      <c r="AT1278">
        <f>HYPERLINK("http://catalog.hathitrust.org/Record/000449079","HathiTrust Record")</f>
        <v/>
      </c>
      <c r="AU1278">
        <f>HYPERLINK("https://creighton-primo.hosted.exlibrisgroup.com/primo-explore/search?tab=default_tab&amp;search_scope=EVERYTHING&amp;vid=01CRU&amp;lang=en_US&amp;offset=0&amp;query=any,contains,991000110459702656","Catalog Record")</f>
        <v/>
      </c>
      <c r="AV1278">
        <f>HYPERLINK("http://www.worldcat.org/oclc/47942","WorldCat Record")</f>
        <v/>
      </c>
      <c r="AW1278" t="inlineStr">
        <is>
          <t>1217494:eng</t>
        </is>
      </c>
      <c r="AX1278" t="inlineStr">
        <is>
          <t>47942</t>
        </is>
      </c>
      <c r="AY1278" t="inlineStr">
        <is>
          <t>991000110459702656</t>
        </is>
      </c>
      <c r="AZ1278" t="inlineStr">
        <is>
          <t>991000110459702656</t>
        </is>
      </c>
      <c r="BA1278" t="inlineStr">
        <is>
          <t>2262345480002656</t>
        </is>
      </c>
      <c r="BB1278" t="inlineStr">
        <is>
          <t>BOOK</t>
        </is>
      </c>
      <c r="BD1278" t="inlineStr">
        <is>
          <t>9780802052094</t>
        </is>
      </c>
      <c r="BE1278" t="inlineStr">
        <is>
          <t>32285002959731</t>
        </is>
      </c>
      <c r="BF1278" t="inlineStr">
        <is>
          <t>893607629</t>
        </is>
      </c>
    </row>
    <row r="1279">
      <c r="A1279" t="inlineStr">
        <is>
          <t>No</t>
        </is>
      </c>
      <c r="B1279" t="inlineStr">
        <is>
          <t>CURAL</t>
        </is>
      </c>
      <c r="C1279" t="inlineStr">
        <is>
          <t>SHELVES</t>
        </is>
      </c>
      <c r="D1279" t="inlineStr">
        <is>
          <t>PR3633 .N5</t>
        </is>
      </c>
      <c r="E1279" t="inlineStr">
        <is>
          <t>0                      PR 3633000N  5</t>
        </is>
      </c>
      <c r="F1279" t="inlineStr">
        <is>
          <t>"This long disease, my life"; Alexander Pope and the sciences, by Marjorie Nicolson and G. S. Rousseau.</t>
        </is>
      </c>
      <c r="H1279" t="inlineStr">
        <is>
          <t>No</t>
        </is>
      </c>
      <c r="I1279" t="inlineStr">
        <is>
          <t>1</t>
        </is>
      </c>
      <c r="J1279" t="inlineStr">
        <is>
          <t>No</t>
        </is>
      </c>
      <c r="K1279" t="inlineStr">
        <is>
          <t>No</t>
        </is>
      </c>
      <c r="L1279" t="inlineStr">
        <is>
          <t>0</t>
        </is>
      </c>
      <c r="M1279" t="inlineStr">
        <is>
          <t>Nicolson, Marjorie Hope, 1894-1981.</t>
        </is>
      </c>
      <c r="N1279" t="inlineStr">
        <is>
          <t>Princeton, N.J., Princeton University Press, 1968.</t>
        </is>
      </c>
      <c r="O1279" t="inlineStr">
        <is>
          <t>1968</t>
        </is>
      </c>
      <c r="Q1279" t="inlineStr">
        <is>
          <t>eng</t>
        </is>
      </c>
      <c r="R1279" t="inlineStr">
        <is>
          <t>nju</t>
        </is>
      </c>
      <c r="T1279" t="inlineStr">
        <is>
          <t xml:space="preserve">PR </t>
        </is>
      </c>
      <c r="U1279" t="n">
        <v>3</v>
      </c>
      <c r="V1279" t="n">
        <v>3</v>
      </c>
      <c r="W1279" t="inlineStr">
        <is>
          <t>2003-11-16</t>
        </is>
      </c>
      <c r="X1279" t="inlineStr">
        <is>
          <t>2003-11-16</t>
        </is>
      </c>
      <c r="Y1279" t="inlineStr">
        <is>
          <t>1997-07-24</t>
        </is>
      </c>
      <c r="Z1279" t="inlineStr">
        <is>
          <t>1997-07-24</t>
        </is>
      </c>
      <c r="AA1279" t="n">
        <v>925</v>
      </c>
      <c r="AB1279" t="n">
        <v>784</v>
      </c>
      <c r="AC1279" t="n">
        <v>998</v>
      </c>
      <c r="AD1279" t="n">
        <v>9</v>
      </c>
      <c r="AE1279" t="n">
        <v>9</v>
      </c>
      <c r="AF1279" t="n">
        <v>40</v>
      </c>
      <c r="AG1279" t="n">
        <v>44</v>
      </c>
      <c r="AH1279" t="n">
        <v>12</v>
      </c>
      <c r="AI1279" t="n">
        <v>15</v>
      </c>
      <c r="AJ1279" t="n">
        <v>9</v>
      </c>
      <c r="AK1279" t="n">
        <v>10</v>
      </c>
      <c r="AL1279" t="n">
        <v>20</v>
      </c>
      <c r="AM1279" t="n">
        <v>21</v>
      </c>
      <c r="AN1279" t="n">
        <v>8</v>
      </c>
      <c r="AO1279" t="n">
        <v>8</v>
      </c>
      <c r="AP1279" t="n">
        <v>0</v>
      </c>
      <c r="AQ1279" t="n">
        <v>0</v>
      </c>
      <c r="AR1279" t="inlineStr">
        <is>
          <t>No</t>
        </is>
      </c>
      <c r="AS1279" t="inlineStr">
        <is>
          <t>No</t>
        </is>
      </c>
      <c r="AU1279">
        <f>HYPERLINK("https://creighton-primo.hosted.exlibrisgroup.com/primo-explore/search?tab=default_tab&amp;search_scope=EVERYTHING&amp;vid=01CRU&amp;lang=en_US&amp;offset=0&amp;query=any,contains,991000962279702656","Catalog Record")</f>
        <v/>
      </c>
      <c r="AV1279">
        <f>HYPERLINK("http://www.worldcat.org/oclc/169616","WorldCat Record")</f>
        <v/>
      </c>
      <c r="AW1279" t="inlineStr">
        <is>
          <t>211674048:eng</t>
        </is>
      </c>
      <c r="AX1279" t="inlineStr">
        <is>
          <t>169616</t>
        </is>
      </c>
      <c r="AY1279" t="inlineStr">
        <is>
          <t>991000962279702656</t>
        </is>
      </c>
      <c r="AZ1279" t="inlineStr">
        <is>
          <t>991000962279702656</t>
        </is>
      </c>
      <c r="BA1279" t="inlineStr">
        <is>
          <t>2264056360002656</t>
        </is>
      </c>
      <c r="BB1279" t="inlineStr">
        <is>
          <t>BOOK</t>
        </is>
      </c>
      <c r="BE1279" t="inlineStr">
        <is>
          <t>32285002959749</t>
        </is>
      </c>
      <c r="BF1279" t="inlineStr">
        <is>
          <t>893683900</t>
        </is>
      </c>
    </row>
    <row r="1280">
      <c r="A1280" t="inlineStr">
        <is>
          <t>No</t>
        </is>
      </c>
      <c r="B1280" t="inlineStr">
        <is>
          <t>CURAL</t>
        </is>
      </c>
      <c r="C1280" t="inlineStr">
        <is>
          <t>SHELVES</t>
        </is>
      </c>
      <c r="D1280" t="inlineStr">
        <is>
          <t>PR3633 .R67 1990a</t>
        </is>
      </c>
      <c r="E1280" t="inlineStr">
        <is>
          <t>0                      PR 3633000R  67          1990a</t>
        </is>
      </c>
      <c r="F1280" t="inlineStr">
        <is>
          <t>Alexander Pope : a literary life / Felicity Rosslyn.</t>
        </is>
      </c>
      <c r="H1280" t="inlineStr">
        <is>
          <t>No</t>
        </is>
      </c>
      <c r="I1280" t="inlineStr">
        <is>
          <t>1</t>
        </is>
      </c>
      <c r="J1280" t="inlineStr">
        <is>
          <t>No</t>
        </is>
      </c>
      <c r="K1280" t="inlineStr">
        <is>
          <t>No</t>
        </is>
      </c>
      <c r="L1280" t="inlineStr">
        <is>
          <t>0</t>
        </is>
      </c>
      <c r="M1280" t="inlineStr">
        <is>
          <t>Rosslyn, Felicity.</t>
        </is>
      </c>
      <c r="N1280" t="inlineStr">
        <is>
          <t>Basingstoke : Macmillan, 1990.</t>
        </is>
      </c>
      <c r="O1280" t="inlineStr">
        <is>
          <t>1990</t>
        </is>
      </c>
      <c r="Q1280" t="inlineStr">
        <is>
          <t>eng</t>
        </is>
      </c>
      <c r="R1280" t="inlineStr">
        <is>
          <t>enk</t>
        </is>
      </c>
      <c r="S1280" t="inlineStr">
        <is>
          <t>Macmillan literary lives</t>
        </is>
      </c>
      <c r="T1280" t="inlineStr">
        <is>
          <t xml:space="preserve">PR </t>
        </is>
      </c>
      <c r="U1280" t="n">
        <v>2</v>
      </c>
      <c r="V1280" t="n">
        <v>2</v>
      </c>
      <c r="W1280" t="inlineStr">
        <is>
          <t>2005-11-18</t>
        </is>
      </c>
      <c r="X1280" t="inlineStr">
        <is>
          <t>2005-11-18</t>
        </is>
      </c>
      <c r="Y1280" t="inlineStr">
        <is>
          <t>1991-01-22</t>
        </is>
      </c>
      <c r="Z1280" t="inlineStr">
        <is>
          <t>1991-01-22</t>
        </is>
      </c>
      <c r="AA1280" t="n">
        <v>147</v>
      </c>
      <c r="AB1280" t="n">
        <v>50</v>
      </c>
      <c r="AC1280" t="n">
        <v>381</v>
      </c>
      <c r="AD1280" t="n">
        <v>1</v>
      </c>
      <c r="AE1280" t="n">
        <v>6</v>
      </c>
      <c r="AF1280" t="n">
        <v>0</v>
      </c>
      <c r="AG1280" t="n">
        <v>25</v>
      </c>
      <c r="AH1280" t="n">
        <v>0</v>
      </c>
      <c r="AI1280" t="n">
        <v>10</v>
      </c>
      <c r="AJ1280" t="n">
        <v>0</v>
      </c>
      <c r="AK1280" t="n">
        <v>4</v>
      </c>
      <c r="AL1280" t="n">
        <v>0</v>
      </c>
      <c r="AM1280" t="n">
        <v>13</v>
      </c>
      <c r="AN1280" t="n">
        <v>0</v>
      </c>
      <c r="AO1280" t="n">
        <v>5</v>
      </c>
      <c r="AP1280" t="n">
        <v>0</v>
      </c>
      <c r="AQ1280" t="n">
        <v>0</v>
      </c>
      <c r="AR1280" t="inlineStr">
        <is>
          <t>No</t>
        </is>
      </c>
      <c r="AS1280" t="inlineStr">
        <is>
          <t>No</t>
        </is>
      </c>
      <c r="AU1280">
        <f>HYPERLINK("https://creighton-primo.hosted.exlibrisgroup.com/primo-explore/search?tab=default_tab&amp;search_scope=EVERYTHING&amp;vid=01CRU&amp;lang=en_US&amp;offset=0&amp;query=any,contains,991001574369702656","Catalog Record")</f>
        <v/>
      </c>
      <c r="AV1280">
        <f>HYPERLINK("http://www.worldcat.org/oclc/20420323","WorldCat Record")</f>
        <v/>
      </c>
      <c r="AW1280" t="inlineStr">
        <is>
          <t>795540583:eng</t>
        </is>
      </c>
      <c r="AX1280" t="inlineStr">
        <is>
          <t>20420323</t>
        </is>
      </c>
      <c r="AY1280" t="inlineStr">
        <is>
          <t>991001574369702656</t>
        </is>
      </c>
      <c r="AZ1280" t="inlineStr">
        <is>
          <t>991001574369702656</t>
        </is>
      </c>
      <c r="BA1280" t="inlineStr">
        <is>
          <t>2268003110002656</t>
        </is>
      </c>
      <c r="BB1280" t="inlineStr">
        <is>
          <t>BOOK</t>
        </is>
      </c>
      <c r="BD1280" t="inlineStr">
        <is>
          <t>9780333426913</t>
        </is>
      </c>
      <c r="BE1280" t="inlineStr">
        <is>
          <t>32285000409325</t>
        </is>
      </c>
      <c r="BF1280" t="inlineStr">
        <is>
          <t>893340523</t>
        </is>
      </c>
    </row>
    <row r="1281">
      <c r="A1281" t="inlineStr">
        <is>
          <t>No</t>
        </is>
      </c>
      <c r="B1281" t="inlineStr">
        <is>
          <t>CURAL</t>
        </is>
      </c>
      <c r="C1281" t="inlineStr">
        <is>
          <t>SHELVES</t>
        </is>
      </c>
      <c r="D1281" t="inlineStr">
        <is>
          <t>PR3634 .A54 1988</t>
        </is>
      </c>
      <c r="E1281" t="inlineStr">
        <is>
          <t>0                      PR 3634000A  54          1988</t>
        </is>
      </c>
      <c r="F1281" t="inlineStr">
        <is>
          <t>Alexander Pope : essays for the tercentenary / edited by Colin Nicholson.</t>
        </is>
      </c>
      <c r="H1281" t="inlineStr">
        <is>
          <t>No</t>
        </is>
      </c>
      <c r="I1281" t="inlineStr">
        <is>
          <t>1</t>
        </is>
      </c>
      <c r="J1281" t="inlineStr">
        <is>
          <t>No</t>
        </is>
      </c>
      <c r="K1281" t="inlineStr">
        <is>
          <t>No</t>
        </is>
      </c>
      <c r="L1281" t="inlineStr">
        <is>
          <t>0</t>
        </is>
      </c>
      <c r="N1281" t="inlineStr">
        <is>
          <t>Aberdeen : Aberdeen University Press, 1988.</t>
        </is>
      </c>
      <c r="O1281" t="inlineStr">
        <is>
          <t>1988</t>
        </is>
      </c>
      <c r="Q1281" t="inlineStr">
        <is>
          <t>eng</t>
        </is>
      </c>
      <c r="R1281" t="inlineStr">
        <is>
          <t>stk</t>
        </is>
      </c>
      <c r="T1281" t="inlineStr">
        <is>
          <t xml:space="preserve">PR </t>
        </is>
      </c>
      <c r="U1281" t="n">
        <v>5</v>
      </c>
      <c r="V1281" t="n">
        <v>5</v>
      </c>
      <c r="W1281" t="inlineStr">
        <is>
          <t>2004-11-15</t>
        </is>
      </c>
      <c r="X1281" t="inlineStr">
        <is>
          <t>2004-11-15</t>
        </is>
      </c>
      <c r="Y1281" t="inlineStr">
        <is>
          <t>1991-06-05</t>
        </is>
      </c>
      <c r="Z1281" t="inlineStr">
        <is>
          <t>1991-06-05</t>
        </is>
      </c>
      <c r="AA1281" t="n">
        <v>319</v>
      </c>
      <c r="AB1281" t="n">
        <v>214</v>
      </c>
      <c r="AC1281" t="n">
        <v>216</v>
      </c>
      <c r="AD1281" t="n">
        <v>2</v>
      </c>
      <c r="AE1281" t="n">
        <v>2</v>
      </c>
      <c r="AF1281" t="n">
        <v>15</v>
      </c>
      <c r="AG1281" t="n">
        <v>15</v>
      </c>
      <c r="AH1281" t="n">
        <v>9</v>
      </c>
      <c r="AI1281" t="n">
        <v>9</v>
      </c>
      <c r="AJ1281" t="n">
        <v>4</v>
      </c>
      <c r="AK1281" t="n">
        <v>4</v>
      </c>
      <c r="AL1281" t="n">
        <v>8</v>
      </c>
      <c r="AM1281" t="n">
        <v>8</v>
      </c>
      <c r="AN1281" t="n">
        <v>1</v>
      </c>
      <c r="AO1281" t="n">
        <v>1</v>
      </c>
      <c r="AP1281" t="n">
        <v>0</v>
      </c>
      <c r="AQ1281" t="n">
        <v>0</v>
      </c>
      <c r="AR1281" t="inlineStr">
        <is>
          <t>No</t>
        </is>
      </c>
      <c r="AS1281" t="inlineStr">
        <is>
          <t>Yes</t>
        </is>
      </c>
      <c r="AT1281">
        <f>HYPERLINK("http://catalog.hathitrust.org/Record/001077411","HathiTrust Record")</f>
        <v/>
      </c>
      <c r="AU1281">
        <f>HYPERLINK("https://creighton-primo.hosted.exlibrisgroup.com/primo-explore/search?tab=default_tab&amp;search_scope=EVERYTHING&amp;vid=01CRU&amp;lang=en_US&amp;offset=0&amp;query=any,contains,991005409269702656","Catalog Record")</f>
        <v/>
      </c>
      <c r="AV1281">
        <f>HYPERLINK("http://www.worldcat.org/oclc/21152100","WorldCat Record")</f>
        <v/>
      </c>
      <c r="AW1281" t="inlineStr">
        <is>
          <t>144018440:eng</t>
        </is>
      </c>
      <c r="AX1281" t="inlineStr">
        <is>
          <t>21152100</t>
        </is>
      </c>
      <c r="AY1281" t="inlineStr">
        <is>
          <t>991005409269702656</t>
        </is>
      </c>
      <c r="AZ1281" t="inlineStr">
        <is>
          <t>991005409269702656</t>
        </is>
      </c>
      <c r="BA1281" t="inlineStr">
        <is>
          <t>2267581560002656</t>
        </is>
      </c>
      <c r="BB1281" t="inlineStr">
        <is>
          <t>BOOK</t>
        </is>
      </c>
      <c r="BD1281" t="inlineStr">
        <is>
          <t>9780080363943</t>
        </is>
      </c>
      <c r="BE1281" t="inlineStr">
        <is>
          <t>32285000615012</t>
        </is>
      </c>
      <c r="BF1281" t="inlineStr">
        <is>
          <t>893783638</t>
        </is>
      </c>
    </row>
    <row r="1282">
      <c r="A1282" t="inlineStr">
        <is>
          <t>No</t>
        </is>
      </c>
      <c r="B1282" t="inlineStr">
        <is>
          <t>CURAL</t>
        </is>
      </c>
      <c r="C1282" t="inlineStr">
        <is>
          <t>SHELVES</t>
        </is>
      </c>
      <c r="D1282" t="inlineStr">
        <is>
          <t>PR3634 .A78</t>
        </is>
      </c>
      <c r="E1282" t="inlineStr">
        <is>
          <t>0                      PR 3634000A  78</t>
        </is>
      </c>
      <c r="F1282" t="inlineStr">
        <is>
          <t>The Art of Alexander Pope / edited by Howard Erskine-Hill and Anne Smith.</t>
        </is>
      </c>
      <c r="H1282" t="inlineStr">
        <is>
          <t>No</t>
        </is>
      </c>
      <c r="I1282" t="inlineStr">
        <is>
          <t>1</t>
        </is>
      </c>
      <c r="J1282" t="inlineStr">
        <is>
          <t>No</t>
        </is>
      </c>
      <c r="K1282" t="inlineStr">
        <is>
          <t>No</t>
        </is>
      </c>
      <c r="L1282" t="inlineStr">
        <is>
          <t>0</t>
        </is>
      </c>
      <c r="N1282" t="inlineStr">
        <is>
          <t>New York : Barnes &amp; Noble, c1979.</t>
        </is>
      </c>
      <c r="O1282" t="inlineStr">
        <is>
          <t>1979</t>
        </is>
      </c>
      <c r="Q1282" t="inlineStr">
        <is>
          <t>eng</t>
        </is>
      </c>
      <c r="R1282" t="inlineStr">
        <is>
          <t>nyu</t>
        </is>
      </c>
      <c r="S1282" t="inlineStr">
        <is>
          <t>Vision critical studies</t>
        </is>
      </c>
      <c r="T1282" t="inlineStr">
        <is>
          <t xml:space="preserve">PR </t>
        </is>
      </c>
      <c r="U1282" t="n">
        <v>7</v>
      </c>
      <c r="V1282" t="n">
        <v>7</v>
      </c>
      <c r="W1282" t="inlineStr">
        <is>
          <t>2004-11-21</t>
        </is>
      </c>
      <c r="X1282" t="inlineStr">
        <is>
          <t>2004-11-21</t>
        </is>
      </c>
      <c r="Y1282" t="inlineStr">
        <is>
          <t>1991-06-05</t>
        </is>
      </c>
      <c r="Z1282" t="inlineStr">
        <is>
          <t>1991-06-05</t>
        </is>
      </c>
      <c r="AA1282" t="n">
        <v>550</v>
      </c>
      <c r="AB1282" t="n">
        <v>519</v>
      </c>
      <c r="AC1282" t="n">
        <v>600</v>
      </c>
      <c r="AD1282" t="n">
        <v>5</v>
      </c>
      <c r="AE1282" t="n">
        <v>6</v>
      </c>
      <c r="AF1282" t="n">
        <v>26</v>
      </c>
      <c r="AG1282" t="n">
        <v>33</v>
      </c>
      <c r="AH1282" t="n">
        <v>11</v>
      </c>
      <c r="AI1282" t="n">
        <v>12</v>
      </c>
      <c r="AJ1282" t="n">
        <v>5</v>
      </c>
      <c r="AK1282" t="n">
        <v>8</v>
      </c>
      <c r="AL1282" t="n">
        <v>16</v>
      </c>
      <c r="AM1282" t="n">
        <v>20</v>
      </c>
      <c r="AN1282" t="n">
        <v>4</v>
      </c>
      <c r="AO1282" t="n">
        <v>5</v>
      </c>
      <c r="AP1282" t="n">
        <v>0</v>
      </c>
      <c r="AQ1282" t="n">
        <v>0</v>
      </c>
      <c r="AR1282" t="inlineStr">
        <is>
          <t>No</t>
        </is>
      </c>
      <c r="AS1282" t="inlineStr">
        <is>
          <t>No</t>
        </is>
      </c>
      <c r="AU1282">
        <f>HYPERLINK("https://creighton-primo.hosted.exlibrisgroup.com/primo-explore/search?tab=default_tab&amp;search_scope=EVERYTHING&amp;vid=01CRU&amp;lang=en_US&amp;offset=0&amp;query=any,contains,991004767289702656","Catalog Record")</f>
        <v/>
      </c>
      <c r="AV1282">
        <f>HYPERLINK("http://www.worldcat.org/oclc/5031236","WorldCat Record")</f>
        <v/>
      </c>
      <c r="AW1282" t="inlineStr">
        <is>
          <t>349967283:eng</t>
        </is>
      </c>
      <c r="AX1282" t="inlineStr">
        <is>
          <t>5031236</t>
        </is>
      </c>
      <c r="AY1282" t="inlineStr">
        <is>
          <t>991004767289702656</t>
        </is>
      </c>
      <c r="AZ1282" t="inlineStr">
        <is>
          <t>991004767289702656</t>
        </is>
      </c>
      <c r="BA1282" t="inlineStr">
        <is>
          <t>2255155330002656</t>
        </is>
      </c>
      <c r="BB1282" t="inlineStr">
        <is>
          <t>BOOK</t>
        </is>
      </c>
      <c r="BD1282" t="inlineStr">
        <is>
          <t>9780064920292</t>
        </is>
      </c>
      <c r="BE1282" t="inlineStr">
        <is>
          <t>32285000615020</t>
        </is>
      </c>
      <c r="BF1282" t="inlineStr">
        <is>
          <t>893889259</t>
        </is>
      </c>
    </row>
    <row r="1283">
      <c r="A1283" t="inlineStr">
        <is>
          <t>No</t>
        </is>
      </c>
      <c r="B1283" t="inlineStr">
        <is>
          <t>CURAL</t>
        </is>
      </c>
      <c r="C1283" t="inlineStr">
        <is>
          <t>SHELVES</t>
        </is>
      </c>
      <c r="D1283" t="inlineStr">
        <is>
          <t>PR3634 .B28</t>
        </is>
      </c>
      <c r="E1283" t="inlineStr">
        <is>
          <t>0                      PR 3634000B  28</t>
        </is>
      </c>
      <c r="F1283" t="inlineStr">
        <is>
          <t>Pope, the critical heritage.</t>
        </is>
      </c>
      <c r="H1283" t="inlineStr">
        <is>
          <t>No</t>
        </is>
      </c>
      <c r="I1283" t="inlineStr">
        <is>
          <t>1</t>
        </is>
      </c>
      <c r="J1283" t="inlineStr">
        <is>
          <t>No</t>
        </is>
      </c>
      <c r="K1283" t="inlineStr">
        <is>
          <t>No</t>
        </is>
      </c>
      <c r="L1283" t="inlineStr">
        <is>
          <t>0</t>
        </is>
      </c>
      <c r="M1283" t="inlineStr">
        <is>
          <t>Barnard, John, 1936- compiler.</t>
        </is>
      </c>
      <c r="N1283" t="inlineStr">
        <is>
          <t>London, Boston, Routledge and Kegan Paul, 1973.</t>
        </is>
      </c>
      <c r="O1283" t="inlineStr">
        <is>
          <t>1973</t>
        </is>
      </c>
      <c r="Q1283" t="inlineStr">
        <is>
          <t>eng</t>
        </is>
      </c>
      <c r="R1283" t="inlineStr">
        <is>
          <t>enk</t>
        </is>
      </c>
      <c r="S1283" t="inlineStr">
        <is>
          <t>The Critical heritage series</t>
        </is>
      </c>
      <c r="T1283" t="inlineStr">
        <is>
          <t xml:space="preserve">PR </t>
        </is>
      </c>
      <c r="U1283" t="n">
        <v>1</v>
      </c>
      <c r="V1283" t="n">
        <v>1</v>
      </c>
      <c r="W1283" t="inlineStr">
        <is>
          <t>2004-11-21</t>
        </is>
      </c>
      <c r="X1283" t="inlineStr">
        <is>
          <t>2004-11-21</t>
        </is>
      </c>
      <c r="Y1283" t="inlineStr">
        <is>
          <t>1995-02-28</t>
        </is>
      </c>
      <c r="Z1283" t="inlineStr">
        <is>
          <t>1995-02-28</t>
        </is>
      </c>
      <c r="AA1283" t="n">
        <v>788</v>
      </c>
      <c r="AB1283" t="n">
        <v>542</v>
      </c>
      <c r="AC1283" t="n">
        <v>549</v>
      </c>
      <c r="AD1283" t="n">
        <v>4</v>
      </c>
      <c r="AE1283" t="n">
        <v>4</v>
      </c>
      <c r="AF1283" t="n">
        <v>25</v>
      </c>
      <c r="AG1283" t="n">
        <v>25</v>
      </c>
      <c r="AH1283" t="n">
        <v>11</v>
      </c>
      <c r="AI1283" t="n">
        <v>11</v>
      </c>
      <c r="AJ1283" t="n">
        <v>4</v>
      </c>
      <c r="AK1283" t="n">
        <v>4</v>
      </c>
      <c r="AL1283" t="n">
        <v>15</v>
      </c>
      <c r="AM1283" t="n">
        <v>15</v>
      </c>
      <c r="AN1283" t="n">
        <v>3</v>
      </c>
      <c r="AO1283" t="n">
        <v>3</v>
      </c>
      <c r="AP1283" t="n">
        <v>0</v>
      </c>
      <c r="AQ1283" t="n">
        <v>0</v>
      </c>
      <c r="AR1283" t="inlineStr">
        <is>
          <t>No</t>
        </is>
      </c>
      <c r="AS1283" t="inlineStr">
        <is>
          <t>Yes</t>
        </is>
      </c>
      <c r="AT1283">
        <f>HYPERLINK("http://catalog.hathitrust.org/Record/000016687","HathiTrust Record")</f>
        <v/>
      </c>
      <c r="AU1283">
        <f>HYPERLINK("https://creighton-primo.hosted.exlibrisgroup.com/primo-explore/search?tab=default_tab&amp;search_scope=EVERYTHING&amp;vid=01CRU&amp;lang=en_US&amp;offset=0&amp;query=any,contains,991003470919702656","Catalog Record")</f>
        <v/>
      </c>
      <c r="AV1283">
        <f>HYPERLINK("http://www.worldcat.org/oclc/1013441","WorldCat Record")</f>
        <v/>
      </c>
      <c r="AW1283" t="inlineStr">
        <is>
          <t>2044363466:eng</t>
        </is>
      </c>
      <c r="AX1283" t="inlineStr">
        <is>
          <t>1013441</t>
        </is>
      </c>
      <c r="AY1283" t="inlineStr">
        <is>
          <t>991003470919702656</t>
        </is>
      </c>
      <c r="AZ1283" t="inlineStr">
        <is>
          <t>991003470919702656</t>
        </is>
      </c>
      <c r="BA1283" t="inlineStr">
        <is>
          <t>2255277000002656</t>
        </is>
      </c>
      <c r="BB1283" t="inlineStr">
        <is>
          <t>BOOK</t>
        </is>
      </c>
      <c r="BE1283" t="inlineStr">
        <is>
          <t>32285002010824</t>
        </is>
      </c>
      <c r="BF1283" t="inlineStr">
        <is>
          <t>893617361</t>
        </is>
      </c>
    </row>
    <row r="1284">
      <c r="A1284" t="inlineStr">
        <is>
          <t>No</t>
        </is>
      </c>
      <c r="B1284" t="inlineStr">
        <is>
          <t>CURAL</t>
        </is>
      </c>
      <c r="C1284" t="inlineStr">
        <is>
          <t>SHELVES</t>
        </is>
      </c>
      <c r="D1284" t="inlineStr">
        <is>
          <t>PR3634 .B57</t>
        </is>
      </c>
      <c r="E1284" t="inlineStr">
        <is>
          <t>0                      PR 3634000B  57</t>
        </is>
      </c>
      <c r="F1284" t="inlineStr">
        <is>
          <t>Acts of knowledge : Pope's later poems / Fredric V. Bogel.</t>
        </is>
      </c>
      <c r="H1284" t="inlineStr">
        <is>
          <t>No</t>
        </is>
      </c>
      <c r="I1284" t="inlineStr">
        <is>
          <t>1</t>
        </is>
      </c>
      <c r="J1284" t="inlineStr">
        <is>
          <t>No</t>
        </is>
      </c>
      <c r="K1284" t="inlineStr">
        <is>
          <t>No</t>
        </is>
      </c>
      <c r="L1284" t="inlineStr">
        <is>
          <t>0</t>
        </is>
      </c>
      <c r="M1284" t="inlineStr">
        <is>
          <t>Bogel, Fredric V., 1943-</t>
        </is>
      </c>
      <c r="N1284" t="inlineStr">
        <is>
          <t>Lewisburg : Bucknell University Press, c1981.</t>
        </is>
      </c>
      <c r="O1284" t="inlineStr">
        <is>
          <t>1981</t>
        </is>
      </c>
      <c r="Q1284" t="inlineStr">
        <is>
          <t>eng</t>
        </is>
      </c>
      <c r="R1284" t="inlineStr">
        <is>
          <t>pau</t>
        </is>
      </c>
      <c r="T1284" t="inlineStr">
        <is>
          <t xml:space="preserve">PR </t>
        </is>
      </c>
      <c r="U1284" t="n">
        <v>1</v>
      </c>
      <c r="V1284" t="n">
        <v>1</v>
      </c>
      <c r="W1284" t="inlineStr">
        <is>
          <t>2003-11-18</t>
        </is>
      </c>
      <c r="X1284" t="inlineStr">
        <is>
          <t>2003-11-18</t>
        </is>
      </c>
      <c r="Y1284" t="inlineStr">
        <is>
          <t>1991-06-05</t>
        </is>
      </c>
      <c r="Z1284" t="inlineStr">
        <is>
          <t>1991-06-05</t>
        </is>
      </c>
      <c r="AA1284" t="n">
        <v>346</v>
      </c>
      <c r="AB1284" t="n">
        <v>288</v>
      </c>
      <c r="AC1284" t="n">
        <v>302</v>
      </c>
      <c r="AD1284" t="n">
        <v>3</v>
      </c>
      <c r="AE1284" t="n">
        <v>3</v>
      </c>
      <c r="AF1284" t="n">
        <v>19</v>
      </c>
      <c r="AG1284" t="n">
        <v>19</v>
      </c>
      <c r="AH1284" t="n">
        <v>8</v>
      </c>
      <c r="AI1284" t="n">
        <v>8</v>
      </c>
      <c r="AJ1284" t="n">
        <v>5</v>
      </c>
      <c r="AK1284" t="n">
        <v>5</v>
      </c>
      <c r="AL1284" t="n">
        <v>10</v>
      </c>
      <c r="AM1284" t="n">
        <v>10</v>
      </c>
      <c r="AN1284" t="n">
        <v>2</v>
      </c>
      <c r="AO1284" t="n">
        <v>2</v>
      </c>
      <c r="AP1284" t="n">
        <v>0</v>
      </c>
      <c r="AQ1284" t="n">
        <v>0</v>
      </c>
      <c r="AR1284" t="inlineStr">
        <is>
          <t>No</t>
        </is>
      </c>
      <c r="AS1284" t="inlineStr">
        <is>
          <t>Yes</t>
        </is>
      </c>
      <c r="AT1284">
        <f>HYPERLINK("http://catalog.hathitrust.org/Record/000169590","HathiTrust Record")</f>
        <v/>
      </c>
      <c r="AU1284">
        <f>HYPERLINK("https://creighton-primo.hosted.exlibrisgroup.com/primo-explore/search?tab=default_tab&amp;search_scope=EVERYTHING&amp;vid=01CRU&amp;lang=en_US&amp;offset=0&amp;query=any,contains,991004802849702656","Catalog Record")</f>
        <v/>
      </c>
      <c r="AV1284">
        <f>HYPERLINK("http://www.worldcat.org/oclc/5220516","WorldCat Record")</f>
        <v/>
      </c>
      <c r="AW1284" t="inlineStr">
        <is>
          <t>503644:eng</t>
        </is>
      </c>
      <c r="AX1284" t="inlineStr">
        <is>
          <t>5220516</t>
        </is>
      </c>
      <c r="AY1284" t="inlineStr">
        <is>
          <t>991004802849702656</t>
        </is>
      </c>
      <c r="AZ1284" t="inlineStr">
        <is>
          <t>991004802849702656</t>
        </is>
      </c>
      <c r="BA1284" t="inlineStr">
        <is>
          <t>2267357190002656</t>
        </is>
      </c>
      <c r="BB1284" t="inlineStr">
        <is>
          <t>BOOK</t>
        </is>
      </c>
      <c r="BD1284" t="inlineStr">
        <is>
          <t>9780838723807</t>
        </is>
      </c>
      <c r="BE1284" t="inlineStr">
        <is>
          <t>32285000615038</t>
        </is>
      </c>
      <c r="BF1284" t="inlineStr">
        <is>
          <t>893870133</t>
        </is>
      </c>
    </row>
    <row r="1285">
      <c r="A1285" t="inlineStr">
        <is>
          <t>No</t>
        </is>
      </c>
      <c r="B1285" t="inlineStr">
        <is>
          <t>CURAL</t>
        </is>
      </c>
      <c r="C1285" t="inlineStr">
        <is>
          <t>SHELVES</t>
        </is>
      </c>
      <c r="D1285" t="inlineStr">
        <is>
          <t>PR3634 .B7</t>
        </is>
      </c>
      <c r="E1285" t="inlineStr">
        <is>
          <t>0                      PR 3634000B  7</t>
        </is>
      </c>
      <c r="F1285" t="inlineStr">
        <is>
          <t>Alexander Pope : the poetry of allusion.</t>
        </is>
      </c>
      <c r="H1285" t="inlineStr">
        <is>
          <t>No</t>
        </is>
      </c>
      <c r="I1285" t="inlineStr">
        <is>
          <t>1</t>
        </is>
      </c>
      <c r="J1285" t="inlineStr">
        <is>
          <t>No</t>
        </is>
      </c>
      <c r="K1285" t="inlineStr">
        <is>
          <t>No</t>
        </is>
      </c>
      <c r="L1285" t="inlineStr">
        <is>
          <t>0</t>
        </is>
      </c>
      <c r="M1285" t="inlineStr">
        <is>
          <t>Brower, Reuben A. (Reuben Arthur), 1908-1975.</t>
        </is>
      </c>
      <c r="N1285" t="inlineStr">
        <is>
          <t>Oxford : Clarendon Press, 1959.</t>
        </is>
      </c>
      <c r="O1285" t="inlineStr">
        <is>
          <t>1959</t>
        </is>
      </c>
      <c r="Q1285" t="inlineStr">
        <is>
          <t>eng</t>
        </is>
      </c>
      <c r="R1285" t="inlineStr">
        <is>
          <t>enk</t>
        </is>
      </c>
      <c r="T1285" t="inlineStr">
        <is>
          <t xml:space="preserve">PR </t>
        </is>
      </c>
      <c r="U1285" t="n">
        <v>2</v>
      </c>
      <c r="V1285" t="n">
        <v>2</v>
      </c>
      <c r="W1285" t="inlineStr">
        <is>
          <t>2004-11-21</t>
        </is>
      </c>
      <c r="X1285" t="inlineStr">
        <is>
          <t>2004-11-21</t>
        </is>
      </c>
      <c r="Y1285" t="inlineStr">
        <is>
          <t>1995-03-10</t>
        </is>
      </c>
      <c r="Z1285" t="inlineStr">
        <is>
          <t>1995-03-10</t>
        </is>
      </c>
      <c r="AA1285" t="n">
        <v>1012</v>
      </c>
      <c r="AB1285" t="n">
        <v>855</v>
      </c>
      <c r="AC1285" t="n">
        <v>1079</v>
      </c>
      <c r="AD1285" t="n">
        <v>8</v>
      </c>
      <c r="AE1285" t="n">
        <v>8</v>
      </c>
      <c r="AF1285" t="n">
        <v>43</v>
      </c>
      <c r="AG1285" t="n">
        <v>48</v>
      </c>
      <c r="AH1285" t="n">
        <v>18</v>
      </c>
      <c r="AI1285" t="n">
        <v>22</v>
      </c>
      <c r="AJ1285" t="n">
        <v>9</v>
      </c>
      <c r="AK1285" t="n">
        <v>9</v>
      </c>
      <c r="AL1285" t="n">
        <v>20</v>
      </c>
      <c r="AM1285" t="n">
        <v>23</v>
      </c>
      <c r="AN1285" t="n">
        <v>6</v>
      </c>
      <c r="AO1285" t="n">
        <v>6</v>
      </c>
      <c r="AP1285" t="n">
        <v>0</v>
      </c>
      <c r="AQ1285" t="n">
        <v>0</v>
      </c>
      <c r="AR1285" t="inlineStr">
        <is>
          <t>No</t>
        </is>
      </c>
      <c r="AS1285" t="inlineStr">
        <is>
          <t>Yes</t>
        </is>
      </c>
      <c r="AT1285">
        <f>HYPERLINK("http://catalog.hathitrust.org/Record/001112794","HathiTrust Record")</f>
        <v/>
      </c>
      <c r="AU1285">
        <f>HYPERLINK("https://creighton-primo.hosted.exlibrisgroup.com/primo-explore/search?tab=default_tab&amp;search_scope=EVERYTHING&amp;vid=01CRU&amp;lang=en_US&amp;offset=0&amp;query=any,contains,991002144769702656","Catalog Record")</f>
        <v/>
      </c>
      <c r="AV1285">
        <f>HYPERLINK("http://www.worldcat.org/oclc/271336","WorldCat Record")</f>
        <v/>
      </c>
      <c r="AW1285" t="inlineStr">
        <is>
          <t>464433395:eng</t>
        </is>
      </c>
      <c r="AX1285" t="inlineStr">
        <is>
          <t>271336</t>
        </is>
      </c>
      <c r="AY1285" t="inlineStr">
        <is>
          <t>991002144769702656</t>
        </is>
      </c>
      <c r="AZ1285" t="inlineStr">
        <is>
          <t>991002144769702656</t>
        </is>
      </c>
      <c r="BA1285" t="inlineStr">
        <is>
          <t>2262088090002656</t>
        </is>
      </c>
      <c r="BB1285" t="inlineStr">
        <is>
          <t>BOOK</t>
        </is>
      </c>
      <c r="BE1285" t="inlineStr">
        <is>
          <t>32285002011905</t>
        </is>
      </c>
      <c r="BF1285" t="inlineStr">
        <is>
          <t>893779467</t>
        </is>
      </c>
    </row>
    <row r="1286">
      <c r="A1286" t="inlineStr">
        <is>
          <t>No</t>
        </is>
      </c>
      <c r="B1286" t="inlineStr">
        <is>
          <t>CURAL</t>
        </is>
      </c>
      <c r="C1286" t="inlineStr">
        <is>
          <t>SHELVES</t>
        </is>
      </c>
      <c r="D1286" t="inlineStr">
        <is>
          <t>PR3634 .C5</t>
        </is>
      </c>
      <c r="E1286" t="inlineStr">
        <is>
          <t>0                      PR 3634000C  5</t>
        </is>
      </c>
      <c r="F1286" t="inlineStr">
        <is>
          <t>Alexander Pope / by Donald B. Clark.</t>
        </is>
      </c>
      <c r="H1286" t="inlineStr">
        <is>
          <t>No</t>
        </is>
      </c>
      <c r="I1286" t="inlineStr">
        <is>
          <t>1</t>
        </is>
      </c>
      <c r="J1286" t="inlineStr">
        <is>
          <t>No</t>
        </is>
      </c>
      <c r="K1286" t="inlineStr">
        <is>
          <t>No</t>
        </is>
      </c>
      <c r="L1286" t="inlineStr">
        <is>
          <t>0</t>
        </is>
      </c>
      <c r="M1286" t="inlineStr">
        <is>
          <t>Clark, Donald Bettice.</t>
        </is>
      </c>
      <c r="N1286" t="inlineStr">
        <is>
          <t>New York : Twayne, [1967]</t>
        </is>
      </c>
      <c r="O1286" t="inlineStr">
        <is>
          <t>1967</t>
        </is>
      </c>
      <c r="Q1286" t="inlineStr">
        <is>
          <t>eng</t>
        </is>
      </c>
      <c r="R1286" t="inlineStr">
        <is>
          <t>nyu</t>
        </is>
      </c>
      <c r="S1286" t="inlineStr">
        <is>
          <t>Twayne's English authors series, 41</t>
        </is>
      </c>
      <c r="T1286" t="inlineStr">
        <is>
          <t xml:space="preserve">PR </t>
        </is>
      </c>
      <c r="U1286" t="n">
        <v>2</v>
      </c>
      <c r="V1286" t="n">
        <v>2</v>
      </c>
      <c r="W1286" t="inlineStr">
        <is>
          <t>2009-01-06</t>
        </is>
      </c>
      <c r="X1286" t="inlineStr">
        <is>
          <t>2009-01-06</t>
        </is>
      </c>
      <c r="Y1286" t="inlineStr">
        <is>
          <t>1991-12-23</t>
        </is>
      </c>
      <c r="Z1286" t="inlineStr">
        <is>
          <t>1991-12-23</t>
        </is>
      </c>
      <c r="AA1286" t="n">
        <v>1310</v>
      </c>
      <c r="AB1286" t="n">
        <v>1201</v>
      </c>
      <c r="AC1286" t="n">
        <v>1211</v>
      </c>
      <c r="AD1286" t="n">
        <v>11</v>
      </c>
      <c r="AE1286" t="n">
        <v>11</v>
      </c>
      <c r="AF1286" t="n">
        <v>44</v>
      </c>
      <c r="AG1286" t="n">
        <v>44</v>
      </c>
      <c r="AH1286" t="n">
        <v>17</v>
      </c>
      <c r="AI1286" t="n">
        <v>17</v>
      </c>
      <c r="AJ1286" t="n">
        <v>9</v>
      </c>
      <c r="AK1286" t="n">
        <v>9</v>
      </c>
      <c r="AL1286" t="n">
        <v>19</v>
      </c>
      <c r="AM1286" t="n">
        <v>19</v>
      </c>
      <c r="AN1286" t="n">
        <v>9</v>
      </c>
      <c r="AO1286" t="n">
        <v>9</v>
      </c>
      <c r="AP1286" t="n">
        <v>0</v>
      </c>
      <c r="AQ1286" t="n">
        <v>0</v>
      </c>
      <c r="AR1286" t="inlineStr">
        <is>
          <t>No</t>
        </is>
      </c>
      <c r="AS1286" t="inlineStr">
        <is>
          <t>Yes</t>
        </is>
      </c>
      <c r="AT1286">
        <f>HYPERLINK("http://catalog.hathitrust.org/Record/001022673","HathiTrust Record")</f>
        <v/>
      </c>
      <c r="AU1286">
        <f>HYPERLINK("https://creighton-primo.hosted.exlibrisgroup.com/primo-explore/search?tab=default_tab&amp;search_scope=EVERYTHING&amp;vid=01CRU&amp;lang=en_US&amp;offset=0&amp;query=any,contains,991003070769702656","Catalog Record")</f>
        <v/>
      </c>
      <c r="AV1286">
        <f>HYPERLINK("http://www.worldcat.org/oclc/625205","WorldCat Record")</f>
        <v/>
      </c>
      <c r="AW1286" t="inlineStr">
        <is>
          <t>461381:eng</t>
        </is>
      </c>
      <c r="AX1286" t="inlineStr">
        <is>
          <t>625205</t>
        </is>
      </c>
      <c r="AY1286" t="inlineStr">
        <is>
          <t>991003070769702656</t>
        </is>
      </c>
      <c r="AZ1286" t="inlineStr">
        <is>
          <t>991003070769702656</t>
        </is>
      </c>
      <c r="BA1286" t="inlineStr">
        <is>
          <t>2259326960002656</t>
        </is>
      </c>
      <c r="BB1286" t="inlineStr">
        <is>
          <t>BOOK</t>
        </is>
      </c>
      <c r="BE1286" t="inlineStr">
        <is>
          <t>32285000878826</t>
        </is>
      </c>
      <c r="BF1286" t="inlineStr">
        <is>
          <t>893616963</t>
        </is>
      </c>
    </row>
    <row r="1287">
      <c r="A1287" t="inlineStr">
        <is>
          <t>No</t>
        </is>
      </c>
      <c r="B1287" t="inlineStr">
        <is>
          <t>CURAL</t>
        </is>
      </c>
      <c r="C1287" t="inlineStr">
        <is>
          <t>SHELVES</t>
        </is>
      </c>
      <c r="D1287" t="inlineStr">
        <is>
          <t>PR3634 .F47 1986</t>
        </is>
      </c>
      <c r="E1287" t="inlineStr">
        <is>
          <t>0                      PR 3634000F  47          1986</t>
        </is>
      </c>
      <c r="F1287" t="inlineStr">
        <is>
          <t>The unbalanced mind : Pope and the rule of passion / Rebecca Ferguson.</t>
        </is>
      </c>
      <c r="H1287" t="inlineStr">
        <is>
          <t>No</t>
        </is>
      </c>
      <c r="I1287" t="inlineStr">
        <is>
          <t>1</t>
        </is>
      </c>
      <c r="J1287" t="inlineStr">
        <is>
          <t>No</t>
        </is>
      </c>
      <c r="K1287" t="inlineStr">
        <is>
          <t>No</t>
        </is>
      </c>
      <c r="L1287" t="inlineStr">
        <is>
          <t>0</t>
        </is>
      </c>
      <c r="M1287" t="inlineStr">
        <is>
          <t>Ferguson, Rebecca.</t>
        </is>
      </c>
      <c r="N1287" t="inlineStr">
        <is>
          <t>Philadelphia, Pa. : University of Pennsylvania Press, 1986.</t>
        </is>
      </c>
      <c r="O1287" t="inlineStr">
        <is>
          <t>1986</t>
        </is>
      </c>
      <c r="Q1287" t="inlineStr">
        <is>
          <t>eng</t>
        </is>
      </c>
      <c r="R1287" t="inlineStr">
        <is>
          <t>pau</t>
        </is>
      </c>
      <c r="T1287" t="inlineStr">
        <is>
          <t xml:space="preserve">PR </t>
        </is>
      </c>
      <c r="U1287" t="n">
        <v>4</v>
      </c>
      <c r="V1287" t="n">
        <v>4</v>
      </c>
      <c r="W1287" t="inlineStr">
        <is>
          <t>1994-02-08</t>
        </is>
      </c>
      <c r="X1287" t="inlineStr">
        <is>
          <t>1994-02-08</t>
        </is>
      </c>
      <c r="Y1287" t="inlineStr">
        <is>
          <t>1992-06-10</t>
        </is>
      </c>
      <c r="Z1287" t="inlineStr">
        <is>
          <t>1992-06-10</t>
        </is>
      </c>
      <c r="AA1287" t="n">
        <v>344</v>
      </c>
      <c r="AB1287" t="n">
        <v>323</v>
      </c>
      <c r="AC1287" t="n">
        <v>405</v>
      </c>
      <c r="AD1287" t="n">
        <v>1</v>
      </c>
      <c r="AE1287" t="n">
        <v>3</v>
      </c>
      <c r="AF1287" t="n">
        <v>21</v>
      </c>
      <c r="AG1287" t="n">
        <v>25</v>
      </c>
      <c r="AH1287" t="n">
        <v>11</v>
      </c>
      <c r="AI1287" t="n">
        <v>11</v>
      </c>
      <c r="AJ1287" t="n">
        <v>4</v>
      </c>
      <c r="AK1287" t="n">
        <v>5</v>
      </c>
      <c r="AL1287" t="n">
        <v>12</v>
      </c>
      <c r="AM1287" t="n">
        <v>14</v>
      </c>
      <c r="AN1287" t="n">
        <v>0</v>
      </c>
      <c r="AO1287" t="n">
        <v>2</v>
      </c>
      <c r="AP1287" t="n">
        <v>0</v>
      </c>
      <c r="AQ1287" t="n">
        <v>0</v>
      </c>
      <c r="AR1287" t="inlineStr">
        <is>
          <t>No</t>
        </is>
      </c>
      <c r="AS1287" t="inlineStr">
        <is>
          <t>No</t>
        </is>
      </c>
      <c r="AU1287">
        <f>HYPERLINK("https://creighton-primo.hosted.exlibrisgroup.com/primo-explore/search?tab=default_tab&amp;search_scope=EVERYTHING&amp;vid=01CRU&amp;lang=en_US&amp;offset=0&amp;query=any,contains,991000825719702656","Catalog Record")</f>
        <v/>
      </c>
      <c r="AV1287">
        <f>HYPERLINK("http://www.worldcat.org/oclc/13423172","WorldCat Record")</f>
        <v/>
      </c>
      <c r="AW1287" t="inlineStr">
        <is>
          <t>7233096:eng</t>
        </is>
      </c>
      <c r="AX1287" t="inlineStr">
        <is>
          <t>13423172</t>
        </is>
      </c>
      <c r="AY1287" t="inlineStr">
        <is>
          <t>991000825719702656</t>
        </is>
      </c>
      <c r="AZ1287" t="inlineStr">
        <is>
          <t>991000825719702656</t>
        </is>
      </c>
      <c r="BA1287" t="inlineStr">
        <is>
          <t>2266143040002656</t>
        </is>
      </c>
      <c r="BB1287" t="inlineStr">
        <is>
          <t>BOOK</t>
        </is>
      </c>
      <c r="BD1287" t="inlineStr">
        <is>
          <t>9780812280272</t>
        </is>
      </c>
      <c r="BE1287" t="inlineStr">
        <is>
          <t>32285001076131</t>
        </is>
      </c>
      <c r="BF1287" t="inlineStr">
        <is>
          <t>893509145</t>
        </is>
      </c>
    </row>
    <row r="1288">
      <c r="A1288" t="inlineStr">
        <is>
          <t>No</t>
        </is>
      </c>
      <c r="B1288" t="inlineStr">
        <is>
          <t>CURAL</t>
        </is>
      </c>
      <c r="C1288" t="inlineStr">
        <is>
          <t>SHELVES</t>
        </is>
      </c>
      <c r="D1288" t="inlineStr">
        <is>
          <t>PR3634 .K55 1965</t>
        </is>
      </c>
      <c r="E1288" t="inlineStr">
        <is>
          <t>0                      PR 3634000K  55          1965</t>
        </is>
      </c>
      <c r="F1288" t="inlineStr">
        <is>
          <t>The poetry of Pope, laureate of peace / by G. Wilson Knight.</t>
        </is>
      </c>
      <c r="H1288" t="inlineStr">
        <is>
          <t>No</t>
        </is>
      </c>
      <c r="I1288" t="inlineStr">
        <is>
          <t>1</t>
        </is>
      </c>
      <c r="J1288" t="inlineStr">
        <is>
          <t>No</t>
        </is>
      </c>
      <c r="K1288" t="inlineStr">
        <is>
          <t>No</t>
        </is>
      </c>
      <c r="L1288" t="inlineStr">
        <is>
          <t>0</t>
        </is>
      </c>
      <c r="M1288" t="inlineStr">
        <is>
          <t>Knight, G. Wilson (George Wilson), 1897-1985.</t>
        </is>
      </c>
      <c r="N1288" t="inlineStr">
        <is>
          <t>New York : Barnes &amp; Noble, [1965]</t>
        </is>
      </c>
      <c r="O1288" t="inlineStr">
        <is>
          <t>1965</t>
        </is>
      </c>
      <c r="Q1288" t="inlineStr">
        <is>
          <t>eng</t>
        </is>
      </c>
      <c r="R1288" t="inlineStr">
        <is>
          <t>nyu</t>
        </is>
      </c>
      <c r="T1288" t="inlineStr">
        <is>
          <t xml:space="preserve">PR </t>
        </is>
      </c>
      <c r="U1288" t="n">
        <v>1</v>
      </c>
      <c r="V1288" t="n">
        <v>1</v>
      </c>
      <c r="W1288" t="inlineStr">
        <is>
          <t>2004-10-04</t>
        </is>
      </c>
      <c r="X1288" t="inlineStr">
        <is>
          <t>2004-10-04</t>
        </is>
      </c>
      <c r="Y1288" t="inlineStr">
        <is>
          <t>1991-07-24</t>
        </is>
      </c>
      <c r="Z1288" t="inlineStr">
        <is>
          <t>1991-07-24</t>
        </is>
      </c>
      <c r="AA1288" t="n">
        <v>281</v>
      </c>
      <c r="AB1288" t="n">
        <v>268</v>
      </c>
      <c r="AC1288" t="n">
        <v>439</v>
      </c>
      <c r="AD1288" t="n">
        <v>2</v>
      </c>
      <c r="AE1288" t="n">
        <v>3</v>
      </c>
      <c r="AF1288" t="n">
        <v>13</v>
      </c>
      <c r="AG1288" t="n">
        <v>24</v>
      </c>
      <c r="AH1288" t="n">
        <v>7</v>
      </c>
      <c r="AI1288" t="n">
        <v>10</v>
      </c>
      <c r="AJ1288" t="n">
        <v>3</v>
      </c>
      <c r="AK1288" t="n">
        <v>6</v>
      </c>
      <c r="AL1288" t="n">
        <v>6</v>
      </c>
      <c r="AM1288" t="n">
        <v>12</v>
      </c>
      <c r="AN1288" t="n">
        <v>1</v>
      </c>
      <c r="AO1288" t="n">
        <v>2</v>
      </c>
      <c r="AP1288" t="n">
        <v>0</v>
      </c>
      <c r="AQ1288" t="n">
        <v>0</v>
      </c>
      <c r="AR1288" t="inlineStr">
        <is>
          <t>No</t>
        </is>
      </c>
      <c r="AS1288" t="inlineStr">
        <is>
          <t>Yes</t>
        </is>
      </c>
      <c r="AT1288">
        <f>HYPERLINK("http://catalog.hathitrust.org/Record/006672134","HathiTrust Record")</f>
        <v/>
      </c>
      <c r="AU1288">
        <f>HYPERLINK("https://creighton-primo.hosted.exlibrisgroup.com/primo-explore/search?tab=default_tab&amp;search_scope=EVERYTHING&amp;vid=01CRU&amp;lang=en_US&amp;offset=0&amp;query=any,contains,991004153309702656","Catalog Record")</f>
        <v/>
      </c>
      <c r="AV1288">
        <f>HYPERLINK("http://www.worldcat.org/oclc/2531449","WorldCat Record")</f>
        <v/>
      </c>
      <c r="AW1288" t="inlineStr">
        <is>
          <t>3095604:eng</t>
        </is>
      </c>
      <c r="AX1288" t="inlineStr">
        <is>
          <t>2531449</t>
        </is>
      </c>
      <c r="AY1288" t="inlineStr">
        <is>
          <t>991004153309702656</t>
        </is>
      </c>
      <c r="AZ1288" t="inlineStr">
        <is>
          <t>991004153309702656</t>
        </is>
      </c>
      <c r="BA1288" t="inlineStr">
        <is>
          <t>2268210580002656</t>
        </is>
      </c>
      <c r="BB1288" t="inlineStr">
        <is>
          <t>BOOK</t>
        </is>
      </c>
      <c r="BE1288" t="inlineStr">
        <is>
          <t>32285000679224</t>
        </is>
      </c>
      <c r="BF1288" t="inlineStr">
        <is>
          <t>893781911</t>
        </is>
      </c>
    </row>
    <row r="1289">
      <c r="A1289" t="inlineStr">
        <is>
          <t>No</t>
        </is>
      </c>
      <c r="B1289" t="inlineStr">
        <is>
          <t>CURAL</t>
        </is>
      </c>
      <c r="C1289" t="inlineStr">
        <is>
          <t>SHELVES</t>
        </is>
      </c>
      <c r="D1289" t="inlineStr">
        <is>
          <t>PR3634 .M67 1984</t>
        </is>
      </c>
      <c r="E1289" t="inlineStr">
        <is>
          <t>0                      PR 3634000M  67          1984</t>
        </is>
      </c>
      <c r="F1289" t="inlineStr">
        <is>
          <t>Alexander Pope, the genius of sense / David B. Morris.</t>
        </is>
      </c>
      <c r="H1289" t="inlineStr">
        <is>
          <t>No</t>
        </is>
      </c>
      <c r="I1289" t="inlineStr">
        <is>
          <t>1</t>
        </is>
      </c>
      <c r="J1289" t="inlineStr">
        <is>
          <t>No</t>
        </is>
      </c>
      <c r="K1289" t="inlineStr">
        <is>
          <t>No</t>
        </is>
      </c>
      <c r="L1289" t="inlineStr">
        <is>
          <t>0</t>
        </is>
      </c>
      <c r="M1289" t="inlineStr">
        <is>
          <t>Morris, David B.</t>
        </is>
      </c>
      <c r="N1289" t="inlineStr">
        <is>
          <t>Cambridge, Mass. : Harvard University Press, 1984.</t>
        </is>
      </c>
      <c r="O1289" t="inlineStr">
        <is>
          <t>1984</t>
        </is>
      </c>
      <c r="Q1289" t="inlineStr">
        <is>
          <t>eng</t>
        </is>
      </c>
      <c r="R1289" t="inlineStr">
        <is>
          <t>mau</t>
        </is>
      </c>
      <c r="T1289" t="inlineStr">
        <is>
          <t xml:space="preserve">PR </t>
        </is>
      </c>
      <c r="U1289" t="n">
        <v>5</v>
      </c>
      <c r="V1289" t="n">
        <v>5</v>
      </c>
      <c r="W1289" t="inlineStr">
        <is>
          <t>2004-11-15</t>
        </is>
      </c>
      <c r="X1289" t="inlineStr">
        <is>
          <t>2004-11-15</t>
        </is>
      </c>
      <c r="Y1289" t="inlineStr">
        <is>
          <t>1991-06-05</t>
        </is>
      </c>
      <c r="Z1289" t="inlineStr">
        <is>
          <t>1991-06-05</t>
        </is>
      </c>
      <c r="AA1289" t="n">
        <v>1064</v>
      </c>
      <c r="AB1289" t="n">
        <v>896</v>
      </c>
      <c r="AC1289" t="n">
        <v>906</v>
      </c>
      <c r="AD1289" t="n">
        <v>7</v>
      </c>
      <c r="AE1289" t="n">
        <v>7</v>
      </c>
      <c r="AF1289" t="n">
        <v>48</v>
      </c>
      <c r="AG1289" t="n">
        <v>48</v>
      </c>
      <c r="AH1289" t="n">
        <v>24</v>
      </c>
      <c r="AI1289" t="n">
        <v>24</v>
      </c>
      <c r="AJ1289" t="n">
        <v>9</v>
      </c>
      <c r="AK1289" t="n">
        <v>9</v>
      </c>
      <c r="AL1289" t="n">
        <v>22</v>
      </c>
      <c r="AM1289" t="n">
        <v>22</v>
      </c>
      <c r="AN1289" t="n">
        <v>5</v>
      </c>
      <c r="AO1289" t="n">
        <v>5</v>
      </c>
      <c r="AP1289" t="n">
        <v>0</v>
      </c>
      <c r="AQ1289" t="n">
        <v>0</v>
      </c>
      <c r="AR1289" t="inlineStr">
        <is>
          <t>No</t>
        </is>
      </c>
      <c r="AS1289" t="inlineStr">
        <is>
          <t>No</t>
        </is>
      </c>
      <c r="AU1289">
        <f>HYPERLINK("https://creighton-primo.hosted.exlibrisgroup.com/primo-explore/search?tab=default_tab&amp;search_scope=EVERYTHING&amp;vid=01CRU&amp;lang=en_US&amp;offset=0&amp;query=any,contains,991000292779702656","Catalog Record")</f>
        <v/>
      </c>
      <c r="AV1289">
        <f>HYPERLINK("http://www.worldcat.org/oclc/9970553","WorldCat Record")</f>
        <v/>
      </c>
      <c r="AW1289" t="inlineStr">
        <is>
          <t>43844615:eng</t>
        </is>
      </c>
      <c r="AX1289" t="inlineStr">
        <is>
          <t>9970553</t>
        </is>
      </c>
      <c r="AY1289" t="inlineStr">
        <is>
          <t>991000292779702656</t>
        </is>
      </c>
      <c r="AZ1289" t="inlineStr">
        <is>
          <t>991000292779702656</t>
        </is>
      </c>
      <c r="BA1289" t="inlineStr">
        <is>
          <t>2254749830002656</t>
        </is>
      </c>
      <c r="BB1289" t="inlineStr">
        <is>
          <t>BOOK</t>
        </is>
      </c>
      <c r="BD1289" t="inlineStr">
        <is>
          <t>9780674015227</t>
        </is>
      </c>
      <c r="BE1289" t="inlineStr">
        <is>
          <t>32285000615061</t>
        </is>
      </c>
      <c r="BF1289" t="inlineStr">
        <is>
          <t>893314818</t>
        </is>
      </c>
    </row>
    <row r="1290">
      <c r="A1290" t="inlineStr">
        <is>
          <t>No</t>
        </is>
      </c>
      <c r="B1290" t="inlineStr">
        <is>
          <t>CURAL</t>
        </is>
      </c>
      <c r="C1290" t="inlineStr">
        <is>
          <t>SHELVES</t>
        </is>
      </c>
      <c r="D1290" t="inlineStr">
        <is>
          <t>PR3634 .P3</t>
        </is>
      </c>
      <c r="E1290" t="inlineStr">
        <is>
          <t>0                      PR 3634000P  3</t>
        </is>
      </c>
      <c r="F1290" t="inlineStr">
        <is>
          <t>The poetic workmanship of Alexander Pope.</t>
        </is>
      </c>
      <c r="H1290" t="inlineStr">
        <is>
          <t>No</t>
        </is>
      </c>
      <c r="I1290" t="inlineStr">
        <is>
          <t>1</t>
        </is>
      </c>
      <c r="J1290" t="inlineStr">
        <is>
          <t>No</t>
        </is>
      </c>
      <c r="K1290" t="inlineStr">
        <is>
          <t>No</t>
        </is>
      </c>
      <c r="L1290" t="inlineStr">
        <is>
          <t>0</t>
        </is>
      </c>
      <c r="M1290" t="inlineStr">
        <is>
          <t>Parkin, Rebecca Price.</t>
        </is>
      </c>
      <c r="N1290" t="inlineStr">
        <is>
          <t>Minneapolis, Univ. of Minnesota Press. [1955]</t>
        </is>
      </c>
      <c r="O1290" t="inlineStr">
        <is>
          <t>1955</t>
        </is>
      </c>
      <c r="Q1290" t="inlineStr">
        <is>
          <t>eng</t>
        </is>
      </c>
      <c r="R1290" t="inlineStr">
        <is>
          <t>mnu</t>
        </is>
      </c>
      <c r="T1290" t="inlineStr">
        <is>
          <t xml:space="preserve">PR </t>
        </is>
      </c>
      <c r="U1290" t="n">
        <v>1</v>
      </c>
      <c r="V1290" t="n">
        <v>1</v>
      </c>
      <c r="W1290" t="inlineStr">
        <is>
          <t>2003-12-10</t>
        </is>
      </c>
      <c r="X1290" t="inlineStr">
        <is>
          <t>2003-12-10</t>
        </is>
      </c>
      <c r="Y1290" t="inlineStr">
        <is>
          <t>1997-07-24</t>
        </is>
      </c>
      <c r="Z1290" t="inlineStr">
        <is>
          <t>1997-07-24</t>
        </is>
      </c>
      <c r="AA1290" t="n">
        <v>393</v>
      </c>
      <c r="AB1290" t="n">
        <v>334</v>
      </c>
      <c r="AC1290" t="n">
        <v>878</v>
      </c>
      <c r="AD1290" t="n">
        <v>5</v>
      </c>
      <c r="AE1290" t="n">
        <v>6</v>
      </c>
      <c r="AF1290" t="n">
        <v>24</v>
      </c>
      <c r="AG1290" t="n">
        <v>47</v>
      </c>
      <c r="AH1290" t="n">
        <v>6</v>
      </c>
      <c r="AI1290" t="n">
        <v>21</v>
      </c>
      <c r="AJ1290" t="n">
        <v>6</v>
      </c>
      <c r="AK1290" t="n">
        <v>10</v>
      </c>
      <c r="AL1290" t="n">
        <v>14</v>
      </c>
      <c r="AM1290" t="n">
        <v>23</v>
      </c>
      <c r="AN1290" t="n">
        <v>4</v>
      </c>
      <c r="AO1290" t="n">
        <v>5</v>
      </c>
      <c r="AP1290" t="n">
        <v>0</v>
      </c>
      <c r="AQ1290" t="n">
        <v>0</v>
      </c>
      <c r="AR1290" t="inlineStr">
        <is>
          <t>No</t>
        </is>
      </c>
      <c r="AS1290" t="inlineStr">
        <is>
          <t>Yes</t>
        </is>
      </c>
      <c r="AT1290">
        <f>HYPERLINK("http://catalog.hathitrust.org/Record/001376703","HathiTrust Record")</f>
        <v/>
      </c>
      <c r="AU1290">
        <f>HYPERLINK("https://creighton-primo.hosted.exlibrisgroup.com/primo-explore/search?tab=default_tab&amp;search_scope=EVERYTHING&amp;vid=01CRU&amp;lang=en_US&amp;offset=0&amp;query=any,contains,991003658699702656","Catalog Record")</f>
        <v/>
      </c>
      <c r="AV1290">
        <f>HYPERLINK("http://www.worldcat.org/oclc/1265150","WorldCat Record")</f>
        <v/>
      </c>
      <c r="AW1290" t="inlineStr">
        <is>
          <t>1444834:eng</t>
        </is>
      </c>
      <c r="AX1290" t="inlineStr">
        <is>
          <t>1265150</t>
        </is>
      </c>
      <c r="AY1290" t="inlineStr">
        <is>
          <t>991003658699702656</t>
        </is>
      </c>
      <c r="AZ1290" t="inlineStr">
        <is>
          <t>991003658699702656</t>
        </is>
      </c>
      <c r="BA1290" t="inlineStr">
        <is>
          <t>2264133720002656</t>
        </is>
      </c>
      <c r="BB1290" t="inlineStr">
        <is>
          <t>BOOK</t>
        </is>
      </c>
      <c r="BE1290" t="inlineStr">
        <is>
          <t>32285002959855</t>
        </is>
      </c>
      <c r="BF1290" t="inlineStr">
        <is>
          <t>893793867</t>
        </is>
      </c>
    </row>
    <row r="1291">
      <c r="A1291" t="inlineStr">
        <is>
          <t>No</t>
        </is>
      </c>
      <c r="B1291" t="inlineStr">
        <is>
          <t>CURAL</t>
        </is>
      </c>
      <c r="C1291" t="inlineStr">
        <is>
          <t>SHELVES</t>
        </is>
      </c>
      <c r="D1291" t="inlineStr">
        <is>
          <t>PR3634 .R38 1976</t>
        </is>
      </c>
      <c r="E1291" t="inlineStr">
        <is>
          <t>0                      PR 3634000R  38          1976</t>
        </is>
      </c>
      <c r="F1291" t="inlineStr">
        <is>
          <t>The reputation and writings of Alexander Pope / by James Reeves.</t>
        </is>
      </c>
      <c r="H1291" t="inlineStr">
        <is>
          <t>No</t>
        </is>
      </c>
      <c r="I1291" t="inlineStr">
        <is>
          <t>1</t>
        </is>
      </c>
      <c r="J1291" t="inlineStr">
        <is>
          <t>No</t>
        </is>
      </c>
      <c r="K1291" t="inlineStr">
        <is>
          <t>No</t>
        </is>
      </c>
      <c r="L1291" t="inlineStr">
        <is>
          <t>0</t>
        </is>
      </c>
      <c r="M1291" t="inlineStr">
        <is>
          <t>Reeves, James.</t>
        </is>
      </c>
      <c r="N1291" t="inlineStr">
        <is>
          <t>London : Heinemann ; New York : Barnes &amp; Noble, 1976.</t>
        </is>
      </c>
      <c r="O1291" t="inlineStr">
        <is>
          <t>1976</t>
        </is>
      </c>
      <c r="Q1291" t="inlineStr">
        <is>
          <t>eng</t>
        </is>
      </c>
      <c r="R1291" t="inlineStr">
        <is>
          <t>enk</t>
        </is>
      </c>
      <c r="T1291" t="inlineStr">
        <is>
          <t xml:space="preserve">PR </t>
        </is>
      </c>
      <c r="U1291" t="n">
        <v>2</v>
      </c>
      <c r="V1291" t="n">
        <v>2</v>
      </c>
      <c r="W1291" t="inlineStr">
        <is>
          <t>2003-11-19</t>
        </is>
      </c>
      <c r="X1291" t="inlineStr">
        <is>
          <t>2003-11-19</t>
        </is>
      </c>
      <c r="Y1291" t="inlineStr">
        <is>
          <t>1995-02-28</t>
        </is>
      </c>
      <c r="Z1291" t="inlineStr">
        <is>
          <t>1995-02-28</t>
        </is>
      </c>
      <c r="AA1291" t="n">
        <v>559</v>
      </c>
      <c r="AB1291" t="n">
        <v>386</v>
      </c>
      <c r="AC1291" t="n">
        <v>409</v>
      </c>
      <c r="AD1291" t="n">
        <v>3</v>
      </c>
      <c r="AE1291" t="n">
        <v>3</v>
      </c>
      <c r="AF1291" t="n">
        <v>23</v>
      </c>
      <c r="AG1291" t="n">
        <v>24</v>
      </c>
      <c r="AH1291" t="n">
        <v>8</v>
      </c>
      <c r="AI1291" t="n">
        <v>9</v>
      </c>
      <c r="AJ1291" t="n">
        <v>6</v>
      </c>
      <c r="AK1291" t="n">
        <v>6</v>
      </c>
      <c r="AL1291" t="n">
        <v>13</v>
      </c>
      <c r="AM1291" t="n">
        <v>14</v>
      </c>
      <c r="AN1291" t="n">
        <v>2</v>
      </c>
      <c r="AO1291" t="n">
        <v>2</v>
      </c>
      <c r="AP1291" t="n">
        <v>0</v>
      </c>
      <c r="AQ1291" t="n">
        <v>0</v>
      </c>
      <c r="AR1291" t="inlineStr">
        <is>
          <t>No</t>
        </is>
      </c>
      <c r="AS1291" t="inlineStr">
        <is>
          <t>No</t>
        </is>
      </c>
      <c r="AU1291">
        <f>HYPERLINK("https://creighton-primo.hosted.exlibrisgroup.com/primo-explore/search?tab=default_tab&amp;search_scope=EVERYTHING&amp;vid=01CRU&amp;lang=en_US&amp;offset=0&amp;query=any,contains,991004122469702656","Catalog Record")</f>
        <v/>
      </c>
      <c r="AV1291">
        <f>HYPERLINK("http://www.worldcat.org/oclc/2432782","WorldCat Record")</f>
        <v/>
      </c>
      <c r="AW1291" t="inlineStr">
        <is>
          <t>5181030:eng</t>
        </is>
      </c>
      <c r="AX1291" t="inlineStr">
        <is>
          <t>2432782</t>
        </is>
      </c>
      <c r="AY1291" t="inlineStr">
        <is>
          <t>991004122469702656</t>
        </is>
      </c>
      <c r="AZ1291" t="inlineStr">
        <is>
          <t>991004122469702656</t>
        </is>
      </c>
      <c r="BA1291" t="inlineStr">
        <is>
          <t>2263343650002656</t>
        </is>
      </c>
      <c r="BB1291" t="inlineStr">
        <is>
          <t>BOOK</t>
        </is>
      </c>
      <c r="BD1291" t="inlineStr">
        <is>
          <t>9780064958202</t>
        </is>
      </c>
      <c r="BE1291" t="inlineStr">
        <is>
          <t>32285002010816</t>
        </is>
      </c>
      <c r="BF1291" t="inlineStr">
        <is>
          <t>893423412</t>
        </is>
      </c>
    </row>
    <row r="1292">
      <c r="A1292" t="inlineStr">
        <is>
          <t>No</t>
        </is>
      </c>
      <c r="B1292" t="inlineStr">
        <is>
          <t>CURAL</t>
        </is>
      </c>
      <c r="C1292" t="inlineStr">
        <is>
          <t>SHELVES</t>
        </is>
      </c>
      <c r="D1292" t="inlineStr">
        <is>
          <t>PR3634 .R55</t>
        </is>
      </c>
      <c r="E1292" t="inlineStr">
        <is>
          <t>0                      PR 3634000R  55</t>
        </is>
      </c>
      <c r="F1292" t="inlineStr">
        <is>
          <t>An introduction to Pope / Pat Rogers.</t>
        </is>
      </c>
      <c r="H1292" t="inlineStr">
        <is>
          <t>No</t>
        </is>
      </c>
      <c r="I1292" t="inlineStr">
        <is>
          <t>1</t>
        </is>
      </c>
      <c r="J1292" t="inlineStr">
        <is>
          <t>No</t>
        </is>
      </c>
      <c r="K1292" t="inlineStr">
        <is>
          <t>No</t>
        </is>
      </c>
      <c r="L1292" t="inlineStr">
        <is>
          <t>0</t>
        </is>
      </c>
      <c r="M1292" t="inlineStr">
        <is>
          <t>Rogers, Pat.</t>
        </is>
      </c>
      <c r="N1292" t="inlineStr">
        <is>
          <t>London : Methuen ; [New York] : distributed by Harper and Row, Barnes and Noble Import Division, 1975.</t>
        </is>
      </c>
      <c r="O1292" t="inlineStr">
        <is>
          <t>1975</t>
        </is>
      </c>
      <c r="Q1292" t="inlineStr">
        <is>
          <t>eng</t>
        </is>
      </c>
      <c r="R1292" t="inlineStr">
        <is>
          <t>enk</t>
        </is>
      </c>
      <c r="T1292" t="inlineStr">
        <is>
          <t xml:space="preserve">PR </t>
        </is>
      </c>
      <c r="U1292" t="n">
        <v>6</v>
      </c>
      <c r="V1292" t="n">
        <v>6</v>
      </c>
      <c r="W1292" t="inlineStr">
        <is>
          <t>2008-07-15</t>
        </is>
      </c>
      <c r="X1292" t="inlineStr">
        <is>
          <t>2008-07-15</t>
        </is>
      </c>
      <c r="Y1292" t="inlineStr">
        <is>
          <t>1990-11-15</t>
        </is>
      </c>
      <c r="Z1292" t="inlineStr">
        <is>
          <t>1990-11-15</t>
        </is>
      </c>
      <c r="AA1292" t="n">
        <v>668</v>
      </c>
      <c r="AB1292" t="n">
        <v>429</v>
      </c>
      <c r="AC1292" t="n">
        <v>436</v>
      </c>
      <c r="AD1292" t="n">
        <v>5</v>
      </c>
      <c r="AE1292" t="n">
        <v>5</v>
      </c>
      <c r="AF1292" t="n">
        <v>28</v>
      </c>
      <c r="AG1292" t="n">
        <v>28</v>
      </c>
      <c r="AH1292" t="n">
        <v>13</v>
      </c>
      <c r="AI1292" t="n">
        <v>13</v>
      </c>
      <c r="AJ1292" t="n">
        <v>4</v>
      </c>
      <c r="AK1292" t="n">
        <v>4</v>
      </c>
      <c r="AL1292" t="n">
        <v>16</v>
      </c>
      <c r="AM1292" t="n">
        <v>16</v>
      </c>
      <c r="AN1292" t="n">
        <v>4</v>
      </c>
      <c r="AO1292" t="n">
        <v>4</v>
      </c>
      <c r="AP1292" t="n">
        <v>0</v>
      </c>
      <c r="AQ1292" t="n">
        <v>0</v>
      </c>
      <c r="AR1292" t="inlineStr">
        <is>
          <t>No</t>
        </is>
      </c>
      <c r="AS1292" t="inlineStr">
        <is>
          <t>Yes</t>
        </is>
      </c>
      <c r="AT1292">
        <f>HYPERLINK("http://catalog.hathitrust.org/Record/000714256","HathiTrust Record")</f>
        <v/>
      </c>
      <c r="AU1292">
        <f>HYPERLINK("https://creighton-primo.hosted.exlibrisgroup.com/primo-explore/search?tab=default_tab&amp;search_scope=EVERYTHING&amp;vid=01CRU&amp;lang=en_US&amp;offset=0&amp;query=any,contains,991004060509702656","Catalog Record")</f>
        <v/>
      </c>
      <c r="AV1292">
        <f>HYPERLINK("http://www.worldcat.org/oclc/2238463","WorldCat Record")</f>
        <v/>
      </c>
      <c r="AW1292" t="inlineStr">
        <is>
          <t>146760115:eng</t>
        </is>
      </c>
      <c r="AX1292" t="inlineStr">
        <is>
          <t>2238463</t>
        </is>
      </c>
      <c r="AY1292" t="inlineStr">
        <is>
          <t>991004060509702656</t>
        </is>
      </c>
      <c r="AZ1292" t="inlineStr">
        <is>
          <t>991004060509702656</t>
        </is>
      </c>
      <c r="BA1292" t="inlineStr">
        <is>
          <t>2257509440002656</t>
        </is>
      </c>
      <c r="BB1292" t="inlineStr">
        <is>
          <t>BOOK</t>
        </is>
      </c>
      <c r="BD1292" t="inlineStr">
        <is>
          <t>9780416784404</t>
        </is>
      </c>
      <c r="BE1292" t="inlineStr">
        <is>
          <t>32285000396399</t>
        </is>
      </c>
      <c r="BF1292" t="inlineStr">
        <is>
          <t>893882014</t>
        </is>
      </c>
    </row>
    <row r="1293">
      <c r="A1293" t="inlineStr">
        <is>
          <t>No</t>
        </is>
      </c>
      <c r="B1293" t="inlineStr">
        <is>
          <t>CURAL</t>
        </is>
      </c>
      <c r="C1293" t="inlineStr">
        <is>
          <t>SHELVES</t>
        </is>
      </c>
      <c r="D1293" t="inlineStr">
        <is>
          <t>PR3634 .R6</t>
        </is>
      </c>
      <c r="E1293" t="inlineStr">
        <is>
          <t>0                      PR 3634000R  6</t>
        </is>
      </c>
      <c r="F1293" t="inlineStr">
        <is>
          <t>The poetical career of Alexander Pope, by Robert Kilburn Root.</t>
        </is>
      </c>
      <c r="H1293" t="inlineStr">
        <is>
          <t>No</t>
        </is>
      </c>
      <c r="I1293" t="inlineStr">
        <is>
          <t>1</t>
        </is>
      </c>
      <c r="J1293" t="inlineStr">
        <is>
          <t>No</t>
        </is>
      </c>
      <c r="K1293" t="inlineStr">
        <is>
          <t>No</t>
        </is>
      </c>
      <c r="L1293" t="inlineStr">
        <is>
          <t>0</t>
        </is>
      </c>
      <c r="M1293" t="inlineStr">
        <is>
          <t>Root, Robert K. (Robert Kilburn), 1877-1950.</t>
        </is>
      </c>
      <c r="N1293" t="inlineStr">
        <is>
          <t>Princeton, Princeton University Press; London, H. Milford, Oxford University Press, 1938.</t>
        </is>
      </c>
      <c r="O1293" t="inlineStr">
        <is>
          <t>1938</t>
        </is>
      </c>
      <c r="Q1293" t="inlineStr">
        <is>
          <t>eng</t>
        </is>
      </c>
      <c r="R1293" t="inlineStr">
        <is>
          <t>nju</t>
        </is>
      </c>
      <c r="T1293" t="inlineStr">
        <is>
          <t xml:space="preserve">PR </t>
        </is>
      </c>
      <c r="U1293" t="n">
        <v>1</v>
      </c>
      <c r="V1293" t="n">
        <v>1</v>
      </c>
      <c r="W1293" t="inlineStr">
        <is>
          <t>2004-11-15</t>
        </is>
      </c>
      <c r="X1293" t="inlineStr">
        <is>
          <t>2004-11-15</t>
        </is>
      </c>
      <c r="Y1293" t="inlineStr">
        <is>
          <t>1997-07-24</t>
        </is>
      </c>
      <c r="Z1293" t="inlineStr">
        <is>
          <t>1997-07-24</t>
        </is>
      </c>
      <c r="AA1293" t="n">
        <v>448</v>
      </c>
      <c r="AB1293" t="n">
        <v>410</v>
      </c>
      <c r="AC1293" t="n">
        <v>796</v>
      </c>
      <c r="AD1293" t="n">
        <v>5</v>
      </c>
      <c r="AE1293" t="n">
        <v>6</v>
      </c>
      <c r="AF1293" t="n">
        <v>27</v>
      </c>
      <c r="AG1293" t="n">
        <v>47</v>
      </c>
      <c r="AH1293" t="n">
        <v>9</v>
      </c>
      <c r="AI1293" t="n">
        <v>20</v>
      </c>
      <c r="AJ1293" t="n">
        <v>6</v>
      </c>
      <c r="AK1293" t="n">
        <v>9</v>
      </c>
      <c r="AL1293" t="n">
        <v>14</v>
      </c>
      <c r="AM1293" t="n">
        <v>24</v>
      </c>
      <c r="AN1293" t="n">
        <v>4</v>
      </c>
      <c r="AO1293" t="n">
        <v>5</v>
      </c>
      <c r="AP1293" t="n">
        <v>0</v>
      </c>
      <c r="AQ1293" t="n">
        <v>0</v>
      </c>
      <c r="AR1293" t="inlineStr">
        <is>
          <t>No</t>
        </is>
      </c>
      <c r="AS1293" t="inlineStr">
        <is>
          <t>Yes</t>
        </is>
      </c>
      <c r="AT1293">
        <f>HYPERLINK("http://catalog.hathitrust.org/Record/001376705","HathiTrust Record")</f>
        <v/>
      </c>
      <c r="AU1293">
        <f>HYPERLINK("https://creighton-primo.hosted.exlibrisgroup.com/primo-explore/search?tab=default_tab&amp;search_scope=EVERYTHING&amp;vid=01CRU&amp;lang=en_US&amp;offset=0&amp;query=any,contains,991003252799702656","Catalog Record")</f>
        <v/>
      </c>
      <c r="AV1293">
        <f>HYPERLINK("http://www.worldcat.org/oclc/777508","WorldCat Record")</f>
        <v/>
      </c>
      <c r="AW1293" t="inlineStr">
        <is>
          <t>111445087:eng</t>
        </is>
      </c>
      <c r="AX1293" t="inlineStr">
        <is>
          <t>777508</t>
        </is>
      </c>
      <c r="AY1293" t="inlineStr">
        <is>
          <t>991003252799702656</t>
        </is>
      </c>
      <c r="AZ1293" t="inlineStr">
        <is>
          <t>991003252799702656</t>
        </is>
      </c>
      <c r="BA1293" t="inlineStr">
        <is>
          <t>2268061350002656</t>
        </is>
      </c>
      <c r="BB1293" t="inlineStr">
        <is>
          <t>BOOK</t>
        </is>
      </c>
      <c r="BE1293" t="inlineStr">
        <is>
          <t>32285002959889</t>
        </is>
      </c>
      <c r="BF1293" t="inlineStr">
        <is>
          <t>893342386</t>
        </is>
      </c>
    </row>
    <row r="1294">
      <c r="A1294" t="inlineStr">
        <is>
          <t>No</t>
        </is>
      </c>
      <c r="B1294" t="inlineStr">
        <is>
          <t>CURAL</t>
        </is>
      </c>
      <c r="C1294" t="inlineStr">
        <is>
          <t>SHELVES</t>
        </is>
      </c>
      <c r="D1294" t="inlineStr">
        <is>
          <t>PR3634 .W35</t>
        </is>
      </c>
      <c r="E1294" t="inlineStr">
        <is>
          <t>0                      PR 3634000W  35</t>
        </is>
      </c>
      <c r="F1294" t="inlineStr">
        <is>
          <t>Alexander Pope as critic and humanist / by Austin Warren.</t>
        </is>
      </c>
      <c r="H1294" t="inlineStr">
        <is>
          <t>No</t>
        </is>
      </c>
      <c r="I1294" t="inlineStr">
        <is>
          <t>1</t>
        </is>
      </c>
      <c r="J1294" t="inlineStr">
        <is>
          <t>No</t>
        </is>
      </c>
      <c r="K1294" t="inlineStr">
        <is>
          <t>No</t>
        </is>
      </c>
      <c r="L1294" t="inlineStr">
        <is>
          <t>0</t>
        </is>
      </c>
      <c r="M1294" t="inlineStr">
        <is>
          <t>Warren, Austin, 1899-1986.</t>
        </is>
      </c>
      <c r="N1294" t="inlineStr">
        <is>
          <t>Princeton : Princeton university press, 1929.</t>
        </is>
      </c>
      <c r="O1294" t="inlineStr">
        <is>
          <t>1929</t>
        </is>
      </c>
      <c r="Q1294" t="inlineStr">
        <is>
          <t>eng</t>
        </is>
      </c>
      <c r="R1294" t="inlineStr">
        <is>
          <t>nju</t>
        </is>
      </c>
      <c r="S1294" t="inlineStr">
        <is>
          <t>Princeton University. Princeton studies in English, no. 1</t>
        </is>
      </c>
      <c r="T1294" t="inlineStr">
        <is>
          <t xml:space="preserve">PR </t>
        </is>
      </c>
      <c r="U1294" t="n">
        <v>1</v>
      </c>
      <c r="V1294" t="n">
        <v>1</v>
      </c>
      <c r="W1294" t="inlineStr">
        <is>
          <t>2004-11-15</t>
        </is>
      </c>
      <c r="X1294" t="inlineStr">
        <is>
          <t>2004-11-15</t>
        </is>
      </c>
      <c r="Y1294" t="inlineStr">
        <is>
          <t>1998-06-11</t>
        </is>
      </c>
      <c r="Z1294" t="inlineStr">
        <is>
          <t>1998-06-11</t>
        </is>
      </c>
      <c r="AA1294" t="n">
        <v>169</v>
      </c>
      <c r="AB1294" t="n">
        <v>141</v>
      </c>
      <c r="AC1294" t="n">
        <v>596</v>
      </c>
      <c r="AD1294" t="n">
        <v>2</v>
      </c>
      <c r="AE1294" t="n">
        <v>5</v>
      </c>
      <c r="AF1294" t="n">
        <v>6</v>
      </c>
      <c r="AG1294" t="n">
        <v>34</v>
      </c>
      <c r="AH1294" t="n">
        <v>1</v>
      </c>
      <c r="AI1294" t="n">
        <v>16</v>
      </c>
      <c r="AJ1294" t="n">
        <v>3</v>
      </c>
      <c r="AK1294" t="n">
        <v>9</v>
      </c>
      <c r="AL1294" t="n">
        <v>4</v>
      </c>
      <c r="AM1294" t="n">
        <v>16</v>
      </c>
      <c r="AN1294" t="n">
        <v>1</v>
      </c>
      <c r="AO1294" t="n">
        <v>4</v>
      </c>
      <c r="AP1294" t="n">
        <v>0</v>
      </c>
      <c r="AQ1294" t="n">
        <v>0</v>
      </c>
      <c r="AR1294" t="inlineStr">
        <is>
          <t>No</t>
        </is>
      </c>
      <c r="AS1294" t="inlineStr">
        <is>
          <t>No</t>
        </is>
      </c>
      <c r="AU1294">
        <f>HYPERLINK("https://creighton-primo.hosted.exlibrisgroup.com/primo-explore/search?tab=default_tab&amp;search_scope=EVERYTHING&amp;vid=01CRU&amp;lang=en_US&amp;offset=0&amp;query=any,contains,991004105499702656","Catalog Record")</f>
        <v/>
      </c>
      <c r="AV1294">
        <f>HYPERLINK("http://www.worldcat.org/oclc/2382719","WorldCat Record")</f>
        <v/>
      </c>
      <c r="AW1294" t="inlineStr">
        <is>
          <t>64497151:eng</t>
        </is>
      </c>
      <c r="AX1294" t="inlineStr">
        <is>
          <t>2382719</t>
        </is>
      </c>
      <c r="AY1294" t="inlineStr">
        <is>
          <t>991004105499702656</t>
        </is>
      </c>
      <c r="AZ1294" t="inlineStr">
        <is>
          <t>991004105499702656</t>
        </is>
      </c>
      <c r="BA1294" t="inlineStr">
        <is>
          <t>2269955790002656</t>
        </is>
      </c>
      <c r="BB1294" t="inlineStr">
        <is>
          <t>BOOK</t>
        </is>
      </c>
      <c r="BE1294" t="inlineStr">
        <is>
          <t>32285003418828</t>
        </is>
      </c>
      <c r="BF1294" t="inlineStr">
        <is>
          <t>893423389</t>
        </is>
      </c>
    </row>
    <row r="1295">
      <c r="A1295" t="inlineStr">
        <is>
          <t>No</t>
        </is>
      </c>
      <c r="B1295" t="inlineStr">
        <is>
          <t>CURAL</t>
        </is>
      </c>
      <c r="C1295" t="inlineStr">
        <is>
          <t>SHELVES</t>
        </is>
      </c>
      <c r="D1295" t="inlineStr">
        <is>
          <t>PR3636 .A3</t>
        </is>
      </c>
      <c r="E1295" t="inlineStr">
        <is>
          <t>0                      PR 3636000A  3</t>
        </is>
      </c>
      <c r="F1295" t="inlineStr">
        <is>
          <t>Something like Horace; studies in the art and allusion of Pope's Horatian satires [by] John M. Aden.</t>
        </is>
      </c>
      <c r="H1295" t="inlineStr">
        <is>
          <t>No</t>
        </is>
      </c>
      <c r="I1295" t="inlineStr">
        <is>
          <t>1</t>
        </is>
      </c>
      <c r="J1295" t="inlineStr">
        <is>
          <t>No</t>
        </is>
      </c>
      <c r="K1295" t="inlineStr">
        <is>
          <t>No</t>
        </is>
      </c>
      <c r="L1295" t="inlineStr">
        <is>
          <t>0</t>
        </is>
      </c>
      <c r="M1295" t="inlineStr">
        <is>
          <t>Aden, John M.</t>
        </is>
      </c>
      <c r="N1295" t="inlineStr">
        <is>
          <t>[Nashville] Vanderbilt University Press, 1969.</t>
        </is>
      </c>
      <c r="O1295" t="inlineStr">
        <is>
          <t>1969</t>
        </is>
      </c>
      <c r="Q1295" t="inlineStr">
        <is>
          <t>eng</t>
        </is>
      </c>
      <c r="R1295" t="inlineStr">
        <is>
          <t>tnu</t>
        </is>
      </c>
      <c r="T1295" t="inlineStr">
        <is>
          <t xml:space="preserve">PR </t>
        </is>
      </c>
      <c r="U1295" t="n">
        <v>3</v>
      </c>
      <c r="V1295" t="n">
        <v>3</v>
      </c>
      <c r="W1295" t="inlineStr">
        <is>
          <t>2007-04-12</t>
        </is>
      </c>
      <c r="X1295" t="inlineStr">
        <is>
          <t>2007-04-12</t>
        </is>
      </c>
      <c r="Y1295" t="inlineStr">
        <is>
          <t>1997-07-24</t>
        </is>
      </c>
      <c r="Z1295" t="inlineStr">
        <is>
          <t>1997-07-24</t>
        </is>
      </c>
      <c r="AA1295" t="n">
        <v>573</v>
      </c>
      <c r="AB1295" t="n">
        <v>482</v>
      </c>
      <c r="AC1295" t="n">
        <v>1088</v>
      </c>
      <c r="AD1295" t="n">
        <v>4</v>
      </c>
      <c r="AE1295" t="n">
        <v>6</v>
      </c>
      <c r="AF1295" t="n">
        <v>28</v>
      </c>
      <c r="AG1295" t="n">
        <v>37</v>
      </c>
      <c r="AH1295" t="n">
        <v>12</v>
      </c>
      <c r="AI1295" t="n">
        <v>17</v>
      </c>
      <c r="AJ1295" t="n">
        <v>5</v>
      </c>
      <c r="AK1295" t="n">
        <v>7</v>
      </c>
      <c r="AL1295" t="n">
        <v>15</v>
      </c>
      <c r="AM1295" t="n">
        <v>18</v>
      </c>
      <c r="AN1295" t="n">
        <v>3</v>
      </c>
      <c r="AO1295" t="n">
        <v>5</v>
      </c>
      <c r="AP1295" t="n">
        <v>0</v>
      </c>
      <c r="AQ1295" t="n">
        <v>0</v>
      </c>
      <c r="AR1295" t="inlineStr">
        <is>
          <t>No</t>
        </is>
      </c>
      <c r="AS1295" t="inlineStr">
        <is>
          <t>Yes</t>
        </is>
      </c>
      <c r="AT1295">
        <f>HYPERLINK("http://catalog.hathitrust.org/Record/001376689","HathiTrust Record")</f>
        <v/>
      </c>
      <c r="AU1295">
        <f>HYPERLINK("https://creighton-primo.hosted.exlibrisgroup.com/primo-explore/search?tab=default_tab&amp;search_scope=EVERYTHING&amp;vid=01CRU&amp;lang=en_US&amp;offset=0&amp;query=any,contains,991000011589702656","Catalog Record")</f>
        <v/>
      </c>
      <c r="AV1295">
        <f>HYPERLINK("http://www.worldcat.org/oclc/14900","WorldCat Record")</f>
        <v/>
      </c>
      <c r="AW1295" t="inlineStr">
        <is>
          <t>797043907:eng</t>
        </is>
      </c>
      <c r="AX1295" t="inlineStr">
        <is>
          <t>14900</t>
        </is>
      </c>
      <c r="AY1295" t="inlineStr">
        <is>
          <t>991000011589702656</t>
        </is>
      </c>
      <c r="AZ1295" t="inlineStr">
        <is>
          <t>991000011589702656</t>
        </is>
      </c>
      <c r="BA1295" t="inlineStr">
        <is>
          <t>2265906750002656</t>
        </is>
      </c>
      <c r="BB1295" t="inlineStr">
        <is>
          <t>BOOK</t>
        </is>
      </c>
      <c r="BD1295" t="inlineStr">
        <is>
          <t>9780826511386</t>
        </is>
      </c>
      <c r="BE1295" t="inlineStr">
        <is>
          <t>32285002959897</t>
        </is>
      </c>
      <c r="BF1295" t="inlineStr">
        <is>
          <t>893339182</t>
        </is>
      </c>
    </row>
    <row r="1296">
      <c r="A1296" t="inlineStr">
        <is>
          <t>No</t>
        </is>
      </c>
      <c r="B1296" t="inlineStr">
        <is>
          <t>CURAL</t>
        </is>
      </c>
      <c r="C1296" t="inlineStr">
        <is>
          <t>SHELVES</t>
        </is>
      </c>
      <c r="D1296" t="inlineStr">
        <is>
          <t>PR3637.M36 W55 1993</t>
        </is>
      </c>
      <c r="E1296" t="inlineStr">
        <is>
          <t>0                      PR 3637000M  36                 W  55          1993</t>
        </is>
      </c>
      <c r="F1296" t="inlineStr">
        <is>
          <t>Pope, Homer, and manliness : some aspects of eighteenth-century classical learning / Carolyn D. Williams.</t>
        </is>
      </c>
      <c r="H1296" t="inlineStr">
        <is>
          <t>No</t>
        </is>
      </c>
      <c r="I1296" t="inlineStr">
        <is>
          <t>1</t>
        </is>
      </c>
      <c r="J1296" t="inlineStr">
        <is>
          <t>No</t>
        </is>
      </c>
      <c r="K1296" t="inlineStr">
        <is>
          <t>No</t>
        </is>
      </c>
      <c r="L1296" t="inlineStr">
        <is>
          <t>0</t>
        </is>
      </c>
      <c r="M1296" t="inlineStr">
        <is>
          <t>Williams, Carolyn D., 1947-</t>
        </is>
      </c>
      <c r="N1296" t="inlineStr">
        <is>
          <t>London ; New York : Routledge, 1993.</t>
        </is>
      </c>
      <c r="O1296" t="inlineStr">
        <is>
          <t>1993</t>
        </is>
      </c>
      <c r="Q1296" t="inlineStr">
        <is>
          <t>eng</t>
        </is>
      </c>
      <c r="R1296" t="inlineStr">
        <is>
          <t>enk</t>
        </is>
      </c>
      <c r="T1296" t="inlineStr">
        <is>
          <t xml:space="preserve">PR </t>
        </is>
      </c>
      <c r="U1296" t="n">
        <v>3</v>
      </c>
      <c r="V1296" t="n">
        <v>3</v>
      </c>
      <c r="W1296" t="inlineStr">
        <is>
          <t>2004-11-14</t>
        </is>
      </c>
      <c r="X1296" t="inlineStr">
        <is>
          <t>2004-11-14</t>
        </is>
      </c>
      <c r="Y1296" t="inlineStr">
        <is>
          <t>1996-04-12</t>
        </is>
      </c>
      <c r="Z1296" t="inlineStr">
        <is>
          <t>1996-04-12</t>
        </is>
      </c>
      <c r="AA1296" t="n">
        <v>362</v>
      </c>
      <c r="AB1296" t="n">
        <v>268</v>
      </c>
      <c r="AC1296" t="n">
        <v>292</v>
      </c>
      <c r="AD1296" t="n">
        <v>4</v>
      </c>
      <c r="AE1296" t="n">
        <v>4</v>
      </c>
      <c r="AF1296" t="n">
        <v>24</v>
      </c>
      <c r="AG1296" t="n">
        <v>24</v>
      </c>
      <c r="AH1296" t="n">
        <v>10</v>
      </c>
      <c r="AI1296" t="n">
        <v>10</v>
      </c>
      <c r="AJ1296" t="n">
        <v>5</v>
      </c>
      <c r="AK1296" t="n">
        <v>5</v>
      </c>
      <c r="AL1296" t="n">
        <v>13</v>
      </c>
      <c r="AM1296" t="n">
        <v>13</v>
      </c>
      <c r="AN1296" t="n">
        <v>3</v>
      </c>
      <c r="AO1296" t="n">
        <v>3</v>
      </c>
      <c r="AP1296" t="n">
        <v>0</v>
      </c>
      <c r="AQ1296" t="n">
        <v>0</v>
      </c>
      <c r="AR1296" t="inlineStr">
        <is>
          <t>No</t>
        </is>
      </c>
      <c r="AS1296" t="inlineStr">
        <is>
          <t>No</t>
        </is>
      </c>
      <c r="AU1296">
        <f>HYPERLINK("https://creighton-primo.hosted.exlibrisgroup.com/primo-explore/search?tab=default_tab&amp;search_scope=EVERYTHING&amp;vid=01CRU&amp;lang=en_US&amp;offset=0&amp;query=any,contains,991001985889702656","Catalog Record")</f>
        <v/>
      </c>
      <c r="AV1296">
        <f>HYPERLINK("http://www.worldcat.org/oclc/25203623","WorldCat Record")</f>
        <v/>
      </c>
      <c r="AW1296" t="inlineStr">
        <is>
          <t>347472183:eng</t>
        </is>
      </c>
      <c r="AX1296" t="inlineStr">
        <is>
          <t>25203623</t>
        </is>
      </c>
      <c r="AY1296" t="inlineStr">
        <is>
          <t>991001985889702656</t>
        </is>
      </c>
      <c r="AZ1296" t="inlineStr">
        <is>
          <t>991001985889702656</t>
        </is>
      </c>
      <c r="BA1296" t="inlineStr">
        <is>
          <t>2264702940002656</t>
        </is>
      </c>
      <c r="BB1296" t="inlineStr">
        <is>
          <t>BOOK</t>
        </is>
      </c>
      <c r="BD1296" t="inlineStr">
        <is>
          <t>9780415056007</t>
        </is>
      </c>
      <c r="BE1296" t="inlineStr">
        <is>
          <t>32285002152105</t>
        </is>
      </c>
      <c r="BF1296" t="inlineStr">
        <is>
          <t>893609331</t>
        </is>
      </c>
    </row>
    <row r="1297">
      <c r="A1297" t="inlineStr">
        <is>
          <t>No</t>
        </is>
      </c>
      <c r="B1297" t="inlineStr">
        <is>
          <t>CURAL</t>
        </is>
      </c>
      <c r="C1297" t="inlineStr">
        <is>
          <t>SHELVES</t>
        </is>
      </c>
      <c r="D1297" t="inlineStr">
        <is>
          <t>PR3638 .S7</t>
        </is>
      </c>
      <c r="E1297" t="inlineStr">
        <is>
          <t>0                      PR 3638000S  7</t>
        </is>
      </c>
      <c r="F1297" t="inlineStr">
        <is>
          <t>An argument of images : the poetry of Alexander Pope / [by] Patricia Meyer Spacks.</t>
        </is>
      </c>
      <c r="H1297" t="inlineStr">
        <is>
          <t>No</t>
        </is>
      </c>
      <c r="I1297" t="inlineStr">
        <is>
          <t>1</t>
        </is>
      </c>
      <c r="J1297" t="inlineStr">
        <is>
          <t>No</t>
        </is>
      </c>
      <c r="K1297" t="inlineStr">
        <is>
          <t>No</t>
        </is>
      </c>
      <c r="L1297" t="inlineStr">
        <is>
          <t>0</t>
        </is>
      </c>
      <c r="M1297" t="inlineStr">
        <is>
          <t>Spacks, Patricia Meyer.</t>
        </is>
      </c>
      <c r="N1297" t="inlineStr">
        <is>
          <t>Cambridge, Mass. : Harvard University Press, 1971.</t>
        </is>
      </c>
      <c r="O1297" t="inlineStr">
        <is>
          <t>1971</t>
        </is>
      </c>
      <c r="Q1297" t="inlineStr">
        <is>
          <t>eng</t>
        </is>
      </c>
      <c r="R1297" t="inlineStr">
        <is>
          <t>mau</t>
        </is>
      </c>
      <c r="T1297" t="inlineStr">
        <is>
          <t xml:space="preserve">PR </t>
        </is>
      </c>
      <c r="U1297" t="n">
        <v>2</v>
      </c>
      <c r="V1297" t="n">
        <v>2</v>
      </c>
      <c r="W1297" t="inlineStr">
        <is>
          <t>1995-01-23</t>
        </is>
      </c>
      <c r="X1297" t="inlineStr">
        <is>
          <t>1995-01-23</t>
        </is>
      </c>
      <c r="Y1297" t="inlineStr">
        <is>
          <t>1991-09-04</t>
        </is>
      </c>
      <c r="Z1297" t="inlineStr">
        <is>
          <t>1991-09-04</t>
        </is>
      </c>
      <c r="AA1297" t="n">
        <v>643</v>
      </c>
      <c r="AB1297" t="n">
        <v>525</v>
      </c>
      <c r="AC1297" t="n">
        <v>536</v>
      </c>
      <c r="AD1297" t="n">
        <v>5</v>
      </c>
      <c r="AE1297" t="n">
        <v>5</v>
      </c>
      <c r="AF1297" t="n">
        <v>25</v>
      </c>
      <c r="AG1297" t="n">
        <v>25</v>
      </c>
      <c r="AH1297" t="n">
        <v>7</v>
      </c>
      <c r="AI1297" t="n">
        <v>7</v>
      </c>
      <c r="AJ1297" t="n">
        <v>7</v>
      </c>
      <c r="AK1297" t="n">
        <v>7</v>
      </c>
      <c r="AL1297" t="n">
        <v>13</v>
      </c>
      <c r="AM1297" t="n">
        <v>13</v>
      </c>
      <c r="AN1297" t="n">
        <v>4</v>
      </c>
      <c r="AO1297" t="n">
        <v>4</v>
      </c>
      <c r="AP1297" t="n">
        <v>0</v>
      </c>
      <c r="AQ1297" t="n">
        <v>0</v>
      </c>
      <c r="AR1297" t="inlineStr">
        <is>
          <t>No</t>
        </is>
      </c>
      <c r="AS1297" t="inlineStr">
        <is>
          <t>Yes</t>
        </is>
      </c>
      <c r="AT1297">
        <f>HYPERLINK("http://catalog.hathitrust.org/Record/001376709","HathiTrust Record")</f>
        <v/>
      </c>
      <c r="AU1297">
        <f>HYPERLINK("https://creighton-primo.hosted.exlibrisgroup.com/primo-explore/search?tab=default_tab&amp;search_scope=EVERYTHING&amp;vid=01CRU&amp;lang=en_US&amp;offset=0&amp;query=any,contains,991001206769702656","Catalog Record")</f>
        <v/>
      </c>
      <c r="AV1297">
        <f>HYPERLINK("http://www.worldcat.org/oclc/192239","WorldCat Record")</f>
        <v/>
      </c>
      <c r="AW1297" t="inlineStr">
        <is>
          <t>1353538:eng</t>
        </is>
      </c>
      <c r="AX1297" t="inlineStr">
        <is>
          <t>192239</t>
        </is>
      </c>
      <c r="AY1297" t="inlineStr">
        <is>
          <t>991001206769702656</t>
        </is>
      </c>
      <c r="AZ1297" t="inlineStr">
        <is>
          <t>991001206769702656</t>
        </is>
      </c>
      <c r="BA1297" t="inlineStr">
        <is>
          <t>2258578050002656</t>
        </is>
      </c>
      <c r="BB1297" t="inlineStr">
        <is>
          <t>BOOK</t>
        </is>
      </c>
      <c r="BD1297" t="inlineStr">
        <is>
          <t>9780674044852</t>
        </is>
      </c>
      <c r="BE1297" t="inlineStr">
        <is>
          <t>32285000734003</t>
        </is>
      </c>
      <c r="BF1297" t="inlineStr">
        <is>
          <t>893684148</t>
        </is>
      </c>
    </row>
    <row r="1298">
      <c r="A1298" t="inlineStr">
        <is>
          <t>No</t>
        </is>
      </c>
      <c r="B1298" t="inlineStr">
        <is>
          <t>CURAL</t>
        </is>
      </c>
      <c r="C1298" t="inlineStr">
        <is>
          <t>SHELVES</t>
        </is>
      </c>
      <c r="D1298" t="inlineStr">
        <is>
          <t>PR3644 .R57 1986</t>
        </is>
      </c>
      <c r="E1298" t="inlineStr">
        <is>
          <t>0                      PR 3644000R  57          1986</t>
        </is>
      </c>
      <c r="F1298" t="inlineStr">
        <is>
          <t>Matthew Prior / by Frances Mayhew Rippy.</t>
        </is>
      </c>
      <c r="H1298" t="inlineStr">
        <is>
          <t>No</t>
        </is>
      </c>
      <c r="I1298" t="inlineStr">
        <is>
          <t>1</t>
        </is>
      </c>
      <c r="J1298" t="inlineStr">
        <is>
          <t>No</t>
        </is>
      </c>
      <c r="K1298" t="inlineStr">
        <is>
          <t>No</t>
        </is>
      </c>
      <c r="L1298" t="inlineStr">
        <is>
          <t>0</t>
        </is>
      </c>
      <c r="M1298" t="inlineStr">
        <is>
          <t>Rippy, Frances Mayhew.</t>
        </is>
      </c>
      <c r="N1298" t="inlineStr">
        <is>
          <t>Boston : Twayne Publishers, c1986.</t>
        </is>
      </c>
      <c r="O1298" t="inlineStr">
        <is>
          <t>1986</t>
        </is>
      </c>
      <c r="Q1298" t="inlineStr">
        <is>
          <t>eng</t>
        </is>
      </c>
      <c r="R1298" t="inlineStr">
        <is>
          <t>mau</t>
        </is>
      </c>
      <c r="S1298" t="inlineStr">
        <is>
          <t>Twayne's English authors series ; TEAS 418</t>
        </is>
      </c>
      <c r="T1298" t="inlineStr">
        <is>
          <t xml:space="preserve">PR </t>
        </is>
      </c>
      <c r="U1298" t="n">
        <v>2</v>
      </c>
      <c r="V1298" t="n">
        <v>2</v>
      </c>
      <c r="W1298" t="inlineStr">
        <is>
          <t>1995-02-13</t>
        </is>
      </c>
      <c r="X1298" t="inlineStr">
        <is>
          <t>1995-02-13</t>
        </is>
      </c>
      <c r="Y1298" t="inlineStr">
        <is>
          <t>1991-06-05</t>
        </is>
      </c>
      <c r="Z1298" t="inlineStr">
        <is>
          <t>1991-06-05</t>
        </is>
      </c>
      <c r="AA1298" t="n">
        <v>419</v>
      </c>
      <c r="AB1298" t="n">
        <v>362</v>
      </c>
      <c r="AC1298" t="n">
        <v>369</v>
      </c>
      <c r="AD1298" t="n">
        <v>5</v>
      </c>
      <c r="AE1298" t="n">
        <v>5</v>
      </c>
      <c r="AF1298" t="n">
        <v>21</v>
      </c>
      <c r="AG1298" t="n">
        <v>21</v>
      </c>
      <c r="AH1298" t="n">
        <v>5</v>
      </c>
      <c r="AI1298" t="n">
        <v>5</v>
      </c>
      <c r="AJ1298" t="n">
        <v>4</v>
      </c>
      <c r="AK1298" t="n">
        <v>4</v>
      </c>
      <c r="AL1298" t="n">
        <v>14</v>
      </c>
      <c r="AM1298" t="n">
        <v>14</v>
      </c>
      <c r="AN1298" t="n">
        <v>4</v>
      </c>
      <c r="AO1298" t="n">
        <v>4</v>
      </c>
      <c r="AP1298" t="n">
        <v>0</v>
      </c>
      <c r="AQ1298" t="n">
        <v>0</v>
      </c>
      <c r="AR1298" t="inlineStr">
        <is>
          <t>No</t>
        </is>
      </c>
      <c r="AS1298" t="inlineStr">
        <is>
          <t>Yes</t>
        </is>
      </c>
      <c r="AT1298">
        <f>HYPERLINK("http://catalog.hathitrust.org/Record/000615940","HathiTrust Record")</f>
        <v/>
      </c>
      <c r="AU1298">
        <f>HYPERLINK("https://creighton-primo.hosted.exlibrisgroup.com/primo-explore/search?tab=default_tab&amp;search_scope=EVERYTHING&amp;vid=01CRU&amp;lang=en_US&amp;offset=0&amp;query=any,contains,991000660969702656","Catalog Record")</f>
        <v/>
      </c>
      <c r="AV1298">
        <f>HYPERLINK("http://www.worldcat.org/oclc/12238348","WorldCat Record")</f>
        <v/>
      </c>
      <c r="AW1298" t="inlineStr">
        <is>
          <t>5205944:eng</t>
        </is>
      </c>
      <c r="AX1298" t="inlineStr">
        <is>
          <t>12238348</t>
        </is>
      </c>
      <c r="AY1298" t="inlineStr">
        <is>
          <t>991000660969702656</t>
        </is>
      </c>
      <c r="AZ1298" t="inlineStr">
        <is>
          <t>991000660969702656</t>
        </is>
      </c>
      <c r="BA1298" t="inlineStr">
        <is>
          <t>2266640030002656</t>
        </is>
      </c>
      <c r="BB1298" t="inlineStr">
        <is>
          <t>BOOK</t>
        </is>
      </c>
      <c r="BD1298" t="inlineStr">
        <is>
          <t>9780805769029</t>
        </is>
      </c>
      <c r="BE1298" t="inlineStr">
        <is>
          <t>32285000615160</t>
        </is>
      </c>
      <c r="BF1298" t="inlineStr">
        <is>
          <t>893601951</t>
        </is>
      </c>
    </row>
    <row r="1299">
      <c r="A1299" t="inlineStr">
        <is>
          <t>No</t>
        </is>
      </c>
      <c r="B1299" t="inlineStr">
        <is>
          <t>CURAL</t>
        </is>
      </c>
      <c r="C1299" t="inlineStr">
        <is>
          <t>SHELVES</t>
        </is>
      </c>
      <c r="D1299" t="inlineStr">
        <is>
          <t>PR365 .G7</t>
        </is>
      </c>
      <c r="E1299" t="inlineStr">
        <is>
          <t>0                      PR 0365000G  7</t>
        </is>
      </c>
      <c r="F1299" t="inlineStr">
        <is>
          <t>Themes and images in the medieval English religious lyric.</t>
        </is>
      </c>
      <c r="H1299" t="inlineStr">
        <is>
          <t>No</t>
        </is>
      </c>
      <c r="I1299" t="inlineStr">
        <is>
          <t>1</t>
        </is>
      </c>
      <c r="J1299" t="inlineStr">
        <is>
          <t>No</t>
        </is>
      </c>
      <c r="K1299" t="inlineStr">
        <is>
          <t>No</t>
        </is>
      </c>
      <c r="L1299" t="inlineStr">
        <is>
          <t>0</t>
        </is>
      </c>
      <c r="M1299" t="inlineStr">
        <is>
          <t>Gray, Douglas.</t>
        </is>
      </c>
      <c r="N1299" t="inlineStr">
        <is>
          <t>London ; Boston : Routledge and K. Paul, 1972.</t>
        </is>
      </c>
      <c r="O1299" t="inlineStr">
        <is>
          <t>1972</t>
        </is>
      </c>
      <c r="Q1299" t="inlineStr">
        <is>
          <t>eng</t>
        </is>
      </c>
      <c r="R1299" t="inlineStr">
        <is>
          <t>enk</t>
        </is>
      </c>
      <c r="T1299" t="inlineStr">
        <is>
          <t xml:space="preserve">PR </t>
        </is>
      </c>
      <c r="U1299" t="n">
        <v>3</v>
      </c>
      <c r="V1299" t="n">
        <v>3</v>
      </c>
      <c r="W1299" t="inlineStr">
        <is>
          <t>1998-03-16</t>
        </is>
      </c>
      <c r="X1299" t="inlineStr">
        <is>
          <t>1998-03-16</t>
        </is>
      </c>
      <c r="Y1299" t="inlineStr">
        <is>
          <t>1991-08-28</t>
        </is>
      </c>
      <c r="Z1299" t="inlineStr">
        <is>
          <t>1991-08-28</t>
        </is>
      </c>
      <c r="AA1299" t="n">
        <v>724</v>
      </c>
      <c r="AB1299" t="n">
        <v>538</v>
      </c>
      <c r="AC1299" t="n">
        <v>564</v>
      </c>
      <c r="AD1299" t="n">
        <v>4</v>
      </c>
      <c r="AE1299" t="n">
        <v>4</v>
      </c>
      <c r="AF1299" t="n">
        <v>29</v>
      </c>
      <c r="AG1299" t="n">
        <v>29</v>
      </c>
      <c r="AH1299" t="n">
        <v>10</v>
      </c>
      <c r="AI1299" t="n">
        <v>10</v>
      </c>
      <c r="AJ1299" t="n">
        <v>5</v>
      </c>
      <c r="AK1299" t="n">
        <v>5</v>
      </c>
      <c r="AL1299" t="n">
        <v>17</v>
      </c>
      <c r="AM1299" t="n">
        <v>17</v>
      </c>
      <c r="AN1299" t="n">
        <v>3</v>
      </c>
      <c r="AO1299" t="n">
        <v>3</v>
      </c>
      <c r="AP1299" t="n">
        <v>0</v>
      </c>
      <c r="AQ1299" t="n">
        <v>0</v>
      </c>
      <c r="AR1299" t="inlineStr">
        <is>
          <t>No</t>
        </is>
      </c>
      <c r="AS1299" t="inlineStr">
        <is>
          <t>Yes</t>
        </is>
      </c>
      <c r="AT1299">
        <f>HYPERLINK("http://catalog.hathitrust.org/Record/001371488","HathiTrust Record")</f>
        <v/>
      </c>
      <c r="AU1299">
        <f>HYPERLINK("https://creighton-primo.hosted.exlibrisgroup.com/primo-explore/search?tab=default_tab&amp;search_scope=EVERYTHING&amp;vid=01CRU&amp;lang=en_US&amp;offset=0&amp;query=any,contains,991002707309702656","Catalog Record")</f>
        <v/>
      </c>
      <c r="AV1299">
        <f>HYPERLINK("http://www.worldcat.org/oclc/407582","WorldCat Record")</f>
        <v/>
      </c>
      <c r="AW1299" t="inlineStr">
        <is>
          <t>118180327:eng</t>
        </is>
      </c>
      <c r="AX1299" t="inlineStr">
        <is>
          <t>407582</t>
        </is>
      </c>
      <c r="AY1299" t="inlineStr">
        <is>
          <t>991002707309702656</t>
        </is>
      </c>
      <c r="AZ1299" t="inlineStr">
        <is>
          <t>991002707309702656</t>
        </is>
      </c>
      <c r="BA1299" t="inlineStr">
        <is>
          <t>2261730290002656</t>
        </is>
      </c>
      <c r="BB1299" t="inlineStr">
        <is>
          <t>BOOK</t>
        </is>
      </c>
      <c r="BD1299" t="inlineStr">
        <is>
          <t>9780710072337</t>
        </is>
      </c>
      <c r="BE1299" t="inlineStr">
        <is>
          <t>32285000730829</t>
        </is>
      </c>
      <c r="BF1299" t="inlineStr">
        <is>
          <t>893904045</t>
        </is>
      </c>
    </row>
    <row r="1300">
      <c r="A1300" t="inlineStr">
        <is>
          <t>No</t>
        </is>
      </c>
      <c r="B1300" t="inlineStr">
        <is>
          <t>CURAL</t>
        </is>
      </c>
      <c r="C1300" t="inlineStr">
        <is>
          <t>SHELVES</t>
        </is>
      </c>
      <c r="D1300" t="inlineStr">
        <is>
          <t>PR3652 .S35</t>
        </is>
      </c>
      <c r="E1300" t="inlineStr">
        <is>
          <t>0                      PR 3652000S  35</t>
        </is>
      </c>
      <c r="F1300" t="inlineStr">
        <is>
          <t>The school of the heart; or, The heart, (of itself gone away from God) brought back again to Him, and instructed by Him. By Francis Quarles, in 47 emblems. To which is added, The learning of the heart, by the same author.</t>
        </is>
      </c>
      <c r="H1300" t="inlineStr">
        <is>
          <t>No</t>
        </is>
      </c>
      <c r="I1300" t="inlineStr">
        <is>
          <t>1</t>
        </is>
      </c>
      <c r="J1300" t="inlineStr">
        <is>
          <t>No</t>
        </is>
      </c>
      <c r="K1300" t="inlineStr">
        <is>
          <t>No</t>
        </is>
      </c>
      <c r="L1300" t="inlineStr">
        <is>
          <t>0</t>
        </is>
      </c>
      <c r="M1300" t="inlineStr">
        <is>
          <t>Harvey, Christopher, 1597-1663.</t>
        </is>
      </c>
      <c r="N1300" t="inlineStr">
        <is>
          <t>Bristol, Printed by J. Lansdown &amp; J. Mills, 1808.</t>
        </is>
      </c>
      <c r="O1300" t="inlineStr">
        <is>
          <t>1808</t>
        </is>
      </c>
      <c r="Q1300" t="inlineStr">
        <is>
          <t>eng</t>
        </is>
      </c>
      <c r="R1300" t="inlineStr">
        <is>
          <t>enk</t>
        </is>
      </c>
      <c r="T1300" t="inlineStr">
        <is>
          <t xml:space="preserve">PR </t>
        </is>
      </c>
      <c r="U1300" t="n">
        <v>2</v>
      </c>
      <c r="V1300" t="n">
        <v>2</v>
      </c>
      <c r="W1300" t="inlineStr">
        <is>
          <t>2000-04-12</t>
        </is>
      </c>
      <c r="X1300" t="inlineStr">
        <is>
          <t>2000-04-12</t>
        </is>
      </c>
      <c r="Y1300" t="inlineStr">
        <is>
          <t>1997-07-24</t>
        </is>
      </c>
      <c r="Z1300" t="inlineStr">
        <is>
          <t>1997-07-24</t>
        </is>
      </c>
      <c r="AA1300" t="n">
        <v>43</v>
      </c>
      <c r="AB1300" t="n">
        <v>34</v>
      </c>
      <c r="AC1300" t="n">
        <v>234</v>
      </c>
      <c r="AD1300" t="n">
        <v>1</v>
      </c>
      <c r="AE1300" t="n">
        <v>3</v>
      </c>
      <c r="AF1300" t="n">
        <v>0</v>
      </c>
      <c r="AG1300" t="n">
        <v>15</v>
      </c>
      <c r="AH1300" t="n">
        <v>0</v>
      </c>
      <c r="AI1300" t="n">
        <v>4</v>
      </c>
      <c r="AJ1300" t="n">
        <v>0</v>
      </c>
      <c r="AK1300" t="n">
        <v>6</v>
      </c>
      <c r="AL1300" t="n">
        <v>0</v>
      </c>
      <c r="AM1300" t="n">
        <v>5</v>
      </c>
      <c r="AN1300" t="n">
        <v>0</v>
      </c>
      <c r="AO1300" t="n">
        <v>2</v>
      </c>
      <c r="AP1300" t="n">
        <v>0</v>
      </c>
      <c r="AQ1300" t="n">
        <v>1</v>
      </c>
      <c r="AR1300" t="inlineStr">
        <is>
          <t>Yes</t>
        </is>
      </c>
      <c r="AS1300" t="inlineStr">
        <is>
          <t>No</t>
        </is>
      </c>
      <c r="AT1300">
        <f>HYPERLINK("http://catalog.hathitrust.org/Record/100319074","HathiTrust Record")</f>
        <v/>
      </c>
      <c r="AU1300">
        <f>HYPERLINK("https://creighton-primo.hosted.exlibrisgroup.com/primo-explore/search?tab=default_tab&amp;search_scope=EVERYTHING&amp;vid=01CRU&amp;lang=en_US&amp;offset=0&amp;query=any,contains,991003946959702656","Catalog Record")</f>
        <v/>
      </c>
      <c r="AV1300">
        <f>HYPERLINK("http://www.worldcat.org/oclc/1946463","WorldCat Record")</f>
        <v/>
      </c>
      <c r="AW1300" t="inlineStr">
        <is>
          <t>3943325531:eng</t>
        </is>
      </c>
      <c r="AX1300" t="inlineStr">
        <is>
          <t>1946463</t>
        </is>
      </c>
      <c r="AY1300" t="inlineStr">
        <is>
          <t>991003946959702656</t>
        </is>
      </c>
      <c r="AZ1300" t="inlineStr">
        <is>
          <t>991003946959702656</t>
        </is>
      </c>
      <c r="BA1300" t="inlineStr">
        <is>
          <t>2262093430002656</t>
        </is>
      </c>
      <c r="BB1300" t="inlineStr">
        <is>
          <t>BOOK</t>
        </is>
      </c>
      <c r="BE1300" t="inlineStr">
        <is>
          <t>32285002959996</t>
        </is>
      </c>
      <c r="BF1300" t="inlineStr">
        <is>
          <t>893410931</t>
        </is>
      </c>
    </row>
    <row r="1301">
      <c r="A1301" t="inlineStr">
        <is>
          <t>No</t>
        </is>
      </c>
      <c r="B1301" t="inlineStr">
        <is>
          <t>CURAL</t>
        </is>
      </c>
      <c r="C1301" t="inlineStr">
        <is>
          <t>SHELVES</t>
        </is>
      </c>
      <c r="D1301" t="inlineStr">
        <is>
          <t>PR3664.C43 F5 1985</t>
        </is>
      </c>
      <c r="E1301" t="inlineStr">
        <is>
          <t>0                      PR 3664000C  43                 F  5           1985</t>
        </is>
      </c>
      <c r="F1301" t="inlineStr">
        <is>
          <t>Remarks on Clarissa / Sarah Fielding ; introduction by Peter Sabor.</t>
        </is>
      </c>
      <c r="H1301" t="inlineStr">
        <is>
          <t>No</t>
        </is>
      </c>
      <c r="I1301" t="inlineStr">
        <is>
          <t>1</t>
        </is>
      </c>
      <c r="J1301" t="inlineStr">
        <is>
          <t>No</t>
        </is>
      </c>
      <c r="K1301" t="inlineStr">
        <is>
          <t>No</t>
        </is>
      </c>
      <c r="L1301" t="inlineStr">
        <is>
          <t>0</t>
        </is>
      </c>
      <c r="M1301" t="inlineStr">
        <is>
          <t>Fielding, Sarah, 1710-1768.</t>
        </is>
      </c>
      <c r="N1301" t="inlineStr">
        <is>
          <t>Los Angeles (2520 Cimarron St., Los Angeles 90018) : William Andrews Clark Memorial Library, University of California, 1985.</t>
        </is>
      </c>
      <c r="O1301" t="inlineStr">
        <is>
          <t>1985</t>
        </is>
      </c>
      <c r="Q1301" t="inlineStr">
        <is>
          <t>eng</t>
        </is>
      </c>
      <c r="R1301" t="inlineStr">
        <is>
          <t>cau</t>
        </is>
      </c>
      <c r="S1301" t="inlineStr">
        <is>
          <t>Publication (Augustan Reprint Society) ; no. 231-232</t>
        </is>
      </c>
      <c r="T1301" t="inlineStr">
        <is>
          <t xml:space="preserve">PR </t>
        </is>
      </c>
      <c r="U1301" t="n">
        <v>1</v>
      </c>
      <c r="V1301" t="n">
        <v>1</v>
      </c>
      <c r="W1301" t="inlineStr">
        <is>
          <t>2004-12-15</t>
        </is>
      </c>
      <c r="X1301" t="inlineStr">
        <is>
          <t>2004-12-15</t>
        </is>
      </c>
      <c r="Y1301" t="inlineStr">
        <is>
          <t>2004-12-15</t>
        </is>
      </c>
      <c r="Z1301" t="inlineStr">
        <is>
          <t>2004-12-15</t>
        </is>
      </c>
      <c r="AA1301" t="n">
        <v>245</v>
      </c>
      <c r="AB1301" t="n">
        <v>216</v>
      </c>
      <c r="AC1301" t="n">
        <v>274</v>
      </c>
      <c r="AD1301" t="n">
        <v>2</v>
      </c>
      <c r="AE1301" t="n">
        <v>2</v>
      </c>
      <c r="AF1301" t="n">
        <v>16</v>
      </c>
      <c r="AG1301" t="n">
        <v>20</v>
      </c>
      <c r="AH1301" t="n">
        <v>6</v>
      </c>
      <c r="AI1301" t="n">
        <v>8</v>
      </c>
      <c r="AJ1301" t="n">
        <v>5</v>
      </c>
      <c r="AK1301" t="n">
        <v>6</v>
      </c>
      <c r="AL1301" t="n">
        <v>9</v>
      </c>
      <c r="AM1301" t="n">
        <v>13</v>
      </c>
      <c r="AN1301" t="n">
        <v>1</v>
      </c>
      <c r="AO1301" t="n">
        <v>1</v>
      </c>
      <c r="AP1301" t="n">
        <v>0</v>
      </c>
      <c r="AQ1301" t="n">
        <v>0</v>
      </c>
      <c r="AR1301" t="inlineStr">
        <is>
          <t>No</t>
        </is>
      </c>
      <c r="AS1301" t="inlineStr">
        <is>
          <t>Yes</t>
        </is>
      </c>
      <c r="AT1301">
        <f>HYPERLINK("http://catalog.hathitrust.org/Record/000415073","HathiTrust Record")</f>
        <v/>
      </c>
      <c r="AU1301">
        <f>HYPERLINK("https://creighton-primo.hosted.exlibrisgroup.com/primo-explore/search?tab=default_tab&amp;search_scope=EVERYTHING&amp;vid=01CRU&amp;lang=en_US&amp;offset=0&amp;query=any,contains,991004438409702656","Catalog Record")</f>
        <v/>
      </c>
      <c r="AV1301">
        <f>HYPERLINK("http://www.worldcat.org/oclc/12319518","WorldCat Record")</f>
        <v/>
      </c>
      <c r="AW1301" t="inlineStr">
        <is>
          <t>10278429072:eng</t>
        </is>
      </c>
      <c r="AX1301" t="inlineStr">
        <is>
          <t>12319518</t>
        </is>
      </c>
      <c r="AY1301" t="inlineStr">
        <is>
          <t>991004438409702656</t>
        </is>
      </c>
      <c r="AZ1301" t="inlineStr">
        <is>
          <t>991004438409702656</t>
        </is>
      </c>
      <c r="BA1301" t="inlineStr">
        <is>
          <t>2256717770002656</t>
        </is>
      </c>
      <c r="BB1301" t="inlineStr">
        <is>
          <t>BOOK</t>
        </is>
      </c>
      <c r="BE1301" t="inlineStr">
        <is>
          <t>32285005018121</t>
        </is>
      </c>
      <c r="BF1301" t="inlineStr">
        <is>
          <t>893343836</t>
        </is>
      </c>
    </row>
    <row r="1302">
      <c r="A1302" t="inlineStr">
        <is>
          <t>No</t>
        </is>
      </c>
      <c r="B1302" t="inlineStr">
        <is>
          <t>CURAL</t>
        </is>
      </c>
      <c r="C1302" t="inlineStr">
        <is>
          <t>SHELVES</t>
        </is>
      </c>
      <c r="D1302" t="inlineStr">
        <is>
          <t>PR3664.C43 K49 1992</t>
        </is>
      </c>
      <c r="E1302" t="inlineStr">
        <is>
          <t>0                      PR 3664000C  43                 K  49          1992</t>
        </is>
      </c>
      <c r="F1302" t="inlineStr">
        <is>
          <t>Richardson's Clarissa and the eighteenth-century reader / Tom Keymer.</t>
        </is>
      </c>
      <c r="H1302" t="inlineStr">
        <is>
          <t>No</t>
        </is>
      </c>
      <c r="I1302" t="inlineStr">
        <is>
          <t>1</t>
        </is>
      </c>
      <c r="J1302" t="inlineStr">
        <is>
          <t>No</t>
        </is>
      </c>
      <c r="K1302" t="inlineStr">
        <is>
          <t>No</t>
        </is>
      </c>
      <c r="L1302" t="inlineStr">
        <is>
          <t>0</t>
        </is>
      </c>
      <c r="M1302" t="inlineStr">
        <is>
          <t>Keymer, Thomas, 1962-</t>
        </is>
      </c>
      <c r="N1302" t="inlineStr">
        <is>
          <t>Cambridge ; New York : Cambridge University Press, 1992.</t>
        </is>
      </c>
      <c r="O1302" t="inlineStr">
        <is>
          <t>1992</t>
        </is>
      </c>
      <c r="Q1302" t="inlineStr">
        <is>
          <t>eng</t>
        </is>
      </c>
      <c r="R1302" t="inlineStr">
        <is>
          <t>enk</t>
        </is>
      </c>
      <c r="S1302" t="inlineStr">
        <is>
          <t>Cambridge studies in eighteenth-century English literature and thought ; 13</t>
        </is>
      </c>
      <c r="T1302" t="inlineStr">
        <is>
          <t xml:space="preserve">PR </t>
        </is>
      </c>
      <c r="U1302" t="n">
        <v>1</v>
      </c>
      <c r="V1302" t="n">
        <v>1</v>
      </c>
      <c r="W1302" t="inlineStr">
        <is>
          <t>2007-02-23</t>
        </is>
      </c>
      <c r="X1302" t="inlineStr">
        <is>
          <t>2007-02-23</t>
        </is>
      </c>
      <c r="Y1302" t="inlineStr">
        <is>
          <t>1996-03-25</t>
        </is>
      </c>
      <c r="Z1302" t="inlineStr">
        <is>
          <t>1996-03-25</t>
        </is>
      </c>
      <c r="AA1302" t="n">
        <v>475</v>
      </c>
      <c r="AB1302" t="n">
        <v>331</v>
      </c>
      <c r="AC1302" t="n">
        <v>478</v>
      </c>
      <c r="AD1302" t="n">
        <v>3</v>
      </c>
      <c r="AE1302" t="n">
        <v>3</v>
      </c>
      <c r="AF1302" t="n">
        <v>19</v>
      </c>
      <c r="AG1302" t="n">
        <v>28</v>
      </c>
      <c r="AH1302" t="n">
        <v>6</v>
      </c>
      <c r="AI1302" t="n">
        <v>10</v>
      </c>
      <c r="AJ1302" t="n">
        <v>5</v>
      </c>
      <c r="AK1302" t="n">
        <v>9</v>
      </c>
      <c r="AL1302" t="n">
        <v>12</v>
      </c>
      <c r="AM1302" t="n">
        <v>15</v>
      </c>
      <c r="AN1302" t="n">
        <v>2</v>
      </c>
      <c r="AO1302" t="n">
        <v>2</v>
      </c>
      <c r="AP1302" t="n">
        <v>0</v>
      </c>
      <c r="AQ1302" t="n">
        <v>0</v>
      </c>
      <c r="AR1302" t="inlineStr">
        <is>
          <t>No</t>
        </is>
      </c>
      <c r="AS1302" t="inlineStr">
        <is>
          <t>No</t>
        </is>
      </c>
      <c r="AU1302">
        <f>HYPERLINK("https://creighton-primo.hosted.exlibrisgroup.com/primo-explore/search?tab=default_tab&amp;search_scope=EVERYTHING&amp;vid=01CRU&amp;lang=en_US&amp;offset=0&amp;query=any,contains,991001890849702656","Catalog Record")</f>
        <v/>
      </c>
      <c r="AV1302">
        <f>HYPERLINK("http://www.worldcat.org/oclc/23869115","WorldCat Record")</f>
        <v/>
      </c>
      <c r="AW1302" t="inlineStr">
        <is>
          <t>25110422:eng</t>
        </is>
      </c>
      <c r="AX1302" t="inlineStr">
        <is>
          <t>23869115</t>
        </is>
      </c>
      <c r="AY1302" t="inlineStr">
        <is>
          <t>991001890849702656</t>
        </is>
      </c>
      <c r="AZ1302" t="inlineStr">
        <is>
          <t>991001890849702656</t>
        </is>
      </c>
      <c r="BA1302" t="inlineStr">
        <is>
          <t>2270633110002656</t>
        </is>
      </c>
      <c r="BB1302" t="inlineStr">
        <is>
          <t>BOOK</t>
        </is>
      </c>
      <c r="BD1302" t="inlineStr">
        <is>
          <t>9780521390231</t>
        </is>
      </c>
      <c r="BE1302" t="inlineStr">
        <is>
          <t>32285002146479</t>
        </is>
      </c>
      <c r="BF1302" t="inlineStr">
        <is>
          <t>893615445</t>
        </is>
      </c>
    </row>
    <row r="1303">
      <c r="A1303" t="inlineStr">
        <is>
          <t>No</t>
        </is>
      </c>
      <c r="B1303" t="inlineStr">
        <is>
          <t>CURAL</t>
        </is>
      </c>
      <c r="C1303" t="inlineStr">
        <is>
          <t>SHELVES</t>
        </is>
      </c>
      <c r="D1303" t="inlineStr">
        <is>
          <t>PR3664.C43 W3</t>
        </is>
      </c>
      <c r="E1303" t="inlineStr">
        <is>
          <t>0                      PR 3664000C  43                 W  3</t>
        </is>
      </c>
      <c r="F1303" t="inlineStr">
        <is>
          <t>Reading Clarissa : the struggles of interpretation / William Beatty Warner.</t>
        </is>
      </c>
      <c r="H1303" t="inlineStr">
        <is>
          <t>No</t>
        </is>
      </c>
      <c r="I1303" t="inlineStr">
        <is>
          <t>1</t>
        </is>
      </c>
      <c r="J1303" t="inlineStr">
        <is>
          <t>No</t>
        </is>
      </c>
      <c r="K1303" t="inlineStr">
        <is>
          <t>No</t>
        </is>
      </c>
      <c r="L1303" t="inlineStr">
        <is>
          <t>0</t>
        </is>
      </c>
      <c r="M1303" t="inlineStr">
        <is>
          <t>Warner, William Beatty.</t>
        </is>
      </c>
      <c r="N1303" t="inlineStr">
        <is>
          <t>New Haven : Yale University Press, 1979.</t>
        </is>
      </c>
      <c r="O1303" t="inlineStr">
        <is>
          <t>1979</t>
        </is>
      </c>
      <c r="Q1303" t="inlineStr">
        <is>
          <t>eng</t>
        </is>
      </c>
      <c r="R1303" t="inlineStr">
        <is>
          <t>ctu</t>
        </is>
      </c>
      <c r="T1303" t="inlineStr">
        <is>
          <t xml:space="preserve">PR </t>
        </is>
      </c>
      <c r="U1303" t="n">
        <v>1</v>
      </c>
      <c r="V1303" t="n">
        <v>1</v>
      </c>
      <c r="W1303" t="inlineStr">
        <is>
          <t>2007-02-23</t>
        </is>
      </c>
      <c r="X1303" t="inlineStr">
        <is>
          <t>2007-02-23</t>
        </is>
      </c>
      <c r="Y1303" t="inlineStr">
        <is>
          <t>1991-06-05</t>
        </is>
      </c>
      <c r="Z1303" t="inlineStr">
        <is>
          <t>1991-06-05</t>
        </is>
      </c>
      <c r="AA1303" t="n">
        <v>621</v>
      </c>
      <c r="AB1303" t="n">
        <v>495</v>
      </c>
      <c r="AC1303" t="n">
        <v>495</v>
      </c>
      <c r="AD1303" t="n">
        <v>3</v>
      </c>
      <c r="AE1303" t="n">
        <v>3</v>
      </c>
      <c r="AF1303" t="n">
        <v>28</v>
      </c>
      <c r="AG1303" t="n">
        <v>28</v>
      </c>
      <c r="AH1303" t="n">
        <v>12</v>
      </c>
      <c r="AI1303" t="n">
        <v>12</v>
      </c>
      <c r="AJ1303" t="n">
        <v>7</v>
      </c>
      <c r="AK1303" t="n">
        <v>7</v>
      </c>
      <c r="AL1303" t="n">
        <v>16</v>
      </c>
      <c r="AM1303" t="n">
        <v>16</v>
      </c>
      <c r="AN1303" t="n">
        <v>2</v>
      </c>
      <c r="AO1303" t="n">
        <v>2</v>
      </c>
      <c r="AP1303" t="n">
        <v>0</v>
      </c>
      <c r="AQ1303" t="n">
        <v>0</v>
      </c>
      <c r="AR1303" t="inlineStr">
        <is>
          <t>No</t>
        </is>
      </c>
      <c r="AS1303" t="inlineStr">
        <is>
          <t>No</t>
        </is>
      </c>
      <c r="AU1303">
        <f>HYPERLINK("https://creighton-primo.hosted.exlibrisgroup.com/primo-explore/search?tab=default_tab&amp;search_scope=EVERYTHING&amp;vid=01CRU&amp;lang=en_US&amp;offset=0&amp;query=any,contains,991004717559702656","Catalog Record")</f>
        <v/>
      </c>
      <c r="AV1303">
        <f>HYPERLINK("http://www.worldcat.org/oclc/4776845","WorldCat Record")</f>
        <v/>
      </c>
      <c r="AW1303" t="inlineStr">
        <is>
          <t>290753718:eng</t>
        </is>
      </c>
      <c r="AX1303" t="inlineStr">
        <is>
          <t>4776845</t>
        </is>
      </c>
      <c r="AY1303" t="inlineStr">
        <is>
          <t>991004717559702656</t>
        </is>
      </c>
      <c r="AZ1303" t="inlineStr">
        <is>
          <t>991004717559702656</t>
        </is>
      </c>
      <c r="BA1303" t="inlineStr">
        <is>
          <t>2254916600002656</t>
        </is>
      </c>
      <c r="BB1303" t="inlineStr">
        <is>
          <t>BOOK</t>
        </is>
      </c>
      <c r="BD1303" t="inlineStr">
        <is>
          <t>9780300023213</t>
        </is>
      </c>
      <c r="BE1303" t="inlineStr">
        <is>
          <t>32285000615186</t>
        </is>
      </c>
      <c r="BF1303" t="inlineStr">
        <is>
          <t>893260084</t>
        </is>
      </c>
    </row>
    <row r="1304">
      <c r="A1304" t="inlineStr">
        <is>
          <t>No</t>
        </is>
      </c>
      <c r="B1304" t="inlineStr">
        <is>
          <t>CURAL</t>
        </is>
      </c>
      <c r="C1304" t="inlineStr">
        <is>
          <t>SHELVES</t>
        </is>
      </c>
      <c r="D1304" t="inlineStr">
        <is>
          <t>PR3664.P4 C6</t>
        </is>
      </c>
      <c r="E1304" t="inlineStr">
        <is>
          <t>0                      PR 3664000P  4                  C  6</t>
        </is>
      </c>
      <c r="F1304" t="inlineStr">
        <is>
          <t>Twentieth century interpretations of Pamela; a collection of critical essays.</t>
        </is>
      </c>
      <c r="H1304" t="inlineStr">
        <is>
          <t>No</t>
        </is>
      </c>
      <c r="I1304" t="inlineStr">
        <is>
          <t>1</t>
        </is>
      </c>
      <c r="J1304" t="inlineStr">
        <is>
          <t>No</t>
        </is>
      </c>
      <c r="K1304" t="inlineStr">
        <is>
          <t>No</t>
        </is>
      </c>
      <c r="L1304" t="inlineStr">
        <is>
          <t>0</t>
        </is>
      </c>
      <c r="M1304" t="inlineStr">
        <is>
          <t>Cowler, Rosemary, 1925-, compiler.</t>
        </is>
      </c>
      <c r="N1304" t="inlineStr">
        <is>
          <t>Englewood Cliffs, N.J., Prentice-Hall [1969]</t>
        </is>
      </c>
      <c r="O1304" t="inlineStr">
        <is>
          <t>1969</t>
        </is>
      </c>
      <c r="Q1304" t="inlineStr">
        <is>
          <t>eng</t>
        </is>
      </c>
      <c r="R1304" t="inlineStr">
        <is>
          <t>nju</t>
        </is>
      </c>
      <c r="S1304" t="inlineStr">
        <is>
          <t>Twentieth century interpretations</t>
        </is>
      </c>
      <c r="T1304" t="inlineStr">
        <is>
          <t xml:space="preserve">PR </t>
        </is>
      </c>
      <c r="U1304" t="n">
        <v>6</v>
      </c>
      <c r="V1304" t="n">
        <v>6</v>
      </c>
      <c r="W1304" t="inlineStr">
        <is>
          <t>2004-03-20</t>
        </is>
      </c>
      <c r="X1304" t="inlineStr">
        <is>
          <t>2004-03-20</t>
        </is>
      </c>
      <c r="Y1304" t="inlineStr">
        <is>
          <t>1997-07-24</t>
        </is>
      </c>
      <c r="Z1304" t="inlineStr">
        <is>
          <t>1997-07-24</t>
        </is>
      </c>
      <c r="AA1304" t="n">
        <v>1426</v>
      </c>
      <c r="AB1304" t="n">
        <v>1271</v>
      </c>
      <c r="AC1304" t="n">
        <v>1281</v>
      </c>
      <c r="AD1304" t="n">
        <v>13</v>
      </c>
      <c r="AE1304" t="n">
        <v>13</v>
      </c>
      <c r="AF1304" t="n">
        <v>54</v>
      </c>
      <c r="AG1304" t="n">
        <v>54</v>
      </c>
      <c r="AH1304" t="n">
        <v>21</v>
      </c>
      <c r="AI1304" t="n">
        <v>21</v>
      </c>
      <c r="AJ1304" t="n">
        <v>10</v>
      </c>
      <c r="AK1304" t="n">
        <v>10</v>
      </c>
      <c r="AL1304" t="n">
        <v>21</v>
      </c>
      <c r="AM1304" t="n">
        <v>21</v>
      </c>
      <c r="AN1304" t="n">
        <v>12</v>
      </c>
      <c r="AO1304" t="n">
        <v>12</v>
      </c>
      <c r="AP1304" t="n">
        <v>0</v>
      </c>
      <c r="AQ1304" t="n">
        <v>0</v>
      </c>
      <c r="AR1304" t="inlineStr">
        <is>
          <t>No</t>
        </is>
      </c>
      <c r="AS1304" t="inlineStr">
        <is>
          <t>No</t>
        </is>
      </c>
      <c r="AU1304">
        <f>HYPERLINK("https://creighton-primo.hosted.exlibrisgroup.com/primo-explore/search?tab=default_tab&amp;search_scope=EVERYTHING&amp;vid=01CRU&amp;lang=en_US&amp;offset=0&amp;query=any,contains,991001170029702656","Catalog Record")</f>
        <v/>
      </c>
      <c r="AV1304">
        <f>HYPERLINK("http://www.worldcat.org/oclc/188174","WorldCat Record")</f>
        <v/>
      </c>
      <c r="AW1304" t="inlineStr">
        <is>
          <t>365397631:eng</t>
        </is>
      </c>
      <c r="AX1304" t="inlineStr">
        <is>
          <t>188174</t>
        </is>
      </c>
      <c r="AY1304" t="inlineStr">
        <is>
          <t>991001170029702656</t>
        </is>
      </c>
      <c r="AZ1304" t="inlineStr">
        <is>
          <t>991001170029702656</t>
        </is>
      </c>
      <c r="BA1304" t="inlineStr">
        <is>
          <t>2267722640002656</t>
        </is>
      </c>
      <c r="BB1304" t="inlineStr">
        <is>
          <t>BOOK</t>
        </is>
      </c>
      <c r="BE1304" t="inlineStr">
        <is>
          <t>32285002960457</t>
        </is>
      </c>
      <c r="BF1304" t="inlineStr">
        <is>
          <t>893878683</t>
        </is>
      </c>
    </row>
    <row r="1305">
      <c r="A1305" t="inlineStr">
        <is>
          <t>No</t>
        </is>
      </c>
      <c r="B1305" t="inlineStr">
        <is>
          <t>CURAL</t>
        </is>
      </c>
      <c r="C1305" t="inlineStr">
        <is>
          <t>SHELVES</t>
        </is>
      </c>
      <c r="D1305" t="inlineStr">
        <is>
          <t>PR3667 .B68 1987</t>
        </is>
      </c>
      <c r="E1305" t="inlineStr">
        <is>
          <t>0                      PR 3667000B  68          1987</t>
        </is>
      </c>
      <c r="F1305" t="inlineStr">
        <is>
          <t>Samuel Richardson / by Elizabeth Bergen Brophy.</t>
        </is>
      </c>
      <c r="H1305" t="inlineStr">
        <is>
          <t>No</t>
        </is>
      </c>
      <c r="I1305" t="inlineStr">
        <is>
          <t>1</t>
        </is>
      </c>
      <c r="J1305" t="inlineStr">
        <is>
          <t>No</t>
        </is>
      </c>
      <c r="K1305" t="inlineStr">
        <is>
          <t>No</t>
        </is>
      </c>
      <c r="L1305" t="inlineStr">
        <is>
          <t>0</t>
        </is>
      </c>
      <c r="M1305" t="inlineStr">
        <is>
          <t>Brophy, Elizabeth Bergen, 1929-</t>
        </is>
      </c>
      <c r="N1305" t="inlineStr">
        <is>
          <t>Boston : Twayne Publishers, c1987.</t>
        </is>
      </c>
      <c r="O1305" t="inlineStr">
        <is>
          <t>1987</t>
        </is>
      </c>
      <c r="Q1305" t="inlineStr">
        <is>
          <t>eng</t>
        </is>
      </c>
      <c r="R1305" t="inlineStr">
        <is>
          <t>mau</t>
        </is>
      </c>
      <c r="S1305" t="inlineStr">
        <is>
          <t>Twayne's English authors series ; TEAS 454</t>
        </is>
      </c>
      <c r="T1305" t="inlineStr">
        <is>
          <t xml:space="preserve">PR </t>
        </is>
      </c>
      <c r="U1305" t="n">
        <v>4</v>
      </c>
      <c r="V1305" t="n">
        <v>4</v>
      </c>
      <c r="W1305" t="inlineStr">
        <is>
          <t>2006-10-25</t>
        </is>
      </c>
      <c r="X1305" t="inlineStr">
        <is>
          <t>2006-10-25</t>
        </is>
      </c>
      <c r="Y1305" t="inlineStr">
        <is>
          <t>1991-06-05</t>
        </is>
      </c>
      <c r="Z1305" t="inlineStr">
        <is>
          <t>1991-06-05</t>
        </is>
      </c>
      <c r="AA1305" t="n">
        <v>722</v>
      </c>
      <c r="AB1305" t="n">
        <v>611</v>
      </c>
      <c r="AC1305" t="n">
        <v>699</v>
      </c>
      <c r="AD1305" t="n">
        <v>5</v>
      </c>
      <c r="AE1305" t="n">
        <v>5</v>
      </c>
      <c r="AF1305" t="n">
        <v>31</v>
      </c>
      <c r="AG1305" t="n">
        <v>32</v>
      </c>
      <c r="AH1305" t="n">
        <v>13</v>
      </c>
      <c r="AI1305" t="n">
        <v>13</v>
      </c>
      <c r="AJ1305" t="n">
        <v>7</v>
      </c>
      <c r="AK1305" t="n">
        <v>7</v>
      </c>
      <c r="AL1305" t="n">
        <v>16</v>
      </c>
      <c r="AM1305" t="n">
        <v>17</v>
      </c>
      <c r="AN1305" t="n">
        <v>4</v>
      </c>
      <c r="AO1305" t="n">
        <v>4</v>
      </c>
      <c r="AP1305" t="n">
        <v>0</v>
      </c>
      <c r="AQ1305" t="n">
        <v>0</v>
      </c>
      <c r="AR1305" t="inlineStr">
        <is>
          <t>No</t>
        </is>
      </c>
      <c r="AS1305" t="inlineStr">
        <is>
          <t>Yes</t>
        </is>
      </c>
      <c r="AT1305">
        <f>HYPERLINK("http://catalog.hathitrust.org/Record/000859601","HathiTrust Record")</f>
        <v/>
      </c>
      <c r="AU1305">
        <f>HYPERLINK("https://creighton-primo.hosted.exlibrisgroup.com/primo-explore/search?tab=default_tab&amp;search_scope=EVERYTHING&amp;vid=01CRU&amp;lang=en_US&amp;offset=0&amp;query=any,contains,991001048119702656","Catalog Record")</f>
        <v/>
      </c>
      <c r="AV1305">
        <f>HYPERLINK("http://www.worldcat.org/oclc/15630547","WorldCat Record")</f>
        <v/>
      </c>
      <c r="AW1305" t="inlineStr">
        <is>
          <t>10412109:eng</t>
        </is>
      </c>
      <c r="AX1305" t="inlineStr">
        <is>
          <t>15630547</t>
        </is>
      </c>
      <c r="AY1305" t="inlineStr">
        <is>
          <t>991001048119702656</t>
        </is>
      </c>
      <c r="AZ1305" t="inlineStr">
        <is>
          <t>991001048119702656</t>
        </is>
      </c>
      <c r="BA1305" t="inlineStr">
        <is>
          <t>2260912070002656</t>
        </is>
      </c>
      <c r="BB1305" t="inlineStr">
        <is>
          <t>BOOK</t>
        </is>
      </c>
      <c r="BD1305" t="inlineStr">
        <is>
          <t>9780805769517</t>
        </is>
      </c>
      <c r="BE1305" t="inlineStr">
        <is>
          <t>32285000615194</t>
        </is>
      </c>
      <c r="BF1305" t="inlineStr">
        <is>
          <t>893243810</t>
        </is>
      </c>
    </row>
    <row r="1306">
      <c r="A1306" t="inlineStr">
        <is>
          <t>No</t>
        </is>
      </c>
      <c r="B1306" t="inlineStr">
        <is>
          <t>CURAL</t>
        </is>
      </c>
      <c r="C1306" t="inlineStr">
        <is>
          <t>SHELVES</t>
        </is>
      </c>
      <c r="D1306" t="inlineStr">
        <is>
          <t>PR3667 .E245 1982</t>
        </is>
      </c>
      <c r="E1306" t="inlineStr">
        <is>
          <t>0                      PR 3667000E  245         1982</t>
        </is>
      </c>
      <c r="F1306" t="inlineStr">
        <is>
          <t>The rape of Clarissa : writing, sexuality and class struggle in Samuel Richardson / Terry Eagleton.</t>
        </is>
      </c>
      <c r="H1306" t="inlineStr">
        <is>
          <t>No</t>
        </is>
      </c>
      <c r="I1306" t="inlineStr">
        <is>
          <t>1</t>
        </is>
      </c>
      <c r="J1306" t="inlineStr">
        <is>
          <t>No</t>
        </is>
      </c>
      <c r="K1306" t="inlineStr">
        <is>
          <t>No</t>
        </is>
      </c>
      <c r="L1306" t="inlineStr">
        <is>
          <t>0</t>
        </is>
      </c>
      <c r="M1306" t="inlineStr">
        <is>
          <t>Eagleton, Terry, 1943-</t>
        </is>
      </c>
      <c r="N1306" t="inlineStr">
        <is>
          <t>Oxford [England] : Basil Blackwell, 1982.</t>
        </is>
      </c>
      <c r="O1306" t="inlineStr">
        <is>
          <t>1982</t>
        </is>
      </c>
      <c r="Q1306" t="inlineStr">
        <is>
          <t>eng</t>
        </is>
      </c>
      <c r="R1306" t="inlineStr">
        <is>
          <t>enk</t>
        </is>
      </c>
      <c r="T1306" t="inlineStr">
        <is>
          <t xml:space="preserve">PR </t>
        </is>
      </c>
      <c r="U1306" t="n">
        <v>3</v>
      </c>
      <c r="V1306" t="n">
        <v>3</v>
      </c>
      <c r="W1306" t="inlineStr">
        <is>
          <t>2007-02-14</t>
        </is>
      </c>
      <c r="X1306" t="inlineStr">
        <is>
          <t>2007-02-14</t>
        </is>
      </c>
      <c r="Y1306" t="inlineStr">
        <is>
          <t>1993-08-13</t>
        </is>
      </c>
      <c r="Z1306" t="inlineStr">
        <is>
          <t>1993-08-13</t>
        </is>
      </c>
      <c r="AA1306" t="n">
        <v>305</v>
      </c>
      <c r="AB1306" t="n">
        <v>119</v>
      </c>
      <c r="AC1306" t="n">
        <v>667</v>
      </c>
      <c r="AD1306" t="n">
        <v>2</v>
      </c>
      <c r="AE1306" t="n">
        <v>7</v>
      </c>
      <c r="AF1306" t="n">
        <v>5</v>
      </c>
      <c r="AG1306" t="n">
        <v>39</v>
      </c>
      <c r="AH1306" t="n">
        <v>3</v>
      </c>
      <c r="AI1306" t="n">
        <v>21</v>
      </c>
      <c r="AJ1306" t="n">
        <v>2</v>
      </c>
      <c r="AK1306" t="n">
        <v>8</v>
      </c>
      <c r="AL1306" t="n">
        <v>2</v>
      </c>
      <c r="AM1306" t="n">
        <v>17</v>
      </c>
      <c r="AN1306" t="n">
        <v>1</v>
      </c>
      <c r="AO1306" t="n">
        <v>6</v>
      </c>
      <c r="AP1306" t="n">
        <v>0</v>
      </c>
      <c r="AQ1306" t="n">
        <v>0</v>
      </c>
      <c r="AR1306" t="inlineStr">
        <is>
          <t>No</t>
        </is>
      </c>
      <c r="AS1306" t="inlineStr">
        <is>
          <t>No</t>
        </is>
      </c>
      <c r="AU1306">
        <f>HYPERLINK("https://creighton-primo.hosted.exlibrisgroup.com/primo-explore/search?tab=default_tab&amp;search_scope=EVERYTHING&amp;vid=01CRU&amp;lang=en_US&amp;offset=0&amp;query=any,contains,991000089369702656","Catalog Record")</f>
        <v/>
      </c>
      <c r="AV1306">
        <f>HYPERLINK("http://www.worldcat.org/oclc/9783494","WorldCat Record")</f>
        <v/>
      </c>
      <c r="AW1306" t="inlineStr">
        <is>
          <t>794179109:eng</t>
        </is>
      </c>
      <c r="AX1306" t="inlineStr">
        <is>
          <t>9783494</t>
        </is>
      </c>
      <c r="AY1306" t="inlineStr">
        <is>
          <t>991000089369702656</t>
        </is>
      </c>
      <c r="AZ1306" t="inlineStr">
        <is>
          <t>991000089369702656</t>
        </is>
      </c>
      <c r="BA1306" t="inlineStr">
        <is>
          <t>2264664520002656</t>
        </is>
      </c>
      <c r="BB1306" t="inlineStr">
        <is>
          <t>BOOK</t>
        </is>
      </c>
      <c r="BD1306" t="inlineStr">
        <is>
          <t>9780631130314</t>
        </is>
      </c>
      <c r="BE1306" t="inlineStr">
        <is>
          <t>32285001754570</t>
        </is>
      </c>
      <c r="BF1306" t="inlineStr">
        <is>
          <t>893255167</t>
        </is>
      </c>
    </row>
    <row r="1307">
      <c r="A1307" t="inlineStr">
        <is>
          <t>No</t>
        </is>
      </c>
      <c r="B1307" t="inlineStr">
        <is>
          <t>CURAL</t>
        </is>
      </c>
      <c r="C1307" t="inlineStr">
        <is>
          <t>SHELVES</t>
        </is>
      </c>
      <c r="D1307" t="inlineStr">
        <is>
          <t>PR3667 .G6</t>
        </is>
      </c>
      <c r="E1307" t="inlineStr">
        <is>
          <t>0                      PR 3667000G  6</t>
        </is>
      </c>
      <c r="F1307" t="inlineStr">
        <is>
          <t>Richardson's characters.</t>
        </is>
      </c>
      <c r="H1307" t="inlineStr">
        <is>
          <t>No</t>
        </is>
      </c>
      <c r="I1307" t="inlineStr">
        <is>
          <t>1</t>
        </is>
      </c>
      <c r="J1307" t="inlineStr">
        <is>
          <t>No</t>
        </is>
      </c>
      <c r="K1307" t="inlineStr">
        <is>
          <t>No</t>
        </is>
      </c>
      <c r="L1307" t="inlineStr">
        <is>
          <t>0</t>
        </is>
      </c>
      <c r="M1307" t="inlineStr">
        <is>
          <t>Golden, Morris.</t>
        </is>
      </c>
      <c r="N1307" t="inlineStr">
        <is>
          <t>Ann Arbor, University of Michigan Press [1963]</t>
        </is>
      </c>
      <c r="O1307" t="inlineStr">
        <is>
          <t>1963</t>
        </is>
      </c>
      <c r="Q1307" t="inlineStr">
        <is>
          <t>eng</t>
        </is>
      </c>
      <c r="R1307" t="inlineStr">
        <is>
          <t>miu</t>
        </is>
      </c>
      <c r="T1307" t="inlineStr">
        <is>
          <t xml:space="preserve">PR </t>
        </is>
      </c>
      <c r="U1307" t="n">
        <v>1</v>
      </c>
      <c r="V1307" t="n">
        <v>1</v>
      </c>
      <c r="W1307" t="inlineStr">
        <is>
          <t>2002-12-01</t>
        </is>
      </c>
      <c r="X1307" t="inlineStr">
        <is>
          <t>2002-12-01</t>
        </is>
      </c>
      <c r="Y1307" t="inlineStr">
        <is>
          <t>1997-07-24</t>
        </is>
      </c>
      <c r="Z1307" t="inlineStr">
        <is>
          <t>1997-07-24</t>
        </is>
      </c>
      <c r="AA1307" t="n">
        <v>768</v>
      </c>
      <c r="AB1307" t="n">
        <v>640</v>
      </c>
      <c r="AC1307" t="n">
        <v>641</v>
      </c>
      <c r="AD1307" t="n">
        <v>5</v>
      </c>
      <c r="AE1307" t="n">
        <v>5</v>
      </c>
      <c r="AF1307" t="n">
        <v>30</v>
      </c>
      <c r="AG1307" t="n">
        <v>30</v>
      </c>
      <c r="AH1307" t="n">
        <v>12</v>
      </c>
      <c r="AI1307" t="n">
        <v>12</v>
      </c>
      <c r="AJ1307" t="n">
        <v>7</v>
      </c>
      <c r="AK1307" t="n">
        <v>7</v>
      </c>
      <c r="AL1307" t="n">
        <v>18</v>
      </c>
      <c r="AM1307" t="n">
        <v>18</v>
      </c>
      <c r="AN1307" t="n">
        <v>4</v>
      </c>
      <c r="AO1307" t="n">
        <v>4</v>
      </c>
      <c r="AP1307" t="n">
        <v>0</v>
      </c>
      <c r="AQ1307" t="n">
        <v>0</v>
      </c>
      <c r="AR1307" t="inlineStr">
        <is>
          <t>No</t>
        </is>
      </c>
      <c r="AS1307" t="inlineStr">
        <is>
          <t>Yes</t>
        </is>
      </c>
      <c r="AT1307">
        <f>HYPERLINK("http://catalog.hathitrust.org/Record/001022728","HathiTrust Record")</f>
        <v/>
      </c>
      <c r="AU1307">
        <f>HYPERLINK("https://creighton-primo.hosted.exlibrisgroup.com/primo-explore/search?tab=default_tab&amp;search_scope=EVERYTHING&amp;vid=01CRU&amp;lang=en_US&amp;offset=0&amp;query=any,contains,991000942969702656","Catalog Record")</f>
        <v/>
      </c>
      <c r="AV1307">
        <f>HYPERLINK("http://www.worldcat.org/oclc/166541","WorldCat Record")</f>
        <v/>
      </c>
      <c r="AW1307" t="inlineStr">
        <is>
          <t>1285207:eng</t>
        </is>
      </c>
      <c r="AX1307" t="inlineStr">
        <is>
          <t>166541</t>
        </is>
      </c>
      <c r="AY1307" t="inlineStr">
        <is>
          <t>991000942969702656</t>
        </is>
      </c>
      <c r="AZ1307" t="inlineStr">
        <is>
          <t>991000942969702656</t>
        </is>
      </c>
      <c r="BA1307" t="inlineStr">
        <is>
          <t>2271346760002656</t>
        </is>
      </c>
      <c r="BB1307" t="inlineStr">
        <is>
          <t>BOOK</t>
        </is>
      </c>
      <c r="BE1307" t="inlineStr">
        <is>
          <t>32285002960564</t>
        </is>
      </c>
      <c r="BF1307" t="inlineStr">
        <is>
          <t>893438724</t>
        </is>
      </c>
    </row>
    <row r="1308">
      <c r="A1308" t="inlineStr">
        <is>
          <t>No</t>
        </is>
      </c>
      <c r="B1308" t="inlineStr">
        <is>
          <t>CURAL</t>
        </is>
      </c>
      <c r="C1308" t="inlineStr">
        <is>
          <t>SHELVES</t>
        </is>
      </c>
      <c r="D1308" t="inlineStr">
        <is>
          <t>PR3667 .H37 1987</t>
        </is>
      </c>
      <c r="E1308" t="inlineStr">
        <is>
          <t>0                      PR 3667000H  37          1987</t>
        </is>
      </c>
      <c r="F1308" t="inlineStr">
        <is>
          <t>Samuel Richardson / Jocelyn Harris.</t>
        </is>
      </c>
      <c r="H1308" t="inlineStr">
        <is>
          <t>No</t>
        </is>
      </c>
      <c r="I1308" t="inlineStr">
        <is>
          <t>1</t>
        </is>
      </c>
      <c r="J1308" t="inlineStr">
        <is>
          <t>No</t>
        </is>
      </c>
      <c r="K1308" t="inlineStr">
        <is>
          <t>No</t>
        </is>
      </c>
      <c r="L1308" t="inlineStr">
        <is>
          <t>0</t>
        </is>
      </c>
      <c r="M1308" t="inlineStr">
        <is>
          <t>Harris, Jocelyn.</t>
        </is>
      </c>
      <c r="N1308" t="inlineStr">
        <is>
          <t>Cambridge [Cambridgeshire] ; New York : Cambridge University Press, 1987.</t>
        </is>
      </c>
      <c r="O1308" t="inlineStr">
        <is>
          <t>1987</t>
        </is>
      </c>
      <c r="Q1308" t="inlineStr">
        <is>
          <t>eng</t>
        </is>
      </c>
      <c r="R1308" t="inlineStr">
        <is>
          <t>enk</t>
        </is>
      </c>
      <c r="S1308" t="inlineStr">
        <is>
          <t>British and irish authors : introductory critical studies</t>
        </is>
      </c>
      <c r="T1308" t="inlineStr">
        <is>
          <t xml:space="preserve">PR </t>
        </is>
      </c>
      <c r="U1308" t="n">
        <v>2</v>
      </c>
      <c r="V1308" t="n">
        <v>2</v>
      </c>
      <c r="W1308" t="inlineStr">
        <is>
          <t>2006-10-25</t>
        </is>
      </c>
      <c r="X1308" t="inlineStr">
        <is>
          <t>2006-10-25</t>
        </is>
      </c>
      <c r="Y1308" t="inlineStr">
        <is>
          <t>2003-09-23</t>
        </is>
      </c>
      <c r="Z1308" t="inlineStr">
        <is>
          <t>2003-09-23</t>
        </is>
      </c>
      <c r="AA1308" t="n">
        <v>627</v>
      </c>
      <c r="AB1308" t="n">
        <v>434</v>
      </c>
      <c r="AC1308" t="n">
        <v>440</v>
      </c>
      <c r="AD1308" t="n">
        <v>4</v>
      </c>
      <c r="AE1308" t="n">
        <v>4</v>
      </c>
      <c r="AF1308" t="n">
        <v>25</v>
      </c>
      <c r="AG1308" t="n">
        <v>25</v>
      </c>
      <c r="AH1308" t="n">
        <v>8</v>
      </c>
      <c r="AI1308" t="n">
        <v>8</v>
      </c>
      <c r="AJ1308" t="n">
        <v>6</v>
      </c>
      <c r="AK1308" t="n">
        <v>6</v>
      </c>
      <c r="AL1308" t="n">
        <v>16</v>
      </c>
      <c r="AM1308" t="n">
        <v>16</v>
      </c>
      <c r="AN1308" t="n">
        <v>3</v>
      </c>
      <c r="AO1308" t="n">
        <v>3</v>
      </c>
      <c r="AP1308" t="n">
        <v>0</v>
      </c>
      <c r="AQ1308" t="n">
        <v>0</v>
      </c>
      <c r="AR1308" t="inlineStr">
        <is>
          <t>No</t>
        </is>
      </c>
      <c r="AS1308" t="inlineStr">
        <is>
          <t>Yes</t>
        </is>
      </c>
      <c r="AT1308">
        <f>HYPERLINK("http://catalog.hathitrust.org/Record/000822888","HathiTrust Record")</f>
        <v/>
      </c>
      <c r="AU1308">
        <f>HYPERLINK("https://creighton-primo.hosted.exlibrisgroup.com/primo-explore/search?tab=default_tab&amp;search_scope=EVERYTHING&amp;vid=01CRU&amp;lang=en_US&amp;offset=0&amp;query=any,contains,991004130139702656","Catalog Record")</f>
        <v/>
      </c>
      <c r="AV1308">
        <f>HYPERLINK("http://www.worldcat.org/oclc/13823567","WorldCat Record")</f>
        <v/>
      </c>
      <c r="AW1308" t="inlineStr">
        <is>
          <t>7357232:eng</t>
        </is>
      </c>
      <c r="AX1308" t="inlineStr">
        <is>
          <t>13823567</t>
        </is>
      </c>
      <c r="AY1308" t="inlineStr">
        <is>
          <t>991004130139702656</t>
        </is>
      </c>
      <c r="AZ1308" t="inlineStr">
        <is>
          <t>991004130139702656</t>
        </is>
      </c>
      <c r="BA1308" t="inlineStr">
        <is>
          <t>2265512980002656</t>
        </is>
      </c>
      <c r="BB1308" t="inlineStr">
        <is>
          <t>BOOK</t>
        </is>
      </c>
      <c r="BD1308" t="inlineStr">
        <is>
          <t>9780521305013</t>
        </is>
      </c>
      <c r="BE1308" t="inlineStr">
        <is>
          <t>32285004784319</t>
        </is>
      </c>
      <c r="BF1308" t="inlineStr">
        <is>
          <t>893882096</t>
        </is>
      </c>
    </row>
    <row r="1309">
      <c r="A1309" t="inlineStr">
        <is>
          <t>No</t>
        </is>
      </c>
      <c r="B1309" t="inlineStr">
        <is>
          <t>CURAL</t>
        </is>
      </c>
      <c r="C1309" t="inlineStr">
        <is>
          <t>SHELVES</t>
        </is>
      </c>
      <c r="D1309" t="inlineStr">
        <is>
          <t>PR3667 .K5 1973b</t>
        </is>
      </c>
      <c r="E1309" t="inlineStr">
        <is>
          <t>0                      PR 3667000K  5           1973b</t>
        </is>
      </c>
      <c r="F1309" t="inlineStr">
        <is>
          <t>Samuel Richardson, dramatic novelist.</t>
        </is>
      </c>
      <c r="H1309" t="inlineStr">
        <is>
          <t>No</t>
        </is>
      </c>
      <c r="I1309" t="inlineStr">
        <is>
          <t>1</t>
        </is>
      </c>
      <c r="J1309" t="inlineStr">
        <is>
          <t>No</t>
        </is>
      </c>
      <c r="K1309" t="inlineStr">
        <is>
          <t>No</t>
        </is>
      </c>
      <c r="L1309" t="inlineStr">
        <is>
          <t>0</t>
        </is>
      </c>
      <c r="M1309" t="inlineStr">
        <is>
          <t>Kinkead-Weekes, Mark.</t>
        </is>
      </c>
      <c r="N1309" t="inlineStr">
        <is>
          <t>London, Methuen, 1973.</t>
        </is>
      </c>
      <c r="O1309" t="inlineStr">
        <is>
          <t>1973</t>
        </is>
      </c>
      <c r="Q1309" t="inlineStr">
        <is>
          <t>eng</t>
        </is>
      </c>
      <c r="R1309" t="inlineStr">
        <is>
          <t>enk</t>
        </is>
      </c>
      <c r="T1309" t="inlineStr">
        <is>
          <t xml:space="preserve">PR </t>
        </is>
      </c>
      <c r="U1309" t="n">
        <v>1</v>
      </c>
      <c r="V1309" t="n">
        <v>1</v>
      </c>
      <c r="W1309" t="inlineStr">
        <is>
          <t>1998-11-10</t>
        </is>
      </c>
      <c r="X1309" t="inlineStr">
        <is>
          <t>1998-11-10</t>
        </is>
      </c>
      <c r="Y1309" t="inlineStr">
        <is>
          <t>1997-07-24</t>
        </is>
      </c>
      <c r="Z1309" t="inlineStr">
        <is>
          <t>1997-07-24</t>
        </is>
      </c>
      <c r="AA1309" t="n">
        <v>253</v>
      </c>
      <c r="AB1309" t="n">
        <v>49</v>
      </c>
      <c r="AC1309" t="n">
        <v>674</v>
      </c>
      <c r="AD1309" t="n">
        <v>1</v>
      </c>
      <c r="AE1309" t="n">
        <v>5</v>
      </c>
      <c r="AF1309" t="n">
        <v>3</v>
      </c>
      <c r="AG1309" t="n">
        <v>35</v>
      </c>
      <c r="AH1309" t="n">
        <v>2</v>
      </c>
      <c r="AI1309" t="n">
        <v>15</v>
      </c>
      <c r="AJ1309" t="n">
        <v>1</v>
      </c>
      <c r="AK1309" t="n">
        <v>9</v>
      </c>
      <c r="AL1309" t="n">
        <v>2</v>
      </c>
      <c r="AM1309" t="n">
        <v>17</v>
      </c>
      <c r="AN1309" t="n">
        <v>0</v>
      </c>
      <c r="AO1309" t="n">
        <v>4</v>
      </c>
      <c r="AP1309" t="n">
        <v>0</v>
      </c>
      <c r="AQ1309" t="n">
        <v>0</v>
      </c>
      <c r="AR1309" t="inlineStr">
        <is>
          <t>No</t>
        </is>
      </c>
      <c r="AS1309" t="inlineStr">
        <is>
          <t>Yes</t>
        </is>
      </c>
      <c r="AT1309">
        <f>HYPERLINK("http://catalog.hathitrust.org/Record/001398917","HathiTrust Record")</f>
        <v/>
      </c>
      <c r="AU1309">
        <f>HYPERLINK("https://creighton-primo.hosted.exlibrisgroup.com/primo-explore/search?tab=default_tab&amp;search_scope=EVERYTHING&amp;vid=01CRU&amp;lang=en_US&amp;offset=0&amp;query=any,contains,991003313639702656","Catalog Record")</f>
        <v/>
      </c>
      <c r="AV1309">
        <f>HYPERLINK("http://www.worldcat.org/oclc/838067","WorldCat Record")</f>
        <v/>
      </c>
      <c r="AW1309" t="inlineStr">
        <is>
          <t>1719858:eng</t>
        </is>
      </c>
      <c r="AX1309" t="inlineStr">
        <is>
          <t>838067</t>
        </is>
      </c>
      <c r="AY1309" t="inlineStr">
        <is>
          <t>991003313639702656</t>
        </is>
      </c>
      <c r="AZ1309" t="inlineStr">
        <is>
          <t>991003313639702656</t>
        </is>
      </c>
      <c r="BA1309" t="inlineStr">
        <is>
          <t>2269083540002656</t>
        </is>
      </c>
      <c r="BB1309" t="inlineStr">
        <is>
          <t>BOOK</t>
        </is>
      </c>
      <c r="BD1309" t="inlineStr">
        <is>
          <t>9780416029703</t>
        </is>
      </c>
      <c r="BE1309" t="inlineStr">
        <is>
          <t>32285002960572</t>
        </is>
      </c>
      <c r="BF1309" t="inlineStr">
        <is>
          <t>893234040</t>
        </is>
      </c>
    </row>
    <row r="1310">
      <c r="A1310" t="inlineStr">
        <is>
          <t>No</t>
        </is>
      </c>
      <c r="B1310" t="inlineStr">
        <is>
          <t>CURAL</t>
        </is>
      </c>
      <c r="C1310" t="inlineStr">
        <is>
          <t>SHELVES</t>
        </is>
      </c>
      <c r="D1310" t="inlineStr">
        <is>
          <t>PR3667 .S27 1989</t>
        </is>
      </c>
      <c r="E1310" t="inlineStr">
        <is>
          <t>0                      PR 3667000S  27          1989</t>
        </is>
      </c>
      <c r="F1310" t="inlineStr">
        <is>
          <t>Samuel Richardson : tercentenary essays / edited by Margaret Anne Doody and Peter Sabor.</t>
        </is>
      </c>
      <c r="H1310" t="inlineStr">
        <is>
          <t>No</t>
        </is>
      </c>
      <c r="I1310" t="inlineStr">
        <is>
          <t>1</t>
        </is>
      </c>
      <c r="J1310" t="inlineStr">
        <is>
          <t>No</t>
        </is>
      </c>
      <c r="K1310" t="inlineStr">
        <is>
          <t>No</t>
        </is>
      </c>
      <c r="L1310" t="inlineStr">
        <is>
          <t>0</t>
        </is>
      </c>
      <c r="N1310" t="inlineStr">
        <is>
          <t>Cambridge [England] ; New York : Cambridge University Press, 1989.</t>
        </is>
      </c>
      <c r="O1310" t="inlineStr">
        <is>
          <t>1989</t>
        </is>
      </c>
      <c r="Q1310" t="inlineStr">
        <is>
          <t>eng</t>
        </is>
      </c>
      <c r="R1310" t="inlineStr">
        <is>
          <t>enk</t>
        </is>
      </c>
      <c r="T1310" t="inlineStr">
        <is>
          <t xml:space="preserve">PR </t>
        </is>
      </c>
      <c r="U1310" t="n">
        <v>4</v>
      </c>
      <c r="V1310" t="n">
        <v>4</v>
      </c>
      <c r="W1310" t="inlineStr">
        <is>
          <t>2006-10-25</t>
        </is>
      </c>
      <c r="X1310" t="inlineStr">
        <is>
          <t>2006-10-25</t>
        </is>
      </c>
      <c r="Y1310" t="inlineStr">
        <is>
          <t>1989-12-29</t>
        </is>
      </c>
      <c r="Z1310" t="inlineStr">
        <is>
          <t>1989-12-29</t>
        </is>
      </c>
      <c r="AA1310" t="n">
        <v>558</v>
      </c>
      <c r="AB1310" t="n">
        <v>403</v>
      </c>
      <c r="AC1310" t="n">
        <v>417</v>
      </c>
      <c r="AD1310" t="n">
        <v>2</v>
      </c>
      <c r="AE1310" t="n">
        <v>2</v>
      </c>
      <c r="AF1310" t="n">
        <v>21</v>
      </c>
      <c r="AG1310" t="n">
        <v>21</v>
      </c>
      <c r="AH1310" t="n">
        <v>8</v>
      </c>
      <c r="AI1310" t="n">
        <v>8</v>
      </c>
      <c r="AJ1310" t="n">
        <v>7</v>
      </c>
      <c r="AK1310" t="n">
        <v>7</v>
      </c>
      <c r="AL1310" t="n">
        <v>14</v>
      </c>
      <c r="AM1310" t="n">
        <v>14</v>
      </c>
      <c r="AN1310" t="n">
        <v>1</v>
      </c>
      <c r="AO1310" t="n">
        <v>1</v>
      </c>
      <c r="AP1310" t="n">
        <v>0</v>
      </c>
      <c r="AQ1310" t="n">
        <v>0</v>
      </c>
      <c r="AR1310" t="inlineStr">
        <is>
          <t>No</t>
        </is>
      </c>
      <c r="AS1310" t="inlineStr">
        <is>
          <t>No</t>
        </is>
      </c>
      <c r="AU1310">
        <f>HYPERLINK("https://creighton-primo.hosted.exlibrisgroup.com/primo-explore/search?tab=default_tab&amp;search_scope=EVERYTHING&amp;vid=01CRU&amp;lang=en_US&amp;offset=0&amp;query=any,contains,991001391929702656","Catalog Record")</f>
        <v/>
      </c>
      <c r="AV1310">
        <f>HYPERLINK("http://www.worldcat.org/oclc/18778729","WorldCat Record")</f>
        <v/>
      </c>
      <c r="AW1310" t="inlineStr">
        <is>
          <t>796416007:eng</t>
        </is>
      </c>
      <c r="AX1310" t="inlineStr">
        <is>
          <t>18778729</t>
        </is>
      </c>
      <c r="AY1310" t="inlineStr">
        <is>
          <t>991001391929702656</t>
        </is>
      </c>
      <c r="AZ1310" t="inlineStr">
        <is>
          <t>991001391929702656</t>
        </is>
      </c>
      <c r="BA1310" t="inlineStr">
        <is>
          <t>2256420780002656</t>
        </is>
      </c>
      <c r="BB1310" t="inlineStr">
        <is>
          <t>BOOK</t>
        </is>
      </c>
      <c r="BD1310" t="inlineStr">
        <is>
          <t>9780521353830</t>
        </is>
      </c>
      <c r="BE1310" t="inlineStr">
        <is>
          <t>32285000025543</t>
        </is>
      </c>
      <c r="BF1310" t="inlineStr">
        <is>
          <t>893534537</t>
        </is>
      </c>
    </row>
    <row r="1311">
      <c r="A1311" t="inlineStr">
        <is>
          <t>No</t>
        </is>
      </c>
      <c r="B1311" t="inlineStr">
        <is>
          <t>CURAL</t>
        </is>
      </c>
      <c r="C1311" t="inlineStr">
        <is>
          <t>SHELVES</t>
        </is>
      </c>
      <c r="D1311" t="inlineStr">
        <is>
          <t>PR3669.R2 T47 1993</t>
        </is>
      </c>
      <c r="E1311" t="inlineStr">
        <is>
          <t>0                      PR 3669000R  2                  T  47          1993</t>
        </is>
      </c>
      <c r="F1311" t="inlineStr">
        <is>
          <t>Rochester : the poems in context / Marianne Thormählen.</t>
        </is>
      </c>
      <c r="H1311" t="inlineStr">
        <is>
          <t>No</t>
        </is>
      </c>
      <c r="I1311" t="inlineStr">
        <is>
          <t>1</t>
        </is>
      </c>
      <c r="J1311" t="inlineStr">
        <is>
          <t>No</t>
        </is>
      </c>
      <c r="K1311" t="inlineStr">
        <is>
          <t>No</t>
        </is>
      </c>
      <c r="L1311" t="inlineStr">
        <is>
          <t>0</t>
        </is>
      </c>
      <c r="M1311" t="inlineStr">
        <is>
          <t>Thormählen, Marianne, 1949-</t>
        </is>
      </c>
      <c r="N1311" t="inlineStr">
        <is>
          <t>Cambridge ; New York: Cambridge University Press, 1993.</t>
        </is>
      </c>
      <c r="O1311" t="inlineStr">
        <is>
          <t>1993</t>
        </is>
      </c>
      <c r="Q1311" t="inlineStr">
        <is>
          <t>eng</t>
        </is>
      </c>
      <c r="R1311" t="inlineStr">
        <is>
          <t>enk</t>
        </is>
      </c>
      <c r="T1311" t="inlineStr">
        <is>
          <t xml:space="preserve">PR </t>
        </is>
      </c>
      <c r="U1311" t="n">
        <v>1</v>
      </c>
      <c r="V1311" t="n">
        <v>1</v>
      </c>
      <c r="W1311" t="inlineStr">
        <is>
          <t>2006-02-07</t>
        </is>
      </c>
      <c r="X1311" t="inlineStr">
        <is>
          <t>2006-02-07</t>
        </is>
      </c>
      <c r="Y1311" t="inlineStr">
        <is>
          <t>1994-03-11</t>
        </is>
      </c>
      <c r="Z1311" t="inlineStr">
        <is>
          <t>1994-03-11</t>
        </is>
      </c>
      <c r="AA1311" t="n">
        <v>479</v>
      </c>
      <c r="AB1311" t="n">
        <v>363</v>
      </c>
      <c r="AC1311" t="n">
        <v>366</v>
      </c>
      <c r="AD1311" t="n">
        <v>3</v>
      </c>
      <c r="AE1311" t="n">
        <v>3</v>
      </c>
      <c r="AF1311" t="n">
        <v>24</v>
      </c>
      <c r="AG1311" t="n">
        <v>24</v>
      </c>
      <c r="AH1311" t="n">
        <v>8</v>
      </c>
      <c r="AI1311" t="n">
        <v>8</v>
      </c>
      <c r="AJ1311" t="n">
        <v>7</v>
      </c>
      <c r="AK1311" t="n">
        <v>7</v>
      </c>
      <c r="AL1311" t="n">
        <v>15</v>
      </c>
      <c r="AM1311" t="n">
        <v>15</v>
      </c>
      <c r="AN1311" t="n">
        <v>2</v>
      </c>
      <c r="AO1311" t="n">
        <v>2</v>
      </c>
      <c r="AP1311" t="n">
        <v>0</v>
      </c>
      <c r="AQ1311" t="n">
        <v>0</v>
      </c>
      <c r="AR1311" t="inlineStr">
        <is>
          <t>No</t>
        </is>
      </c>
      <c r="AS1311" t="inlineStr">
        <is>
          <t>No</t>
        </is>
      </c>
      <c r="AU1311">
        <f>HYPERLINK("https://creighton-primo.hosted.exlibrisgroup.com/primo-explore/search?tab=default_tab&amp;search_scope=EVERYTHING&amp;vid=01CRU&amp;lang=en_US&amp;offset=0&amp;query=any,contains,991002084739702656","Catalog Record")</f>
        <v/>
      </c>
      <c r="AV1311">
        <f>HYPERLINK("http://www.worldcat.org/oclc/26761339","WorldCat Record")</f>
        <v/>
      </c>
      <c r="AW1311" t="inlineStr">
        <is>
          <t>197979805:eng</t>
        </is>
      </c>
      <c r="AX1311" t="inlineStr">
        <is>
          <t>26761339</t>
        </is>
      </c>
      <c r="AY1311" t="inlineStr">
        <is>
          <t>991002084739702656</t>
        </is>
      </c>
      <c r="AZ1311" t="inlineStr">
        <is>
          <t>991002084739702656</t>
        </is>
      </c>
      <c r="BA1311" t="inlineStr">
        <is>
          <t>2263038440002656</t>
        </is>
      </c>
      <c r="BB1311" t="inlineStr">
        <is>
          <t>BOOK</t>
        </is>
      </c>
      <c r="BD1311" t="inlineStr">
        <is>
          <t>9780521440424</t>
        </is>
      </c>
      <c r="BE1311" t="inlineStr">
        <is>
          <t>32285001855690</t>
        </is>
      </c>
      <c r="BF1311" t="inlineStr">
        <is>
          <t>893697315</t>
        </is>
      </c>
    </row>
    <row r="1312">
      <c r="A1312" t="inlineStr">
        <is>
          <t>No</t>
        </is>
      </c>
      <c r="B1312" t="inlineStr">
        <is>
          <t>CURAL</t>
        </is>
      </c>
      <c r="C1312" t="inlineStr">
        <is>
          <t>SHELVES</t>
        </is>
      </c>
      <c r="D1312" t="inlineStr">
        <is>
          <t>PR3671.R5 A68 1974</t>
        </is>
      </c>
      <c r="E1312" t="inlineStr">
        <is>
          <t>0                      PR 3671000R  5                  A  68          1974</t>
        </is>
      </c>
      <c r="F1312" t="inlineStr">
        <is>
          <t>The tragedy of Jane Shore / Nicholas Rowe ; edited by Harry William Pedicord.</t>
        </is>
      </c>
      <c r="H1312" t="inlineStr">
        <is>
          <t>No</t>
        </is>
      </c>
      <c r="I1312" t="inlineStr">
        <is>
          <t>1</t>
        </is>
      </c>
      <c r="J1312" t="inlineStr">
        <is>
          <t>No</t>
        </is>
      </c>
      <c r="K1312" t="inlineStr">
        <is>
          <t>No</t>
        </is>
      </c>
      <c r="L1312" t="inlineStr">
        <is>
          <t>0</t>
        </is>
      </c>
      <c r="M1312" t="inlineStr">
        <is>
          <t>Rowe, Nicholas, 1674-1718.</t>
        </is>
      </c>
      <c r="N1312" t="inlineStr">
        <is>
          <t>Lincoln : University of Nebraska Press, [1974]</t>
        </is>
      </c>
      <c r="O1312" t="inlineStr">
        <is>
          <t>1974</t>
        </is>
      </c>
      <c r="Q1312" t="inlineStr">
        <is>
          <t>eng</t>
        </is>
      </c>
      <c r="R1312" t="inlineStr">
        <is>
          <t>nbu</t>
        </is>
      </c>
      <c r="S1312" t="inlineStr">
        <is>
          <t>Regents restoration drama series</t>
        </is>
      </c>
      <c r="T1312" t="inlineStr">
        <is>
          <t xml:space="preserve">PR </t>
        </is>
      </c>
      <c r="U1312" t="n">
        <v>1</v>
      </c>
      <c r="V1312" t="n">
        <v>1</v>
      </c>
      <c r="W1312" t="inlineStr">
        <is>
          <t>2003-09-15</t>
        </is>
      </c>
      <c r="X1312" t="inlineStr">
        <is>
          <t>2003-09-15</t>
        </is>
      </c>
      <c r="Y1312" t="inlineStr">
        <is>
          <t>2003-09-15</t>
        </is>
      </c>
      <c r="Z1312" t="inlineStr">
        <is>
          <t>2003-09-15</t>
        </is>
      </c>
      <c r="AA1312" t="n">
        <v>490</v>
      </c>
      <c r="AB1312" t="n">
        <v>438</v>
      </c>
      <c r="AC1312" t="n">
        <v>441</v>
      </c>
      <c r="AD1312" t="n">
        <v>5</v>
      </c>
      <c r="AE1312" t="n">
        <v>5</v>
      </c>
      <c r="AF1312" t="n">
        <v>26</v>
      </c>
      <c r="AG1312" t="n">
        <v>26</v>
      </c>
      <c r="AH1312" t="n">
        <v>12</v>
      </c>
      <c r="AI1312" t="n">
        <v>12</v>
      </c>
      <c r="AJ1312" t="n">
        <v>7</v>
      </c>
      <c r="AK1312" t="n">
        <v>7</v>
      </c>
      <c r="AL1312" t="n">
        <v>12</v>
      </c>
      <c r="AM1312" t="n">
        <v>12</v>
      </c>
      <c r="AN1312" t="n">
        <v>3</v>
      </c>
      <c r="AO1312" t="n">
        <v>3</v>
      </c>
      <c r="AP1312" t="n">
        <v>0</v>
      </c>
      <c r="AQ1312" t="n">
        <v>0</v>
      </c>
      <c r="AR1312" t="inlineStr">
        <is>
          <t>No</t>
        </is>
      </c>
      <c r="AS1312" t="inlineStr">
        <is>
          <t>Yes</t>
        </is>
      </c>
      <c r="AT1312">
        <f>HYPERLINK("http://catalog.hathitrust.org/Record/001373521","HathiTrust Record")</f>
        <v/>
      </c>
      <c r="AU1312">
        <f>HYPERLINK("https://creighton-primo.hosted.exlibrisgroup.com/primo-explore/search?tab=default_tab&amp;search_scope=EVERYTHING&amp;vid=01CRU&amp;lang=en_US&amp;offset=0&amp;query=any,contains,991004123749702656","Catalog Record")</f>
        <v/>
      </c>
      <c r="AV1312">
        <f>HYPERLINK("http://www.worldcat.org/oclc/910590","WorldCat Record")</f>
        <v/>
      </c>
      <c r="AW1312" t="inlineStr">
        <is>
          <t>8912841618:eng</t>
        </is>
      </c>
      <c r="AX1312" t="inlineStr">
        <is>
          <t>910590</t>
        </is>
      </c>
      <c r="AY1312" t="inlineStr">
        <is>
          <t>991004123749702656</t>
        </is>
      </c>
      <c r="AZ1312" t="inlineStr">
        <is>
          <t>991004123749702656</t>
        </is>
      </c>
      <c r="BA1312" t="inlineStr">
        <is>
          <t>2266730960002656</t>
        </is>
      </c>
      <c r="BB1312" t="inlineStr">
        <is>
          <t>BOOK</t>
        </is>
      </c>
      <c r="BD1312" t="inlineStr">
        <is>
          <t>9780803203815</t>
        </is>
      </c>
      <c r="BE1312" t="inlineStr">
        <is>
          <t>32285004783147</t>
        </is>
      </c>
      <c r="BF1312" t="inlineStr">
        <is>
          <t>893525682</t>
        </is>
      </c>
    </row>
    <row r="1313">
      <c r="A1313" t="inlineStr">
        <is>
          <t>No</t>
        </is>
      </c>
      <c r="B1313" t="inlineStr">
        <is>
          <t>CURAL</t>
        </is>
      </c>
      <c r="C1313" t="inlineStr">
        <is>
          <t>SHELVES</t>
        </is>
      </c>
      <c r="D1313" t="inlineStr">
        <is>
          <t>PR3677 .A1 1868</t>
        </is>
      </c>
      <c r="E1313" t="inlineStr">
        <is>
          <t>0                      PR 3677000A  1           1868</t>
        </is>
      </c>
      <c r="F1313" t="inlineStr">
        <is>
          <t>The poetical works of William Shenstone : with life, critical dissertation and explanatory notes / the text edited by Charles Cowden Clarke.</t>
        </is>
      </c>
      <c r="H1313" t="inlineStr">
        <is>
          <t>No</t>
        </is>
      </c>
      <c r="I1313" t="inlineStr">
        <is>
          <t>1</t>
        </is>
      </c>
      <c r="J1313" t="inlineStr">
        <is>
          <t>No</t>
        </is>
      </c>
      <c r="K1313" t="inlineStr">
        <is>
          <t>No</t>
        </is>
      </c>
      <c r="L1313" t="inlineStr">
        <is>
          <t>0</t>
        </is>
      </c>
      <c r="M1313" t="inlineStr">
        <is>
          <t>Shenstone, William, 1714-1763.</t>
        </is>
      </c>
      <c r="N1313" t="inlineStr">
        <is>
          <t>Edinburgh : W.P. Nimmo, 1868.</t>
        </is>
      </c>
      <c r="O1313" t="inlineStr">
        <is>
          <t>1868</t>
        </is>
      </c>
      <c r="Q1313" t="inlineStr">
        <is>
          <t>eng</t>
        </is>
      </c>
      <c r="R1313" t="inlineStr">
        <is>
          <t>stk</t>
        </is>
      </c>
      <c r="T1313" t="inlineStr">
        <is>
          <t xml:space="preserve">PR </t>
        </is>
      </c>
      <c r="U1313" t="n">
        <v>4</v>
      </c>
      <c r="V1313" t="n">
        <v>4</v>
      </c>
      <c r="W1313" t="inlineStr">
        <is>
          <t>1999-05-04</t>
        </is>
      </c>
      <c r="X1313" t="inlineStr">
        <is>
          <t>1999-05-04</t>
        </is>
      </c>
      <c r="Y1313" t="inlineStr">
        <is>
          <t>1997-07-24</t>
        </is>
      </c>
      <c r="Z1313" t="inlineStr">
        <is>
          <t>1997-07-24</t>
        </is>
      </c>
      <c r="AA1313" t="n">
        <v>26</v>
      </c>
      <c r="AB1313" t="n">
        <v>19</v>
      </c>
      <c r="AC1313" t="n">
        <v>101</v>
      </c>
      <c r="AD1313" t="n">
        <v>1</v>
      </c>
      <c r="AE1313" t="n">
        <v>2</v>
      </c>
      <c r="AF1313" t="n">
        <v>0</v>
      </c>
      <c r="AG1313" t="n">
        <v>3</v>
      </c>
      <c r="AH1313" t="n">
        <v>0</v>
      </c>
      <c r="AI1313" t="n">
        <v>0</v>
      </c>
      <c r="AJ1313" t="n">
        <v>0</v>
      </c>
      <c r="AK1313" t="n">
        <v>2</v>
      </c>
      <c r="AL1313" t="n">
        <v>0</v>
      </c>
      <c r="AM1313" t="n">
        <v>0</v>
      </c>
      <c r="AN1313" t="n">
        <v>0</v>
      </c>
      <c r="AO1313" t="n">
        <v>1</v>
      </c>
      <c r="AP1313" t="n">
        <v>0</v>
      </c>
      <c r="AQ1313" t="n">
        <v>0</v>
      </c>
      <c r="AR1313" t="inlineStr">
        <is>
          <t>Yes</t>
        </is>
      </c>
      <c r="AS1313" t="inlineStr">
        <is>
          <t>No</t>
        </is>
      </c>
      <c r="AT1313">
        <f>HYPERLINK("http://catalog.hathitrust.org/Record/011533478","HathiTrust Record")</f>
        <v/>
      </c>
      <c r="AU1313">
        <f>HYPERLINK("https://creighton-primo.hosted.exlibrisgroup.com/primo-explore/search?tab=default_tab&amp;search_scope=EVERYTHING&amp;vid=01CRU&amp;lang=en_US&amp;offset=0&amp;query=any,contains,991000085359702656","Catalog Record")</f>
        <v/>
      </c>
      <c r="AV1313">
        <f>HYPERLINK("http://www.worldcat.org/oclc/8860892","WorldCat Record")</f>
        <v/>
      </c>
      <c r="AW1313" t="inlineStr">
        <is>
          <t>5218941319:eng</t>
        </is>
      </c>
      <c r="AX1313" t="inlineStr">
        <is>
          <t>8860892</t>
        </is>
      </c>
      <c r="AY1313" t="inlineStr">
        <is>
          <t>991000085359702656</t>
        </is>
      </c>
      <c r="AZ1313" t="inlineStr">
        <is>
          <t>991000085359702656</t>
        </is>
      </c>
      <c r="BA1313" t="inlineStr">
        <is>
          <t>2260985080002656</t>
        </is>
      </c>
      <c r="BB1313" t="inlineStr">
        <is>
          <t>BOOK</t>
        </is>
      </c>
      <c r="BE1313" t="inlineStr">
        <is>
          <t>32285002960853</t>
        </is>
      </c>
      <c r="BF1313" t="inlineStr">
        <is>
          <t>893695574</t>
        </is>
      </c>
    </row>
    <row r="1314">
      <c r="A1314" t="inlineStr">
        <is>
          <t>No</t>
        </is>
      </c>
      <c r="B1314" t="inlineStr">
        <is>
          <t>CURAL</t>
        </is>
      </c>
      <c r="C1314" t="inlineStr">
        <is>
          <t>SHELVES</t>
        </is>
      </c>
      <c r="D1314" t="inlineStr">
        <is>
          <t>PR3683 .A4 1985</t>
        </is>
      </c>
      <c r="E1314" t="inlineStr">
        <is>
          <t>0                      PR 3683000A  4           1985</t>
        </is>
      </c>
      <c r="F1314" t="inlineStr">
        <is>
          <t>A portrait of Sheridan / Stanley Ayling.</t>
        </is>
      </c>
      <c r="H1314" t="inlineStr">
        <is>
          <t>No</t>
        </is>
      </c>
      <c r="I1314" t="inlineStr">
        <is>
          <t>1</t>
        </is>
      </c>
      <c r="J1314" t="inlineStr">
        <is>
          <t>No</t>
        </is>
      </c>
      <c r="K1314" t="inlineStr">
        <is>
          <t>No</t>
        </is>
      </c>
      <c r="L1314" t="inlineStr">
        <is>
          <t>0</t>
        </is>
      </c>
      <c r="M1314" t="inlineStr">
        <is>
          <t>Ayling, Stanley, 1909-</t>
        </is>
      </c>
      <c r="N1314" t="inlineStr">
        <is>
          <t>London : Constable, 1985.</t>
        </is>
      </c>
      <c r="O1314" t="inlineStr">
        <is>
          <t>1985</t>
        </is>
      </c>
      <c r="Q1314" t="inlineStr">
        <is>
          <t>eng</t>
        </is>
      </c>
      <c r="R1314" t="inlineStr">
        <is>
          <t>enk</t>
        </is>
      </c>
      <c r="T1314" t="inlineStr">
        <is>
          <t xml:space="preserve">PR </t>
        </is>
      </c>
      <c r="U1314" t="n">
        <v>4</v>
      </c>
      <c r="V1314" t="n">
        <v>4</v>
      </c>
      <c r="W1314" t="inlineStr">
        <is>
          <t>1998-01-09</t>
        </is>
      </c>
      <c r="X1314" t="inlineStr">
        <is>
          <t>1998-01-09</t>
        </is>
      </c>
      <c r="Y1314" t="inlineStr">
        <is>
          <t>1991-06-06</t>
        </is>
      </c>
      <c r="Z1314" t="inlineStr">
        <is>
          <t>1991-06-06</t>
        </is>
      </c>
      <c r="AA1314" t="n">
        <v>250</v>
      </c>
      <c r="AB1314" t="n">
        <v>129</v>
      </c>
      <c r="AC1314" t="n">
        <v>136</v>
      </c>
      <c r="AD1314" t="n">
        <v>3</v>
      </c>
      <c r="AE1314" t="n">
        <v>3</v>
      </c>
      <c r="AF1314" t="n">
        <v>5</v>
      </c>
      <c r="AG1314" t="n">
        <v>5</v>
      </c>
      <c r="AH1314" t="n">
        <v>1</v>
      </c>
      <c r="AI1314" t="n">
        <v>1</v>
      </c>
      <c r="AJ1314" t="n">
        <v>1</v>
      </c>
      <c r="AK1314" t="n">
        <v>1</v>
      </c>
      <c r="AL1314" t="n">
        <v>3</v>
      </c>
      <c r="AM1314" t="n">
        <v>3</v>
      </c>
      <c r="AN1314" t="n">
        <v>2</v>
      </c>
      <c r="AO1314" t="n">
        <v>2</v>
      </c>
      <c r="AP1314" t="n">
        <v>0</v>
      </c>
      <c r="AQ1314" t="n">
        <v>0</v>
      </c>
      <c r="AR1314" t="inlineStr">
        <is>
          <t>No</t>
        </is>
      </c>
      <c r="AS1314" t="inlineStr">
        <is>
          <t>Yes</t>
        </is>
      </c>
      <c r="AT1314">
        <f>HYPERLINK("http://catalog.hathitrust.org/Record/000608491","HathiTrust Record")</f>
        <v/>
      </c>
      <c r="AU1314">
        <f>HYPERLINK("https://creighton-primo.hosted.exlibrisgroup.com/primo-explore/search?tab=default_tab&amp;search_scope=EVERYTHING&amp;vid=01CRU&amp;lang=en_US&amp;offset=0&amp;query=any,contains,991000672139702656","Catalog Record")</f>
        <v/>
      </c>
      <c r="AV1314">
        <f>HYPERLINK("http://www.worldcat.org/oclc/13559342","WorldCat Record")</f>
        <v/>
      </c>
      <c r="AW1314" t="inlineStr">
        <is>
          <t>6922602:eng</t>
        </is>
      </c>
      <c r="AX1314" t="inlineStr">
        <is>
          <t>13559342</t>
        </is>
      </c>
      <c r="AY1314" t="inlineStr">
        <is>
          <t>991000672139702656</t>
        </is>
      </c>
      <c r="AZ1314" t="inlineStr">
        <is>
          <t>991000672139702656</t>
        </is>
      </c>
      <c r="BA1314" t="inlineStr">
        <is>
          <t>2270388720002656</t>
        </is>
      </c>
      <c r="BB1314" t="inlineStr">
        <is>
          <t>BOOK</t>
        </is>
      </c>
      <c r="BD1314" t="inlineStr">
        <is>
          <t>9780094653801</t>
        </is>
      </c>
      <c r="BE1314" t="inlineStr">
        <is>
          <t>32285000615269</t>
        </is>
      </c>
      <c r="BF1314" t="inlineStr">
        <is>
          <t>893890921</t>
        </is>
      </c>
    </row>
    <row r="1315">
      <c r="A1315" t="inlineStr">
        <is>
          <t>No</t>
        </is>
      </c>
      <c r="B1315" t="inlineStr">
        <is>
          <t>CURAL</t>
        </is>
      </c>
      <c r="C1315" t="inlineStr">
        <is>
          <t>SHELVES</t>
        </is>
      </c>
      <c r="D1315" t="inlineStr">
        <is>
          <t>PR3683 .B5</t>
        </is>
      </c>
      <c r="E1315" t="inlineStr">
        <is>
          <t>0                      PR 3683000B  5</t>
        </is>
      </c>
      <c r="F1315" t="inlineStr">
        <is>
          <t>Sheridan : the track of a comet / by Madeleine Bingham.</t>
        </is>
      </c>
      <c r="H1315" t="inlineStr">
        <is>
          <t>No</t>
        </is>
      </c>
      <c r="I1315" t="inlineStr">
        <is>
          <t>1</t>
        </is>
      </c>
      <c r="J1315" t="inlineStr">
        <is>
          <t>No</t>
        </is>
      </c>
      <c r="K1315" t="inlineStr">
        <is>
          <t>No</t>
        </is>
      </c>
      <c r="L1315" t="inlineStr">
        <is>
          <t>0</t>
        </is>
      </c>
      <c r="M1315" t="inlineStr">
        <is>
          <t>Bingham, Madeleine, Baroness Clanmorris.</t>
        </is>
      </c>
      <c r="N1315" t="inlineStr">
        <is>
          <t>London : Allen and Unwin, 1972.</t>
        </is>
      </c>
      <c r="O1315" t="inlineStr">
        <is>
          <t>1972</t>
        </is>
      </c>
      <c r="Q1315" t="inlineStr">
        <is>
          <t>eng</t>
        </is>
      </c>
      <c r="R1315" t="inlineStr">
        <is>
          <t>enk</t>
        </is>
      </c>
      <c r="T1315" t="inlineStr">
        <is>
          <t xml:space="preserve">PR </t>
        </is>
      </c>
      <c r="U1315" t="n">
        <v>3</v>
      </c>
      <c r="V1315" t="n">
        <v>3</v>
      </c>
      <c r="W1315" t="inlineStr">
        <is>
          <t>1998-01-09</t>
        </is>
      </c>
      <c r="X1315" t="inlineStr">
        <is>
          <t>1998-01-09</t>
        </is>
      </c>
      <c r="Y1315" t="inlineStr">
        <is>
          <t>1990-12-28</t>
        </is>
      </c>
      <c r="Z1315" t="inlineStr">
        <is>
          <t>1990-12-28</t>
        </is>
      </c>
      <c r="AA1315" t="n">
        <v>312</v>
      </c>
      <c r="AB1315" t="n">
        <v>133</v>
      </c>
      <c r="AC1315" t="n">
        <v>529</v>
      </c>
      <c r="AD1315" t="n">
        <v>1</v>
      </c>
      <c r="AE1315" t="n">
        <v>4</v>
      </c>
      <c r="AF1315" t="n">
        <v>8</v>
      </c>
      <c r="AG1315" t="n">
        <v>25</v>
      </c>
      <c r="AH1315" t="n">
        <v>1</v>
      </c>
      <c r="AI1315" t="n">
        <v>7</v>
      </c>
      <c r="AJ1315" t="n">
        <v>2</v>
      </c>
      <c r="AK1315" t="n">
        <v>7</v>
      </c>
      <c r="AL1315" t="n">
        <v>7</v>
      </c>
      <c r="AM1315" t="n">
        <v>13</v>
      </c>
      <c r="AN1315" t="n">
        <v>0</v>
      </c>
      <c r="AO1315" t="n">
        <v>3</v>
      </c>
      <c r="AP1315" t="n">
        <v>0</v>
      </c>
      <c r="AQ1315" t="n">
        <v>0</v>
      </c>
      <c r="AR1315" t="inlineStr">
        <is>
          <t>No</t>
        </is>
      </c>
      <c r="AS1315" t="inlineStr">
        <is>
          <t>Yes</t>
        </is>
      </c>
      <c r="AT1315">
        <f>HYPERLINK("http://catalog.hathitrust.org/Record/001373930","HathiTrust Record")</f>
        <v/>
      </c>
      <c r="AU1315">
        <f>HYPERLINK("https://creighton-primo.hosted.exlibrisgroup.com/primo-explore/search?tab=default_tab&amp;search_scope=EVERYTHING&amp;vid=01CRU&amp;lang=en_US&amp;offset=0&amp;query=any,contains,991003583669702656","Catalog Record")</f>
        <v/>
      </c>
      <c r="AV1315">
        <f>HYPERLINK("http://www.worldcat.org/oclc/1164791","WorldCat Record")</f>
        <v/>
      </c>
      <c r="AW1315" t="inlineStr">
        <is>
          <t>2101299:eng</t>
        </is>
      </c>
      <c r="AX1315" t="inlineStr">
        <is>
          <t>1164791</t>
        </is>
      </c>
      <c r="AY1315" t="inlineStr">
        <is>
          <t>991003583669702656</t>
        </is>
      </c>
      <c r="AZ1315" t="inlineStr">
        <is>
          <t>991003583669702656</t>
        </is>
      </c>
      <c r="BA1315" t="inlineStr">
        <is>
          <t>2262927450002656</t>
        </is>
      </c>
      <c r="BB1315" t="inlineStr">
        <is>
          <t>BOOK</t>
        </is>
      </c>
      <c r="BD1315" t="inlineStr">
        <is>
          <t>9780049280243</t>
        </is>
      </c>
      <c r="BE1315" t="inlineStr">
        <is>
          <t>32285000426477</t>
        </is>
      </c>
      <c r="BF1315" t="inlineStr">
        <is>
          <t>893246521</t>
        </is>
      </c>
    </row>
    <row r="1316">
      <c r="A1316" t="inlineStr">
        <is>
          <t>No</t>
        </is>
      </c>
      <c r="B1316" t="inlineStr">
        <is>
          <t>CURAL</t>
        </is>
      </c>
      <c r="C1316" t="inlineStr">
        <is>
          <t>SHELVES</t>
        </is>
      </c>
      <c r="D1316" t="inlineStr">
        <is>
          <t>PR3683 .C6 1948</t>
        </is>
      </c>
      <c r="E1316" t="inlineStr">
        <is>
          <t>0                      PR 3683000C  6           1948</t>
        </is>
      </c>
      <c r="F1316" t="inlineStr">
        <is>
          <t>Sheridan, his life and his theatre, by Lewis Gibbs [pseud.]</t>
        </is>
      </c>
      <c r="H1316" t="inlineStr">
        <is>
          <t>No</t>
        </is>
      </c>
      <c r="I1316" t="inlineStr">
        <is>
          <t>1</t>
        </is>
      </c>
      <c r="J1316" t="inlineStr">
        <is>
          <t>No</t>
        </is>
      </c>
      <c r="K1316" t="inlineStr">
        <is>
          <t>No</t>
        </is>
      </c>
      <c r="L1316" t="inlineStr">
        <is>
          <t>0</t>
        </is>
      </c>
      <c r="M1316" t="inlineStr">
        <is>
          <t>Gibbs, Lewis, 1891-1973.</t>
        </is>
      </c>
      <c r="N1316" t="inlineStr">
        <is>
          <t>New York, W. Morrow, 1948.</t>
        </is>
      </c>
      <c r="O1316" t="inlineStr">
        <is>
          <t>1948</t>
        </is>
      </c>
      <c r="Q1316" t="inlineStr">
        <is>
          <t>eng</t>
        </is>
      </c>
      <c r="R1316" t="inlineStr">
        <is>
          <t>nyu</t>
        </is>
      </c>
      <c r="T1316" t="inlineStr">
        <is>
          <t xml:space="preserve">PR </t>
        </is>
      </c>
      <c r="U1316" t="n">
        <v>3</v>
      </c>
      <c r="V1316" t="n">
        <v>3</v>
      </c>
      <c r="W1316" t="inlineStr">
        <is>
          <t>2000-11-22</t>
        </is>
      </c>
      <c r="X1316" t="inlineStr">
        <is>
          <t>2000-11-22</t>
        </is>
      </c>
      <c r="Y1316" t="inlineStr">
        <is>
          <t>1992-04-28</t>
        </is>
      </c>
      <c r="Z1316" t="inlineStr">
        <is>
          <t>1992-04-28</t>
        </is>
      </c>
      <c r="AA1316" t="n">
        <v>449</v>
      </c>
      <c r="AB1316" t="n">
        <v>434</v>
      </c>
      <c r="AC1316" t="n">
        <v>439</v>
      </c>
      <c r="AD1316" t="n">
        <v>4</v>
      </c>
      <c r="AE1316" t="n">
        <v>4</v>
      </c>
      <c r="AF1316" t="n">
        <v>22</v>
      </c>
      <c r="AG1316" t="n">
        <v>22</v>
      </c>
      <c r="AH1316" t="n">
        <v>11</v>
      </c>
      <c r="AI1316" t="n">
        <v>11</v>
      </c>
      <c r="AJ1316" t="n">
        <v>4</v>
      </c>
      <c r="AK1316" t="n">
        <v>4</v>
      </c>
      <c r="AL1316" t="n">
        <v>11</v>
      </c>
      <c r="AM1316" t="n">
        <v>11</v>
      </c>
      <c r="AN1316" t="n">
        <v>3</v>
      </c>
      <c r="AO1316" t="n">
        <v>3</v>
      </c>
      <c r="AP1316" t="n">
        <v>0</v>
      </c>
      <c r="AQ1316" t="n">
        <v>0</v>
      </c>
      <c r="AR1316" t="inlineStr">
        <is>
          <t>No</t>
        </is>
      </c>
      <c r="AS1316" t="inlineStr">
        <is>
          <t>No</t>
        </is>
      </c>
      <c r="AU1316">
        <f>HYPERLINK("https://creighton-primo.hosted.exlibrisgroup.com/primo-explore/search?tab=default_tab&amp;search_scope=EVERYTHING&amp;vid=01CRU&amp;lang=en_US&amp;offset=0&amp;query=any,contains,991002472209702656","Catalog Record")</f>
        <v/>
      </c>
      <c r="AV1316">
        <f>HYPERLINK("http://www.worldcat.org/oclc/358626","WorldCat Record")</f>
        <v/>
      </c>
      <c r="AW1316" t="inlineStr">
        <is>
          <t>4167045034:eng</t>
        </is>
      </c>
      <c r="AX1316" t="inlineStr">
        <is>
          <t>358626</t>
        </is>
      </c>
      <c r="AY1316" t="inlineStr">
        <is>
          <t>991002472209702656</t>
        </is>
      </c>
      <c r="AZ1316" t="inlineStr">
        <is>
          <t>991002472209702656</t>
        </is>
      </c>
      <c r="BA1316" t="inlineStr">
        <is>
          <t>2266001080002656</t>
        </is>
      </c>
      <c r="BB1316" t="inlineStr">
        <is>
          <t>BOOK</t>
        </is>
      </c>
      <c r="BE1316" t="inlineStr">
        <is>
          <t>32285001096006</t>
        </is>
      </c>
      <c r="BF1316" t="inlineStr">
        <is>
          <t>893609900</t>
        </is>
      </c>
    </row>
    <row r="1317">
      <c r="A1317" t="inlineStr">
        <is>
          <t>No</t>
        </is>
      </c>
      <c r="B1317" t="inlineStr">
        <is>
          <t>CURAL</t>
        </is>
      </c>
      <c r="C1317" t="inlineStr">
        <is>
          <t>SHELVES</t>
        </is>
      </c>
      <c r="D1317" t="inlineStr">
        <is>
          <t>PR3683 .D871</t>
        </is>
      </c>
      <c r="E1317" t="inlineStr">
        <is>
          <t>0                      PR 3683000D  871</t>
        </is>
      </c>
      <c r="F1317" t="inlineStr">
        <is>
          <t>Richard Brinsley Sheridan, a reference guide / Jack D. Durant.</t>
        </is>
      </c>
      <c r="H1317" t="inlineStr">
        <is>
          <t>No</t>
        </is>
      </c>
      <c r="I1317" t="inlineStr">
        <is>
          <t>1</t>
        </is>
      </c>
      <c r="J1317" t="inlineStr">
        <is>
          <t>No</t>
        </is>
      </c>
      <c r="K1317" t="inlineStr">
        <is>
          <t>No</t>
        </is>
      </c>
      <c r="L1317" t="inlineStr">
        <is>
          <t>0</t>
        </is>
      </c>
      <c r="M1317" t="inlineStr">
        <is>
          <t>Durant, Jack D. (Jack Davis), 1930-</t>
        </is>
      </c>
      <c r="N1317" t="inlineStr">
        <is>
          <t>Boston, Mass. : G. K. Hall, 1981.</t>
        </is>
      </c>
      <c r="O1317" t="inlineStr">
        <is>
          <t>1981</t>
        </is>
      </c>
      <c r="Q1317" t="inlineStr">
        <is>
          <t>eng</t>
        </is>
      </c>
      <c r="R1317" t="inlineStr">
        <is>
          <t>mau</t>
        </is>
      </c>
      <c r="S1317" t="inlineStr">
        <is>
          <t>A Reference guide to literature.</t>
        </is>
      </c>
      <c r="T1317" t="inlineStr">
        <is>
          <t xml:space="preserve">PR </t>
        </is>
      </c>
      <c r="U1317" t="n">
        <v>2</v>
      </c>
      <c r="V1317" t="n">
        <v>2</v>
      </c>
      <c r="W1317" t="inlineStr">
        <is>
          <t>1998-01-09</t>
        </is>
      </c>
      <c r="X1317" t="inlineStr">
        <is>
          <t>1998-01-09</t>
        </is>
      </c>
      <c r="Y1317" t="inlineStr">
        <is>
          <t>1990-05-17</t>
        </is>
      </c>
      <c r="Z1317" t="inlineStr">
        <is>
          <t>1990-05-17</t>
        </is>
      </c>
      <c r="AA1317" t="n">
        <v>309</v>
      </c>
      <c r="AB1317" t="n">
        <v>244</v>
      </c>
      <c r="AC1317" t="n">
        <v>775</v>
      </c>
      <c r="AD1317" t="n">
        <v>3</v>
      </c>
      <c r="AE1317" t="n">
        <v>7</v>
      </c>
      <c r="AF1317" t="n">
        <v>13</v>
      </c>
      <c r="AG1317" t="n">
        <v>40</v>
      </c>
      <c r="AH1317" t="n">
        <v>3</v>
      </c>
      <c r="AI1317" t="n">
        <v>16</v>
      </c>
      <c r="AJ1317" t="n">
        <v>6</v>
      </c>
      <c r="AK1317" t="n">
        <v>10</v>
      </c>
      <c r="AL1317" t="n">
        <v>6</v>
      </c>
      <c r="AM1317" t="n">
        <v>20</v>
      </c>
      <c r="AN1317" t="n">
        <v>2</v>
      </c>
      <c r="AO1317" t="n">
        <v>6</v>
      </c>
      <c r="AP1317" t="n">
        <v>0</v>
      </c>
      <c r="AQ1317" t="n">
        <v>0</v>
      </c>
      <c r="AR1317" t="inlineStr">
        <is>
          <t>No</t>
        </is>
      </c>
      <c r="AS1317" t="inlineStr">
        <is>
          <t>Yes</t>
        </is>
      </c>
      <c r="AT1317">
        <f>HYPERLINK("http://catalog.hathitrust.org/Record/000126590","HathiTrust Record")</f>
        <v/>
      </c>
      <c r="AU1317">
        <f>HYPERLINK("https://creighton-primo.hosted.exlibrisgroup.com/primo-explore/search?tab=default_tab&amp;search_scope=EVERYTHING&amp;vid=01CRU&amp;lang=en_US&amp;offset=0&amp;query=any,contains,991005081129702656","Catalog Record")</f>
        <v/>
      </c>
      <c r="AV1317">
        <f>HYPERLINK("http://www.worldcat.org/oclc/7172198","WorldCat Record")</f>
        <v/>
      </c>
      <c r="AW1317" t="inlineStr">
        <is>
          <t>2123163:eng</t>
        </is>
      </c>
      <c r="AX1317" t="inlineStr">
        <is>
          <t>7172198</t>
        </is>
      </c>
      <c r="AY1317" t="inlineStr">
        <is>
          <t>991005081129702656</t>
        </is>
      </c>
      <c r="AZ1317" t="inlineStr">
        <is>
          <t>991005081129702656</t>
        </is>
      </c>
      <c r="BA1317" t="inlineStr">
        <is>
          <t>2256217610002656</t>
        </is>
      </c>
      <c r="BB1317" t="inlineStr">
        <is>
          <t>BOOK</t>
        </is>
      </c>
      <c r="BD1317" t="inlineStr">
        <is>
          <t>9780816181469</t>
        </is>
      </c>
      <c r="BE1317" t="inlineStr">
        <is>
          <t>32285000152958</t>
        </is>
      </c>
      <c r="BF1317" t="inlineStr">
        <is>
          <t>893437113</t>
        </is>
      </c>
    </row>
    <row r="1318">
      <c r="A1318" t="inlineStr">
        <is>
          <t>No</t>
        </is>
      </c>
      <c r="B1318" t="inlineStr">
        <is>
          <t>CURAL</t>
        </is>
      </c>
      <c r="C1318" t="inlineStr">
        <is>
          <t>SHELVES</t>
        </is>
      </c>
      <c r="D1318" t="inlineStr">
        <is>
          <t>PR3683 .G55</t>
        </is>
      </c>
      <c r="E1318" t="inlineStr">
        <is>
          <t>0                      PR 3683000G  55</t>
        </is>
      </c>
      <c r="F1318" t="inlineStr">
        <is>
          <t>Sheridan of Drury Lane; a biography. With illus. from old prints and portraits.</t>
        </is>
      </c>
      <c r="H1318" t="inlineStr">
        <is>
          <t>No</t>
        </is>
      </c>
      <c r="I1318" t="inlineStr">
        <is>
          <t>1</t>
        </is>
      </c>
      <c r="J1318" t="inlineStr">
        <is>
          <t>No</t>
        </is>
      </c>
      <c r="K1318" t="inlineStr">
        <is>
          <t>No</t>
        </is>
      </c>
      <c r="L1318" t="inlineStr">
        <is>
          <t>0</t>
        </is>
      </c>
      <c r="M1318" t="inlineStr">
        <is>
          <t>Glasgow, Alice.</t>
        </is>
      </c>
      <c r="N1318" t="inlineStr">
        <is>
          <t>New York, F.A. Stokes Co., 1940.</t>
        </is>
      </c>
      <c r="O1318" t="inlineStr">
        <is>
          <t>1940</t>
        </is>
      </c>
      <c r="Q1318" t="inlineStr">
        <is>
          <t>eng</t>
        </is>
      </c>
      <c r="R1318" t="inlineStr">
        <is>
          <t xml:space="preserve">xx </t>
        </is>
      </c>
      <c r="T1318" t="inlineStr">
        <is>
          <t xml:space="preserve">PR </t>
        </is>
      </c>
      <c r="U1318" t="n">
        <v>2</v>
      </c>
      <c r="V1318" t="n">
        <v>2</v>
      </c>
      <c r="W1318" t="inlineStr">
        <is>
          <t>2000-11-22</t>
        </is>
      </c>
      <c r="X1318" t="inlineStr">
        <is>
          <t>2000-11-22</t>
        </is>
      </c>
      <c r="Y1318" t="inlineStr">
        <is>
          <t>1992-04-28</t>
        </is>
      </c>
      <c r="Z1318" t="inlineStr">
        <is>
          <t>1992-04-28</t>
        </is>
      </c>
      <c r="AA1318" t="n">
        <v>365</v>
      </c>
      <c r="AB1318" t="n">
        <v>356</v>
      </c>
      <c r="AC1318" t="n">
        <v>417</v>
      </c>
      <c r="AD1318" t="n">
        <v>3</v>
      </c>
      <c r="AE1318" t="n">
        <v>4</v>
      </c>
      <c r="AF1318" t="n">
        <v>22</v>
      </c>
      <c r="AG1318" t="n">
        <v>24</v>
      </c>
      <c r="AH1318" t="n">
        <v>7</v>
      </c>
      <c r="AI1318" t="n">
        <v>8</v>
      </c>
      <c r="AJ1318" t="n">
        <v>7</v>
      </c>
      <c r="AK1318" t="n">
        <v>7</v>
      </c>
      <c r="AL1318" t="n">
        <v>13</v>
      </c>
      <c r="AM1318" t="n">
        <v>13</v>
      </c>
      <c r="AN1318" t="n">
        <v>2</v>
      </c>
      <c r="AO1318" t="n">
        <v>3</v>
      </c>
      <c r="AP1318" t="n">
        <v>0</v>
      </c>
      <c r="AQ1318" t="n">
        <v>0</v>
      </c>
      <c r="AR1318" t="inlineStr">
        <is>
          <t>Yes</t>
        </is>
      </c>
      <c r="AS1318" t="inlineStr">
        <is>
          <t>No</t>
        </is>
      </c>
      <c r="AT1318">
        <f>HYPERLINK("http://catalog.hathitrust.org/Record/001022791","HathiTrust Record")</f>
        <v/>
      </c>
      <c r="AU1318">
        <f>HYPERLINK("https://creighton-primo.hosted.exlibrisgroup.com/primo-explore/search?tab=default_tab&amp;search_scope=EVERYTHING&amp;vid=01CRU&amp;lang=en_US&amp;offset=0&amp;query=any,contains,991003447239702656","Catalog Record")</f>
        <v/>
      </c>
      <c r="AV1318">
        <f>HYPERLINK("http://www.worldcat.org/oclc/982973","WorldCat Record")</f>
        <v/>
      </c>
      <c r="AW1318" t="inlineStr">
        <is>
          <t>13993304:eng</t>
        </is>
      </c>
      <c r="AX1318" t="inlineStr">
        <is>
          <t>982973</t>
        </is>
      </c>
      <c r="AY1318" t="inlineStr">
        <is>
          <t>991003447239702656</t>
        </is>
      </c>
      <c r="AZ1318" t="inlineStr">
        <is>
          <t>991003447239702656</t>
        </is>
      </c>
      <c r="BA1318" t="inlineStr">
        <is>
          <t>2272130740002656</t>
        </is>
      </c>
      <c r="BB1318" t="inlineStr">
        <is>
          <t>BOOK</t>
        </is>
      </c>
      <c r="BE1318" t="inlineStr">
        <is>
          <t>32285001095990</t>
        </is>
      </c>
      <c r="BF1318" t="inlineStr">
        <is>
          <t>893705224</t>
        </is>
      </c>
    </row>
    <row r="1319">
      <c r="A1319" t="inlineStr">
        <is>
          <t>No</t>
        </is>
      </c>
      <c r="B1319" t="inlineStr">
        <is>
          <t>CURAL</t>
        </is>
      </c>
      <c r="C1319" t="inlineStr">
        <is>
          <t>SHELVES</t>
        </is>
      </c>
      <c r="D1319" t="inlineStr">
        <is>
          <t>PR3683 .M6 1882</t>
        </is>
      </c>
      <c r="E1319" t="inlineStr">
        <is>
          <t>0                      PR 3683000M  6           1882</t>
        </is>
      </c>
      <c r="F1319" t="inlineStr">
        <is>
          <t>Memoirs of the life of the Right Honorable Richard Brinsley Sheridan / by Thomas Moore.</t>
        </is>
      </c>
      <c r="H1319" t="inlineStr">
        <is>
          <t>No</t>
        </is>
      </c>
      <c r="I1319" t="inlineStr">
        <is>
          <t>1</t>
        </is>
      </c>
      <c r="J1319" t="inlineStr">
        <is>
          <t>No</t>
        </is>
      </c>
      <c r="K1319" t="inlineStr">
        <is>
          <t>No</t>
        </is>
      </c>
      <c r="L1319" t="inlineStr">
        <is>
          <t>0</t>
        </is>
      </c>
      <c r="M1319" t="inlineStr">
        <is>
          <t>Moore, Thomas, 1779-1852.</t>
        </is>
      </c>
      <c r="N1319" t="inlineStr">
        <is>
          <t>Chicago : Belford, Clarke ; St. Louis : Belford &amp; Clarke Pub. Co., 1882.</t>
        </is>
      </c>
      <c r="O1319" t="inlineStr">
        <is>
          <t>1882</t>
        </is>
      </c>
      <c r="Q1319" t="inlineStr">
        <is>
          <t>eng</t>
        </is>
      </c>
      <c r="R1319" t="inlineStr">
        <is>
          <t>ilu</t>
        </is>
      </c>
      <c r="T1319" t="inlineStr">
        <is>
          <t xml:space="preserve">PR </t>
        </is>
      </c>
      <c r="U1319" t="n">
        <v>1</v>
      </c>
      <c r="V1319" t="n">
        <v>1</v>
      </c>
      <c r="W1319" t="inlineStr">
        <is>
          <t>2000-11-22</t>
        </is>
      </c>
      <c r="X1319" t="inlineStr">
        <is>
          <t>2000-11-22</t>
        </is>
      </c>
      <c r="Y1319" t="inlineStr">
        <is>
          <t>1995-04-18</t>
        </is>
      </c>
      <c r="Z1319" t="inlineStr">
        <is>
          <t>1995-04-18</t>
        </is>
      </c>
      <c r="AA1319" t="n">
        <v>42</v>
      </c>
      <c r="AB1319" t="n">
        <v>41</v>
      </c>
      <c r="AC1319" t="n">
        <v>132</v>
      </c>
      <c r="AD1319" t="n">
        <v>1</v>
      </c>
      <c r="AE1319" t="n">
        <v>3</v>
      </c>
      <c r="AF1319" t="n">
        <v>3</v>
      </c>
      <c r="AG1319" t="n">
        <v>7</v>
      </c>
      <c r="AH1319" t="n">
        <v>1</v>
      </c>
      <c r="AI1319" t="n">
        <v>1</v>
      </c>
      <c r="AJ1319" t="n">
        <v>1</v>
      </c>
      <c r="AK1319" t="n">
        <v>3</v>
      </c>
      <c r="AL1319" t="n">
        <v>1</v>
      </c>
      <c r="AM1319" t="n">
        <v>1</v>
      </c>
      <c r="AN1319" t="n">
        <v>0</v>
      </c>
      <c r="AO1319" t="n">
        <v>2</v>
      </c>
      <c r="AP1319" t="n">
        <v>0</v>
      </c>
      <c r="AQ1319" t="n">
        <v>0</v>
      </c>
      <c r="AR1319" t="inlineStr">
        <is>
          <t>Yes</t>
        </is>
      </c>
      <c r="AS1319" t="inlineStr">
        <is>
          <t>No</t>
        </is>
      </c>
      <c r="AT1319">
        <f>HYPERLINK("http://catalog.hathitrust.org/Record/004511901","HathiTrust Record")</f>
        <v/>
      </c>
      <c r="AU1319">
        <f>HYPERLINK("https://creighton-primo.hosted.exlibrisgroup.com/primo-explore/search?tab=default_tab&amp;search_scope=EVERYTHING&amp;vid=01CRU&amp;lang=en_US&amp;offset=0&amp;query=any,contains,991004370899702656","Catalog Record")</f>
        <v/>
      </c>
      <c r="AV1319">
        <f>HYPERLINK("http://www.worldcat.org/oclc/3190088","WorldCat Record")</f>
        <v/>
      </c>
      <c r="AW1319" t="inlineStr">
        <is>
          <t>3372623060:eng</t>
        </is>
      </c>
      <c r="AX1319" t="inlineStr">
        <is>
          <t>3190088</t>
        </is>
      </c>
      <c r="AY1319" t="inlineStr">
        <is>
          <t>991004370899702656</t>
        </is>
      </c>
      <c r="AZ1319" t="inlineStr">
        <is>
          <t>991004370899702656</t>
        </is>
      </c>
      <c r="BA1319" t="inlineStr">
        <is>
          <t>2257850330002656</t>
        </is>
      </c>
      <c r="BB1319" t="inlineStr">
        <is>
          <t>BOOK</t>
        </is>
      </c>
      <c r="BE1319" t="inlineStr">
        <is>
          <t>32285002027570</t>
        </is>
      </c>
      <c r="BF1319" t="inlineStr">
        <is>
          <t>893718833</t>
        </is>
      </c>
    </row>
    <row r="1320">
      <c r="A1320" t="inlineStr">
        <is>
          <t>No</t>
        </is>
      </c>
      <c r="B1320" t="inlineStr">
        <is>
          <t>CURAL</t>
        </is>
      </c>
      <c r="C1320" t="inlineStr">
        <is>
          <t>SHELVES</t>
        </is>
      </c>
      <c r="D1320" t="inlineStr">
        <is>
          <t>PR3684 .A9</t>
        </is>
      </c>
      <c r="E1320" t="inlineStr">
        <is>
          <t>0                      PR 3684000A  9</t>
        </is>
      </c>
      <c r="F1320" t="inlineStr">
        <is>
          <t>Sheridan's comedies, their contexts and achievements / Mark S. Auburn.</t>
        </is>
      </c>
      <c r="H1320" t="inlineStr">
        <is>
          <t>No</t>
        </is>
      </c>
      <c r="I1320" t="inlineStr">
        <is>
          <t>1</t>
        </is>
      </c>
      <c r="J1320" t="inlineStr">
        <is>
          <t>No</t>
        </is>
      </c>
      <c r="K1320" t="inlineStr">
        <is>
          <t>No</t>
        </is>
      </c>
      <c r="L1320" t="inlineStr">
        <is>
          <t>0</t>
        </is>
      </c>
      <c r="M1320" t="inlineStr">
        <is>
          <t>Auburn, Mark S.</t>
        </is>
      </c>
      <c r="N1320" t="inlineStr">
        <is>
          <t>Lincoln : University of Nebraska Press, c1977.</t>
        </is>
      </c>
      <c r="O1320" t="inlineStr">
        <is>
          <t>1977</t>
        </is>
      </c>
      <c r="Q1320" t="inlineStr">
        <is>
          <t>eng</t>
        </is>
      </c>
      <c r="R1320" t="inlineStr">
        <is>
          <t>nbu</t>
        </is>
      </c>
      <c r="T1320" t="inlineStr">
        <is>
          <t xml:space="preserve">PR </t>
        </is>
      </c>
      <c r="U1320" t="n">
        <v>4</v>
      </c>
      <c r="V1320" t="n">
        <v>4</v>
      </c>
      <c r="W1320" t="inlineStr">
        <is>
          <t>1993-02-28</t>
        </is>
      </c>
      <c r="X1320" t="inlineStr">
        <is>
          <t>1993-02-28</t>
        </is>
      </c>
      <c r="Y1320" t="inlineStr">
        <is>
          <t>1992-04-26</t>
        </is>
      </c>
      <c r="Z1320" t="inlineStr">
        <is>
          <t>1992-04-26</t>
        </is>
      </c>
      <c r="AA1320" t="n">
        <v>644</v>
      </c>
      <c r="AB1320" t="n">
        <v>509</v>
      </c>
      <c r="AC1320" t="n">
        <v>511</v>
      </c>
      <c r="AD1320" t="n">
        <v>7</v>
      </c>
      <c r="AE1320" t="n">
        <v>7</v>
      </c>
      <c r="AF1320" t="n">
        <v>35</v>
      </c>
      <c r="AG1320" t="n">
        <v>35</v>
      </c>
      <c r="AH1320" t="n">
        <v>15</v>
      </c>
      <c r="AI1320" t="n">
        <v>15</v>
      </c>
      <c r="AJ1320" t="n">
        <v>6</v>
      </c>
      <c r="AK1320" t="n">
        <v>6</v>
      </c>
      <c r="AL1320" t="n">
        <v>17</v>
      </c>
      <c r="AM1320" t="n">
        <v>17</v>
      </c>
      <c r="AN1320" t="n">
        <v>5</v>
      </c>
      <c r="AO1320" t="n">
        <v>5</v>
      </c>
      <c r="AP1320" t="n">
        <v>0</v>
      </c>
      <c r="AQ1320" t="n">
        <v>0</v>
      </c>
      <c r="AR1320" t="inlineStr">
        <is>
          <t>No</t>
        </is>
      </c>
      <c r="AS1320" t="inlineStr">
        <is>
          <t>Yes</t>
        </is>
      </c>
      <c r="AT1320">
        <f>HYPERLINK("http://catalog.hathitrust.org/Record/000213655","HathiTrust Record")</f>
        <v/>
      </c>
      <c r="AU1320">
        <f>HYPERLINK("https://creighton-primo.hosted.exlibrisgroup.com/primo-explore/search?tab=default_tab&amp;search_scope=EVERYTHING&amp;vid=01CRU&amp;lang=en_US&amp;offset=0&amp;query=any,contains,991004296659702656","Catalog Record")</f>
        <v/>
      </c>
      <c r="AV1320">
        <f>HYPERLINK("http://www.worldcat.org/oclc/2965308","WorldCat Record")</f>
        <v/>
      </c>
      <c r="AW1320" t="inlineStr">
        <is>
          <t>454995:eng</t>
        </is>
      </c>
      <c r="AX1320" t="inlineStr">
        <is>
          <t>2965308</t>
        </is>
      </c>
      <c r="AY1320" t="inlineStr">
        <is>
          <t>991004296659702656</t>
        </is>
      </c>
      <c r="AZ1320" t="inlineStr">
        <is>
          <t>991004296659702656</t>
        </is>
      </c>
      <c r="BA1320" t="inlineStr">
        <is>
          <t>2270336040002656</t>
        </is>
      </c>
      <c r="BB1320" t="inlineStr">
        <is>
          <t>BOOK</t>
        </is>
      </c>
      <c r="BD1320" t="inlineStr">
        <is>
          <t>9780803209145</t>
        </is>
      </c>
      <c r="BE1320" t="inlineStr">
        <is>
          <t>32285001087070</t>
        </is>
      </c>
      <c r="BF1320" t="inlineStr">
        <is>
          <t>893259561</t>
        </is>
      </c>
    </row>
    <row r="1321">
      <c r="A1321" t="inlineStr">
        <is>
          <t>No</t>
        </is>
      </c>
      <c r="B1321" t="inlineStr">
        <is>
          <t>CURAL</t>
        </is>
      </c>
      <c r="C1321" t="inlineStr">
        <is>
          <t>SHELVES</t>
        </is>
      </c>
      <c r="D1321" t="inlineStr">
        <is>
          <t>PR3697 .B6 1969</t>
        </is>
      </c>
      <c r="E1321" t="inlineStr">
        <is>
          <t>0                      PR 3697000B  6           1969</t>
        </is>
      </c>
      <c r="F1321" t="inlineStr">
        <is>
          <t>Smollett's reputation as a novelist / by Fred W. Boege.</t>
        </is>
      </c>
      <c r="H1321" t="inlineStr">
        <is>
          <t>No</t>
        </is>
      </c>
      <c r="I1321" t="inlineStr">
        <is>
          <t>1</t>
        </is>
      </c>
      <c r="J1321" t="inlineStr">
        <is>
          <t>No</t>
        </is>
      </c>
      <c r="K1321" t="inlineStr">
        <is>
          <t>No</t>
        </is>
      </c>
      <c r="L1321" t="inlineStr">
        <is>
          <t>0</t>
        </is>
      </c>
      <c r="M1321" t="inlineStr">
        <is>
          <t>Boege, Fred W. (Frederick William)</t>
        </is>
      </c>
      <c r="N1321" t="inlineStr">
        <is>
          <t>New York, Octagon Books, 1969 [c1947]</t>
        </is>
      </c>
      <c r="O1321" t="inlineStr">
        <is>
          <t>1969</t>
        </is>
      </c>
      <c r="Q1321" t="inlineStr">
        <is>
          <t>eng</t>
        </is>
      </c>
      <c r="R1321" t="inlineStr">
        <is>
          <t>nyu</t>
        </is>
      </c>
      <c r="S1321" t="inlineStr">
        <is>
          <t>Princeton studies in English ; no. 27</t>
        </is>
      </c>
      <c r="T1321" t="inlineStr">
        <is>
          <t xml:space="preserve">PR </t>
        </is>
      </c>
      <c r="U1321" t="n">
        <v>1</v>
      </c>
      <c r="V1321" t="n">
        <v>1</v>
      </c>
      <c r="W1321" t="inlineStr">
        <is>
          <t>2003-12-16</t>
        </is>
      </c>
      <c r="X1321" t="inlineStr">
        <is>
          <t>2003-12-16</t>
        </is>
      </c>
      <c r="Y1321" t="inlineStr">
        <is>
          <t>2003-12-16</t>
        </is>
      </c>
      <c r="Z1321" t="inlineStr">
        <is>
          <t>2003-12-16</t>
        </is>
      </c>
      <c r="AA1321" t="n">
        <v>319</v>
      </c>
      <c r="AB1321" t="n">
        <v>280</v>
      </c>
      <c r="AC1321" t="n">
        <v>468</v>
      </c>
      <c r="AD1321" t="n">
        <v>2</v>
      </c>
      <c r="AE1321" t="n">
        <v>4</v>
      </c>
      <c r="AF1321" t="n">
        <v>15</v>
      </c>
      <c r="AG1321" t="n">
        <v>26</v>
      </c>
      <c r="AH1321" t="n">
        <v>8</v>
      </c>
      <c r="AI1321" t="n">
        <v>10</v>
      </c>
      <c r="AJ1321" t="n">
        <v>2</v>
      </c>
      <c r="AK1321" t="n">
        <v>4</v>
      </c>
      <c r="AL1321" t="n">
        <v>8</v>
      </c>
      <c r="AM1321" t="n">
        <v>16</v>
      </c>
      <c r="AN1321" t="n">
        <v>1</v>
      </c>
      <c r="AO1321" t="n">
        <v>3</v>
      </c>
      <c r="AP1321" t="n">
        <v>0</v>
      </c>
      <c r="AQ1321" t="n">
        <v>0</v>
      </c>
      <c r="AR1321" t="inlineStr">
        <is>
          <t>No</t>
        </is>
      </c>
      <c r="AS1321" t="inlineStr">
        <is>
          <t>Yes</t>
        </is>
      </c>
      <c r="AT1321">
        <f>HYPERLINK("http://catalog.hathitrust.org/Record/004486975","HathiTrust Record")</f>
        <v/>
      </c>
      <c r="AU1321">
        <f>HYPERLINK("https://creighton-primo.hosted.exlibrisgroup.com/primo-explore/search?tab=default_tab&amp;search_scope=EVERYTHING&amp;vid=01CRU&amp;lang=en_US&amp;offset=0&amp;query=any,contains,991004206949702656","Catalog Record")</f>
        <v/>
      </c>
      <c r="AV1321">
        <f>HYPERLINK("http://www.worldcat.org/oclc/61322","WorldCat Record")</f>
        <v/>
      </c>
      <c r="AW1321" t="inlineStr">
        <is>
          <t>1222891:eng</t>
        </is>
      </c>
      <c r="AX1321" t="inlineStr">
        <is>
          <t>61322</t>
        </is>
      </c>
      <c r="AY1321" t="inlineStr">
        <is>
          <t>991004206949702656</t>
        </is>
      </c>
      <c r="AZ1321" t="inlineStr">
        <is>
          <t>991004206949702656</t>
        </is>
      </c>
      <c r="BA1321" t="inlineStr">
        <is>
          <t>2255303590002656</t>
        </is>
      </c>
      <c r="BB1321" t="inlineStr">
        <is>
          <t>BOOK</t>
        </is>
      </c>
      <c r="BE1321" t="inlineStr">
        <is>
          <t>32285004847694</t>
        </is>
      </c>
      <c r="BF1321" t="inlineStr">
        <is>
          <t>893446083</t>
        </is>
      </c>
    </row>
    <row r="1322">
      <c r="A1322" t="inlineStr">
        <is>
          <t>No</t>
        </is>
      </c>
      <c r="B1322" t="inlineStr">
        <is>
          <t>CURAL</t>
        </is>
      </c>
      <c r="C1322" t="inlineStr">
        <is>
          <t>SHELVES</t>
        </is>
      </c>
      <c r="D1322" t="inlineStr">
        <is>
          <t>PR3697 .T64 1987</t>
        </is>
      </c>
      <c r="E1322" t="inlineStr">
        <is>
          <t>0                      PR 3697000T  64          1987</t>
        </is>
      </c>
      <c r="F1322" t="inlineStr">
        <is>
          <t>Tobias Smollett : the critical heritage / edited by Lionel Kelly.</t>
        </is>
      </c>
      <c r="H1322" t="inlineStr">
        <is>
          <t>No</t>
        </is>
      </c>
      <c r="I1322" t="inlineStr">
        <is>
          <t>1</t>
        </is>
      </c>
      <c r="J1322" t="inlineStr">
        <is>
          <t>No</t>
        </is>
      </c>
      <c r="K1322" t="inlineStr">
        <is>
          <t>No</t>
        </is>
      </c>
      <c r="L1322" t="inlineStr">
        <is>
          <t>0</t>
        </is>
      </c>
      <c r="N1322" t="inlineStr">
        <is>
          <t>London ; New York : Routledge &amp; Kegan Paul, 1987.</t>
        </is>
      </c>
      <c r="O1322" t="inlineStr">
        <is>
          <t>1987</t>
        </is>
      </c>
      <c r="Q1322" t="inlineStr">
        <is>
          <t>eng</t>
        </is>
      </c>
      <c r="R1322" t="inlineStr">
        <is>
          <t>enk</t>
        </is>
      </c>
      <c r="S1322" t="inlineStr">
        <is>
          <t>The Critical heritage series</t>
        </is>
      </c>
      <c r="T1322" t="inlineStr">
        <is>
          <t xml:space="preserve">PR </t>
        </is>
      </c>
      <c r="U1322" t="n">
        <v>1</v>
      </c>
      <c r="V1322" t="n">
        <v>1</v>
      </c>
      <c r="W1322" t="inlineStr">
        <is>
          <t>1996-03-04</t>
        </is>
      </c>
      <c r="X1322" t="inlineStr">
        <is>
          <t>1996-03-04</t>
        </is>
      </c>
      <c r="Y1322" t="inlineStr">
        <is>
          <t>1991-06-06</t>
        </is>
      </c>
      <c r="Z1322" t="inlineStr">
        <is>
          <t>1991-06-06</t>
        </is>
      </c>
      <c r="AA1322" t="n">
        <v>383</v>
      </c>
      <c r="AB1322" t="n">
        <v>238</v>
      </c>
      <c r="AC1322" t="n">
        <v>581</v>
      </c>
      <c r="AD1322" t="n">
        <v>1</v>
      </c>
      <c r="AE1322" t="n">
        <v>1</v>
      </c>
      <c r="AF1322" t="n">
        <v>12</v>
      </c>
      <c r="AG1322" t="n">
        <v>26</v>
      </c>
      <c r="AH1322" t="n">
        <v>4</v>
      </c>
      <c r="AI1322" t="n">
        <v>13</v>
      </c>
      <c r="AJ1322" t="n">
        <v>3</v>
      </c>
      <c r="AK1322" t="n">
        <v>10</v>
      </c>
      <c r="AL1322" t="n">
        <v>9</v>
      </c>
      <c r="AM1322" t="n">
        <v>11</v>
      </c>
      <c r="AN1322" t="n">
        <v>0</v>
      </c>
      <c r="AO1322" t="n">
        <v>0</v>
      </c>
      <c r="AP1322" t="n">
        <v>0</v>
      </c>
      <c r="AQ1322" t="n">
        <v>0</v>
      </c>
      <c r="AR1322" t="inlineStr">
        <is>
          <t>No</t>
        </is>
      </c>
      <c r="AS1322" t="inlineStr">
        <is>
          <t>No</t>
        </is>
      </c>
      <c r="AU1322">
        <f>HYPERLINK("https://creighton-primo.hosted.exlibrisgroup.com/primo-explore/search?tab=default_tab&amp;search_scope=EVERYTHING&amp;vid=01CRU&amp;lang=en_US&amp;offset=0&amp;query=any,contains,991000934109702656","Catalog Record")</f>
        <v/>
      </c>
      <c r="AV1322">
        <f>HYPERLINK("http://www.worldcat.org/oclc/14355156","WorldCat Record")</f>
        <v/>
      </c>
      <c r="AW1322" t="inlineStr">
        <is>
          <t>3943354629:eng</t>
        </is>
      </c>
      <c r="AX1322" t="inlineStr">
        <is>
          <t>14355156</t>
        </is>
      </c>
      <c r="AY1322" t="inlineStr">
        <is>
          <t>991000934109702656</t>
        </is>
      </c>
      <c r="AZ1322" t="inlineStr">
        <is>
          <t>991000934109702656</t>
        </is>
      </c>
      <c r="BA1322" t="inlineStr">
        <is>
          <t>2256894840002656</t>
        </is>
      </c>
      <c r="BB1322" t="inlineStr">
        <is>
          <t>BOOK</t>
        </is>
      </c>
      <c r="BD1322" t="inlineStr">
        <is>
          <t>9780710209054</t>
        </is>
      </c>
      <c r="BE1322" t="inlineStr">
        <is>
          <t>32285000615335</t>
        </is>
      </c>
      <c r="BF1322" t="inlineStr">
        <is>
          <t>893778400</t>
        </is>
      </c>
    </row>
    <row r="1323">
      <c r="A1323" t="inlineStr">
        <is>
          <t>No</t>
        </is>
      </c>
      <c r="B1323" t="inlineStr">
        <is>
          <t>CURAL</t>
        </is>
      </c>
      <c r="C1323" t="inlineStr">
        <is>
          <t>SHELVES</t>
        </is>
      </c>
      <c r="D1323" t="inlineStr">
        <is>
          <t>PR3699.S4 Z9</t>
        </is>
      </c>
      <c r="E1323" t="inlineStr">
        <is>
          <t>0                      PR 3699000S  4                  Z  9</t>
        </is>
      </c>
      <c r="F1323" t="inlineStr">
        <is>
          <t>Joseph Spence; a critical biography.</t>
        </is>
      </c>
      <c r="H1323" t="inlineStr">
        <is>
          <t>No</t>
        </is>
      </c>
      <c r="I1323" t="inlineStr">
        <is>
          <t>1</t>
        </is>
      </c>
      <c r="J1323" t="inlineStr">
        <is>
          <t>No</t>
        </is>
      </c>
      <c r="K1323" t="inlineStr">
        <is>
          <t>No</t>
        </is>
      </c>
      <c r="L1323" t="inlineStr">
        <is>
          <t>0</t>
        </is>
      </c>
      <c r="M1323" t="inlineStr">
        <is>
          <t>Wright, Austin, 1904-1979.</t>
        </is>
      </c>
      <c r="N1323" t="inlineStr">
        <is>
          <t>Chicago, University of Chicago Press [1950]</t>
        </is>
      </c>
      <c r="O1323" t="inlineStr">
        <is>
          <t>1950</t>
        </is>
      </c>
      <c r="Q1323" t="inlineStr">
        <is>
          <t>eng</t>
        </is>
      </c>
      <c r="R1323" t="inlineStr">
        <is>
          <t xml:space="preserve">xx </t>
        </is>
      </c>
      <c r="T1323" t="inlineStr">
        <is>
          <t xml:space="preserve">PR </t>
        </is>
      </c>
      <c r="U1323" t="n">
        <v>12</v>
      </c>
      <c r="V1323" t="n">
        <v>12</v>
      </c>
      <c r="W1323" t="inlineStr">
        <is>
          <t>2004-03-03</t>
        </is>
      </c>
      <c r="X1323" t="inlineStr">
        <is>
          <t>2004-03-03</t>
        </is>
      </c>
      <c r="Y1323" t="inlineStr">
        <is>
          <t>1997-07-24</t>
        </is>
      </c>
      <c r="Z1323" t="inlineStr">
        <is>
          <t>1997-07-24</t>
        </is>
      </c>
      <c r="AA1323" t="n">
        <v>427</v>
      </c>
      <c r="AB1323" t="n">
        <v>368</v>
      </c>
      <c r="AC1323" t="n">
        <v>376</v>
      </c>
      <c r="AD1323" t="n">
        <v>4</v>
      </c>
      <c r="AE1323" t="n">
        <v>4</v>
      </c>
      <c r="AF1323" t="n">
        <v>26</v>
      </c>
      <c r="AG1323" t="n">
        <v>26</v>
      </c>
      <c r="AH1323" t="n">
        <v>9</v>
      </c>
      <c r="AI1323" t="n">
        <v>9</v>
      </c>
      <c r="AJ1323" t="n">
        <v>5</v>
      </c>
      <c r="AK1323" t="n">
        <v>5</v>
      </c>
      <c r="AL1323" t="n">
        <v>16</v>
      </c>
      <c r="AM1323" t="n">
        <v>16</v>
      </c>
      <c r="AN1323" t="n">
        <v>3</v>
      </c>
      <c r="AO1323" t="n">
        <v>3</v>
      </c>
      <c r="AP1323" t="n">
        <v>0</v>
      </c>
      <c r="AQ1323" t="n">
        <v>0</v>
      </c>
      <c r="AR1323" t="inlineStr">
        <is>
          <t>No</t>
        </is>
      </c>
      <c r="AS1323" t="inlineStr">
        <is>
          <t>Yes</t>
        </is>
      </c>
      <c r="AT1323">
        <f>HYPERLINK("http://catalog.hathitrust.org/Record/001186086","HathiTrust Record")</f>
        <v/>
      </c>
      <c r="AU1323">
        <f>HYPERLINK("https://creighton-primo.hosted.exlibrisgroup.com/primo-explore/search?tab=default_tab&amp;search_scope=EVERYTHING&amp;vid=01CRU&amp;lang=en_US&amp;offset=0&amp;query=any,contains,991005356919702656","Catalog Record")</f>
        <v/>
      </c>
      <c r="AV1323">
        <f>HYPERLINK("http://www.worldcat.org/oclc/804066","WorldCat Record")</f>
        <v/>
      </c>
      <c r="AW1323" t="inlineStr">
        <is>
          <t>376618365:eng</t>
        </is>
      </c>
      <c r="AX1323" t="inlineStr">
        <is>
          <t>804066</t>
        </is>
      </c>
      <c r="AY1323" t="inlineStr">
        <is>
          <t>991005356919702656</t>
        </is>
      </c>
      <c r="AZ1323" t="inlineStr">
        <is>
          <t>991005356919702656</t>
        </is>
      </c>
      <c r="BA1323" t="inlineStr">
        <is>
          <t>2269452710002656</t>
        </is>
      </c>
      <c r="BB1323" t="inlineStr">
        <is>
          <t>BOOK</t>
        </is>
      </c>
      <c r="BE1323" t="inlineStr">
        <is>
          <t>32285002961208</t>
        </is>
      </c>
      <c r="BF1323" t="inlineStr">
        <is>
          <t>893783455</t>
        </is>
      </c>
    </row>
    <row r="1324">
      <c r="A1324" t="inlineStr">
        <is>
          <t>No</t>
        </is>
      </c>
      <c r="B1324" t="inlineStr">
        <is>
          <t>CURAL</t>
        </is>
      </c>
      <c r="C1324" t="inlineStr">
        <is>
          <t>SHELVES</t>
        </is>
      </c>
      <c r="D1324" t="inlineStr">
        <is>
          <t>PR3707 .D3 1982</t>
        </is>
      </c>
      <c r="E1324" t="inlineStr">
        <is>
          <t>0                      PR 3707000D  3           1982</t>
        </is>
      </c>
      <c r="F1324" t="inlineStr">
        <is>
          <t>Richard Steele / by Richard H. Dammers.</t>
        </is>
      </c>
      <c r="H1324" t="inlineStr">
        <is>
          <t>No</t>
        </is>
      </c>
      <c r="I1324" t="inlineStr">
        <is>
          <t>1</t>
        </is>
      </c>
      <c r="J1324" t="inlineStr">
        <is>
          <t>No</t>
        </is>
      </c>
      <c r="K1324" t="inlineStr">
        <is>
          <t>No</t>
        </is>
      </c>
      <c r="L1324" t="inlineStr">
        <is>
          <t>0</t>
        </is>
      </c>
      <c r="M1324" t="inlineStr">
        <is>
          <t>Dammers, Richard H., 1943-</t>
        </is>
      </c>
      <c r="N1324" t="inlineStr">
        <is>
          <t>Boston : Twayne Publishers, c1982.</t>
        </is>
      </c>
      <c r="O1324" t="inlineStr">
        <is>
          <t>1982</t>
        </is>
      </c>
      <c r="Q1324" t="inlineStr">
        <is>
          <t>eng</t>
        </is>
      </c>
      <c r="R1324" t="inlineStr">
        <is>
          <t>mau</t>
        </is>
      </c>
      <c r="S1324" t="inlineStr">
        <is>
          <t>Twayne's English authors series ; TEAS 351</t>
        </is>
      </c>
      <c r="T1324" t="inlineStr">
        <is>
          <t xml:space="preserve">PR </t>
        </is>
      </c>
      <c r="U1324" t="n">
        <v>4</v>
      </c>
      <c r="V1324" t="n">
        <v>4</v>
      </c>
      <c r="W1324" t="inlineStr">
        <is>
          <t>1996-08-23</t>
        </is>
      </c>
      <c r="X1324" t="inlineStr">
        <is>
          <t>1996-08-23</t>
        </is>
      </c>
      <c r="Y1324" t="inlineStr">
        <is>
          <t>1991-06-06</t>
        </is>
      </c>
      <c r="Z1324" t="inlineStr">
        <is>
          <t>1991-06-06</t>
        </is>
      </c>
      <c r="AA1324" t="n">
        <v>585</v>
      </c>
      <c r="AB1324" t="n">
        <v>507</v>
      </c>
      <c r="AC1324" t="n">
        <v>515</v>
      </c>
      <c r="AD1324" t="n">
        <v>5</v>
      </c>
      <c r="AE1324" t="n">
        <v>5</v>
      </c>
      <c r="AF1324" t="n">
        <v>25</v>
      </c>
      <c r="AG1324" t="n">
        <v>25</v>
      </c>
      <c r="AH1324" t="n">
        <v>8</v>
      </c>
      <c r="AI1324" t="n">
        <v>8</v>
      </c>
      <c r="AJ1324" t="n">
        <v>6</v>
      </c>
      <c r="AK1324" t="n">
        <v>6</v>
      </c>
      <c r="AL1324" t="n">
        <v>15</v>
      </c>
      <c r="AM1324" t="n">
        <v>15</v>
      </c>
      <c r="AN1324" t="n">
        <v>4</v>
      </c>
      <c r="AO1324" t="n">
        <v>4</v>
      </c>
      <c r="AP1324" t="n">
        <v>0</v>
      </c>
      <c r="AQ1324" t="n">
        <v>0</v>
      </c>
      <c r="AR1324" t="inlineStr">
        <is>
          <t>No</t>
        </is>
      </c>
      <c r="AS1324" t="inlineStr">
        <is>
          <t>Yes</t>
        </is>
      </c>
      <c r="AT1324">
        <f>HYPERLINK("http://catalog.hathitrust.org/Record/000188061","HathiTrust Record")</f>
        <v/>
      </c>
      <c r="AU1324">
        <f>HYPERLINK("https://creighton-primo.hosted.exlibrisgroup.com/primo-explore/search?tab=default_tab&amp;search_scope=EVERYTHING&amp;vid=01CRU&amp;lang=en_US&amp;offset=0&amp;query=any,contains,991005226539702656","Catalog Record")</f>
        <v/>
      </c>
      <c r="AV1324">
        <f>HYPERLINK("http://www.worldcat.org/oclc/8283077","WorldCat Record")</f>
        <v/>
      </c>
      <c r="AW1324" t="inlineStr">
        <is>
          <t>2565027014:eng</t>
        </is>
      </c>
      <c r="AX1324" t="inlineStr">
        <is>
          <t>8283077</t>
        </is>
      </c>
      <c r="AY1324" t="inlineStr">
        <is>
          <t>991005226539702656</t>
        </is>
      </c>
      <c r="AZ1324" t="inlineStr">
        <is>
          <t>991005226539702656</t>
        </is>
      </c>
      <c r="BA1324" t="inlineStr">
        <is>
          <t>2268362570002656</t>
        </is>
      </c>
      <c r="BB1324" t="inlineStr">
        <is>
          <t>BOOK</t>
        </is>
      </c>
      <c r="BD1324" t="inlineStr">
        <is>
          <t>9780805768374</t>
        </is>
      </c>
      <c r="BE1324" t="inlineStr">
        <is>
          <t>32285000615376</t>
        </is>
      </c>
      <c r="BF1324" t="inlineStr">
        <is>
          <t>893896098</t>
        </is>
      </c>
    </row>
    <row r="1325">
      <c r="A1325" t="inlineStr">
        <is>
          <t>No</t>
        </is>
      </c>
      <c r="B1325" t="inlineStr">
        <is>
          <t>CURAL</t>
        </is>
      </c>
      <c r="C1325" t="inlineStr">
        <is>
          <t>SHELVES</t>
        </is>
      </c>
      <c r="D1325" t="inlineStr">
        <is>
          <t>PR3714 .S4 1967</t>
        </is>
      </c>
      <c r="E1325" t="inlineStr">
        <is>
          <t>0                      PR 3714000S  4           1967</t>
        </is>
      </c>
      <c r="F1325" t="inlineStr">
        <is>
          <t>A sentimental journey through France and Italy, by Mr. Yorick. Edited by Gardner D. Stout, Jr.</t>
        </is>
      </c>
      <c r="H1325" t="inlineStr">
        <is>
          <t>Yes</t>
        </is>
      </c>
      <c r="I1325" t="inlineStr">
        <is>
          <t>1</t>
        </is>
      </c>
      <c r="J1325" t="inlineStr">
        <is>
          <t>No</t>
        </is>
      </c>
      <c r="K1325" t="inlineStr">
        <is>
          <t>Yes</t>
        </is>
      </c>
      <c r="L1325" t="inlineStr">
        <is>
          <t>0</t>
        </is>
      </c>
      <c r="M1325" t="inlineStr">
        <is>
          <t>Sterne, Laurence, 1713-1768.</t>
        </is>
      </c>
      <c r="N1325" t="inlineStr">
        <is>
          <t>Berkeley, University of California Press, 1967.</t>
        </is>
      </c>
      <c r="O1325" t="inlineStr">
        <is>
          <t>1967</t>
        </is>
      </c>
      <c r="Q1325" t="inlineStr">
        <is>
          <t>eng</t>
        </is>
      </c>
      <c r="R1325" t="inlineStr">
        <is>
          <t>cau</t>
        </is>
      </c>
      <c r="T1325" t="inlineStr">
        <is>
          <t xml:space="preserve">PR </t>
        </is>
      </c>
      <c r="U1325" t="n">
        <v>2</v>
      </c>
      <c r="V1325" t="n">
        <v>2</v>
      </c>
      <c r="W1325" t="inlineStr">
        <is>
          <t>2007-02-09</t>
        </is>
      </c>
      <c r="X1325" t="inlineStr">
        <is>
          <t>2007-02-09</t>
        </is>
      </c>
      <c r="Y1325" t="inlineStr">
        <is>
          <t>1997-07-24</t>
        </is>
      </c>
      <c r="Z1325" t="inlineStr">
        <is>
          <t>1997-07-24</t>
        </is>
      </c>
      <c r="AA1325" t="n">
        <v>605</v>
      </c>
      <c r="AB1325" t="n">
        <v>535</v>
      </c>
      <c r="AC1325" t="n">
        <v>2458</v>
      </c>
      <c r="AD1325" t="n">
        <v>6</v>
      </c>
      <c r="AE1325" t="n">
        <v>26</v>
      </c>
      <c r="AF1325" t="n">
        <v>33</v>
      </c>
      <c r="AG1325" t="n">
        <v>69</v>
      </c>
      <c r="AH1325" t="n">
        <v>12</v>
      </c>
      <c r="AI1325" t="n">
        <v>28</v>
      </c>
      <c r="AJ1325" t="n">
        <v>8</v>
      </c>
      <c r="AK1325" t="n">
        <v>11</v>
      </c>
      <c r="AL1325" t="n">
        <v>15</v>
      </c>
      <c r="AM1325" t="n">
        <v>28</v>
      </c>
      <c r="AN1325" t="n">
        <v>5</v>
      </c>
      <c r="AO1325" t="n">
        <v>16</v>
      </c>
      <c r="AP1325" t="n">
        <v>0</v>
      </c>
      <c r="AQ1325" t="n">
        <v>0</v>
      </c>
      <c r="AR1325" t="inlineStr">
        <is>
          <t>No</t>
        </is>
      </c>
      <c r="AS1325" t="inlineStr">
        <is>
          <t>Yes</t>
        </is>
      </c>
      <c r="AT1325">
        <f>HYPERLINK("http://catalog.hathitrust.org/Record/001186378","HathiTrust Record")</f>
        <v/>
      </c>
      <c r="AU1325">
        <f>HYPERLINK("https://creighton-primo.hosted.exlibrisgroup.com/primo-explore/search?tab=default_tab&amp;search_scope=EVERYTHING&amp;vid=01CRU&amp;lang=en_US&amp;offset=0&amp;query=any,contains,991003322979702656","Catalog Record")</f>
        <v/>
      </c>
      <c r="AV1325">
        <f>HYPERLINK("http://www.worldcat.org/oclc/851365","WorldCat Record")</f>
        <v/>
      </c>
      <c r="AW1325" t="inlineStr">
        <is>
          <t>2542139418:eng</t>
        </is>
      </c>
      <c r="AX1325" t="inlineStr">
        <is>
          <t>851365</t>
        </is>
      </c>
      <c r="AY1325" t="inlineStr">
        <is>
          <t>991003322979702656</t>
        </is>
      </c>
      <c r="AZ1325" t="inlineStr">
        <is>
          <t>991003322979702656</t>
        </is>
      </c>
      <c r="BA1325" t="inlineStr">
        <is>
          <t>2265786460002656</t>
        </is>
      </c>
      <c r="BB1325" t="inlineStr">
        <is>
          <t>BOOK</t>
        </is>
      </c>
      <c r="BE1325" t="inlineStr">
        <is>
          <t>32285002961430</t>
        </is>
      </c>
      <c r="BF1325" t="inlineStr">
        <is>
          <t>893252260</t>
        </is>
      </c>
    </row>
    <row r="1326">
      <c r="A1326" t="inlineStr">
        <is>
          <t>No</t>
        </is>
      </c>
      <c r="B1326" t="inlineStr">
        <is>
          <t>CURAL</t>
        </is>
      </c>
      <c r="C1326" t="inlineStr">
        <is>
          <t>SHELVES</t>
        </is>
      </c>
      <c r="D1326" t="inlineStr">
        <is>
          <t>PR3714.L5 B97 1985</t>
        </is>
      </c>
      <c r="E1326" t="inlineStr">
        <is>
          <t>0                      PR 3714000L  5                  B  97          1985</t>
        </is>
      </c>
      <c r="F1326" t="inlineStr">
        <is>
          <t>Tristram Shandy / Max Byrd.</t>
        </is>
      </c>
      <c r="H1326" t="inlineStr">
        <is>
          <t>No</t>
        </is>
      </c>
      <c r="I1326" t="inlineStr">
        <is>
          <t>1</t>
        </is>
      </c>
      <c r="J1326" t="inlineStr">
        <is>
          <t>No</t>
        </is>
      </c>
      <c r="K1326" t="inlineStr">
        <is>
          <t>No</t>
        </is>
      </c>
      <c r="L1326" t="inlineStr">
        <is>
          <t>0</t>
        </is>
      </c>
      <c r="M1326" t="inlineStr">
        <is>
          <t>Byrd, Max.</t>
        </is>
      </c>
      <c r="N1326" t="inlineStr">
        <is>
          <t>London ; Boston : G. Allen &amp; Unwin, 1985.</t>
        </is>
      </c>
      <c r="O1326" t="inlineStr">
        <is>
          <t>1984</t>
        </is>
      </c>
      <c r="Q1326" t="inlineStr">
        <is>
          <t>eng</t>
        </is>
      </c>
      <c r="R1326" t="inlineStr">
        <is>
          <t>enk</t>
        </is>
      </c>
      <c r="S1326" t="inlineStr">
        <is>
          <t>Unwin critical library</t>
        </is>
      </c>
      <c r="T1326" t="inlineStr">
        <is>
          <t xml:space="preserve">PR </t>
        </is>
      </c>
      <c r="U1326" t="n">
        <v>4</v>
      </c>
      <c r="V1326" t="n">
        <v>4</v>
      </c>
      <c r="W1326" t="inlineStr">
        <is>
          <t>1999-04-17</t>
        </is>
      </c>
      <c r="X1326" t="inlineStr">
        <is>
          <t>1999-04-17</t>
        </is>
      </c>
      <c r="Y1326" t="inlineStr">
        <is>
          <t>1991-06-06</t>
        </is>
      </c>
      <c r="Z1326" t="inlineStr">
        <is>
          <t>1991-06-06</t>
        </is>
      </c>
      <c r="AA1326" t="n">
        <v>641</v>
      </c>
      <c r="AB1326" t="n">
        <v>508</v>
      </c>
      <c r="AC1326" t="n">
        <v>544</v>
      </c>
      <c r="AD1326" t="n">
        <v>5</v>
      </c>
      <c r="AE1326" t="n">
        <v>5</v>
      </c>
      <c r="AF1326" t="n">
        <v>26</v>
      </c>
      <c r="AG1326" t="n">
        <v>29</v>
      </c>
      <c r="AH1326" t="n">
        <v>8</v>
      </c>
      <c r="AI1326" t="n">
        <v>11</v>
      </c>
      <c r="AJ1326" t="n">
        <v>9</v>
      </c>
      <c r="AK1326" t="n">
        <v>9</v>
      </c>
      <c r="AL1326" t="n">
        <v>12</v>
      </c>
      <c r="AM1326" t="n">
        <v>14</v>
      </c>
      <c r="AN1326" t="n">
        <v>4</v>
      </c>
      <c r="AO1326" t="n">
        <v>4</v>
      </c>
      <c r="AP1326" t="n">
        <v>0</v>
      </c>
      <c r="AQ1326" t="n">
        <v>0</v>
      </c>
      <c r="AR1326" t="inlineStr">
        <is>
          <t>No</t>
        </is>
      </c>
      <c r="AS1326" t="inlineStr">
        <is>
          <t>No</t>
        </is>
      </c>
      <c r="AU1326">
        <f>HYPERLINK("https://creighton-primo.hosted.exlibrisgroup.com/primo-explore/search?tab=default_tab&amp;search_scope=EVERYTHING&amp;vid=01CRU&amp;lang=en_US&amp;offset=0&amp;query=any,contains,991000413639702656","Catalog Record")</f>
        <v/>
      </c>
      <c r="AV1326">
        <f>HYPERLINK("http://www.worldcat.org/oclc/10723044","WorldCat Record")</f>
        <v/>
      </c>
      <c r="AW1326" t="inlineStr">
        <is>
          <t>2908611890:eng</t>
        </is>
      </c>
      <c r="AX1326" t="inlineStr">
        <is>
          <t>10723044</t>
        </is>
      </c>
      <c r="AY1326" t="inlineStr">
        <is>
          <t>991000413639702656</t>
        </is>
      </c>
      <c r="AZ1326" t="inlineStr">
        <is>
          <t>991000413639702656</t>
        </is>
      </c>
      <c r="BA1326" t="inlineStr">
        <is>
          <t>2255798050002656</t>
        </is>
      </c>
      <c r="BB1326" t="inlineStr">
        <is>
          <t>BOOK</t>
        </is>
      </c>
      <c r="BD1326" t="inlineStr">
        <is>
          <t>9780048000330</t>
        </is>
      </c>
      <c r="BE1326" t="inlineStr">
        <is>
          <t>32285000615384</t>
        </is>
      </c>
      <c r="BF1326" t="inlineStr">
        <is>
          <t>893508748</t>
        </is>
      </c>
    </row>
    <row r="1327">
      <c r="A1327" t="inlineStr">
        <is>
          <t>No</t>
        </is>
      </c>
      <c r="B1327" t="inlineStr">
        <is>
          <t>CURAL</t>
        </is>
      </c>
      <c r="C1327" t="inlineStr">
        <is>
          <t>SHELVES</t>
        </is>
      </c>
      <c r="D1327" t="inlineStr">
        <is>
          <t>PR3714.T718 C65</t>
        </is>
      </c>
      <c r="E1327" t="inlineStr">
        <is>
          <t>0                      PR 3714000T  718                C  65</t>
        </is>
      </c>
      <c r="F1327" t="inlineStr">
        <is>
          <t>Shandyism : the character of romantic irony / Peter Conrad.</t>
        </is>
      </c>
      <c r="H1327" t="inlineStr">
        <is>
          <t>No</t>
        </is>
      </c>
      <c r="I1327" t="inlineStr">
        <is>
          <t>1</t>
        </is>
      </c>
      <c r="J1327" t="inlineStr">
        <is>
          <t>No</t>
        </is>
      </c>
      <c r="K1327" t="inlineStr">
        <is>
          <t>No</t>
        </is>
      </c>
      <c r="L1327" t="inlineStr">
        <is>
          <t>0</t>
        </is>
      </c>
      <c r="M1327" t="inlineStr">
        <is>
          <t>Conrad, Peter.</t>
        </is>
      </c>
      <c r="N1327" t="inlineStr">
        <is>
          <t>Oxford [Eng.] : Blackwell, c1978.</t>
        </is>
      </c>
      <c r="O1327" t="inlineStr">
        <is>
          <t>1978</t>
        </is>
      </c>
      <c r="Q1327" t="inlineStr">
        <is>
          <t>eng</t>
        </is>
      </c>
      <c r="R1327" t="inlineStr">
        <is>
          <t xml:space="preserve">xx </t>
        </is>
      </c>
      <c r="T1327" t="inlineStr">
        <is>
          <t xml:space="preserve">PR </t>
        </is>
      </c>
      <c r="U1327" t="n">
        <v>5</v>
      </c>
      <c r="V1327" t="n">
        <v>5</v>
      </c>
      <c r="W1327" t="inlineStr">
        <is>
          <t>2000-10-31</t>
        </is>
      </c>
      <c r="X1327" t="inlineStr">
        <is>
          <t>2000-10-31</t>
        </is>
      </c>
      <c r="Y1327" t="inlineStr">
        <is>
          <t>1991-06-06</t>
        </is>
      </c>
      <c r="Z1327" t="inlineStr">
        <is>
          <t>1991-06-06</t>
        </is>
      </c>
      <c r="AA1327" t="n">
        <v>225</v>
      </c>
      <c r="AB1327" t="n">
        <v>86</v>
      </c>
      <c r="AC1327" t="n">
        <v>400</v>
      </c>
      <c r="AD1327" t="n">
        <v>2</v>
      </c>
      <c r="AE1327" t="n">
        <v>2</v>
      </c>
      <c r="AF1327" t="n">
        <v>3</v>
      </c>
      <c r="AG1327" t="n">
        <v>22</v>
      </c>
      <c r="AH1327" t="n">
        <v>0</v>
      </c>
      <c r="AI1327" t="n">
        <v>9</v>
      </c>
      <c r="AJ1327" t="n">
        <v>1</v>
      </c>
      <c r="AK1327" t="n">
        <v>6</v>
      </c>
      <c r="AL1327" t="n">
        <v>2</v>
      </c>
      <c r="AM1327" t="n">
        <v>13</v>
      </c>
      <c r="AN1327" t="n">
        <v>1</v>
      </c>
      <c r="AO1327" t="n">
        <v>1</v>
      </c>
      <c r="AP1327" t="n">
        <v>0</v>
      </c>
      <c r="AQ1327" t="n">
        <v>0</v>
      </c>
      <c r="AR1327" t="inlineStr">
        <is>
          <t>No</t>
        </is>
      </c>
      <c r="AS1327" t="inlineStr">
        <is>
          <t>No</t>
        </is>
      </c>
      <c r="AU1327">
        <f>HYPERLINK("https://creighton-primo.hosted.exlibrisgroup.com/primo-explore/search?tab=default_tab&amp;search_scope=EVERYTHING&amp;vid=01CRU&amp;lang=en_US&amp;offset=0&amp;query=any,contains,991004616099702656","Catalog Record")</f>
        <v/>
      </c>
      <c r="AV1327">
        <f>HYPERLINK("http://www.worldcat.org/oclc/4808134","WorldCat Record")</f>
        <v/>
      </c>
      <c r="AW1327" t="inlineStr">
        <is>
          <t>909783162:eng</t>
        </is>
      </c>
      <c r="AX1327" t="inlineStr">
        <is>
          <t>4808134</t>
        </is>
      </c>
      <c r="AY1327" t="inlineStr">
        <is>
          <t>991004616099702656</t>
        </is>
      </c>
      <c r="AZ1327" t="inlineStr">
        <is>
          <t>991004616099702656</t>
        </is>
      </c>
      <c r="BA1327" t="inlineStr">
        <is>
          <t>2262618400002656</t>
        </is>
      </c>
      <c r="BB1327" t="inlineStr">
        <is>
          <t>BOOK</t>
        </is>
      </c>
      <c r="BD1327" t="inlineStr">
        <is>
          <t>9780631187202</t>
        </is>
      </c>
      <c r="BE1327" t="inlineStr">
        <is>
          <t>32285000615392</t>
        </is>
      </c>
      <c r="BF1327" t="inlineStr">
        <is>
          <t>893719136</t>
        </is>
      </c>
    </row>
    <row r="1328">
      <c r="A1328" t="inlineStr">
        <is>
          <t>No</t>
        </is>
      </c>
      <c r="B1328" t="inlineStr">
        <is>
          <t>CURAL</t>
        </is>
      </c>
      <c r="C1328" t="inlineStr">
        <is>
          <t>SHELVES</t>
        </is>
      </c>
      <c r="D1328" t="inlineStr">
        <is>
          <t>PR3714.T73 L3 1973</t>
        </is>
      </c>
      <c r="E1328" t="inlineStr">
        <is>
          <t>0                      PR 3714000T  73                 L  3           1973</t>
        </is>
      </c>
      <c r="F1328" t="inlineStr">
        <is>
          <t>Tristram Shandy : the games of pleasure / [by] Richard A. Lanham.</t>
        </is>
      </c>
      <c r="H1328" t="inlineStr">
        <is>
          <t>No</t>
        </is>
      </c>
      <c r="I1328" t="inlineStr">
        <is>
          <t>1</t>
        </is>
      </c>
      <c r="J1328" t="inlineStr">
        <is>
          <t>No</t>
        </is>
      </c>
      <c r="K1328" t="inlineStr">
        <is>
          <t>No</t>
        </is>
      </c>
      <c r="L1328" t="inlineStr">
        <is>
          <t>0</t>
        </is>
      </c>
      <c r="M1328" t="inlineStr">
        <is>
          <t>Lanham, Richard A.</t>
        </is>
      </c>
      <c r="N1328" t="inlineStr">
        <is>
          <t>Berkeley : University of California Press, 1973.</t>
        </is>
      </c>
      <c r="O1328" t="inlineStr">
        <is>
          <t>1973</t>
        </is>
      </c>
      <c r="Q1328" t="inlineStr">
        <is>
          <t>eng</t>
        </is>
      </c>
      <c r="R1328" t="inlineStr">
        <is>
          <t>cau</t>
        </is>
      </c>
      <c r="T1328" t="inlineStr">
        <is>
          <t xml:space="preserve">PR </t>
        </is>
      </c>
      <c r="U1328" t="n">
        <v>4</v>
      </c>
      <c r="V1328" t="n">
        <v>4</v>
      </c>
      <c r="W1328" t="inlineStr">
        <is>
          <t>1994-04-21</t>
        </is>
      </c>
      <c r="X1328" t="inlineStr">
        <is>
          <t>1994-04-21</t>
        </is>
      </c>
      <c r="Y1328" t="inlineStr">
        <is>
          <t>1992-01-14</t>
        </is>
      </c>
      <c r="Z1328" t="inlineStr">
        <is>
          <t>1992-01-14</t>
        </is>
      </c>
      <c r="AA1328" t="n">
        <v>692</v>
      </c>
      <c r="AB1328" t="n">
        <v>529</v>
      </c>
      <c r="AC1328" t="n">
        <v>551</v>
      </c>
      <c r="AD1328" t="n">
        <v>3</v>
      </c>
      <c r="AE1328" t="n">
        <v>3</v>
      </c>
      <c r="AF1328" t="n">
        <v>28</v>
      </c>
      <c r="AG1328" t="n">
        <v>28</v>
      </c>
      <c r="AH1328" t="n">
        <v>11</v>
      </c>
      <c r="AI1328" t="n">
        <v>11</v>
      </c>
      <c r="AJ1328" t="n">
        <v>8</v>
      </c>
      <c r="AK1328" t="n">
        <v>8</v>
      </c>
      <c r="AL1328" t="n">
        <v>16</v>
      </c>
      <c r="AM1328" t="n">
        <v>16</v>
      </c>
      <c r="AN1328" t="n">
        <v>2</v>
      </c>
      <c r="AO1328" t="n">
        <v>2</v>
      </c>
      <c r="AP1328" t="n">
        <v>0</v>
      </c>
      <c r="AQ1328" t="n">
        <v>0</v>
      </c>
      <c r="AR1328" t="inlineStr">
        <is>
          <t>No</t>
        </is>
      </c>
      <c r="AS1328" t="inlineStr">
        <is>
          <t>Yes</t>
        </is>
      </c>
      <c r="AT1328">
        <f>HYPERLINK("http://catalog.hathitrust.org/Record/001022834","HathiTrust Record")</f>
        <v/>
      </c>
      <c r="AU1328">
        <f>HYPERLINK("https://creighton-primo.hosted.exlibrisgroup.com/primo-explore/search?tab=default_tab&amp;search_scope=EVERYTHING&amp;vid=01CRU&amp;lang=en_US&amp;offset=0&amp;query=any,contains,991003073379702656","Catalog Record")</f>
        <v/>
      </c>
      <c r="AV1328">
        <f>HYPERLINK("http://www.worldcat.org/oclc/627778","WorldCat Record")</f>
        <v/>
      </c>
      <c r="AW1328" t="inlineStr">
        <is>
          <t>1724900:eng</t>
        </is>
      </c>
      <c r="AX1328" t="inlineStr">
        <is>
          <t>627778</t>
        </is>
      </c>
      <c r="AY1328" t="inlineStr">
        <is>
          <t>991003073379702656</t>
        </is>
      </c>
      <c r="AZ1328" t="inlineStr">
        <is>
          <t>991003073379702656</t>
        </is>
      </c>
      <c r="BA1328" t="inlineStr">
        <is>
          <t>2257903110002656</t>
        </is>
      </c>
      <c r="BB1328" t="inlineStr">
        <is>
          <t>BOOK</t>
        </is>
      </c>
      <c r="BD1328" t="inlineStr">
        <is>
          <t>9780520021440</t>
        </is>
      </c>
      <c r="BE1328" t="inlineStr">
        <is>
          <t>32285000912443</t>
        </is>
      </c>
      <c r="BF1328" t="inlineStr">
        <is>
          <t>893518111</t>
        </is>
      </c>
    </row>
    <row r="1329">
      <c r="A1329" t="inlineStr">
        <is>
          <t>No</t>
        </is>
      </c>
      <c r="B1329" t="inlineStr">
        <is>
          <t>CURAL</t>
        </is>
      </c>
      <c r="C1329" t="inlineStr">
        <is>
          <t>SHELVES</t>
        </is>
      </c>
      <c r="D1329" t="inlineStr">
        <is>
          <t>PR3714.T73 L38 1984</t>
        </is>
      </c>
      <c r="E1329" t="inlineStr">
        <is>
          <t>0                      PR 3714000T  73                 L  38          1984</t>
        </is>
      </c>
      <c r="F1329" t="inlineStr">
        <is>
          <t>Laurence Sterne : riddles and mysteries / edited by Valerie Grosvenor Myer.</t>
        </is>
      </c>
      <c r="H1329" t="inlineStr">
        <is>
          <t>No</t>
        </is>
      </c>
      <c r="I1329" t="inlineStr">
        <is>
          <t>1</t>
        </is>
      </c>
      <c r="J1329" t="inlineStr">
        <is>
          <t>No</t>
        </is>
      </c>
      <c r="K1329" t="inlineStr">
        <is>
          <t>No</t>
        </is>
      </c>
      <c r="L1329" t="inlineStr">
        <is>
          <t>0</t>
        </is>
      </c>
      <c r="N1329" t="inlineStr">
        <is>
          <t>Totowa, N.J. : Barnes &amp; Noble Books, 1984.</t>
        </is>
      </c>
      <c r="O1329" t="inlineStr">
        <is>
          <t>1984</t>
        </is>
      </c>
      <c r="Q1329" t="inlineStr">
        <is>
          <t>eng</t>
        </is>
      </c>
      <c r="R1329" t="inlineStr">
        <is>
          <t>nju</t>
        </is>
      </c>
      <c r="T1329" t="inlineStr">
        <is>
          <t xml:space="preserve">PR </t>
        </is>
      </c>
      <c r="U1329" t="n">
        <v>3</v>
      </c>
      <c r="V1329" t="n">
        <v>3</v>
      </c>
      <c r="W1329" t="inlineStr">
        <is>
          <t>2001-04-24</t>
        </is>
      </c>
      <c r="X1329" t="inlineStr">
        <is>
          <t>2001-04-24</t>
        </is>
      </c>
      <c r="Y1329" t="inlineStr">
        <is>
          <t>1991-06-06</t>
        </is>
      </c>
      <c r="Z1329" t="inlineStr">
        <is>
          <t>1991-06-06</t>
        </is>
      </c>
      <c r="AA1329" t="n">
        <v>546</v>
      </c>
      <c r="AB1329" t="n">
        <v>495</v>
      </c>
      <c r="AC1329" t="n">
        <v>587</v>
      </c>
      <c r="AD1329" t="n">
        <v>3</v>
      </c>
      <c r="AE1329" t="n">
        <v>3</v>
      </c>
      <c r="AF1329" t="n">
        <v>24</v>
      </c>
      <c r="AG1329" t="n">
        <v>31</v>
      </c>
      <c r="AH1329" t="n">
        <v>11</v>
      </c>
      <c r="AI1329" t="n">
        <v>15</v>
      </c>
      <c r="AJ1329" t="n">
        <v>6</v>
      </c>
      <c r="AK1329" t="n">
        <v>8</v>
      </c>
      <c r="AL1329" t="n">
        <v>12</v>
      </c>
      <c r="AM1329" t="n">
        <v>17</v>
      </c>
      <c r="AN1329" t="n">
        <v>2</v>
      </c>
      <c r="AO1329" t="n">
        <v>2</v>
      </c>
      <c r="AP1329" t="n">
        <v>0</v>
      </c>
      <c r="AQ1329" t="n">
        <v>0</v>
      </c>
      <c r="AR1329" t="inlineStr">
        <is>
          <t>No</t>
        </is>
      </c>
      <c r="AS1329" t="inlineStr">
        <is>
          <t>Yes</t>
        </is>
      </c>
      <c r="AT1329">
        <f>HYPERLINK("http://catalog.hathitrust.org/Record/000463565","HathiTrust Record")</f>
        <v/>
      </c>
      <c r="AU1329">
        <f>HYPERLINK("https://creighton-primo.hosted.exlibrisgroup.com/primo-explore/search?tab=default_tab&amp;search_scope=EVERYTHING&amp;vid=01CRU&amp;lang=en_US&amp;offset=0&amp;query=any,contains,991000385029702656","Catalog Record")</f>
        <v/>
      </c>
      <c r="AV1329">
        <f>HYPERLINK("http://www.worldcat.org/oclc/10507544","WorldCat Record")</f>
        <v/>
      </c>
      <c r="AW1329" t="inlineStr">
        <is>
          <t>141239094:eng</t>
        </is>
      </c>
      <c r="AX1329" t="inlineStr">
        <is>
          <t>10507544</t>
        </is>
      </c>
      <c r="AY1329" t="inlineStr">
        <is>
          <t>991000385029702656</t>
        </is>
      </c>
      <c r="AZ1329" t="inlineStr">
        <is>
          <t>991000385029702656</t>
        </is>
      </c>
      <c r="BA1329" t="inlineStr">
        <is>
          <t>2256991280002656</t>
        </is>
      </c>
      <c r="BB1329" t="inlineStr">
        <is>
          <t>BOOK</t>
        </is>
      </c>
      <c r="BD1329" t="inlineStr">
        <is>
          <t>9780389204732</t>
        </is>
      </c>
      <c r="BE1329" t="inlineStr">
        <is>
          <t>32285000615418</t>
        </is>
      </c>
      <c r="BF1329" t="inlineStr">
        <is>
          <t>893444288</t>
        </is>
      </c>
    </row>
    <row r="1330">
      <c r="A1330" t="inlineStr">
        <is>
          <t>No</t>
        </is>
      </c>
      <c r="B1330" t="inlineStr">
        <is>
          <t>CURAL</t>
        </is>
      </c>
      <c r="C1330" t="inlineStr">
        <is>
          <t>SHELVES</t>
        </is>
      </c>
      <c r="D1330" t="inlineStr">
        <is>
          <t>PR3714.T73 L5 1992</t>
        </is>
      </c>
      <c r="E1330" t="inlineStr">
        <is>
          <t>0                      PR 3714000T  73                 L  5           1992</t>
        </is>
      </c>
      <c r="F1330" t="inlineStr">
        <is>
          <t>The Life and opinions of Tristram Shandy, gentleman, Laurence Sterne / edited by Melvyn New.</t>
        </is>
      </c>
      <c r="H1330" t="inlineStr">
        <is>
          <t>No</t>
        </is>
      </c>
      <c r="I1330" t="inlineStr">
        <is>
          <t>1</t>
        </is>
      </c>
      <c r="J1330" t="inlineStr">
        <is>
          <t>No</t>
        </is>
      </c>
      <c r="K1330" t="inlineStr">
        <is>
          <t>No</t>
        </is>
      </c>
      <c r="L1330" t="inlineStr">
        <is>
          <t>0</t>
        </is>
      </c>
      <c r="N1330" t="inlineStr">
        <is>
          <t>New York : St. Martin's Press, 1992.</t>
        </is>
      </c>
      <c r="O1330" t="inlineStr">
        <is>
          <t>1992</t>
        </is>
      </c>
      <c r="Q1330" t="inlineStr">
        <is>
          <t>eng</t>
        </is>
      </c>
      <c r="R1330" t="inlineStr">
        <is>
          <t>nyu</t>
        </is>
      </c>
      <c r="S1330" t="inlineStr">
        <is>
          <t>New casebooks</t>
        </is>
      </c>
      <c r="T1330" t="inlineStr">
        <is>
          <t xml:space="preserve">PR </t>
        </is>
      </c>
      <c r="U1330" t="n">
        <v>5</v>
      </c>
      <c r="V1330" t="n">
        <v>5</v>
      </c>
      <c r="W1330" t="inlineStr">
        <is>
          <t>2000-11-28</t>
        </is>
      </c>
      <c r="X1330" t="inlineStr">
        <is>
          <t>2000-11-28</t>
        </is>
      </c>
      <c r="Y1330" t="inlineStr">
        <is>
          <t>1993-11-22</t>
        </is>
      </c>
      <c r="Z1330" t="inlineStr">
        <is>
          <t>1993-11-22</t>
        </is>
      </c>
      <c r="AA1330" t="n">
        <v>149</v>
      </c>
      <c r="AB1330" t="n">
        <v>124</v>
      </c>
      <c r="AC1330" t="n">
        <v>142</v>
      </c>
      <c r="AD1330" t="n">
        <v>2</v>
      </c>
      <c r="AE1330" t="n">
        <v>2</v>
      </c>
      <c r="AF1330" t="n">
        <v>10</v>
      </c>
      <c r="AG1330" t="n">
        <v>10</v>
      </c>
      <c r="AH1330" t="n">
        <v>4</v>
      </c>
      <c r="AI1330" t="n">
        <v>4</v>
      </c>
      <c r="AJ1330" t="n">
        <v>1</v>
      </c>
      <c r="AK1330" t="n">
        <v>1</v>
      </c>
      <c r="AL1330" t="n">
        <v>7</v>
      </c>
      <c r="AM1330" t="n">
        <v>7</v>
      </c>
      <c r="AN1330" t="n">
        <v>1</v>
      </c>
      <c r="AO1330" t="n">
        <v>1</v>
      </c>
      <c r="AP1330" t="n">
        <v>0</v>
      </c>
      <c r="AQ1330" t="n">
        <v>0</v>
      </c>
      <c r="AR1330" t="inlineStr">
        <is>
          <t>No</t>
        </is>
      </c>
      <c r="AS1330" t="inlineStr">
        <is>
          <t>No</t>
        </is>
      </c>
      <c r="AU1330">
        <f>HYPERLINK("https://creighton-primo.hosted.exlibrisgroup.com/primo-explore/search?tab=default_tab&amp;search_scope=EVERYTHING&amp;vid=01CRU&amp;lang=en_US&amp;offset=0&amp;query=any,contains,991001949449702656","Catalog Record")</f>
        <v/>
      </c>
      <c r="AV1330">
        <f>HYPERLINK("http://www.worldcat.org/oclc/24630690","WorldCat Record")</f>
        <v/>
      </c>
      <c r="AW1330" t="inlineStr">
        <is>
          <t>9093598634:eng</t>
        </is>
      </c>
      <c r="AX1330" t="inlineStr">
        <is>
          <t>24630690</t>
        </is>
      </c>
      <c r="AY1330" t="inlineStr">
        <is>
          <t>991001949449702656</t>
        </is>
      </c>
      <c r="AZ1330" t="inlineStr">
        <is>
          <t>991001949449702656</t>
        </is>
      </c>
      <c r="BA1330" t="inlineStr">
        <is>
          <t>2266964350002656</t>
        </is>
      </c>
      <c r="BB1330" t="inlineStr">
        <is>
          <t>BOOK</t>
        </is>
      </c>
      <c r="BD1330" t="inlineStr">
        <is>
          <t>9780312075668</t>
        </is>
      </c>
      <c r="BE1330" t="inlineStr">
        <is>
          <t>32285001811800</t>
        </is>
      </c>
      <c r="BF1330" t="inlineStr">
        <is>
          <t>893523009</t>
        </is>
      </c>
    </row>
    <row r="1331">
      <c r="A1331" t="inlineStr">
        <is>
          <t>No</t>
        </is>
      </c>
      <c r="B1331" t="inlineStr">
        <is>
          <t>CURAL</t>
        </is>
      </c>
      <c r="C1331" t="inlineStr">
        <is>
          <t>SHELVES</t>
        </is>
      </c>
      <c r="D1331" t="inlineStr">
        <is>
          <t>PR3714.T73 N4</t>
        </is>
      </c>
      <c r="E1331" t="inlineStr">
        <is>
          <t>0                      PR 3714000T  73                 N  4</t>
        </is>
      </c>
      <c r="F1331" t="inlineStr">
        <is>
          <t>Laurence Sterne as satirist; a reading of "Tristram Shandy."</t>
        </is>
      </c>
      <c r="H1331" t="inlineStr">
        <is>
          <t>No</t>
        </is>
      </c>
      <c r="I1331" t="inlineStr">
        <is>
          <t>1</t>
        </is>
      </c>
      <c r="J1331" t="inlineStr">
        <is>
          <t>No</t>
        </is>
      </c>
      <c r="K1331" t="inlineStr">
        <is>
          <t>No</t>
        </is>
      </c>
      <c r="L1331" t="inlineStr">
        <is>
          <t>0</t>
        </is>
      </c>
      <c r="M1331" t="inlineStr">
        <is>
          <t>New, Melvyn.</t>
        </is>
      </c>
      <c r="N1331" t="inlineStr">
        <is>
          <t>Gainesville, University of Florida Press, 1969.</t>
        </is>
      </c>
      <c r="O1331" t="inlineStr">
        <is>
          <t>1969</t>
        </is>
      </c>
      <c r="Q1331" t="inlineStr">
        <is>
          <t>eng</t>
        </is>
      </c>
      <c r="R1331" t="inlineStr">
        <is>
          <t>flu</t>
        </is>
      </c>
      <c r="T1331" t="inlineStr">
        <is>
          <t xml:space="preserve">PR </t>
        </is>
      </c>
      <c r="U1331" t="n">
        <v>3</v>
      </c>
      <c r="V1331" t="n">
        <v>3</v>
      </c>
      <c r="W1331" t="inlineStr">
        <is>
          <t>2003-10-03</t>
        </is>
      </c>
      <c r="X1331" t="inlineStr">
        <is>
          <t>2003-10-03</t>
        </is>
      </c>
      <c r="Y1331" t="inlineStr">
        <is>
          <t>1997-07-24</t>
        </is>
      </c>
      <c r="Z1331" t="inlineStr">
        <is>
          <t>1997-07-24</t>
        </is>
      </c>
      <c r="AA1331" t="n">
        <v>811</v>
      </c>
      <c r="AB1331" t="n">
        <v>685</v>
      </c>
      <c r="AC1331" t="n">
        <v>690</v>
      </c>
      <c r="AD1331" t="n">
        <v>5</v>
      </c>
      <c r="AE1331" t="n">
        <v>5</v>
      </c>
      <c r="AF1331" t="n">
        <v>32</v>
      </c>
      <c r="AG1331" t="n">
        <v>32</v>
      </c>
      <c r="AH1331" t="n">
        <v>11</v>
      </c>
      <c r="AI1331" t="n">
        <v>11</v>
      </c>
      <c r="AJ1331" t="n">
        <v>7</v>
      </c>
      <c r="AK1331" t="n">
        <v>7</v>
      </c>
      <c r="AL1331" t="n">
        <v>17</v>
      </c>
      <c r="AM1331" t="n">
        <v>17</v>
      </c>
      <c r="AN1331" t="n">
        <v>4</v>
      </c>
      <c r="AO1331" t="n">
        <v>4</v>
      </c>
      <c r="AP1331" t="n">
        <v>0</v>
      </c>
      <c r="AQ1331" t="n">
        <v>0</v>
      </c>
      <c r="AR1331" t="inlineStr">
        <is>
          <t>No</t>
        </is>
      </c>
      <c r="AS1331" t="inlineStr">
        <is>
          <t>No</t>
        </is>
      </c>
      <c r="AU1331">
        <f>HYPERLINK("https://creighton-primo.hosted.exlibrisgroup.com/primo-explore/search?tab=default_tab&amp;search_scope=EVERYTHING&amp;vid=01CRU&amp;lang=en_US&amp;offset=0&amp;query=any,contains,991000143809702656","Catalog Record")</f>
        <v/>
      </c>
      <c r="AV1331">
        <f>HYPERLINK("http://www.worldcat.org/oclc/58460","WorldCat Record")</f>
        <v/>
      </c>
      <c r="AW1331" t="inlineStr">
        <is>
          <t>229531388:eng</t>
        </is>
      </c>
      <c r="AX1331" t="inlineStr">
        <is>
          <t>58460</t>
        </is>
      </c>
      <c r="AY1331" t="inlineStr">
        <is>
          <t>991000143809702656</t>
        </is>
      </c>
      <c r="AZ1331" t="inlineStr">
        <is>
          <t>991000143809702656</t>
        </is>
      </c>
      <c r="BA1331" t="inlineStr">
        <is>
          <t>2260139600002656</t>
        </is>
      </c>
      <c r="BB1331" t="inlineStr">
        <is>
          <t>BOOK</t>
        </is>
      </c>
      <c r="BD1331" t="inlineStr">
        <is>
          <t>9780813002781</t>
        </is>
      </c>
      <c r="BE1331" t="inlineStr">
        <is>
          <t>32285002961463</t>
        </is>
      </c>
      <c r="BF1331" t="inlineStr">
        <is>
          <t>893771430</t>
        </is>
      </c>
    </row>
    <row r="1332">
      <c r="A1332" t="inlineStr">
        <is>
          <t>No</t>
        </is>
      </c>
      <c r="B1332" t="inlineStr">
        <is>
          <t>CURAL</t>
        </is>
      </c>
      <c r="C1332" t="inlineStr">
        <is>
          <t>SHELVES</t>
        </is>
      </c>
      <c r="D1332" t="inlineStr">
        <is>
          <t>PR3716 .A35</t>
        </is>
      </c>
      <c r="E1332" t="inlineStr">
        <is>
          <t>0                      PR 3716000A  35</t>
        </is>
      </c>
      <c r="F1332" t="inlineStr">
        <is>
          <t>Letters of Laurence Sterne; edited by Lewis Perry Curtis.</t>
        </is>
      </c>
      <c r="H1332" t="inlineStr">
        <is>
          <t>No</t>
        </is>
      </c>
      <c r="I1332" t="inlineStr">
        <is>
          <t>1</t>
        </is>
      </c>
      <c r="J1332" t="inlineStr">
        <is>
          <t>No</t>
        </is>
      </c>
      <c r="K1332" t="inlineStr">
        <is>
          <t>No</t>
        </is>
      </c>
      <c r="L1332" t="inlineStr">
        <is>
          <t>0</t>
        </is>
      </c>
      <c r="M1332" t="inlineStr">
        <is>
          <t>Sterne, Laurence, 1713-1768.</t>
        </is>
      </c>
      <c r="N1332" t="inlineStr">
        <is>
          <t>Oxford, The Clarendon press, 1935.</t>
        </is>
      </c>
      <c r="O1332" t="inlineStr">
        <is>
          <t>1935</t>
        </is>
      </c>
      <c r="Q1332" t="inlineStr">
        <is>
          <t>eng</t>
        </is>
      </c>
      <c r="R1332" t="inlineStr">
        <is>
          <t>enk</t>
        </is>
      </c>
      <c r="T1332" t="inlineStr">
        <is>
          <t xml:space="preserve">PR </t>
        </is>
      </c>
      <c r="U1332" t="n">
        <v>2</v>
      </c>
      <c r="V1332" t="n">
        <v>2</v>
      </c>
      <c r="W1332" t="inlineStr">
        <is>
          <t>2003-10-03</t>
        </is>
      </c>
      <c r="X1332" t="inlineStr">
        <is>
          <t>2003-10-03</t>
        </is>
      </c>
      <c r="Y1332" t="inlineStr">
        <is>
          <t>1997-07-24</t>
        </is>
      </c>
      <c r="Z1332" t="inlineStr">
        <is>
          <t>1997-07-24</t>
        </is>
      </c>
      <c r="AA1332" t="n">
        <v>347</v>
      </c>
      <c r="AB1332" t="n">
        <v>266</v>
      </c>
      <c r="AC1332" t="n">
        <v>547</v>
      </c>
      <c r="AD1332" t="n">
        <v>3</v>
      </c>
      <c r="AE1332" t="n">
        <v>5</v>
      </c>
      <c r="AF1332" t="n">
        <v>17</v>
      </c>
      <c r="AG1332" t="n">
        <v>31</v>
      </c>
      <c r="AH1332" t="n">
        <v>5</v>
      </c>
      <c r="AI1332" t="n">
        <v>10</v>
      </c>
      <c r="AJ1332" t="n">
        <v>7</v>
      </c>
      <c r="AK1332" t="n">
        <v>8</v>
      </c>
      <c r="AL1332" t="n">
        <v>9</v>
      </c>
      <c r="AM1332" t="n">
        <v>16</v>
      </c>
      <c r="AN1332" t="n">
        <v>2</v>
      </c>
      <c r="AO1332" t="n">
        <v>4</v>
      </c>
      <c r="AP1332" t="n">
        <v>0</v>
      </c>
      <c r="AQ1332" t="n">
        <v>0</v>
      </c>
      <c r="AR1332" t="inlineStr">
        <is>
          <t>No</t>
        </is>
      </c>
      <c r="AS1332" t="inlineStr">
        <is>
          <t>Yes</t>
        </is>
      </c>
      <c r="AT1332">
        <f>HYPERLINK("http://catalog.hathitrust.org/Record/001022838","HathiTrust Record")</f>
        <v/>
      </c>
      <c r="AU1332">
        <f>HYPERLINK("https://creighton-primo.hosted.exlibrisgroup.com/primo-explore/search?tab=default_tab&amp;search_scope=EVERYTHING&amp;vid=01CRU&amp;lang=en_US&amp;offset=0&amp;query=any,contains,991004908799702656","Catalog Record")</f>
        <v/>
      </c>
      <c r="AV1332">
        <f>HYPERLINK("http://www.worldcat.org/oclc/5974224","WorldCat Record")</f>
        <v/>
      </c>
      <c r="AW1332" t="inlineStr">
        <is>
          <t>2091671:eng</t>
        </is>
      </c>
      <c r="AX1332" t="inlineStr">
        <is>
          <t>5974224</t>
        </is>
      </c>
      <c r="AY1332" t="inlineStr">
        <is>
          <t>991004908799702656</t>
        </is>
      </c>
      <c r="AZ1332" t="inlineStr">
        <is>
          <t>991004908799702656</t>
        </is>
      </c>
      <c r="BA1332" t="inlineStr">
        <is>
          <t>2268389170002656</t>
        </is>
      </c>
      <c r="BB1332" t="inlineStr">
        <is>
          <t>BOOK</t>
        </is>
      </c>
      <c r="BE1332" t="inlineStr">
        <is>
          <t>32285002961489</t>
        </is>
      </c>
      <c r="BF1332" t="inlineStr">
        <is>
          <t>893619204</t>
        </is>
      </c>
    </row>
    <row r="1333">
      <c r="A1333" t="inlineStr">
        <is>
          <t>No</t>
        </is>
      </c>
      <c r="B1333" t="inlineStr">
        <is>
          <t>CURAL</t>
        </is>
      </c>
      <c r="C1333" t="inlineStr">
        <is>
          <t>SHELVES</t>
        </is>
      </c>
      <c r="D1333" t="inlineStr">
        <is>
          <t>PR3716 .C29 1975</t>
        </is>
      </c>
      <c r="E1333" t="inlineStr">
        <is>
          <t>0                      PR 3716000C  29          1975</t>
        </is>
      </c>
      <c r="F1333" t="inlineStr">
        <is>
          <t>Laurence Sterne, the early &amp; middle years / [by] Arthur H. Cash.</t>
        </is>
      </c>
      <c r="H1333" t="inlineStr">
        <is>
          <t>No</t>
        </is>
      </c>
      <c r="I1333" t="inlineStr">
        <is>
          <t>1</t>
        </is>
      </c>
      <c r="J1333" t="inlineStr">
        <is>
          <t>No</t>
        </is>
      </c>
      <c r="K1333" t="inlineStr">
        <is>
          <t>No</t>
        </is>
      </c>
      <c r="L1333" t="inlineStr">
        <is>
          <t>0</t>
        </is>
      </c>
      <c r="M1333" t="inlineStr">
        <is>
          <t>Cash, Arthur H. (Arthur Hill), 1922-2016.</t>
        </is>
      </c>
      <c r="N1333" t="inlineStr">
        <is>
          <t>London : Methuen, 1975.</t>
        </is>
      </c>
      <c r="O1333" t="inlineStr">
        <is>
          <t>1975</t>
        </is>
      </c>
      <c r="Q1333" t="inlineStr">
        <is>
          <t>eng</t>
        </is>
      </c>
      <c r="R1333" t="inlineStr">
        <is>
          <t>enk</t>
        </is>
      </c>
      <c r="T1333" t="inlineStr">
        <is>
          <t xml:space="preserve">PR </t>
        </is>
      </c>
      <c r="U1333" t="n">
        <v>1</v>
      </c>
      <c r="V1333" t="n">
        <v>1</v>
      </c>
      <c r="W1333" t="inlineStr">
        <is>
          <t>2003-10-03</t>
        </is>
      </c>
      <c r="X1333" t="inlineStr">
        <is>
          <t>2003-10-03</t>
        </is>
      </c>
      <c r="Y1333" t="inlineStr">
        <is>
          <t>1997-07-24</t>
        </is>
      </c>
      <c r="Z1333" t="inlineStr">
        <is>
          <t>1997-07-24</t>
        </is>
      </c>
      <c r="AA1333" t="n">
        <v>792</v>
      </c>
      <c r="AB1333" t="n">
        <v>608</v>
      </c>
      <c r="AC1333" t="n">
        <v>636</v>
      </c>
      <c r="AD1333" t="n">
        <v>4</v>
      </c>
      <c r="AE1333" t="n">
        <v>5</v>
      </c>
      <c r="AF1333" t="n">
        <v>35</v>
      </c>
      <c r="AG1333" t="n">
        <v>38</v>
      </c>
      <c r="AH1333" t="n">
        <v>14</v>
      </c>
      <c r="AI1333" t="n">
        <v>15</v>
      </c>
      <c r="AJ1333" t="n">
        <v>10</v>
      </c>
      <c r="AK1333" t="n">
        <v>10</v>
      </c>
      <c r="AL1333" t="n">
        <v>19</v>
      </c>
      <c r="AM1333" t="n">
        <v>20</v>
      </c>
      <c r="AN1333" t="n">
        <v>3</v>
      </c>
      <c r="AO1333" t="n">
        <v>4</v>
      </c>
      <c r="AP1333" t="n">
        <v>0</v>
      </c>
      <c r="AQ1333" t="n">
        <v>0</v>
      </c>
      <c r="AR1333" t="inlineStr">
        <is>
          <t>No</t>
        </is>
      </c>
      <c r="AS1333" t="inlineStr">
        <is>
          <t>No</t>
        </is>
      </c>
      <c r="AU1333">
        <f>HYPERLINK("https://creighton-primo.hosted.exlibrisgroup.com/primo-explore/search?tab=default_tab&amp;search_scope=EVERYTHING&amp;vid=01CRU&amp;lang=en_US&amp;offset=0&amp;query=any,contains,991003959989702656","Catalog Record")</f>
        <v/>
      </c>
      <c r="AV1333">
        <f>HYPERLINK("http://www.worldcat.org/oclc/1974302","WorldCat Record")</f>
        <v/>
      </c>
      <c r="AW1333" t="inlineStr">
        <is>
          <t>290253982:eng</t>
        </is>
      </c>
      <c r="AX1333" t="inlineStr">
        <is>
          <t>1974302</t>
        </is>
      </c>
      <c r="AY1333" t="inlineStr">
        <is>
          <t>991003959989702656</t>
        </is>
      </c>
      <c r="AZ1333" t="inlineStr">
        <is>
          <t>991003959989702656</t>
        </is>
      </c>
      <c r="BA1333" t="inlineStr">
        <is>
          <t>2265573380002656</t>
        </is>
      </c>
      <c r="BB1333" t="inlineStr">
        <is>
          <t>BOOK</t>
        </is>
      </c>
      <c r="BD1333" t="inlineStr">
        <is>
          <t>9780416822106</t>
        </is>
      </c>
      <c r="BE1333" t="inlineStr">
        <is>
          <t>32285002961505</t>
        </is>
      </c>
      <c r="BF1333" t="inlineStr">
        <is>
          <t>893781690</t>
        </is>
      </c>
    </row>
    <row r="1334">
      <c r="A1334" t="inlineStr">
        <is>
          <t>No</t>
        </is>
      </c>
      <c r="B1334" t="inlineStr">
        <is>
          <t>CURAL</t>
        </is>
      </c>
      <c r="C1334" t="inlineStr">
        <is>
          <t>SHELVES</t>
        </is>
      </c>
      <c r="D1334" t="inlineStr">
        <is>
          <t>PR3716 .C295 1986</t>
        </is>
      </c>
      <c r="E1334" t="inlineStr">
        <is>
          <t>0                      PR 3716000C  295         1986</t>
        </is>
      </c>
      <c r="F1334" t="inlineStr">
        <is>
          <t>Laurence Sterne, the later years / Arthur H. Cash.</t>
        </is>
      </c>
      <c r="H1334" t="inlineStr">
        <is>
          <t>No</t>
        </is>
      </c>
      <c r="I1334" t="inlineStr">
        <is>
          <t>1</t>
        </is>
      </c>
      <c r="J1334" t="inlineStr">
        <is>
          <t>No</t>
        </is>
      </c>
      <c r="K1334" t="inlineStr">
        <is>
          <t>No</t>
        </is>
      </c>
      <c r="L1334" t="inlineStr">
        <is>
          <t>0</t>
        </is>
      </c>
      <c r="M1334" t="inlineStr">
        <is>
          <t>Cash, Arthur H. (Arthur Hill), 1922-2016.</t>
        </is>
      </c>
      <c r="N1334" t="inlineStr">
        <is>
          <t>London ; New York : Methuen, 1986.</t>
        </is>
      </c>
      <c r="O1334" t="inlineStr">
        <is>
          <t>1986</t>
        </is>
      </c>
      <c r="Q1334" t="inlineStr">
        <is>
          <t>eng</t>
        </is>
      </c>
      <c r="R1334" t="inlineStr">
        <is>
          <t>enk</t>
        </is>
      </c>
      <c r="T1334" t="inlineStr">
        <is>
          <t xml:space="preserve">PR </t>
        </is>
      </c>
      <c r="U1334" t="n">
        <v>1</v>
      </c>
      <c r="V1334" t="n">
        <v>1</v>
      </c>
      <c r="W1334" t="inlineStr">
        <is>
          <t>2003-10-03</t>
        </is>
      </c>
      <c r="X1334" t="inlineStr">
        <is>
          <t>2003-10-03</t>
        </is>
      </c>
      <c r="Y1334" t="inlineStr">
        <is>
          <t>1991-06-06</t>
        </is>
      </c>
      <c r="Z1334" t="inlineStr">
        <is>
          <t>1991-06-06</t>
        </is>
      </c>
      <c r="AA1334" t="n">
        <v>726</v>
      </c>
      <c r="AB1334" t="n">
        <v>593</v>
      </c>
      <c r="AC1334" t="n">
        <v>593</v>
      </c>
      <c r="AD1334" t="n">
        <v>3</v>
      </c>
      <c r="AE1334" t="n">
        <v>3</v>
      </c>
      <c r="AF1334" t="n">
        <v>33</v>
      </c>
      <c r="AG1334" t="n">
        <v>33</v>
      </c>
      <c r="AH1334" t="n">
        <v>16</v>
      </c>
      <c r="AI1334" t="n">
        <v>16</v>
      </c>
      <c r="AJ1334" t="n">
        <v>8</v>
      </c>
      <c r="AK1334" t="n">
        <v>8</v>
      </c>
      <c r="AL1334" t="n">
        <v>20</v>
      </c>
      <c r="AM1334" t="n">
        <v>20</v>
      </c>
      <c r="AN1334" t="n">
        <v>2</v>
      </c>
      <c r="AO1334" t="n">
        <v>2</v>
      </c>
      <c r="AP1334" t="n">
        <v>0</v>
      </c>
      <c r="AQ1334" t="n">
        <v>0</v>
      </c>
      <c r="AR1334" t="inlineStr">
        <is>
          <t>No</t>
        </is>
      </c>
      <c r="AS1334" t="inlineStr">
        <is>
          <t>No</t>
        </is>
      </c>
      <c r="AU1334">
        <f>HYPERLINK("https://creighton-primo.hosted.exlibrisgroup.com/primo-explore/search?tab=default_tab&amp;search_scope=EVERYTHING&amp;vid=01CRU&amp;lang=en_US&amp;offset=0&amp;query=any,contains,991000774489702656","Catalog Record")</f>
        <v/>
      </c>
      <c r="AV1334">
        <f>HYPERLINK("http://www.worldcat.org/oclc/13062888","WorldCat Record")</f>
        <v/>
      </c>
      <c r="AW1334" t="inlineStr">
        <is>
          <t>4820372278:eng</t>
        </is>
      </c>
      <c r="AX1334" t="inlineStr">
        <is>
          <t>13062888</t>
        </is>
      </c>
      <c r="AY1334" t="inlineStr">
        <is>
          <t>991000774489702656</t>
        </is>
      </c>
      <c r="AZ1334" t="inlineStr">
        <is>
          <t>991000774489702656</t>
        </is>
      </c>
      <c r="BA1334" t="inlineStr">
        <is>
          <t>2256918640002656</t>
        </is>
      </c>
      <c r="BB1334" t="inlineStr">
        <is>
          <t>BOOK</t>
        </is>
      </c>
      <c r="BD1334" t="inlineStr">
        <is>
          <t>9780416329308</t>
        </is>
      </c>
      <c r="BE1334" t="inlineStr">
        <is>
          <t>32285000615426</t>
        </is>
      </c>
      <c r="BF1334" t="inlineStr">
        <is>
          <t>893515594</t>
        </is>
      </c>
    </row>
    <row r="1335">
      <c r="A1335" t="inlineStr">
        <is>
          <t>No</t>
        </is>
      </c>
      <c r="B1335" t="inlineStr">
        <is>
          <t>CURAL</t>
        </is>
      </c>
      <c r="C1335" t="inlineStr">
        <is>
          <t>SHELVES</t>
        </is>
      </c>
      <c r="D1335" t="inlineStr">
        <is>
          <t>PR3716 .H69 1974</t>
        </is>
      </c>
      <c r="E1335" t="inlineStr">
        <is>
          <t>0                      PR 3716000H  69          1974</t>
        </is>
      </c>
      <c r="F1335" t="inlineStr">
        <is>
          <t>Sterne, the critical heritage / edited by Alan B. Howes.</t>
        </is>
      </c>
      <c r="H1335" t="inlineStr">
        <is>
          <t>No</t>
        </is>
      </c>
      <c r="I1335" t="inlineStr">
        <is>
          <t>1</t>
        </is>
      </c>
      <c r="J1335" t="inlineStr">
        <is>
          <t>No</t>
        </is>
      </c>
      <c r="K1335" t="inlineStr">
        <is>
          <t>No</t>
        </is>
      </c>
      <c r="L1335" t="inlineStr">
        <is>
          <t>0</t>
        </is>
      </c>
      <c r="N1335" t="inlineStr">
        <is>
          <t>London ; Boston : Routledge and K. Paul, 1974.</t>
        </is>
      </c>
      <c r="O1335" t="inlineStr">
        <is>
          <t>1974</t>
        </is>
      </c>
      <c r="Q1335" t="inlineStr">
        <is>
          <t>eng</t>
        </is>
      </c>
      <c r="R1335" t="inlineStr">
        <is>
          <t>enk</t>
        </is>
      </c>
      <c r="S1335" t="inlineStr">
        <is>
          <t>The Critical heritage series</t>
        </is>
      </c>
      <c r="T1335" t="inlineStr">
        <is>
          <t xml:space="preserve">PR </t>
        </is>
      </c>
      <c r="U1335" t="n">
        <v>2</v>
      </c>
      <c r="V1335" t="n">
        <v>2</v>
      </c>
      <c r="W1335" t="inlineStr">
        <is>
          <t>2003-10-03</t>
        </is>
      </c>
      <c r="X1335" t="inlineStr">
        <is>
          <t>2003-10-03</t>
        </is>
      </c>
      <c r="Y1335" t="inlineStr">
        <is>
          <t>1997-07-24</t>
        </is>
      </c>
      <c r="Z1335" t="inlineStr">
        <is>
          <t>1997-07-24</t>
        </is>
      </c>
      <c r="AA1335" t="n">
        <v>779</v>
      </c>
      <c r="AB1335" t="n">
        <v>532</v>
      </c>
      <c r="AC1335" t="n">
        <v>541</v>
      </c>
      <c r="AD1335" t="n">
        <v>3</v>
      </c>
      <c r="AE1335" t="n">
        <v>3</v>
      </c>
      <c r="AF1335" t="n">
        <v>30</v>
      </c>
      <c r="AG1335" t="n">
        <v>30</v>
      </c>
      <c r="AH1335" t="n">
        <v>11</v>
      </c>
      <c r="AI1335" t="n">
        <v>11</v>
      </c>
      <c r="AJ1335" t="n">
        <v>9</v>
      </c>
      <c r="AK1335" t="n">
        <v>9</v>
      </c>
      <c r="AL1335" t="n">
        <v>19</v>
      </c>
      <c r="AM1335" t="n">
        <v>19</v>
      </c>
      <c r="AN1335" t="n">
        <v>2</v>
      </c>
      <c r="AO1335" t="n">
        <v>2</v>
      </c>
      <c r="AP1335" t="n">
        <v>0</v>
      </c>
      <c r="AQ1335" t="n">
        <v>0</v>
      </c>
      <c r="AR1335" t="inlineStr">
        <is>
          <t>No</t>
        </is>
      </c>
      <c r="AS1335" t="inlineStr">
        <is>
          <t>Yes</t>
        </is>
      </c>
      <c r="AT1335">
        <f>HYPERLINK("http://catalog.hathitrust.org/Record/000025262","HathiTrust Record")</f>
        <v/>
      </c>
      <c r="AU1335">
        <f>HYPERLINK("https://creighton-primo.hosted.exlibrisgroup.com/primo-explore/search?tab=default_tab&amp;search_scope=EVERYTHING&amp;vid=01CRU&amp;lang=en_US&amp;offset=0&amp;query=any,contains,991003817219702656","Catalog Record")</f>
        <v/>
      </c>
      <c r="AV1335">
        <f>HYPERLINK("http://www.worldcat.org/oclc/1551038","WorldCat Record")</f>
        <v/>
      </c>
      <c r="AW1335" t="inlineStr">
        <is>
          <t>3768606568:eng</t>
        </is>
      </c>
      <c r="AX1335" t="inlineStr">
        <is>
          <t>1551038</t>
        </is>
      </c>
      <c r="AY1335" t="inlineStr">
        <is>
          <t>991003817219702656</t>
        </is>
      </c>
      <c r="AZ1335" t="inlineStr">
        <is>
          <t>991003817219702656</t>
        </is>
      </c>
      <c r="BA1335" t="inlineStr">
        <is>
          <t>2265696660002656</t>
        </is>
      </c>
      <c r="BB1335" t="inlineStr">
        <is>
          <t>BOOK</t>
        </is>
      </c>
      <c r="BD1335" t="inlineStr">
        <is>
          <t>9780710077882</t>
        </is>
      </c>
      <c r="BE1335" t="inlineStr">
        <is>
          <t>32285002961570</t>
        </is>
      </c>
      <c r="BF1335" t="inlineStr">
        <is>
          <t>893787806</t>
        </is>
      </c>
    </row>
    <row r="1336">
      <c r="A1336" t="inlineStr">
        <is>
          <t>No</t>
        </is>
      </c>
      <c r="B1336" t="inlineStr">
        <is>
          <t>CURAL</t>
        </is>
      </c>
      <c r="C1336" t="inlineStr">
        <is>
          <t>SHELVES</t>
        </is>
      </c>
      <c r="D1336" t="inlineStr">
        <is>
          <t>PR3716 .S5</t>
        </is>
      </c>
      <c r="E1336" t="inlineStr">
        <is>
          <t>0                      PR 3716000S  5</t>
        </is>
      </c>
      <c r="F1336" t="inlineStr">
        <is>
          <t>A facsimile reproduction of a unique catalogue of Laurence Sterne's library. With a pref. by Charles Whibley. London, J. Tregaskis; New York, E. H. Wells, 1930.</t>
        </is>
      </c>
      <c r="H1336" t="inlineStr">
        <is>
          <t>No</t>
        </is>
      </c>
      <c r="I1336" t="inlineStr">
        <is>
          <t>1</t>
        </is>
      </c>
      <c r="J1336" t="inlineStr">
        <is>
          <t>No</t>
        </is>
      </c>
      <c r="K1336" t="inlineStr">
        <is>
          <t>No</t>
        </is>
      </c>
      <c r="L1336" t="inlineStr">
        <is>
          <t>0</t>
        </is>
      </c>
      <c r="M1336" t="inlineStr">
        <is>
          <t>Sterne, Laurence, 1713-1768.</t>
        </is>
      </c>
      <c r="N1336" t="inlineStr">
        <is>
          <t>[New York, AMS Press, 1973]</t>
        </is>
      </c>
      <c r="O1336" t="inlineStr">
        <is>
          <t>1973</t>
        </is>
      </c>
      <c r="Q1336" t="inlineStr">
        <is>
          <t>eng</t>
        </is>
      </c>
      <c r="R1336" t="inlineStr">
        <is>
          <t>nyu</t>
        </is>
      </c>
      <c r="T1336" t="inlineStr">
        <is>
          <t xml:space="preserve">PR </t>
        </is>
      </c>
      <c r="U1336" t="n">
        <v>1</v>
      </c>
      <c r="V1336" t="n">
        <v>1</v>
      </c>
      <c r="W1336" t="inlineStr">
        <is>
          <t>2003-10-03</t>
        </is>
      </c>
      <c r="X1336" t="inlineStr">
        <is>
          <t>2003-10-03</t>
        </is>
      </c>
      <c r="Y1336" t="inlineStr">
        <is>
          <t>1997-07-24</t>
        </is>
      </c>
      <c r="Z1336" t="inlineStr">
        <is>
          <t>1997-07-24</t>
        </is>
      </c>
      <c r="AA1336" t="n">
        <v>45</v>
      </c>
      <c r="AB1336" t="n">
        <v>37</v>
      </c>
      <c r="AC1336" t="n">
        <v>37</v>
      </c>
      <c r="AD1336" t="n">
        <v>1</v>
      </c>
      <c r="AE1336" t="n">
        <v>1</v>
      </c>
      <c r="AF1336" t="n">
        <v>1</v>
      </c>
      <c r="AG1336" t="n">
        <v>1</v>
      </c>
      <c r="AH1336" t="n">
        <v>0</v>
      </c>
      <c r="AI1336" t="n">
        <v>0</v>
      </c>
      <c r="AJ1336" t="n">
        <v>1</v>
      </c>
      <c r="AK1336" t="n">
        <v>1</v>
      </c>
      <c r="AL1336" t="n">
        <v>1</v>
      </c>
      <c r="AM1336" t="n">
        <v>1</v>
      </c>
      <c r="AN1336" t="n">
        <v>0</v>
      </c>
      <c r="AO1336" t="n">
        <v>0</v>
      </c>
      <c r="AP1336" t="n">
        <v>0</v>
      </c>
      <c r="AQ1336" t="n">
        <v>0</v>
      </c>
      <c r="AR1336" t="inlineStr">
        <is>
          <t>No</t>
        </is>
      </c>
      <c r="AS1336" t="inlineStr">
        <is>
          <t>No</t>
        </is>
      </c>
      <c r="AU1336">
        <f>HYPERLINK("https://creighton-primo.hosted.exlibrisgroup.com/primo-explore/search?tab=default_tab&amp;search_scope=EVERYTHING&amp;vid=01CRU&amp;lang=en_US&amp;offset=0&amp;query=any,contains,991003136729702656","Catalog Record")</f>
        <v/>
      </c>
      <c r="AV1336">
        <f>HYPERLINK("http://www.worldcat.org/oclc/678497","WorldCat Record")</f>
        <v/>
      </c>
      <c r="AW1336" t="inlineStr">
        <is>
          <t>5576864402:eng</t>
        </is>
      </c>
      <c r="AX1336" t="inlineStr">
        <is>
          <t>678497</t>
        </is>
      </c>
      <c r="AY1336" t="inlineStr">
        <is>
          <t>991003136729702656</t>
        </is>
      </c>
      <c r="AZ1336" t="inlineStr">
        <is>
          <t>991003136729702656</t>
        </is>
      </c>
      <c r="BA1336" t="inlineStr">
        <is>
          <t>2271235120002656</t>
        </is>
      </c>
      <c r="BB1336" t="inlineStr">
        <is>
          <t>BOOK</t>
        </is>
      </c>
      <c r="BE1336" t="inlineStr">
        <is>
          <t>32285002961596</t>
        </is>
      </c>
      <c r="BF1336" t="inlineStr">
        <is>
          <t>893330005</t>
        </is>
      </c>
    </row>
    <row r="1337">
      <c r="A1337" t="inlineStr">
        <is>
          <t>No</t>
        </is>
      </c>
      <c r="B1337" t="inlineStr">
        <is>
          <t>CURAL</t>
        </is>
      </c>
      <c r="C1337" t="inlineStr">
        <is>
          <t>SHELVES</t>
        </is>
      </c>
      <c r="D1337" t="inlineStr">
        <is>
          <t>PR3724.G8 B7</t>
        </is>
      </c>
      <c r="E1337" t="inlineStr">
        <is>
          <t>0                      PR 3724000G  8                  B  7</t>
        </is>
      </c>
      <c r="F1337" t="inlineStr">
        <is>
          <t>Twentieth century interpretations of Gulliver's travels : a collection of critical essays.</t>
        </is>
      </c>
      <c r="H1337" t="inlineStr">
        <is>
          <t>No</t>
        </is>
      </c>
      <c r="I1337" t="inlineStr">
        <is>
          <t>1</t>
        </is>
      </c>
      <c r="J1337" t="inlineStr">
        <is>
          <t>No</t>
        </is>
      </c>
      <c r="K1337" t="inlineStr">
        <is>
          <t>No</t>
        </is>
      </c>
      <c r="L1337" t="inlineStr">
        <is>
          <t>0</t>
        </is>
      </c>
      <c r="M1337" t="inlineStr">
        <is>
          <t>Brady, Frank compiler.</t>
        </is>
      </c>
      <c r="N1337" t="inlineStr">
        <is>
          <t>Englewood Cliffs, N.J. : Prentice-Hall, [1968]</t>
        </is>
      </c>
      <c r="O1337" t="inlineStr">
        <is>
          <t>1968</t>
        </is>
      </c>
      <c r="Q1337" t="inlineStr">
        <is>
          <t>eng</t>
        </is>
      </c>
      <c r="R1337" t="inlineStr">
        <is>
          <t>nju</t>
        </is>
      </c>
      <c r="S1337" t="inlineStr">
        <is>
          <t>A Spectrum book.</t>
        </is>
      </c>
      <c r="T1337" t="inlineStr">
        <is>
          <t xml:space="preserve">PR </t>
        </is>
      </c>
      <c r="U1337" t="n">
        <v>27</v>
      </c>
      <c r="V1337" t="n">
        <v>27</v>
      </c>
      <c r="W1337" t="inlineStr">
        <is>
          <t>2007-11-12</t>
        </is>
      </c>
      <c r="X1337" t="inlineStr">
        <is>
          <t>2007-11-12</t>
        </is>
      </c>
      <c r="Y1337" t="inlineStr">
        <is>
          <t>1990-05-30</t>
        </is>
      </c>
      <c r="Z1337" t="inlineStr">
        <is>
          <t>1990-05-30</t>
        </is>
      </c>
      <c r="AA1337" t="n">
        <v>1686</v>
      </c>
      <c r="AB1337" t="n">
        <v>1498</v>
      </c>
      <c r="AC1337" t="n">
        <v>1506</v>
      </c>
      <c r="AD1337" t="n">
        <v>15</v>
      </c>
      <c r="AE1337" t="n">
        <v>15</v>
      </c>
      <c r="AF1337" t="n">
        <v>48</v>
      </c>
      <c r="AG1337" t="n">
        <v>48</v>
      </c>
      <c r="AH1337" t="n">
        <v>15</v>
      </c>
      <c r="AI1337" t="n">
        <v>15</v>
      </c>
      <c r="AJ1337" t="n">
        <v>6</v>
      </c>
      <c r="AK1337" t="n">
        <v>6</v>
      </c>
      <c r="AL1337" t="n">
        <v>19</v>
      </c>
      <c r="AM1337" t="n">
        <v>19</v>
      </c>
      <c r="AN1337" t="n">
        <v>14</v>
      </c>
      <c r="AO1337" t="n">
        <v>14</v>
      </c>
      <c r="AP1337" t="n">
        <v>0</v>
      </c>
      <c r="AQ1337" t="n">
        <v>0</v>
      </c>
      <c r="AR1337" t="inlineStr">
        <is>
          <t>No</t>
        </is>
      </c>
      <c r="AS1337" t="inlineStr">
        <is>
          <t>No</t>
        </is>
      </c>
      <c r="AU1337">
        <f>HYPERLINK("https://creighton-primo.hosted.exlibrisgroup.com/primo-explore/search?tab=default_tab&amp;search_scope=EVERYTHING&amp;vid=01CRU&amp;lang=en_US&amp;offset=0&amp;query=any,contains,991001016239702656","Catalog Record")</f>
        <v/>
      </c>
      <c r="AV1337">
        <f>HYPERLINK("http://www.worldcat.org/oclc/173524","WorldCat Record")</f>
        <v/>
      </c>
      <c r="AW1337" t="inlineStr">
        <is>
          <t>365374787:eng</t>
        </is>
      </c>
      <c r="AX1337" t="inlineStr">
        <is>
          <t>173524</t>
        </is>
      </c>
      <c r="AY1337" t="inlineStr">
        <is>
          <t>991001016239702656</t>
        </is>
      </c>
      <c r="AZ1337" t="inlineStr">
        <is>
          <t>991001016239702656</t>
        </is>
      </c>
      <c r="BA1337" t="inlineStr">
        <is>
          <t>2268480650002656</t>
        </is>
      </c>
      <c r="BB1337" t="inlineStr">
        <is>
          <t>BOOK</t>
        </is>
      </c>
      <c r="BE1337" t="inlineStr">
        <is>
          <t>32285000159623</t>
        </is>
      </c>
      <c r="BF1337" t="inlineStr">
        <is>
          <t>893249897</t>
        </is>
      </c>
    </row>
    <row r="1338">
      <c r="A1338" t="inlineStr">
        <is>
          <t>No</t>
        </is>
      </c>
      <c r="B1338" t="inlineStr">
        <is>
          <t>CURAL</t>
        </is>
      </c>
      <c r="C1338" t="inlineStr">
        <is>
          <t>SHELVES</t>
        </is>
      </c>
      <c r="D1338" t="inlineStr">
        <is>
          <t>PR3724.G8 C28</t>
        </is>
      </c>
      <c r="E1338" t="inlineStr">
        <is>
          <t>0                      PR 3724000G  8                  C  28</t>
        </is>
      </c>
      <c r="F1338" t="inlineStr">
        <is>
          <t>Lemuel Gulliver's mirror for man / [by] W. B. Carnochan.</t>
        </is>
      </c>
      <c r="H1338" t="inlineStr">
        <is>
          <t>No</t>
        </is>
      </c>
      <c r="I1338" t="inlineStr">
        <is>
          <t>1</t>
        </is>
      </c>
      <c r="J1338" t="inlineStr">
        <is>
          <t>No</t>
        </is>
      </c>
      <c r="K1338" t="inlineStr">
        <is>
          <t>No</t>
        </is>
      </c>
      <c r="L1338" t="inlineStr">
        <is>
          <t>0</t>
        </is>
      </c>
      <c r="M1338" t="inlineStr">
        <is>
          <t>Carnochan, W. B.</t>
        </is>
      </c>
      <c r="N1338" t="inlineStr">
        <is>
          <t>Berkeley : University of California Press, 1968.</t>
        </is>
      </c>
      <c r="O1338" t="inlineStr">
        <is>
          <t>1968</t>
        </is>
      </c>
      <c r="Q1338" t="inlineStr">
        <is>
          <t>eng</t>
        </is>
      </c>
      <c r="R1338" t="inlineStr">
        <is>
          <t>cau</t>
        </is>
      </c>
      <c r="T1338" t="inlineStr">
        <is>
          <t xml:space="preserve">PR </t>
        </is>
      </c>
      <c r="U1338" t="n">
        <v>8</v>
      </c>
      <c r="V1338" t="n">
        <v>8</v>
      </c>
      <c r="W1338" t="inlineStr">
        <is>
          <t>2006-11-06</t>
        </is>
      </c>
      <c r="X1338" t="inlineStr">
        <is>
          <t>2006-11-06</t>
        </is>
      </c>
      <c r="Y1338" t="inlineStr">
        <is>
          <t>1990-10-22</t>
        </is>
      </c>
      <c r="Z1338" t="inlineStr">
        <is>
          <t>1990-10-22</t>
        </is>
      </c>
      <c r="AA1338" t="n">
        <v>815</v>
      </c>
      <c r="AB1338" t="n">
        <v>705</v>
      </c>
      <c r="AC1338" t="n">
        <v>712</v>
      </c>
      <c r="AD1338" t="n">
        <v>10</v>
      </c>
      <c r="AE1338" t="n">
        <v>10</v>
      </c>
      <c r="AF1338" t="n">
        <v>41</v>
      </c>
      <c r="AG1338" t="n">
        <v>41</v>
      </c>
      <c r="AH1338" t="n">
        <v>15</v>
      </c>
      <c r="AI1338" t="n">
        <v>15</v>
      </c>
      <c r="AJ1338" t="n">
        <v>7</v>
      </c>
      <c r="AK1338" t="n">
        <v>7</v>
      </c>
      <c r="AL1338" t="n">
        <v>18</v>
      </c>
      <c r="AM1338" t="n">
        <v>18</v>
      </c>
      <c r="AN1338" t="n">
        <v>9</v>
      </c>
      <c r="AO1338" t="n">
        <v>9</v>
      </c>
      <c r="AP1338" t="n">
        <v>0</v>
      </c>
      <c r="AQ1338" t="n">
        <v>0</v>
      </c>
      <c r="AR1338" t="inlineStr">
        <is>
          <t>No</t>
        </is>
      </c>
      <c r="AS1338" t="inlineStr">
        <is>
          <t>Yes</t>
        </is>
      </c>
      <c r="AT1338">
        <f>HYPERLINK("http://catalog.hathitrust.org/Record/001186731","HathiTrust Record")</f>
        <v/>
      </c>
      <c r="AU1338">
        <f>HYPERLINK("https://creighton-primo.hosted.exlibrisgroup.com/primo-explore/search?tab=default_tab&amp;search_scope=EVERYTHING&amp;vid=01CRU&amp;lang=en_US&amp;offset=0&amp;query=any,contains,991002467999702656","Catalog Record")</f>
        <v/>
      </c>
      <c r="AV1338">
        <f>HYPERLINK("http://www.worldcat.org/oclc/358074","WorldCat Record")</f>
        <v/>
      </c>
      <c r="AW1338" t="inlineStr">
        <is>
          <t>1405664:eng</t>
        </is>
      </c>
      <c r="AX1338" t="inlineStr">
        <is>
          <t>358074</t>
        </is>
      </c>
      <c r="AY1338" t="inlineStr">
        <is>
          <t>991002467999702656</t>
        </is>
      </c>
      <c r="AZ1338" t="inlineStr">
        <is>
          <t>991002467999702656</t>
        </is>
      </c>
      <c r="BA1338" t="inlineStr">
        <is>
          <t>2265878340002656</t>
        </is>
      </c>
      <c r="BB1338" t="inlineStr">
        <is>
          <t>BOOK</t>
        </is>
      </c>
      <c r="BE1338" t="inlineStr">
        <is>
          <t>32285000351410</t>
        </is>
      </c>
      <c r="BF1338" t="inlineStr">
        <is>
          <t>893257324</t>
        </is>
      </c>
    </row>
    <row r="1339">
      <c r="A1339" t="inlineStr">
        <is>
          <t>No</t>
        </is>
      </c>
      <c r="B1339" t="inlineStr">
        <is>
          <t>CURAL</t>
        </is>
      </c>
      <c r="C1339" t="inlineStr">
        <is>
          <t>SHELVES</t>
        </is>
      </c>
      <c r="D1339" t="inlineStr">
        <is>
          <t>PR3724.G8 C3 1958</t>
        </is>
      </c>
      <c r="E1339" t="inlineStr">
        <is>
          <t>0                      PR 3724000G  8                  C  3           1958</t>
        </is>
      </c>
      <c r="F1339" t="inlineStr">
        <is>
          <t>Four essays on Gulliver's Travels / by Arthur E. Case.</t>
        </is>
      </c>
      <c r="H1339" t="inlineStr">
        <is>
          <t>No</t>
        </is>
      </c>
      <c r="I1339" t="inlineStr">
        <is>
          <t>1</t>
        </is>
      </c>
      <c r="J1339" t="inlineStr">
        <is>
          <t>No</t>
        </is>
      </c>
      <c r="K1339" t="inlineStr">
        <is>
          <t>No</t>
        </is>
      </c>
      <c r="L1339" t="inlineStr">
        <is>
          <t>0</t>
        </is>
      </c>
      <c r="M1339" t="inlineStr">
        <is>
          <t>Case, Arthur Ellicott, 1894-1946.</t>
        </is>
      </c>
      <c r="N1339" t="inlineStr">
        <is>
          <t>Gloucester, Massachusetts : Peter Smith, 1958, c1945.</t>
        </is>
      </c>
      <c r="O1339" t="inlineStr">
        <is>
          <t>1958</t>
        </is>
      </c>
      <c r="Q1339" t="inlineStr">
        <is>
          <t>eng</t>
        </is>
      </c>
      <c r="R1339" t="inlineStr">
        <is>
          <t>mau</t>
        </is>
      </c>
      <c r="T1339" t="inlineStr">
        <is>
          <t xml:space="preserve">PR </t>
        </is>
      </c>
      <c r="U1339" t="n">
        <v>25</v>
      </c>
      <c r="V1339" t="n">
        <v>25</v>
      </c>
      <c r="W1339" t="inlineStr">
        <is>
          <t>2007-04-23</t>
        </is>
      </c>
      <c r="X1339" t="inlineStr">
        <is>
          <t>2007-04-23</t>
        </is>
      </c>
      <c r="Y1339" t="inlineStr">
        <is>
          <t>1991-06-06</t>
        </is>
      </c>
      <c r="Z1339" t="inlineStr">
        <is>
          <t>1991-06-06</t>
        </is>
      </c>
      <c r="AA1339" t="n">
        <v>705</v>
      </c>
      <c r="AB1339" t="n">
        <v>601</v>
      </c>
      <c r="AC1339" t="n">
        <v>889</v>
      </c>
      <c r="AD1339" t="n">
        <v>7</v>
      </c>
      <c r="AE1339" t="n">
        <v>8</v>
      </c>
      <c r="AF1339" t="n">
        <v>32</v>
      </c>
      <c r="AG1339" t="n">
        <v>43</v>
      </c>
      <c r="AH1339" t="n">
        <v>12</v>
      </c>
      <c r="AI1339" t="n">
        <v>19</v>
      </c>
      <c r="AJ1339" t="n">
        <v>6</v>
      </c>
      <c r="AK1339" t="n">
        <v>7</v>
      </c>
      <c r="AL1339" t="n">
        <v>12</v>
      </c>
      <c r="AM1339" t="n">
        <v>19</v>
      </c>
      <c r="AN1339" t="n">
        <v>5</v>
      </c>
      <c r="AO1339" t="n">
        <v>6</v>
      </c>
      <c r="AP1339" t="n">
        <v>0</v>
      </c>
      <c r="AQ1339" t="n">
        <v>0</v>
      </c>
      <c r="AR1339" t="inlineStr">
        <is>
          <t>Yes</t>
        </is>
      </c>
      <c r="AS1339" t="inlineStr">
        <is>
          <t>Yes</t>
        </is>
      </c>
      <c r="AT1339">
        <f>HYPERLINK("http://catalog.hathitrust.org/Record/001775239","HathiTrust Record")</f>
        <v/>
      </c>
      <c r="AU1339">
        <f>HYPERLINK("https://creighton-primo.hosted.exlibrisgroup.com/primo-explore/search?tab=default_tab&amp;search_scope=EVERYTHING&amp;vid=01CRU&amp;lang=en_US&amp;offset=0&amp;query=any,contains,991002149829702656","Catalog Record")</f>
        <v/>
      </c>
      <c r="AV1339">
        <f>HYPERLINK("http://www.worldcat.org/oclc/16673661","WorldCat Record")</f>
        <v/>
      </c>
      <c r="AW1339" t="inlineStr">
        <is>
          <t>5746295:eng</t>
        </is>
      </c>
      <c r="AX1339" t="inlineStr">
        <is>
          <t>16673661</t>
        </is>
      </c>
      <c r="AY1339" t="inlineStr">
        <is>
          <t>991002149829702656</t>
        </is>
      </c>
      <c r="AZ1339" t="inlineStr">
        <is>
          <t>991002149829702656</t>
        </is>
      </c>
      <c r="BA1339" t="inlineStr">
        <is>
          <t>2264230950002656</t>
        </is>
      </c>
      <c r="BB1339" t="inlineStr">
        <is>
          <t>BOOK</t>
        </is>
      </c>
      <c r="BE1339" t="inlineStr">
        <is>
          <t>32285000615491</t>
        </is>
      </c>
      <c r="BF1339" t="inlineStr">
        <is>
          <t>893590976</t>
        </is>
      </c>
    </row>
    <row r="1340">
      <c r="A1340" t="inlineStr">
        <is>
          <t>No</t>
        </is>
      </c>
      <c r="B1340" t="inlineStr">
        <is>
          <t>CURAL</t>
        </is>
      </c>
      <c r="C1340" t="inlineStr">
        <is>
          <t>SHELVES</t>
        </is>
      </c>
      <c r="D1340" t="inlineStr">
        <is>
          <t>PR3724.G8 E4 1963</t>
        </is>
      </c>
      <c r="E1340" t="inlineStr">
        <is>
          <t>0                      PR 3724000G  8                  E  4           1963</t>
        </is>
      </c>
      <c r="F1340" t="inlineStr">
        <is>
          <t>Gulliver's travels : a critical study.</t>
        </is>
      </c>
      <c r="H1340" t="inlineStr">
        <is>
          <t>No</t>
        </is>
      </c>
      <c r="I1340" t="inlineStr">
        <is>
          <t>1</t>
        </is>
      </c>
      <c r="J1340" t="inlineStr">
        <is>
          <t>No</t>
        </is>
      </c>
      <c r="K1340" t="inlineStr">
        <is>
          <t>No</t>
        </is>
      </c>
      <c r="L1340" t="inlineStr">
        <is>
          <t>0</t>
        </is>
      </c>
      <c r="M1340" t="inlineStr">
        <is>
          <t>Eddy, William A. (William Alfred), 1896-</t>
        </is>
      </c>
      <c r="N1340" t="inlineStr">
        <is>
          <t>New York : Russell &amp; Russell, 1963.</t>
        </is>
      </c>
      <c r="O1340" t="inlineStr">
        <is>
          <t>1963</t>
        </is>
      </c>
      <c r="Q1340" t="inlineStr">
        <is>
          <t>eng</t>
        </is>
      </c>
      <c r="R1340" t="inlineStr">
        <is>
          <t>nyu</t>
        </is>
      </c>
      <c r="T1340" t="inlineStr">
        <is>
          <t xml:space="preserve">PR </t>
        </is>
      </c>
      <c r="U1340" t="n">
        <v>15</v>
      </c>
      <c r="V1340" t="n">
        <v>15</v>
      </c>
      <c r="W1340" t="inlineStr">
        <is>
          <t>2007-04-23</t>
        </is>
      </c>
      <c r="X1340" t="inlineStr">
        <is>
          <t>2007-04-23</t>
        </is>
      </c>
      <c r="Y1340" t="inlineStr">
        <is>
          <t>1992-04-09</t>
        </is>
      </c>
      <c r="Z1340" t="inlineStr">
        <is>
          <t>1992-04-09</t>
        </is>
      </c>
      <c r="AA1340" t="n">
        <v>619</v>
      </c>
      <c r="AB1340" t="n">
        <v>543</v>
      </c>
      <c r="AC1340" t="n">
        <v>841</v>
      </c>
      <c r="AD1340" t="n">
        <v>5</v>
      </c>
      <c r="AE1340" t="n">
        <v>7</v>
      </c>
      <c r="AF1340" t="n">
        <v>25</v>
      </c>
      <c r="AG1340" t="n">
        <v>38</v>
      </c>
      <c r="AH1340" t="n">
        <v>14</v>
      </c>
      <c r="AI1340" t="n">
        <v>19</v>
      </c>
      <c r="AJ1340" t="n">
        <v>0</v>
      </c>
      <c r="AK1340" t="n">
        <v>4</v>
      </c>
      <c r="AL1340" t="n">
        <v>10</v>
      </c>
      <c r="AM1340" t="n">
        <v>17</v>
      </c>
      <c r="AN1340" t="n">
        <v>4</v>
      </c>
      <c r="AO1340" t="n">
        <v>6</v>
      </c>
      <c r="AP1340" t="n">
        <v>0</v>
      </c>
      <c r="AQ1340" t="n">
        <v>0</v>
      </c>
      <c r="AR1340" t="inlineStr">
        <is>
          <t>Yes</t>
        </is>
      </c>
      <c r="AS1340" t="inlineStr">
        <is>
          <t>No</t>
        </is>
      </c>
      <c r="AT1340">
        <f>HYPERLINK("http://catalog.hathitrust.org/Record/001186732","HathiTrust Record")</f>
        <v/>
      </c>
      <c r="AU1340">
        <f>HYPERLINK("https://creighton-primo.hosted.exlibrisgroup.com/primo-explore/search?tab=default_tab&amp;search_scope=EVERYTHING&amp;vid=01CRU&amp;lang=en_US&amp;offset=0&amp;query=any,contains,991002461459702656","Catalog Record")</f>
        <v/>
      </c>
      <c r="AV1340">
        <f>HYPERLINK("http://www.worldcat.org/oclc/356007","WorldCat Record")</f>
        <v/>
      </c>
      <c r="AW1340" t="inlineStr">
        <is>
          <t>289725922:eng</t>
        </is>
      </c>
      <c r="AX1340" t="inlineStr">
        <is>
          <t>356007</t>
        </is>
      </c>
      <c r="AY1340" t="inlineStr">
        <is>
          <t>991002461459702656</t>
        </is>
      </c>
      <c r="AZ1340" t="inlineStr">
        <is>
          <t>991002461459702656</t>
        </is>
      </c>
      <c r="BA1340" t="inlineStr">
        <is>
          <t>2265121210002656</t>
        </is>
      </c>
      <c r="BB1340" t="inlineStr">
        <is>
          <t>BOOK</t>
        </is>
      </c>
      <c r="BE1340" t="inlineStr">
        <is>
          <t>32285001057016</t>
        </is>
      </c>
      <c r="BF1340" t="inlineStr">
        <is>
          <t>893892574</t>
        </is>
      </c>
    </row>
    <row r="1341">
      <c r="A1341" t="inlineStr">
        <is>
          <t>No</t>
        </is>
      </c>
      <c r="B1341" t="inlineStr">
        <is>
          <t>CURAL</t>
        </is>
      </c>
      <c r="C1341" t="inlineStr">
        <is>
          <t>SHELVES</t>
        </is>
      </c>
      <c r="D1341" t="inlineStr">
        <is>
          <t>PR3724.G8 H56 1987</t>
        </is>
      </c>
      <c r="E1341" t="inlineStr">
        <is>
          <t>0                      PR 3724000G  8                  H  56          1987</t>
        </is>
      </c>
      <c r="F1341" t="inlineStr">
        <is>
          <t>Purity and defilement in Gulliver's travels / Charles H. Hinnant.</t>
        </is>
      </c>
      <c r="H1341" t="inlineStr">
        <is>
          <t>No</t>
        </is>
      </c>
      <c r="I1341" t="inlineStr">
        <is>
          <t>1</t>
        </is>
      </c>
      <c r="J1341" t="inlineStr">
        <is>
          <t>No</t>
        </is>
      </c>
      <c r="K1341" t="inlineStr">
        <is>
          <t>No</t>
        </is>
      </c>
      <c r="L1341" t="inlineStr">
        <is>
          <t>0</t>
        </is>
      </c>
      <c r="M1341" t="inlineStr">
        <is>
          <t>Hinnant, Charles H.</t>
        </is>
      </c>
      <c r="N1341" t="inlineStr">
        <is>
          <t>New York : St. Martin's Press, 1987.</t>
        </is>
      </c>
      <c r="O1341" t="inlineStr">
        <is>
          <t>1987</t>
        </is>
      </c>
      <c r="Q1341" t="inlineStr">
        <is>
          <t>eng</t>
        </is>
      </c>
      <c r="R1341" t="inlineStr">
        <is>
          <t>nyu</t>
        </is>
      </c>
      <c r="T1341" t="inlineStr">
        <is>
          <t xml:space="preserve">PR </t>
        </is>
      </c>
      <c r="U1341" t="n">
        <v>26</v>
      </c>
      <c r="V1341" t="n">
        <v>26</v>
      </c>
      <c r="W1341" t="inlineStr">
        <is>
          <t>2008-11-25</t>
        </is>
      </c>
      <c r="X1341" t="inlineStr">
        <is>
          <t>2008-11-25</t>
        </is>
      </c>
      <c r="Y1341" t="inlineStr">
        <is>
          <t>1990-03-29</t>
        </is>
      </c>
      <c r="Z1341" t="inlineStr">
        <is>
          <t>1990-03-29</t>
        </is>
      </c>
      <c r="AA1341" t="n">
        <v>213</v>
      </c>
      <c r="AB1341" t="n">
        <v>184</v>
      </c>
      <c r="AC1341" t="n">
        <v>232</v>
      </c>
      <c r="AD1341" t="n">
        <v>2</v>
      </c>
      <c r="AE1341" t="n">
        <v>2</v>
      </c>
      <c r="AF1341" t="n">
        <v>8</v>
      </c>
      <c r="AG1341" t="n">
        <v>10</v>
      </c>
      <c r="AH1341" t="n">
        <v>5</v>
      </c>
      <c r="AI1341" t="n">
        <v>5</v>
      </c>
      <c r="AJ1341" t="n">
        <v>2</v>
      </c>
      <c r="AK1341" t="n">
        <v>3</v>
      </c>
      <c r="AL1341" t="n">
        <v>3</v>
      </c>
      <c r="AM1341" t="n">
        <v>5</v>
      </c>
      <c r="AN1341" t="n">
        <v>1</v>
      </c>
      <c r="AO1341" t="n">
        <v>1</v>
      </c>
      <c r="AP1341" t="n">
        <v>0</v>
      </c>
      <c r="AQ1341" t="n">
        <v>0</v>
      </c>
      <c r="AR1341" t="inlineStr">
        <is>
          <t>No</t>
        </is>
      </c>
      <c r="AS1341" t="inlineStr">
        <is>
          <t>No</t>
        </is>
      </c>
      <c r="AU1341">
        <f>HYPERLINK("https://creighton-primo.hosted.exlibrisgroup.com/primo-explore/search?tab=default_tab&amp;search_scope=EVERYTHING&amp;vid=01CRU&amp;lang=en_US&amp;offset=0&amp;query=any,contains,991001011519702656","Catalog Record")</f>
        <v/>
      </c>
      <c r="AV1341">
        <f>HYPERLINK("http://www.worldcat.org/oclc/15284112","WorldCat Record")</f>
        <v/>
      </c>
      <c r="AW1341" t="inlineStr">
        <is>
          <t>7641963:eng</t>
        </is>
      </c>
      <c r="AX1341" t="inlineStr">
        <is>
          <t>15284112</t>
        </is>
      </c>
      <c r="AY1341" t="inlineStr">
        <is>
          <t>991001011519702656</t>
        </is>
      </c>
      <c r="AZ1341" t="inlineStr">
        <is>
          <t>991001011519702656</t>
        </is>
      </c>
      <c r="BA1341" t="inlineStr">
        <is>
          <t>2265070200002656</t>
        </is>
      </c>
      <c r="BB1341" t="inlineStr">
        <is>
          <t>BOOK</t>
        </is>
      </c>
      <c r="BD1341" t="inlineStr">
        <is>
          <t>9780312008291</t>
        </is>
      </c>
      <c r="BE1341" t="inlineStr">
        <is>
          <t>32285000107390</t>
        </is>
      </c>
      <c r="BF1341" t="inlineStr">
        <is>
          <t>893333979</t>
        </is>
      </c>
    </row>
    <row r="1342">
      <c r="A1342" t="inlineStr">
        <is>
          <t>No</t>
        </is>
      </c>
      <c r="B1342" t="inlineStr">
        <is>
          <t>CURAL</t>
        </is>
      </c>
      <c r="C1342" t="inlineStr">
        <is>
          <t>SHELVES</t>
        </is>
      </c>
      <c r="D1342" t="inlineStr">
        <is>
          <t>PR3724.G8 K3</t>
        </is>
      </c>
      <c r="E1342" t="inlineStr">
        <is>
          <t>0                      PR 3724000G  8                  K  3</t>
        </is>
      </c>
      <c r="F1342" t="inlineStr">
        <is>
          <t>The other end of the egg : religious satire in Gulliver's travels.</t>
        </is>
      </c>
      <c r="H1342" t="inlineStr">
        <is>
          <t>No</t>
        </is>
      </c>
      <c r="I1342" t="inlineStr">
        <is>
          <t>1</t>
        </is>
      </c>
      <c r="J1342" t="inlineStr">
        <is>
          <t>No</t>
        </is>
      </c>
      <c r="K1342" t="inlineStr">
        <is>
          <t>No</t>
        </is>
      </c>
      <c r="L1342" t="inlineStr">
        <is>
          <t>0</t>
        </is>
      </c>
      <c r="M1342" t="inlineStr">
        <is>
          <t>Kallich, Martin, 1918-2006.</t>
        </is>
      </c>
      <c r="N1342" t="inlineStr">
        <is>
          <t>Bridgeport, Conn. : Conference on British Studies at the University of Bridgeport, [1970]</t>
        </is>
      </c>
      <c r="O1342" t="inlineStr">
        <is>
          <t>1970</t>
        </is>
      </c>
      <c r="Q1342" t="inlineStr">
        <is>
          <t>eng</t>
        </is>
      </c>
      <c r="R1342" t="inlineStr">
        <is>
          <t>ctu</t>
        </is>
      </c>
      <c r="S1342" t="inlineStr">
        <is>
          <t>Studies in British history and culture ; v. 3</t>
        </is>
      </c>
      <c r="T1342" t="inlineStr">
        <is>
          <t xml:space="preserve">PR </t>
        </is>
      </c>
      <c r="U1342" t="n">
        <v>12</v>
      </c>
      <c r="V1342" t="n">
        <v>12</v>
      </c>
      <c r="W1342" t="inlineStr">
        <is>
          <t>1997-10-27</t>
        </is>
      </c>
      <c r="X1342" t="inlineStr">
        <is>
          <t>1997-10-27</t>
        </is>
      </c>
      <c r="Y1342" t="inlineStr">
        <is>
          <t>1992-03-03</t>
        </is>
      </c>
      <c r="Z1342" t="inlineStr">
        <is>
          <t>1992-03-03</t>
        </is>
      </c>
      <c r="AA1342" t="n">
        <v>447</v>
      </c>
      <c r="AB1342" t="n">
        <v>412</v>
      </c>
      <c r="AC1342" t="n">
        <v>420</v>
      </c>
      <c r="AD1342" t="n">
        <v>5</v>
      </c>
      <c r="AE1342" t="n">
        <v>5</v>
      </c>
      <c r="AF1342" t="n">
        <v>27</v>
      </c>
      <c r="AG1342" t="n">
        <v>27</v>
      </c>
      <c r="AH1342" t="n">
        <v>10</v>
      </c>
      <c r="AI1342" t="n">
        <v>10</v>
      </c>
      <c r="AJ1342" t="n">
        <v>7</v>
      </c>
      <c r="AK1342" t="n">
        <v>7</v>
      </c>
      <c r="AL1342" t="n">
        <v>15</v>
      </c>
      <c r="AM1342" t="n">
        <v>15</v>
      </c>
      <c r="AN1342" t="n">
        <v>4</v>
      </c>
      <c r="AO1342" t="n">
        <v>4</v>
      </c>
      <c r="AP1342" t="n">
        <v>0</v>
      </c>
      <c r="AQ1342" t="n">
        <v>0</v>
      </c>
      <c r="AR1342" t="inlineStr">
        <is>
          <t>No</t>
        </is>
      </c>
      <c r="AS1342" t="inlineStr">
        <is>
          <t>Yes</t>
        </is>
      </c>
      <c r="AT1342">
        <f>HYPERLINK("http://catalog.hathitrust.org/Record/001775242","HathiTrust Record")</f>
        <v/>
      </c>
      <c r="AU1342">
        <f>HYPERLINK("https://creighton-primo.hosted.exlibrisgroup.com/primo-explore/search?tab=default_tab&amp;search_scope=EVERYTHING&amp;vid=01CRU&amp;lang=en_US&amp;offset=0&amp;query=any,contains,991000516809702656","Catalog Record")</f>
        <v/>
      </c>
      <c r="AV1342">
        <f>HYPERLINK("http://www.worldcat.org/oclc/86118","WorldCat Record")</f>
        <v/>
      </c>
      <c r="AW1342" t="inlineStr">
        <is>
          <t>196766219:eng</t>
        </is>
      </c>
      <c r="AX1342" t="inlineStr">
        <is>
          <t>86118</t>
        </is>
      </c>
      <c r="AY1342" t="inlineStr">
        <is>
          <t>991000516809702656</t>
        </is>
      </c>
      <c r="AZ1342" t="inlineStr">
        <is>
          <t>991000516809702656</t>
        </is>
      </c>
      <c r="BA1342" t="inlineStr">
        <is>
          <t>2270307020002656</t>
        </is>
      </c>
      <c r="BB1342" t="inlineStr">
        <is>
          <t>BOOK</t>
        </is>
      </c>
      <c r="BE1342" t="inlineStr">
        <is>
          <t>32285000979830</t>
        </is>
      </c>
      <c r="BF1342" t="inlineStr">
        <is>
          <t>893784289</t>
        </is>
      </c>
    </row>
    <row r="1343">
      <c r="A1343" t="inlineStr">
        <is>
          <t>No</t>
        </is>
      </c>
      <c r="B1343" t="inlineStr">
        <is>
          <t>CURAL</t>
        </is>
      </c>
      <c r="C1343" t="inlineStr">
        <is>
          <t>SHELVES</t>
        </is>
      </c>
      <c r="D1343" t="inlineStr">
        <is>
          <t>PR3724.G8 M6 1978</t>
        </is>
      </c>
      <c r="E1343" t="inlineStr">
        <is>
          <t>0                      PR 3724000G  8                  M  6           1978</t>
        </is>
      </c>
      <c r="F1343" t="inlineStr">
        <is>
          <t>Gulliver's progress / by L. J. Morrissey.</t>
        </is>
      </c>
      <c r="H1343" t="inlineStr">
        <is>
          <t>No</t>
        </is>
      </c>
      <c r="I1343" t="inlineStr">
        <is>
          <t>1</t>
        </is>
      </c>
      <c r="J1343" t="inlineStr">
        <is>
          <t>No</t>
        </is>
      </c>
      <c r="K1343" t="inlineStr">
        <is>
          <t>No</t>
        </is>
      </c>
      <c r="L1343" t="inlineStr">
        <is>
          <t>0</t>
        </is>
      </c>
      <c r="M1343" t="inlineStr">
        <is>
          <t>Morrissey, L. J.</t>
        </is>
      </c>
      <c r="N1343" t="inlineStr">
        <is>
          <t>Hamden, Conn. : Archon Books, 1978.</t>
        </is>
      </c>
      <c r="O1343" t="inlineStr">
        <is>
          <t>1978</t>
        </is>
      </c>
      <c r="Q1343" t="inlineStr">
        <is>
          <t>eng</t>
        </is>
      </c>
      <c r="R1343" t="inlineStr">
        <is>
          <t>ctu</t>
        </is>
      </c>
      <c r="T1343" t="inlineStr">
        <is>
          <t xml:space="preserve">PR </t>
        </is>
      </c>
      <c r="U1343" t="n">
        <v>14</v>
      </c>
      <c r="V1343" t="n">
        <v>14</v>
      </c>
      <c r="W1343" t="inlineStr">
        <is>
          <t>2007-11-12</t>
        </is>
      </c>
      <c r="X1343" t="inlineStr">
        <is>
          <t>2007-11-12</t>
        </is>
      </c>
      <c r="Y1343" t="inlineStr">
        <is>
          <t>1990-02-08</t>
        </is>
      </c>
      <c r="Z1343" t="inlineStr">
        <is>
          <t>1990-02-08</t>
        </is>
      </c>
      <c r="AA1343" t="n">
        <v>365</v>
      </c>
      <c r="AB1343" t="n">
        <v>303</v>
      </c>
      <c r="AC1343" t="n">
        <v>308</v>
      </c>
      <c r="AD1343" t="n">
        <v>4</v>
      </c>
      <c r="AE1343" t="n">
        <v>4</v>
      </c>
      <c r="AF1343" t="n">
        <v>17</v>
      </c>
      <c r="AG1343" t="n">
        <v>17</v>
      </c>
      <c r="AH1343" t="n">
        <v>5</v>
      </c>
      <c r="AI1343" t="n">
        <v>5</v>
      </c>
      <c r="AJ1343" t="n">
        <v>5</v>
      </c>
      <c r="AK1343" t="n">
        <v>5</v>
      </c>
      <c r="AL1343" t="n">
        <v>9</v>
      </c>
      <c r="AM1343" t="n">
        <v>9</v>
      </c>
      <c r="AN1343" t="n">
        <v>3</v>
      </c>
      <c r="AO1343" t="n">
        <v>3</v>
      </c>
      <c r="AP1343" t="n">
        <v>0</v>
      </c>
      <c r="AQ1343" t="n">
        <v>0</v>
      </c>
      <c r="AR1343" t="inlineStr">
        <is>
          <t>No</t>
        </is>
      </c>
      <c r="AS1343" t="inlineStr">
        <is>
          <t>No</t>
        </is>
      </c>
      <c r="AU1343">
        <f>HYPERLINK("https://creighton-primo.hosted.exlibrisgroup.com/primo-explore/search?tab=default_tab&amp;search_scope=EVERYTHING&amp;vid=01CRU&amp;lang=en_US&amp;offset=0&amp;query=any,contains,991004482389702656","Catalog Record")</f>
        <v/>
      </c>
      <c r="AV1343">
        <f>HYPERLINK("http://www.worldcat.org/oclc/3627916","WorldCat Record")</f>
        <v/>
      </c>
      <c r="AW1343" t="inlineStr">
        <is>
          <t>11665331:eng</t>
        </is>
      </c>
      <c r="AX1343" t="inlineStr">
        <is>
          <t>3627916</t>
        </is>
      </c>
      <c r="AY1343" t="inlineStr">
        <is>
          <t>991004482389702656</t>
        </is>
      </c>
      <c r="AZ1343" t="inlineStr">
        <is>
          <t>991004482389702656</t>
        </is>
      </c>
      <c r="BA1343" t="inlineStr">
        <is>
          <t>2269224870002656</t>
        </is>
      </c>
      <c r="BB1343" t="inlineStr">
        <is>
          <t>BOOK</t>
        </is>
      </c>
      <c r="BD1343" t="inlineStr">
        <is>
          <t>9780208017185</t>
        </is>
      </c>
      <c r="BE1343" t="inlineStr">
        <is>
          <t>32285000034065</t>
        </is>
      </c>
      <c r="BF1343" t="inlineStr">
        <is>
          <t>893536009</t>
        </is>
      </c>
    </row>
    <row r="1344">
      <c r="A1344" t="inlineStr">
        <is>
          <t>No</t>
        </is>
      </c>
      <c r="B1344" t="inlineStr">
        <is>
          <t>CURAL</t>
        </is>
      </c>
      <c r="C1344" t="inlineStr">
        <is>
          <t>SHELVES</t>
        </is>
      </c>
      <c r="D1344" t="inlineStr">
        <is>
          <t>PR3724.G8 T5 1989</t>
        </is>
      </c>
      <c r="E1344" t="inlineStr">
        <is>
          <t>0                      PR 3724000G  8                  T  5           1989</t>
        </is>
      </c>
      <c r="F1344" t="inlineStr">
        <is>
          <t>Gulliver's travels / Brian Tippett.</t>
        </is>
      </c>
      <c r="H1344" t="inlineStr">
        <is>
          <t>No</t>
        </is>
      </c>
      <c r="I1344" t="inlineStr">
        <is>
          <t>1</t>
        </is>
      </c>
      <c r="J1344" t="inlineStr">
        <is>
          <t>No</t>
        </is>
      </c>
      <c r="K1344" t="inlineStr">
        <is>
          <t>No</t>
        </is>
      </c>
      <c r="L1344" t="inlineStr">
        <is>
          <t>0</t>
        </is>
      </c>
      <c r="M1344" t="inlineStr">
        <is>
          <t>Tippett, Brian, 1938-</t>
        </is>
      </c>
      <c r="N1344" t="inlineStr">
        <is>
          <t>Atlantic Highlands, NJ : Humanities Press International, 1989.</t>
        </is>
      </c>
      <c r="O1344" t="inlineStr">
        <is>
          <t>1989</t>
        </is>
      </c>
      <c r="Q1344" t="inlineStr">
        <is>
          <t>eng</t>
        </is>
      </c>
      <c r="R1344" t="inlineStr">
        <is>
          <t>nju</t>
        </is>
      </c>
      <c r="S1344" t="inlineStr">
        <is>
          <t>The Critics debate</t>
        </is>
      </c>
      <c r="T1344" t="inlineStr">
        <is>
          <t xml:space="preserve">PR </t>
        </is>
      </c>
      <c r="U1344" t="n">
        <v>14</v>
      </c>
      <c r="V1344" t="n">
        <v>14</v>
      </c>
      <c r="W1344" t="inlineStr">
        <is>
          <t>1998-10-21</t>
        </is>
      </c>
      <c r="X1344" t="inlineStr">
        <is>
          <t>1998-10-21</t>
        </is>
      </c>
      <c r="Y1344" t="inlineStr">
        <is>
          <t>1990-01-16</t>
        </is>
      </c>
      <c r="Z1344" t="inlineStr">
        <is>
          <t>1990-01-16</t>
        </is>
      </c>
      <c r="AA1344" t="n">
        <v>195</v>
      </c>
      <c r="AB1344" t="n">
        <v>164</v>
      </c>
      <c r="AC1344" t="n">
        <v>213</v>
      </c>
      <c r="AD1344" t="n">
        <v>1</v>
      </c>
      <c r="AE1344" t="n">
        <v>2</v>
      </c>
      <c r="AF1344" t="n">
        <v>7</v>
      </c>
      <c r="AG1344" t="n">
        <v>9</v>
      </c>
      <c r="AH1344" t="n">
        <v>4</v>
      </c>
      <c r="AI1344" t="n">
        <v>4</v>
      </c>
      <c r="AJ1344" t="n">
        <v>0</v>
      </c>
      <c r="AK1344" t="n">
        <v>1</v>
      </c>
      <c r="AL1344" t="n">
        <v>6</v>
      </c>
      <c r="AM1344" t="n">
        <v>7</v>
      </c>
      <c r="AN1344" t="n">
        <v>0</v>
      </c>
      <c r="AO1344" t="n">
        <v>1</v>
      </c>
      <c r="AP1344" t="n">
        <v>0</v>
      </c>
      <c r="AQ1344" t="n">
        <v>0</v>
      </c>
      <c r="AR1344" t="inlineStr">
        <is>
          <t>No</t>
        </is>
      </c>
      <c r="AS1344" t="inlineStr">
        <is>
          <t>No</t>
        </is>
      </c>
      <c r="AU1344">
        <f>HYPERLINK("https://creighton-primo.hosted.exlibrisgroup.com/primo-explore/search?tab=default_tab&amp;search_scope=EVERYTHING&amp;vid=01CRU&amp;lang=en_US&amp;offset=0&amp;query=any,contains,991001310999702656","Catalog Record")</f>
        <v/>
      </c>
      <c r="AV1344">
        <f>HYPERLINK("http://www.worldcat.org/oclc/18136836","WorldCat Record")</f>
        <v/>
      </c>
      <c r="AW1344" t="inlineStr">
        <is>
          <t>1934723747:eng</t>
        </is>
      </c>
      <c r="AX1344" t="inlineStr">
        <is>
          <t>18136836</t>
        </is>
      </c>
      <c r="AY1344" t="inlineStr">
        <is>
          <t>991001310999702656</t>
        </is>
      </c>
      <c r="AZ1344" t="inlineStr">
        <is>
          <t>991001310999702656</t>
        </is>
      </c>
      <c r="BA1344" t="inlineStr">
        <is>
          <t>2267981950002656</t>
        </is>
      </c>
      <c r="BB1344" t="inlineStr">
        <is>
          <t>BOOK</t>
        </is>
      </c>
      <c r="BD1344" t="inlineStr">
        <is>
          <t>9780391035973</t>
        </is>
      </c>
      <c r="BE1344" t="inlineStr">
        <is>
          <t>32285000028679</t>
        </is>
      </c>
      <c r="BF1344" t="inlineStr">
        <is>
          <t>893897697</t>
        </is>
      </c>
    </row>
    <row r="1345">
      <c r="A1345" t="inlineStr">
        <is>
          <t>No</t>
        </is>
      </c>
      <c r="B1345" t="inlineStr">
        <is>
          <t>CURAL</t>
        </is>
      </c>
      <c r="C1345" t="inlineStr">
        <is>
          <t>SHELVES</t>
        </is>
      </c>
      <c r="D1345" t="inlineStr">
        <is>
          <t>PR3724.T33 C5</t>
        </is>
      </c>
      <c r="E1345" t="inlineStr">
        <is>
          <t>0                      PR 3724000T  33                 C  5</t>
        </is>
      </c>
      <c r="F1345" t="inlineStr">
        <is>
          <t>Form and frenzy in Swift's Tale of a tub / [by] John R. Clark.</t>
        </is>
      </c>
      <c r="H1345" t="inlineStr">
        <is>
          <t>No</t>
        </is>
      </c>
      <c r="I1345" t="inlineStr">
        <is>
          <t>1</t>
        </is>
      </c>
      <c r="J1345" t="inlineStr">
        <is>
          <t>No</t>
        </is>
      </c>
      <c r="K1345" t="inlineStr">
        <is>
          <t>No</t>
        </is>
      </c>
      <c r="L1345" t="inlineStr">
        <is>
          <t>0</t>
        </is>
      </c>
      <c r="M1345" t="inlineStr">
        <is>
          <t>Clark, John R., 1930-</t>
        </is>
      </c>
      <c r="N1345" t="inlineStr">
        <is>
          <t>Ithaca : Cornell University Press, [1970]</t>
        </is>
      </c>
      <c r="O1345" t="inlineStr">
        <is>
          <t>1970</t>
        </is>
      </c>
      <c r="Q1345" t="inlineStr">
        <is>
          <t>eng</t>
        </is>
      </c>
      <c r="R1345" t="inlineStr">
        <is>
          <t>nyu</t>
        </is>
      </c>
      <c r="T1345" t="inlineStr">
        <is>
          <t xml:space="preserve">PR </t>
        </is>
      </c>
      <c r="U1345" t="n">
        <v>4</v>
      </c>
      <c r="V1345" t="n">
        <v>4</v>
      </c>
      <c r="W1345" t="inlineStr">
        <is>
          <t>1995-03-27</t>
        </is>
      </c>
      <c r="X1345" t="inlineStr">
        <is>
          <t>1995-03-27</t>
        </is>
      </c>
      <c r="Y1345" t="inlineStr">
        <is>
          <t>1990-11-19</t>
        </is>
      </c>
      <c r="Z1345" t="inlineStr">
        <is>
          <t>1990-11-19</t>
        </is>
      </c>
      <c r="AA1345" t="n">
        <v>850</v>
      </c>
      <c r="AB1345" t="n">
        <v>711</v>
      </c>
      <c r="AC1345" t="n">
        <v>717</v>
      </c>
      <c r="AD1345" t="n">
        <v>4</v>
      </c>
      <c r="AE1345" t="n">
        <v>4</v>
      </c>
      <c r="AF1345" t="n">
        <v>38</v>
      </c>
      <c r="AG1345" t="n">
        <v>38</v>
      </c>
      <c r="AH1345" t="n">
        <v>19</v>
      </c>
      <c r="AI1345" t="n">
        <v>19</v>
      </c>
      <c r="AJ1345" t="n">
        <v>8</v>
      </c>
      <c r="AK1345" t="n">
        <v>8</v>
      </c>
      <c r="AL1345" t="n">
        <v>18</v>
      </c>
      <c r="AM1345" t="n">
        <v>18</v>
      </c>
      <c r="AN1345" t="n">
        <v>3</v>
      </c>
      <c r="AO1345" t="n">
        <v>3</v>
      </c>
      <c r="AP1345" t="n">
        <v>0</v>
      </c>
      <c r="AQ1345" t="n">
        <v>0</v>
      </c>
      <c r="AR1345" t="inlineStr">
        <is>
          <t>No</t>
        </is>
      </c>
      <c r="AS1345" t="inlineStr">
        <is>
          <t>Yes</t>
        </is>
      </c>
      <c r="AT1345">
        <f>HYPERLINK("http://catalog.hathitrust.org/Record/001186738","HathiTrust Record")</f>
        <v/>
      </c>
      <c r="AU1345">
        <f>HYPERLINK("https://creighton-primo.hosted.exlibrisgroup.com/primo-explore/search?tab=default_tab&amp;search_scope=EVERYTHING&amp;vid=01CRU&amp;lang=en_US&amp;offset=0&amp;query=any,contains,991000182349702656","Catalog Record")</f>
        <v/>
      </c>
      <c r="AV1345">
        <f>HYPERLINK("http://www.worldcat.org/oclc/62382","WorldCat Record")</f>
        <v/>
      </c>
      <c r="AW1345" t="inlineStr">
        <is>
          <t>1224795:eng</t>
        </is>
      </c>
      <c r="AX1345" t="inlineStr">
        <is>
          <t>62382</t>
        </is>
      </c>
      <c r="AY1345" t="inlineStr">
        <is>
          <t>991000182349702656</t>
        </is>
      </c>
      <c r="AZ1345" t="inlineStr">
        <is>
          <t>991000182349702656</t>
        </is>
      </c>
      <c r="BA1345" t="inlineStr">
        <is>
          <t>2255123980002656</t>
        </is>
      </c>
      <c r="BB1345" t="inlineStr">
        <is>
          <t>BOOK</t>
        </is>
      </c>
      <c r="BD1345" t="inlineStr">
        <is>
          <t>9780801405518</t>
        </is>
      </c>
      <c r="BE1345" t="inlineStr">
        <is>
          <t>32285000396852</t>
        </is>
      </c>
      <c r="BF1345" t="inlineStr">
        <is>
          <t>893237139</t>
        </is>
      </c>
    </row>
    <row r="1346">
      <c r="A1346" t="inlineStr">
        <is>
          <t>No</t>
        </is>
      </c>
      <c r="B1346" t="inlineStr">
        <is>
          <t>CURAL</t>
        </is>
      </c>
      <c r="C1346" t="inlineStr">
        <is>
          <t>SHELVES</t>
        </is>
      </c>
      <c r="D1346" t="inlineStr">
        <is>
          <t>PR3724.T33 S6</t>
        </is>
      </c>
      <c r="E1346" t="inlineStr">
        <is>
          <t>0                      PR 3724000T  33                 S  6</t>
        </is>
      </c>
      <c r="F1346" t="inlineStr">
        <is>
          <t>Language and reality in Swift's A tale of a tub / Frederik N. Smith.</t>
        </is>
      </c>
      <c r="H1346" t="inlineStr">
        <is>
          <t>No</t>
        </is>
      </c>
      <c r="I1346" t="inlineStr">
        <is>
          <t>1</t>
        </is>
      </c>
      <c r="J1346" t="inlineStr">
        <is>
          <t>No</t>
        </is>
      </c>
      <c r="K1346" t="inlineStr">
        <is>
          <t>No</t>
        </is>
      </c>
      <c r="L1346" t="inlineStr">
        <is>
          <t>0</t>
        </is>
      </c>
      <c r="M1346" t="inlineStr">
        <is>
          <t>Smith, Frederik N., 1940-</t>
        </is>
      </c>
      <c r="N1346" t="inlineStr">
        <is>
          <t>Columbus : Ohio State University Press, c1979.</t>
        </is>
      </c>
      <c r="O1346" t="inlineStr">
        <is>
          <t>1979</t>
        </is>
      </c>
      <c r="Q1346" t="inlineStr">
        <is>
          <t>eng</t>
        </is>
      </c>
      <c r="R1346" t="inlineStr">
        <is>
          <t>ohu</t>
        </is>
      </c>
      <c r="T1346" t="inlineStr">
        <is>
          <t xml:space="preserve">PR </t>
        </is>
      </c>
      <c r="U1346" t="n">
        <v>1</v>
      </c>
      <c r="V1346" t="n">
        <v>1</v>
      </c>
      <c r="W1346" t="inlineStr">
        <is>
          <t>1992-10-07</t>
        </is>
      </c>
      <c r="X1346" t="inlineStr">
        <is>
          <t>1992-10-07</t>
        </is>
      </c>
      <c r="Y1346" t="inlineStr">
        <is>
          <t>1991-06-06</t>
        </is>
      </c>
      <c r="Z1346" t="inlineStr">
        <is>
          <t>1991-06-06</t>
        </is>
      </c>
      <c r="AA1346" t="n">
        <v>441</v>
      </c>
      <c r="AB1346" t="n">
        <v>364</v>
      </c>
      <c r="AC1346" t="n">
        <v>382</v>
      </c>
      <c r="AD1346" t="n">
        <v>4</v>
      </c>
      <c r="AE1346" t="n">
        <v>4</v>
      </c>
      <c r="AF1346" t="n">
        <v>19</v>
      </c>
      <c r="AG1346" t="n">
        <v>19</v>
      </c>
      <c r="AH1346" t="n">
        <v>5</v>
      </c>
      <c r="AI1346" t="n">
        <v>5</v>
      </c>
      <c r="AJ1346" t="n">
        <v>5</v>
      </c>
      <c r="AK1346" t="n">
        <v>5</v>
      </c>
      <c r="AL1346" t="n">
        <v>11</v>
      </c>
      <c r="AM1346" t="n">
        <v>11</v>
      </c>
      <c r="AN1346" t="n">
        <v>3</v>
      </c>
      <c r="AO1346" t="n">
        <v>3</v>
      </c>
      <c r="AP1346" t="n">
        <v>0</v>
      </c>
      <c r="AQ1346" t="n">
        <v>0</v>
      </c>
      <c r="AR1346" t="inlineStr">
        <is>
          <t>No</t>
        </is>
      </c>
      <c r="AS1346" t="inlineStr">
        <is>
          <t>Yes</t>
        </is>
      </c>
      <c r="AT1346">
        <f>HYPERLINK("http://catalog.hathitrust.org/Record/000303448","HathiTrust Record")</f>
        <v/>
      </c>
      <c r="AU1346">
        <f>HYPERLINK("https://creighton-primo.hosted.exlibrisgroup.com/primo-explore/search?tab=default_tab&amp;search_scope=EVERYTHING&amp;vid=01CRU&amp;lang=en_US&amp;offset=0&amp;query=any,contains,991004777499702656","Catalog Record")</f>
        <v/>
      </c>
      <c r="AV1346">
        <f>HYPERLINK("http://www.worldcat.org/oclc/5101632","WorldCat Record")</f>
        <v/>
      </c>
      <c r="AW1346" t="inlineStr">
        <is>
          <t>15264373:eng</t>
        </is>
      </c>
      <c r="AX1346" t="inlineStr">
        <is>
          <t>5101632</t>
        </is>
      </c>
      <c r="AY1346" t="inlineStr">
        <is>
          <t>991004777499702656</t>
        </is>
      </c>
      <c r="AZ1346" t="inlineStr">
        <is>
          <t>991004777499702656</t>
        </is>
      </c>
      <c r="BA1346" t="inlineStr">
        <is>
          <t>2258954370002656</t>
        </is>
      </c>
      <c r="BB1346" t="inlineStr">
        <is>
          <t>BOOK</t>
        </is>
      </c>
      <c r="BD1346" t="inlineStr">
        <is>
          <t>9780814202944</t>
        </is>
      </c>
      <c r="BE1346" t="inlineStr">
        <is>
          <t>32285000615517</t>
        </is>
      </c>
      <c r="BF1346" t="inlineStr">
        <is>
          <t>893325772</t>
        </is>
      </c>
    </row>
    <row r="1347">
      <c r="A1347" t="inlineStr">
        <is>
          <t>No</t>
        </is>
      </c>
      <c r="B1347" t="inlineStr">
        <is>
          <t>CURAL</t>
        </is>
      </c>
      <c r="C1347" t="inlineStr">
        <is>
          <t>SHELVES</t>
        </is>
      </c>
      <c r="D1347" t="inlineStr">
        <is>
          <t>PR3724.T33 S8</t>
        </is>
      </c>
      <c r="E1347" t="inlineStr">
        <is>
          <t>0                      PR 3724000T  33                 S  8</t>
        </is>
      </c>
      <c r="F1347" t="inlineStr">
        <is>
          <t>Swift's satire on learning in A tale of a tub.</t>
        </is>
      </c>
      <c r="H1347" t="inlineStr">
        <is>
          <t>No</t>
        </is>
      </c>
      <c r="I1347" t="inlineStr">
        <is>
          <t>1</t>
        </is>
      </c>
      <c r="J1347" t="inlineStr">
        <is>
          <t>No</t>
        </is>
      </c>
      <c r="K1347" t="inlineStr">
        <is>
          <t>No</t>
        </is>
      </c>
      <c r="L1347" t="inlineStr">
        <is>
          <t>0</t>
        </is>
      </c>
      <c r="M1347" t="inlineStr">
        <is>
          <t>Starkman, Miriam Kosh.</t>
        </is>
      </c>
      <c r="N1347" t="inlineStr">
        <is>
          <t>Princeton,N.J. : Princeton University Press, 1950.</t>
        </is>
      </c>
      <c r="O1347" t="inlineStr">
        <is>
          <t>1950</t>
        </is>
      </c>
      <c r="Q1347" t="inlineStr">
        <is>
          <t>eng</t>
        </is>
      </c>
      <c r="R1347" t="inlineStr">
        <is>
          <t xml:space="preserve">xx </t>
        </is>
      </c>
      <c r="T1347" t="inlineStr">
        <is>
          <t xml:space="preserve">PR </t>
        </is>
      </c>
      <c r="U1347" t="n">
        <v>3</v>
      </c>
      <c r="V1347" t="n">
        <v>3</v>
      </c>
      <c r="W1347" t="inlineStr">
        <is>
          <t>1995-03-27</t>
        </is>
      </c>
      <c r="X1347" t="inlineStr">
        <is>
          <t>1995-03-27</t>
        </is>
      </c>
      <c r="Y1347" t="inlineStr">
        <is>
          <t>1990-11-19</t>
        </is>
      </c>
      <c r="Z1347" t="inlineStr">
        <is>
          <t>1990-11-19</t>
        </is>
      </c>
      <c r="AA1347" t="n">
        <v>399</v>
      </c>
      <c r="AB1347" t="n">
        <v>350</v>
      </c>
      <c r="AC1347" t="n">
        <v>719</v>
      </c>
      <c r="AD1347" t="n">
        <v>7</v>
      </c>
      <c r="AE1347" t="n">
        <v>8</v>
      </c>
      <c r="AF1347" t="n">
        <v>28</v>
      </c>
      <c r="AG1347" t="n">
        <v>40</v>
      </c>
      <c r="AH1347" t="n">
        <v>9</v>
      </c>
      <c r="AI1347" t="n">
        <v>18</v>
      </c>
      <c r="AJ1347" t="n">
        <v>5</v>
      </c>
      <c r="AK1347" t="n">
        <v>6</v>
      </c>
      <c r="AL1347" t="n">
        <v>17</v>
      </c>
      <c r="AM1347" t="n">
        <v>19</v>
      </c>
      <c r="AN1347" t="n">
        <v>6</v>
      </c>
      <c r="AO1347" t="n">
        <v>7</v>
      </c>
      <c r="AP1347" t="n">
        <v>0</v>
      </c>
      <c r="AQ1347" t="n">
        <v>0</v>
      </c>
      <c r="AR1347" t="inlineStr">
        <is>
          <t>No</t>
        </is>
      </c>
      <c r="AS1347" t="inlineStr">
        <is>
          <t>No</t>
        </is>
      </c>
      <c r="AU1347">
        <f>HYPERLINK("https://creighton-primo.hosted.exlibrisgroup.com/primo-explore/search?tab=default_tab&amp;search_scope=EVERYTHING&amp;vid=01CRU&amp;lang=en_US&amp;offset=0&amp;query=any,contains,991003306299702656","Catalog Record")</f>
        <v/>
      </c>
      <c r="AV1347">
        <f>HYPERLINK("http://www.worldcat.org/oclc/829859","WorldCat Record")</f>
        <v/>
      </c>
      <c r="AW1347" t="inlineStr">
        <is>
          <t>1425006:eng</t>
        </is>
      </c>
      <c r="AX1347" t="inlineStr">
        <is>
          <t>829859</t>
        </is>
      </c>
      <c r="AY1347" t="inlineStr">
        <is>
          <t>991003306299702656</t>
        </is>
      </c>
      <c r="AZ1347" t="inlineStr">
        <is>
          <t>991003306299702656</t>
        </is>
      </c>
      <c r="BA1347" t="inlineStr">
        <is>
          <t>2269808870002656</t>
        </is>
      </c>
      <c r="BB1347" t="inlineStr">
        <is>
          <t>BOOK</t>
        </is>
      </c>
      <c r="BE1347" t="inlineStr">
        <is>
          <t>32285000396878</t>
        </is>
      </c>
      <c r="BF1347" t="inlineStr">
        <is>
          <t>893698880</t>
        </is>
      </c>
    </row>
    <row r="1348">
      <c r="A1348" t="inlineStr">
        <is>
          <t>No</t>
        </is>
      </c>
      <c r="B1348" t="inlineStr">
        <is>
          <t>CURAL</t>
        </is>
      </c>
      <c r="C1348" t="inlineStr">
        <is>
          <t>SHELVES</t>
        </is>
      </c>
      <c r="D1348" t="inlineStr">
        <is>
          <t>PR3726 .D4</t>
        </is>
      </c>
      <c r="E1348" t="inlineStr">
        <is>
          <t>0                      PR 3726000D  4</t>
        </is>
      </c>
      <c r="F1348" t="inlineStr">
        <is>
          <t>Jonathan Swift : a short character / by Nigel Dennis.</t>
        </is>
      </c>
      <c r="H1348" t="inlineStr">
        <is>
          <t>No</t>
        </is>
      </c>
      <c r="I1348" t="inlineStr">
        <is>
          <t>1</t>
        </is>
      </c>
      <c r="J1348" t="inlineStr">
        <is>
          <t>No</t>
        </is>
      </c>
      <c r="K1348" t="inlineStr">
        <is>
          <t>No</t>
        </is>
      </c>
      <c r="L1348" t="inlineStr">
        <is>
          <t>0</t>
        </is>
      </c>
      <c r="M1348" t="inlineStr">
        <is>
          <t>Dennis, Nigel Forbes, 1912-1989.</t>
        </is>
      </c>
      <c r="N1348" t="inlineStr">
        <is>
          <t>New York : Macmillan, [1964]</t>
        </is>
      </c>
      <c r="O1348" t="inlineStr">
        <is>
          <t>1964</t>
        </is>
      </c>
      <c r="Q1348" t="inlineStr">
        <is>
          <t>eng</t>
        </is>
      </c>
      <c r="R1348" t="inlineStr">
        <is>
          <t>nyu</t>
        </is>
      </c>
      <c r="S1348" t="inlineStr">
        <is>
          <t>Masters of world literature series</t>
        </is>
      </c>
      <c r="T1348" t="inlineStr">
        <is>
          <t xml:space="preserve">PR </t>
        </is>
      </c>
      <c r="U1348" t="n">
        <v>5</v>
      </c>
      <c r="V1348" t="n">
        <v>5</v>
      </c>
      <c r="W1348" t="inlineStr">
        <is>
          <t>1994-02-25</t>
        </is>
      </c>
      <c r="X1348" t="inlineStr">
        <is>
          <t>1994-02-25</t>
        </is>
      </c>
      <c r="Y1348" t="inlineStr">
        <is>
          <t>1990-09-27</t>
        </is>
      </c>
      <c r="Z1348" t="inlineStr">
        <is>
          <t>1990-09-27</t>
        </is>
      </c>
      <c r="AA1348" t="n">
        <v>1189</v>
      </c>
      <c r="AB1348" t="n">
        <v>1091</v>
      </c>
      <c r="AC1348" t="n">
        <v>1171</v>
      </c>
      <c r="AD1348" t="n">
        <v>9</v>
      </c>
      <c r="AE1348" t="n">
        <v>10</v>
      </c>
      <c r="AF1348" t="n">
        <v>40</v>
      </c>
      <c r="AG1348" t="n">
        <v>44</v>
      </c>
      <c r="AH1348" t="n">
        <v>14</v>
      </c>
      <c r="AI1348" t="n">
        <v>14</v>
      </c>
      <c r="AJ1348" t="n">
        <v>10</v>
      </c>
      <c r="AK1348" t="n">
        <v>10</v>
      </c>
      <c r="AL1348" t="n">
        <v>22</v>
      </c>
      <c r="AM1348" t="n">
        <v>25</v>
      </c>
      <c r="AN1348" t="n">
        <v>6</v>
      </c>
      <c r="AO1348" t="n">
        <v>7</v>
      </c>
      <c r="AP1348" t="n">
        <v>0</v>
      </c>
      <c r="AQ1348" t="n">
        <v>0</v>
      </c>
      <c r="AR1348" t="inlineStr">
        <is>
          <t>No</t>
        </is>
      </c>
      <c r="AS1348" t="inlineStr">
        <is>
          <t>Yes</t>
        </is>
      </c>
      <c r="AT1348">
        <f>HYPERLINK("http://catalog.hathitrust.org/Record/001022909","HathiTrust Record")</f>
        <v/>
      </c>
      <c r="AU1348">
        <f>HYPERLINK("https://creighton-primo.hosted.exlibrisgroup.com/primo-explore/search?tab=default_tab&amp;search_scope=EVERYTHING&amp;vid=01CRU&amp;lang=en_US&amp;offset=0&amp;query=any,contains,991003178789702656","Catalog Record")</f>
        <v/>
      </c>
      <c r="AV1348">
        <f>HYPERLINK("http://www.worldcat.org/oclc/358864","WorldCat Record")</f>
        <v/>
      </c>
      <c r="AW1348" t="inlineStr">
        <is>
          <t>292527:eng</t>
        </is>
      </c>
      <c r="AX1348" t="inlineStr">
        <is>
          <t>358864</t>
        </is>
      </c>
      <c r="AY1348" t="inlineStr">
        <is>
          <t>991003178789702656</t>
        </is>
      </c>
      <c r="AZ1348" t="inlineStr">
        <is>
          <t>991003178789702656</t>
        </is>
      </c>
      <c r="BA1348" t="inlineStr">
        <is>
          <t>2264010040002656</t>
        </is>
      </c>
      <c r="BB1348" t="inlineStr">
        <is>
          <t>BOOK</t>
        </is>
      </c>
      <c r="BE1348" t="inlineStr">
        <is>
          <t>32285000320688</t>
        </is>
      </c>
      <c r="BF1348" t="inlineStr">
        <is>
          <t>893428511</t>
        </is>
      </c>
    </row>
    <row r="1349">
      <c r="A1349" t="inlineStr">
        <is>
          <t>No</t>
        </is>
      </c>
      <c r="B1349" t="inlineStr">
        <is>
          <t>CURAL</t>
        </is>
      </c>
      <c r="C1349" t="inlineStr">
        <is>
          <t>SHELVES</t>
        </is>
      </c>
      <c r="D1349" t="inlineStr">
        <is>
          <t>PR3726 .D8 1967</t>
        </is>
      </c>
      <c r="E1349" t="inlineStr">
        <is>
          <t>0                      PR 3726000D  8           1967</t>
        </is>
      </c>
      <c r="F1349" t="inlineStr">
        <is>
          <t>Swift and his age; a tercentenary exhibition.</t>
        </is>
      </c>
      <c r="H1349" t="inlineStr">
        <is>
          <t>No</t>
        </is>
      </c>
      <c r="I1349" t="inlineStr">
        <is>
          <t>1</t>
        </is>
      </c>
      <c r="J1349" t="inlineStr">
        <is>
          <t>No</t>
        </is>
      </c>
      <c r="K1349" t="inlineStr">
        <is>
          <t>No</t>
        </is>
      </c>
      <c r="L1349" t="inlineStr">
        <is>
          <t>0</t>
        </is>
      </c>
      <c r="M1349" t="inlineStr">
        <is>
          <t>National Gallery of Ireland.</t>
        </is>
      </c>
      <c r="N1349" t="inlineStr">
        <is>
          <t>[Dublin] : Gailearaí Náisiúnta na hÉireann, 1967.</t>
        </is>
      </c>
      <c r="O1349" t="inlineStr">
        <is>
          <t>1967</t>
        </is>
      </c>
      <c r="Q1349" t="inlineStr">
        <is>
          <t>eng</t>
        </is>
      </c>
      <c r="R1349" t="inlineStr">
        <is>
          <t xml:space="preserve">ie </t>
        </is>
      </c>
      <c r="T1349" t="inlineStr">
        <is>
          <t xml:space="preserve">PR </t>
        </is>
      </c>
      <c r="U1349" t="n">
        <v>1</v>
      </c>
      <c r="V1349" t="n">
        <v>1</v>
      </c>
      <c r="W1349" t="inlineStr">
        <is>
          <t>2002-03-20</t>
        </is>
      </c>
      <c r="X1349" t="inlineStr">
        <is>
          <t>2002-03-20</t>
        </is>
      </c>
      <c r="Y1349" t="inlineStr">
        <is>
          <t>1991-06-06</t>
        </is>
      </c>
      <c r="Z1349" t="inlineStr">
        <is>
          <t>1991-06-06</t>
        </is>
      </c>
      <c r="AA1349" t="n">
        <v>48</v>
      </c>
      <c r="AB1349" t="n">
        <v>28</v>
      </c>
      <c r="AC1349" t="n">
        <v>30</v>
      </c>
      <c r="AD1349" t="n">
        <v>2</v>
      </c>
      <c r="AE1349" t="n">
        <v>2</v>
      </c>
      <c r="AF1349" t="n">
        <v>2</v>
      </c>
      <c r="AG1349" t="n">
        <v>2</v>
      </c>
      <c r="AH1349" t="n">
        <v>0</v>
      </c>
      <c r="AI1349" t="n">
        <v>0</v>
      </c>
      <c r="AJ1349" t="n">
        <v>0</v>
      </c>
      <c r="AK1349" t="n">
        <v>0</v>
      </c>
      <c r="AL1349" t="n">
        <v>1</v>
      </c>
      <c r="AM1349" t="n">
        <v>1</v>
      </c>
      <c r="AN1349" t="n">
        <v>1</v>
      </c>
      <c r="AO1349" t="n">
        <v>1</v>
      </c>
      <c r="AP1349" t="n">
        <v>0</v>
      </c>
      <c r="AQ1349" t="n">
        <v>0</v>
      </c>
      <c r="AR1349" t="inlineStr">
        <is>
          <t>No</t>
        </is>
      </c>
      <c r="AS1349" t="inlineStr">
        <is>
          <t>Yes</t>
        </is>
      </c>
      <c r="AT1349">
        <f>HYPERLINK("http://catalog.hathitrust.org/Record/007585444","HathiTrust Record")</f>
        <v/>
      </c>
      <c r="AU1349">
        <f>HYPERLINK("https://creighton-primo.hosted.exlibrisgroup.com/primo-explore/search?tab=default_tab&amp;search_scope=EVERYTHING&amp;vid=01CRU&amp;lang=en_US&amp;offset=0&amp;query=any,contains,991001225859702656","Catalog Record")</f>
        <v/>
      </c>
      <c r="AV1349">
        <f>HYPERLINK("http://www.worldcat.org/oclc/200004","WorldCat Record")</f>
        <v/>
      </c>
      <c r="AW1349" t="inlineStr">
        <is>
          <t>1250546:eng</t>
        </is>
      </c>
      <c r="AX1349" t="inlineStr">
        <is>
          <t>200004</t>
        </is>
      </c>
      <c r="AY1349" t="inlineStr">
        <is>
          <t>991001225859702656</t>
        </is>
      </c>
      <c r="AZ1349" t="inlineStr">
        <is>
          <t>991001225859702656</t>
        </is>
      </c>
      <c r="BA1349" t="inlineStr">
        <is>
          <t>2257548160002656</t>
        </is>
      </c>
      <c r="BB1349" t="inlineStr">
        <is>
          <t>BOOK</t>
        </is>
      </c>
      <c r="BE1349" t="inlineStr">
        <is>
          <t>32285000615525</t>
        </is>
      </c>
      <c r="BF1349" t="inlineStr">
        <is>
          <t>893784942</t>
        </is>
      </c>
    </row>
    <row r="1350">
      <c r="A1350" t="inlineStr">
        <is>
          <t>No</t>
        </is>
      </c>
      <c r="B1350" t="inlineStr">
        <is>
          <t>CURAL</t>
        </is>
      </c>
      <c r="C1350" t="inlineStr">
        <is>
          <t>SHELVES</t>
        </is>
      </c>
      <c r="D1350" t="inlineStr">
        <is>
          <t>PR3726 .E35 1958a</t>
        </is>
      </c>
      <c r="E1350" t="inlineStr">
        <is>
          <t>0                      PR 3726000E  35          1958a</t>
        </is>
      </c>
      <c r="F1350" t="inlineStr">
        <is>
          <t>The personality of Jonathan Swift.</t>
        </is>
      </c>
      <c r="H1350" t="inlineStr">
        <is>
          <t>No</t>
        </is>
      </c>
      <c r="I1350" t="inlineStr">
        <is>
          <t>1</t>
        </is>
      </c>
      <c r="J1350" t="inlineStr">
        <is>
          <t>No</t>
        </is>
      </c>
      <c r="K1350" t="inlineStr">
        <is>
          <t>No</t>
        </is>
      </c>
      <c r="L1350" t="inlineStr">
        <is>
          <t>0</t>
        </is>
      </c>
      <c r="M1350" t="inlineStr">
        <is>
          <t>Ehrenpreis, Irvin, 1920-1985.</t>
        </is>
      </c>
      <c r="N1350" t="inlineStr">
        <is>
          <t>Cambridge : Harvard Univ. Press, 1958.</t>
        </is>
      </c>
      <c r="O1350" t="inlineStr">
        <is>
          <t>1958</t>
        </is>
      </c>
      <c r="Q1350" t="inlineStr">
        <is>
          <t>eng</t>
        </is>
      </c>
      <c r="R1350" t="inlineStr">
        <is>
          <t xml:space="preserve">xx </t>
        </is>
      </c>
      <c r="T1350" t="inlineStr">
        <is>
          <t xml:space="preserve">PR </t>
        </is>
      </c>
      <c r="U1350" t="n">
        <v>3</v>
      </c>
      <c r="V1350" t="n">
        <v>3</v>
      </c>
      <c r="W1350" t="inlineStr">
        <is>
          <t>2002-03-20</t>
        </is>
      </c>
      <c r="X1350" t="inlineStr">
        <is>
          <t>2002-03-20</t>
        </is>
      </c>
      <c r="Y1350" t="inlineStr">
        <is>
          <t>1995-03-23</t>
        </is>
      </c>
      <c r="Z1350" t="inlineStr">
        <is>
          <t>1995-03-23</t>
        </is>
      </c>
      <c r="AA1350" t="n">
        <v>292</v>
      </c>
      <c r="AB1350" t="n">
        <v>269</v>
      </c>
      <c r="AC1350" t="n">
        <v>686</v>
      </c>
      <c r="AD1350" t="n">
        <v>1</v>
      </c>
      <c r="AE1350" t="n">
        <v>7</v>
      </c>
      <c r="AF1350" t="n">
        <v>17</v>
      </c>
      <c r="AG1350" t="n">
        <v>38</v>
      </c>
      <c r="AH1350" t="n">
        <v>5</v>
      </c>
      <c r="AI1350" t="n">
        <v>15</v>
      </c>
      <c r="AJ1350" t="n">
        <v>6</v>
      </c>
      <c r="AK1350" t="n">
        <v>7</v>
      </c>
      <c r="AL1350" t="n">
        <v>9</v>
      </c>
      <c r="AM1350" t="n">
        <v>18</v>
      </c>
      <c r="AN1350" t="n">
        <v>0</v>
      </c>
      <c r="AO1350" t="n">
        <v>6</v>
      </c>
      <c r="AP1350" t="n">
        <v>0</v>
      </c>
      <c r="AQ1350" t="n">
        <v>0</v>
      </c>
      <c r="AR1350" t="inlineStr">
        <is>
          <t>Yes</t>
        </is>
      </c>
      <c r="AS1350" t="inlineStr">
        <is>
          <t>No</t>
        </is>
      </c>
      <c r="AT1350">
        <f>HYPERLINK("http://catalog.hathitrust.org/Record/006548963","HathiTrust Record")</f>
        <v/>
      </c>
      <c r="AU1350">
        <f>HYPERLINK("https://creighton-primo.hosted.exlibrisgroup.com/primo-explore/search?tab=default_tab&amp;search_scope=EVERYTHING&amp;vid=01CRU&amp;lang=en_US&amp;offset=0&amp;query=any,contains,991003729449702656","Catalog Record")</f>
        <v/>
      </c>
      <c r="AV1350">
        <f>HYPERLINK("http://www.worldcat.org/oclc/1379817","WorldCat Record")</f>
        <v/>
      </c>
      <c r="AW1350" t="inlineStr">
        <is>
          <t>19874839:eng</t>
        </is>
      </c>
      <c r="AX1350" t="inlineStr">
        <is>
          <t>1379817</t>
        </is>
      </c>
      <c r="AY1350" t="inlineStr">
        <is>
          <t>991003729449702656</t>
        </is>
      </c>
      <c r="AZ1350" t="inlineStr">
        <is>
          <t>991003729449702656</t>
        </is>
      </c>
      <c r="BA1350" t="inlineStr">
        <is>
          <t>2256621740002656</t>
        </is>
      </c>
      <c r="BB1350" t="inlineStr">
        <is>
          <t>BOOK</t>
        </is>
      </c>
      <c r="BE1350" t="inlineStr">
        <is>
          <t>32285002013257</t>
        </is>
      </c>
      <c r="BF1350" t="inlineStr">
        <is>
          <t>893875086</t>
        </is>
      </c>
    </row>
    <row r="1351">
      <c r="A1351" t="inlineStr">
        <is>
          <t>No</t>
        </is>
      </c>
      <c r="B1351" t="inlineStr">
        <is>
          <t>CURAL</t>
        </is>
      </c>
      <c r="C1351" t="inlineStr">
        <is>
          <t>SHELVES</t>
        </is>
      </c>
      <c r="D1351" t="inlineStr">
        <is>
          <t>PR3726 .E37</t>
        </is>
      </c>
      <c r="E1351" t="inlineStr">
        <is>
          <t>0                      PR 3726000E  37</t>
        </is>
      </c>
      <c r="F1351" t="inlineStr">
        <is>
          <t>Swift : the man, his works, and the age / Irvin Ehrenpreis.</t>
        </is>
      </c>
      <c r="G1351" t="inlineStr">
        <is>
          <t>V.2</t>
        </is>
      </c>
      <c r="H1351" t="inlineStr">
        <is>
          <t>Yes</t>
        </is>
      </c>
      <c r="I1351" t="inlineStr">
        <is>
          <t>1</t>
        </is>
      </c>
      <c r="J1351" t="inlineStr">
        <is>
          <t>No</t>
        </is>
      </c>
      <c r="K1351" t="inlineStr">
        <is>
          <t>No</t>
        </is>
      </c>
      <c r="L1351" t="inlineStr">
        <is>
          <t>0</t>
        </is>
      </c>
      <c r="M1351" t="inlineStr">
        <is>
          <t>Ehrenpreis, Irvin, 1920-1985.</t>
        </is>
      </c>
      <c r="N1351" t="inlineStr">
        <is>
          <t>Cambridge, Harvard University Press, 1962-1983.</t>
        </is>
      </c>
      <c r="O1351" t="inlineStr">
        <is>
          <t>1962</t>
        </is>
      </c>
      <c r="Q1351" t="inlineStr">
        <is>
          <t>eng</t>
        </is>
      </c>
      <c r="R1351" t="inlineStr">
        <is>
          <t>mau</t>
        </is>
      </c>
      <c r="T1351" t="inlineStr">
        <is>
          <t xml:space="preserve">PR </t>
        </is>
      </c>
      <c r="U1351" t="n">
        <v>0</v>
      </c>
      <c r="V1351" t="n">
        <v>1</v>
      </c>
      <c r="X1351" t="inlineStr">
        <is>
          <t>1992-10-07</t>
        </is>
      </c>
      <c r="Y1351" t="inlineStr">
        <is>
          <t>1994-02-17</t>
        </is>
      </c>
      <c r="Z1351" t="inlineStr">
        <is>
          <t>1994-02-17</t>
        </is>
      </c>
      <c r="AA1351" t="n">
        <v>1159</v>
      </c>
      <c r="AB1351" t="n">
        <v>1093</v>
      </c>
      <c r="AC1351" t="n">
        <v>1239</v>
      </c>
      <c r="AD1351" t="n">
        <v>10</v>
      </c>
      <c r="AE1351" t="n">
        <v>11</v>
      </c>
      <c r="AF1351" t="n">
        <v>53</v>
      </c>
      <c r="AG1351" t="n">
        <v>58</v>
      </c>
      <c r="AH1351" t="n">
        <v>24</v>
      </c>
      <c r="AI1351" t="n">
        <v>26</v>
      </c>
      <c r="AJ1351" t="n">
        <v>8</v>
      </c>
      <c r="AK1351" t="n">
        <v>10</v>
      </c>
      <c r="AL1351" t="n">
        <v>21</v>
      </c>
      <c r="AM1351" t="n">
        <v>26</v>
      </c>
      <c r="AN1351" t="n">
        <v>9</v>
      </c>
      <c r="AO1351" t="n">
        <v>9</v>
      </c>
      <c r="AP1351" t="n">
        <v>0</v>
      </c>
      <c r="AQ1351" t="n">
        <v>0</v>
      </c>
      <c r="AR1351" t="inlineStr">
        <is>
          <t>No</t>
        </is>
      </c>
      <c r="AS1351" t="inlineStr">
        <is>
          <t>No</t>
        </is>
      </c>
      <c r="AT1351">
        <f>HYPERLINK("http://catalog.hathitrust.org/Record/004460463","HathiTrust Record")</f>
        <v/>
      </c>
      <c r="AU1351">
        <f>HYPERLINK("https://creighton-primo.hosted.exlibrisgroup.com/primo-explore/search?tab=default_tab&amp;search_scope=EVERYTHING&amp;vid=01CRU&amp;lang=en_US&amp;offset=0&amp;query=any,contains,991001923329702656","Catalog Record")</f>
        <v/>
      </c>
      <c r="AV1351">
        <f>HYPERLINK("http://www.worldcat.org/oclc/245838","WorldCat Record")</f>
        <v/>
      </c>
      <c r="AW1351" t="inlineStr">
        <is>
          <t>2863432152:eng</t>
        </is>
      </c>
      <c r="AX1351" t="inlineStr">
        <is>
          <t>245838</t>
        </is>
      </c>
      <c r="AY1351" t="inlineStr">
        <is>
          <t>991001923329702656</t>
        </is>
      </c>
      <c r="AZ1351" t="inlineStr">
        <is>
          <t>991001923329702656</t>
        </is>
      </c>
      <c r="BA1351" t="inlineStr">
        <is>
          <t>2267051290002656</t>
        </is>
      </c>
      <c r="BB1351" t="inlineStr">
        <is>
          <t>BOOK</t>
        </is>
      </c>
      <c r="BD1351" t="inlineStr">
        <is>
          <t>9780674858350</t>
        </is>
      </c>
      <c r="BE1351" t="inlineStr">
        <is>
          <t>32285001839124</t>
        </is>
      </c>
      <c r="BF1351" t="inlineStr">
        <is>
          <t>893898181</t>
        </is>
      </c>
    </row>
    <row r="1352">
      <c r="A1352" t="inlineStr">
        <is>
          <t>No</t>
        </is>
      </c>
      <c r="B1352" t="inlineStr">
        <is>
          <t>CURAL</t>
        </is>
      </c>
      <c r="C1352" t="inlineStr">
        <is>
          <t>SHELVES</t>
        </is>
      </c>
      <c r="D1352" t="inlineStr">
        <is>
          <t>PR3726 .E37</t>
        </is>
      </c>
      <c r="E1352" t="inlineStr">
        <is>
          <t>0                      PR 3726000E  37</t>
        </is>
      </c>
      <c r="F1352" t="inlineStr">
        <is>
          <t>Swift : the man, his works, and the age / Irvin Ehrenpreis.</t>
        </is>
      </c>
      <c r="G1352" t="inlineStr">
        <is>
          <t>V.3</t>
        </is>
      </c>
      <c r="H1352" t="inlineStr">
        <is>
          <t>Yes</t>
        </is>
      </c>
      <c r="I1352" t="inlineStr">
        <is>
          <t>1</t>
        </is>
      </c>
      <c r="J1352" t="inlineStr">
        <is>
          <t>No</t>
        </is>
      </c>
      <c r="K1352" t="inlineStr">
        <is>
          <t>No</t>
        </is>
      </c>
      <c r="L1352" t="inlineStr">
        <is>
          <t>0</t>
        </is>
      </c>
      <c r="M1352" t="inlineStr">
        <is>
          <t>Ehrenpreis, Irvin, 1920-1985.</t>
        </is>
      </c>
      <c r="N1352" t="inlineStr">
        <is>
          <t>Cambridge, Harvard University Press, 1962-1983.</t>
        </is>
      </c>
      <c r="O1352" t="inlineStr">
        <is>
          <t>1962</t>
        </is>
      </c>
      <c r="Q1352" t="inlineStr">
        <is>
          <t>eng</t>
        </is>
      </c>
      <c r="R1352" t="inlineStr">
        <is>
          <t>mau</t>
        </is>
      </c>
      <c r="T1352" t="inlineStr">
        <is>
          <t xml:space="preserve">PR </t>
        </is>
      </c>
      <c r="U1352" t="n">
        <v>1</v>
      </c>
      <c r="V1352" t="n">
        <v>1</v>
      </c>
      <c r="W1352" t="inlineStr">
        <is>
          <t>1992-10-07</t>
        </is>
      </c>
      <c r="X1352" t="inlineStr">
        <is>
          <t>1992-10-07</t>
        </is>
      </c>
      <c r="Y1352" t="inlineStr">
        <is>
          <t>1991-06-06</t>
        </is>
      </c>
      <c r="Z1352" t="inlineStr">
        <is>
          <t>1994-02-17</t>
        </is>
      </c>
      <c r="AA1352" t="n">
        <v>1159</v>
      </c>
      <c r="AB1352" t="n">
        <v>1093</v>
      </c>
      <c r="AC1352" t="n">
        <v>1239</v>
      </c>
      <c r="AD1352" t="n">
        <v>10</v>
      </c>
      <c r="AE1352" t="n">
        <v>11</v>
      </c>
      <c r="AF1352" t="n">
        <v>53</v>
      </c>
      <c r="AG1352" t="n">
        <v>58</v>
      </c>
      <c r="AH1352" t="n">
        <v>24</v>
      </c>
      <c r="AI1352" t="n">
        <v>26</v>
      </c>
      <c r="AJ1352" t="n">
        <v>8</v>
      </c>
      <c r="AK1352" t="n">
        <v>10</v>
      </c>
      <c r="AL1352" t="n">
        <v>21</v>
      </c>
      <c r="AM1352" t="n">
        <v>26</v>
      </c>
      <c r="AN1352" t="n">
        <v>9</v>
      </c>
      <c r="AO1352" t="n">
        <v>9</v>
      </c>
      <c r="AP1352" t="n">
        <v>0</v>
      </c>
      <c r="AQ1352" t="n">
        <v>0</v>
      </c>
      <c r="AR1352" t="inlineStr">
        <is>
          <t>No</t>
        </is>
      </c>
      <c r="AS1352" t="inlineStr">
        <is>
          <t>No</t>
        </is>
      </c>
      <c r="AT1352">
        <f>HYPERLINK("http://catalog.hathitrust.org/Record/004460463","HathiTrust Record")</f>
        <v/>
      </c>
      <c r="AU1352">
        <f>HYPERLINK("https://creighton-primo.hosted.exlibrisgroup.com/primo-explore/search?tab=default_tab&amp;search_scope=EVERYTHING&amp;vid=01CRU&amp;lang=en_US&amp;offset=0&amp;query=any,contains,991001923329702656","Catalog Record")</f>
        <v/>
      </c>
      <c r="AV1352">
        <f>HYPERLINK("http://www.worldcat.org/oclc/245838","WorldCat Record")</f>
        <v/>
      </c>
      <c r="AW1352" t="inlineStr">
        <is>
          <t>2863432152:eng</t>
        </is>
      </c>
      <c r="AX1352" t="inlineStr">
        <is>
          <t>245838</t>
        </is>
      </c>
      <c r="AY1352" t="inlineStr">
        <is>
          <t>991001923329702656</t>
        </is>
      </c>
      <c r="AZ1352" t="inlineStr">
        <is>
          <t>991001923329702656</t>
        </is>
      </c>
      <c r="BA1352" t="inlineStr">
        <is>
          <t>2267051290002656</t>
        </is>
      </c>
      <c r="BB1352" t="inlineStr">
        <is>
          <t>BOOK</t>
        </is>
      </c>
      <c r="BD1352" t="inlineStr">
        <is>
          <t>9780674858350</t>
        </is>
      </c>
      <c r="BE1352" t="inlineStr">
        <is>
          <t>32285000615533</t>
        </is>
      </c>
      <c r="BF1352" t="inlineStr">
        <is>
          <t>893891940</t>
        </is>
      </c>
    </row>
    <row r="1353">
      <c r="A1353" t="inlineStr">
        <is>
          <t>No</t>
        </is>
      </c>
      <c r="B1353" t="inlineStr">
        <is>
          <t>CURAL</t>
        </is>
      </c>
      <c r="C1353" t="inlineStr">
        <is>
          <t>SHELVES</t>
        </is>
      </c>
      <c r="D1353" t="inlineStr">
        <is>
          <t>PR3726 .E37</t>
        </is>
      </c>
      <c r="E1353" t="inlineStr">
        <is>
          <t>0                      PR 3726000E  37</t>
        </is>
      </c>
      <c r="F1353" t="inlineStr">
        <is>
          <t>Swift : the man, his works, and the age / Irvin Ehrenpreis.</t>
        </is>
      </c>
      <c r="G1353" t="inlineStr">
        <is>
          <t>V.1</t>
        </is>
      </c>
      <c r="H1353" t="inlineStr">
        <is>
          <t>Yes</t>
        </is>
      </c>
      <c r="I1353" t="inlineStr">
        <is>
          <t>1</t>
        </is>
      </c>
      <c r="J1353" t="inlineStr">
        <is>
          <t>No</t>
        </is>
      </c>
      <c r="K1353" t="inlineStr">
        <is>
          <t>No</t>
        </is>
      </c>
      <c r="L1353" t="inlineStr">
        <is>
          <t>0</t>
        </is>
      </c>
      <c r="M1353" t="inlineStr">
        <is>
          <t>Ehrenpreis, Irvin, 1920-1985.</t>
        </is>
      </c>
      <c r="N1353" t="inlineStr">
        <is>
          <t>Cambridge, Harvard University Press, 1962-1983.</t>
        </is>
      </c>
      <c r="O1353" t="inlineStr">
        <is>
          <t>1962</t>
        </is>
      </c>
      <c r="Q1353" t="inlineStr">
        <is>
          <t>eng</t>
        </is>
      </c>
      <c r="R1353" t="inlineStr">
        <is>
          <t>mau</t>
        </is>
      </c>
      <c r="T1353" t="inlineStr">
        <is>
          <t xml:space="preserve">PR </t>
        </is>
      </c>
      <c r="U1353" t="n">
        <v>0</v>
      </c>
      <c r="V1353" t="n">
        <v>1</v>
      </c>
      <c r="X1353" t="inlineStr">
        <is>
          <t>1992-10-07</t>
        </is>
      </c>
      <c r="Y1353" t="inlineStr">
        <is>
          <t>1994-02-17</t>
        </is>
      </c>
      <c r="Z1353" t="inlineStr">
        <is>
          <t>1994-02-17</t>
        </is>
      </c>
      <c r="AA1353" t="n">
        <v>1159</v>
      </c>
      <c r="AB1353" t="n">
        <v>1093</v>
      </c>
      <c r="AC1353" t="n">
        <v>1239</v>
      </c>
      <c r="AD1353" t="n">
        <v>10</v>
      </c>
      <c r="AE1353" t="n">
        <v>11</v>
      </c>
      <c r="AF1353" t="n">
        <v>53</v>
      </c>
      <c r="AG1353" t="n">
        <v>58</v>
      </c>
      <c r="AH1353" t="n">
        <v>24</v>
      </c>
      <c r="AI1353" t="n">
        <v>26</v>
      </c>
      <c r="AJ1353" t="n">
        <v>8</v>
      </c>
      <c r="AK1353" t="n">
        <v>10</v>
      </c>
      <c r="AL1353" t="n">
        <v>21</v>
      </c>
      <c r="AM1353" t="n">
        <v>26</v>
      </c>
      <c r="AN1353" t="n">
        <v>9</v>
      </c>
      <c r="AO1353" t="n">
        <v>9</v>
      </c>
      <c r="AP1353" t="n">
        <v>0</v>
      </c>
      <c r="AQ1353" t="n">
        <v>0</v>
      </c>
      <c r="AR1353" t="inlineStr">
        <is>
          <t>No</t>
        </is>
      </c>
      <c r="AS1353" t="inlineStr">
        <is>
          <t>No</t>
        </is>
      </c>
      <c r="AT1353">
        <f>HYPERLINK("http://catalog.hathitrust.org/Record/004460463","HathiTrust Record")</f>
        <v/>
      </c>
      <c r="AU1353">
        <f>HYPERLINK("https://creighton-primo.hosted.exlibrisgroup.com/primo-explore/search?tab=default_tab&amp;search_scope=EVERYTHING&amp;vid=01CRU&amp;lang=en_US&amp;offset=0&amp;query=any,contains,991001923329702656","Catalog Record")</f>
        <v/>
      </c>
      <c r="AV1353">
        <f>HYPERLINK("http://www.worldcat.org/oclc/245838","WorldCat Record")</f>
        <v/>
      </c>
      <c r="AW1353" t="inlineStr">
        <is>
          <t>2863432152:eng</t>
        </is>
      </c>
      <c r="AX1353" t="inlineStr">
        <is>
          <t>245838</t>
        </is>
      </c>
      <c r="AY1353" t="inlineStr">
        <is>
          <t>991001923329702656</t>
        </is>
      </c>
      <c r="AZ1353" t="inlineStr">
        <is>
          <t>991001923329702656</t>
        </is>
      </c>
      <c r="BA1353" t="inlineStr">
        <is>
          <t>2267051290002656</t>
        </is>
      </c>
      <c r="BB1353" t="inlineStr">
        <is>
          <t>BOOK</t>
        </is>
      </c>
      <c r="BD1353" t="inlineStr">
        <is>
          <t>9780674858350</t>
        </is>
      </c>
      <c r="BE1353" t="inlineStr">
        <is>
          <t>32285001838779</t>
        </is>
      </c>
      <c r="BF1353" t="inlineStr">
        <is>
          <t>893879305</t>
        </is>
      </c>
    </row>
    <row r="1354">
      <c r="A1354" t="inlineStr">
        <is>
          <t>No</t>
        </is>
      </c>
      <c r="B1354" t="inlineStr">
        <is>
          <t>CURAL</t>
        </is>
      </c>
      <c r="C1354" t="inlineStr">
        <is>
          <t>SHELVES</t>
        </is>
      </c>
      <c r="D1354" t="inlineStr">
        <is>
          <t>PR3726 .G64</t>
        </is>
      </c>
      <c r="E1354" t="inlineStr">
        <is>
          <t>0                      PR 3726000G  64</t>
        </is>
      </c>
      <c r="F1354" t="inlineStr">
        <is>
          <t>Jonathan Swift, giant in chains / by Frank Stier Goodwin.</t>
        </is>
      </c>
      <c r="H1354" t="inlineStr">
        <is>
          <t>No</t>
        </is>
      </c>
      <c r="I1354" t="inlineStr">
        <is>
          <t>1</t>
        </is>
      </c>
      <c r="J1354" t="inlineStr">
        <is>
          <t>No</t>
        </is>
      </c>
      <c r="K1354" t="inlineStr">
        <is>
          <t>No</t>
        </is>
      </c>
      <c r="L1354" t="inlineStr">
        <is>
          <t>0</t>
        </is>
      </c>
      <c r="M1354" t="inlineStr">
        <is>
          <t>Goodwin, Frank Stier.</t>
        </is>
      </c>
      <c r="N1354" t="inlineStr">
        <is>
          <t>New York : Liveright Publishing Corporation, [c1940]</t>
        </is>
      </c>
      <c r="O1354" t="inlineStr">
        <is>
          <t>1940</t>
        </is>
      </c>
      <c r="Q1354" t="inlineStr">
        <is>
          <t>eng</t>
        </is>
      </c>
      <c r="R1354" t="inlineStr">
        <is>
          <t>nyu</t>
        </is>
      </c>
      <c r="T1354" t="inlineStr">
        <is>
          <t xml:space="preserve">PR </t>
        </is>
      </c>
      <c r="U1354" t="n">
        <v>1</v>
      </c>
      <c r="V1354" t="n">
        <v>1</v>
      </c>
      <c r="W1354" t="inlineStr">
        <is>
          <t>1995-07-12</t>
        </is>
      </c>
      <c r="X1354" t="inlineStr">
        <is>
          <t>1995-07-12</t>
        </is>
      </c>
      <c r="Y1354" t="inlineStr">
        <is>
          <t>1995-09-18</t>
        </is>
      </c>
      <c r="Z1354" t="inlineStr">
        <is>
          <t>1995-09-18</t>
        </is>
      </c>
      <c r="AA1354" t="n">
        <v>416</v>
      </c>
      <c r="AB1354" t="n">
        <v>389</v>
      </c>
      <c r="AC1354" t="n">
        <v>396</v>
      </c>
      <c r="AD1354" t="n">
        <v>3</v>
      </c>
      <c r="AE1354" t="n">
        <v>3</v>
      </c>
      <c r="AF1354" t="n">
        <v>26</v>
      </c>
      <c r="AG1354" t="n">
        <v>26</v>
      </c>
      <c r="AH1354" t="n">
        <v>9</v>
      </c>
      <c r="AI1354" t="n">
        <v>9</v>
      </c>
      <c r="AJ1354" t="n">
        <v>6</v>
      </c>
      <c r="AK1354" t="n">
        <v>6</v>
      </c>
      <c r="AL1354" t="n">
        <v>17</v>
      </c>
      <c r="AM1354" t="n">
        <v>17</v>
      </c>
      <c r="AN1354" t="n">
        <v>1</v>
      </c>
      <c r="AO1354" t="n">
        <v>1</v>
      </c>
      <c r="AP1354" t="n">
        <v>0</v>
      </c>
      <c r="AQ1354" t="n">
        <v>0</v>
      </c>
      <c r="AR1354" t="inlineStr">
        <is>
          <t>No</t>
        </is>
      </c>
      <c r="AS1354" t="inlineStr">
        <is>
          <t>Yes</t>
        </is>
      </c>
      <c r="AT1354">
        <f>HYPERLINK("http://catalog.hathitrust.org/Record/001186756","HathiTrust Record")</f>
        <v/>
      </c>
      <c r="AU1354">
        <f>HYPERLINK("https://creighton-primo.hosted.exlibrisgroup.com/primo-explore/search?tab=default_tab&amp;search_scope=EVERYTHING&amp;vid=01CRU&amp;lang=en_US&amp;offset=0&amp;query=any,contains,991002480589702656","Catalog Record")</f>
        <v/>
      </c>
      <c r="AV1354">
        <f>HYPERLINK("http://www.worldcat.org/oclc/359640","WorldCat Record")</f>
        <v/>
      </c>
      <c r="AW1354" t="inlineStr">
        <is>
          <t>1409648:eng</t>
        </is>
      </c>
      <c r="AX1354" t="inlineStr">
        <is>
          <t>359640</t>
        </is>
      </c>
      <c r="AY1354" t="inlineStr">
        <is>
          <t>991002480589702656</t>
        </is>
      </c>
      <c r="AZ1354" t="inlineStr">
        <is>
          <t>991002480589702656</t>
        </is>
      </c>
      <c r="BA1354" t="inlineStr">
        <is>
          <t>2272343950002656</t>
        </is>
      </c>
      <c r="BB1354" t="inlineStr">
        <is>
          <t>BOOK</t>
        </is>
      </c>
      <c r="BE1354" t="inlineStr">
        <is>
          <t>32285002023827</t>
        </is>
      </c>
      <c r="BF1354" t="inlineStr">
        <is>
          <t>893251295</t>
        </is>
      </c>
    </row>
    <row r="1355">
      <c r="A1355" t="inlineStr">
        <is>
          <t>No</t>
        </is>
      </c>
      <c r="B1355" t="inlineStr">
        <is>
          <t>CURAL</t>
        </is>
      </c>
      <c r="C1355" t="inlineStr">
        <is>
          <t>SHELVES</t>
        </is>
      </c>
      <c r="D1355" t="inlineStr">
        <is>
          <t>PR3726 .G7</t>
        </is>
      </c>
      <c r="E1355" t="inlineStr">
        <is>
          <t>0                      PR 3726000G  7</t>
        </is>
      </c>
      <c r="F1355" t="inlineStr">
        <is>
          <t>Swift and Carroll : a psychoanalytic study of two lives.</t>
        </is>
      </c>
      <c r="H1355" t="inlineStr">
        <is>
          <t>No</t>
        </is>
      </c>
      <c r="I1355" t="inlineStr">
        <is>
          <t>1</t>
        </is>
      </c>
      <c r="J1355" t="inlineStr">
        <is>
          <t>No</t>
        </is>
      </c>
      <c r="K1355" t="inlineStr">
        <is>
          <t>No</t>
        </is>
      </c>
      <c r="L1355" t="inlineStr">
        <is>
          <t>0</t>
        </is>
      </c>
      <c r="M1355" t="inlineStr">
        <is>
          <t>Greenacre, Phyllis.</t>
        </is>
      </c>
      <c r="N1355" t="inlineStr">
        <is>
          <t>New York : International Universities Press, [c1955]</t>
        </is>
      </c>
      <c r="O1355" t="inlineStr">
        <is>
          <t>1955</t>
        </is>
      </c>
      <c r="Q1355" t="inlineStr">
        <is>
          <t>eng</t>
        </is>
      </c>
      <c r="R1355" t="inlineStr">
        <is>
          <t xml:space="preserve">xx </t>
        </is>
      </c>
      <c r="T1355" t="inlineStr">
        <is>
          <t xml:space="preserve">PR </t>
        </is>
      </c>
      <c r="U1355" t="n">
        <v>1</v>
      </c>
      <c r="V1355" t="n">
        <v>1</v>
      </c>
      <c r="W1355" t="inlineStr">
        <is>
          <t>1999-03-26</t>
        </is>
      </c>
      <c r="X1355" t="inlineStr">
        <is>
          <t>1999-03-26</t>
        </is>
      </c>
      <c r="Y1355" t="inlineStr">
        <is>
          <t>1997-07-25</t>
        </is>
      </c>
      <c r="Z1355" t="inlineStr">
        <is>
          <t>1997-07-25</t>
        </is>
      </c>
      <c r="AA1355" t="n">
        <v>604</v>
      </c>
      <c r="AB1355" t="n">
        <v>538</v>
      </c>
      <c r="AC1355" t="n">
        <v>547</v>
      </c>
      <c r="AD1355" t="n">
        <v>7</v>
      </c>
      <c r="AE1355" t="n">
        <v>7</v>
      </c>
      <c r="AF1355" t="n">
        <v>27</v>
      </c>
      <c r="AG1355" t="n">
        <v>27</v>
      </c>
      <c r="AH1355" t="n">
        <v>11</v>
      </c>
      <c r="AI1355" t="n">
        <v>11</v>
      </c>
      <c r="AJ1355" t="n">
        <v>5</v>
      </c>
      <c r="AK1355" t="n">
        <v>5</v>
      </c>
      <c r="AL1355" t="n">
        <v>12</v>
      </c>
      <c r="AM1355" t="n">
        <v>12</v>
      </c>
      <c r="AN1355" t="n">
        <v>6</v>
      </c>
      <c r="AO1355" t="n">
        <v>6</v>
      </c>
      <c r="AP1355" t="n">
        <v>0</v>
      </c>
      <c r="AQ1355" t="n">
        <v>0</v>
      </c>
      <c r="AR1355" t="inlineStr">
        <is>
          <t>No</t>
        </is>
      </c>
      <c r="AS1355" t="inlineStr">
        <is>
          <t>Yes</t>
        </is>
      </c>
      <c r="AT1355">
        <f>HYPERLINK("http://catalog.hathitrust.org/Record/001194664","HathiTrust Record")</f>
        <v/>
      </c>
      <c r="AU1355">
        <f>HYPERLINK("https://creighton-primo.hosted.exlibrisgroup.com/primo-explore/search?tab=default_tab&amp;search_scope=EVERYTHING&amp;vid=01CRU&amp;lang=en_US&amp;offset=0&amp;query=any,contains,991003098849702656","Catalog Record")</f>
        <v/>
      </c>
      <c r="AV1355">
        <f>HYPERLINK("http://www.worldcat.org/oclc/648404","WorldCat Record")</f>
        <v/>
      </c>
      <c r="AW1355" t="inlineStr">
        <is>
          <t>287969549:eng</t>
        </is>
      </c>
      <c r="AX1355" t="inlineStr">
        <is>
          <t>648404</t>
        </is>
      </c>
      <c r="AY1355" t="inlineStr">
        <is>
          <t>991003098849702656</t>
        </is>
      </c>
      <c r="AZ1355" t="inlineStr">
        <is>
          <t>991003098849702656</t>
        </is>
      </c>
      <c r="BA1355" t="inlineStr">
        <is>
          <t>2256418910002656</t>
        </is>
      </c>
      <c r="BB1355" t="inlineStr">
        <is>
          <t>BOOK</t>
        </is>
      </c>
      <c r="BE1355" t="inlineStr">
        <is>
          <t>32285002961935</t>
        </is>
      </c>
      <c r="BF1355" t="inlineStr">
        <is>
          <t>893317645</t>
        </is>
      </c>
    </row>
    <row r="1356">
      <c r="A1356" t="inlineStr">
        <is>
          <t>No</t>
        </is>
      </c>
      <c r="B1356" t="inlineStr">
        <is>
          <t>CURAL</t>
        </is>
      </c>
      <c r="C1356" t="inlineStr">
        <is>
          <t>SHELVES</t>
        </is>
      </c>
      <c r="D1356" t="inlineStr">
        <is>
          <t>PR3726 .J3</t>
        </is>
      </c>
      <c r="E1356" t="inlineStr">
        <is>
          <t>0                      PR 3726000J  3</t>
        </is>
      </c>
      <c r="F1356" t="inlineStr">
        <is>
          <t>The poet Swift / Nora Crow Jaffe.</t>
        </is>
      </c>
      <c r="H1356" t="inlineStr">
        <is>
          <t>No</t>
        </is>
      </c>
      <c r="I1356" t="inlineStr">
        <is>
          <t>1</t>
        </is>
      </c>
      <c r="J1356" t="inlineStr">
        <is>
          <t>No</t>
        </is>
      </c>
      <c r="K1356" t="inlineStr">
        <is>
          <t>No</t>
        </is>
      </c>
      <c r="L1356" t="inlineStr">
        <is>
          <t>0</t>
        </is>
      </c>
      <c r="M1356" t="inlineStr">
        <is>
          <t>Jaffe, Nora.</t>
        </is>
      </c>
      <c r="N1356" t="inlineStr">
        <is>
          <t>Hanover, N.H. : University Press of New England, 1977.</t>
        </is>
      </c>
      <c r="O1356" t="inlineStr">
        <is>
          <t>1977</t>
        </is>
      </c>
      <c r="Q1356" t="inlineStr">
        <is>
          <t>eng</t>
        </is>
      </c>
      <c r="R1356" t="inlineStr">
        <is>
          <t>nhu</t>
        </is>
      </c>
      <c r="T1356" t="inlineStr">
        <is>
          <t xml:space="preserve">PR </t>
        </is>
      </c>
      <c r="U1356" t="n">
        <v>2</v>
      </c>
      <c r="V1356" t="n">
        <v>2</v>
      </c>
      <c r="W1356" t="inlineStr">
        <is>
          <t>1997-11-03</t>
        </is>
      </c>
      <c r="X1356" t="inlineStr">
        <is>
          <t>1997-11-03</t>
        </is>
      </c>
      <c r="Y1356" t="inlineStr">
        <is>
          <t>1997-07-25</t>
        </is>
      </c>
      <c r="Z1356" t="inlineStr">
        <is>
          <t>1997-07-25</t>
        </is>
      </c>
      <c r="AA1356" t="n">
        <v>668</v>
      </c>
      <c r="AB1356" t="n">
        <v>550</v>
      </c>
      <c r="AC1356" t="n">
        <v>557</v>
      </c>
      <c r="AD1356" t="n">
        <v>5</v>
      </c>
      <c r="AE1356" t="n">
        <v>5</v>
      </c>
      <c r="AF1356" t="n">
        <v>31</v>
      </c>
      <c r="AG1356" t="n">
        <v>31</v>
      </c>
      <c r="AH1356" t="n">
        <v>10</v>
      </c>
      <c r="AI1356" t="n">
        <v>10</v>
      </c>
      <c r="AJ1356" t="n">
        <v>9</v>
      </c>
      <c r="AK1356" t="n">
        <v>9</v>
      </c>
      <c r="AL1356" t="n">
        <v>18</v>
      </c>
      <c r="AM1356" t="n">
        <v>18</v>
      </c>
      <c r="AN1356" t="n">
        <v>4</v>
      </c>
      <c r="AO1356" t="n">
        <v>4</v>
      </c>
      <c r="AP1356" t="n">
        <v>0</v>
      </c>
      <c r="AQ1356" t="n">
        <v>0</v>
      </c>
      <c r="AR1356" t="inlineStr">
        <is>
          <t>No</t>
        </is>
      </c>
      <c r="AS1356" t="inlineStr">
        <is>
          <t>Yes</t>
        </is>
      </c>
      <c r="AT1356">
        <f>HYPERLINK("http://catalog.hathitrust.org/Record/000749250","HathiTrust Record")</f>
        <v/>
      </c>
      <c r="AU1356">
        <f>HYPERLINK("https://creighton-primo.hosted.exlibrisgroup.com/primo-explore/search?tab=default_tab&amp;search_scope=EVERYTHING&amp;vid=01CRU&amp;lang=en_US&amp;offset=0&amp;query=any,contains,991004408449702656","Catalog Record")</f>
        <v/>
      </c>
      <c r="AV1356">
        <f>HYPERLINK("http://www.worldcat.org/oclc/3329943","WorldCat Record")</f>
        <v/>
      </c>
      <c r="AW1356" t="inlineStr">
        <is>
          <t>9780051:eng</t>
        </is>
      </c>
      <c r="AX1356" t="inlineStr">
        <is>
          <t>3329943</t>
        </is>
      </c>
      <c r="AY1356" t="inlineStr">
        <is>
          <t>991004408449702656</t>
        </is>
      </c>
      <c r="AZ1356" t="inlineStr">
        <is>
          <t>991004408449702656</t>
        </is>
      </c>
      <c r="BA1356" t="inlineStr">
        <is>
          <t>2268393310002656</t>
        </is>
      </c>
      <c r="BB1356" t="inlineStr">
        <is>
          <t>BOOK</t>
        </is>
      </c>
      <c r="BD1356" t="inlineStr">
        <is>
          <t>9780874511413</t>
        </is>
      </c>
      <c r="BE1356" t="inlineStr">
        <is>
          <t>32285002961950</t>
        </is>
      </c>
      <c r="BF1356" t="inlineStr">
        <is>
          <t>893882447</t>
        </is>
      </c>
    </row>
    <row r="1357">
      <c r="A1357" t="inlineStr">
        <is>
          <t>No</t>
        </is>
      </c>
      <c r="B1357" t="inlineStr">
        <is>
          <t>CURAL</t>
        </is>
      </c>
      <c r="C1357" t="inlineStr">
        <is>
          <t>SHELVES</t>
        </is>
      </c>
      <c r="D1357" t="inlineStr">
        <is>
          <t>PR3726 .L59 1998</t>
        </is>
      </c>
      <c r="E1357" t="inlineStr">
        <is>
          <t>0                      PR 3726000L  59          1998</t>
        </is>
      </c>
      <c r="F1357" t="inlineStr">
        <is>
          <t>Locating Swift : essays from Dublin on the 250th anniversary of the death of Jonathan Swift, 1667-1745 / Aileen Douglas, Patrick Kelly &amp; Ian Campbell Ross, editors.</t>
        </is>
      </c>
      <c r="H1357" t="inlineStr">
        <is>
          <t>No</t>
        </is>
      </c>
      <c r="I1357" t="inlineStr">
        <is>
          <t>1</t>
        </is>
      </c>
      <c r="J1357" t="inlineStr">
        <is>
          <t>No</t>
        </is>
      </c>
      <c r="K1357" t="inlineStr">
        <is>
          <t>No</t>
        </is>
      </c>
      <c r="L1357" t="inlineStr">
        <is>
          <t>0</t>
        </is>
      </c>
      <c r="N1357" t="inlineStr">
        <is>
          <t>Dublin ; Portland, OR : Four Courts Press, c1998.</t>
        </is>
      </c>
      <c r="O1357" t="inlineStr">
        <is>
          <t>1998</t>
        </is>
      </c>
      <c r="Q1357" t="inlineStr">
        <is>
          <t>eng</t>
        </is>
      </c>
      <c r="R1357" t="inlineStr">
        <is>
          <t xml:space="preserve">ie </t>
        </is>
      </c>
      <c r="T1357" t="inlineStr">
        <is>
          <t xml:space="preserve">PR </t>
        </is>
      </c>
      <c r="U1357" t="n">
        <v>1</v>
      </c>
      <c r="V1357" t="n">
        <v>1</v>
      </c>
      <c r="W1357" t="inlineStr">
        <is>
          <t>2002-11-20</t>
        </is>
      </c>
      <c r="X1357" t="inlineStr">
        <is>
          <t>2002-11-20</t>
        </is>
      </c>
      <c r="Y1357" t="inlineStr">
        <is>
          <t>2002-11-20</t>
        </is>
      </c>
      <c r="Z1357" t="inlineStr">
        <is>
          <t>2002-11-20</t>
        </is>
      </c>
      <c r="AA1357" t="n">
        <v>167</v>
      </c>
      <c r="AB1357" t="n">
        <v>104</v>
      </c>
      <c r="AC1357" t="n">
        <v>142</v>
      </c>
      <c r="AD1357" t="n">
        <v>2</v>
      </c>
      <c r="AE1357" t="n">
        <v>2</v>
      </c>
      <c r="AF1357" t="n">
        <v>7</v>
      </c>
      <c r="AG1357" t="n">
        <v>11</v>
      </c>
      <c r="AH1357" t="n">
        <v>2</v>
      </c>
      <c r="AI1357" t="n">
        <v>3</v>
      </c>
      <c r="AJ1357" t="n">
        <v>1</v>
      </c>
      <c r="AK1357" t="n">
        <v>4</v>
      </c>
      <c r="AL1357" t="n">
        <v>5</v>
      </c>
      <c r="AM1357" t="n">
        <v>7</v>
      </c>
      <c r="AN1357" t="n">
        <v>1</v>
      </c>
      <c r="AO1357" t="n">
        <v>1</v>
      </c>
      <c r="AP1357" t="n">
        <v>0</v>
      </c>
      <c r="AQ1357" t="n">
        <v>0</v>
      </c>
      <c r="AR1357" t="inlineStr">
        <is>
          <t>No</t>
        </is>
      </c>
      <c r="AS1357" t="inlineStr">
        <is>
          <t>No</t>
        </is>
      </c>
      <c r="AU1357">
        <f>HYPERLINK("https://creighton-primo.hosted.exlibrisgroup.com/primo-explore/search?tab=default_tab&amp;search_scope=EVERYTHING&amp;vid=01CRU&amp;lang=en_US&amp;offset=0&amp;query=any,contains,991003948249702656","Catalog Record")</f>
        <v/>
      </c>
      <c r="AV1357">
        <f>HYPERLINK("http://www.worldcat.org/oclc/39459193","WorldCat Record")</f>
        <v/>
      </c>
      <c r="AW1357" t="inlineStr">
        <is>
          <t>899316276:eng</t>
        </is>
      </c>
      <c r="AX1357" t="inlineStr">
        <is>
          <t>39459193</t>
        </is>
      </c>
      <c r="AY1357" t="inlineStr">
        <is>
          <t>991003948249702656</t>
        </is>
      </c>
      <c r="AZ1357" t="inlineStr">
        <is>
          <t>991003948249702656</t>
        </is>
      </c>
      <c r="BA1357" t="inlineStr">
        <is>
          <t>2266059770002656</t>
        </is>
      </c>
      <c r="BB1357" t="inlineStr">
        <is>
          <t>BOOK</t>
        </is>
      </c>
      <c r="BD1357" t="inlineStr">
        <is>
          <t>9781851823178</t>
        </is>
      </c>
      <c r="BE1357" t="inlineStr">
        <is>
          <t>32285004665104</t>
        </is>
      </c>
      <c r="BF1357" t="inlineStr">
        <is>
          <t>893535730</t>
        </is>
      </c>
    </row>
    <row r="1358">
      <c r="A1358" t="inlineStr">
        <is>
          <t>No</t>
        </is>
      </c>
      <c r="B1358" t="inlineStr">
        <is>
          <t>CURAL</t>
        </is>
      </c>
      <c r="C1358" t="inlineStr">
        <is>
          <t>SHELVES</t>
        </is>
      </c>
      <c r="D1358" t="inlineStr">
        <is>
          <t>PR3726 .M8 1955</t>
        </is>
      </c>
      <c r="E1358" t="inlineStr">
        <is>
          <t>0                      PR 3726000M  8           1955</t>
        </is>
      </c>
      <c r="F1358" t="inlineStr">
        <is>
          <t>Jonathan Swift : a critical biography.</t>
        </is>
      </c>
      <c r="H1358" t="inlineStr">
        <is>
          <t>No</t>
        </is>
      </c>
      <c r="I1358" t="inlineStr">
        <is>
          <t>1</t>
        </is>
      </c>
      <c r="J1358" t="inlineStr">
        <is>
          <t>No</t>
        </is>
      </c>
      <c r="K1358" t="inlineStr">
        <is>
          <t>No</t>
        </is>
      </c>
      <c r="L1358" t="inlineStr">
        <is>
          <t>0</t>
        </is>
      </c>
      <c r="M1358" t="inlineStr">
        <is>
          <t>Murry, John Middleton, 1889-1957.</t>
        </is>
      </c>
      <c r="N1358" t="inlineStr">
        <is>
          <t>New York : Noonday Press, 1955.</t>
        </is>
      </c>
      <c r="O1358" t="inlineStr">
        <is>
          <t>1955</t>
        </is>
      </c>
      <c r="Q1358" t="inlineStr">
        <is>
          <t>eng</t>
        </is>
      </c>
      <c r="R1358" t="inlineStr">
        <is>
          <t>nyu</t>
        </is>
      </c>
      <c r="T1358" t="inlineStr">
        <is>
          <t xml:space="preserve">PR </t>
        </is>
      </c>
      <c r="U1358" t="n">
        <v>6</v>
      </c>
      <c r="V1358" t="n">
        <v>6</v>
      </c>
      <c r="W1358" t="inlineStr">
        <is>
          <t>2002-03-21</t>
        </is>
      </c>
      <c r="X1358" t="inlineStr">
        <is>
          <t>2002-03-21</t>
        </is>
      </c>
      <c r="Y1358" t="inlineStr">
        <is>
          <t>1994-03-08</t>
        </is>
      </c>
      <c r="Z1358" t="inlineStr">
        <is>
          <t>1994-03-08</t>
        </is>
      </c>
      <c r="AA1358" t="n">
        <v>721</v>
      </c>
      <c r="AB1358" t="n">
        <v>687</v>
      </c>
      <c r="AC1358" t="n">
        <v>1110</v>
      </c>
      <c r="AD1358" t="n">
        <v>6</v>
      </c>
      <c r="AE1358" t="n">
        <v>8</v>
      </c>
      <c r="AF1358" t="n">
        <v>31</v>
      </c>
      <c r="AG1358" t="n">
        <v>49</v>
      </c>
      <c r="AH1358" t="n">
        <v>16</v>
      </c>
      <c r="AI1358" t="n">
        <v>22</v>
      </c>
      <c r="AJ1358" t="n">
        <v>3</v>
      </c>
      <c r="AK1358" t="n">
        <v>9</v>
      </c>
      <c r="AL1358" t="n">
        <v>12</v>
      </c>
      <c r="AM1358" t="n">
        <v>23</v>
      </c>
      <c r="AN1358" t="n">
        <v>4</v>
      </c>
      <c r="AO1358" t="n">
        <v>6</v>
      </c>
      <c r="AP1358" t="n">
        <v>0</v>
      </c>
      <c r="AQ1358" t="n">
        <v>0</v>
      </c>
      <c r="AR1358" t="inlineStr">
        <is>
          <t>No</t>
        </is>
      </c>
      <c r="AS1358" t="inlineStr">
        <is>
          <t>Yes</t>
        </is>
      </c>
      <c r="AT1358">
        <f>HYPERLINK("http://catalog.hathitrust.org/Record/004461222","HathiTrust Record")</f>
        <v/>
      </c>
      <c r="AU1358">
        <f>HYPERLINK("https://creighton-primo.hosted.exlibrisgroup.com/primo-explore/search?tab=default_tab&amp;search_scope=EVERYTHING&amp;vid=01CRU&amp;lang=en_US&amp;offset=0&amp;query=any,contains,991002461569702656","Catalog Record")</f>
        <v/>
      </c>
      <c r="AV1358">
        <f>HYPERLINK("http://www.worldcat.org/oclc/356052","WorldCat Record")</f>
        <v/>
      </c>
      <c r="AW1358" t="inlineStr">
        <is>
          <t>1862266001:eng</t>
        </is>
      </c>
      <c r="AX1358" t="inlineStr">
        <is>
          <t>356052</t>
        </is>
      </c>
      <c r="AY1358" t="inlineStr">
        <is>
          <t>991002461569702656</t>
        </is>
      </c>
      <c r="AZ1358" t="inlineStr">
        <is>
          <t>991002461569702656</t>
        </is>
      </c>
      <c r="BA1358" t="inlineStr">
        <is>
          <t>2265123850002656</t>
        </is>
      </c>
      <c r="BB1358" t="inlineStr">
        <is>
          <t>BOOK</t>
        </is>
      </c>
      <c r="BE1358" t="inlineStr">
        <is>
          <t>32285001852523</t>
        </is>
      </c>
      <c r="BF1358" t="inlineStr">
        <is>
          <t>893879958</t>
        </is>
      </c>
    </row>
    <row r="1359">
      <c r="A1359" t="inlineStr">
        <is>
          <t>No</t>
        </is>
      </c>
      <c r="B1359" t="inlineStr">
        <is>
          <t>CURAL</t>
        </is>
      </c>
      <c r="C1359" t="inlineStr">
        <is>
          <t>SHELVES</t>
        </is>
      </c>
      <c r="D1359" t="inlineStr">
        <is>
          <t>PR3726 .M82 1966</t>
        </is>
      </c>
      <c r="E1359" t="inlineStr">
        <is>
          <t>0                      PR 3726000M  82          1966</t>
        </is>
      </c>
      <c r="F1359" t="inlineStr">
        <is>
          <t>Swift.</t>
        </is>
      </c>
      <c r="H1359" t="inlineStr">
        <is>
          <t>No</t>
        </is>
      </c>
      <c r="I1359" t="inlineStr">
        <is>
          <t>1</t>
        </is>
      </c>
      <c r="J1359" t="inlineStr">
        <is>
          <t>No</t>
        </is>
      </c>
      <c r="K1359" t="inlineStr">
        <is>
          <t>No</t>
        </is>
      </c>
      <c r="L1359" t="inlineStr">
        <is>
          <t>0</t>
        </is>
      </c>
      <c r="M1359" t="inlineStr">
        <is>
          <t>Murry, John Middleton, 1889-1957.</t>
        </is>
      </c>
      <c r="N1359" t="inlineStr">
        <is>
          <t>[London] : Published for the British Council and the National Book League by Longmans, Green, [1966, c1961]</t>
        </is>
      </c>
      <c r="O1359" t="inlineStr">
        <is>
          <t>1966</t>
        </is>
      </c>
      <c r="Q1359" t="inlineStr">
        <is>
          <t>eng</t>
        </is>
      </c>
      <c r="R1359" t="inlineStr">
        <is>
          <t>enk</t>
        </is>
      </c>
      <c r="S1359" t="inlineStr">
        <is>
          <t>Bibliographical series of supplements to British book news on writers and their work ; no. 61</t>
        </is>
      </c>
      <c r="T1359" t="inlineStr">
        <is>
          <t xml:space="preserve">PR </t>
        </is>
      </c>
      <c r="U1359" t="n">
        <v>4</v>
      </c>
      <c r="V1359" t="n">
        <v>4</v>
      </c>
      <c r="W1359" t="inlineStr">
        <is>
          <t>1999-10-06</t>
        </is>
      </c>
      <c r="X1359" t="inlineStr">
        <is>
          <t>1999-10-06</t>
        </is>
      </c>
      <c r="Y1359" t="inlineStr">
        <is>
          <t>1994-03-04</t>
        </is>
      </c>
      <c r="Z1359" t="inlineStr">
        <is>
          <t>1994-03-04</t>
        </is>
      </c>
      <c r="AA1359" t="n">
        <v>210</v>
      </c>
      <c r="AB1359" t="n">
        <v>168</v>
      </c>
      <c r="AC1359" t="n">
        <v>554</v>
      </c>
      <c r="AD1359" t="n">
        <v>1</v>
      </c>
      <c r="AE1359" t="n">
        <v>4</v>
      </c>
      <c r="AF1359" t="n">
        <v>3</v>
      </c>
      <c r="AG1359" t="n">
        <v>23</v>
      </c>
      <c r="AH1359" t="n">
        <v>1</v>
      </c>
      <c r="AI1359" t="n">
        <v>11</v>
      </c>
      <c r="AJ1359" t="n">
        <v>1</v>
      </c>
      <c r="AK1359" t="n">
        <v>2</v>
      </c>
      <c r="AL1359" t="n">
        <v>1</v>
      </c>
      <c r="AM1359" t="n">
        <v>13</v>
      </c>
      <c r="AN1359" t="n">
        <v>0</v>
      </c>
      <c r="AO1359" t="n">
        <v>3</v>
      </c>
      <c r="AP1359" t="n">
        <v>0</v>
      </c>
      <c r="AQ1359" t="n">
        <v>0</v>
      </c>
      <c r="AR1359" t="inlineStr">
        <is>
          <t>No</t>
        </is>
      </c>
      <c r="AS1359" t="inlineStr">
        <is>
          <t>Yes</t>
        </is>
      </c>
      <c r="AT1359">
        <f>HYPERLINK("http://catalog.hathitrust.org/Record/001112364","HathiTrust Record")</f>
        <v/>
      </c>
      <c r="AU1359">
        <f>HYPERLINK("https://creighton-primo.hosted.exlibrisgroup.com/primo-explore/search?tab=default_tab&amp;search_scope=EVERYTHING&amp;vid=01CRU&amp;lang=en_US&amp;offset=0&amp;query=any,contains,991000540439702656","Catalog Record")</f>
        <v/>
      </c>
      <c r="AV1359">
        <f>HYPERLINK("http://www.worldcat.org/oclc/90527","WorldCat Record")</f>
        <v/>
      </c>
      <c r="AW1359" t="inlineStr">
        <is>
          <t>1298422:eng</t>
        </is>
      </c>
      <c r="AX1359" t="inlineStr">
        <is>
          <t>90527</t>
        </is>
      </c>
      <c r="AY1359" t="inlineStr">
        <is>
          <t>991000540439702656</t>
        </is>
      </c>
      <c r="AZ1359" t="inlineStr">
        <is>
          <t>991000540439702656</t>
        </is>
      </c>
      <c r="BA1359" t="inlineStr">
        <is>
          <t>2266334330002656</t>
        </is>
      </c>
      <c r="BB1359" t="inlineStr">
        <is>
          <t>BOOK</t>
        </is>
      </c>
      <c r="BE1359" t="inlineStr">
        <is>
          <t>32285001851806</t>
        </is>
      </c>
      <c r="BF1359" t="inlineStr">
        <is>
          <t>893333560</t>
        </is>
      </c>
    </row>
    <row r="1360">
      <c r="A1360" t="inlineStr">
        <is>
          <t>No</t>
        </is>
      </c>
      <c r="B1360" t="inlineStr">
        <is>
          <t>CURAL</t>
        </is>
      </c>
      <c r="C1360" t="inlineStr">
        <is>
          <t>SHELVES</t>
        </is>
      </c>
      <c r="D1360" t="inlineStr">
        <is>
          <t>PR3726 .R7</t>
        </is>
      </c>
      <c r="E1360" t="inlineStr">
        <is>
          <t>0                      PR 3726000R  7</t>
        </is>
      </c>
      <c r="F1360" t="inlineStr">
        <is>
          <t>Swift; or, The egotist, by Mario M. Rossi and Joseph M. Hone.</t>
        </is>
      </c>
      <c r="H1360" t="inlineStr">
        <is>
          <t>No</t>
        </is>
      </c>
      <c r="I1360" t="inlineStr">
        <is>
          <t>1</t>
        </is>
      </c>
      <c r="J1360" t="inlineStr">
        <is>
          <t>No</t>
        </is>
      </c>
      <c r="K1360" t="inlineStr">
        <is>
          <t>No</t>
        </is>
      </c>
      <c r="L1360" t="inlineStr">
        <is>
          <t>0</t>
        </is>
      </c>
      <c r="M1360" t="inlineStr">
        <is>
          <t>Rossi, Mario Manlio.</t>
        </is>
      </c>
      <c r="N1360" t="inlineStr">
        <is>
          <t>New York, E.P. Dutton &amp; Co. [1934]</t>
        </is>
      </c>
      <c r="O1360" t="inlineStr">
        <is>
          <t>1934</t>
        </is>
      </c>
      <c r="Q1360" t="inlineStr">
        <is>
          <t>eng</t>
        </is>
      </c>
      <c r="R1360" t="inlineStr">
        <is>
          <t xml:space="preserve">xx </t>
        </is>
      </c>
      <c r="T1360" t="inlineStr">
        <is>
          <t xml:space="preserve">PR </t>
        </is>
      </c>
      <c r="U1360" t="n">
        <v>6</v>
      </c>
      <c r="V1360" t="n">
        <v>6</v>
      </c>
      <c r="W1360" t="inlineStr">
        <is>
          <t>2007-11-04</t>
        </is>
      </c>
      <c r="X1360" t="inlineStr">
        <is>
          <t>2007-11-04</t>
        </is>
      </c>
      <c r="Y1360" t="inlineStr">
        <is>
          <t>1991-12-17</t>
        </is>
      </c>
      <c r="Z1360" t="inlineStr">
        <is>
          <t>1991-12-17</t>
        </is>
      </c>
      <c r="AA1360" t="n">
        <v>139</v>
      </c>
      <c r="AB1360" t="n">
        <v>133</v>
      </c>
      <c r="AC1360" t="n">
        <v>250</v>
      </c>
      <c r="AD1360" t="n">
        <v>3</v>
      </c>
      <c r="AE1360" t="n">
        <v>3</v>
      </c>
      <c r="AF1360" t="n">
        <v>14</v>
      </c>
      <c r="AG1360" t="n">
        <v>20</v>
      </c>
      <c r="AH1360" t="n">
        <v>4</v>
      </c>
      <c r="AI1360" t="n">
        <v>6</v>
      </c>
      <c r="AJ1360" t="n">
        <v>3</v>
      </c>
      <c r="AK1360" t="n">
        <v>6</v>
      </c>
      <c r="AL1360" t="n">
        <v>9</v>
      </c>
      <c r="AM1360" t="n">
        <v>11</v>
      </c>
      <c r="AN1360" t="n">
        <v>2</v>
      </c>
      <c r="AO1360" t="n">
        <v>2</v>
      </c>
      <c r="AP1360" t="n">
        <v>0</v>
      </c>
      <c r="AQ1360" t="n">
        <v>0</v>
      </c>
      <c r="AR1360" t="inlineStr">
        <is>
          <t>No</t>
        </is>
      </c>
      <c r="AS1360" t="inlineStr">
        <is>
          <t>Yes</t>
        </is>
      </c>
      <c r="AT1360">
        <f>HYPERLINK("http://catalog.hathitrust.org/Record/001775260","HathiTrust Record")</f>
        <v/>
      </c>
      <c r="AU1360">
        <f>HYPERLINK("https://creighton-primo.hosted.exlibrisgroup.com/primo-explore/search?tab=default_tab&amp;search_scope=EVERYTHING&amp;vid=01CRU&amp;lang=en_US&amp;offset=0&amp;query=any,contains,991003295069702656","Catalog Record")</f>
        <v/>
      </c>
      <c r="AV1360">
        <f>HYPERLINK("http://www.worldcat.org/oclc/817385","WorldCat Record")</f>
        <v/>
      </c>
      <c r="AW1360" t="inlineStr">
        <is>
          <t>3863737013:eng</t>
        </is>
      </c>
      <c r="AX1360" t="inlineStr">
        <is>
          <t>817385</t>
        </is>
      </c>
      <c r="AY1360" t="inlineStr">
        <is>
          <t>991003295069702656</t>
        </is>
      </c>
      <c r="AZ1360" t="inlineStr">
        <is>
          <t>991003295069702656</t>
        </is>
      </c>
      <c r="BA1360" t="inlineStr">
        <is>
          <t>2269778420002656</t>
        </is>
      </c>
      <c r="BB1360" t="inlineStr">
        <is>
          <t>BOOK</t>
        </is>
      </c>
      <c r="BE1360" t="inlineStr">
        <is>
          <t>32285000901545</t>
        </is>
      </c>
      <c r="BF1360" t="inlineStr">
        <is>
          <t>893809922</t>
        </is>
      </c>
    </row>
    <row r="1361">
      <c r="A1361" t="inlineStr">
        <is>
          <t>No</t>
        </is>
      </c>
      <c r="B1361" t="inlineStr">
        <is>
          <t>CURAL</t>
        </is>
      </c>
      <c r="C1361" t="inlineStr">
        <is>
          <t>SHELVES</t>
        </is>
      </c>
      <c r="D1361" t="inlineStr">
        <is>
          <t>PR3726 .T86</t>
        </is>
      </c>
      <c r="E1361" t="inlineStr">
        <is>
          <t>0                      PR 3726000T  86</t>
        </is>
      </c>
      <c r="F1361" t="inlineStr">
        <is>
          <t>Swift : a collection of critical essays.</t>
        </is>
      </c>
      <c r="H1361" t="inlineStr">
        <is>
          <t>No</t>
        </is>
      </c>
      <c r="I1361" t="inlineStr">
        <is>
          <t>1</t>
        </is>
      </c>
      <c r="J1361" t="inlineStr">
        <is>
          <t>No</t>
        </is>
      </c>
      <c r="K1361" t="inlineStr">
        <is>
          <t>No</t>
        </is>
      </c>
      <c r="L1361" t="inlineStr">
        <is>
          <t>0</t>
        </is>
      </c>
      <c r="M1361" t="inlineStr">
        <is>
          <t>Tuveson, Ernest Lee editor.</t>
        </is>
      </c>
      <c r="N1361" t="inlineStr">
        <is>
          <t>Englewood Cliffs, N.J. : Prentice-Hall, [1964]</t>
        </is>
      </c>
      <c r="O1361" t="inlineStr">
        <is>
          <t>1964</t>
        </is>
      </c>
      <c r="Q1361" t="inlineStr">
        <is>
          <t>eng</t>
        </is>
      </c>
      <c r="R1361" t="inlineStr">
        <is>
          <t>nju</t>
        </is>
      </c>
      <c r="S1361" t="inlineStr">
        <is>
          <t>Twentieth century views ; S-TC-35</t>
        </is>
      </c>
      <c r="T1361" t="inlineStr">
        <is>
          <t xml:space="preserve">PR </t>
        </is>
      </c>
      <c r="U1361" t="n">
        <v>3</v>
      </c>
      <c r="V1361" t="n">
        <v>3</v>
      </c>
      <c r="W1361" t="inlineStr">
        <is>
          <t>1997-10-29</t>
        </is>
      </c>
      <c r="X1361" t="inlineStr">
        <is>
          <t>1997-10-29</t>
        </is>
      </c>
      <c r="Y1361" t="inlineStr">
        <is>
          <t>1994-05-10</t>
        </is>
      </c>
      <c r="Z1361" t="inlineStr">
        <is>
          <t>1994-05-10</t>
        </is>
      </c>
      <c r="AA1361" t="n">
        <v>2089</v>
      </c>
      <c r="AB1361" t="n">
        <v>1831</v>
      </c>
      <c r="AC1361" t="n">
        <v>1840</v>
      </c>
      <c r="AD1361" t="n">
        <v>16</v>
      </c>
      <c r="AE1361" t="n">
        <v>16</v>
      </c>
      <c r="AF1361" t="n">
        <v>60</v>
      </c>
      <c r="AG1361" t="n">
        <v>60</v>
      </c>
      <c r="AH1361" t="n">
        <v>22</v>
      </c>
      <c r="AI1361" t="n">
        <v>22</v>
      </c>
      <c r="AJ1361" t="n">
        <v>10</v>
      </c>
      <c r="AK1361" t="n">
        <v>10</v>
      </c>
      <c r="AL1361" t="n">
        <v>27</v>
      </c>
      <c r="AM1361" t="n">
        <v>27</v>
      </c>
      <c r="AN1361" t="n">
        <v>14</v>
      </c>
      <c r="AO1361" t="n">
        <v>14</v>
      </c>
      <c r="AP1361" t="n">
        <v>0</v>
      </c>
      <c r="AQ1361" t="n">
        <v>0</v>
      </c>
      <c r="AR1361" t="inlineStr">
        <is>
          <t>No</t>
        </is>
      </c>
      <c r="AS1361" t="inlineStr">
        <is>
          <t>No</t>
        </is>
      </c>
      <c r="AU1361">
        <f>HYPERLINK("https://creighton-primo.hosted.exlibrisgroup.com/primo-explore/search?tab=default_tab&amp;search_scope=EVERYTHING&amp;vid=01CRU&amp;lang=en_US&amp;offset=0&amp;query=any,contains,991002477219702656","Catalog Record")</f>
        <v/>
      </c>
      <c r="AV1361">
        <f>HYPERLINK("http://www.worldcat.org/oclc/358984","WorldCat Record")</f>
        <v/>
      </c>
      <c r="AW1361" t="inlineStr">
        <is>
          <t>889333069:eng</t>
        </is>
      </c>
      <c r="AX1361" t="inlineStr">
        <is>
          <t>358984</t>
        </is>
      </c>
      <c r="AY1361" t="inlineStr">
        <is>
          <t>991002477219702656</t>
        </is>
      </c>
      <c r="AZ1361" t="inlineStr">
        <is>
          <t>991002477219702656</t>
        </is>
      </c>
      <c r="BA1361" t="inlineStr">
        <is>
          <t>2266070100002656</t>
        </is>
      </c>
      <c r="BB1361" t="inlineStr">
        <is>
          <t>BOOK</t>
        </is>
      </c>
      <c r="BE1361" t="inlineStr">
        <is>
          <t>32285001909646</t>
        </is>
      </c>
      <c r="BF1361" t="inlineStr">
        <is>
          <t>893622331</t>
        </is>
      </c>
    </row>
    <row r="1362">
      <c r="A1362" t="inlineStr">
        <is>
          <t>No</t>
        </is>
      </c>
      <c r="B1362" t="inlineStr">
        <is>
          <t>CURAL</t>
        </is>
      </c>
      <c r="C1362" t="inlineStr">
        <is>
          <t>SHELVES</t>
        </is>
      </c>
      <c r="D1362" t="inlineStr">
        <is>
          <t>PR3726 .V6</t>
        </is>
      </c>
      <c r="E1362" t="inlineStr">
        <is>
          <t>0                      PR 3726000V  6</t>
        </is>
      </c>
      <c r="F1362" t="inlineStr">
        <is>
          <t>Swift and the twentieth century.</t>
        </is>
      </c>
      <c r="H1362" t="inlineStr">
        <is>
          <t>No</t>
        </is>
      </c>
      <c r="I1362" t="inlineStr">
        <is>
          <t>1</t>
        </is>
      </c>
      <c r="J1362" t="inlineStr">
        <is>
          <t>No</t>
        </is>
      </c>
      <c r="K1362" t="inlineStr">
        <is>
          <t>No</t>
        </is>
      </c>
      <c r="L1362" t="inlineStr">
        <is>
          <t>0</t>
        </is>
      </c>
      <c r="M1362" t="inlineStr">
        <is>
          <t>Voigt, Milton, 1924-</t>
        </is>
      </c>
      <c r="N1362" t="inlineStr">
        <is>
          <t>Detroit : Wayne State University Press, 1964.</t>
        </is>
      </c>
      <c r="O1362" t="inlineStr">
        <is>
          <t>1964</t>
        </is>
      </c>
      <c r="Q1362" t="inlineStr">
        <is>
          <t>eng</t>
        </is>
      </c>
      <c r="R1362" t="inlineStr">
        <is>
          <t>miu</t>
        </is>
      </c>
      <c r="T1362" t="inlineStr">
        <is>
          <t xml:space="preserve">PR </t>
        </is>
      </c>
      <c r="U1362" t="n">
        <v>1</v>
      </c>
      <c r="V1362" t="n">
        <v>1</v>
      </c>
      <c r="W1362" t="inlineStr">
        <is>
          <t>1994-02-28</t>
        </is>
      </c>
      <c r="X1362" t="inlineStr">
        <is>
          <t>1994-02-28</t>
        </is>
      </c>
      <c r="Y1362" t="inlineStr">
        <is>
          <t>1994-02-23</t>
        </is>
      </c>
      <c r="Z1362" t="inlineStr">
        <is>
          <t>1994-02-23</t>
        </is>
      </c>
      <c r="AA1362" t="n">
        <v>600</v>
      </c>
      <c r="AB1362" t="n">
        <v>516</v>
      </c>
      <c r="AC1362" t="n">
        <v>529</v>
      </c>
      <c r="AD1362" t="n">
        <v>5</v>
      </c>
      <c r="AE1362" t="n">
        <v>6</v>
      </c>
      <c r="AF1362" t="n">
        <v>33</v>
      </c>
      <c r="AG1362" t="n">
        <v>34</v>
      </c>
      <c r="AH1362" t="n">
        <v>14</v>
      </c>
      <c r="AI1362" t="n">
        <v>14</v>
      </c>
      <c r="AJ1362" t="n">
        <v>6</v>
      </c>
      <c r="AK1362" t="n">
        <v>6</v>
      </c>
      <c r="AL1362" t="n">
        <v>19</v>
      </c>
      <c r="AM1362" t="n">
        <v>19</v>
      </c>
      <c r="AN1362" t="n">
        <v>4</v>
      </c>
      <c r="AO1362" t="n">
        <v>5</v>
      </c>
      <c r="AP1362" t="n">
        <v>0</v>
      </c>
      <c r="AQ1362" t="n">
        <v>0</v>
      </c>
      <c r="AR1362" t="inlineStr">
        <is>
          <t>No</t>
        </is>
      </c>
      <c r="AS1362" t="inlineStr">
        <is>
          <t>Yes</t>
        </is>
      </c>
      <c r="AT1362">
        <f>HYPERLINK("http://catalog.hathitrust.org/Record/001186781","HathiTrust Record")</f>
        <v/>
      </c>
      <c r="AU1362">
        <f>HYPERLINK("https://creighton-primo.hosted.exlibrisgroup.com/primo-explore/search?tab=default_tab&amp;search_scope=EVERYTHING&amp;vid=01CRU&amp;lang=en_US&amp;offset=0&amp;query=any,contains,991002167539702656","Catalog Record")</f>
        <v/>
      </c>
      <c r="AV1362">
        <f>HYPERLINK("http://www.worldcat.org/oclc/275753","WorldCat Record")</f>
        <v/>
      </c>
      <c r="AW1362" t="inlineStr">
        <is>
          <t>1411220:eng</t>
        </is>
      </c>
      <c r="AX1362" t="inlineStr">
        <is>
          <t>275753</t>
        </is>
      </c>
      <c r="AY1362" t="inlineStr">
        <is>
          <t>991002167539702656</t>
        </is>
      </c>
      <c r="AZ1362" t="inlineStr">
        <is>
          <t>991002167539702656</t>
        </is>
      </c>
      <c r="BA1362" t="inlineStr">
        <is>
          <t>2263387560002656</t>
        </is>
      </c>
      <c r="BB1362" t="inlineStr">
        <is>
          <t>BOOK</t>
        </is>
      </c>
      <c r="BE1362" t="inlineStr">
        <is>
          <t>32285001839678</t>
        </is>
      </c>
      <c r="BF1362" t="inlineStr">
        <is>
          <t>893703733</t>
        </is>
      </c>
    </row>
    <row r="1363">
      <c r="A1363" t="inlineStr">
        <is>
          <t>No</t>
        </is>
      </c>
      <c r="B1363" t="inlineStr">
        <is>
          <t>CURAL</t>
        </is>
      </c>
      <c r="C1363" t="inlineStr">
        <is>
          <t>SHELVES</t>
        </is>
      </c>
      <c r="D1363" t="inlineStr">
        <is>
          <t>PR3726 .W4</t>
        </is>
      </c>
      <c r="E1363" t="inlineStr">
        <is>
          <t>0                      PR 3726000W  4</t>
        </is>
      </c>
      <c r="F1363" t="inlineStr">
        <is>
          <t>Jonathan Swift; the Leslie Stephen lecture delivered before the University of Cambridge on 26 May 1917, by Charles Whibley ...</t>
        </is>
      </c>
      <c r="H1363" t="inlineStr">
        <is>
          <t>No</t>
        </is>
      </c>
      <c r="I1363" t="inlineStr">
        <is>
          <t>1</t>
        </is>
      </c>
      <c r="J1363" t="inlineStr">
        <is>
          <t>No</t>
        </is>
      </c>
      <c r="K1363" t="inlineStr">
        <is>
          <t>No</t>
        </is>
      </c>
      <c r="L1363" t="inlineStr">
        <is>
          <t>0</t>
        </is>
      </c>
      <c r="M1363" t="inlineStr">
        <is>
          <t>Whibley, Charles, 1859-1930.</t>
        </is>
      </c>
      <c r="N1363" t="inlineStr">
        <is>
          <t>Cambridge, University Press, 1917.</t>
        </is>
      </c>
      <c r="O1363" t="inlineStr">
        <is>
          <t>1917</t>
        </is>
      </c>
      <c r="Q1363" t="inlineStr">
        <is>
          <t>eng</t>
        </is>
      </c>
      <c r="R1363" t="inlineStr">
        <is>
          <t>enk</t>
        </is>
      </c>
      <c r="T1363" t="inlineStr">
        <is>
          <t xml:space="preserve">PR </t>
        </is>
      </c>
      <c r="U1363" t="n">
        <v>1</v>
      </c>
      <c r="V1363" t="n">
        <v>1</v>
      </c>
      <c r="W1363" t="inlineStr">
        <is>
          <t>2002-03-21</t>
        </is>
      </c>
      <c r="X1363" t="inlineStr">
        <is>
          <t>2002-03-21</t>
        </is>
      </c>
      <c r="Y1363" t="inlineStr">
        <is>
          <t>1997-07-25</t>
        </is>
      </c>
      <c r="Z1363" t="inlineStr">
        <is>
          <t>1997-07-25</t>
        </is>
      </c>
      <c r="AA1363" t="n">
        <v>105</v>
      </c>
      <c r="AB1363" t="n">
        <v>74</v>
      </c>
      <c r="AC1363" t="n">
        <v>100</v>
      </c>
      <c r="AD1363" t="n">
        <v>1</v>
      </c>
      <c r="AE1363" t="n">
        <v>2</v>
      </c>
      <c r="AF1363" t="n">
        <v>1</v>
      </c>
      <c r="AG1363" t="n">
        <v>4</v>
      </c>
      <c r="AH1363" t="n">
        <v>1</v>
      </c>
      <c r="AI1363" t="n">
        <v>1</v>
      </c>
      <c r="AJ1363" t="n">
        <v>0</v>
      </c>
      <c r="AK1363" t="n">
        <v>1</v>
      </c>
      <c r="AL1363" t="n">
        <v>1</v>
      </c>
      <c r="AM1363" t="n">
        <v>2</v>
      </c>
      <c r="AN1363" t="n">
        <v>0</v>
      </c>
      <c r="AO1363" t="n">
        <v>1</v>
      </c>
      <c r="AP1363" t="n">
        <v>0</v>
      </c>
      <c r="AQ1363" t="n">
        <v>0</v>
      </c>
      <c r="AR1363" t="inlineStr">
        <is>
          <t>Yes</t>
        </is>
      </c>
      <c r="AS1363" t="inlineStr">
        <is>
          <t>No</t>
        </is>
      </c>
      <c r="AT1363">
        <f>HYPERLINK("http://catalog.hathitrust.org/Record/001112807","HathiTrust Record")</f>
        <v/>
      </c>
      <c r="AU1363">
        <f>HYPERLINK("https://creighton-primo.hosted.exlibrisgroup.com/primo-explore/search?tab=default_tab&amp;search_scope=EVERYTHING&amp;vid=01CRU&amp;lang=en_US&amp;offset=0&amp;query=any,contains,991004400439702656","Catalog Record")</f>
        <v/>
      </c>
      <c r="AV1363">
        <f>HYPERLINK("http://www.worldcat.org/oclc/3296125","WorldCat Record")</f>
        <v/>
      </c>
      <c r="AW1363" t="inlineStr">
        <is>
          <t>9698475:eng</t>
        </is>
      </c>
      <c r="AX1363" t="inlineStr">
        <is>
          <t>3296125</t>
        </is>
      </c>
      <c r="AY1363" t="inlineStr">
        <is>
          <t>991004400439702656</t>
        </is>
      </c>
      <c r="AZ1363" t="inlineStr">
        <is>
          <t>991004400439702656</t>
        </is>
      </c>
      <c r="BA1363" t="inlineStr">
        <is>
          <t>2258553230002656</t>
        </is>
      </c>
      <c r="BB1363" t="inlineStr">
        <is>
          <t>BOOK</t>
        </is>
      </c>
      <c r="BE1363" t="inlineStr">
        <is>
          <t>32285002961984</t>
        </is>
      </c>
      <c r="BF1363" t="inlineStr">
        <is>
          <t>893253649</t>
        </is>
      </c>
    </row>
    <row r="1364">
      <c r="A1364" t="inlineStr">
        <is>
          <t>No</t>
        </is>
      </c>
      <c r="B1364" t="inlineStr">
        <is>
          <t>CURAL</t>
        </is>
      </c>
      <c r="C1364" t="inlineStr">
        <is>
          <t>SHELVES</t>
        </is>
      </c>
      <c r="D1364" t="inlineStr">
        <is>
          <t>PR3726.A3 T2</t>
        </is>
      </c>
      <c r="E1364" t="inlineStr">
        <is>
          <t>0                      PR 3726000A  3                  T  2</t>
        </is>
      </c>
      <c r="F1364" t="inlineStr">
        <is>
          <t>A bibliography of the writings of Jonathan Swift.</t>
        </is>
      </c>
      <c r="H1364" t="inlineStr">
        <is>
          <t>No</t>
        </is>
      </c>
      <c r="I1364" t="inlineStr">
        <is>
          <t>1</t>
        </is>
      </c>
      <c r="J1364" t="inlineStr">
        <is>
          <t>No</t>
        </is>
      </c>
      <c r="K1364" t="inlineStr">
        <is>
          <t>No</t>
        </is>
      </c>
      <c r="L1364" t="inlineStr">
        <is>
          <t>0</t>
        </is>
      </c>
      <c r="M1364" t="inlineStr">
        <is>
          <t>Teerink, H. (Herman)</t>
        </is>
      </c>
      <c r="N1364" t="inlineStr">
        <is>
          <t>Philadelphia, University of Pennsylvania Press [c1963]</t>
        </is>
      </c>
      <c r="O1364" t="inlineStr">
        <is>
          <t>1963</t>
        </is>
      </c>
      <c r="P1364" t="inlineStr">
        <is>
          <t>2d ed., rev. and corr. Edited by Arthur H. Scouten.</t>
        </is>
      </c>
      <c r="Q1364" t="inlineStr">
        <is>
          <t>eng</t>
        </is>
      </c>
      <c r="R1364" t="inlineStr">
        <is>
          <t>pau</t>
        </is>
      </c>
      <c r="T1364" t="inlineStr">
        <is>
          <t xml:space="preserve">PR </t>
        </is>
      </c>
      <c r="U1364" t="n">
        <v>2</v>
      </c>
      <c r="V1364" t="n">
        <v>2</v>
      </c>
      <c r="W1364" t="inlineStr">
        <is>
          <t>2002-03-21</t>
        </is>
      </c>
      <c r="X1364" t="inlineStr">
        <is>
          <t>2002-03-21</t>
        </is>
      </c>
      <c r="Y1364" t="inlineStr">
        <is>
          <t>1997-07-25</t>
        </is>
      </c>
      <c r="Z1364" t="inlineStr">
        <is>
          <t>1997-07-25</t>
        </is>
      </c>
      <c r="AA1364" t="n">
        <v>516</v>
      </c>
      <c r="AB1364" t="n">
        <v>429</v>
      </c>
      <c r="AC1364" t="n">
        <v>615</v>
      </c>
      <c r="AD1364" t="n">
        <v>4</v>
      </c>
      <c r="AE1364" t="n">
        <v>4</v>
      </c>
      <c r="AF1364" t="n">
        <v>23</v>
      </c>
      <c r="AG1364" t="n">
        <v>30</v>
      </c>
      <c r="AH1364" t="n">
        <v>6</v>
      </c>
      <c r="AI1364" t="n">
        <v>11</v>
      </c>
      <c r="AJ1364" t="n">
        <v>6</v>
      </c>
      <c r="AK1364" t="n">
        <v>8</v>
      </c>
      <c r="AL1364" t="n">
        <v>12</v>
      </c>
      <c r="AM1364" t="n">
        <v>14</v>
      </c>
      <c r="AN1364" t="n">
        <v>3</v>
      </c>
      <c r="AO1364" t="n">
        <v>3</v>
      </c>
      <c r="AP1364" t="n">
        <v>0</v>
      </c>
      <c r="AQ1364" t="n">
        <v>0</v>
      </c>
      <c r="AR1364" t="inlineStr">
        <is>
          <t>No</t>
        </is>
      </c>
      <c r="AS1364" t="inlineStr">
        <is>
          <t>No</t>
        </is>
      </c>
      <c r="AU1364">
        <f>HYPERLINK("https://creighton-primo.hosted.exlibrisgroup.com/primo-explore/search?tab=default_tab&amp;search_scope=EVERYTHING&amp;vid=01CRU&amp;lang=en_US&amp;offset=0&amp;query=any,contains,991003015579702656","Catalog Record")</f>
        <v/>
      </c>
      <c r="AV1364">
        <f>HYPERLINK("http://www.worldcat.org/oclc/580854","WorldCat Record")</f>
        <v/>
      </c>
      <c r="AW1364" t="inlineStr">
        <is>
          <t>4812950:eng</t>
        </is>
      </c>
      <c r="AX1364" t="inlineStr">
        <is>
          <t>580854</t>
        </is>
      </c>
      <c r="AY1364" t="inlineStr">
        <is>
          <t>991003015579702656</t>
        </is>
      </c>
      <c r="AZ1364" t="inlineStr">
        <is>
          <t>991003015579702656</t>
        </is>
      </c>
      <c r="BA1364" t="inlineStr">
        <is>
          <t>2272507250002656</t>
        </is>
      </c>
      <c r="BB1364" t="inlineStr">
        <is>
          <t>BOOK</t>
        </is>
      </c>
      <c r="BE1364" t="inlineStr">
        <is>
          <t>32285002961802</t>
        </is>
      </c>
      <c r="BF1364" t="inlineStr">
        <is>
          <t>893317561</t>
        </is>
      </c>
    </row>
    <row r="1365">
      <c r="A1365" t="inlineStr">
        <is>
          <t>No</t>
        </is>
      </c>
      <c r="B1365" t="inlineStr">
        <is>
          <t>CURAL</t>
        </is>
      </c>
      <c r="C1365" t="inlineStr">
        <is>
          <t>SHELVES</t>
        </is>
      </c>
      <c r="D1365" t="inlineStr">
        <is>
          <t>PR3727 .A78</t>
        </is>
      </c>
      <c r="E1365" t="inlineStr">
        <is>
          <t>0                      PR 3727000A  78</t>
        </is>
      </c>
      <c r="F1365" t="inlineStr">
        <is>
          <t>The art of Jonathan Swift / edited by Clive T. Probyn. --</t>
        </is>
      </c>
      <c r="H1365" t="inlineStr">
        <is>
          <t>No</t>
        </is>
      </c>
      <c r="I1365" t="inlineStr">
        <is>
          <t>1</t>
        </is>
      </c>
      <c r="J1365" t="inlineStr">
        <is>
          <t>No</t>
        </is>
      </c>
      <c r="K1365" t="inlineStr">
        <is>
          <t>No</t>
        </is>
      </c>
      <c r="L1365" t="inlineStr">
        <is>
          <t>0</t>
        </is>
      </c>
      <c r="N1365" t="inlineStr">
        <is>
          <t>London : Vision, c1978.</t>
        </is>
      </c>
      <c r="O1365" t="inlineStr">
        <is>
          <t>1978</t>
        </is>
      </c>
      <c r="Q1365" t="inlineStr">
        <is>
          <t>eng</t>
        </is>
      </c>
      <c r="R1365" t="inlineStr">
        <is>
          <t xml:space="preserve">xx </t>
        </is>
      </c>
      <c r="S1365" t="inlineStr">
        <is>
          <t>Vision critical studies</t>
        </is>
      </c>
      <c r="T1365" t="inlineStr">
        <is>
          <t xml:space="preserve">PR </t>
        </is>
      </c>
      <c r="U1365" t="n">
        <v>6</v>
      </c>
      <c r="V1365" t="n">
        <v>6</v>
      </c>
      <c r="W1365" t="inlineStr">
        <is>
          <t>2002-03-21</t>
        </is>
      </c>
      <c r="X1365" t="inlineStr">
        <is>
          <t>2002-03-21</t>
        </is>
      </c>
      <c r="Y1365" t="inlineStr">
        <is>
          <t>1991-06-06</t>
        </is>
      </c>
      <c r="Z1365" t="inlineStr">
        <is>
          <t>1991-06-06</t>
        </is>
      </c>
      <c r="AA1365" t="n">
        <v>294</v>
      </c>
      <c r="AB1365" t="n">
        <v>130</v>
      </c>
      <c r="AC1365" t="n">
        <v>139</v>
      </c>
      <c r="AD1365" t="n">
        <v>3</v>
      </c>
      <c r="AE1365" t="n">
        <v>3</v>
      </c>
      <c r="AF1365" t="n">
        <v>7</v>
      </c>
      <c r="AG1365" t="n">
        <v>7</v>
      </c>
      <c r="AH1365" t="n">
        <v>1</v>
      </c>
      <c r="AI1365" t="n">
        <v>1</v>
      </c>
      <c r="AJ1365" t="n">
        <v>1</v>
      </c>
      <c r="AK1365" t="n">
        <v>1</v>
      </c>
      <c r="AL1365" t="n">
        <v>5</v>
      </c>
      <c r="AM1365" t="n">
        <v>5</v>
      </c>
      <c r="AN1365" t="n">
        <v>2</v>
      </c>
      <c r="AO1365" t="n">
        <v>2</v>
      </c>
      <c r="AP1365" t="n">
        <v>0</v>
      </c>
      <c r="AQ1365" t="n">
        <v>0</v>
      </c>
      <c r="AR1365" t="inlineStr">
        <is>
          <t>No</t>
        </is>
      </c>
      <c r="AS1365" t="inlineStr">
        <is>
          <t>Yes</t>
        </is>
      </c>
      <c r="AT1365">
        <f>HYPERLINK("http://catalog.hathitrust.org/Record/000217398","HathiTrust Record")</f>
        <v/>
      </c>
      <c r="AU1365">
        <f>HYPERLINK("https://creighton-primo.hosted.exlibrisgroup.com/primo-explore/search?tab=default_tab&amp;search_scope=EVERYTHING&amp;vid=01CRU&amp;lang=en_US&amp;offset=0&amp;query=any,contains,991004616069702656","Catalog Record")</f>
        <v/>
      </c>
      <c r="AV1365">
        <f>HYPERLINK("http://www.worldcat.org/oclc/4257089","WorldCat Record")</f>
        <v/>
      </c>
      <c r="AW1365" t="inlineStr">
        <is>
          <t>54244747:eng</t>
        </is>
      </c>
      <c r="AX1365" t="inlineStr">
        <is>
          <t>4257089</t>
        </is>
      </c>
      <c r="AY1365" t="inlineStr">
        <is>
          <t>991004616069702656</t>
        </is>
      </c>
      <c r="AZ1365" t="inlineStr">
        <is>
          <t>991004616069702656</t>
        </is>
      </c>
      <c r="BA1365" t="inlineStr">
        <is>
          <t>2262620030002656</t>
        </is>
      </c>
      <c r="BB1365" t="inlineStr">
        <is>
          <t>BOOK</t>
        </is>
      </c>
      <c r="BD1365" t="inlineStr">
        <is>
          <t>9780854781447</t>
        </is>
      </c>
      <c r="BE1365" t="inlineStr">
        <is>
          <t>32285000615566</t>
        </is>
      </c>
      <c r="BF1365" t="inlineStr">
        <is>
          <t>893532600</t>
        </is>
      </c>
    </row>
    <row r="1366">
      <c r="A1366" t="inlineStr">
        <is>
          <t>No</t>
        </is>
      </c>
      <c r="B1366" t="inlineStr">
        <is>
          <t>CURAL</t>
        </is>
      </c>
      <c r="C1366" t="inlineStr">
        <is>
          <t>SHELVES</t>
        </is>
      </c>
      <c r="D1366" t="inlineStr">
        <is>
          <t>PR3727 .B36</t>
        </is>
      </c>
      <c r="E1366" t="inlineStr">
        <is>
          <t>0                      PR 3727000B  36</t>
        </is>
      </c>
      <c r="F1366" t="inlineStr">
        <is>
          <t>Swift's use of the Bible : a documentation and a study in allusion.</t>
        </is>
      </c>
      <c r="H1366" t="inlineStr">
        <is>
          <t>No</t>
        </is>
      </c>
      <c r="I1366" t="inlineStr">
        <is>
          <t>1</t>
        </is>
      </c>
      <c r="J1366" t="inlineStr">
        <is>
          <t>No</t>
        </is>
      </c>
      <c r="K1366" t="inlineStr">
        <is>
          <t>No</t>
        </is>
      </c>
      <c r="L1366" t="inlineStr">
        <is>
          <t>0</t>
        </is>
      </c>
      <c r="M1366" t="inlineStr">
        <is>
          <t>Beaumont, Charles Allen.</t>
        </is>
      </c>
      <c r="N1366" t="inlineStr">
        <is>
          <t>Athens : University of Georgia Press, 1965.</t>
        </is>
      </c>
      <c r="O1366" t="inlineStr">
        <is>
          <t>1965</t>
        </is>
      </c>
      <c r="Q1366" t="inlineStr">
        <is>
          <t>eng</t>
        </is>
      </c>
      <c r="R1366" t="inlineStr">
        <is>
          <t>gau</t>
        </is>
      </c>
      <c r="S1366" t="inlineStr">
        <is>
          <t>University of Georgia monographs, no. 14</t>
        </is>
      </c>
      <c r="T1366" t="inlineStr">
        <is>
          <t xml:space="preserve">PR </t>
        </is>
      </c>
      <c r="U1366" t="n">
        <v>5</v>
      </c>
      <c r="V1366" t="n">
        <v>5</v>
      </c>
      <c r="W1366" t="inlineStr">
        <is>
          <t>2002-03-20</t>
        </is>
      </c>
      <c r="X1366" t="inlineStr">
        <is>
          <t>2002-03-20</t>
        </is>
      </c>
      <c r="Y1366" t="inlineStr">
        <is>
          <t>1994-03-02</t>
        </is>
      </c>
      <c r="Z1366" t="inlineStr">
        <is>
          <t>1994-03-02</t>
        </is>
      </c>
      <c r="AA1366" t="n">
        <v>519</v>
      </c>
      <c r="AB1366" t="n">
        <v>457</v>
      </c>
      <c r="AC1366" t="n">
        <v>463</v>
      </c>
      <c r="AD1366" t="n">
        <v>6</v>
      </c>
      <c r="AE1366" t="n">
        <v>6</v>
      </c>
      <c r="AF1366" t="n">
        <v>22</v>
      </c>
      <c r="AG1366" t="n">
        <v>22</v>
      </c>
      <c r="AH1366" t="n">
        <v>5</v>
      </c>
      <c r="AI1366" t="n">
        <v>5</v>
      </c>
      <c r="AJ1366" t="n">
        <v>4</v>
      </c>
      <c r="AK1366" t="n">
        <v>4</v>
      </c>
      <c r="AL1366" t="n">
        <v>12</v>
      </c>
      <c r="AM1366" t="n">
        <v>12</v>
      </c>
      <c r="AN1366" t="n">
        <v>5</v>
      </c>
      <c r="AO1366" t="n">
        <v>5</v>
      </c>
      <c r="AP1366" t="n">
        <v>0</v>
      </c>
      <c r="AQ1366" t="n">
        <v>0</v>
      </c>
      <c r="AR1366" t="inlineStr">
        <is>
          <t>No</t>
        </is>
      </c>
      <c r="AS1366" t="inlineStr">
        <is>
          <t>No</t>
        </is>
      </c>
      <c r="AU1366">
        <f>HYPERLINK("https://creighton-primo.hosted.exlibrisgroup.com/primo-explore/search?tab=default_tab&amp;search_scope=EVERYTHING&amp;vid=01CRU&amp;lang=en_US&amp;offset=0&amp;query=any,contains,991002837209702656","Catalog Record")</f>
        <v/>
      </c>
      <c r="AV1366">
        <f>HYPERLINK("http://www.worldcat.org/oclc/480589","WorldCat Record")</f>
        <v/>
      </c>
      <c r="AW1366" t="inlineStr">
        <is>
          <t>198096874:eng</t>
        </is>
      </c>
      <c r="AX1366" t="inlineStr">
        <is>
          <t>480589</t>
        </is>
      </c>
      <c r="AY1366" t="inlineStr">
        <is>
          <t>991002837209702656</t>
        </is>
      </c>
      <c r="AZ1366" t="inlineStr">
        <is>
          <t>991002837209702656</t>
        </is>
      </c>
      <c r="BA1366" t="inlineStr">
        <is>
          <t>2268847350002656</t>
        </is>
      </c>
      <c r="BB1366" t="inlineStr">
        <is>
          <t>BOOK</t>
        </is>
      </c>
      <c r="BE1366" t="inlineStr">
        <is>
          <t>32285001851285</t>
        </is>
      </c>
      <c r="BF1366" t="inlineStr">
        <is>
          <t>893886800</t>
        </is>
      </c>
    </row>
    <row r="1367">
      <c r="A1367" t="inlineStr">
        <is>
          <t>No</t>
        </is>
      </c>
      <c r="B1367" t="inlineStr">
        <is>
          <t>CURAL</t>
        </is>
      </c>
      <c r="C1367" t="inlineStr">
        <is>
          <t>SHELVES</t>
        </is>
      </c>
      <c r="D1367" t="inlineStr">
        <is>
          <t>PR3727 .C79 1998</t>
        </is>
      </c>
      <c r="E1367" t="inlineStr">
        <is>
          <t>0                      PR 3727000C  79          1998</t>
        </is>
      </c>
      <c r="F1367" t="inlineStr">
        <is>
          <t>A preface to Swift / Keith Crook.</t>
        </is>
      </c>
      <c r="H1367" t="inlineStr">
        <is>
          <t>No</t>
        </is>
      </c>
      <c r="I1367" t="inlineStr">
        <is>
          <t>1</t>
        </is>
      </c>
      <c r="J1367" t="inlineStr">
        <is>
          <t>No</t>
        </is>
      </c>
      <c r="K1367" t="inlineStr">
        <is>
          <t>No</t>
        </is>
      </c>
      <c r="L1367" t="inlineStr">
        <is>
          <t>0</t>
        </is>
      </c>
      <c r="M1367" t="inlineStr">
        <is>
          <t>Crook, Keith.</t>
        </is>
      </c>
      <c r="N1367" t="inlineStr">
        <is>
          <t>London ; New York : Longman, 1998.</t>
        </is>
      </c>
      <c r="O1367" t="inlineStr">
        <is>
          <t>1998</t>
        </is>
      </c>
      <c r="Q1367" t="inlineStr">
        <is>
          <t>eng</t>
        </is>
      </c>
      <c r="R1367" t="inlineStr">
        <is>
          <t>enk</t>
        </is>
      </c>
      <c r="S1367" t="inlineStr">
        <is>
          <t>Preface books</t>
        </is>
      </c>
      <c r="T1367" t="inlineStr">
        <is>
          <t xml:space="preserve">PR </t>
        </is>
      </c>
      <c r="U1367" t="n">
        <v>2</v>
      </c>
      <c r="V1367" t="n">
        <v>2</v>
      </c>
      <c r="W1367" t="inlineStr">
        <is>
          <t>2007-10-03</t>
        </is>
      </c>
      <c r="X1367" t="inlineStr">
        <is>
          <t>2007-10-03</t>
        </is>
      </c>
      <c r="Y1367" t="inlineStr">
        <is>
          <t>1999-05-05</t>
        </is>
      </c>
      <c r="Z1367" t="inlineStr">
        <is>
          <t>1999-05-05</t>
        </is>
      </c>
      <c r="AA1367" t="n">
        <v>521</v>
      </c>
      <c r="AB1367" t="n">
        <v>442</v>
      </c>
      <c r="AC1367" t="n">
        <v>468</v>
      </c>
      <c r="AD1367" t="n">
        <v>4</v>
      </c>
      <c r="AE1367" t="n">
        <v>4</v>
      </c>
      <c r="AF1367" t="n">
        <v>31</v>
      </c>
      <c r="AG1367" t="n">
        <v>31</v>
      </c>
      <c r="AH1367" t="n">
        <v>14</v>
      </c>
      <c r="AI1367" t="n">
        <v>14</v>
      </c>
      <c r="AJ1367" t="n">
        <v>7</v>
      </c>
      <c r="AK1367" t="n">
        <v>7</v>
      </c>
      <c r="AL1367" t="n">
        <v>17</v>
      </c>
      <c r="AM1367" t="n">
        <v>17</v>
      </c>
      <c r="AN1367" t="n">
        <v>3</v>
      </c>
      <c r="AO1367" t="n">
        <v>3</v>
      </c>
      <c r="AP1367" t="n">
        <v>0</v>
      </c>
      <c r="AQ1367" t="n">
        <v>0</v>
      </c>
      <c r="AR1367" t="inlineStr">
        <is>
          <t>No</t>
        </is>
      </c>
      <c r="AS1367" t="inlineStr">
        <is>
          <t>No</t>
        </is>
      </c>
      <c r="AU1367">
        <f>HYPERLINK("https://creighton-primo.hosted.exlibrisgroup.com/primo-explore/search?tab=default_tab&amp;search_scope=EVERYTHING&amp;vid=01CRU&amp;lang=en_US&amp;offset=0&amp;query=any,contains,991002900739702656","Catalog Record")</f>
        <v/>
      </c>
      <c r="AV1367">
        <f>HYPERLINK("http://www.worldcat.org/oclc/38248974","WorldCat Record")</f>
        <v/>
      </c>
      <c r="AW1367" t="inlineStr">
        <is>
          <t>42597654:eng</t>
        </is>
      </c>
      <c r="AX1367" t="inlineStr">
        <is>
          <t>38248974</t>
        </is>
      </c>
      <c r="AY1367" t="inlineStr">
        <is>
          <t>991002900739702656</t>
        </is>
      </c>
      <c r="AZ1367" t="inlineStr">
        <is>
          <t>991002900739702656</t>
        </is>
      </c>
      <c r="BA1367" t="inlineStr">
        <is>
          <t>2269942040002656</t>
        </is>
      </c>
      <c r="BB1367" t="inlineStr">
        <is>
          <t>BOOK</t>
        </is>
      </c>
      <c r="BD1367" t="inlineStr">
        <is>
          <t>9780582289772</t>
        </is>
      </c>
      <c r="BE1367" t="inlineStr">
        <is>
          <t>32285003559142</t>
        </is>
      </c>
      <c r="BF1367" t="inlineStr">
        <is>
          <t>893904140</t>
        </is>
      </c>
    </row>
    <row r="1368">
      <c r="A1368" t="inlineStr">
        <is>
          <t>No</t>
        </is>
      </c>
      <c r="B1368" t="inlineStr">
        <is>
          <t>CURAL</t>
        </is>
      </c>
      <c r="C1368" t="inlineStr">
        <is>
          <t>SHELVES</t>
        </is>
      </c>
      <c r="D1368" t="inlineStr">
        <is>
          <t>PR3727 .D59</t>
        </is>
      </c>
      <c r="E1368" t="inlineStr">
        <is>
          <t>0                      PR 3727000D  59</t>
        </is>
      </c>
      <c r="F1368" t="inlineStr">
        <is>
          <t>Jonathan Swift : a critical anthology / edited by Denis Donoghue.</t>
        </is>
      </c>
      <c r="H1368" t="inlineStr">
        <is>
          <t>No</t>
        </is>
      </c>
      <c r="I1368" t="inlineStr">
        <is>
          <t>1</t>
        </is>
      </c>
      <c r="J1368" t="inlineStr">
        <is>
          <t>No</t>
        </is>
      </c>
      <c r="K1368" t="inlineStr">
        <is>
          <t>No</t>
        </is>
      </c>
      <c r="L1368" t="inlineStr">
        <is>
          <t>0</t>
        </is>
      </c>
      <c r="M1368" t="inlineStr">
        <is>
          <t>Donoghue, Denis compiler.</t>
        </is>
      </c>
      <c r="N1368" t="inlineStr">
        <is>
          <t>Harmondsworth : Penguin, 1971.</t>
        </is>
      </c>
      <c r="O1368" t="inlineStr">
        <is>
          <t>1971</t>
        </is>
      </c>
      <c r="Q1368" t="inlineStr">
        <is>
          <t>eng</t>
        </is>
      </c>
      <c r="R1368" t="inlineStr">
        <is>
          <t>enk</t>
        </is>
      </c>
      <c r="S1368" t="inlineStr">
        <is>
          <t>Penguin critical anthologies</t>
        </is>
      </c>
      <c r="T1368" t="inlineStr">
        <is>
          <t xml:space="preserve">PR </t>
        </is>
      </c>
      <c r="U1368" t="n">
        <v>4</v>
      </c>
      <c r="V1368" t="n">
        <v>4</v>
      </c>
      <c r="W1368" t="inlineStr">
        <is>
          <t>2000-11-30</t>
        </is>
      </c>
      <c r="X1368" t="inlineStr">
        <is>
          <t>2000-11-30</t>
        </is>
      </c>
      <c r="Y1368" t="inlineStr">
        <is>
          <t>1991-09-24</t>
        </is>
      </c>
      <c r="Z1368" t="inlineStr">
        <is>
          <t>1991-09-24</t>
        </is>
      </c>
      <c r="AA1368" t="n">
        <v>508</v>
      </c>
      <c r="AB1368" t="n">
        <v>380</v>
      </c>
      <c r="AC1368" t="n">
        <v>382</v>
      </c>
      <c r="AD1368" t="n">
        <v>4</v>
      </c>
      <c r="AE1368" t="n">
        <v>4</v>
      </c>
      <c r="AF1368" t="n">
        <v>15</v>
      </c>
      <c r="AG1368" t="n">
        <v>15</v>
      </c>
      <c r="AH1368" t="n">
        <v>4</v>
      </c>
      <c r="AI1368" t="n">
        <v>4</v>
      </c>
      <c r="AJ1368" t="n">
        <v>4</v>
      </c>
      <c r="AK1368" t="n">
        <v>4</v>
      </c>
      <c r="AL1368" t="n">
        <v>8</v>
      </c>
      <c r="AM1368" t="n">
        <v>8</v>
      </c>
      <c r="AN1368" t="n">
        <v>3</v>
      </c>
      <c r="AO1368" t="n">
        <v>3</v>
      </c>
      <c r="AP1368" t="n">
        <v>0</v>
      </c>
      <c r="AQ1368" t="n">
        <v>0</v>
      </c>
      <c r="AR1368" t="inlineStr">
        <is>
          <t>No</t>
        </is>
      </c>
      <c r="AS1368" t="inlineStr">
        <is>
          <t>No</t>
        </is>
      </c>
      <c r="AU1368">
        <f>HYPERLINK("https://creighton-primo.hosted.exlibrisgroup.com/primo-explore/search?tab=default_tab&amp;search_scope=EVERYTHING&amp;vid=01CRU&amp;lang=en_US&amp;offset=0&amp;query=any,contains,991001234739702656","Catalog Record")</f>
        <v/>
      </c>
      <c r="AV1368">
        <f>HYPERLINK("http://www.worldcat.org/oclc/205207","WorldCat Record")</f>
        <v/>
      </c>
      <c r="AW1368" t="inlineStr">
        <is>
          <t>3856323687:eng</t>
        </is>
      </c>
      <c r="AX1368" t="inlineStr">
        <is>
          <t>205207</t>
        </is>
      </c>
      <c r="AY1368" t="inlineStr">
        <is>
          <t>991001234739702656</t>
        </is>
      </c>
      <c r="AZ1368" t="inlineStr">
        <is>
          <t>991001234739702656</t>
        </is>
      </c>
      <c r="BA1368" t="inlineStr">
        <is>
          <t>2255365030002656</t>
        </is>
      </c>
      <c r="BB1368" t="inlineStr">
        <is>
          <t>BOOK</t>
        </is>
      </c>
      <c r="BD1368" t="inlineStr">
        <is>
          <t>9780140802221</t>
        </is>
      </c>
      <c r="BE1368" t="inlineStr">
        <is>
          <t>32285000760677</t>
        </is>
      </c>
      <c r="BF1368" t="inlineStr">
        <is>
          <t>893791294</t>
        </is>
      </c>
    </row>
    <row r="1369">
      <c r="A1369" t="inlineStr">
        <is>
          <t>No</t>
        </is>
      </c>
      <c r="B1369" t="inlineStr">
        <is>
          <t>CURAL</t>
        </is>
      </c>
      <c r="C1369" t="inlineStr">
        <is>
          <t>SHELVES</t>
        </is>
      </c>
      <c r="D1369" t="inlineStr">
        <is>
          <t>PR3727 .F4</t>
        </is>
      </c>
      <c r="E1369" t="inlineStr">
        <is>
          <t>0                      PR 3727000F  4</t>
        </is>
      </c>
      <c r="F1369" t="inlineStr">
        <is>
          <t>Jonathan Swift and Ireland.</t>
        </is>
      </c>
      <c r="H1369" t="inlineStr">
        <is>
          <t>No</t>
        </is>
      </c>
      <c r="I1369" t="inlineStr">
        <is>
          <t>1</t>
        </is>
      </c>
      <c r="J1369" t="inlineStr">
        <is>
          <t>No</t>
        </is>
      </c>
      <c r="K1369" t="inlineStr">
        <is>
          <t>No</t>
        </is>
      </c>
      <c r="L1369" t="inlineStr">
        <is>
          <t>0</t>
        </is>
      </c>
      <c r="M1369" t="inlineStr">
        <is>
          <t>Ferguson, Oliver W. (Oliver Watkins), 1924-</t>
        </is>
      </c>
      <c r="N1369" t="inlineStr">
        <is>
          <t>Urbana : University of Illinois Press, 1962.</t>
        </is>
      </c>
      <c r="O1369" t="inlineStr">
        <is>
          <t>1962</t>
        </is>
      </c>
      <c r="Q1369" t="inlineStr">
        <is>
          <t>eng</t>
        </is>
      </c>
      <c r="R1369" t="inlineStr">
        <is>
          <t>ilu</t>
        </is>
      </c>
      <c r="T1369" t="inlineStr">
        <is>
          <t xml:space="preserve">PR </t>
        </is>
      </c>
      <c r="U1369" t="n">
        <v>3</v>
      </c>
      <c r="V1369" t="n">
        <v>3</v>
      </c>
      <c r="W1369" t="inlineStr">
        <is>
          <t>2005-11-14</t>
        </is>
      </c>
      <c r="X1369" t="inlineStr">
        <is>
          <t>2005-11-14</t>
        </is>
      </c>
      <c r="Y1369" t="inlineStr">
        <is>
          <t>1995-05-24</t>
        </is>
      </c>
      <c r="Z1369" t="inlineStr">
        <is>
          <t>1995-05-24</t>
        </is>
      </c>
      <c r="AA1369" t="n">
        <v>703</v>
      </c>
      <c r="AB1369" t="n">
        <v>588</v>
      </c>
      <c r="AC1369" t="n">
        <v>595</v>
      </c>
      <c r="AD1369" t="n">
        <v>6</v>
      </c>
      <c r="AE1369" t="n">
        <v>6</v>
      </c>
      <c r="AF1369" t="n">
        <v>38</v>
      </c>
      <c r="AG1369" t="n">
        <v>38</v>
      </c>
      <c r="AH1369" t="n">
        <v>15</v>
      </c>
      <c r="AI1369" t="n">
        <v>15</v>
      </c>
      <c r="AJ1369" t="n">
        <v>9</v>
      </c>
      <c r="AK1369" t="n">
        <v>9</v>
      </c>
      <c r="AL1369" t="n">
        <v>20</v>
      </c>
      <c r="AM1369" t="n">
        <v>20</v>
      </c>
      <c r="AN1369" t="n">
        <v>5</v>
      </c>
      <c r="AO1369" t="n">
        <v>5</v>
      </c>
      <c r="AP1369" t="n">
        <v>0</v>
      </c>
      <c r="AQ1369" t="n">
        <v>0</v>
      </c>
      <c r="AR1369" t="inlineStr">
        <is>
          <t>No</t>
        </is>
      </c>
      <c r="AS1369" t="inlineStr">
        <is>
          <t>Yes</t>
        </is>
      </c>
      <c r="AT1369">
        <f>HYPERLINK("http://catalog.hathitrust.org/Record/004104603","HathiTrust Record")</f>
        <v/>
      </c>
      <c r="AU1369">
        <f>HYPERLINK("https://creighton-primo.hosted.exlibrisgroup.com/primo-explore/search?tab=default_tab&amp;search_scope=EVERYTHING&amp;vid=01CRU&amp;lang=en_US&amp;offset=0&amp;query=any,contains,991002460119702656","Catalog Record")</f>
        <v/>
      </c>
      <c r="AV1369">
        <f>HYPERLINK("http://www.worldcat.org/oclc/355668","WorldCat Record")</f>
        <v/>
      </c>
      <c r="AW1369" t="inlineStr">
        <is>
          <t>1398504:eng</t>
        </is>
      </c>
      <c r="AX1369" t="inlineStr">
        <is>
          <t>355668</t>
        </is>
      </c>
      <c r="AY1369" t="inlineStr">
        <is>
          <t>991002460119702656</t>
        </is>
      </c>
      <c r="AZ1369" t="inlineStr">
        <is>
          <t>991002460119702656</t>
        </is>
      </c>
      <c r="BA1369" t="inlineStr">
        <is>
          <t>2264697010002656</t>
        </is>
      </c>
      <c r="BB1369" t="inlineStr">
        <is>
          <t>BOOK</t>
        </is>
      </c>
      <c r="BE1369" t="inlineStr">
        <is>
          <t>32285002034840</t>
        </is>
      </c>
      <c r="BF1369" t="inlineStr">
        <is>
          <t>893873540</t>
        </is>
      </c>
    </row>
    <row r="1370">
      <c r="A1370" t="inlineStr">
        <is>
          <t>No</t>
        </is>
      </c>
      <c r="B1370" t="inlineStr">
        <is>
          <t>CURAL</t>
        </is>
      </c>
      <c r="C1370" t="inlineStr">
        <is>
          <t>SHELVES</t>
        </is>
      </c>
      <c r="D1370" t="inlineStr">
        <is>
          <t>PR3727 .H8 1989</t>
        </is>
      </c>
      <c r="E1370" t="inlineStr">
        <is>
          <t>0                      PR 3727000H  8           1989</t>
        </is>
      </c>
      <c r="F1370" t="inlineStr">
        <is>
          <t>Jonathan Swift / by Robert Hunting.</t>
        </is>
      </c>
      <c r="H1370" t="inlineStr">
        <is>
          <t>No</t>
        </is>
      </c>
      <c r="I1370" t="inlineStr">
        <is>
          <t>1</t>
        </is>
      </c>
      <c r="J1370" t="inlineStr">
        <is>
          <t>No</t>
        </is>
      </c>
      <c r="K1370" t="inlineStr">
        <is>
          <t>Yes</t>
        </is>
      </c>
      <c r="L1370" t="inlineStr">
        <is>
          <t>0</t>
        </is>
      </c>
      <c r="M1370" t="inlineStr">
        <is>
          <t>Hunting, Robert.</t>
        </is>
      </c>
      <c r="N1370" t="inlineStr">
        <is>
          <t>Boston : Twayne, c1989.</t>
        </is>
      </c>
      <c r="O1370" t="inlineStr">
        <is>
          <t>1989</t>
        </is>
      </c>
      <c r="P1370" t="inlineStr">
        <is>
          <t>Rev. ed.</t>
        </is>
      </c>
      <c r="Q1370" t="inlineStr">
        <is>
          <t>eng</t>
        </is>
      </c>
      <c r="R1370" t="inlineStr">
        <is>
          <t>mau</t>
        </is>
      </c>
      <c r="S1370" t="inlineStr">
        <is>
          <t>Twayne's English authors series ; TEAS 42</t>
        </is>
      </c>
      <c r="T1370" t="inlineStr">
        <is>
          <t xml:space="preserve">PR </t>
        </is>
      </c>
      <c r="U1370" t="n">
        <v>6</v>
      </c>
      <c r="V1370" t="n">
        <v>6</v>
      </c>
      <c r="W1370" t="inlineStr">
        <is>
          <t>1998-11-09</t>
        </is>
      </c>
      <c r="X1370" t="inlineStr">
        <is>
          <t>1998-11-09</t>
        </is>
      </c>
      <c r="Y1370" t="inlineStr">
        <is>
          <t>1990-02-27</t>
        </is>
      </c>
      <c r="Z1370" t="inlineStr">
        <is>
          <t>1990-02-27</t>
        </is>
      </c>
      <c r="AA1370" t="n">
        <v>636</v>
      </c>
      <c r="AB1370" t="n">
        <v>570</v>
      </c>
      <c r="AC1370" t="n">
        <v>1718</v>
      </c>
      <c r="AD1370" t="n">
        <v>6</v>
      </c>
      <c r="AE1370" t="n">
        <v>13</v>
      </c>
      <c r="AF1370" t="n">
        <v>26</v>
      </c>
      <c r="AG1370" t="n">
        <v>49</v>
      </c>
      <c r="AH1370" t="n">
        <v>8</v>
      </c>
      <c r="AI1370" t="n">
        <v>20</v>
      </c>
      <c r="AJ1370" t="n">
        <v>5</v>
      </c>
      <c r="AK1370" t="n">
        <v>10</v>
      </c>
      <c r="AL1370" t="n">
        <v>14</v>
      </c>
      <c r="AM1370" t="n">
        <v>21</v>
      </c>
      <c r="AN1370" t="n">
        <v>5</v>
      </c>
      <c r="AO1370" t="n">
        <v>10</v>
      </c>
      <c r="AP1370" t="n">
        <v>0</v>
      </c>
      <c r="AQ1370" t="n">
        <v>0</v>
      </c>
      <c r="AR1370" t="inlineStr">
        <is>
          <t>No</t>
        </is>
      </c>
      <c r="AS1370" t="inlineStr">
        <is>
          <t>Yes</t>
        </is>
      </c>
      <c r="AT1370">
        <f>HYPERLINK("http://catalog.hathitrust.org/Record/001547372","HathiTrust Record")</f>
        <v/>
      </c>
      <c r="AU1370">
        <f>HYPERLINK("https://creighton-primo.hosted.exlibrisgroup.com/primo-explore/search?tab=default_tab&amp;search_scope=EVERYTHING&amp;vid=01CRU&amp;lang=en_US&amp;offset=0&amp;query=any,contains,991001463599702656","Catalog Record")</f>
        <v/>
      </c>
      <c r="AV1370">
        <f>HYPERLINK("http://www.worldcat.org/oclc/19458672","WorldCat Record")</f>
        <v/>
      </c>
      <c r="AW1370" t="inlineStr">
        <is>
          <t>1609507:eng</t>
        </is>
      </c>
      <c r="AX1370" t="inlineStr">
        <is>
          <t>19458672</t>
        </is>
      </c>
      <c r="AY1370" t="inlineStr">
        <is>
          <t>991001463599702656</t>
        </is>
      </c>
      <c r="AZ1370" t="inlineStr">
        <is>
          <t>991001463599702656</t>
        </is>
      </c>
      <c r="BA1370" t="inlineStr">
        <is>
          <t>2271238160002656</t>
        </is>
      </c>
      <c r="BB1370" t="inlineStr">
        <is>
          <t>BOOK</t>
        </is>
      </c>
      <c r="BD1370" t="inlineStr">
        <is>
          <t>9780805769821</t>
        </is>
      </c>
      <c r="BE1370" t="inlineStr">
        <is>
          <t>32285000071943</t>
        </is>
      </c>
      <c r="BF1370" t="inlineStr">
        <is>
          <t>893885304</t>
        </is>
      </c>
    </row>
    <row r="1371">
      <c r="A1371" t="inlineStr">
        <is>
          <t>No</t>
        </is>
      </c>
      <c r="B1371" t="inlineStr">
        <is>
          <t>CURAL</t>
        </is>
      </c>
      <c r="C1371" t="inlineStr">
        <is>
          <t>SHELVES</t>
        </is>
      </c>
      <c r="D1371" t="inlineStr">
        <is>
          <t>PR3727 .J64 1978</t>
        </is>
      </c>
      <c r="E1371" t="inlineStr">
        <is>
          <t>0                      PR 3727000J  64          1978</t>
        </is>
      </c>
      <c r="F1371" t="inlineStr">
        <is>
          <t>Jonathan Swift : the contemporary background / [edited by] Clive T. Probyn. --</t>
        </is>
      </c>
      <c r="H1371" t="inlineStr">
        <is>
          <t>No</t>
        </is>
      </c>
      <c r="I1371" t="inlineStr">
        <is>
          <t>1</t>
        </is>
      </c>
      <c r="J1371" t="inlineStr">
        <is>
          <t>No</t>
        </is>
      </c>
      <c r="K1371" t="inlineStr">
        <is>
          <t>No</t>
        </is>
      </c>
      <c r="L1371" t="inlineStr">
        <is>
          <t>0</t>
        </is>
      </c>
      <c r="N1371" t="inlineStr">
        <is>
          <t>Manchester, Eng. : University Press ; New York : Harper &amp; Row, 1978.</t>
        </is>
      </c>
      <c r="O1371" t="inlineStr">
        <is>
          <t>1979</t>
        </is>
      </c>
      <c r="Q1371" t="inlineStr">
        <is>
          <t>eng</t>
        </is>
      </c>
      <c r="R1371" t="inlineStr">
        <is>
          <t>enk</t>
        </is>
      </c>
      <c r="S1371" t="inlineStr">
        <is>
          <t>Literature in context</t>
        </is>
      </c>
      <c r="T1371" t="inlineStr">
        <is>
          <t xml:space="preserve">PR </t>
        </is>
      </c>
      <c r="U1371" t="n">
        <v>3</v>
      </c>
      <c r="V1371" t="n">
        <v>3</v>
      </c>
      <c r="W1371" t="inlineStr">
        <is>
          <t>2002-03-20</t>
        </is>
      </c>
      <c r="X1371" t="inlineStr">
        <is>
          <t>2002-03-20</t>
        </is>
      </c>
      <c r="Y1371" t="inlineStr">
        <is>
          <t>1991-06-06</t>
        </is>
      </c>
      <c r="Z1371" t="inlineStr">
        <is>
          <t>1991-06-06</t>
        </is>
      </c>
      <c r="AA1371" t="n">
        <v>261</v>
      </c>
      <c r="AB1371" t="n">
        <v>121</v>
      </c>
      <c r="AC1371" t="n">
        <v>441</v>
      </c>
      <c r="AD1371" t="n">
        <v>2</v>
      </c>
      <c r="AE1371" t="n">
        <v>2</v>
      </c>
      <c r="AF1371" t="n">
        <v>5</v>
      </c>
      <c r="AG1371" t="n">
        <v>26</v>
      </c>
      <c r="AH1371" t="n">
        <v>0</v>
      </c>
      <c r="AI1371" t="n">
        <v>12</v>
      </c>
      <c r="AJ1371" t="n">
        <v>1</v>
      </c>
      <c r="AK1371" t="n">
        <v>5</v>
      </c>
      <c r="AL1371" t="n">
        <v>4</v>
      </c>
      <c r="AM1371" t="n">
        <v>18</v>
      </c>
      <c r="AN1371" t="n">
        <v>1</v>
      </c>
      <c r="AO1371" t="n">
        <v>1</v>
      </c>
      <c r="AP1371" t="n">
        <v>0</v>
      </c>
      <c r="AQ1371" t="n">
        <v>0</v>
      </c>
      <c r="AR1371" t="inlineStr">
        <is>
          <t>No</t>
        </is>
      </c>
      <c r="AS1371" t="inlineStr">
        <is>
          <t>Yes</t>
        </is>
      </c>
      <c r="AT1371">
        <f>HYPERLINK("http://catalog.hathitrust.org/Record/000301155","HathiTrust Record")</f>
        <v/>
      </c>
      <c r="AU1371">
        <f>HYPERLINK("https://creighton-primo.hosted.exlibrisgroup.com/primo-explore/search?tab=default_tab&amp;search_scope=EVERYTHING&amp;vid=01CRU&amp;lang=en_US&amp;offset=0&amp;query=any,contains,991004607269702656","Catalog Record")</f>
        <v/>
      </c>
      <c r="AV1371">
        <f>HYPERLINK("http://www.worldcat.org/oclc/4195179","WorldCat Record")</f>
        <v/>
      </c>
      <c r="AW1371" t="inlineStr">
        <is>
          <t>15260147:eng</t>
        </is>
      </c>
      <c r="AX1371" t="inlineStr">
        <is>
          <t>4195179</t>
        </is>
      </c>
      <c r="AY1371" t="inlineStr">
        <is>
          <t>991004607269702656</t>
        </is>
      </c>
      <c r="AZ1371" t="inlineStr">
        <is>
          <t>991004607269702656</t>
        </is>
      </c>
      <c r="BA1371" t="inlineStr">
        <is>
          <t>2261105700002656</t>
        </is>
      </c>
      <c r="BB1371" t="inlineStr">
        <is>
          <t>BOOK</t>
        </is>
      </c>
      <c r="BD1371" t="inlineStr">
        <is>
          <t>9780064957366</t>
        </is>
      </c>
      <c r="BE1371" t="inlineStr">
        <is>
          <t>32285000615574</t>
        </is>
      </c>
      <c r="BF1371" t="inlineStr">
        <is>
          <t>893722511</t>
        </is>
      </c>
    </row>
    <row r="1372">
      <c r="A1372" t="inlineStr">
        <is>
          <t>No</t>
        </is>
      </c>
      <c r="B1372" t="inlineStr">
        <is>
          <t>CURAL</t>
        </is>
      </c>
      <c r="C1372" t="inlineStr">
        <is>
          <t>SHELVES</t>
        </is>
      </c>
      <c r="D1372" t="inlineStr">
        <is>
          <t>PR3727 .R28</t>
        </is>
      </c>
      <c r="E1372" t="inlineStr">
        <is>
          <t>0                      PR 3727000R  28</t>
        </is>
      </c>
      <c r="F1372" t="inlineStr">
        <is>
          <t>Gulliver and the gentle reader : studies in Swift and our time / [by] C. J. Rawson.</t>
        </is>
      </c>
      <c r="H1372" t="inlineStr">
        <is>
          <t>No</t>
        </is>
      </c>
      <c r="I1372" t="inlineStr">
        <is>
          <t>1</t>
        </is>
      </c>
      <c r="J1372" t="inlineStr">
        <is>
          <t>No</t>
        </is>
      </c>
      <c r="K1372" t="inlineStr">
        <is>
          <t>No</t>
        </is>
      </c>
      <c r="L1372" t="inlineStr">
        <is>
          <t>0</t>
        </is>
      </c>
      <c r="M1372" t="inlineStr">
        <is>
          <t>Rawson, Claude Julien.</t>
        </is>
      </c>
      <c r="N1372" t="inlineStr">
        <is>
          <t>London ; Boston : Routledge &amp; Kegan Paul, [1973]</t>
        </is>
      </c>
      <c r="O1372" t="inlineStr">
        <is>
          <t>1973</t>
        </is>
      </c>
      <c r="Q1372" t="inlineStr">
        <is>
          <t>eng</t>
        </is>
      </c>
      <c r="R1372" t="inlineStr">
        <is>
          <t>enk</t>
        </is>
      </c>
      <c r="T1372" t="inlineStr">
        <is>
          <t xml:space="preserve">PR </t>
        </is>
      </c>
      <c r="U1372" t="n">
        <v>2</v>
      </c>
      <c r="V1372" t="n">
        <v>2</v>
      </c>
      <c r="W1372" t="inlineStr">
        <is>
          <t>1995-11-16</t>
        </is>
      </c>
      <c r="X1372" t="inlineStr">
        <is>
          <t>1995-11-16</t>
        </is>
      </c>
      <c r="Y1372" t="inlineStr">
        <is>
          <t>1994-02-28</t>
        </is>
      </c>
      <c r="Z1372" t="inlineStr">
        <is>
          <t>1994-02-28</t>
        </is>
      </c>
      <c r="AA1372" t="n">
        <v>699</v>
      </c>
      <c r="AB1372" t="n">
        <v>492</v>
      </c>
      <c r="AC1372" t="n">
        <v>565</v>
      </c>
      <c r="AD1372" t="n">
        <v>3</v>
      </c>
      <c r="AE1372" t="n">
        <v>3</v>
      </c>
      <c r="AF1372" t="n">
        <v>26</v>
      </c>
      <c r="AG1372" t="n">
        <v>27</v>
      </c>
      <c r="AH1372" t="n">
        <v>7</v>
      </c>
      <c r="AI1372" t="n">
        <v>8</v>
      </c>
      <c r="AJ1372" t="n">
        <v>6</v>
      </c>
      <c r="AK1372" t="n">
        <v>6</v>
      </c>
      <c r="AL1372" t="n">
        <v>18</v>
      </c>
      <c r="AM1372" t="n">
        <v>19</v>
      </c>
      <c r="AN1372" t="n">
        <v>2</v>
      </c>
      <c r="AO1372" t="n">
        <v>2</v>
      </c>
      <c r="AP1372" t="n">
        <v>0</v>
      </c>
      <c r="AQ1372" t="n">
        <v>0</v>
      </c>
      <c r="AR1372" t="inlineStr">
        <is>
          <t>No</t>
        </is>
      </c>
      <c r="AS1372" t="inlineStr">
        <is>
          <t>Yes</t>
        </is>
      </c>
      <c r="AT1372">
        <f>HYPERLINK("http://catalog.hathitrust.org/Record/004462977","HathiTrust Record")</f>
        <v/>
      </c>
      <c r="AU1372">
        <f>HYPERLINK("https://creighton-primo.hosted.exlibrisgroup.com/primo-explore/search?tab=default_tab&amp;search_scope=EVERYTHING&amp;vid=01CRU&amp;lang=en_US&amp;offset=0&amp;query=any,contains,991003229929702656","Catalog Record")</f>
        <v/>
      </c>
      <c r="AV1372">
        <f>HYPERLINK("http://www.worldcat.org/oclc/754593","WorldCat Record")</f>
        <v/>
      </c>
      <c r="AW1372" t="inlineStr">
        <is>
          <t>874414496:eng</t>
        </is>
      </c>
      <c r="AX1372" t="inlineStr">
        <is>
          <t>754593</t>
        </is>
      </c>
      <c r="AY1372" t="inlineStr">
        <is>
          <t>991003229929702656</t>
        </is>
      </c>
      <c r="AZ1372" t="inlineStr">
        <is>
          <t>991003229929702656</t>
        </is>
      </c>
      <c r="BA1372" t="inlineStr">
        <is>
          <t>2267646450002656</t>
        </is>
      </c>
      <c r="BB1372" t="inlineStr">
        <is>
          <t>BOOK</t>
        </is>
      </c>
      <c r="BD1372" t="inlineStr">
        <is>
          <t>9780710076021</t>
        </is>
      </c>
      <c r="BE1372" t="inlineStr">
        <is>
          <t>32285001850493</t>
        </is>
      </c>
      <c r="BF1372" t="inlineStr">
        <is>
          <t>893227824</t>
        </is>
      </c>
    </row>
    <row r="1373">
      <c r="A1373" t="inlineStr">
        <is>
          <t>No</t>
        </is>
      </c>
      <c r="B1373" t="inlineStr">
        <is>
          <t>CURAL</t>
        </is>
      </c>
      <c r="C1373" t="inlineStr">
        <is>
          <t>SHELVES</t>
        </is>
      </c>
      <c r="D1373" t="inlineStr">
        <is>
          <t>PR3727 .R45</t>
        </is>
      </c>
      <c r="E1373" t="inlineStr">
        <is>
          <t>0                      PR 3727000R  45</t>
        </is>
      </c>
      <c r="F1373" t="inlineStr">
        <is>
          <t>Jonathan Swift : the brave desponder / Patrick Reilly.</t>
        </is>
      </c>
      <c r="H1373" t="inlineStr">
        <is>
          <t>No</t>
        </is>
      </c>
      <c r="I1373" t="inlineStr">
        <is>
          <t>1</t>
        </is>
      </c>
      <c r="J1373" t="inlineStr">
        <is>
          <t>No</t>
        </is>
      </c>
      <c r="K1373" t="inlineStr">
        <is>
          <t>No</t>
        </is>
      </c>
      <c r="L1373" t="inlineStr">
        <is>
          <t>0</t>
        </is>
      </c>
      <c r="M1373" t="inlineStr">
        <is>
          <t>Reilly, Patrick.</t>
        </is>
      </c>
      <c r="N1373" t="inlineStr">
        <is>
          <t>Manchester, [Eng.] : Manchester University Press, 1982.</t>
        </is>
      </c>
      <c r="O1373" t="inlineStr">
        <is>
          <t>1982</t>
        </is>
      </c>
      <c r="Q1373" t="inlineStr">
        <is>
          <t>eng</t>
        </is>
      </c>
      <c r="R1373" t="inlineStr">
        <is>
          <t>enk</t>
        </is>
      </c>
      <c r="T1373" t="inlineStr">
        <is>
          <t xml:space="preserve">PR </t>
        </is>
      </c>
      <c r="U1373" t="n">
        <v>3</v>
      </c>
      <c r="V1373" t="n">
        <v>3</v>
      </c>
      <c r="W1373" t="inlineStr">
        <is>
          <t>2002-03-21</t>
        </is>
      </c>
      <c r="X1373" t="inlineStr">
        <is>
          <t>2002-03-21</t>
        </is>
      </c>
      <c r="Y1373" t="inlineStr">
        <is>
          <t>1991-06-06</t>
        </is>
      </c>
      <c r="Z1373" t="inlineStr">
        <is>
          <t>1991-06-06</t>
        </is>
      </c>
      <c r="AA1373" t="n">
        <v>214</v>
      </c>
      <c r="AB1373" t="n">
        <v>82</v>
      </c>
      <c r="AC1373" t="n">
        <v>432</v>
      </c>
      <c r="AD1373" t="n">
        <v>3</v>
      </c>
      <c r="AE1373" t="n">
        <v>3</v>
      </c>
      <c r="AF1373" t="n">
        <v>4</v>
      </c>
      <c r="AG1373" t="n">
        <v>23</v>
      </c>
      <c r="AH1373" t="n">
        <v>1</v>
      </c>
      <c r="AI1373" t="n">
        <v>10</v>
      </c>
      <c r="AJ1373" t="n">
        <v>1</v>
      </c>
      <c r="AK1373" t="n">
        <v>6</v>
      </c>
      <c r="AL1373" t="n">
        <v>1</v>
      </c>
      <c r="AM1373" t="n">
        <v>12</v>
      </c>
      <c r="AN1373" t="n">
        <v>2</v>
      </c>
      <c r="AO1373" t="n">
        <v>2</v>
      </c>
      <c r="AP1373" t="n">
        <v>0</v>
      </c>
      <c r="AQ1373" t="n">
        <v>0</v>
      </c>
      <c r="AR1373" t="inlineStr">
        <is>
          <t>No</t>
        </is>
      </c>
      <c r="AS1373" t="inlineStr">
        <is>
          <t>Yes</t>
        </is>
      </c>
      <c r="AT1373">
        <f>HYPERLINK("http://catalog.hathitrust.org/Record/000764830","HathiTrust Record")</f>
        <v/>
      </c>
      <c r="AU1373">
        <f>HYPERLINK("https://creighton-primo.hosted.exlibrisgroup.com/primo-explore/search?tab=default_tab&amp;search_scope=EVERYTHING&amp;vid=01CRU&amp;lang=en_US&amp;offset=0&amp;query=any,contains,991000042299702656","Catalog Record")</f>
        <v/>
      </c>
      <c r="AV1373">
        <f>HYPERLINK("http://www.worldcat.org/oclc/8931167","WorldCat Record")</f>
        <v/>
      </c>
      <c r="AW1373" t="inlineStr">
        <is>
          <t>42846367:eng</t>
        </is>
      </c>
      <c r="AX1373" t="inlineStr">
        <is>
          <t>8931167</t>
        </is>
      </c>
      <c r="AY1373" t="inlineStr">
        <is>
          <t>991000042299702656</t>
        </is>
      </c>
      <c r="AZ1373" t="inlineStr">
        <is>
          <t>991000042299702656</t>
        </is>
      </c>
      <c r="BA1373" t="inlineStr">
        <is>
          <t>2269603400002656</t>
        </is>
      </c>
      <c r="BB1373" t="inlineStr">
        <is>
          <t>BOOK</t>
        </is>
      </c>
      <c r="BD1373" t="inlineStr">
        <is>
          <t>9780719008504</t>
        </is>
      </c>
      <c r="BE1373" t="inlineStr">
        <is>
          <t>32285000615590</t>
        </is>
      </c>
      <c r="BF1373" t="inlineStr">
        <is>
          <t>893613817</t>
        </is>
      </c>
    </row>
    <row r="1374">
      <c r="A1374" t="inlineStr">
        <is>
          <t>No</t>
        </is>
      </c>
      <c r="B1374" t="inlineStr">
        <is>
          <t>CURAL</t>
        </is>
      </c>
      <c r="C1374" t="inlineStr">
        <is>
          <t>SHELVES</t>
        </is>
      </c>
      <c r="D1374" t="inlineStr">
        <is>
          <t>PR3727 .R6</t>
        </is>
      </c>
      <c r="E1374" t="inlineStr">
        <is>
          <t>0                      PR 3727000R  6</t>
        </is>
      </c>
      <c r="F1374" t="inlineStr">
        <is>
          <t>Swift and the satirist's art.</t>
        </is>
      </c>
      <c r="H1374" t="inlineStr">
        <is>
          <t>No</t>
        </is>
      </c>
      <c r="I1374" t="inlineStr">
        <is>
          <t>1</t>
        </is>
      </c>
      <c r="J1374" t="inlineStr">
        <is>
          <t>No</t>
        </is>
      </c>
      <c r="K1374" t="inlineStr">
        <is>
          <t>No</t>
        </is>
      </c>
      <c r="L1374" t="inlineStr">
        <is>
          <t>0</t>
        </is>
      </c>
      <c r="M1374" t="inlineStr">
        <is>
          <t>Rosenheim, Edward W.</t>
        </is>
      </c>
      <c r="N1374" t="inlineStr">
        <is>
          <t>[Chicago] : University of Chicago Press, [1963]</t>
        </is>
      </c>
      <c r="O1374" t="inlineStr">
        <is>
          <t>1963</t>
        </is>
      </c>
      <c r="Q1374" t="inlineStr">
        <is>
          <t>eng</t>
        </is>
      </c>
      <c r="R1374" t="inlineStr">
        <is>
          <t>ilu</t>
        </is>
      </c>
      <c r="T1374" t="inlineStr">
        <is>
          <t xml:space="preserve">PR </t>
        </is>
      </c>
      <c r="U1374" t="n">
        <v>9</v>
      </c>
      <c r="V1374" t="n">
        <v>9</v>
      </c>
      <c r="W1374" t="inlineStr">
        <is>
          <t>1994-11-23</t>
        </is>
      </c>
      <c r="X1374" t="inlineStr">
        <is>
          <t>1994-11-23</t>
        </is>
      </c>
      <c r="Y1374" t="inlineStr">
        <is>
          <t>1990-09-27</t>
        </is>
      </c>
      <c r="Z1374" t="inlineStr">
        <is>
          <t>1990-09-27</t>
        </is>
      </c>
      <c r="AA1374" t="n">
        <v>1084</v>
      </c>
      <c r="AB1374" t="n">
        <v>926</v>
      </c>
      <c r="AC1374" t="n">
        <v>966</v>
      </c>
      <c r="AD1374" t="n">
        <v>9</v>
      </c>
      <c r="AE1374" t="n">
        <v>9</v>
      </c>
      <c r="AF1374" t="n">
        <v>45</v>
      </c>
      <c r="AG1374" t="n">
        <v>47</v>
      </c>
      <c r="AH1374" t="n">
        <v>20</v>
      </c>
      <c r="AI1374" t="n">
        <v>21</v>
      </c>
      <c r="AJ1374" t="n">
        <v>9</v>
      </c>
      <c r="AK1374" t="n">
        <v>10</v>
      </c>
      <c r="AL1374" t="n">
        <v>21</v>
      </c>
      <c r="AM1374" t="n">
        <v>21</v>
      </c>
      <c r="AN1374" t="n">
        <v>8</v>
      </c>
      <c r="AO1374" t="n">
        <v>8</v>
      </c>
      <c r="AP1374" t="n">
        <v>0</v>
      </c>
      <c r="AQ1374" t="n">
        <v>0</v>
      </c>
      <c r="AR1374" t="inlineStr">
        <is>
          <t>No</t>
        </is>
      </c>
      <c r="AS1374" t="inlineStr">
        <is>
          <t>Yes</t>
        </is>
      </c>
      <c r="AT1374">
        <f>HYPERLINK("http://catalog.hathitrust.org/Record/001022929","HathiTrust Record")</f>
        <v/>
      </c>
      <c r="AU1374">
        <f>HYPERLINK("https://creighton-primo.hosted.exlibrisgroup.com/primo-explore/search?tab=default_tab&amp;search_scope=EVERYTHING&amp;vid=01CRU&amp;lang=en_US&amp;offset=0&amp;query=any,contains,991002460039702656","Catalog Record")</f>
        <v/>
      </c>
      <c r="AV1374">
        <f>HYPERLINK("http://www.worldcat.org/oclc/355656","WorldCat Record")</f>
        <v/>
      </c>
      <c r="AW1374" t="inlineStr">
        <is>
          <t>1398469:eng</t>
        </is>
      </c>
      <c r="AX1374" t="inlineStr">
        <is>
          <t>355656</t>
        </is>
      </c>
      <c r="AY1374" t="inlineStr">
        <is>
          <t>991002460039702656</t>
        </is>
      </c>
      <c r="AZ1374" t="inlineStr">
        <is>
          <t>991002460039702656</t>
        </is>
      </c>
      <c r="BA1374" t="inlineStr">
        <is>
          <t>2264692450002656</t>
        </is>
      </c>
      <c r="BB1374" t="inlineStr">
        <is>
          <t>BOOK</t>
        </is>
      </c>
      <c r="BE1374" t="inlineStr">
        <is>
          <t>32285000320704</t>
        </is>
      </c>
      <c r="BF1374" t="inlineStr">
        <is>
          <t>893523642</t>
        </is>
      </c>
    </row>
    <row r="1375">
      <c r="A1375" t="inlineStr">
        <is>
          <t>No</t>
        </is>
      </c>
      <c r="B1375" t="inlineStr">
        <is>
          <t>CURAL</t>
        </is>
      </c>
      <c r="C1375" t="inlineStr">
        <is>
          <t>SHELVES</t>
        </is>
      </c>
      <c r="D1375" t="inlineStr">
        <is>
          <t>PR3727 .S74</t>
        </is>
      </c>
      <c r="E1375" t="inlineStr">
        <is>
          <t>0                      PR 3727000S  74</t>
        </is>
      </c>
      <c r="F1375" t="inlineStr">
        <is>
          <t>Jonathan Swift : preacher and jester / Peter Steele.</t>
        </is>
      </c>
      <c r="H1375" t="inlineStr">
        <is>
          <t>No</t>
        </is>
      </c>
      <c r="I1375" t="inlineStr">
        <is>
          <t>1</t>
        </is>
      </c>
      <c r="J1375" t="inlineStr">
        <is>
          <t>No</t>
        </is>
      </c>
      <c r="K1375" t="inlineStr">
        <is>
          <t>No</t>
        </is>
      </c>
      <c r="L1375" t="inlineStr">
        <is>
          <t>0</t>
        </is>
      </c>
      <c r="M1375" t="inlineStr">
        <is>
          <t>Steele, Peter, 1942 July 4-</t>
        </is>
      </c>
      <c r="N1375" t="inlineStr">
        <is>
          <t>Oxford : Clarendon Press, 1978.</t>
        </is>
      </c>
      <c r="O1375" t="inlineStr">
        <is>
          <t>1978</t>
        </is>
      </c>
      <c r="Q1375" t="inlineStr">
        <is>
          <t>eng</t>
        </is>
      </c>
      <c r="R1375" t="inlineStr">
        <is>
          <t>enk</t>
        </is>
      </c>
      <c r="T1375" t="inlineStr">
        <is>
          <t xml:space="preserve">PR </t>
        </is>
      </c>
      <c r="U1375" t="n">
        <v>3</v>
      </c>
      <c r="V1375" t="n">
        <v>3</v>
      </c>
      <c r="W1375" t="inlineStr">
        <is>
          <t>2008-10-13</t>
        </is>
      </c>
      <c r="X1375" t="inlineStr">
        <is>
          <t>2008-10-13</t>
        </is>
      </c>
      <c r="Y1375" t="inlineStr">
        <is>
          <t>1991-06-06</t>
        </is>
      </c>
      <c r="Z1375" t="inlineStr">
        <is>
          <t>1991-06-06</t>
        </is>
      </c>
      <c r="AA1375" t="n">
        <v>628</v>
      </c>
      <c r="AB1375" t="n">
        <v>476</v>
      </c>
      <c r="AC1375" t="n">
        <v>484</v>
      </c>
      <c r="AD1375" t="n">
        <v>3</v>
      </c>
      <c r="AE1375" t="n">
        <v>3</v>
      </c>
      <c r="AF1375" t="n">
        <v>25</v>
      </c>
      <c r="AG1375" t="n">
        <v>25</v>
      </c>
      <c r="AH1375" t="n">
        <v>11</v>
      </c>
      <c r="AI1375" t="n">
        <v>11</v>
      </c>
      <c r="AJ1375" t="n">
        <v>6</v>
      </c>
      <c r="AK1375" t="n">
        <v>6</v>
      </c>
      <c r="AL1375" t="n">
        <v>14</v>
      </c>
      <c r="AM1375" t="n">
        <v>14</v>
      </c>
      <c r="AN1375" t="n">
        <v>2</v>
      </c>
      <c r="AO1375" t="n">
        <v>2</v>
      </c>
      <c r="AP1375" t="n">
        <v>0</v>
      </c>
      <c r="AQ1375" t="n">
        <v>0</v>
      </c>
      <c r="AR1375" t="inlineStr">
        <is>
          <t>No</t>
        </is>
      </c>
      <c r="AS1375" t="inlineStr">
        <is>
          <t>Yes</t>
        </is>
      </c>
      <c r="AT1375">
        <f>HYPERLINK("http://catalog.hathitrust.org/Record/000300902","HathiTrust Record")</f>
        <v/>
      </c>
      <c r="AU1375">
        <f>HYPERLINK("https://creighton-primo.hosted.exlibrisgroup.com/primo-explore/search?tab=default_tab&amp;search_scope=EVERYTHING&amp;vid=01CRU&amp;lang=en_US&amp;offset=0&amp;query=any,contains,991004733189702656","Catalog Record")</f>
        <v/>
      </c>
      <c r="AV1375">
        <f>HYPERLINK("http://www.worldcat.org/oclc/4933736","WorldCat Record")</f>
        <v/>
      </c>
      <c r="AW1375" t="inlineStr">
        <is>
          <t>415739:eng</t>
        </is>
      </c>
      <c r="AX1375" t="inlineStr">
        <is>
          <t>4933736</t>
        </is>
      </c>
      <c r="AY1375" t="inlineStr">
        <is>
          <t>991004733189702656</t>
        </is>
      </c>
      <c r="AZ1375" t="inlineStr">
        <is>
          <t>991004733189702656</t>
        </is>
      </c>
      <c r="BA1375" t="inlineStr">
        <is>
          <t>2260867890002656</t>
        </is>
      </c>
      <c r="BB1375" t="inlineStr">
        <is>
          <t>BOOK</t>
        </is>
      </c>
      <c r="BD1375" t="inlineStr">
        <is>
          <t>9780198120889</t>
        </is>
      </c>
      <c r="BE1375" t="inlineStr">
        <is>
          <t>32285000615608</t>
        </is>
      </c>
      <c r="BF1375" t="inlineStr">
        <is>
          <t>893241779</t>
        </is>
      </c>
    </row>
    <row r="1376">
      <c r="A1376" t="inlineStr">
        <is>
          <t>No</t>
        </is>
      </c>
      <c r="B1376" t="inlineStr">
        <is>
          <t>CURAL</t>
        </is>
      </c>
      <c r="C1376" t="inlineStr">
        <is>
          <t>SHELVES</t>
        </is>
      </c>
      <c r="D1376" t="inlineStr">
        <is>
          <t>PR3727 .S95 1989</t>
        </is>
      </c>
      <c r="E1376" t="inlineStr">
        <is>
          <t>0                      PR 3727000S  95          1989</t>
        </is>
      </c>
      <c r="F1376" t="inlineStr">
        <is>
          <t>Swift and his contexts / edited by John Irwin Fischer, Hermann J. Real, James Woolley.</t>
        </is>
      </c>
      <c r="H1376" t="inlineStr">
        <is>
          <t>No</t>
        </is>
      </c>
      <c r="I1376" t="inlineStr">
        <is>
          <t>1</t>
        </is>
      </c>
      <c r="J1376" t="inlineStr">
        <is>
          <t>No</t>
        </is>
      </c>
      <c r="K1376" t="inlineStr">
        <is>
          <t>No</t>
        </is>
      </c>
      <c r="L1376" t="inlineStr">
        <is>
          <t>0</t>
        </is>
      </c>
      <c r="N1376" t="inlineStr">
        <is>
          <t>New York : AMS Press, c1989.</t>
        </is>
      </c>
      <c r="O1376" t="inlineStr">
        <is>
          <t>1989</t>
        </is>
      </c>
      <c r="Q1376" t="inlineStr">
        <is>
          <t>eng</t>
        </is>
      </c>
      <c r="R1376" t="inlineStr">
        <is>
          <t>nyu</t>
        </is>
      </c>
      <c r="S1376" t="inlineStr">
        <is>
          <t>AMS studies in the eighteenth century, 0196-6561 ; no. 14</t>
        </is>
      </c>
      <c r="T1376" t="inlineStr">
        <is>
          <t xml:space="preserve">PR </t>
        </is>
      </c>
      <c r="U1376" t="n">
        <v>7</v>
      </c>
      <c r="V1376" t="n">
        <v>7</v>
      </c>
      <c r="W1376" t="inlineStr">
        <is>
          <t>2007-10-03</t>
        </is>
      </c>
      <c r="X1376" t="inlineStr">
        <is>
          <t>2007-10-03</t>
        </is>
      </c>
      <c r="Y1376" t="inlineStr">
        <is>
          <t>1990-10-12</t>
        </is>
      </c>
      <c r="Z1376" t="inlineStr">
        <is>
          <t>1990-10-12</t>
        </is>
      </c>
      <c r="AA1376" t="n">
        <v>268</v>
      </c>
      <c r="AB1376" t="n">
        <v>195</v>
      </c>
      <c r="AC1376" t="n">
        <v>204</v>
      </c>
      <c r="AD1376" t="n">
        <v>3</v>
      </c>
      <c r="AE1376" t="n">
        <v>3</v>
      </c>
      <c r="AF1376" t="n">
        <v>13</v>
      </c>
      <c r="AG1376" t="n">
        <v>13</v>
      </c>
      <c r="AH1376" t="n">
        <v>4</v>
      </c>
      <c r="AI1376" t="n">
        <v>4</v>
      </c>
      <c r="AJ1376" t="n">
        <v>4</v>
      </c>
      <c r="AK1376" t="n">
        <v>4</v>
      </c>
      <c r="AL1376" t="n">
        <v>8</v>
      </c>
      <c r="AM1376" t="n">
        <v>8</v>
      </c>
      <c r="AN1376" t="n">
        <v>2</v>
      </c>
      <c r="AO1376" t="n">
        <v>2</v>
      </c>
      <c r="AP1376" t="n">
        <v>0</v>
      </c>
      <c r="AQ1376" t="n">
        <v>0</v>
      </c>
      <c r="AR1376" t="inlineStr">
        <is>
          <t>No</t>
        </is>
      </c>
      <c r="AS1376" t="inlineStr">
        <is>
          <t>Yes</t>
        </is>
      </c>
      <c r="AT1376">
        <f>HYPERLINK("http://catalog.hathitrust.org/Record/001952022","HathiTrust Record")</f>
        <v/>
      </c>
      <c r="AU1376">
        <f>HYPERLINK("https://creighton-primo.hosted.exlibrisgroup.com/primo-explore/search?tab=default_tab&amp;search_scope=EVERYTHING&amp;vid=01CRU&amp;lang=en_US&amp;offset=0&amp;query=any,contains,991001439529702656","Catalog Record")</f>
        <v/>
      </c>
      <c r="AV1376">
        <f>HYPERLINK("http://www.worldcat.org/oclc/19222479","WorldCat Record")</f>
        <v/>
      </c>
      <c r="AW1376" t="inlineStr">
        <is>
          <t>347304095:eng</t>
        </is>
      </c>
      <c r="AX1376" t="inlineStr">
        <is>
          <t>19222479</t>
        </is>
      </c>
      <c r="AY1376" t="inlineStr">
        <is>
          <t>991001439529702656</t>
        </is>
      </c>
      <c r="AZ1376" t="inlineStr">
        <is>
          <t>991001439529702656</t>
        </is>
      </c>
      <c r="BA1376" t="inlineStr">
        <is>
          <t>2259405470002656</t>
        </is>
      </c>
      <c r="BB1376" t="inlineStr">
        <is>
          <t>BOOK</t>
        </is>
      </c>
      <c r="BD1376" t="inlineStr">
        <is>
          <t>9780404635145</t>
        </is>
      </c>
      <c r="BE1376" t="inlineStr">
        <is>
          <t>32285000310275</t>
        </is>
      </c>
      <c r="BF1376" t="inlineStr">
        <is>
          <t>893414242</t>
        </is>
      </c>
    </row>
    <row r="1377">
      <c r="A1377" t="inlineStr">
        <is>
          <t>No</t>
        </is>
      </c>
      <c r="B1377" t="inlineStr">
        <is>
          <t>CURAL</t>
        </is>
      </c>
      <c r="C1377" t="inlineStr">
        <is>
          <t>SHELVES</t>
        </is>
      </c>
      <c r="D1377" t="inlineStr">
        <is>
          <t>PR3727 .V5 1968a</t>
        </is>
      </c>
      <c r="E1377" t="inlineStr">
        <is>
          <t>0                      PR 3727000V  5           1968a</t>
        </is>
      </c>
      <c r="F1377" t="inlineStr">
        <is>
          <t>The world of Jonathan Swift : essays for the tercentenary / collected and edited by Brian Vickers.</t>
        </is>
      </c>
      <c r="H1377" t="inlineStr">
        <is>
          <t>No</t>
        </is>
      </c>
      <c r="I1377" t="inlineStr">
        <is>
          <t>1</t>
        </is>
      </c>
      <c r="J1377" t="inlineStr">
        <is>
          <t>No</t>
        </is>
      </c>
      <c r="K1377" t="inlineStr">
        <is>
          <t>No</t>
        </is>
      </c>
      <c r="L1377" t="inlineStr">
        <is>
          <t>0</t>
        </is>
      </c>
      <c r="M1377" t="inlineStr">
        <is>
          <t>Vickers, Brian.</t>
        </is>
      </c>
      <c r="N1377" t="inlineStr">
        <is>
          <t>Oxford : Blackwell, 1968.</t>
        </is>
      </c>
      <c r="O1377" t="inlineStr">
        <is>
          <t>1968</t>
        </is>
      </c>
      <c r="Q1377" t="inlineStr">
        <is>
          <t>eng</t>
        </is>
      </c>
      <c r="R1377" t="inlineStr">
        <is>
          <t>enk</t>
        </is>
      </c>
      <c r="T1377" t="inlineStr">
        <is>
          <t xml:space="preserve">PR </t>
        </is>
      </c>
      <c r="U1377" t="n">
        <v>5</v>
      </c>
      <c r="V1377" t="n">
        <v>5</v>
      </c>
      <c r="W1377" t="inlineStr">
        <is>
          <t>2006-11-06</t>
        </is>
      </c>
      <c r="X1377" t="inlineStr">
        <is>
          <t>2006-11-06</t>
        </is>
      </c>
      <c r="Y1377" t="inlineStr">
        <is>
          <t>1990-11-19</t>
        </is>
      </c>
      <c r="Z1377" t="inlineStr">
        <is>
          <t>1990-11-19</t>
        </is>
      </c>
      <c r="AA1377" t="n">
        <v>496</v>
      </c>
      <c r="AB1377" t="n">
        <v>323</v>
      </c>
      <c r="AC1377" t="n">
        <v>762</v>
      </c>
      <c r="AD1377" t="n">
        <v>4</v>
      </c>
      <c r="AE1377" t="n">
        <v>6</v>
      </c>
      <c r="AF1377" t="n">
        <v>23</v>
      </c>
      <c r="AG1377" t="n">
        <v>40</v>
      </c>
      <c r="AH1377" t="n">
        <v>6</v>
      </c>
      <c r="AI1377" t="n">
        <v>17</v>
      </c>
      <c r="AJ1377" t="n">
        <v>5</v>
      </c>
      <c r="AK1377" t="n">
        <v>8</v>
      </c>
      <c r="AL1377" t="n">
        <v>14</v>
      </c>
      <c r="AM1377" t="n">
        <v>21</v>
      </c>
      <c r="AN1377" t="n">
        <v>3</v>
      </c>
      <c r="AO1377" t="n">
        <v>5</v>
      </c>
      <c r="AP1377" t="n">
        <v>0</v>
      </c>
      <c r="AQ1377" t="n">
        <v>0</v>
      </c>
      <c r="AR1377" t="inlineStr">
        <is>
          <t>No</t>
        </is>
      </c>
      <c r="AS1377" t="inlineStr">
        <is>
          <t>Yes</t>
        </is>
      </c>
      <c r="AT1377">
        <f>HYPERLINK("http://catalog.hathitrust.org/Record/001775266","HathiTrust Record")</f>
        <v/>
      </c>
      <c r="AU1377">
        <f>HYPERLINK("https://creighton-primo.hosted.exlibrisgroup.com/primo-explore/search?tab=default_tab&amp;search_scope=EVERYTHING&amp;vid=01CRU&amp;lang=en_US&amp;offset=0&amp;query=any,contains,991000094929702656","Catalog Record")</f>
        <v/>
      </c>
      <c r="AV1377">
        <f>HYPERLINK("http://www.worldcat.org/oclc/41177","WorldCat Record")</f>
        <v/>
      </c>
      <c r="AW1377" t="inlineStr">
        <is>
          <t>3855614579:eng</t>
        </is>
      </c>
      <c r="AX1377" t="inlineStr">
        <is>
          <t>41177</t>
        </is>
      </c>
      <c r="AY1377" t="inlineStr">
        <is>
          <t>991000094929702656</t>
        </is>
      </c>
      <c r="AZ1377" t="inlineStr">
        <is>
          <t>991000094929702656</t>
        </is>
      </c>
      <c r="BA1377" t="inlineStr">
        <is>
          <t>2259874000002656</t>
        </is>
      </c>
      <c r="BB1377" t="inlineStr">
        <is>
          <t>BOOK</t>
        </is>
      </c>
      <c r="BD1377" t="inlineStr">
        <is>
          <t>9780631113904</t>
        </is>
      </c>
      <c r="BE1377" t="inlineStr">
        <is>
          <t>32285000396886</t>
        </is>
      </c>
      <c r="BF1377" t="inlineStr">
        <is>
          <t>893620167</t>
        </is>
      </c>
    </row>
    <row r="1378">
      <c r="A1378" t="inlineStr">
        <is>
          <t>No</t>
        </is>
      </c>
      <c r="B1378" t="inlineStr">
        <is>
          <t>CURAL</t>
        </is>
      </c>
      <c r="C1378" t="inlineStr">
        <is>
          <t>SHELVES</t>
        </is>
      </c>
      <c r="D1378" t="inlineStr">
        <is>
          <t>PR3727 .W5</t>
        </is>
      </c>
      <c r="E1378" t="inlineStr">
        <is>
          <t>0                      PR 3727000W  5</t>
        </is>
      </c>
      <c r="F1378" t="inlineStr">
        <is>
          <t>Jonathan Swift and the age of compromise.</t>
        </is>
      </c>
      <c r="H1378" t="inlineStr">
        <is>
          <t>No</t>
        </is>
      </c>
      <c r="I1378" t="inlineStr">
        <is>
          <t>1</t>
        </is>
      </c>
      <c r="J1378" t="inlineStr">
        <is>
          <t>No</t>
        </is>
      </c>
      <c r="K1378" t="inlineStr">
        <is>
          <t>No</t>
        </is>
      </c>
      <c r="L1378" t="inlineStr">
        <is>
          <t>0</t>
        </is>
      </c>
      <c r="M1378" t="inlineStr">
        <is>
          <t>Williams, Kathleen.</t>
        </is>
      </c>
      <c r="N1378" t="inlineStr">
        <is>
          <t>Lawrence : University of Kansas Press, 1958.</t>
        </is>
      </c>
      <c r="O1378" t="inlineStr">
        <is>
          <t>1958</t>
        </is>
      </c>
      <c r="Q1378" t="inlineStr">
        <is>
          <t>eng</t>
        </is>
      </c>
      <c r="R1378" t="inlineStr">
        <is>
          <t>ksu</t>
        </is>
      </c>
      <c r="T1378" t="inlineStr">
        <is>
          <t xml:space="preserve">PR </t>
        </is>
      </c>
      <c r="U1378" t="n">
        <v>1</v>
      </c>
      <c r="V1378" t="n">
        <v>1</v>
      </c>
      <c r="W1378" t="inlineStr">
        <is>
          <t>2002-03-21</t>
        </is>
      </c>
      <c r="X1378" t="inlineStr">
        <is>
          <t>2002-03-21</t>
        </is>
      </c>
      <c r="Y1378" t="inlineStr">
        <is>
          <t>1995-04-26</t>
        </is>
      </c>
      <c r="Z1378" t="inlineStr">
        <is>
          <t>1995-04-26</t>
        </is>
      </c>
      <c r="AA1378" t="n">
        <v>929</v>
      </c>
      <c r="AB1378" t="n">
        <v>808</v>
      </c>
      <c r="AC1378" t="n">
        <v>937</v>
      </c>
      <c r="AD1378" t="n">
        <v>9</v>
      </c>
      <c r="AE1378" t="n">
        <v>9</v>
      </c>
      <c r="AF1378" t="n">
        <v>45</v>
      </c>
      <c r="AG1378" t="n">
        <v>48</v>
      </c>
      <c r="AH1378" t="n">
        <v>16</v>
      </c>
      <c r="AI1378" t="n">
        <v>18</v>
      </c>
      <c r="AJ1378" t="n">
        <v>11</v>
      </c>
      <c r="AK1378" t="n">
        <v>11</v>
      </c>
      <c r="AL1378" t="n">
        <v>21</v>
      </c>
      <c r="AM1378" t="n">
        <v>23</v>
      </c>
      <c r="AN1378" t="n">
        <v>7</v>
      </c>
      <c r="AO1378" t="n">
        <v>7</v>
      </c>
      <c r="AP1378" t="n">
        <v>0</v>
      </c>
      <c r="AQ1378" t="n">
        <v>0</v>
      </c>
      <c r="AR1378" t="inlineStr">
        <is>
          <t>No</t>
        </is>
      </c>
      <c r="AS1378" t="inlineStr">
        <is>
          <t>Yes</t>
        </is>
      </c>
      <c r="AT1378">
        <f>HYPERLINK("http://catalog.hathitrust.org/Record/001186784","HathiTrust Record")</f>
        <v/>
      </c>
      <c r="AU1378">
        <f>HYPERLINK("https://creighton-primo.hosted.exlibrisgroup.com/primo-explore/search?tab=default_tab&amp;search_scope=EVERYTHING&amp;vid=01CRU&amp;lang=en_US&amp;offset=0&amp;query=any,contains,991002468779702656","Catalog Record")</f>
        <v/>
      </c>
      <c r="AV1378">
        <f>HYPERLINK("http://www.worldcat.org/oclc/358265","WorldCat Record")</f>
        <v/>
      </c>
      <c r="AW1378" t="inlineStr">
        <is>
          <t>20602484:eng</t>
        </is>
      </c>
      <c r="AX1378" t="inlineStr">
        <is>
          <t>358265</t>
        </is>
      </c>
      <c r="AY1378" t="inlineStr">
        <is>
          <t>991002468779702656</t>
        </is>
      </c>
      <c r="AZ1378" t="inlineStr">
        <is>
          <t>991002468779702656</t>
        </is>
      </c>
      <c r="BA1378" t="inlineStr">
        <is>
          <t>2266148970002656</t>
        </is>
      </c>
      <c r="BB1378" t="inlineStr">
        <is>
          <t>BOOK</t>
        </is>
      </c>
      <c r="BE1378" t="inlineStr">
        <is>
          <t>32285002029295</t>
        </is>
      </c>
      <c r="BF1378" t="inlineStr">
        <is>
          <t>893421410</t>
        </is>
      </c>
    </row>
    <row r="1379">
      <c r="A1379" t="inlineStr">
        <is>
          <t>No</t>
        </is>
      </c>
      <c r="B1379" t="inlineStr">
        <is>
          <t>CURAL</t>
        </is>
      </c>
      <c r="C1379" t="inlineStr">
        <is>
          <t>SHELVES</t>
        </is>
      </c>
      <c r="D1379" t="inlineStr">
        <is>
          <t>PR3727 .W53</t>
        </is>
      </c>
      <c r="E1379" t="inlineStr">
        <is>
          <t>0                      PR 3727000W  53</t>
        </is>
      </c>
      <c r="F1379" t="inlineStr">
        <is>
          <t>Swift, the critical heritage.</t>
        </is>
      </c>
      <c r="H1379" t="inlineStr">
        <is>
          <t>No</t>
        </is>
      </c>
      <c r="I1379" t="inlineStr">
        <is>
          <t>1</t>
        </is>
      </c>
      <c r="J1379" t="inlineStr">
        <is>
          <t>No</t>
        </is>
      </c>
      <c r="K1379" t="inlineStr">
        <is>
          <t>No</t>
        </is>
      </c>
      <c r="L1379" t="inlineStr">
        <is>
          <t>0</t>
        </is>
      </c>
      <c r="M1379" t="inlineStr">
        <is>
          <t>Williams, Kathleen, compiler.</t>
        </is>
      </c>
      <c r="N1379" t="inlineStr">
        <is>
          <t>New York : Barnes &amp; Noble, [1970]</t>
        </is>
      </c>
      <c r="O1379" t="inlineStr">
        <is>
          <t>1970</t>
        </is>
      </c>
      <c r="Q1379" t="inlineStr">
        <is>
          <t>eng</t>
        </is>
      </c>
      <c r="R1379" t="inlineStr">
        <is>
          <t>nyu</t>
        </is>
      </c>
      <c r="S1379" t="inlineStr">
        <is>
          <t>The Critical heritage series</t>
        </is>
      </c>
      <c r="T1379" t="inlineStr">
        <is>
          <t xml:space="preserve">PR </t>
        </is>
      </c>
      <c r="U1379" t="n">
        <v>6</v>
      </c>
      <c r="V1379" t="n">
        <v>6</v>
      </c>
      <c r="W1379" t="inlineStr">
        <is>
          <t>1995-11-16</t>
        </is>
      </c>
      <c r="X1379" t="inlineStr">
        <is>
          <t>1995-11-16</t>
        </is>
      </c>
      <c r="Y1379" t="inlineStr">
        <is>
          <t>1990-10-25</t>
        </is>
      </c>
      <c r="Z1379" t="inlineStr">
        <is>
          <t>1990-10-25</t>
        </is>
      </c>
      <c r="AA1379" t="n">
        <v>610</v>
      </c>
      <c r="AB1379" t="n">
        <v>578</v>
      </c>
      <c r="AC1379" t="n">
        <v>672</v>
      </c>
      <c r="AD1379" t="n">
        <v>6</v>
      </c>
      <c r="AE1379" t="n">
        <v>6</v>
      </c>
      <c r="AF1379" t="n">
        <v>32</v>
      </c>
      <c r="AG1379" t="n">
        <v>38</v>
      </c>
      <c r="AH1379" t="n">
        <v>12</v>
      </c>
      <c r="AI1379" t="n">
        <v>14</v>
      </c>
      <c r="AJ1379" t="n">
        <v>8</v>
      </c>
      <c r="AK1379" t="n">
        <v>8</v>
      </c>
      <c r="AL1379" t="n">
        <v>16</v>
      </c>
      <c r="AM1379" t="n">
        <v>21</v>
      </c>
      <c r="AN1379" t="n">
        <v>5</v>
      </c>
      <c r="AO1379" t="n">
        <v>5</v>
      </c>
      <c r="AP1379" t="n">
        <v>0</v>
      </c>
      <c r="AQ1379" t="n">
        <v>0</v>
      </c>
      <c r="AR1379" t="inlineStr">
        <is>
          <t>No</t>
        </is>
      </c>
      <c r="AS1379" t="inlineStr">
        <is>
          <t>No</t>
        </is>
      </c>
      <c r="AU1379">
        <f>HYPERLINK("https://creighton-primo.hosted.exlibrisgroup.com/primo-explore/search?tab=default_tab&amp;search_scope=EVERYTHING&amp;vid=01CRU&amp;lang=en_US&amp;offset=0&amp;query=any,contains,991000517159702656","Catalog Record")</f>
        <v/>
      </c>
      <c r="AV1379">
        <f>HYPERLINK("http://www.worldcat.org/oclc/86404","WorldCat Record")</f>
        <v/>
      </c>
      <c r="AW1379" t="inlineStr">
        <is>
          <t>2026422578:eng</t>
        </is>
      </c>
      <c r="AX1379" t="inlineStr">
        <is>
          <t>86404</t>
        </is>
      </c>
      <c r="AY1379" t="inlineStr">
        <is>
          <t>991000517159702656</t>
        </is>
      </c>
      <c r="AZ1379" t="inlineStr">
        <is>
          <t>991000517159702656</t>
        </is>
      </c>
      <c r="BA1379" t="inlineStr">
        <is>
          <t>2270342060002656</t>
        </is>
      </c>
      <c r="BB1379" t="inlineStr">
        <is>
          <t>BOOK</t>
        </is>
      </c>
      <c r="BD1379" t="inlineStr">
        <is>
          <t>9780389010920</t>
        </is>
      </c>
      <c r="BE1379" t="inlineStr">
        <is>
          <t>32285000353853</t>
        </is>
      </c>
      <c r="BF1379" t="inlineStr">
        <is>
          <t>893327357</t>
        </is>
      </c>
    </row>
    <row r="1380">
      <c r="A1380" t="inlineStr">
        <is>
          <t>No</t>
        </is>
      </c>
      <c r="B1380" t="inlineStr">
        <is>
          <t>CURAL</t>
        </is>
      </c>
      <c r="C1380" t="inlineStr">
        <is>
          <t>SHELVES</t>
        </is>
      </c>
      <c r="D1380" t="inlineStr">
        <is>
          <t>PR3727 .W66 1986</t>
        </is>
      </c>
      <c r="E1380" t="inlineStr">
        <is>
          <t>0                      PR 3727000W  66          1986</t>
        </is>
      </c>
      <c r="F1380" t="inlineStr">
        <is>
          <t>Swift / by Nigel Wood.</t>
        </is>
      </c>
      <c r="H1380" t="inlineStr">
        <is>
          <t>No</t>
        </is>
      </c>
      <c r="I1380" t="inlineStr">
        <is>
          <t>1</t>
        </is>
      </c>
      <c r="J1380" t="inlineStr">
        <is>
          <t>No</t>
        </is>
      </c>
      <c r="K1380" t="inlineStr">
        <is>
          <t>No</t>
        </is>
      </c>
      <c r="L1380" t="inlineStr">
        <is>
          <t>0</t>
        </is>
      </c>
      <c r="M1380" t="inlineStr">
        <is>
          <t>Wood, Nigel, 1953-</t>
        </is>
      </c>
      <c r="N1380" t="inlineStr">
        <is>
          <t>Atlantic Highlands, NJ : Humanities Press International, 1986.</t>
        </is>
      </c>
      <c r="O1380" t="inlineStr">
        <is>
          <t>1986</t>
        </is>
      </c>
      <c r="Q1380" t="inlineStr">
        <is>
          <t>eng</t>
        </is>
      </c>
      <c r="R1380" t="inlineStr">
        <is>
          <t>nju</t>
        </is>
      </c>
      <c r="S1380" t="inlineStr">
        <is>
          <t>Harvester new readings</t>
        </is>
      </c>
      <c r="T1380" t="inlineStr">
        <is>
          <t xml:space="preserve">PR </t>
        </is>
      </c>
      <c r="U1380" t="n">
        <v>3</v>
      </c>
      <c r="V1380" t="n">
        <v>3</v>
      </c>
      <c r="W1380" t="inlineStr">
        <is>
          <t>2007-10-03</t>
        </is>
      </c>
      <c r="X1380" t="inlineStr">
        <is>
          <t>2007-10-03</t>
        </is>
      </c>
      <c r="Y1380" t="inlineStr">
        <is>
          <t>2003-09-29</t>
        </is>
      </c>
      <c r="Z1380" t="inlineStr">
        <is>
          <t>2003-09-29</t>
        </is>
      </c>
      <c r="AA1380" t="n">
        <v>250</v>
      </c>
      <c r="AB1380" t="n">
        <v>217</v>
      </c>
      <c r="AC1380" t="n">
        <v>288</v>
      </c>
      <c r="AD1380" t="n">
        <v>1</v>
      </c>
      <c r="AE1380" t="n">
        <v>2</v>
      </c>
      <c r="AF1380" t="n">
        <v>14</v>
      </c>
      <c r="AG1380" t="n">
        <v>17</v>
      </c>
      <c r="AH1380" t="n">
        <v>8</v>
      </c>
      <c r="AI1380" t="n">
        <v>9</v>
      </c>
      <c r="AJ1380" t="n">
        <v>1</v>
      </c>
      <c r="AK1380" t="n">
        <v>2</v>
      </c>
      <c r="AL1380" t="n">
        <v>9</v>
      </c>
      <c r="AM1380" t="n">
        <v>10</v>
      </c>
      <c r="AN1380" t="n">
        <v>0</v>
      </c>
      <c r="AO1380" t="n">
        <v>1</v>
      </c>
      <c r="AP1380" t="n">
        <v>0</v>
      </c>
      <c r="AQ1380" t="n">
        <v>0</v>
      </c>
      <c r="AR1380" t="inlineStr">
        <is>
          <t>No</t>
        </is>
      </c>
      <c r="AS1380" t="inlineStr">
        <is>
          <t>No</t>
        </is>
      </c>
      <c r="AU1380">
        <f>HYPERLINK("https://creighton-primo.hosted.exlibrisgroup.com/primo-explore/search?tab=default_tab&amp;search_scope=EVERYTHING&amp;vid=01CRU&amp;lang=en_US&amp;offset=0&amp;query=any,contains,991004139569702656","Catalog Record")</f>
        <v/>
      </c>
      <c r="AV1380">
        <f>HYPERLINK("http://www.worldcat.org/oclc/13184457","WorldCat Record")</f>
        <v/>
      </c>
      <c r="AW1380" t="inlineStr">
        <is>
          <t>6914525:eng</t>
        </is>
      </c>
      <c r="AX1380" t="inlineStr">
        <is>
          <t>13184457</t>
        </is>
      </c>
      <c r="AY1380" t="inlineStr">
        <is>
          <t>991004139569702656</t>
        </is>
      </c>
      <c r="AZ1380" t="inlineStr">
        <is>
          <t>991004139569702656</t>
        </is>
      </c>
      <c r="BA1380" t="inlineStr">
        <is>
          <t>2254935470002656</t>
        </is>
      </c>
      <c r="BB1380" t="inlineStr">
        <is>
          <t>BOOK</t>
        </is>
      </c>
      <c r="BD1380" t="inlineStr">
        <is>
          <t>9780391034167</t>
        </is>
      </c>
      <c r="BE1380" t="inlineStr">
        <is>
          <t>32285004785670</t>
        </is>
      </c>
      <c r="BF1380" t="inlineStr">
        <is>
          <t>893417281</t>
        </is>
      </c>
    </row>
    <row r="1381">
      <c r="A1381" t="inlineStr">
        <is>
          <t>No</t>
        </is>
      </c>
      <c r="B1381" t="inlineStr">
        <is>
          <t>CURAL</t>
        </is>
      </c>
      <c r="C1381" t="inlineStr">
        <is>
          <t>SHELVES</t>
        </is>
      </c>
      <c r="D1381" t="inlineStr">
        <is>
          <t>PR3727.E93 M3</t>
        </is>
      </c>
      <c r="E1381" t="inlineStr">
        <is>
          <t>0                      PR 3727000E  93                 M  3</t>
        </is>
      </c>
      <c r="F1381" t="inlineStr">
        <is>
          <t>The masks of Jonathan Swift.</t>
        </is>
      </c>
      <c r="H1381" t="inlineStr">
        <is>
          <t>No</t>
        </is>
      </c>
      <c r="I1381" t="inlineStr">
        <is>
          <t>1</t>
        </is>
      </c>
      <c r="J1381" t="inlineStr">
        <is>
          <t>No</t>
        </is>
      </c>
      <c r="K1381" t="inlineStr">
        <is>
          <t>No</t>
        </is>
      </c>
      <c r="L1381" t="inlineStr">
        <is>
          <t>0</t>
        </is>
      </c>
      <c r="M1381" t="inlineStr">
        <is>
          <t>Ewald, William Bragg, Jr., 1925-2015.</t>
        </is>
      </c>
      <c r="N1381" t="inlineStr">
        <is>
          <t>Cambridge : Harvard University Press, 1954.</t>
        </is>
      </c>
      <c r="O1381" t="inlineStr">
        <is>
          <t>1954</t>
        </is>
      </c>
      <c r="Q1381" t="inlineStr">
        <is>
          <t>eng</t>
        </is>
      </c>
      <c r="R1381" t="inlineStr">
        <is>
          <t>mau</t>
        </is>
      </c>
      <c r="T1381" t="inlineStr">
        <is>
          <t xml:space="preserve">PR </t>
        </is>
      </c>
      <c r="U1381" t="n">
        <v>3</v>
      </c>
      <c r="V1381" t="n">
        <v>3</v>
      </c>
      <c r="W1381" t="inlineStr">
        <is>
          <t>1994-02-28</t>
        </is>
      </c>
      <c r="X1381" t="inlineStr">
        <is>
          <t>1994-02-28</t>
        </is>
      </c>
      <c r="Y1381" t="inlineStr">
        <is>
          <t>1990-11-14</t>
        </is>
      </c>
      <c r="Z1381" t="inlineStr">
        <is>
          <t>1990-11-14</t>
        </is>
      </c>
      <c r="AA1381" t="n">
        <v>380</v>
      </c>
      <c r="AB1381" t="n">
        <v>356</v>
      </c>
      <c r="AC1381" t="n">
        <v>791</v>
      </c>
      <c r="AD1381" t="n">
        <v>5</v>
      </c>
      <c r="AE1381" t="n">
        <v>8</v>
      </c>
      <c r="AF1381" t="n">
        <v>34</v>
      </c>
      <c r="AG1381" t="n">
        <v>48</v>
      </c>
      <c r="AH1381" t="n">
        <v>13</v>
      </c>
      <c r="AI1381" t="n">
        <v>20</v>
      </c>
      <c r="AJ1381" t="n">
        <v>6</v>
      </c>
      <c r="AK1381" t="n">
        <v>7</v>
      </c>
      <c r="AL1381" t="n">
        <v>18</v>
      </c>
      <c r="AM1381" t="n">
        <v>24</v>
      </c>
      <c r="AN1381" t="n">
        <v>4</v>
      </c>
      <c r="AO1381" t="n">
        <v>7</v>
      </c>
      <c r="AP1381" t="n">
        <v>0</v>
      </c>
      <c r="AQ1381" t="n">
        <v>0</v>
      </c>
      <c r="AR1381" t="inlineStr">
        <is>
          <t>No</t>
        </is>
      </c>
      <c r="AS1381" t="inlineStr">
        <is>
          <t>No</t>
        </is>
      </c>
      <c r="AU1381">
        <f>HYPERLINK("https://creighton-primo.hosted.exlibrisgroup.com/primo-explore/search?tab=default_tab&amp;search_scope=EVERYTHING&amp;vid=01CRU&amp;lang=en_US&amp;offset=0&amp;query=any,contains,991003306329702656","Catalog Record")</f>
        <v/>
      </c>
      <c r="AV1381">
        <f>HYPERLINK("http://www.worldcat.org/oclc/829880","WorldCat Record")</f>
        <v/>
      </c>
      <c r="AW1381" t="inlineStr">
        <is>
          <t>1313096:eng</t>
        </is>
      </c>
      <c r="AX1381" t="inlineStr">
        <is>
          <t>829880</t>
        </is>
      </c>
      <c r="AY1381" t="inlineStr">
        <is>
          <t>991003306329702656</t>
        </is>
      </c>
      <c r="AZ1381" t="inlineStr">
        <is>
          <t>991003306329702656</t>
        </is>
      </c>
      <c r="BA1381" t="inlineStr">
        <is>
          <t>2269815960002656</t>
        </is>
      </c>
      <c r="BB1381" t="inlineStr">
        <is>
          <t>BOOK</t>
        </is>
      </c>
      <c r="BE1381" t="inlineStr">
        <is>
          <t>32285000396407</t>
        </is>
      </c>
      <c r="BF1381" t="inlineStr">
        <is>
          <t>893524662</t>
        </is>
      </c>
    </row>
    <row r="1382">
      <c r="A1382" t="inlineStr">
        <is>
          <t>No</t>
        </is>
      </c>
      <c r="B1382" t="inlineStr">
        <is>
          <t>CURAL</t>
        </is>
      </c>
      <c r="C1382" t="inlineStr">
        <is>
          <t>SHELVES</t>
        </is>
      </c>
      <c r="D1382" t="inlineStr">
        <is>
          <t>PR3728.P58 C6</t>
        </is>
      </c>
      <c r="E1382" t="inlineStr">
        <is>
          <t>0                      PR 3728000P  58                 C  6</t>
        </is>
      </c>
      <c r="F1382" t="inlineStr">
        <is>
          <t>Contemporary studies of Swift's poetry / editors, John Irwin Fischer, Donald C. Mell, Jr., associate editor, David M. Vieth.</t>
        </is>
      </c>
      <c r="H1382" t="inlineStr">
        <is>
          <t>No</t>
        </is>
      </c>
      <c r="I1382" t="inlineStr">
        <is>
          <t>1</t>
        </is>
      </c>
      <c r="J1382" t="inlineStr">
        <is>
          <t>No</t>
        </is>
      </c>
      <c r="K1382" t="inlineStr">
        <is>
          <t>No</t>
        </is>
      </c>
      <c r="L1382" t="inlineStr">
        <is>
          <t>0</t>
        </is>
      </c>
      <c r="N1382" t="inlineStr">
        <is>
          <t>Newark : University of Delaware Press, c1980.</t>
        </is>
      </c>
      <c r="O1382" t="inlineStr">
        <is>
          <t>1980</t>
        </is>
      </c>
      <c r="Q1382" t="inlineStr">
        <is>
          <t>eng</t>
        </is>
      </c>
      <c r="R1382" t="inlineStr">
        <is>
          <t>nju</t>
        </is>
      </c>
      <c r="T1382" t="inlineStr">
        <is>
          <t xml:space="preserve">PR </t>
        </is>
      </c>
      <c r="U1382" t="n">
        <v>2</v>
      </c>
      <c r="V1382" t="n">
        <v>2</v>
      </c>
      <c r="W1382" t="inlineStr">
        <is>
          <t>1995-02-20</t>
        </is>
      </c>
      <c r="X1382" t="inlineStr">
        <is>
          <t>1995-02-20</t>
        </is>
      </c>
      <c r="Y1382" t="inlineStr">
        <is>
          <t>1991-06-06</t>
        </is>
      </c>
      <c r="Z1382" t="inlineStr">
        <is>
          <t>1991-06-06</t>
        </is>
      </c>
      <c r="AA1382" t="n">
        <v>414</v>
      </c>
      <c r="AB1382" t="n">
        <v>328</v>
      </c>
      <c r="AC1382" t="n">
        <v>332</v>
      </c>
      <c r="AD1382" t="n">
        <v>4</v>
      </c>
      <c r="AE1382" t="n">
        <v>4</v>
      </c>
      <c r="AF1382" t="n">
        <v>12</v>
      </c>
      <c r="AG1382" t="n">
        <v>12</v>
      </c>
      <c r="AH1382" t="n">
        <v>3</v>
      </c>
      <c r="AI1382" t="n">
        <v>3</v>
      </c>
      <c r="AJ1382" t="n">
        <v>2</v>
      </c>
      <c r="AK1382" t="n">
        <v>2</v>
      </c>
      <c r="AL1382" t="n">
        <v>7</v>
      </c>
      <c r="AM1382" t="n">
        <v>7</v>
      </c>
      <c r="AN1382" t="n">
        <v>3</v>
      </c>
      <c r="AO1382" t="n">
        <v>3</v>
      </c>
      <c r="AP1382" t="n">
        <v>0</v>
      </c>
      <c r="AQ1382" t="n">
        <v>0</v>
      </c>
      <c r="AR1382" t="inlineStr">
        <is>
          <t>No</t>
        </is>
      </c>
      <c r="AS1382" t="inlineStr">
        <is>
          <t>Yes</t>
        </is>
      </c>
      <c r="AT1382">
        <f>HYPERLINK("http://catalog.hathitrust.org/Record/000086172","HathiTrust Record")</f>
        <v/>
      </c>
      <c r="AU1382">
        <f>HYPERLINK("https://creighton-primo.hosted.exlibrisgroup.com/primo-explore/search?tab=default_tab&amp;search_scope=EVERYTHING&amp;vid=01CRU&amp;lang=en_US&amp;offset=0&amp;query=any,contains,991004835769702656","Catalog Record")</f>
        <v/>
      </c>
      <c r="AV1382">
        <f>HYPERLINK("http://www.worldcat.org/oclc/5447682","WorldCat Record")</f>
        <v/>
      </c>
      <c r="AW1382" t="inlineStr">
        <is>
          <t>355536413:eng</t>
        </is>
      </c>
      <c r="AX1382" t="inlineStr">
        <is>
          <t>5447682</t>
        </is>
      </c>
      <c r="AY1382" t="inlineStr">
        <is>
          <t>991004835769702656</t>
        </is>
      </c>
      <c r="AZ1382" t="inlineStr">
        <is>
          <t>991004835769702656</t>
        </is>
      </c>
      <c r="BA1382" t="inlineStr">
        <is>
          <t>2259209660002656</t>
        </is>
      </c>
      <c r="BB1382" t="inlineStr">
        <is>
          <t>BOOK</t>
        </is>
      </c>
      <c r="BD1382" t="inlineStr">
        <is>
          <t>9780874131734</t>
        </is>
      </c>
      <c r="BE1382" t="inlineStr">
        <is>
          <t>32285000615632</t>
        </is>
      </c>
      <c r="BF1382" t="inlineStr">
        <is>
          <t>893606516</t>
        </is>
      </c>
    </row>
    <row r="1383">
      <c r="A1383" t="inlineStr">
        <is>
          <t>No</t>
        </is>
      </c>
      <c r="B1383" t="inlineStr">
        <is>
          <t>CURAL</t>
        </is>
      </c>
      <c r="C1383" t="inlineStr">
        <is>
          <t>SHELVES</t>
        </is>
      </c>
      <c r="D1383" t="inlineStr">
        <is>
          <t>PR3728.P58 V54 1982</t>
        </is>
      </c>
      <c r="E1383" t="inlineStr">
        <is>
          <t>0                      PR 3728000P  58                 V  54          1982</t>
        </is>
      </c>
      <c r="F1383" t="inlineStr">
        <is>
          <t>Swift's poetry, 1900-1980 : an annotated bibliography of studies / compiled, with a critical introduction, by David M. Vieth.</t>
        </is>
      </c>
      <c r="H1383" t="inlineStr">
        <is>
          <t>No</t>
        </is>
      </c>
      <c r="I1383" t="inlineStr">
        <is>
          <t>1</t>
        </is>
      </c>
      <c r="J1383" t="inlineStr">
        <is>
          <t>No</t>
        </is>
      </c>
      <c r="K1383" t="inlineStr">
        <is>
          <t>No</t>
        </is>
      </c>
      <c r="L1383" t="inlineStr">
        <is>
          <t>0</t>
        </is>
      </c>
      <c r="M1383" t="inlineStr">
        <is>
          <t>Vieth, David M.</t>
        </is>
      </c>
      <c r="N1383" t="inlineStr">
        <is>
          <t>New York : Garland Pub., 1982.</t>
        </is>
      </c>
      <c r="O1383" t="inlineStr">
        <is>
          <t>1982</t>
        </is>
      </c>
      <c r="Q1383" t="inlineStr">
        <is>
          <t>eng</t>
        </is>
      </c>
      <c r="R1383" t="inlineStr">
        <is>
          <t>nyu</t>
        </is>
      </c>
      <c r="S1383" t="inlineStr">
        <is>
          <t>Garland reference library of the humanities ; v. 335</t>
        </is>
      </c>
      <c r="T1383" t="inlineStr">
        <is>
          <t xml:space="preserve">PR </t>
        </is>
      </c>
      <c r="U1383" t="n">
        <v>2</v>
      </c>
      <c r="V1383" t="n">
        <v>2</v>
      </c>
      <c r="W1383" t="inlineStr">
        <is>
          <t>1995-03-30</t>
        </is>
      </c>
      <c r="X1383" t="inlineStr">
        <is>
          <t>1995-03-30</t>
        </is>
      </c>
      <c r="Y1383" t="inlineStr">
        <is>
          <t>1991-06-07</t>
        </is>
      </c>
      <c r="Z1383" t="inlineStr">
        <is>
          <t>1991-06-07</t>
        </is>
      </c>
      <c r="AA1383" t="n">
        <v>348</v>
      </c>
      <c r="AB1383" t="n">
        <v>273</v>
      </c>
      <c r="AC1383" t="n">
        <v>280</v>
      </c>
      <c r="AD1383" t="n">
        <v>3</v>
      </c>
      <c r="AE1383" t="n">
        <v>3</v>
      </c>
      <c r="AF1383" t="n">
        <v>18</v>
      </c>
      <c r="AG1383" t="n">
        <v>18</v>
      </c>
      <c r="AH1383" t="n">
        <v>5</v>
      </c>
      <c r="AI1383" t="n">
        <v>5</v>
      </c>
      <c r="AJ1383" t="n">
        <v>6</v>
      </c>
      <c r="AK1383" t="n">
        <v>6</v>
      </c>
      <c r="AL1383" t="n">
        <v>11</v>
      </c>
      <c r="AM1383" t="n">
        <v>11</v>
      </c>
      <c r="AN1383" t="n">
        <v>2</v>
      </c>
      <c r="AO1383" t="n">
        <v>2</v>
      </c>
      <c r="AP1383" t="n">
        <v>0</v>
      </c>
      <c r="AQ1383" t="n">
        <v>0</v>
      </c>
      <c r="AR1383" t="inlineStr">
        <is>
          <t>No</t>
        </is>
      </c>
      <c r="AS1383" t="inlineStr">
        <is>
          <t>Yes</t>
        </is>
      </c>
      <c r="AT1383">
        <f>HYPERLINK("http://catalog.hathitrust.org/Record/000192815","HathiTrust Record")</f>
        <v/>
      </c>
      <c r="AU1383">
        <f>HYPERLINK("https://creighton-primo.hosted.exlibrisgroup.com/primo-explore/search?tab=default_tab&amp;search_scope=EVERYTHING&amp;vid=01CRU&amp;lang=en_US&amp;offset=0&amp;query=any,contains,991005220309702656","Catalog Record")</f>
        <v/>
      </c>
      <c r="AV1383">
        <f>HYPERLINK("http://www.worldcat.org/oclc/8221484","WorldCat Record")</f>
        <v/>
      </c>
      <c r="AW1383" t="inlineStr">
        <is>
          <t>309027746:eng</t>
        </is>
      </c>
      <c r="AX1383" t="inlineStr">
        <is>
          <t>8221484</t>
        </is>
      </c>
      <c r="AY1383" t="inlineStr">
        <is>
          <t>991005220309702656</t>
        </is>
      </c>
      <c r="AZ1383" t="inlineStr">
        <is>
          <t>991005220309702656</t>
        </is>
      </c>
      <c r="BA1383" t="inlineStr">
        <is>
          <t>2268689450002656</t>
        </is>
      </c>
      <c r="BB1383" t="inlineStr">
        <is>
          <t>BOOK</t>
        </is>
      </c>
      <c r="BD1383" t="inlineStr">
        <is>
          <t>9780824093938</t>
        </is>
      </c>
      <c r="BE1383" t="inlineStr">
        <is>
          <t>32285000615673</t>
        </is>
      </c>
      <c r="BF1383" t="inlineStr">
        <is>
          <t>893713663</t>
        </is>
      </c>
    </row>
    <row r="1384">
      <c r="A1384" t="inlineStr">
        <is>
          <t>No</t>
        </is>
      </c>
      <c r="B1384" t="inlineStr">
        <is>
          <t>CURAL</t>
        </is>
      </c>
      <c r="C1384" t="inlineStr">
        <is>
          <t>SHELVES</t>
        </is>
      </c>
      <c r="D1384" t="inlineStr">
        <is>
          <t>PR3728.R5 P7</t>
        </is>
      </c>
      <c r="E1384" t="inlineStr">
        <is>
          <t>0                      PR 3728000R  5                  P  7</t>
        </is>
      </c>
      <c r="F1384" t="inlineStr">
        <is>
          <t>Swift's rhetorical art : a study in structure and meaning.</t>
        </is>
      </c>
      <c r="H1384" t="inlineStr">
        <is>
          <t>No</t>
        </is>
      </c>
      <c r="I1384" t="inlineStr">
        <is>
          <t>1</t>
        </is>
      </c>
      <c r="J1384" t="inlineStr">
        <is>
          <t>No</t>
        </is>
      </c>
      <c r="K1384" t="inlineStr">
        <is>
          <t>No</t>
        </is>
      </c>
      <c r="L1384" t="inlineStr">
        <is>
          <t>0</t>
        </is>
      </c>
      <c r="M1384" t="inlineStr">
        <is>
          <t>Price, Martin, 1920-2010.</t>
        </is>
      </c>
      <c r="N1384" t="inlineStr">
        <is>
          <t>New Haven : Yale University Press, 1953.</t>
        </is>
      </c>
      <c r="O1384" t="inlineStr">
        <is>
          <t>1953</t>
        </is>
      </c>
      <c r="Q1384" t="inlineStr">
        <is>
          <t>eng</t>
        </is>
      </c>
      <c r="R1384" t="inlineStr">
        <is>
          <t>ctu</t>
        </is>
      </c>
      <c r="S1384" t="inlineStr">
        <is>
          <t>Yale studies in English ; 123</t>
        </is>
      </c>
      <c r="T1384" t="inlineStr">
        <is>
          <t xml:space="preserve">PR </t>
        </is>
      </c>
      <c r="U1384" t="n">
        <v>1</v>
      </c>
      <c r="V1384" t="n">
        <v>1</v>
      </c>
      <c r="W1384" t="inlineStr">
        <is>
          <t>1992-09-29</t>
        </is>
      </c>
      <c r="X1384" t="inlineStr">
        <is>
          <t>1992-09-29</t>
        </is>
      </c>
      <c r="Y1384" t="inlineStr">
        <is>
          <t>1990-11-19</t>
        </is>
      </c>
      <c r="Z1384" t="inlineStr">
        <is>
          <t>1990-11-19</t>
        </is>
      </c>
      <c r="AA1384" t="n">
        <v>353</v>
      </c>
      <c r="AB1384" t="n">
        <v>296</v>
      </c>
      <c r="AC1384" t="n">
        <v>732</v>
      </c>
      <c r="AD1384" t="n">
        <v>5</v>
      </c>
      <c r="AE1384" t="n">
        <v>6</v>
      </c>
      <c r="AF1384" t="n">
        <v>28</v>
      </c>
      <c r="AG1384" t="n">
        <v>42</v>
      </c>
      <c r="AH1384" t="n">
        <v>12</v>
      </c>
      <c r="AI1384" t="n">
        <v>21</v>
      </c>
      <c r="AJ1384" t="n">
        <v>3</v>
      </c>
      <c r="AK1384" t="n">
        <v>5</v>
      </c>
      <c r="AL1384" t="n">
        <v>16</v>
      </c>
      <c r="AM1384" t="n">
        <v>22</v>
      </c>
      <c r="AN1384" t="n">
        <v>4</v>
      </c>
      <c r="AO1384" t="n">
        <v>5</v>
      </c>
      <c r="AP1384" t="n">
        <v>0</v>
      </c>
      <c r="AQ1384" t="n">
        <v>0</v>
      </c>
      <c r="AR1384" t="inlineStr">
        <is>
          <t>No</t>
        </is>
      </c>
      <c r="AS1384" t="inlineStr">
        <is>
          <t>No</t>
        </is>
      </c>
      <c r="AT1384">
        <f>HYPERLINK("http://catalog.hathitrust.org/Record/001022931","HathiTrust Record")</f>
        <v/>
      </c>
      <c r="AU1384">
        <f>HYPERLINK("https://creighton-primo.hosted.exlibrisgroup.com/primo-explore/search?tab=default_tab&amp;search_scope=EVERYTHING&amp;vid=01CRU&amp;lang=en_US&amp;offset=0&amp;query=any,contains,991004030979702656","Catalog Record")</f>
        <v/>
      </c>
      <c r="AV1384">
        <f>HYPERLINK("http://www.worldcat.org/oclc/2153449","WorldCat Record")</f>
        <v/>
      </c>
      <c r="AW1384" t="inlineStr">
        <is>
          <t>9907158393:eng</t>
        </is>
      </c>
      <c r="AX1384" t="inlineStr">
        <is>
          <t>2153449</t>
        </is>
      </c>
      <c r="AY1384" t="inlineStr">
        <is>
          <t>991004030979702656</t>
        </is>
      </c>
      <c r="AZ1384" t="inlineStr">
        <is>
          <t>991004030979702656</t>
        </is>
      </c>
      <c r="BA1384" t="inlineStr">
        <is>
          <t>2258015120002656</t>
        </is>
      </c>
      <c r="BB1384" t="inlineStr">
        <is>
          <t>BOOK</t>
        </is>
      </c>
      <c r="BE1384" t="inlineStr">
        <is>
          <t>32285000396894</t>
        </is>
      </c>
      <c r="BF1384" t="inlineStr">
        <is>
          <t>893337258</t>
        </is>
      </c>
    </row>
    <row r="1385">
      <c r="A1385" t="inlineStr">
        <is>
          <t>No</t>
        </is>
      </c>
      <c r="B1385" t="inlineStr">
        <is>
          <t>CURAL</t>
        </is>
      </c>
      <c r="C1385" t="inlineStr">
        <is>
          <t>SHELVES</t>
        </is>
      </c>
      <c r="D1385" t="inlineStr">
        <is>
          <t>PR3728.S2 Z55 1983</t>
        </is>
      </c>
      <c r="E1385" t="inlineStr">
        <is>
          <t>0                      PR 3728000S  2                  Z  55          1983</t>
        </is>
      </c>
      <c r="F1385" t="inlineStr">
        <is>
          <t>Swift's narrative satires : author and authority / Everett Zimmerman.</t>
        </is>
      </c>
      <c r="H1385" t="inlineStr">
        <is>
          <t>No</t>
        </is>
      </c>
      <c r="I1385" t="inlineStr">
        <is>
          <t>1</t>
        </is>
      </c>
      <c r="J1385" t="inlineStr">
        <is>
          <t>No</t>
        </is>
      </c>
      <c r="K1385" t="inlineStr">
        <is>
          <t>No</t>
        </is>
      </c>
      <c r="L1385" t="inlineStr">
        <is>
          <t>0</t>
        </is>
      </c>
      <c r="M1385" t="inlineStr">
        <is>
          <t>Zimmerman, Everett.</t>
        </is>
      </c>
      <c r="N1385" t="inlineStr">
        <is>
          <t>Ithaca : Cornell University Press, 1983.</t>
        </is>
      </c>
      <c r="O1385" t="inlineStr">
        <is>
          <t>1983</t>
        </is>
      </c>
      <c r="Q1385" t="inlineStr">
        <is>
          <t>eng</t>
        </is>
      </c>
      <c r="R1385" t="inlineStr">
        <is>
          <t>nyu</t>
        </is>
      </c>
      <c r="T1385" t="inlineStr">
        <is>
          <t xml:space="preserve">PR </t>
        </is>
      </c>
      <c r="U1385" t="n">
        <v>2</v>
      </c>
      <c r="V1385" t="n">
        <v>2</v>
      </c>
      <c r="W1385" t="inlineStr">
        <is>
          <t>2007-10-03</t>
        </is>
      </c>
      <c r="X1385" t="inlineStr">
        <is>
          <t>2007-10-03</t>
        </is>
      </c>
      <c r="Y1385" t="inlineStr">
        <is>
          <t>2005-05-04</t>
        </is>
      </c>
      <c r="Z1385" t="inlineStr">
        <is>
          <t>2005-05-04</t>
        </is>
      </c>
      <c r="AA1385" t="n">
        <v>494</v>
      </c>
      <c r="AB1385" t="n">
        <v>389</v>
      </c>
      <c r="AC1385" t="n">
        <v>391</v>
      </c>
      <c r="AD1385" t="n">
        <v>4</v>
      </c>
      <c r="AE1385" t="n">
        <v>4</v>
      </c>
      <c r="AF1385" t="n">
        <v>27</v>
      </c>
      <c r="AG1385" t="n">
        <v>27</v>
      </c>
      <c r="AH1385" t="n">
        <v>11</v>
      </c>
      <c r="AI1385" t="n">
        <v>11</v>
      </c>
      <c r="AJ1385" t="n">
        <v>5</v>
      </c>
      <c r="AK1385" t="n">
        <v>5</v>
      </c>
      <c r="AL1385" t="n">
        <v>16</v>
      </c>
      <c r="AM1385" t="n">
        <v>16</v>
      </c>
      <c r="AN1385" t="n">
        <v>3</v>
      </c>
      <c r="AO1385" t="n">
        <v>3</v>
      </c>
      <c r="AP1385" t="n">
        <v>0</v>
      </c>
      <c r="AQ1385" t="n">
        <v>0</v>
      </c>
      <c r="AR1385" t="inlineStr">
        <is>
          <t>No</t>
        </is>
      </c>
      <c r="AS1385" t="inlineStr">
        <is>
          <t>Yes</t>
        </is>
      </c>
      <c r="AT1385">
        <f>HYPERLINK("http://catalog.hathitrust.org/Record/000200308","HathiTrust Record")</f>
        <v/>
      </c>
      <c r="AU1385">
        <f>HYPERLINK("https://creighton-primo.hosted.exlibrisgroup.com/primo-explore/search?tab=default_tab&amp;search_scope=EVERYTHING&amp;vid=01CRU&amp;lang=en_US&amp;offset=0&amp;query=any,contains,991004549389702656","Catalog Record")</f>
        <v/>
      </c>
      <c r="AV1385">
        <f>HYPERLINK("http://www.worldcat.org/oclc/9784015","WorldCat Record")</f>
        <v/>
      </c>
      <c r="AW1385" t="inlineStr">
        <is>
          <t>222213288:eng</t>
        </is>
      </c>
      <c r="AX1385" t="inlineStr">
        <is>
          <t>9784015</t>
        </is>
      </c>
      <c r="AY1385" t="inlineStr">
        <is>
          <t>991004549389702656</t>
        </is>
      </c>
      <c r="AZ1385" t="inlineStr">
        <is>
          <t>991004549389702656</t>
        </is>
      </c>
      <c r="BA1385" t="inlineStr">
        <is>
          <t>2268646450002656</t>
        </is>
      </c>
      <c r="BB1385" t="inlineStr">
        <is>
          <t>BOOK</t>
        </is>
      </c>
      <c r="BD1385" t="inlineStr">
        <is>
          <t>9780801415951</t>
        </is>
      </c>
      <c r="BE1385" t="inlineStr">
        <is>
          <t>32285005035844</t>
        </is>
      </c>
      <c r="BF1385" t="inlineStr">
        <is>
          <t>893722492</t>
        </is>
      </c>
    </row>
    <row r="1386">
      <c r="A1386" t="inlineStr">
        <is>
          <t>No</t>
        </is>
      </c>
      <c r="B1386" t="inlineStr">
        <is>
          <t>CURAL</t>
        </is>
      </c>
      <c r="C1386" t="inlineStr">
        <is>
          <t>SHELVES</t>
        </is>
      </c>
      <c r="D1386" t="inlineStr">
        <is>
          <t>PR3728.S3 L4</t>
        </is>
      </c>
      <c r="E1386" t="inlineStr">
        <is>
          <t>0                      PR 3728000S  3                  L  4</t>
        </is>
      </c>
      <c r="F1386" t="inlineStr">
        <is>
          <t>Swift and scatological satire.</t>
        </is>
      </c>
      <c r="H1386" t="inlineStr">
        <is>
          <t>No</t>
        </is>
      </c>
      <c r="I1386" t="inlineStr">
        <is>
          <t>1</t>
        </is>
      </c>
      <c r="J1386" t="inlineStr">
        <is>
          <t>No</t>
        </is>
      </c>
      <c r="K1386" t="inlineStr">
        <is>
          <t>No</t>
        </is>
      </c>
      <c r="L1386" t="inlineStr">
        <is>
          <t>0</t>
        </is>
      </c>
      <c r="M1386" t="inlineStr">
        <is>
          <t>Lee, Jae Num.</t>
        </is>
      </c>
      <c r="N1386" t="inlineStr">
        <is>
          <t>Albuquerque, University of New Mexico Press [1971]</t>
        </is>
      </c>
      <c r="O1386" t="inlineStr">
        <is>
          <t>1971</t>
        </is>
      </c>
      <c r="P1386" t="inlineStr">
        <is>
          <t>[1st ed.]</t>
        </is>
      </c>
      <c r="Q1386" t="inlineStr">
        <is>
          <t>eng</t>
        </is>
      </c>
      <c r="R1386" t="inlineStr">
        <is>
          <t>nmu</t>
        </is>
      </c>
      <c r="T1386" t="inlineStr">
        <is>
          <t xml:space="preserve">PR </t>
        </is>
      </c>
      <c r="U1386" t="n">
        <v>4</v>
      </c>
      <c r="V1386" t="n">
        <v>4</v>
      </c>
      <c r="W1386" t="inlineStr">
        <is>
          <t>2004-11-09</t>
        </is>
      </c>
      <c r="X1386" t="inlineStr">
        <is>
          <t>2004-11-09</t>
        </is>
      </c>
      <c r="Y1386" t="inlineStr">
        <is>
          <t>1997-07-25</t>
        </is>
      </c>
      <c r="Z1386" t="inlineStr">
        <is>
          <t>1997-07-25</t>
        </is>
      </c>
      <c r="AA1386" t="n">
        <v>515</v>
      </c>
      <c r="AB1386" t="n">
        <v>433</v>
      </c>
      <c r="AC1386" t="n">
        <v>440</v>
      </c>
      <c r="AD1386" t="n">
        <v>5</v>
      </c>
      <c r="AE1386" t="n">
        <v>5</v>
      </c>
      <c r="AF1386" t="n">
        <v>23</v>
      </c>
      <c r="AG1386" t="n">
        <v>23</v>
      </c>
      <c r="AH1386" t="n">
        <v>6</v>
      </c>
      <c r="AI1386" t="n">
        <v>6</v>
      </c>
      <c r="AJ1386" t="n">
        <v>6</v>
      </c>
      <c r="AK1386" t="n">
        <v>6</v>
      </c>
      <c r="AL1386" t="n">
        <v>12</v>
      </c>
      <c r="AM1386" t="n">
        <v>12</v>
      </c>
      <c r="AN1386" t="n">
        <v>4</v>
      </c>
      <c r="AO1386" t="n">
        <v>4</v>
      </c>
      <c r="AP1386" t="n">
        <v>0</v>
      </c>
      <c r="AQ1386" t="n">
        <v>0</v>
      </c>
      <c r="AR1386" t="inlineStr">
        <is>
          <t>No</t>
        </is>
      </c>
      <c r="AS1386" t="inlineStr">
        <is>
          <t>Yes</t>
        </is>
      </c>
      <c r="AT1386">
        <f>HYPERLINK("http://catalog.hathitrust.org/Record/001186768","HathiTrust Record")</f>
        <v/>
      </c>
      <c r="AU1386">
        <f>HYPERLINK("https://creighton-primo.hosted.exlibrisgroup.com/primo-explore/search?tab=default_tab&amp;search_scope=EVERYTHING&amp;vid=01CRU&amp;lang=en_US&amp;offset=0&amp;query=any,contains,991001229809702656","Catalog Record")</f>
        <v/>
      </c>
      <c r="AV1386">
        <f>HYPERLINK("http://www.worldcat.org/oclc/202619","WorldCat Record")</f>
        <v/>
      </c>
      <c r="AW1386" t="inlineStr">
        <is>
          <t>356699:eng</t>
        </is>
      </c>
      <c r="AX1386" t="inlineStr">
        <is>
          <t>202619</t>
        </is>
      </c>
      <c r="AY1386" t="inlineStr">
        <is>
          <t>991001229809702656</t>
        </is>
      </c>
      <c r="AZ1386" t="inlineStr">
        <is>
          <t>991001229809702656</t>
        </is>
      </c>
      <c r="BA1386" t="inlineStr">
        <is>
          <t>2258750100002656</t>
        </is>
      </c>
      <c r="BB1386" t="inlineStr">
        <is>
          <t>BOOK</t>
        </is>
      </c>
      <c r="BD1386" t="inlineStr">
        <is>
          <t>9780826301963</t>
        </is>
      </c>
      <c r="BE1386" t="inlineStr">
        <is>
          <t>32285002962008</t>
        </is>
      </c>
      <c r="BF1386" t="inlineStr">
        <is>
          <t>893522403</t>
        </is>
      </c>
    </row>
    <row r="1387">
      <c r="A1387" t="inlineStr">
        <is>
          <t>No</t>
        </is>
      </c>
      <c r="B1387" t="inlineStr">
        <is>
          <t>CURAL</t>
        </is>
      </c>
      <c r="C1387" t="inlineStr">
        <is>
          <t>SHELVES</t>
        </is>
      </c>
      <c r="D1387" t="inlineStr">
        <is>
          <t>PR3728.T4 R46 1988</t>
        </is>
      </c>
      <c r="E1387" t="inlineStr">
        <is>
          <t>0                      PR 3728000T  4                  R  46          1988</t>
        </is>
      </c>
      <c r="F1387" t="inlineStr">
        <is>
          <t>Swift and the dialectical tradition / James A.W. Rembert.</t>
        </is>
      </c>
      <c r="H1387" t="inlineStr">
        <is>
          <t>No</t>
        </is>
      </c>
      <c r="I1387" t="inlineStr">
        <is>
          <t>1</t>
        </is>
      </c>
      <c r="J1387" t="inlineStr">
        <is>
          <t>No</t>
        </is>
      </c>
      <c r="K1387" t="inlineStr">
        <is>
          <t>No</t>
        </is>
      </c>
      <c r="L1387" t="inlineStr">
        <is>
          <t>0</t>
        </is>
      </c>
      <c r="M1387" t="inlineStr">
        <is>
          <t>Rembert, James A. W. (James Aldrich Wyman), 1939-</t>
        </is>
      </c>
      <c r="N1387" t="inlineStr">
        <is>
          <t>New York : St. Martin's Press, 1988.</t>
        </is>
      </c>
      <c r="O1387" t="inlineStr">
        <is>
          <t>1988</t>
        </is>
      </c>
      <c r="Q1387" t="inlineStr">
        <is>
          <t>eng</t>
        </is>
      </c>
      <c r="R1387" t="inlineStr">
        <is>
          <t>nyu</t>
        </is>
      </c>
      <c r="T1387" t="inlineStr">
        <is>
          <t xml:space="preserve">PR </t>
        </is>
      </c>
      <c r="U1387" t="n">
        <v>2</v>
      </c>
      <c r="V1387" t="n">
        <v>2</v>
      </c>
      <c r="W1387" t="inlineStr">
        <is>
          <t>2005-11-14</t>
        </is>
      </c>
      <c r="X1387" t="inlineStr">
        <is>
          <t>2005-11-14</t>
        </is>
      </c>
      <c r="Y1387" t="inlineStr">
        <is>
          <t>1991-06-07</t>
        </is>
      </c>
      <c r="Z1387" t="inlineStr">
        <is>
          <t>1991-06-07</t>
        </is>
      </c>
      <c r="AA1387" t="n">
        <v>197</v>
      </c>
      <c r="AB1387" t="n">
        <v>175</v>
      </c>
      <c r="AC1387" t="n">
        <v>245</v>
      </c>
      <c r="AD1387" t="n">
        <v>2</v>
      </c>
      <c r="AE1387" t="n">
        <v>3</v>
      </c>
      <c r="AF1387" t="n">
        <v>9</v>
      </c>
      <c r="AG1387" t="n">
        <v>14</v>
      </c>
      <c r="AH1387" t="n">
        <v>4</v>
      </c>
      <c r="AI1387" t="n">
        <v>5</v>
      </c>
      <c r="AJ1387" t="n">
        <v>2</v>
      </c>
      <c r="AK1387" t="n">
        <v>4</v>
      </c>
      <c r="AL1387" t="n">
        <v>6</v>
      </c>
      <c r="AM1387" t="n">
        <v>9</v>
      </c>
      <c r="AN1387" t="n">
        <v>1</v>
      </c>
      <c r="AO1387" t="n">
        <v>2</v>
      </c>
      <c r="AP1387" t="n">
        <v>0</v>
      </c>
      <c r="AQ1387" t="n">
        <v>0</v>
      </c>
      <c r="AR1387" t="inlineStr">
        <is>
          <t>No</t>
        </is>
      </c>
      <c r="AS1387" t="inlineStr">
        <is>
          <t>No</t>
        </is>
      </c>
      <c r="AU1387">
        <f>HYPERLINK("https://creighton-primo.hosted.exlibrisgroup.com/primo-explore/search?tab=default_tab&amp;search_scope=EVERYTHING&amp;vid=01CRU&amp;lang=en_US&amp;offset=0&amp;query=any,contains,991001185959702656","Catalog Record")</f>
        <v/>
      </c>
      <c r="AV1387">
        <f>HYPERLINK("http://www.worldcat.org/oclc/17202792","WorldCat Record")</f>
        <v/>
      </c>
      <c r="AW1387" t="inlineStr">
        <is>
          <t>8156104:eng</t>
        </is>
      </c>
      <c r="AX1387" t="inlineStr">
        <is>
          <t>17202792</t>
        </is>
      </c>
      <c r="AY1387" t="inlineStr">
        <is>
          <t>991001185959702656</t>
        </is>
      </c>
      <c r="AZ1387" t="inlineStr">
        <is>
          <t>991001185959702656</t>
        </is>
      </c>
      <c r="BA1387" t="inlineStr">
        <is>
          <t>2258735840002656</t>
        </is>
      </c>
      <c r="BB1387" t="inlineStr">
        <is>
          <t>BOOK</t>
        </is>
      </c>
      <c r="BD1387" t="inlineStr">
        <is>
          <t>9780312011604</t>
        </is>
      </c>
      <c r="BE1387" t="inlineStr">
        <is>
          <t>32285000615707</t>
        </is>
      </c>
      <c r="BF1387" t="inlineStr">
        <is>
          <t>893496896</t>
        </is>
      </c>
    </row>
    <row r="1388">
      <c r="A1388" t="inlineStr">
        <is>
          <t>No</t>
        </is>
      </c>
      <c r="B1388" t="inlineStr">
        <is>
          <t>CURAL</t>
        </is>
      </c>
      <c r="C1388" t="inlineStr">
        <is>
          <t>SHELVES</t>
        </is>
      </c>
      <c r="D1388" t="inlineStr">
        <is>
          <t>PR3729.T2 F5 1963</t>
        </is>
      </c>
      <c r="E1388" t="inlineStr">
        <is>
          <t>0                      PR 3729000T  2                  F  5           1963</t>
        </is>
      </c>
      <c r="F1388" t="inlineStr">
        <is>
          <t>Five miscellaneous essays. Edited, with an introd., by Samuel Holt Monk.</t>
        </is>
      </c>
      <c r="H1388" t="inlineStr">
        <is>
          <t>No</t>
        </is>
      </c>
      <c r="I1388" t="inlineStr">
        <is>
          <t>1</t>
        </is>
      </c>
      <c r="J1388" t="inlineStr">
        <is>
          <t>No</t>
        </is>
      </c>
      <c r="K1388" t="inlineStr">
        <is>
          <t>No</t>
        </is>
      </c>
      <c r="L1388" t="inlineStr">
        <is>
          <t>0</t>
        </is>
      </c>
      <c r="M1388" t="inlineStr">
        <is>
          <t>Temple, William, 1628-1699.</t>
        </is>
      </c>
      <c r="N1388" t="inlineStr">
        <is>
          <t>Ann Arbor, University of Michigan Press [1963]</t>
        </is>
      </c>
      <c r="O1388" t="inlineStr">
        <is>
          <t>1963</t>
        </is>
      </c>
      <c r="Q1388" t="inlineStr">
        <is>
          <t>eng</t>
        </is>
      </c>
      <c r="R1388" t="inlineStr">
        <is>
          <t>miu</t>
        </is>
      </c>
      <c r="T1388" t="inlineStr">
        <is>
          <t xml:space="preserve">PR </t>
        </is>
      </c>
      <c r="U1388" t="n">
        <v>1</v>
      </c>
      <c r="V1388" t="n">
        <v>1</v>
      </c>
      <c r="W1388" t="inlineStr">
        <is>
          <t>2007-09-23</t>
        </is>
      </c>
      <c r="X1388" t="inlineStr">
        <is>
          <t>2007-09-23</t>
        </is>
      </c>
      <c r="Y1388" t="inlineStr">
        <is>
          <t>1997-07-25</t>
        </is>
      </c>
      <c r="Z1388" t="inlineStr">
        <is>
          <t>1997-07-25</t>
        </is>
      </c>
      <c r="AA1388" t="n">
        <v>541</v>
      </c>
      <c r="AB1388" t="n">
        <v>477</v>
      </c>
      <c r="AC1388" t="n">
        <v>488</v>
      </c>
      <c r="AD1388" t="n">
        <v>6</v>
      </c>
      <c r="AE1388" t="n">
        <v>6</v>
      </c>
      <c r="AF1388" t="n">
        <v>26</v>
      </c>
      <c r="AG1388" t="n">
        <v>26</v>
      </c>
      <c r="AH1388" t="n">
        <v>10</v>
      </c>
      <c r="AI1388" t="n">
        <v>10</v>
      </c>
      <c r="AJ1388" t="n">
        <v>5</v>
      </c>
      <c r="AK1388" t="n">
        <v>5</v>
      </c>
      <c r="AL1388" t="n">
        <v>13</v>
      </c>
      <c r="AM1388" t="n">
        <v>13</v>
      </c>
      <c r="AN1388" t="n">
        <v>5</v>
      </c>
      <c r="AO1388" t="n">
        <v>5</v>
      </c>
      <c r="AP1388" t="n">
        <v>0</v>
      </c>
      <c r="AQ1388" t="n">
        <v>0</v>
      </c>
      <c r="AR1388" t="inlineStr">
        <is>
          <t>Yes</t>
        </is>
      </c>
      <c r="AS1388" t="inlineStr">
        <is>
          <t>No</t>
        </is>
      </c>
      <c r="AT1388">
        <f>HYPERLINK("http://catalog.hathitrust.org/Record/001775359","HathiTrust Record")</f>
        <v/>
      </c>
      <c r="AU1388">
        <f>HYPERLINK("https://creighton-primo.hosted.exlibrisgroup.com/primo-explore/search?tab=default_tab&amp;search_scope=EVERYTHING&amp;vid=01CRU&amp;lang=en_US&amp;offset=0&amp;query=any,contains,991002461159702656","Catalog Record")</f>
        <v/>
      </c>
      <c r="AV1388">
        <f>HYPERLINK("http://www.worldcat.org/oclc/355925","WorldCat Record")</f>
        <v/>
      </c>
      <c r="AW1388" t="inlineStr">
        <is>
          <t>1399180:eng</t>
        </is>
      </c>
      <c r="AX1388" t="inlineStr">
        <is>
          <t>355925</t>
        </is>
      </c>
      <c r="AY1388" t="inlineStr">
        <is>
          <t>991002461159702656</t>
        </is>
      </c>
      <c r="AZ1388" t="inlineStr">
        <is>
          <t>991002461159702656</t>
        </is>
      </c>
      <c r="BA1388" t="inlineStr">
        <is>
          <t>2264807470002656</t>
        </is>
      </c>
      <c r="BB1388" t="inlineStr">
        <is>
          <t>BOOK</t>
        </is>
      </c>
      <c r="BE1388" t="inlineStr">
        <is>
          <t>32285002962040</t>
        </is>
      </c>
      <c r="BF1388" t="inlineStr">
        <is>
          <t>893433916</t>
        </is>
      </c>
    </row>
    <row r="1389">
      <c r="A1389" t="inlineStr">
        <is>
          <t>No</t>
        </is>
      </c>
      <c r="B1389" t="inlineStr">
        <is>
          <t>CURAL</t>
        </is>
      </c>
      <c r="C1389" t="inlineStr">
        <is>
          <t>SHELVES</t>
        </is>
      </c>
      <c r="D1389" t="inlineStr">
        <is>
          <t>PR3732.S5 C6 1970</t>
        </is>
      </c>
      <c r="E1389" t="inlineStr">
        <is>
          <t>0                      PR 3732000S  5                  C  6           1970</t>
        </is>
      </c>
      <c r="F1389" t="inlineStr">
        <is>
          <t>The unfolding of the seasons.</t>
        </is>
      </c>
      <c r="H1389" t="inlineStr">
        <is>
          <t>No</t>
        </is>
      </c>
      <c r="I1389" t="inlineStr">
        <is>
          <t>1</t>
        </is>
      </c>
      <c r="J1389" t="inlineStr">
        <is>
          <t>No</t>
        </is>
      </c>
      <c r="K1389" t="inlineStr">
        <is>
          <t>No</t>
        </is>
      </c>
      <c r="L1389" t="inlineStr">
        <is>
          <t>0</t>
        </is>
      </c>
      <c r="M1389" t="inlineStr">
        <is>
          <t>Cohen, Ralph, 1917-2016.</t>
        </is>
      </c>
      <c r="N1389" t="inlineStr">
        <is>
          <t>Baltimore, Johns Hopkins Press [1970]</t>
        </is>
      </c>
      <c r="O1389" t="inlineStr">
        <is>
          <t>1970</t>
        </is>
      </c>
      <c r="Q1389" t="inlineStr">
        <is>
          <t>eng</t>
        </is>
      </c>
      <c r="R1389" t="inlineStr">
        <is>
          <t>mdu</t>
        </is>
      </c>
      <c r="T1389" t="inlineStr">
        <is>
          <t xml:space="preserve">PR </t>
        </is>
      </c>
      <c r="U1389" t="n">
        <v>2</v>
      </c>
      <c r="V1389" t="n">
        <v>2</v>
      </c>
      <c r="W1389" t="inlineStr">
        <is>
          <t>2001-12-03</t>
        </is>
      </c>
      <c r="X1389" t="inlineStr">
        <is>
          <t>2001-12-03</t>
        </is>
      </c>
      <c r="Y1389" t="inlineStr">
        <is>
          <t>1997-07-25</t>
        </is>
      </c>
      <c r="Z1389" t="inlineStr">
        <is>
          <t>1997-07-25</t>
        </is>
      </c>
      <c r="AA1389" t="n">
        <v>615</v>
      </c>
      <c r="AB1389" t="n">
        <v>555</v>
      </c>
      <c r="AC1389" t="n">
        <v>616</v>
      </c>
      <c r="AD1389" t="n">
        <v>3</v>
      </c>
      <c r="AE1389" t="n">
        <v>3</v>
      </c>
      <c r="AF1389" t="n">
        <v>27</v>
      </c>
      <c r="AG1389" t="n">
        <v>31</v>
      </c>
      <c r="AH1389" t="n">
        <v>10</v>
      </c>
      <c r="AI1389" t="n">
        <v>11</v>
      </c>
      <c r="AJ1389" t="n">
        <v>6</v>
      </c>
      <c r="AK1389" t="n">
        <v>7</v>
      </c>
      <c r="AL1389" t="n">
        <v>17</v>
      </c>
      <c r="AM1389" t="n">
        <v>20</v>
      </c>
      <c r="AN1389" t="n">
        <v>2</v>
      </c>
      <c r="AO1389" t="n">
        <v>2</v>
      </c>
      <c r="AP1389" t="n">
        <v>0</v>
      </c>
      <c r="AQ1389" t="n">
        <v>0</v>
      </c>
      <c r="AR1389" t="inlineStr">
        <is>
          <t>No</t>
        </is>
      </c>
      <c r="AS1389" t="inlineStr">
        <is>
          <t>Yes</t>
        </is>
      </c>
      <c r="AT1389">
        <f>HYPERLINK("http://catalog.hathitrust.org/Record/001187242","HathiTrust Record")</f>
        <v/>
      </c>
      <c r="AU1389">
        <f>HYPERLINK("https://creighton-primo.hosted.exlibrisgroup.com/primo-explore/search?tab=default_tab&amp;search_scope=EVERYTHING&amp;vid=01CRU&amp;lang=en_US&amp;offset=0&amp;query=any,contains,991000522339702656","Catalog Record")</f>
        <v/>
      </c>
      <c r="AV1389">
        <f>HYPERLINK("http://www.worldcat.org/oclc/88419","WorldCat Record")</f>
        <v/>
      </c>
      <c r="AW1389" t="inlineStr">
        <is>
          <t>1289622:eng</t>
        </is>
      </c>
      <c r="AX1389" t="inlineStr">
        <is>
          <t>88419</t>
        </is>
      </c>
      <c r="AY1389" t="inlineStr">
        <is>
          <t>991000522339702656</t>
        </is>
      </c>
      <c r="AZ1389" t="inlineStr">
        <is>
          <t>991000522339702656</t>
        </is>
      </c>
      <c r="BA1389" t="inlineStr">
        <is>
          <t>2269407940002656</t>
        </is>
      </c>
      <c r="BB1389" t="inlineStr">
        <is>
          <t>BOOK</t>
        </is>
      </c>
      <c r="BD1389" t="inlineStr">
        <is>
          <t>9780801810855</t>
        </is>
      </c>
      <c r="BE1389" t="inlineStr">
        <is>
          <t>32285002962081</t>
        </is>
      </c>
      <c r="BF1389" t="inlineStr">
        <is>
          <t>893708445</t>
        </is>
      </c>
    </row>
    <row r="1390">
      <c r="A1390" t="inlineStr">
        <is>
          <t>No</t>
        </is>
      </c>
      <c r="B1390" t="inlineStr">
        <is>
          <t>CURAL</t>
        </is>
      </c>
      <c r="C1390" t="inlineStr">
        <is>
          <t>SHELVES</t>
        </is>
      </c>
      <c r="D1390" t="inlineStr">
        <is>
          <t>PR3733 .C3</t>
        </is>
      </c>
      <c r="E1390" t="inlineStr">
        <is>
          <t>0                      PR 3733000C  3</t>
        </is>
      </c>
      <c r="F1390" t="inlineStr">
        <is>
          <t>James Thomson / by Hilbert H. Campbell.</t>
        </is>
      </c>
      <c r="H1390" t="inlineStr">
        <is>
          <t>No</t>
        </is>
      </c>
      <c r="I1390" t="inlineStr">
        <is>
          <t>1</t>
        </is>
      </c>
      <c r="J1390" t="inlineStr">
        <is>
          <t>No</t>
        </is>
      </c>
      <c r="K1390" t="inlineStr">
        <is>
          <t>No</t>
        </is>
      </c>
      <c r="L1390" t="inlineStr">
        <is>
          <t>0</t>
        </is>
      </c>
      <c r="M1390" t="inlineStr">
        <is>
          <t>Campbell, Hilbert H.</t>
        </is>
      </c>
      <c r="N1390" t="inlineStr">
        <is>
          <t>Boston : Twayne Publishers, 1979.</t>
        </is>
      </c>
      <c r="O1390" t="inlineStr">
        <is>
          <t>1979</t>
        </is>
      </c>
      <c r="Q1390" t="inlineStr">
        <is>
          <t>eng</t>
        </is>
      </c>
      <c r="R1390" t="inlineStr">
        <is>
          <t xml:space="preserve">xx </t>
        </is>
      </c>
      <c r="S1390" t="inlineStr">
        <is>
          <t>Twayne's English authors series ; 269.</t>
        </is>
      </c>
      <c r="T1390" t="inlineStr">
        <is>
          <t xml:space="preserve">PR </t>
        </is>
      </c>
      <c r="U1390" t="n">
        <v>3</v>
      </c>
      <c r="V1390" t="n">
        <v>3</v>
      </c>
      <c r="W1390" t="inlineStr">
        <is>
          <t>2000-11-19</t>
        </is>
      </c>
      <c r="X1390" t="inlineStr">
        <is>
          <t>2000-11-19</t>
        </is>
      </c>
      <c r="Y1390" t="inlineStr">
        <is>
          <t>1991-06-07</t>
        </is>
      </c>
      <c r="Z1390" t="inlineStr">
        <is>
          <t>1991-06-07</t>
        </is>
      </c>
      <c r="AA1390" t="n">
        <v>638</v>
      </c>
      <c r="AB1390" t="n">
        <v>580</v>
      </c>
      <c r="AC1390" t="n">
        <v>602</v>
      </c>
      <c r="AD1390" t="n">
        <v>6</v>
      </c>
      <c r="AE1390" t="n">
        <v>6</v>
      </c>
      <c r="AF1390" t="n">
        <v>27</v>
      </c>
      <c r="AG1390" t="n">
        <v>28</v>
      </c>
      <c r="AH1390" t="n">
        <v>9</v>
      </c>
      <c r="AI1390" t="n">
        <v>9</v>
      </c>
      <c r="AJ1390" t="n">
        <v>9</v>
      </c>
      <c r="AK1390" t="n">
        <v>10</v>
      </c>
      <c r="AL1390" t="n">
        <v>11</v>
      </c>
      <c r="AM1390" t="n">
        <v>12</v>
      </c>
      <c r="AN1390" t="n">
        <v>5</v>
      </c>
      <c r="AO1390" t="n">
        <v>5</v>
      </c>
      <c r="AP1390" t="n">
        <v>0</v>
      </c>
      <c r="AQ1390" t="n">
        <v>0</v>
      </c>
      <c r="AR1390" t="inlineStr">
        <is>
          <t>No</t>
        </is>
      </c>
      <c r="AS1390" t="inlineStr">
        <is>
          <t>Yes</t>
        </is>
      </c>
      <c r="AT1390">
        <f>HYPERLINK("http://catalog.hathitrust.org/Record/000757162","HathiTrust Record")</f>
        <v/>
      </c>
      <c r="AU1390">
        <f>HYPERLINK("https://creighton-primo.hosted.exlibrisgroup.com/primo-explore/search?tab=default_tab&amp;search_scope=EVERYTHING&amp;vid=01CRU&amp;lang=en_US&amp;offset=0&amp;query=any,contains,991004823999702656","Catalog Record")</f>
        <v/>
      </c>
      <c r="AV1390">
        <f>HYPERLINK("http://www.worldcat.org/oclc/5349513","WorldCat Record")</f>
        <v/>
      </c>
      <c r="AW1390" t="inlineStr">
        <is>
          <t>18163176:eng</t>
        </is>
      </c>
      <c r="AX1390" t="inlineStr">
        <is>
          <t>5349513</t>
        </is>
      </c>
      <c r="AY1390" t="inlineStr">
        <is>
          <t>991004823999702656</t>
        </is>
      </c>
      <c r="AZ1390" t="inlineStr">
        <is>
          <t>991004823999702656</t>
        </is>
      </c>
      <c r="BA1390" t="inlineStr">
        <is>
          <t>2262207610002656</t>
        </is>
      </c>
      <c r="BB1390" t="inlineStr">
        <is>
          <t>BOOK</t>
        </is>
      </c>
      <c r="BD1390" t="inlineStr">
        <is>
          <t>9780805767155</t>
        </is>
      </c>
      <c r="BE1390" t="inlineStr">
        <is>
          <t>32285000615731</t>
        </is>
      </c>
      <c r="BF1390" t="inlineStr">
        <is>
          <t>893901807</t>
        </is>
      </c>
    </row>
    <row r="1391">
      <c r="A1391" t="inlineStr">
        <is>
          <t>No</t>
        </is>
      </c>
      <c r="B1391" t="inlineStr">
        <is>
          <t>CURAL</t>
        </is>
      </c>
      <c r="C1391" t="inlineStr">
        <is>
          <t>SHELVES</t>
        </is>
      </c>
      <c r="D1391" t="inlineStr">
        <is>
          <t>PR3733 .G7 1951</t>
        </is>
      </c>
      <c r="E1391" t="inlineStr">
        <is>
          <t>0                      PR 3733000G  7           1951</t>
        </is>
      </c>
      <c r="F1391" t="inlineStr">
        <is>
          <t>James Thomson : poet of 'The seasons' / by Douglas Grant.</t>
        </is>
      </c>
      <c r="H1391" t="inlineStr">
        <is>
          <t>No</t>
        </is>
      </c>
      <c r="I1391" t="inlineStr">
        <is>
          <t>1</t>
        </is>
      </c>
      <c r="J1391" t="inlineStr">
        <is>
          <t>No</t>
        </is>
      </c>
      <c r="K1391" t="inlineStr">
        <is>
          <t>No</t>
        </is>
      </c>
      <c r="L1391" t="inlineStr">
        <is>
          <t>0</t>
        </is>
      </c>
      <c r="M1391" t="inlineStr">
        <is>
          <t>Grant, Douglas.</t>
        </is>
      </c>
      <c r="N1391" t="inlineStr">
        <is>
          <t>London : Cresset Press, 1951.</t>
        </is>
      </c>
      <c r="O1391" t="inlineStr">
        <is>
          <t>1951</t>
        </is>
      </c>
      <c r="Q1391" t="inlineStr">
        <is>
          <t>eng</t>
        </is>
      </c>
      <c r="R1391" t="inlineStr">
        <is>
          <t>enk</t>
        </is>
      </c>
      <c r="T1391" t="inlineStr">
        <is>
          <t xml:space="preserve">PR </t>
        </is>
      </c>
      <c r="U1391" t="n">
        <v>1</v>
      </c>
      <c r="V1391" t="n">
        <v>1</v>
      </c>
      <c r="W1391" t="inlineStr">
        <is>
          <t>2002-12-11</t>
        </is>
      </c>
      <c r="X1391" t="inlineStr">
        <is>
          <t>2002-12-11</t>
        </is>
      </c>
      <c r="Y1391" t="inlineStr">
        <is>
          <t>2002-12-11</t>
        </is>
      </c>
      <c r="Z1391" t="inlineStr">
        <is>
          <t>2002-12-11</t>
        </is>
      </c>
      <c r="AA1391" t="n">
        <v>565</v>
      </c>
      <c r="AB1391" t="n">
        <v>458</v>
      </c>
      <c r="AC1391" t="n">
        <v>465</v>
      </c>
      <c r="AD1391" t="n">
        <v>4</v>
      </c>
      <c r="AE1391" t="n">
        <v>4</v>
      </c>
      <c r="AF1391" t="n">
        <v>35</v>
      </c>
      <c r="AG1391" t="n">
        <v>35</v>
      </c>
      <c r="AH1391" t="n">
        <v>13</v>
      </c>
      <c r="AI1391" t="n">
        <v>13</v>
      </c>
      <c r="AJ1391" t="n">
        <v>8</v>
      </c>
      <c r="AK1391" t="n">
        <v>8</v>
      </c>
      <c r="AL1391" t="n">
        <v>22</v>
      </c>
      <c r="AM1391" t="n">
        <v>22</v>
      </c>
      <c r="AN1391" t="n">
        <v>3</v>
      </c>
      <c r="AO1391" t="n">
        <v>3</v>
      </c>
      <c r="AP1391" t="n">
        <v>0</v>
      </c>
      <c r="AQ1391" t="n">
        <v>0</v>
      </c>
      <c r="AR1391" t="inlineStr">
        <is>
          <t>No</t>
        </is>
      </c>
      <c r="AS1391" t="inlineStr">
        <is>
          <t>Yes</t>
        </is>
      </c>
      <c r="AT1391">
        <f>HYPERLINK("http://catalog.hathitrust.org/Record/001187244","HathiTrust Record")</f>
        <v/>
      </c>
      <c r="AU1391">
        <f>HYPERLINK("https://creighton-primo.hosted.exlibrisgroup.com/primo-explore/search?tab=default_tab&amp;search_scope=EVERYTHING&amp;vid=01CRU&amp;lang=en_US&amp;offset=0&amp;query=any,contains,991003960379702656","Catalog Record")</f>
        <v/>
      </c>
      <c r="AV1391">
        <f>HYPERLINK("http://www.worldcat.org/oclc/818779","WorldCat Record")</f>
        <v/>
      </c>
      <c r="AW1391" t="inlineStr">
        <is>
          <t>146416325:eng</t>
        </is>
      </c>
      <c r="AX1391" t="inlineStr">
        <is>
          <t>818779</t>
        </is>
      </c>
      <c r="AY1391" t="inlineStr">
        <is>
          <t>991003960379702656</t>
        </is>
      </c>
      <c r="AZ1391" t="inlineStr">
        <is>
          <t>991003960379702656</t>
        </is>
      </c>
      <c r="BA1391" t="inlineStr">
        <is>
          <t>2272062420002656</t>
        </is>
      </c>
      <c r="BB1391" t="inlineStr">
        <is>
          <t>BOOK</t>
        </is>
      </c>
      <c r="BE1391" t="inlineStr">
        <is>
          <t>32285004690417</t>
        </is>
      </c>
      <c r="BF1391" t="inlineStr">
        <is>
          <t>893259135</t>
        </is>
      </c>
    </row>
    <row r="1392">
      <c r="A1392" t="inlineStr">
        <is>
          <t>No</t>
        </is>
      </c>
      <c r="B1392" t="inlineStr">
        <is>
          <t>CURAL</t>
        </is>
      </c>
      <c r="C1392" t="inlineStr">
        <is>
          <t>SHELVES</t>
        </is>
      </c>
      <c r="D1392" t="inlineStr">
        <is>
          <t>PR3733 .S26 1991</t>
        </is>
      </c>
      <c r="E1392" t="inlineStr">
        <is>
          <t>0                      PR 3733000S  26          1991</t>
        </is>
      </c>
      <c r="F1392" t="inlineStr">
        <is>
          <t>James Thomson, 1700-1748 : a life / James Sambrook.</t>
        </is>
      </c>
      <c r="H1392" t="inlineStr">
        <is>
          <t>No</t>
        </is>
      </c>
      <c r="I1392" t="inlineStr">
        <is>
          <t>1</t>
        </is>
      </c>
      <c r="J1392" t="inlineStr">
        <is>
          <t>No</t>
        </is>
      </c>
      <c r="K1392" t="inlineStr">
        <is>
          <t>No</t>
        </is>
      </c>
      <c r="L1392" t="inlineStr">
        <is>
          <t>0</t>
        </is>
      </c>
      <c r="M1392" t="inlineStr">
        <is>
          <t>Sambrook, James.</t>
        </is>
      </c>
      <c r="N1392" t="inlineStr">
        <is>
          <t>Oxford : Clarendon Press ; New York : Oxford University Press, 1991.</t>
        </is>
      </c>
      <c r="O1392" t="inlineStr">
        <is>
          <t>1991</t>
        </is>
      </c>
      <c r="Q1392" t="inlineStr">
        <is>
          <t>eng</t>
        </is>
      </c>
      <c r="R1392" t="inlineStr">
        <is>
          <t>enk</t>
        </is>
      </c>
      <c r="T1392" t="inlineStr">
        <is>
          <t xml:space="preserve">PR </t>
        </is>
      </c>
      <c r="U1392" t="n">
        <v>2</v>
      </c>
      <c r="V1392" t="n">
        <v>2</v>
      </c>
      <c r="W1392" t="inlineStr">
        <is>
          <t>2001-12-03</t>
        </is>
      </c>
      <c r="X1392" t="inlineStr">
        <is>
          <t>2001-12-03</t>
        </is>
      </c>
      <c r="Y1392" t="inlineStr">
        <is>
          <t>1992-04-02</t>
        </is>
      </c>
      <c r="Z1392" t="inlineStr">
        <is>
          <t>1992-04-02</t>
        </is>
      </c>
      <c r="AA1392" t="n">
        <v>308</v>
      </c>
      <c r="AB1392" t="n">
        <v>203</v>
      </c>
      <c r="AC1392" t="n">
        <v>245</v>
      </c>
      <c r="AD1392" t="n">
        <v>2</v>
      </c>
      <c r="AE1392" t="n">
        <v>2</v>
      </c>
      <c r="AF1392" t="n">
        <v>11</v>
      </c>
      <c r="AG1392" t="n">
        <v>13</v>
      </c>
      <c r="AH1392" t="n">
        <v>3</v>
      </c>
      <c r="AI1392" t="n">
        <v>3</v>
      </c>
      <c r="AJ1392" t="n">
        <v>3</v>
      </c>
      <c r="AK1392" t="n">
        <v>5</v>
      </c>
      <c r="AL1392" t="n">
        <v>7</v>
      </c>
      <c r="AM1392" t="n">
        <v>7</v>
      </c>
      <c r="AN1392" t="n">
        <v>1</v>
      </c>
      <c r="AO1392" t="n">
        <v>1</v>
      </c>
      <c r="AP1392" t="n">
        <v>0</v>
      </c>
      <c r="AQ1392" t="n">
        <v>0</v>
      </c>
      <c r="AR1392" t="inlineStr">
        <is>
          <t>No</t>
        </is>
      </c>
      <c r="AS1392" t="inlineStr">
        <is>
          <t>Yes</t>
        </is>
      </c>
      <c r="AT1392">
        <f>HYPERLINK("http://catalog.hathitrust.org/Record/002500997","HathiTrust Record")</f>
        <v/>
      </c>
      <c r="AU1392">
        <f>HYPERLINK("https://creighton-primo.hosted.exlibrisgroup.com/primo-explore/search?tab=default_tab&amp;search_scope=EVERYTHING&amp;vid=01CRU&amp;lang=en_US&amp;offset=0&amp;query=any,contains,991001834669702656","Catalog Record")</f>
        <v/>
      </c>
      <c r="AV1392">
        <f>HYPERLINK("http://www.worldcat.org/oclc/23048038","WorldCat Record")</f>
        <v/>
      </c>
      <c r="AW1392" t="inlineStr">
        <is>
          <t>808724155:eng</t>
        </is>
      </c>
      <c r="AX1392" t="inlineStr">
        <is>
          <t>23048038</t>
        </is>
      </c>
      <c r="AY1392" t="inlineStr">
        <is>
          <t>991001834669702656</t>
        </is>
      </c>
      <c r="AZ1392" t="inlineStr">
        <is>
          <t>991001834669702656</t>
        </is>
      </c>
      <c r="BA1392" t="inlineStr">
        <is>
          <t>2255828920002656</t>
        </is>
      </c>
      <c r="BB1392" t="inlineStr">
        <is>
          <t>BOOK</t>
        </is>
      </c>
      <c r="BD1392" t="inlineStr">
        <is>
          <t>9780198117889</t>
        </is>
      </c>
      <c r="BE1392" t="inlineStr">
        <is>
          <t>32285001007813</t>
        </is>
      </c>
      <c r="BF1392" t="inlineStr">
        <is>
          <t>893785432</t>
        </is>
      </c>
    </row>
    <row r="1393">
      <c r="A1393" t="inlineStr">
        <is>
          <t>No</t>
        </is>
      </c>
      <c r="B1393" t="inlineStr">
        <is>
          <t>CURAL</t>
        </is>
      </c>
      <c r="C1393" t="inlineStr">
        <is>
          <t>SHELVES</t>
        </is>
      </c>
      <c r="D1393" t="inlineStr">
        <is>
          <t>PR3736 .T72</t>
        </is>
      </c>
      <c r="E1393" t="inlineStr">
        <is>
          <t>0                      PR 3736000T  72</t>
        </is>
      </c>
      <c r="F1393" t="inlineStr">
        <is>
          <t>Poems, Centuries and three Thanksgivings; edited by Anne Ridler.</t>
        </is>
      </c>
      <c r="H1393" t="inlineStr">
        <is>
          <t>No</t>
        </is>
      </c>
      <c r="I1393" t="inlineStr">
        <is>
          <t>1</t>
        </is>
      </c>
      <c r="J1393" t="inlineStr">
        <is>
          <t>No</t>
        </is>
      </c>
      <c r="K1393" t="inlineStr">
        <is>
          <t>No</t>
        </is>
      </c>
      <c r="L1393" t="inlineStr">
        <is>
          <t>0</t>
        </is>
      </c>
      <c r="M1393" t="inlineStr">
        <is>
          <t>Traherne, Thomas, -1674.</t>
        </is>
      </c>
      <c r="N1393" t="inlineStr">
        <is>
          <t>London, Oxford U. P., 1966.</t>
        </is>
      </c>
      <c r="O1393" t="inlineStr">
        <is>
          <t>1966</t>
        </is>
      </c>
      <c r="Q1393" t="inlineStr">
        <is>
          <t>eng</t>
        </is>
      </c>
      <c r="R1393" t="inlineStr">
        <is>
          <t>enk</t>
        </is>
      </c>
      <c r="S1393" t="inlineStr">
        <is>
          <t>[Oxford Standard authors series]</t>
        </is>
      </c>
      <c r="T1393" t="inlineStr">
        <is>
          <t xml:space="preserve">PR </t>
        </is>
      </c>
      <c r="U1393" t="n">
        <v>2</v>
      </c>
      <c r="V1393" t="n">
        <v>2</v>
      </c>
      <c r="W1393" t="inlineStr">
        <is>
          <t>2004-03-01</t>
        </is>
      </c>
      <c r="X1393" t="inlineStr">
        <is>
          <t>2004-03-01</t>
        </is>
      </c>
      <c r="Y1393" t="inlineStr">
        <is>
          <t>1997-07-25</t>
        </is>
      </c>
      <c r="Z1393" t="inlineStr">
        <is>
          <t>1997-07-25</t>
        </is>
      </c>
      <c r="AA1393" t="n">
        <v>557</v>
      </c>
      <c r="AB1393" t="n">
        <v>400</v>
      </c>
      <c r="AC1393" t="n">
        <v>404</v>
      </c>
      <c r="AD1393" t="n">
        <v>3</v>
      </c>
      <c r="AE1393" t="n">
        <v>3</v>
      </c>
      <c r="AF1393" t="n">
        <v>23</v>
      </c>
      <c r="AG1393" t="n">
        <v>23</v>
      </c>
      <c r="AH1393" t="n">
        <v>6</v>
      </c>
      <c r="AI1393" t="n">
        <v>6</v>
      </c>
      <c r="AJ1393" t="n">
        <v>8</v>
      </c>
      <c r="AK1393" t="n">
        <v>8</v>
      </c>
      <c r="AL1393" t="n">
        <v>14</v>
      </c>
      <c r="AM1393" t="n">
        <v>14</v>
      </c>
      <c r="AN1393" t="n">
        <v>2</v>
      </c>
      <c r="AO1393" t="n">
        <v>2</v>
      </c>
      <c r="AP1393" t="n">
        <v>0</v>
      </c>
      <c r="AQ1393" t="n">
        <v>0</v>
      </c>
      <c r="AR1393" t="inlineStr">
        <is>
          <t>No</t>
        </is>
      </c>
      <c r="AS1393" t="inlineStr">
        <is>
          <t>Yes</t>
        </is>
      </c>
      <c r="AT1393">
        <f>HYPERLINK("http://catalog.hathitrust.org/Record/001414954","HathiTrust Record")</f>
        <v/>
      </c>
      <c r="AU1393">
        <f>HYPERLINK("https://creighton-primo.hosted.exlibrisgroup.com/primo-explore/search?tab=default_tab&amp;search_scope=EVERYTHING&amp;vid=01CRU&amp;lang=en_US&amp;offset=0&amp;query=any,contains,991002650149702656","Catalog Record")</f>
        <v/>
      </c>
      <c r="AV1393">
        <f>HYPERLINK("http://www.worldcat.org/oclc/386841","WorldCat Record")</f>
        <v/>
      </c>
      <c r="AW1393" t="inlineStr">
        <is>
          <t>3856929997:eng</t>
        </is>
      </c>
      <c r="AX1393" t="inlineStr">
        <is>
          <t>386841</t>
        </is>
      </c>
      <c r="AY1393" t="inlineStr">
        <is>
          <t>991002650149702656</t>
        </is>
      </c>
      <c r="AZ1393" t="inlineStr">
        <is>
          <t>991002650149702656</t>
        </is>
      </c>
      <c r="BA1393" t="inlineStr">
        <is>
          <t>2259643600002656</t>
        </is>
      </c>
      <c r="BB1393" t="inlineStr">
        <is>
          <t>BOOK</t>
        </is>
      </c>
      <c r="BE1393" t="inlineStr">
        <is>
          <t>32285002962164</t>
        </is>
      </c>
      <c r="BF1393" t="inlineStr">
        <is>
          <t>893704318</t>
        </is>
      </c>
    </row>
    <row r="1394">
      <c r="A1394" t="inlineStr">
        <is>
          <t>No</t>
        </is>
      </c>
      <c r="B1394" t="inlineStr">
        <is>
          <t>CURAL</t>
        </is>
      </c>
      <c r="C1394" t="inlineStr">
        <is>
          <t>SHELVES</t>
        </is>
      </c>
      <c r="D1394" t="inlineStr">
        <is>
          <t>PR3742.S43 P4</t>
        </is>
      </c>
      <c r="E1394" t="inlineStr">
        <is>
          <t>0                      PR 3742000S  43                 P  4</t>
        </is>
      </c>
      <c r="F1394" t="inlineStr">
        <is>
          <t>Of paradise and light : a study of Vaughan's Silex scintillans.</t>
        </is>
      </c>
      <c r="H1394" t="inlineStr">
        <is>
          <t>No</t>
        </is>
      </c>
      <c r="I1394" t="inlineStr">
        <is>
          <t>1</t>
        </is>
      </c>
      <c r="J1394" t="inlineStr">
        <is>
          <t>No</t>
        </is>
      </c>
      <c r="K1394" t="inlineStr">
        <is>
          <t>No</t>
        </is>
      </c>
      <c r="L1394" t="inlineStr">
        <is>
          <t>0</t>
        </is>
      </c>
      <c r="M1394" t="inlineStr">
        <is>
          <t>Pettet, E. C.</t>
        </is>
      </c>
      <c r="N1394" t="inlineStr">
        <is>
          <t>Cambridge : University Press, 1960.</t>
        </is>
      </c>
      <c r="O1394" t="inlineStr">
        <is>
          <t>1960</t>
        </is>
      </c>
      <c r="Q1394" t="inlineStr">
        <is>
          <t>eng</t>
        </is>
      </c>
      <c r="R1394" t="inlineStr">
        <is>
          <t>enk</t>
        </is>
      </c>
      <c r="T1394" t="inlineStr">
        <is>
          <t xml:space="preserve">PR </t>
        </is>
      </c>
      <c r="U1394" t="n">
        <v>1</v>
      </c>
      <c r="V1394" t="n">
        <v>1</v>
      </c>
      <c r="W1394" t="inlineStr">
        <is>
          <t>1998-12-10</t>
        </is>
      </c>
      <c r="X1394" t="inlineStr">
        <is>
          <t>1998-12-10</t>
        </is>
      </c>
      <c r="Y1394" t="inlineStr">
        <is>
          <t>1993-03-09</t>
        </is>
      </c>
      <c r="Z1394" t="inlineStr">
        <is>
          <t>1993-03-09</t>
        </is>
      </c>
      <c r="AA1394" t="n">
        <v>684</v>
      </c>
      <c r="AB1394" t="n">
        <v>539</v>
      </c>
      <c r="AC1394" t="n">
        <v>548</v>
      </c>
      <c r="AD1394" t="n">
        <v>5</v>
      </c>
      <c r="AE1394" t="n">
        <v>5</v>
      </c>
      <c r="AF1394" t="n">
        <v>31</v>
      </c>
      <c r="AG1394" t="n">
        <v>31</v>
      </c>
      <c r="AH1394" t="n">
        <v>12</v>
      </c>
      <c r="AI1394" t="n">
        <v>12</v>
      </c>
      <c r="AJ1394" t="n">
        <v>5</v>
      </c>
      <c r="AK1394" t="n">
        <v>5</v>
      </c>
      <c r="AL1394" t="n">
        <v>18</v>
      </c>
      <c r="AM1394" t="n">
        <v>18</v>
      </c>
      <c r="AN1394" t="n">
        <v>4</v>
      </c>
      <c r="AO1394" t="n">
        <v>4</v>
      </c>
      <c r="AP1394" t="n">
        <v>0</v>
      </c>
      <c r="AQ1394" t="n">
        <v>0</v>
      </c>
      <c r="AR1394" t="inlineStr">
        <is>
          <t>No</t>
        </is>
      </c>
      <c r="AS1394" t="inlineStr">
        <is>
          <t>Yes</t>
        </is>
      </c>
      <c r="AT1394">
        <f>HYPERLINK("http://catalog.hathitrust.org/Record/001187693","HathiTrust Record")</f>
        <v/>
      </c>
      <c r="AU1394">
        <f>HYPERLINK("https://creighton-primo.hosted.exlibrisgroup.com/primo-explore/search?tab=default_tab&amp;search_scope=EVERYTHING&amp;vid=01CRU&amp;lang=en_US&amp;offset=0&amp;query=any,contains,991001921109702656","Catalog Record")</f>
        <v/>
      </c>
      <c r="AV1394">
        <f>HYPERLINK("http://www.worldcat.org/oclc/245189","WorldCat Record")</f>
        <v/>
      </c>
      <c r="AW1394" t="inlineStr">
        <is>
          <t>836692179:eng</t>
        </is>
      </c>
      <c r="AX1394" t="inlineStr">
        <is>
          <t>245189</t>
        </is>
      </c>
      <c r="AY1394" t="inlineStr">
        <is>
          <t>991001921109702656</t>
        </is>
      </c>
      <c r="AZ1394" t="inlineStr">
        <is>
          <t>991001921109702656</t>
        </is>
      </c>
      <c r="BA1394" t="inlineStr">
        <is>
          <t>2267409170002656</t>
        </is>
      </c>
      <c r="BB1394" t="inlineStr">
        <is>
          <t>BOOK</t>
        </is>
      </c>
      <c r="BE1394" t="inlineStr">
        <is>
          <t>32285001570521</t>
        </is>
      </c>
      <c r="BF1394" t="inlineStr">
        <is>
          <t>893250612</t>
        </is>
      </c>
    </row>
    <row r="1395">
      <c r="A1395" t="inlineStr">
        <is>
          <t>No</t>
        </is>
      </c>
      <c r="B1395" t="inlineStr">
        <is>
          <t>CURAL</t>
        </is>
      </c>
      <c r="C1395" t="inlineStr">
        <is>
          <t>SHELVES</t>
        </is>
      </c>
      <c r="D1395" t="inlineStr">
        <is>
          <t>PR3744 .D8</t>
        </is>
      </c>
      <c r="E1395" t="inlineStr">
        <is>
          <t>0                      PR 3744000D  8</t>
        </is>
      </c>
      <c r="F1395" t="inlineStr">
        <is>
          <t>On the mystical poetry of Henry Vaughan.</t>
        </is>
      </c>
      <c r="H1395" t="inlineStr">
        <is>
          <t>No</t>
        </is>
      </c>
      <c r="I1395" t="inlineStr">
        <is>
          <t>1</t>
        </is>
      </c>
      <c r="J1395" t="inlineStr">
        <is>
          <t>No</t>
        </is>
      </c>
      <c r="K1395" t="inlineStr">
        <is>
          <t>No</t>
        </is>
      </c>
      <c r="L1395" t="inlineStr">
        <is>
          <t>0</t>
        </is>
      </c>
      <c r="M1395" t="inlineStr">
        <is>
          <t>Durr, R. A.</t>
        </is>
      </c>
      <c r="N1395" t="inlineStr">
        <is>
          <t>Cambridge, Harvard University Press, 1962.</t>
        </is>
      </c>
      <c r="O1395" t="inlineStr">
        <is>
          <t>1962</t>
        </is>
      </c>
      <c r="Q1395" t="inlineStr">
        <is>
          <t>eng</t>
        </is>
      </c>
      <c r="R1395" t="inlineStr">
        <is>
          <t>mau</t>
        </is>
      </c>
      <c r="T1395" t="inlineStr">
        <is>
          <t xml:space="preserve">PR </t>
        </is>
      </c>
      <c r="U1395" t="n">
        <v>1</v>
      </c>
      <c r="V1395" t="n">
        <v>1</v>
      </c>
      <c r="W1395" t="inlineStr">
        <is>
          <t>1998-11-17</t>
        </is>
      </c>
      <c r="X1395" t="inlineStr">
        <is>
          <t>1998-11-17</t>
        </is>
      </c>
      <c r="Y1395" t="inlineStr">
        <is>
          <t>1997-07-29</t>
        </is>
      </c>
      <c r="Z1395" t="inlineStr">
        <is>
          <t>1997-07-29</t>
        </is>
      </c>
      <c r="AA1395" t="n">
        <v>739</v>
      </c>
      <c r="AB1395" t="n">
        <v>586</v>
      </c>
      <c r="AC1395" t="n">
        <v>599</v>
      </c>
      <c r="AD1395" t="n">
        <v>5</v>
      </c>
      <c r="AE1395" t="n">
        <v>5</v>
      </c>
      <c r="AF1395" t="n">
        <v>31</v>
      </c>
      <c r="AG1395" t="n">
        <v>31</v>
      </c>
      <c r="AH1395" t="n">
        <v>11</v>
      </c>
      <c r="AI1395" t="n">
        <v>11</v>
      </c>
      <c r="AJ1395" t="n">
        <v>7</v>
      </c>
      <c r="AK1395" t="n">
        <v>7</v>
      </c>
      <c r="AL1395" t="n">
        <v>17</v>
      </c>
      <c r="AM1395" t="n">
        <v>17</v>
      </c>
      <c r="AN1395" t="n">
        <v>4</v>
      </c>
      <c r="AO1395" t="n">
        <v>4</v>
      </c>
      <c r="AP1395" t="n">
        <v>0</v>
      </c>
      <c r="AQ1395" t="n">
        <v>0</v>
      </c>
      <c r="AR1395" t="inlineStr">
        <is>
          <t>No</t>
        </is>
      </c>
      <c r="AS1395" t="inlineStr">
        <is>
          <t>Yes</t>
        </is>
      </c>
      <c r="AT1395">
        <f>HYPERLINK("http://catalog.hathitrust.org/Record/001187697","HathiTrust Record")</f>
        <v/>
      </c>
      <c r="AU1395">
        <f>HYPERLINK("https://creighton-primo.hosted.exlibrisgroup.com/primo-explore/search?tab=default_tab&amp;search_scope=EVERYTHING&amp;vid=01CRU&amp;lang=en_US&amp;offset=0&amp;query=any,contains,991001923749702656","Catalog Record")</f>
        <v/>
      </c>
      <c r="AV1395">
        <f>HYPERLINK("http://www.worldcat.org/oclc/245968","WorldCat Record")</f>
        <v/>
      </c>
      <c r="AW1395" t="inlineStr">
        <is>
          <t>1399678:eng</t>
        </is>
      </c>
      <c r="AX1395" t="inlineStr">
        <is>
          <t>245968</t>
        </is>
      </c>
      <c r="AY1395" t="inlineStr">
        <is>
          <t>991001923749702656</t>
        </is>
      </c>
      <c r="AZ1395" t="inlineStr">
        <is>
          <t>991001923749702656</t>
        </is>
      </c>
      <c r="BA1395" t="inlineStr">
        <is>
          <t>2267109260002656</t>
        </is>
      </c>
      <c r="BB1395" t="inlineStr">
        <is>
          <t>BOOK</t>
        </is>
      </c>
      <c r="BE1395" t="inlineStr">
        <is>
          <t>32285002988268</t>
        </is>
      </c>
      <c r="BF1395" t="inlineStr">
        <is>
          <t>893426991</t>
        </is>
      </c>
    </row>
    <row r="1396">
      <c r="A1396" t="inlineStr">
        <is>
          <t>No</t>
        </is>
      </c>
      <c r="B1396" t="inlineStr">
        <is>
          <t>CURAL</t>
        </is>
      </c>
      <c r="C1396" t="inlineStr">
        <is>
          <t>SHELVES</t>
        </is>
      </c>
      <c r="D1396" t="inlineStr">
        <is>
          <t>PR3744 .E87 1987</t>
        </is>
      </c>
      <c r="E1396" t="inlineStr">
        <is>
          <t>0                      PR 3744000E  87          1987</t>
        </is>
      </c>
      <c r="F1396" t="inlineStr">
        <is>
          <t>Essential articles for the study of Henry Vaughan / edited with an introduction by Alan Rudrum.</t>
        </is>
      </c>
      <c r="H1396" t="inlineStr">
        <is>
          <t>No</t>
        </is>
      </c>
      <c r="I1396" t="inlineStr">
        <is>
          <t>1</t>
        </is>
      </c>
      <c r="J1396" t="inlineStr">
        <is>
          <t>No</t>
        </is>
      </c>
      <c r="K1396" t="inlineStr">
        <is>
          <t>No</t>
        </is>
      </c>
      <c r="L1396" t="inlineStr">
        <is>
          <t>0</t>
        </is>
      </c>
      <c r="N1396" t="inlineStr">
        <is>
          <t>Hamden, Conn. : Archon Books, 1987.</t>
        </is>
      </c>
      <c r="O1396" t="inlineStr">
        <is>
          <t>1987</t>
        </is>
      </c>
      <c r="Q1396" t="inlineStr">
        <is>
          <t>eng</t>
        </is>
      </c>
      <c r="R1396" t="inlineStr">
        <is>
          <t>ctu</t>
        </is>
      </c>
      <c r="S1396" t="inlineStr">
        <is>
          <t>The Essential articles series</t>
        </is>
      </c>
      <c r="T1396" t="inlineStr">
        <is>
          <t xml:space="preserve">PR </t>
        </is>
      </c>
      <c r="U1396" t="n">
        <v>1</v>
      </c>
      <c r="V1396" t="n">
        <v>1</v>
      </c>
      <c r="W1396" t="inlineStr">
        <is>
          <t>1998-11-17</t>
        </is>
      </c>
      <c r="X1396" t="inlineStr">
        <is>
          <t>1998-11-17</t>
        </is>
      </c>
      <c r="Y1396" t="inlineStr">
        <is>
          <t>1991-03-06</t>
        </is>
      </c>
      <c r="Z1396" t="inlineStr">
        <is>
          <t>1991-03-06</t>
        </is>
      </c>
      <c r="AA1396" t="n">
        <v>271</v>
      </c>
      <c r="AB1396" t="n">
        <v>203</v>
      </c>
      <c r="AC1396" t="n">
        <v>210</v>
      </c>
      <c r="AD1396" t="n">
        <v>2</v>
      </c>
      <c r="AE1396" t="n">
        <v>2</v>
      </c>
      <c r="AF1396" t="n">
        <v>14</v>
      </c>
      <c r="AG1396" t="n">
        <v>14</v>
      </c>
      <c r="AH1396" t="n">
        <v>4</v>
      </c>
      <c r="AI1396" t="n">
        <v>4</v>
      </c>
      <c r="AJ1396" t="n">
        <v>4</v>
      </c>
      <c r="AK1396" t="n">
        <v>4</v>
      </c>
      <c r="AL1396" t="n">
        <v>9</v>
      </c>
      <c r="AM1396" t="n">
        <v>9</v>
      </c>
      <c r="AN1396" t="n">
        <v>1</v>
      </c>
      <c r="AO1396" t="n">
        <v>1</v>
      </c>
      <c r="AP1396" t="n">
        <v>0</v>
      </c>
      <c r="AQ1396" t="n">
        <v>0</v>
      </c>
      <c r="AR1396" t="inlineStr">
        <is>
          <t>No</t>
        </is>
      </c>
      <c r="AS1396" t="inlineStr">
        <is>
          <t>Yes</t>
        </is>
      </c>
      <c r="AT1396">
        <f>HYPERLINK("http://catalog.hathitrust.org/Record/000910462","HathiTrust Record")</f>
        <v/>
      </c>
      <c r="AU1396">
        <f>HYPERLINK("https://creighton-primo.hosted.exlibrisgroup.com/primo-explore/search?tab=default_tab&amp;search_scope=EVERYTHING&amp;vid=01CRU&amp;lang=en_US&amp;offset=0&amp;query=any,contains,991001048559702656","Catalog Record")</f>
        <v/>
      </c>
      <c r="AV1396">
        <f>HYPERLINK("http://www.worldcat.org/oclc/15630920","WorldCat Record")</f>
        <v/>
      </c>
      <c r="AW1396" t="inlineStr">
        <is>
          <t>10423179:eng</t>
        </is>
      </c>
      <c r="AX1396" t="inlineStr">
        <is>
          <t>15630920</t>
        </is>
      </c>
      <c r="AY1396" t="inlineStr">
        <is>
          <t>991001048559702656</t>
        </is>
      </c>
      <c r="AZ1396" t="inlineStr">
        <is>
          <t>991001048559702656</t>
        </is>
      </c>
      <c r="BA1396" t="inlineStr">
        <is>
          <t>2262335150002656</t>
        </is>
      </c>
      <c r="BB1396" t="inlineStr">
        <is>
          <t>BOOK</t>
        </is>
      </c>
      <c r="BD1396" t="inlineStr">
        <is>
          <t>9780208020451</t>
        </is>
      </c>
      <c r="BE1396" t="inlineStr">
        <is>
          <t>32285000493212</t>
        </is>
      </c>
      <c r="BF1396" t="inlineStr">
        <is>
          <t>893878575</t>
        </is>
      </c>
    </row>
    <row r="1397">
      <c r="A1397" t="inlineStr">
        <is>
          <t>No</t>
        </is>
      </c>
      <c r="B1397" t="inlineStr">
        <is>
          <t>CURAL</t>
        </is>
      </c>
      <c r="C1397" t="inlineStr">
        <is>
          <t>SHELVES</t>
        </is>
      </c>
      <c r="D1397" t="inlineStr">
        <is>
          <t>PR3744 .F7</t>
        </is>
      </c>
      <c r="E1397" t="inlineStr">
        <is>
          <t>0                      PR 3744000F  7</t>
        </is>
      </c>
      <c r="F1397" t="inlineStr">
        <is>
          <t>Henry Vaughan / by Kenneth Friedenreich.</t>
        </is>
      </c>
      <c r="H1397" t="inlineStr">
        <is>
          <t>No</t>
        </is>
      </c>
      <c r="I1397" t="inlineStr">
        <is>
          <t>1</t>
        </is>
      </c>
      <c r="J1397" t="inlineStr">
        <is>
          <t>No</t>
        </is>
      </c>
      <c r="K1397" t="inlineStr">
        <is>
          <t>No</t>
        </is>
      </c>
      <c r="L1397" t="inlineStr">
        <is>
          <t>0</t>
        </is>
      </c>
      <c r="M1397" t="inlineStr">
        <is>
          <t>Friedenreich, Kenneth, 1947-</t>
        </is>
      </c>
      <c r="N1397" t="inlineStr">
        <is>
          <t>Boston : Twayne Publishers, c1978.</t>
        </is>
      </c>
      <c r="O1397" t="inlineStr">
        <is>
          <t>1978</t>
        </is>
      </c>
      <c r="Q1397" t="inlineStr">
        <is>
          <t>eng</t>
        </is>
      </c>
      <c r="R1397" t="inlineStr">
        <is>
          <t>mau</t>
        </is>
      </c>
      <c r="S1397" t="inlineStr">
        <is>
          <t>Twayne's English authors series ; TEAS 226</t>
        </is>
      </c>
      <c r="T1397" t="inlineStr">
        <is>
          <t xml:space="preserve">PR </t>
        </is>
      </c>
      <c r="U1397" t="n">
        <v>1</v>
      </c>
      <c r="V1397" t="n">
        <v>1</v>
      </c>
      <c r="W1397" t="inlineStr">
        <is>
          <t>1998-11-17</t>
        </is>
      </c>
      <c r="X1397" t="inlineStr">
        <is>
          <t>1998-11-17</t>
        </is>
      </c>
      <c r="Y1397" t="inlineStr">
        <is>
          <t>1997-07-25</t>
        </is>
      </c>
      <c r="Z1397" t="inlineStr">
        <is>
          <t>1997-07-25</t>
        </is>
      </c>
      <c r="AA1397" t="n">
        <v>640</v>
      </c>
      <c r="AB1397" t="n">
        <v>560</v>
      </c>
      <c r="AC1397" t="n">
        <v>567</v>
      </c>
      <c r="AD1397" t="n">
        <v>5</v>
      </c>
      <c r="AE1397" t="n">
        <v>5</v>
      </c>
      <c r="AF1397" t="n">
        <v>25</v>
      </c>
      <c r="AG1397" t="n">
        <v>25</v>
      </c>
      <c r="AH1397" t="n">
        <v>9</v>
      </c>
      <c r="AI1397" t="n">
        <v>9</v>
      </c>
      <c r="AJ1397" t="n">
        <v>6</v>
      </c>
      <c r="AK1397" t="n">
        <v>6</v>
      </c>
      <c r="AL1397" t="n">
        <v>13</v>
      </c>
      <c r="AM1397" t="n">
        <v>13</v>
      </c>
      <c r="AN1397" t="n">
        <v>4</v>
      </c>
      <c r="AO1397" t="n">
        <v>4</v>
      </c>
      <c r="AP1397" t="n">
        <v>0</v>
      </c>
      <c r="AQ1397" t="n">
        <v>0</v>
      </c>
      <c r="AR1397" t="inlineStr">
        <is>
          <t>No</t>
        </is>
      </c>
      <c r="AS1397" t="inlineStr">
        <is>
          <t>Yes</t>
        </is>
      </c>
      <c r="AT1397">
        <f>HYPERLINK("http://catalog.hathitrust.org/Record/000750784","HathiTrust Record")</f>
        <v/>
      </c>
      <c r="AU1397">
        <f>HYPERLINK("https://creighton-primo.hosted.exlibrisgroup.com/primo-explore/search?tab=default_tab&amp;search_scope=EVERYTHING&amp;vid=01CRU&amp;lang=en_US&amp;offset=0&amp;query=any,contains,991004419969702656","Catalog Record")</f>
        <v/>
      </c>
      <c r="AV1397">
        <f>HYPERLINK("http://www.worldcat.org/oclc/3380087","WorldCat Record")</f>
        <v/>
      </c>
      <c r="AW1397" t="inlineStr">
        <is>
          <t>9867314:eng</t>
        </is>
      </c>
      <c r="AX1397" t="inlineStr">
        <is>
          <t>3380087</t>
        </is>
      </c>
      <c r="AY1397" t="inlineStr">
        <is>
          <t>991004419969702656</t>
        </is>
      </c>
      <c r="AZ1397" t="inlineStr">
        <is>
          <t>991004419969702656</t>
        </is>
      </c>
      <c r="BA1397" t="inlineStr">
        <is>
          <t>2272767830002656</t>
        </is>
      </c>
      <c r="BB1397" t="inlineStr">
        <is>
          <t>BOOK</t>
        </is>
      </c>
      <c r="BD1397" t="inlineStr">
        <is>
          <t>9780805766974</t>
        </is>
      </c>
      <c r="BE1397" t="inlineStr">
        <is>
          <t>32285002962289</t>
        </is>
      </c>
      <c r="BF1397" t="inlineStr">
        <is>
          <t>893247564</t>
        </is>
      </c>
    </row>
    <row r="1398">
      <c r="A1398" t="inlineStr">
        <is>
          <t>No</t>
        </is>
      </c>
      <c r="B1398" t="inlineStr">
        <is>
          <t>CURAL</t>
        </is>
      </c>
      <c r="C1398" t="inlineStr">
        <is>
          <t>SHELVES</t>
        </is>
      </c>
      <c r="D1398" t="inlineStr">
        <is>
          <t>PR3757.W2 Z68</t>
        </is>
      </c>
      <c r="E1398" t="inlineStr">
        <is>
          <t>0                      PR 3757000W  2                  Z  68</t>
        </is>
      </c>
      <c r="F1398" t="inlineStr">
        <is>
          <t>Horace Walpole.</t>
        </is>
      </c>
      <c r="H1398" t="inlineStr">
        <is>
          <t>No</t>
        </is>
      </c>
      <c r="I1398" t="inlineStr">
        <is>
          <t>1</t>
        </is>
      </c>
      <c r="J1398" t="inlineStr">
        <is>
          <t>No</t>
        </is>
      </c>
      <c r="K1398" t="inlineStr">
        <is>
          <t>No</t>
        </is>
      </c>
      <c r="L1398" t="inlineStr">
        <is>
          <t>0</t>
        </is>
      </c>
      <c r="M1398" t="inlineStr">
        <is>
          <t>Kallich, Martin, 1918-2006.</t>
        </is>
      </c>
      <c r="N1398" t="inlineStr">
        <is>
          <t>New York, Twayne Publishers [1971]</t>
        </is>
      </c>
      <c r="O1398" t="inlineStr">
        <is>
          <t>1971</t>
        </is>
      </c>
      <c r="Q1398" t="inlineStr">
        <is>
          <t>eng</t>
        </is>
      </c>
      <c r="R1398" t="inlineStr">
        <is>
          <t>nyu</t>
        </is>
      </c>
      <c r="S1398" t="inlineStr">
        <is>
          <t>Twayne's English authors series ; TEAS 116</t>
        </is>
      </c>
      <c r="T1398" t="inlineStr">
        <is>
          <t xml:space="preserve">PR </t>
        </is>
      </c>
      <c r="U1398" t="n">
        <v>1</v>
      </c>
      <c r="V1398" t="n">
        <v>1</v>
      </c>
      <c r="W1398" t="inlineStr">
        <is>
          <t>2003-03-12</t>
        </is>
      </c>
      <c r="X1398" t="inlineStr">
        <is>
          <t>2003-03-12</t>
        </is>
      </c>
      <c r="Y1398" t="inlineStr">
        <is>
          <t>1997-07-25</t>
        </is>
      </c>
      <c r="Z1398" t="inlineStr">
        <is>
          <t>1997-07-25</t>
        </is>
      </c>
      <c r="AA1398" t="n">
        <v>820</v>
      </c>
      <c r="AB1398" t="n">
        <v>736</v>
      </c>
      <c r="AC1398" t="n">
        <v>879</v>
      </c>
      <c r="AD1398" t="n">
        <v>7</v>
      </c>
      <c r="AE1398" t="n">
        <v>9</v>
      </c>
      <c r="AF1398" t="n">
        <v>33</v>
      </c>
      <c r="AG1398" t="n">
        <v>39</v>
      </c>
      <c r="AH1398" t="n">
        <v>13</v>
      </c>
      <c r="AI1398" t="n">
        <v>16</v>
      </c>
      <c r="AJ1398" t="n">
        <v>10</v>
      </c>
      <c r="AK1398" t="n">
        <v>10</v>
      </c>
      <c r="AL1398" t="n">
        <v>16</v>
      </c>
      <c r="AM1398" t="n">
        <v>17</v>
      </c>
      <c r="AN1398" t="n">
        <v>5</v>
      </c>
      <c r="AO1398" t="n">
        <v>7</v>
      </c>
      <c r="AP1398" t="n">
        <v>0</v>
      </c>
      <c r="AQ1398" t="n">
        <v>0</v>
      </c>
      <c r="AR1398" t="inlineStr">
        <is>
          <t>No</t>
        </is>
      </c>
      <c r="AS1398" t="inlineStr">
        <is>
          <t>Yes</t>
        </is>
      </c>
      <c r="AT1398">
        <f>HYPERLINK("http://catalog.hathitrust.org/Record/001187862","HathiTrust Record")</f>
        <v/>
      </c>
      <c r="AU1398">
        <f>HYPERLINK("https://creighton-primo.hosted.exlibrisgroup.com/primo-explore/search?tab=default_tab&amp;search_scope=EVERYTHING&amp;vid=01CRU&amp;lang=en_US&amp;offset=0&amp;query=any,contains,991001205199702656","Catalog Record")</f>
        <v/>
      </c>
      <c r="AV1398">
        <f>HYPERLINK("http://www.worldcat.org/oclc/191835","WorldCat Record")</f>
        <v/>
      </c>
      <c r="AW1398" t="inlineStr">
        <is>
          <t>2044315804:eng</t>
        </is>
      </c>
      <c r="AX1398" t="inlineStr">
        <is>
          <t>191835</t>
        </is>
      </c>
      <c r="AY1398" t="inlineStr">
        <is>
          <t>991001205199702656</t>
        </is>
      </c>
      <c r="AZ1398" t="inlineStr">
        <is>
          <t>991001205199702656</t>
        </is>
      </c>
      <c r="BA1398" t="inlineStr">
        <is>
          <t>2258995080002656</t>
        </is>
      </c>
      <c r="BB1398" t="inlineStr">
        <is>
          <t>BOOK</t>
        </is>
      </c>
      <c r="BE1398" t="inlineStr">
        <is>
          <t>32285002962362</t>
        </is>
      </c>
      <c r="BF1398" t="inlineStr">
        <is>
          <t>893515988</t>
        </is>
      </c>
    </row>
    <row r="1399">
      <c r="A1399" t="inlineStr">
        <is>
          <t>No</t>
        </is>
      </c>
      <c r="B1399" t="inlineStr">
        <is>
          <t>CURAL</t>
        </is>
      </c>
      <c r="C1399" t="inlineStr">
        <is>
          <t>SHELVES</t>
        </is>
      </c>
      <c r="D1399" t="inlineStr">
        <is>
          <t>PR3757.W2 Z73 1961</t>
        </is>
      </c>
      <c r="E1399" t="inlineStr">
        <is>
          <t>0                      PR 3757000W  2                  Z  73          1961</t>
        </is>
      </c>
      <c r="F1399" t="inlineStr">
        <is>
          <t>Horace Walpole.</t>
        </is>
      </c>
      <c r="H1399" t="inlineStr">
        <is>
          <t>No</t>
        </is>
      </c>
      <c r="I1399" t="inlineStr">
        <is>
          <t>1</t>
        </is>
      </c>
      <c r="J1399" t="inlineStr">
        <is>
          <t>No</t>
        </is>
      </c>
      <c r="K1399" t="inlineStr">
        <is>
          <t>No</t>
        </is>
      </c>
      <c r="L1399" t="inlineStr">
        <is>
          <t>0</t>
        </is>
      </c>
      <c r="M1399" t="inlineStr">
        <is>
          <t>Lewis, W. S. (Wilmarth Sheldon), 1895-1979.</t>
        </is>
      </c>
      <c r="N1399" t="inlineStr">
        <is>
          <t>[New York] : Pantheon Books, [1961]</t>
        </is>
      </c>
      <c r="O1399" t="inlineStr">
        <is>
          <t>1961</t>
        </is>
      </c>
      <c r="Q1399" t="inlineStr">
        <is>
          <t>eng</t>
        </is>
      </c>
      <c r="R1399" t="inlineStr">
        <is>
          <t>nyu</t>
        </is>
      </c>
      <c r="S1399" t="inlineStr">
        <is>
          <t>A.W. Mellon lectures in the fine arts ; 9</t>
        </is>
      </c>
      <c r="T1399" t="inlineStr">
        <is>
          <t xml:space="preserve">PR </t>
        </is>
      </c>
      <c r="U1399" t="n">
        <v>1</v>
      </c>
      <c r="V1399" t="n">
        <v>1</v>
      </c>
      <c r="W1399" t="inlineStr">
        <is>
          <t>2003-03-12</t>
        </is>
      </c>
      <c r="X1399" t="inlineStr">
        <is>
          <t>2003-03-12</t>
        </is>
      </c>
      <c r="Y1399" t="inlineStr">
        <is>
          <t>1997-07-25</t>
        </is>
      </c>
      <c r="Z1399" t="inlineStr">
        <is>
          <t>1997-07-25</t>
        </is>
      </c>
      <c r="AA1399" t="n">
        <v>670</v>
      </c>
      <c r="AB1399" t="n">
        <v>602</v>
      </c>
      <c r="AC1399" t="n">
        <v>756</v>
      </c>
      <c r="AD1399" t="n">
        <v>2</v>
      </c>
      <c r="AE1399" t="n">
        <v>3</v>
      </c>
      <c r="AF1399" t="n">
        <v>24</v>
      </c>
      <c r="AG1399" t="n">
        <v>36</v>
      </c>
      <c r="AH1399" t="n">
        <v>11</v>
      </c>
      <c r="AI1399" t="n">
        <v>16</v>
      </c>
      <c r="AJ1399" t="n">
        <v>8</v>
      </c>
      <c r="AK1399" t="n">
        <v>10</v>
      </c>
      <c r="AL1399" t="n">
        <v>11</v>
      </c>
      <c r="AM1399" t="n">
        <v>18</v>
      </c>
      <c r="AN1399" t="n">
        <v>1</v>
      </c>
      <c r="AO1399" t="n">
        <v>2</v>
      </c>
      <c r="AP1399" t="n">
        <v>0</v>
      </c>
      <c r="AQ1399" t="n">
        <v>0</v>
      </c>
      <c r="AR1399" t="inlineStr">
        <is>
          <t>No</t>
        </is>
      </c>
      <c r="AS1399" t="inlineStr">
        <is>
          <t>No</t>
        </is>
      </c>
      <c r="AT1399">
        <f>HYPERLINK("http://catalog.hathitrust.org/Record/001112366","HathiTrust Record")</f>
        <v/>
      </c>
      <c r="AU1399">
        <f>HYPERLINK("https://creighton-primo.hosted.exlibrisgroup.com/primo-explore/search?tab=default_tab&amp;search_scope=EVERYTHING&amp;vid=01CRU&amp;lang=en_US&amp;offset=0&amp;query=any,contains,991002466309702656","Catalog Record")</f>
        <v/>
      </c>
      <c r="AV1399">
        <f>HYPERLINK("http://www.worldcat.org/oclc/357796","WorldCat Record")</f>
        <v/>
      </c>
      <c r="AW1399" t="inlineStr">
        <is>
          <t>8908764885:eng</t>
        </is>
      </c>
      <c r="AX1399" t="inlineStr">
        <is>
          <t>357796</t>
        </is>
      </c>
      <c r="AY1399" t="inlineStr">
        <is>
          <t>991002466309702656</t>
        </is>
      </c>
      <c r="AZ1399" t="inlineStr">
        <is>
          <t>991002466309702656</t>
        </is>
      </c>
      <c r="BA1399" t="inlineStr">
        <is>
          <t>2265603590002656</t>
        </is>
      </c>
      <c r="BB1399" t="inlineStr">
        <is>
          <t>BOOK</t>
        </is>
      </c>
      <c r="BE1399" t="inlineStr">
        <is>
          <t>32285002962370</t>
        </is>
      </c>
      <c r="BF1399" t="inlineStr">
        <is>
          <t>893879971</t>
        </is>
      </c>
    </row>
    <row r="1400">
      <c r="A1400" t="inlineStr">
        <is>
          <t>No</t>
        </is>
      </c>
      <c r="B1400" t="inlineStr">
        <is>
          <t>CURAL</t>
        </is>
      </c>
      <c r="C1400" t="inlineStr">
        <is>
          <t>SHELVES</t>
        </is>
      </c>
      <c r="D1400" t="inlineStr">
        <is>
          <t>PR3759.W2 Z93 1983</t>
        </is>
      </c>
      <c r="E1400" t="inlineStr">
        <is>
          <t>0                      PR 3759000W  2                  Z  93          1983</t>
        </is>
      </c>
      <c r="F1400" t="inlineStr">
        <is>
          <t>Joseph and Thomas Warton / by John A. Vance.</t>
        </is>
      </c>
      <c r="H1400" t="inlineStr">
        <is>
          <t>No</t>
        </is>
      </c>
      <c r="I1400" t="inlineStr">
        <is>
          <t>1</t>
        </is>
      </c>
      <c r="J1400" t="inlineStr">
        <is>
          <t>No</t>
        </is>
      </c>
      <c r="K1400" t="inlineStr">
        <is>
          <t>No</t>
        </is>
      </c>
      <c r="L1400" t="inlineStr">
        <is>
          <t>0</t>
        </is>
      </c>
      <c r="M1400" t="inlineStr">
        <is>
          <t>Vance, John A., 1947-</t>
        </is>
      </c>
      <c r="N1400" t="inlineStr">
        <is>
          <t>Boston : Twayne, c1983.</t>
        </is>
      </c>
      <c r="O1400" t="inlineStr">
        <is>
          <t>1983</t>
        </is>
      </c>
      <c r="Q1400" t="inlineStr">
        <is>
          <t>eng</t>
        </is>
      </c>
      <c r="R1400" t="inlineStr">
        <is>
          <t>mau</t>
        </is>
      </c>
      <c r="S1400" t="inlineStr">
        <is>
          <t>Twayne's English authors series ; TEAS 380</t>
        </is>
      </c>
      <c r="T1400" t="inlineStr">
        <is>
          <t xml:space="preserve">PR </t>
        </is>
      </c>
      <c r="U1400" t="n">
        <v>2</v>
      </c>
      <c r="V1400" t="n">
        <v>2</v>
      </c>
      <c r="W1400" t="inlineStr">
        <is>
          <t>1995-03-21</t>
        </is>
      </c>
      <c r="X1400" t="inlineStr">
        <is>
          <t>1995-03-21</t>
        </is>
      </c>
      <c r="Y1400" t="inlineStr">
        <is>
          <t>1991-06-20</t>
        </is>
      </c>
      <c r="Z1400" t="inlineStr">
        <is>
          <t>1991-06-20</t>
        </is>
      </c>
      <c r="AA1400" t="n">
        <v>459</v>
      </c>
      <c r="AB1400" t="n">
        <v>398</v>
      </c>
      <c r="AC1400" t="n">
        <v>404</v>
      </c>
      <c r="AD1400" t="n">
        <v>6</v>
      </c>
      <c r="AE1400" t="n">
        <v>6</v>
      </c>
      <c r="AF1400" t="n">
        <v>28</v>
      </c>
      <c r="AG1400" t="n">
        <v>28</v>
      </c>
      <c r="AH1400" t="n">
        <v>9</v>
      </c>
      <c r="AI1400" t="n">
        <v>9</v>
      </c>
      <c r="AJ1400" t="n">
        <v>6</v>
      </c>
      <c r="AK1400" t="n">
        <v>6</v>
      </c>
      <c r="AL1400" t="n">
        <v>17</v>
      </c>
      <c r="AM1400" t="n">
        <v>17</v>
      </c>
      <c r="AN1400" t="n">
        <v>5</v>
      </c>
      <c r="AO1400" t="n">
        <v>5</v>
      </c>
      <c r="AP1400" t="n">
        <v>0</v>
      </c>
      <c r="AQ1400" t="n">
        <v>0</v>
      </c>
      <c r="AR1400" t="inlineStr">
        <is>
          <t>No</t>
        </is>
      </c>
      <c r="AS1400" t="inlineStr">
        <is>
          <t>Yes</t>
        </is>
      </c>
      <c r="AT1400">
        <f>HYPERLINK("http://catalog.hathitrust.org/Record/000160642","HathiTrust Record")</f>
        <v/>
      </c>
      <c r="AU1400">
        <f>HYPERLINK("https://creighton-primo.hosted.exlibrisgroup.com/primo-explore/search?tab=default_tab&amp;search_scope=EVERYTHING&amp;vid=01CRU&amp;lang=en_US&amp;offset=0&amp;query=any,contains,991000213619702656","Catalog Record")</f>
        <v/>
      </c>
      <c r="AV1400">
        <f>HYPERLINK("http://www.worldcat.org/oclc/9556656","WorldCat Record")</f>
        <v/>
      </c>
      <c r="AW1400" t="inlineStr">
        <is>
          <t>3857023533:eng</t>
        </is>
      </c>
      <c r="AX1400" t="inlineStr">
        <is>
          <t>9556656</t>
        </is>
      </c>
      <c r="AY1400" t="inlineStr">
        <is>
          <t>991000213619702656</t>
        </is>
      </c>
      <c r="AZ1400" t="inlineStr">
        <is>
          <t>991000213619702656</t>
        </is>
      </c>
      <c r="BA1400" t="inlineStr">
        <is>
          <t>2265436460002656</t>
        </is>
      </c>
      <c r="BB1400" t="inlineStr">
        <is>
          <t>BOOK</t>
        </is>
      </c>
      <c r="BD1400" t="inlineStr">
        <is>
          <t>9780805768664</t>
        </is>
      </c>
      <c r="BE1400" t="inlineStr">
        <is>
          <t>32285000615905</t>
        </is>
      </c>
      <c r="BF1400" t="inlineStr">
        <is>
          <t>893784068</t>
        </is>
      </c>
    </row>
    <row r="1401">
      <c r="A1401" t="inlineStr">
        <is>
          <t>No</t>
        </is>
      </c>
      <c r="B1401" t="inlineStr">
        <is>
          <t>CURAL</t>
        </is>
      </c>
      <c r="C1401" t="inlineStr">
        <is>
          <t>SHELVES</t>
        </is>
      </c>
      <c r="D1401" t="inlineStr">
        <is>
          <t>PR3763.W5 Z85 1983</t>
        </is>
      </c>
      <c r="E1401" t="inlineStr">
        <is>
          <t>0                      PR 3763000W  5                  Z  85          1983</t>
        </is>
      </c>
      <c r="F1401" t="inlineStr">
        <is>
          <t>John and Charles Wesley / by Samuel J. Rogal.</t>
        </is>
      </c>
      <c r="H1401" t="inlineStr">
        <is>
          <t>No</t>
        </is>
      </c>
      <c r="I1401" t="inlineStr">
        <is>
          <t>1</t>
        </is>
      </c>
      <c r="J1401" t="inlineStr">
        <is>
          <t>No</t>
        </is>
      </c>
      <c r="K1401" t="inlineStr">
        <is>
          <t>No</t>
        </is>
      </c>
      <c r="L1401" t="inlineStr">
        <is>
          <t>0</t>
        </is>
      </c>
      <c r="M1401" t="inlineStr">
        <is>
          <t>Rogal, Samuel J.</t>
        </is>
      </c>
      <c r="N1401" t="inlineStr">
        <is>
          <t>Boston : Twayne Publishers, c1983.</t>
        </is>
      </c>
      <c r="O1401" t="inlineStr">
        <is>
          <t>1983</t>
        </is>
      </c>
      <c r="Q1401" t="inlineStr">
        <is>
          <t>eng</t>
        </is>
      </c>
      <c r="R1401" t="inlineStr">
        <is>
          <t>mau</t>
        </is>
      </c>
      <c r="S1401" t="inlineStr">
        <is>
          <t>Twayne's English authors series ; TEAS 368</t>
        </is>
      </c>
      <c r="T1401" t="inlineStr">
        <is>
          <t xml:space="preserve">PR </t>
        </is>
      </c>
      <c r="U1401" t="n">
        <v>4</v>
      </c>
      <c r="V1401" t="n">
        <v>4</v>
      </c>
      <c r="W1401" t="inlineStr">
        <is>
          <t>1996-11-18</t>
        </is>
      </c>
      <c r="X1401" t="inlineStr">
        <is>
          <t>1996-11-18</t>
        </is>
      </c>
      <c r="Y1401" t="inlineStr">
        <is>
          <t>1991-06-20</t>
        </is>
      </c>
      <c r="Z1401" t="inlineStr">
        <is>
          <t>1991-06-20</t>
        </is>
      </c>
      <c r="AA1401" t="n">
        <v>482</v>
      </c>
      <c r="AB1401" t="n">
        <v>418</v>
      </c>
      <c r="AC1401" t="n">
        <v>425</v>
      </c>
      <c r="AD1401" t="n">
        <v>6</v>
      </c>
      <c r="AE1401" t="n">
        <v>6</v>
      </c>
      <c r="AF1401" t="n">
        <v>22</v>
      </c>
      <c r="AG1401" t="n">
        <v>22</v>
      </c>
      <c r="AH1401" t="n">
        <v>5</v>
      </c>
      <c r="AI1401" t="n">
        <v>5</v>
      </c>
      <c r="AJ1401" t="n">
        <v>4</v>
      </c>
      <c r="AK1401" t="n">
        <v>4</v>
      </c>
      <c r="AL1401" t="n">
        <v>14</v>
      </c>
      <c r="AM1401" t="n">
        <v>14</v>
      </c>
      <c r="AN1401" t="n">
        <v>5</v>
      </c>
      <c r="AO1401" t="n">
        <v>5</v>
      </c>
      <c r="AP1401" t="n">
        <v>0</v>
      </c>
      <c r="AQ1401" t="n">
        <v>0</v>
      </c>
      <c r="AR1401" t="inlineStr">
        <is>
          <t>No</t>
        </is>
      </c>
      <c r="AS1401" t="inlineStr">
        <is>
          <t>Yes</t>
        </is>
      </c>
      <c r="AT1401">
        <f>HYPERLINK("http://catalog.hathitrust.org/Record/000160455","HathiTrust Record")</f>
        <v/>
      </c>
      <c r="AU1401">
        <f>HYPERLINK("https://creighton-primo.hosted.exlibrisgroup.com/primo-explore/search?tab=default_tab&amp;search_scope=EVERYTHING&amp;vid=01CRU&amp;lang=en_US&amp;offset=0&amp;query=any,contains,991000218739702656","Catalog Record")</f>
        <v/>
      </c>
      <c r="AV1401">
        <f>HYPERLINK("http://www.worldcat.org/oclc/9575381","WorldCat Record")</f>
        <v/>
      </c>
      <c r="AW1401" t="inlineStr">
        <is>
          <t>43400154:eng</t>
        </is>
      </c>
      <c r="AX1401" t="inlineStr">
        <is>
          <t>9575381</t>
        </is>
      </c>
      <c r="AY1401" t="inlineStr">
        <is>
          <t>991000218739702656</t>
        </is>
      </c>
      <c r="AZ1401" t="inlineStr">
        <is>
          <t>991000218739702656</t>
        </is>
      </c>
      <c r="BA1401" t="inlineStr">
        <is>
          <t>2267028280002656</t>
        </is>
      </c>
      <c r="BB1401" t="inlineStr">
        <is>
          <t>BOOK</t>
        </is>
      </c>
      <c r="BD1401" t="inlineStr">
        <is>
          <t>9780805768541</t>
        </is>
      </c>
      <c r="BE1401" t="inlineStr">
        <is>
          <t>32285000615913</t>
        </is>
      </c>
      <c r="BF1401" t="inlineStr">
        <is>
          <t>893695691</t>
        </is>
      </c>
    </row>
    <row r="1402">
      <c r="A1402" t="inlineStr">
        <is>
          <t>No</t>
        </is>
      </c>
      <c r="B1402" t="inlineStr">
        <is>
          <t>CURAL</t>
        </is>
      </c>
      <c r="C1402" t="inlineStr">
        <is>
          <t>SHELVES</t>
        </is>
      </c>
      <c r="D1402" t="inlineStr">
        <is>
          <t>PR3776 .V4</t>
        </is>
      </c>
      <c r="E1402" t="inlineStr">
        <is>
          <t>0                      PR 3776000V  4</t>
        </is>
      </c>
      <c r="F1402" t="inlineStr">
        <is>
          <t>William Wycherley / by P. F. Vernon.</t>
        </is>
      </c>
      <c r="H1402" t="inlineStr">
        <is>
          <t>No</t>
        </is>
      </c>
      <c r="I1402" t="inlineStr">
        <is>
          <t>1</t>
        </is>
      </c>
      <c r="J1402" t="inlineStr">
        <is>
          <t>No</t>
        </is>
      </c>
      <c r="K1402" t="inlineStr">
        <is>
          <t>No</t>
        </is>
      </c>
      <c r="L1402" t="inlineStr">
        <is>
          <t>0</t>
        </is>
      </c>
      <c r="M1402" t="inlineStr">
        <is>
          <t>Vernon, P. F. (Paul Frank)</t>
        </is>
      </c>
      <c r="N1402" t="inlineStr">
        <is>
          <t>[London] : Published for the British Council and the National Book League by Longmans, Green, [1965]</t>
        </is>
      </c>
      <c r="O1402" t="inlineStr">
        <is>
          <t>1965</t>
        </is>
      </c>
      <c r="Q1402" t="inlineStr">
        <is>
          <t>eng</t>
        </is>
      </c>
      <c r="R1402" t="inlineStr">
        <is>
          <t>enk</t>
        </is>
      </c>
      <c r="S1402" t="inlineStr">
        <is>
          <t>Bibliographical series of supplements to British book news on writers and their work ; no. 179</t>
        </is>
      </c>
      <c r="T1402" t="inlineStr">
        <is>
          <t xml:space="preserve">PR </t>
        </is>
      </c>
      <c r="U1402" t="n">
        <v>1</v>
      </c>
      <c r="V1402" t="n">
        <v>1</v>
      </c>
      <c r="W1402" t="inlineStr">
        <is>
          <t>1992-11-10</t>
        </is>
      </c>
      <c r="X1402" t="inlineStr">
        <is>
          <t>1992-11-10</t>
        </is>
      </c>
      <c r="Y1402" t="inlineStr">
        <is>
          <t>1992-05-14</t>
        </is>
      </c>
      <c r="Z1402" t="inlineStr">
        <is>
          <t>1992-05-14</t>
        </is>
      </c>
      <c r="AA1402" t="n">
        <v>592</v>
      </c>
      <c r="AB1402" t="n">
        <v>457</v>
      </c>
      <c r="AC1402" t="n">
        <v>478</v>
      </c>
      <c r="AD1402" t="n">
        <v>4</v>
      </c>
      <c r="AE1402" t="n">
        <v>4</v>
      </c>
      <c r="AF1402" t="n">
        <v>24</v>
      </c>
      <c r="AG1402" t="n">
        <v>25</v>
      </c>
      <c r="AH1402" t="n">
        <v>7</v>
      </c>
      <c r="AI1402" t="n">
        <v>7</v>
      </c>
      <c r="AJ1402" t="n">
        <v>7</v>
      </c>
      <c r="AK1402" t="n">
        <v>7</v>
      </c>
      <c r="AL1402" t="n">
        <v>14</v>
      </c>
      <c r="AM1402" t="n">
        <v>15</v>
      </c>
      <c r="AN1402" t="n">
        <v>3</v>
      </c>
      <c r="AO1402" t="n">
        <v>3</v>
      </c>
      <c r="AP1402" t="n">
        <v>0</v>
      </c>
      <c r="AQ1402" t="n">
        <v>0</v>
      </c>
      <c r="AR1402" t="inlineStr">
        <is>
          <t>No</t>
        </is>
      </c>
      <c r="AS1402" t="inlineStr">
        <is>
          <t>Yes</t>
        </is>
      </c>
      <c r="AT1402">
        <f>HYPERLINK("http://catalog.hathitrust.org/Record/001398311","HathiTrust Record")</f>
        <v/>
      </c>
      <c r="AU1402">
        <f>HYPERLINK("https://creighton-primo.hosted.exlibrisgroup.com/primo-explore/search?tab=default_tab&amp;search_scope=EVERYTHING&amp;vid=01CRU&amp;lang=en_US&amp;offset=0&amp;query=any,contains,991001036949702656","Catalog Record")</f>
        <v/>
      </c>
      <c r="AV1402">
        <f>HYPERLINK("http://www.worldcat.org/oclc/175669","WorldCat Record")</f>
        <v/>
      </c>
      <c r="AW1402" t="inlineStr">
        <is>
          <t>1309107:eng</t>
        </is>
      </c>
      <c r="AX1402" t="inlineStr">
        <is>
          <t>175669</t>
        </is>
      </c>
      <c r="AY1402" t="inlineStr">
        <is>
          <t>991001036949702656</t>
        </is>
      </c>
      <c r="AZ1402" t="inlineStr">
        <is>
          <t>991001036949702656</t>
        </is>
      </c>
      <c r="BA1402" t="inlineStr">
        <is>
          <t>2265171930002656</t>
        </is>
      </c>
      <c r="BB1402" t="inlineStr">
        <is>
          <t>BOOK</t>
        </is>
      </c>
      <c r="BE1402" t="inlineStr">
        <is>
          <t>32285001109387</t>
        </is>
      </c>
      <c r="BF1402" t="inlineStr">
        <is>
          <t>893243804</t>
        </is>
      </c>
    </row>
    <row r="1403">
      <c r="A1403" t="inlineStr">
        <is>
          <t>No</t>
        </is>
      </c>
      <c r="B1403" t="inlineStr">
        <is>
          <t>CURAL</t>
        </is>
      </c>
      <c r="C1403" t="inlineStr">
        <is>
          <t>SHELVES</t>
        </is>
      </c>
      <c r="D1403" t="inlineStr">
        <is>
          <t>PR3783 .F67 1986</t>
        </is>
      </c>
      <c r="E1403" t="inlineStr">
        <is>
          <t>0                      PR 3783000F  67          1986</t>
        </is>
      </c>
      <c r="F1403" t="inlineStr">
        <is>
          <t>Edward Young : the poet of the Night thoughts, 1683-1765 / by Harold Forster.</t>
        </is>
      </c>
      <c r="H1403" t="inlineStr">
        <is>
          <t>No</t>
        </is>
      </c>
      <c r="I1403" t="inlineStr">
        <is>
          <t>1</t>
        </is>
      </c>
      <c r="J1403" t="inlineStr">
        <is>
          <t>No</t>
        </is>
      </c>
      <c r="K1403" t="inlineStr">
        <is>
          <t>No</t>
        </is>
      </c>
      <c r="L1403" t="inlineStr">
        <is>
          <t>0</t>
        </is>
      </c>
      <c r="M1403" t="inlineStr">
        <is>
          <t>Forster, Harold.</t>
        </is>
      </c>
      <c r="N1403" t="inlineStr">
        <is>
          <t>Alburgh : Erskine, 1986.</t>
        </is>
      </c>
      <c r="O1403" t="inlineStr">
        <is>
          <t>1986</t>
        </is>
      </c>
      <c r="Q1403" t="inlineStr">
        <is>
          <t>eng</t>
        </is>
      </c>
      <c r="R1403" t="inlineStr">
        <is>
          <t>enk</t>
        </is>
      </c>
      <c r="T1403" t="inlineStr">
        <is>
          <t xml:space="preserve">PR </t>
        </is>
      </c>
      <c r="U1403" t="n">
        <v>4</v>
      </c>
      <c r="V1403" t="n">
        <v>4</v>
      </c>
      <c r="W1403" t="inlineStr">
        <is>
          <t>1996-08-23</t>
        </is>
      </c>
      <c r="X1403" t="inlineStr">
        <is>
          <t>1996-08-23</t>
        </is>
      </c>
      <c r="Y1403" t="inlineStr">
        <is>
          <t>1991-06-20</t>
        </is>
      </c>
      <c r="Z1403" t="inlineStr">
        <is>
          <t>1991-06-20</t>
        </is>
      </c>
      <c r="AA1403" t="n">
        <v>193</v>
      </c>
      <c r="AB1403" t="n">
        <v>134</v>
      </c>
      <c r="AC1403" t="n">
        <v>141</v>
      </c>
      <c r="AD1403" t="n">
        <v>2</v>
      </c>
      <c r="AE1403" t="n">
        <v>2</v>
      </c>
      <c r="AF1403" t="n">
        <v>6</v>
      </c>
      <c r="AG1403" t="n">
        <v>6</v>
      </c>
      <c r="AH1403" t="n">
        <v>1</v>
      </c>
      <c r="AI1403" t="n">
        <v>1</v>
      </c>
      <c r="AJ1403" t="n">
        <v>3</v>
      </c>
      <c r="AK1403" t="n">
        <v>3</v>
      </c>
      <c r="AL1403" t="n">
        <v>3</v>
      </c>
      <c r="AM1403" t="n">
        <v>3</v>
      </c>
      <c r="AN1403" t="n">
        <v>1</v>
      </c>
      <c r="AO1403" t="n">
        <v>1</v>
      </c>
      <c r="AP1403" t="n">
        <v>0</v>
      </c>
      <c r="AQ1403" t="n">
        <v>0</v>
      </c>
      <c r="AR1403" t="inlineStr">
        <is>
          <t>No</t>
        </is>
      </c>
      <c r="AS1403" t="inlineStr">
        <is>
          <t>Yes</t>
        </is>
      </c>
      <c r="AT1403">
        <f>HYPERLINK("http://catalog.hathitrust.org/Record/000819453","HathiTrust Record")</f>
        <v/>
      </c>
      <c r="AU1403">
        <f>HYPERLINK("https://creighton-primo.hosted.exlibrisgroup.com/primo-explore/search?tab=default_tab&amp;search_scope=EVERYTHING&amp;vid=01CRU&amp;lang=en_US&amp;offset=0&amp;query=any,contains,991000935969702656","Catalog Record")</f>
        <v/>
      </c>
      <c r="AV1403">
        <f>HYPERLINK("http://www.worldcat.org/oclc/17879751","WorldCat Record")</f>
        <v/>
      </c>
      <c r="AW1403" t="inlineStr">
        <is>
          <t>16820183:eng</t>
        </is>
      </c>
      <c r="AX1403" t="inlineStr">
        <is>
          <t>17879751</t>
        </is>
      </c>
      <c r="AY1403" t="inlineStr">
        <is>
          <t>991000935969702656</t>
        </is>
      </c>
      <c r="AZ1403" t="inlineStr">
        <is>
          <t>991000935969702656</t>
        </is>
      </c>
      <c r="BA1403" t="inlineStr">
        <is>
          <t>2256193620002656</t>
        </is>
      </c>
      <c r="BB1403" t="inlineStr">
        <is>
          <t>BOOK</t>
        </is>
      </c>
      <c r="BD1403" t="inlineStr">
        <is>
          <t>9780948285080</t>
        </is>
      </c>
      <c r="BE1403" t="inlineStr">
        <is>
          <t>32285000615921</t>
        </is>
      </c>
      <c r="BF1403" t="inlineStr">
        <is>
          <t>893715030</t>
        </is>
      </c>
    </row>
    <row r="1404">
      <c r="A1404" t="inlineStr">
        <is>
          <t>No</t>
        </is>
      </c>
      <c r="B1404" t="inlineStr">
        <is>
          <t>CURAL</t>
        </is>
      </c>
      <c r="C1404" t="inlineStr">
        <is>
          <t>SHELVES</t>
        </is>
      </c>
      <c r="D1404" t="inlineStr">
        <is>
          <t>PR4023 .A63</t>
        </is>
      </c>
      <c r="E1404" t="inlineStr">
        <is>
          <t>0                      PR 4023000A  63</t>
        </is>
      </c>
      <c r="F1404" t="inlineStr">
        <is>
          <t>Matthew Arnold, John Ruskin, and the modern temper.</t>
        </is>
      </c>
      <c r="H1404" t="inlineStr">
        <is>
          <t>No</t>
        </is>
      </c>
      <c r="I1404" t="inlineStr">
        <is>
          <t>1</t>
        </is>
      </c>
      <c r="J1404" t="inlineStr">
        <is>
          <t>No</t>
        </is>
      </c>
      <c r="K1404" t="inlineStr">
        <is>
          <t>No</t>
        </is>
      </c>
      <c r="L1404" t="inlineStr">
        <is>
          <t>0</t>
        </is>
      </c>
      <c r="M1404" t="inlineStr">
        <is>
          <t>Alexander, Edward, 1936-</t>
        </is>
      </c>
      <c r="N1404" t="inlineStr">
        <is>
          <t>Columbus, Ohio State University Press [1973]</t>
        </is>
      </c>
      <c r="O1404" t="inlineStr">
        <is>
          <t>1973</t>
        </is>
      </c>
      <c r="Q1404" t="inlineStr">
        <is>
          <t>eng</t>
        </is>
      </c>
      <c r="R1404" t="inlineStr">
        <is>
          <t>ohu</t>
        </is>
      </c>
      <c r="T1404" t="inlineStr">
        <is>
          <t xml:space="preserve">PR </t>
        </is>
      </c>
      <c r="U1404" t="n">
        <v>1</v>
      </c>
      <c r="V1404" t="n">
        <v>1</v>
      </c>
      <c r="W1404" t="inlineStr">
        <is>
          <t>2004-12-23</t>
        </is>
      </c>
      <c r="X1404" t="inlineStr">
        <is>
          <t>2004-12-23</t>
        </is>
      </c>
      <c r="Y1404" t="inlineStr">
        <is>
          <t>1997-07-25</t>
        </is>
      </c>
      <c r="Z1404" t="inlineStr">
        <is>
          <t>1997-07-25</t>
        </is>
      </c>
      <c r="AA1404" t="n">
        <v>768</v>
      </c>
      <c r="AB1404" t="n">
        <v>652</v>
      </c>
      <c r="AC1404" t="n">
        <v>676</v>
      </c>
      <c r="AD1404" t="n">
        <v>7</v>
      </c>
      <c r="AE1404" t="n">
        <v>7</v>
      </c>
      <c r="AF1404" t="n">
        <v>35</v>
      </c>
      <c r="AG1404" t="n">
        <v>35</v>
      </c>
      <c r="AH1404" t="n">
        <v>11</v>
      </c>
      <c r="AI1404" t="n">
        <v>11</v>
      </c>
      <c r="AJ1404" t="n">
        <v>8</v>
      </c>
      <c r="AK1404" t="n">
        <v>8</v>
      </c>
      <c r="AL1404" t="n">
        <v>20</v>
      </c>
      <c r="AM1404" t="n">
        <v>20</v>
      </c>
      <c r="AN1404" t="n">
        <v>5</v>
      </c>
      <c r="AO1404" t="n">
        <v>5</v>
      </c>
      <c r="AP1404" t="n">
        <v>0</v>
      </c>
      <c r="AQ1404" t="n">
        <v>0</v>
      </c>
      <c r="AR1404" t="inlineStr">
        <is>
          <t>No</t>
        </is>
      </c>
      <c r="AS1404" t="inlineStr">
        <is>
          <t>Yes</t>
        </is>
      </c>
      <c r="AT1404">
        <f>HYPERLINK("http://catalog.hathitrust.org/Record/000660209","HathiTrust Record")</f>
        <v/>
      </c>
      <c r="AU1404">
        <f>HYPERLINK("https://creighton-primo.hosted.exlibrisgroup.com/primo-explore/search?tab=default_tab&amp;search_scope=EVERYTHING&amp;vid=01CRU&amp;lang=en_US&amp;offset=0&amp;query=any,contains,991003116669702656","Catalog Record")</f>
        <v/>
      </c>
      <c r="AV1404">
        <f>HYPERLINK("http://www.worldcat.org/oclc/662109","WorldCat Record")</f>
        <v/>
      </c>
      <c r="AW1404" t="inlineStr">
        <is>
          <t>475830:eng</t>
        </is>
      </c>
      <c r="AX1404" t="inlineStr">
        <is>
          <t>662109</t>
        </is>
      </c>
      <c r="AY1404" t="inlineStr">
        <is>
          <t>991003116669702656</t>
        </is>
      </c>
      <c r="AZ1404" t="inlineStr">
        <is>
          <t>991003116669702656</t>
        </is>
      </c>
      <c r="BA1404" t="inlineStr">
        <is>
          <t>2269667920002656</t>
        </is>
      </c>
      <c r="BB1404" t="inlineStr">
        <is>
          <t>BOOK</t>
        </is>
      </c>
      <c r="BD1404" t="inlineStr">
        <is>
          <t>9780814201886</t>
        </is>
      </c>
      <c r="BE1404" t="inlineStr">
        <is>
          <t>32285002962784</t>
        </is>
      </c>
      <c r="BF1404" t="inlineStr">
        <is>
          <t>893805442</t>
        </is>
      </c>
    </row>
    <row r="1405">
      <c r="A1405" t="inlineStr">
        <is>
          <t>No</t>
        </is>
      </c>
      <c r="B1405" t="inlineStr">
        <is>
          <t>CURAL</t>
        </is>
      </c>
      <c r="C1405" t="inlineStr">
        <is>
          <t>SHELVES</t>
        </is>
      </c>
      <c r="D1405" t="inlineStr">
        <is>
          <t>PR4023 .A65</t>
        </is>
      </c>
      <c r="E1405" t="inlineStr">
        <is>
          <t>0                      PR 4023000A  65</t>
        </is>
      </c>
      <c r="F1405" t="inlineStr">
        <is>
          <t>Matthew Arnold.</t>
        </is>
      </c>
      <c r="H1405" t="inlineStr">
        <is>
          <t>No</t>
        </is>
      </c>
      <c r="I1405" t="inlineStr">
        <is>
          <t>1</t>
        </is>
      </c>
      <c r="J1405" t="inlineStr">
        <is>
          <t>No</t>
        </is>
      </c>
      <c r="K1405" t="inlineStr">
        <is>
          <t>Yes</t>
        </is>
      </c>
      <c r="L1405" t="inlineStr">
        <is>
          <t>0</t>
        </is>
      </c>
      <c r="M1405" t="inlineStr">
        <is>
          <t>Allott, Kenneth.</t>
        </is>
      </c>
      <c r="N1405" t="inlineStr">
        <is>
          <t>London : Published for the British Council and the National Book League by Longmans, [1955]</t>
        </is>
      </c>
      <c r="O1405" t="inlineStr">
        <is>
          <t>1955</t>
        </is>
      </c>
      <c r="Q1405" t="inlineStr">
        <is>
          <t>eng</t>
        </is>
      </c>
      <c r="R1405" t="inlineStr">
        <is>
          <t>enk</t>
        </is>
      </c>
      <c r="S1405" t="inlineStr">
        <is>
          <t>Bibliographical series of supplements to British book news on writers and their work ; no. 60</t>
        </is>
      </c>
      <c r="T1405" t="inlineStr">
        <is>
          <t xml:space="preserve">PR </t>
        </is>
      </c>
      <c r="U1405" t="n">
        <v>1</v>
      </c>
      <c r="V1405" t="n">
        <v>1</v>
      </c>
      <c r="W1405" t="inlineStr">
        <is>
          <t>2010-02-01</t>
        </is>
      </c>
      <c r="X1405" t="inlineStr">
        <is>
          <t>2010-02-01</t>
        </is>
      </c>
      <c r="Y1405" t="inlineStr">
        <is>
          <t>1998-06-10</t>
        </is>
      </c>
      <c r="Z1405" t="inlineStr">
        <is>
          <t>1998-06-10</t>
        </is>
      </c>
      <c r="AA1405" t="n">
        <v>323</v>
      </c>
      <c r="AB1405" t="n">
        <v>251</v>
      </c>
      <c r="AC1405" t="n">
        <v>971</v>
      </c>
      <c r="AD1405" t="n">
        <v>2</v>
      </c>
      <c r="AE1405" t="n">
        <v>10</v>
      </c>
      <c r="AF1405" t="n">
        <v>18</v>
      </c>
      <c r="AG1405" t="n">
        <v>50</v>
      </c>
      <c r="AH1405" t="n">
        <v>6</v>
      </c>
      <c r="AI1405" t="n">
        <v>23</v>
      </c>
      <c r="AJ1405" t="n">
        <v>6</v>
      </c>
      <c r="AK1405" t="n">
        <v>8</v>
      </c>
      <c r="AL1405" t="n">
        <v>12</v>
      </c>
      <c r="AM1405" t="n">
        <v>22</v>
      </c>
      <c r="AN1405" t="n">
        <v>1</v>
      </c>
      <c r="AO1405" t="n">
        <v>9</v>
      </c>
      <c r="AP1405" t="n">
        <v>0</v>
      </c>
      <c r="AQ1405" t="n">
        <v>0</v>
      </c>
      <c r="AR1405" t="inlineStr">
        <is>
          <t>No</t>
        </is>
      </c>
      <c r="AS1405" t="inlineStr">
        <is>
          <t>Yes</t>
        </is>
      </c>
      <c r="AT1405">
        <f>HYPERLINK("http://catalog.hathitrust.org/Record/006677481","HathiTrust Record")</f>
        <v/>
      </c>
      <c r="AU1405">
        <f>HYPERLINK("https://creighton-primo.hosted.exlibrisgroup.com/primo-explore/search?tab=default_tab&amp;search_scope=EVERYTHING&amp;vid=01CRU&amp;lang=en_US&amp;offset=0&amp;query=any,contains,991003584949702656","Catalog Record")</f>
        <v/>
      </c>
      <c r="AV1405">
        <f>HYPERLINK("http://www.worldcat.org/oclc/1165339","WorldCat Record")</f>
        <v/>
      </c>
      <c r="AW1405" t="inlineStr">
        <is>
          <t>4663484375:eng</t>
        </is>
      </c>
      <c r="AX1405" t="inlineStr">
        <is>
          <t>1165339</t>
        </is>
      </c>
      <c r="AY1405" t="inlineStr">
        <is>
          <t>991003584949702656</t>
        </is>
      </c>
      <c r="AZ1405" t="inlineStr">
        <is>
          <t>991003584949702656</t>
        </is>
      </c>
      <c r="BA1405" t="inlineStr">
        <is>
          <t>2264805690002656</t>
        </is>
      </c>
      <c r="BB1405" t="inlineStr">
        <is>
          <t>BOOK</t>
        </is>
      </c>
      <c r="BE1405" t="inlineStr">
        <is>
          <t>32285003419032</t>
        </is>
      </c>
      <c r="BF1405" t="inlineStr">
        <is>
          <t>893604943</t>
        </is>
      </c>
    </row>
    <row r="1406">
      <c r="A1406" t="inlineStr">
        <is>
          <t>No</t>
        </is>
      </c>
      <c r="B1406" t="inlineStr">
        <is>
          <t>CURAL</t>
        </is>
      </c>
      <c r="C1406" t="inlineStr">
        <is>
          <t>SHELVES</t>
        </is>
      </c>
      <c r="D1406" t="inlineStr">
        <is>
          <t>PR4023 .A65 1976</t>
        </is>
      </c>
      <c r="E1406" t="inlineStr">
        <is>
          <t>0                      PR 4023000A  65          1976</t>
        </is>
      </c>
      <c r="F1406" t="inlineStr">
        <is>
          <t>Matthew Arnold / edited by Kenneth Allott.</t>
        </is>
      </c>
      <c r="H1406" t="inlineStr">
        <is>
          <t>No</t>
        </is>
      </c>
      <c r="I1406" t="inlineStr">
        <is>
          <t>1</t>
        </is>
      </c>
      <c r="J1406" t="inlineStr">
        <is>
          <t>No</t>
        </is>
      </c>
      <c r="K1406" t="inlineStr">
        <is>
          <t>Yes</t>
        </is>
      </c>
      <c r="L1406" t="inlineStr">
        <is>
          <t>0</t>
        </is>
      </c>
      <c r="M1406" t="inlineStr">
        <is>
          <t>Allott, Kenneth.</t>
        </is>
      </c>
      <c r="N1406" t="inlineStr">
        <is>
          <t>Athens : Ohio University Press, 1976, c1975.</t>
        </is>
      </c>
      <c r="O1406" t="inlineStr">
        <is>
          <t>1976</t>
        </is>
      </c>
      <c r="Q1406" t="inlineStr">
        <is>
          <t>eng</t>
        </is>
      </c>
      <c r="R1406" t="inlineStr">
        <is>
          <t>ohu</t>
        </is>
      </c>
      <c r="S1406" t="inlineStr">
        <is>
          <t>Bibliographical series of supplements to British book news on writers and their work ; no. 60</t>
        </is>
      </c>
      <c r="T1406" t="inlineStr">
        <is>
          <t xml:space="preserve">PR </t>
        </is>
      </c>
      <c r="U1406" t="n">
        <v>2</v>
      </c>
      <c r="V1406" t="n">
        <v>2</v>
      </c>
      <c r="W1406" t="inlineStr">
        <is>
          <t>2010-02-01</t>
        </is>
      </c>
      <c r="X1406" t="inlineStr">
        <is>
          <t>2010-02-01</t>
        </is>
      </c>
      <c r="Y1406" t="inlineStr">
        <is>
          <t>1990-05-22</t>
        </is>
      </c>
      <c r="Z1406" t="inlineStr">
        <is>
          <t>1990-05-22</t>
        </is>
      </c>
      <c r="AA1406" t="n">
        <v>680</v>
      </c>
      <c r="AB1406" t="n">
        <v>641</v>
      </c>
      <c r="AC1406" t="n">
        <v>971</v>
      </c>
      <c r="AD1406" t="n">
        <v>6</v>
      </c>
      <c r="AE1406" t="n">
        <v>10</v>
      </c>
      <c r="AF1406" t="n">
        <v>34</v>
      </c>
      <c r="AG1406" t="n">
        <v>50</v>
      </c>
      <c r="AH1406" t="n">
        <v>19</v>
      </c>
      <c r="AI1406" t="n">
        <v>23</v>
      </c>
      <c r="AJ1406" t="n">
        <v>4</v>
      </c>
      <c r="AK1406" t="n">
        <v>8</v>
      </c>
      <c r="AL1406" t="n">
        <v>13</v>
      </c>
      <c r="AM1406" t="n">
        <v>22</v>
      </c>
      <c r="AN1406" t="n">
        <v>5</v>
      </c>
      <c r="AO1406" t="n">
        <v>9</v>
      </c>
      <c r="AP1406" t="n">
        <v>0</v>
      </c>
      <c r="AQ1406" t="n">
        <v>0</v>
      </c>
      <c r="AR1406" t="inlineStr">
        <is>
          <t>No</t>
        </is>
      </c>
      <c r="AS1406" t="inlineStr">
        <is>
          <t>No</t>
        </is>
      </c>
      <c r="AU1406">
        <f>HYPERLINK("https://creighton-primo.hosted.exlibrisgroup.com/primo-explore/search?tab=default_tab&amp;search_scope=EVERYTHING&amp;vid=01CRU&amp;lang=en_US&amp;offset=0&amp;query=any,contains,991004346979702656","Catalog Record")</f>
        <v/>
      </c>
      <c r="AV1406">
        <f>HYPERLINK("http://www.worldcat.org/oclc/3103781","WorldCat Record")</f>
        <v/>
      </c>
      <c r="AW1406" t="inlineStr">
        <is>
          <t>4663484375:eng</t>
        </is>
      </c>
      <c r="AX1406" t="inlineStr">
        <is>
          <t>3103781</t>
        </is>
      </c>
      <c r="AY1406" t="inlineStr">
        <is>
          <t>991004346979702656</t>
        </is>
      </c>
      <c r="AZ1406" t="inlineStr">
        <is>
          <t>991004346979702656</t>
        </is>
      </c>
      <c r="BA1406" t="inlineStr">
        <is>
          <t>2272646680002656</t>
        </is>
      </c>
      <c r="BB1406" t="inlineStr">
        <is>
          <t>BOOK</t>
        </is>
      </c>
      <c r="BD1406" t="inlineStr">
        <is>
          <t>9780821401972</t>
        </is>
      </c>
      <c r="BE1406" t="inlineStr">
        <is>
          <t>32285000157478</t>
        </is>
      </c>
      <c r="BF1406" t="inlineStr">
        <is>
          <t>893882364</t>
        </is>
      </c>
    </row>
    <row r="1407">
      <c r="A1407" t="inlineStr">
        <is>
          <t>No</t>
        </is>
      </c>
      <c r="B1407" t="inlineStr">
        <is>
          <t>CURAL</t>
        </is>
      </c>
      <c r="C1407" t="inlineStr">
        <is>
          <t>SHELVES</t>
        </is>
      </c>
      <c r="D1407" t="inlineStr">
        <is>
          <t>PR4023 .C5</t>
        </is>
      </c>
      <c r="E1407" t="inlineStr">
        <is>
          <t>0                      PR 4023000C  5</t>
        </is>
      </c>
      <c r="F1407" t="inlineStr">
        <is>
          <t>Matthew Arnold, a study.</t>
        </is>
      </c>
      <c r="H1407" t="inlineStr">
        <is>
          <t>No</t>
        </is>
      </c>
      <c r="I1407" t="inlineStr">
        <is>
          <t>1</t>
        </is>
      </c>
      <c r="J1407" t="inlineStr">
        <is>
          <t>No</t>
        </is>
      </c>
      <c r="K1407" t="inlineStr">
        <is>
          <t>No</t>
        </is>
      </c>
      <c r="L1407" t="inlineStr">
        <is>
          <t>0</t>
        </is>
      </c>
      <c r="M1407" t="inlineStr">
        <is>
          <t>Chambers, E. K. (Edmund Kerchever), 1866-1954.</t>
        </is>
      </c>
      <c r="N1407" t="inlineStr">
        <is>
          <t>New York, Russell &amp; Russell, 1964.</t>
        </is>
      </c>
      <c r="O1407" t="inlineStr">
        <is>
          <t>1964</t>
        </is>
      </c>
      <c r="Q1407" t="inlineStr">
        <is>
          <t>eng</t>
        </is>
      </c>
      <c r="R1407" t="inlineStr">
        <is>
          <t>nyu</t>
        </is>
      </c>
      <c r="T1407" t="inlineStr">
        <is>
          <t xml:space="preserve">PR </t>
        </is>
      </c>
      <c r="U1407" t="n">
        <v>1</v>
      </c>
      <c r="V1407" t="n">
        <v>1</v>
      </c>
      <c r="W1407" t="inlineStr">
        <is>
          <t>2010-02-01</t>
        </is>
      </c>
      <c r="X1407" t="inlineStr">
        <is>
          <t>2010-02-01</t>
        </is>
      </c>
      <c r="Y1407" t="inlineStr">
        <is>
          <t>1997-07-25</t>
        </is>
      </c>
      <c r="Z1407" t="inlineStr">
        <is>
          <t>1997-07-25</t>
        </is>
      </c>
      <c r="AA1407" t="n">
        <v>535</v>
      </c>
      <c r="AB1407" t="n">
        <v>485</v>
      </c>
      <c r="AC1407" t="n">
        <v>639</v>
      </c>
      <c r="AD1407" t="n">
        <v>7</v>
      </c>
      <c r="AE1407" t="n">
        <v>7</v>
      </c>
      <c r="AF1407" t="n">
        <v>32</v>
      </c>
      <c r="AG1407" t="n">
        <v>39</v>
      </c>
      <c r="AH1407" t="n">
        <v>14</v>
      </c>
      <c r="AI1407" t="n">
        <v>16</v>
      </c>
      <c r="AJ1407" t="n">
        <v>4</v>
      </c>
      <c r="AK1407" t="n">
        <v>6</v>
      </c>
      <c r="AL1407" t="n">
        <v>11</v>
      </c>
      <c r="AM1407" t="n">
        <v>18</v>
      </c>
      <c r="AN1407" t="n">
        <v>6</v>
      </c>
      <c r="AO1407" t="n">
        <v>6</v>
      </c>
      <c r="AP1407" t="n">
        <v>0</v>
      </c>
      <c r="AQ1407" t="n">
        <v>0</v>
      </c>
      <c r="AR1407" t="inlineStr">
        <is>
          <t>No</t>
        </is>
      </c>
      <c r="AS1407" t="inlineStr">
        <is>
          <t>Yes</t>
        </is>
      </c>
      <c r="AT1407">
        <f>HYPERLINK("http://catalog.hathitrust.org/Record/000661527","HathiTrust Record")</f>
        <v/>
      </c>
      <c r="AU1407">
        <f>HYPERLINK("https://creighton-primo.hosted.exlibrisgroup.com/primo-explore/search?tab=default_tab&amp;search_scope=EVERYTHING&amp;vid=01CRU&amp;lang=en_US&amp;offset=0&amp;query=any,contains,991003031579702656","Catalog Record")</f>
        <v/>
      </c>
      <c r="AV1407">
        <f>HYPERLINK("http://www.worldcat.org/oclc/594693","WorldCat Record")</f>
        <v/>
      </c>
      <c r="AW1407" t="inlineStr">
        <is>
          <t>4916915603:eng</t>
        </is>
      </c>
      <c r="AX1407" t="inlineStr">
        <is>
          <t>594693</t>
        </is>
      </c>
      <c r="AY1407" t="inlineStr">
        <is>
          <t>991003031579702656</t>
        </is>
      </c>
      <c r="AZ1407" t="inlineStr">
        <is>
          <t>991003031579702656</t>
        </is>
      </c>
      <c r="BA1407" t="inlineStr">
        <is>
          <t>2269960060002656</t>
        </is>
      </c>
      <c r="BB1407" t="inlineStr">
        <is>
          <t>BOOK</t>
        </is>
      </c>
      <c r="BE1407" t="inlineStr">
        <is>
          <t>32285002962826</t>
        </is>
      </c>
      <c r="BF1407" t="inlineStr">
        <is>
          <t>893623074</t>
        </is>
      </c>
    </row>
    <row r="1408">
      <c r="A1408" t="inlineStr">
        <is>
          <t>No</t>
        </is>
      </c>
      <c r="B1408" t="inlineStr">
        <is>
          <t>CURAL</t>
        </is>
      </c>
      <c r="C1408" t="inlineStr">
        <is>
          <t>SHELVES</t>
        </is>
      </c>
      <c r="D1408" t="inlineStr">
        <is>
          <t>PR4023 .H34 1969</t>
        </is>
      </c>
      <c r="E1408" t="inlineStr">
        <is>
          <t>0                      PR 4023000H  34          1969</t>
        </is>
      </c>
      <c r="F1408" t="inlineStr">
        <is>
          <t>Matthew Arnold, a critic of the Victorian period / by Charles H. Harvey.</t>
        </is>
      </c>
      <c r="H1408" t="inlineStr">
        <is>
          <t>No</t>
        </is>
      </c>
      <c r="I1408" t="inlineStr">
        <is>
          <t>1</t>
        </is>
      </c>
      <c r="J1408" t="inlineStr">
        <is>
          <t>No</t>
        </is>
      </c>
      <c r="K1408" t="inlineStr">
        <is>
          <t>No</t>
        </is>
      </c>
      <c r="L1408" t="inlineStr">
        <is>
          <t>0</t>
        </is>
      </c>
      <c r="M1408" t="inlineStr">
        <is>
          <t>Harvey, Charles H.</t>
        </is>
      </c>
      <c r="N1408" t="inlineStr">
        <is>
          <t>[Hamden, Conn.] : Archon Books, 1969.</t>
        </is>
      </c>
      <c r="O1408" t="inlineStr">
        <is>
          <t>1969</t>
        </is>
      </c>
      <c r="Q1408" t="inlineStr">
        <is>
          <t>eng</t>
        </is>
      </c>
      <c r="R1408" t="inlineStr">
        <is>
          <t>ctu</t>
        </is>
      </c>
      <c r="T1408" t="inlineStr">
        <is>
          <t xml:space="preserve">PR </t>
        </is>
      </c>
      <c r="U1408" t="n">
        <v>4</v>
      </c>
      <c r="V1408" t="n">
        <v>4</v>
      </c>
      <c r="W1408" t="inlineStr">
        <is>
          <t>2010-02-01</t>
        </is>
      </c>
      <c r="X1408" t="inlineStr">
        <is>
          <t>2010-02-01</t>
        </is>
      </c>
      <c r="Y1408" t="inlineStr">
        <is>
          <t>1991-06-20</t>
        </is>
      </c>
      <c r="Z1408" t="inlineStr">
        <is>
          <t>1991-06-20</t>
        </is>
      </c>
      <c r="AA1408" t="n">
        <v>486</v>
      </c>
      <c r="AB1408" t="n">
        <v>428</v>
      </c>
      <c r="AC1408" t="n">
        <v>555</v>
      </c>
      <c r="AD1408" t="n">
        <v>4</v>
      </c>
      <c r="AE1408" t="n">
        <v>5</v>
      </c>
      <c r="AF1408" t="n">
        <v>28</v>
      </c>
      <c r="AG1408" t="n">
        <v>39</v>
      </c>
      <c r="AH1408" t="n">
        <v>15</v>
      </c>
      <c r="AI1408" t="n">
        <v>19</v>
      </c>
      <c r="AJ1408" t="n">
        <v>4</v>
      </c>
      <c r="AK1408" t="n">
        <v>7</v>
      </c>
      <c r="AL1408" t="n">
        <v>14</v>
      </c>
      <c r="AM1408" t="n">
        <v>19</v>
      </c>
      <c r="AN1408" t="n">
        <v>3</v>
      </c>
      <c r="AO1408" t="n">
        <v>4</v>
      </c>
      <c r="AP1408" t="n">
        <v>0</v>
      </c>
      <c r="AQ1408" t="n">
        <v>0</v>
      </c>
      <c r="AR1408" t="inlineStr">
        <is>
          <t>No</t>
        </is>
      </c>
      <c r="AS1408" t="inlineStr">
        <is>
          <t>Yes</t>
        </is>
      </c>
      <c r="AT1408">
        <f>HYPERLINK("http://catalog.hathitrust.org/Record/009441748","HathiTrust Record")</f>
        <v/>
      </c>
      <c r="AU1408">
        <f>HYPERLINK("https://creighton-primo.hosted.exlibrisgroup.com/primo-explore/search?tab=default_tab&amp;search_scope=EVERYTHING&amp;vid=01CRU&amp;lang=en_US&amp;offset=0&amp;query=any,contains,991005438419702656","Catalog Record")</f>
        <v/>
      </c>
      <c r="AV1408">
        <f>HYPERLINK("http://www.worldcat.org/oclc/6041","WorldCat Record")</f>
        <v/>
      </c>
      <c r="AW1408" t="inlineStr">
        <is>
          <t>1780431:eng</t>
        </is>
      </c>
      <c r="AX1408" t="inlineStr">
        <is>
          <t>6041</t>
        </is>
      </c>
      <c r="AY1408" t="inlineStr">
        <is>
          <t>991005438419702656</t>
        </is>
      </c>
      <c r="AZ1408" t="inlineStr">
        <is>
          <t>991005438419702656</t>
        </is>
      </c>
      <c r="BA1408" t="inlineStr">
        <is>
          <t>2265147000002656</t>
        </is>
      </c>
      <c r="BB1408" t="inlineStr">
        <is>
          <t>BOOK</t>
        </is>
      </c>
      <c r="BD1408" t="inlineStr">
        <is>
          <t>9780208007322</t>
        </is>
      </c>
      <c r="BE1408" t="inlineStr">
        <is>
          <t>32285000616002</t>
        </is>
      </c>
      <c r="BF1408" t="inlineStr">
        <is>
          <t>893707929</t>
        </is>
      </c>
    </row>
    <row r="1409">
      <c r="A1409" t="inlineStr">
        <is>
          <t>No</t>
        </is>
      </c>
      <c r="B1409" t="inlineStr">
        <is>
          <t>CURAL</t>
        </is>
      </c>
      <c r="C1409" t="inlineStr">
        <is>
          <t>SHELVES</t>
        </is>
      </c>
      <c r="D1409" t="inlineStr">
        <is>
          <t>PR4023 .H6</t>
        </is>
      </c>
      <c r="E1409" t="inlineStr">
        <is>
          <t>0                      PR 4023000H  6</t>
        </is>
      </c>
      <c r="F1409" t="inlineStr">
        <is>
          <t>Matthew Arnold, a life / Park Hanon.</t>
        </is>
      </c>
      <c r="H1409" t="inlineStr">
        <is>
          <t>No</t>
        </is>
      </c>
      <c r="I1409" t="inlineStr">
        <is>
          <t>1</t>
        </is>
      </c>
      <c r="J1409" t="inlineStr">
        <is>
          <t>No</t>
        </is>
      </c>
      <c r="K1409" t="inlineStr">
        <is>
          <t>No</t>
        </is>
      </c>
      <c r="L1409" t="inlineStr">
        <is>
          <t>0</t>
        </is>
      </c>
      <c r="M1409" t="inlineStr">
        <is>
          <t>Honan, Park.</t>
        </is>
      </c>
      <c r="N1409" t="inlineStr">
        <is>
          <t>New York : McGraw-Hill, c1981.</t>
        </is>
      </c>
      <c r="O1409" t="inlineStr">
        <is>
          <t>1981</t>
        </is>
      </c>
      <c r="Q1409" t="inlineStr">
        <is>
          <t>eng</t>
        </is>
      </c>
      <c r="R1409" t="inlineStr">
        <is>
          <t>nyu</t>
        </is>
      </c>
      <c r="T1409" t="inlineStr">
        <is>
          <t xml:space="preserve">PR </t>
        </is>
      </c>
      <c r="U1409" t="n">
        <v>3</v>
      </c>
      <c r="V1409" t="n">
        <v>3</v>
      </c>
      <c r="W1409" t="inlineStr">
        <is>
          <t>2004-04-01</t>
        </is>
      </c>
      <c r="X1409" t="inlineStr">
        <is>
          <t>2004-04-01</t>
        </is>
      </c>
      <c r="Y1409" t="inlineStr">
        <is>
          <t>1990-02-01</t>
        </is>
      </c>
      <c r="Z1409" t="inlineStr">
        <is>
          <t>1990-02-01</t>
        </is>
      </c>
      <c r="AA1409" t="n">
        <v>1038</v>
      </c>
      <c r="AB1409" t="n">
        <v>956</v>
      </c>
      <c r="AC1409" t="n">
        <v>1109</v>
      </c>
      <c r="AD1409" t="n">
        <v>6</v>
      </c>
      <c r="AE1409" t="n">
        <v>9</v>
      </c>
      <c r="AF1409" t="n">
        <v>40</v>
      </c>
      <c r="AG1409" t="n">
        <v>48</v>
      </c>
      <c r="AH1409" t="n">
        <v>19</v>
      </c>
      <c r="AI1409" t="n">
        <v>21</v>
      </c>
      <c r="AJ1409" t="n">
        <v>6</v>
      </c>
      <c r="AK1409" t="n">
        <v>9</v>
      </c>
      <c r="AL1409" t="n">
        <v>20</v>
      </c>
      <c r="AM1409" t="n">
        <v>24</v>
      </c>
      <c r="AN1409" t="n">
        <v>5</v>
      </c>
      <c r="AO1409" t="n">
        <v>8</v>
      </c>
      <c r="AP1409" t="n">
        <v>0</v>
      </c>
      <c r="AQ1409" t="n">
        <v>0</v>
      </c>
      <c r="AR1409" t="inlineStr">
        <is>
          <t>No</t>
        </is>
      </c>
      <c r="AS1409" t="inlineStr">
        <is>
          <t>No</t>
        </is>
      </c>
      <c r="AU1409">
        <f>HYPERLINK("https://creighton-primo.hosted.exlibrisgroup.com/primo-explore/search?tab=default_tab&amp;search_scope=EVERYTHING&amp;vid=01CRU&amp;lang=en_US&amp;offset=0&amp;query=any,contains,991005060259702656","Catalog Record")</f>
        <v/>
      </c>
      <c r="AV1409">
        <f>HYPERLINK("http://www.worldcat.org/oclc/6916794","WorldCat Record")</f>
        <v/>
      </c>
      <c r="AW1409" t="inlineStr">
        <is>
          <t>24747675:eng</t>
        </is>
      </c>
      <c r="AX1409" t="inlineStr">
        <is>
          <t>6916794</t>
        </is>
      </c>
      <c r="AY1409" t="inlineStr">
        <is>
          <t>991005060259702656</t>
        </is>
      </c>
      <c r="AZ1409" t="inlineStr">
        <is>
          <t>991005060259702656</t>
        </is>
      </c>
      <c r="BA1409" t="inlineStr">
        <is>
          <t>2266382590002656</t>
        </is>
      </c>
      <c r="BB1409" t="inlineStr">
        <is>
          <t>BOOK</t>
        </is>
      </c>
      <c r="BD1409" t="inlineStr">
        <is>
          <t>9780070296978</t>
        </is>
      </c>
      <c r="BE1409" t="inlineStr">
        <is>
          <t>32285000031863</t>
        </is>
      </c>
      <c r="BF1409" t="inlineStr">
        <is>
          <t>893776760</t>
        </is>
      </c>
    </row>
    <row r="1410">
      <c r="A1410" t="inlineStr">
        <is>
          <t>No</t>
        </is>
      </c>
      <c r="B1410" t="inlineStr">
        <is>
          <t>CURAL</t>
        </is>
      </c>
      <c r="C1410" t="inlineStr">
        <is>
          <t>SHELVES</t>
        </is>
      </c>
      <c r="D1410" t="inlineStr">
        <is>
          <t>PR4023 .L8</t>
        </is>
      </c>
      <c r="E1410" t="inlineStr">
        <is>
          <t>0                      PR 4023000L  8</t>
        </is>
      </c>
      <c r="F1410" t="inlineStr">
        <is>
          <t>Matthew Arnold / by Hugh Kingsmill.</t>
        </is>
      </c>
      <c r="H1410" t="inlineStr">
        <is>
          <t>No</t>
        </is>
      </c>
      <c r="I1410" t="inlineStr">
        <is>
          <t>1</t>
        </is>
      </c>
      <c r="J1410" t="inlineStr">
        <is>
          <t>No</t>
        </is>
      </c>
      <c r="K1410" t="inlineStr">
        <is>
          <t>No</t>
        </is>
      </c>
      <c r="L1410" t="inlineStr">
        <is>
          <t>0</t>
        </is>
      </c>
      <c r="M1410" t="inlineStr">
        <is>
          <t>Kingsmill, Hugh, 1889-1949.</t>
        </is>
      </c>
      <c r="N1410" t="inlineStr">
        <is>
          <t>New York : L. MacVeagh, Dial Press ; Toronto : Longmans, Green, 1928.</t>
        </is>
      </c>
      <c r="O1410" t="inlineStr">
        <is>
          <t>1928</t>
        </is>
      </c>
      <c r="Q1410" t="inlineStr">
        <is>
          <t>eng</t>
        </is>
      </c>
      <c r="R1410" t="inlineStr">
        <is>
          <t>nyu</t>
        </is>
      </c>
      <c r="T1410" t="inlineStr">
        <is>
          <t xml:space="preserve">PR </t>
        </is>
      </c>
      <c r="U1410" t="n">
        <v>1</v>
      </c>
      <c r="V1410" t="n">
        <v>1</v>
      </c>
      <c r="W1410" t="inlineStr">
        <is>
          <t>2001-03-25</t>
        </is>
      </c>
      <c r="X1410" t="inlineStr">
        <is>
          <t>2001-03-25</t>
        </is>
      </c>
      <c r="Y1410" t="inlineStr">
        <is>
          <t>1998-06-10</t>
        </is>
      </c>
      <c r="Z1410" t="inlineStr">
        <is>
          <t>1998-06-10</t>
        </is>
      </c>
      <c r="AA1410" t="n">
        <v>334</v>
      </c>
      <c r="AB1410" t="n">
        <v>315</v>
      </c>
      <c r="AC1410" t="n">
        <v>377</v>
      </c>
      <c r="AD1410" t="n">
        <v>4</v>
      </c>
      <c r="AE1410" t="n">
        <v>4</v>
      </c>
      <c r="AF1410" t="n">
        <v>24</v>
      </c>
      <c r="AG1410" t="n">
        <v>27</v>
      </c>
      <c r="AH1410" t="n">
        <v>7</v>
      </c>
      <c r="AI1410" t="n">
        <v>9</v>
      </c>
      <c r="AJ1410" t="n">
        <v>8</v>
      </c>
      <c r="AK1410" t="n">
        <v>9</v>
      </c>
      <c r="AL1410" t="n">
        <v>14</v>
      </c>
      <c r="AM1410" t="n">
        <v>15</v>
      </c>
      <c r="AN1410" t="n">
        <v>3</v>
      </c>
      <c r="AO1410" t="n">
        <v>3</v>
      </c>
      <c r="AP1410" t="n">
        <v>0</v>
      </c>
      <c r="AQ1410" t="n">
        <v>0</v>
      </c>
      <c r="AR1410" t="inlineStr">
        <is>
          <t>No</t>
        </is>
      </c>
      <c r="AS1410" t="inlineStr">
        <is>
          <t>Yes</t>
        </is>
      </c>
      <c r="AT1410">
        <f>HYPERLINK("http://catalog.hathitrust.org/Record/000386246","HathiTrust Record")</f>
        <v/>
      </c>
      <c r="AU1410">
        <f>HYPERLINK("https://creighton-primo.hosted.exlibrisgroup.com/primo-explore/search?tab=default_tab&amp;search_scope=EVERYTHING&amp;vid=01CRU&amp;lang=en_US&amp;offset=0&amp;query=any,contains,991003868099702656","Catalog Record")</f>
        <v/>
      </c>
      <c r="AV1410">
        <f>HYPERLINK("http://www.worldcat.org/oclc/1684158","WorldCat Record")</f>
        <v/>
      </c>
      <c r="AW1410" t="inlineStr">
        <is>
          <t>1780462:eng</t>
        </is>
      </c>
      <c r="AX1410" t="inlineStr">
        <is>
          <t>1684158</t>
        </is>
      </c>
      <c r="AY1410" t="inlineStr">
        <is>
          <t>991003868099702656</t>
        </is>
      </c>
      <c r="AZ1410" t="inlineStr">
        <is>
          <t>991003868099702656</t>
        </is>
      </c>
      <c r="BA1410" t="inlineStr">
        <is>
          <t>2270988010002656</t>
        </is>
      </c>
      <c r="BB1410" t="inlineStr">
        <is>
          <t>BOOK</t>
        </is>
      </c>
      <c r="BE1410" t="inlineStr">
        <is>
          <t>32285003419057</t>
        </is>
      </c>
      <c r="BF1410" t="inlineStr">
        <is>
          <t>893343129</t>
        </is>
      </c>
    </row>
    <row r="1411">
      <c r="A1411" t="inlineStr">
        <is>
          <t>No</t>
        </is>
      </c>
      <c r="B1411" t="inlineStr">
        <is>
          <t>CURAL</t>
        </is>
      </c>
      <c r="C1411" t="inlineStr">
        <is>
          <t>SHELVES</t>
        </is>
      </c>
      <c r="D1411" t="inlineStr">
        <is>
          <t>PR4023 .R8</t>
        </is>
      </c>
      <c r="E1411" t="inlineStr">
        <is>
          <t>0                      PR 4023000R  8</t>
        </is>
      </c>
      <c r="F1411" t="inlineStr">
        <is>
          <t>Matthew Arnold.</t>
        </is>
      </c>
      <c r="H1411" t="inlineStr">
        <is>
          <t>No</t>
        </is>
      </c>
      <c r="I1411" t="inlineStr">
        <is>
          <t>1</t>
        </is>
      </c>
      <c r="J1411" t="inlineStr">
        <is>
          <t>No</t>
        </is>
      </c>
      <c r="K1411" t="inlineStr">
        <is>
          <t>No</t>
        </is>
      </c>
      <c r="L1411" t="inlineStr">
        <is>
          <t>0</t>
        </is>
      </c>
      <c r="M1411" t="inlineStr">
        <is>
          <t>Russell, George William Erskine, 1853-1919.</t>
        </is>
      </c>
      <c r="N1411" t="inlineStr">
        <is>
          <t>New York, C. Scribner's sons, 1904.</t>
        </is>
      </c>
      <c r="O1411" t="inlineStr">
        <is>
          <t>1904</t>
        </is>
      </c>
      <c r="Q1411" t="inlineStr">
        <is>
          <t>eng</t>
        </is>
      </c>
      <c r="R1411" t="inlineStr">
        <is>
          <t xml:space="preserve">xx </t>
        </is>
      </c>
      <c r="S1411" t="inlineStr">
        <is>
          <t>Literary lives</t>
        </is>
      </c>
      <c r="T1411" t="inlineStr">
        <is>
          <t xml:space="preserve">PR </t>
        </is>
      </c>
      <c r="U1411" t="n">
        <v>1</v>
      </c>
      <c r="V1411" t="n">
        <v>1</v>
      </c>
      <c r="W1411" t="inlineStr">
        <is>
          <t>2001-03-25</t>
        </is>
      </c>
      <c r="X1411" t="inlineStr">
        <is>
          <t>2001-03-25</t>
        </is>
      </c>
      <c r="Y1411" t="inlineStr">
        <is>
          <t>1997-07-25</t>
        </is>
      </c>
      <c r="Z1411" t="inlineStr">
        <is>
          <t>1997-07-25</t>
        </is>
      </c>
      <c r="AA1411" t="n">
        <v>261</v>
      </c>
      <c r="AB1411" t="n">
        <v>241</v>
      </c>
      <c r="AC1411" t="n">
        <v>440</v>
      </c>
      <c r="AD1411" t="n">
        <v>4</v>
      </c>
      <c r="AE1411" t="n">
        <v>5</v>
      </c>
      <c r="AF1411" t="n">
        <v>12</v>
      </c>
      <c r="AG1411" t="n">
        <v>23</v>
      </c>
      <c r="AH1411" t="n">
        <v>2</v>
      </c>
      <c r="AI1411" t="n">
        <v>5</v>
      </c>
      <c r="AJ1411" t="n">
        <v>3</v>
      </c>
      <c r="AK1411" t="n">
        <v>8</v>
      </c>
      <c r="AL1411" t="n">
        <v>9</v>
      </c>
      <c r="AM1411" t="n">
        <v>15</v>
      </c>
      <c r="AN1411" t="n">
        <v>2</v>
      </c>
      <c r="AO1411" t="n">
        <v>3</v>
      </c>
      <c r="AP1411" t="n">
        <v>0</v>
      </c>
      <c r="AQ1411" t="n">
        <v>0</v>
      </c>
      <c r="AR1411" t="inlineStr">
        <is>
          <t>Yes</t>
        </is>
      </c>
      <c r="AS1411" t="inlineStr">
        <is>
          <t>No</t>
        </is>
      </c>
      <c r="AT1411">
        <f>HYPERLINK("http://catalog.hathitrust.org/Record/000471360","HathiTrust Record")</f>
        <v/>
      </c>
      <c r="AU1411">
        <f>HYPERLINK("https://creighton-primo.hosted.exlibrisgroup.com/primo-explore/search?tab=default_tab&amp;search_scope=EVERYTHING&amp;vid=01CRU&amp;lang=en_US&amp;offset=0&amp;query=any,contains,991002479209702656","Catalog Record")</f>
        <v/>
      </c>
      <c r="AV1411">
        <f>HYPERLINK("http://www.worldcat.org/oclc/359369","WorldCat Record")</f>
        <v/>
      </c>
      <c r="AW1411" t="inlineStr">
        <is>
          <t>3943284556:eng</t>
        </is>
      </c>
      <c r="AX1411" t="inlineStr">
        <is>
          <t>359369</t>
        </is>
      </c>
      <c r="AY1411" t="inlineStr">
        <is>
          <t>991002479209702656</t>
        </is>
      </c>
      <c r="AZ1411" t="inlineStr">
        <is>
          <t>991002479209702656</t>
        </is>
      </c>
      <c r="BA1411" t="inlineStr">
        <is>
          <t>2272710090002656</t>
        </is>
      </c>
      <c r="BB1411" t="inlineStr">
        <is>
          <t>BOOK</t>
        </is>
      </c>
      <c r="BE1411" t="inlineStr">
        <is>
          <t>32285002962883</t>
        </is>
      </c>
      <c r="BF1411" t="inlineStr">
        <is>
          <t>893873576</t>
        </is>
      </c>
    </row>
    <row r="1412">
      <c r="A1412" t="inlineStr">
        <is>
          <t>No</t>
        </is>
      </c>
      <c r="B1412" t="inlineStr">
        <is>
          <t>CURAL</t>
        </is>
      </c>
      <c r="C1412" t="inlineStr">
        <is>
          <t>SHELVES</t>
        </is>
      </c>
      <c r="D1412" t="inlineStr">
        <is>
          <t>PR4023 .T7 1949</t>
        </is>
      </c>
      <c r="E1412" t="inlineStr">
        <is>
          <t>0                      PR 4023000T  7           1949</t>
        </is>
      </c>
      <c r="F1412" t="inlineStr">
        <is>
          <t>Matthew Arnold.</t>
        </is>
      </c>
      <c r="H1412" t="inlineStr">
        <is>
          <t>No</t>
        </is>
      </c>
      <c r="I1412" t="inlineStr">
        <is>
          <t>1</t>
        </is>
      </c>
      <c r="J1412" t="inlineStr">
        <is>
          <t>No</t>
        </is>
      </c>
      <c r="K1412" t="inlineStr">
        <is>
          <t>No</t>
        </is>
      </c>
      <c r="L1412" t="inlineStr">
        <is>
          <t>0</t>
        </is>
      </c>
      <c r="M1412" t="inlineStr">
        <is>
          <t>Trilling, Lionel, 1905-1975.</t>
        </is>
      </c>
      <c r="N1412" t="inlineStr">
        <is>
          <t>New York : Columbia University Press, 1949.</t>
        </is>
      </c>
      <c r="O1412" t="inlineStr">
        <is>
          <t>1949</t>
        </is>
      </c>
      <c r="P1412" t="inlineStr">
        <is>
          <t>[2nd. ed.]</t>
        </is>
      </c>
      <c r="Q1412" t="inlineStr">
        <is>
          <t>eng</t>
        </is>
      </c>
      <c r="R1412" t="inlineStr">
        <is>
          <t>nyu</t>
        </is>
      </c>
      <c r="T1412" t="inlineStr">
        <is>
          <t xml:space="preserve">PR </t>
        </is>
      </c>
      <c r="U1412" t="n">
        <v>4</v>
      </c>
      <c r="V1412" t="n">
        <v>4</v>
      </c>
      <c r="W1412" t="inlineStr">
        <is>
          <t>1999-11-17</t>
        </is>
      </c>
      <c r="X1412" t="inlineStr">
        <is>
          <t>1999-11-17</t>
        </is>
      </c>
      <c r="Y1412" t="inlineStr">
        <is>
          <t>1990-05-09</t>
        </is>
      </c>
      <c r="Z1412" t="inlineStr">
        <is>
          <t>1990-05-09</t>
        </is>
      </c>
      <c r="AA1412" t="n">
        <v>911</v>
      </c>
      <c r="AB1412" t="n">
        <v>857</v>
      </c>
      <c r="AC1412" t="n">
        <v>1293</v>
      </c>
      <c r="AD1412" t="n">
        <v>8</v>
      </c>
      <c r="AE1412" t="n">
        <v>14</v>
      </c>
      <c r="AF1412" t="n">
        <v>36</v>
      </c>
      <c r="AG1412" t="n">
        <v>59</v>
      </c>
      <c r="AH1412" t="n">
        <v>15</v>
      </c>
      <c r="AI1412" t="n">
        <v>25</v>
      </c>
      <c r="AJ1412" t="n">
        <v>6</v>
      </c>
      <c r="AK1412" t="n">
        <v>11</v>
      </c>
      <c r="AL1412" t="n">
        <v>16</v>
      </c>
      <c r="AM1412" t="n">
        <v>25</v>
      </c>
      <c r="AN1412" t="n">
        <v>7</v>
      </c>
      <c r="AO1412" t="n">
        <v>11</v>
      </c>
      <c r="AP1412" t="n">
        <v>0</v>
      </c>
      <c r="AQ1412" t="n">
        <v>0</v>
      </c>
      <c r="AR1412" t="inlineStr">
        <is>
          <t>No</t>
        </is>
      </c>
      <c r="AS1412" t="inlineStr">
        <is>
          <t>Yes</t>
        </is>
      </c>
      <c r="AT1412">
        <f>HYPERLINK("http://catalog.hathitrust.org/Record/000660304","HathiTrust Record")</f>
        <v/>
      </c>
      <c r="AU1412">
        <f>HYPERLINK("https://creighton-primo.hosted.exlibrisgroup.com/primo-explore/search?tab=default_tab&amp;search_scope=EVERYTHING&amp;vid=01CRU&amp;lang=en_US&amp;offset=0&amp;query=any,contains,991003666059702656","Catalog Record")</f>
        <v/>
      </c>
      <c r="AV1412">
        <f>HYPERLINK("http://www.worldcat.org/oclc/1279731","WorldCat Record")</f>
        <v/>
      </c>
      <c r="AW1412" t="inlineStr">
        <is>
          <t>1462175:eng</t>
        </is>
      </c>
      <c r="AX1412" t="inlineStr">
        <is>
          <t>1279731</t>
        </is>
      </c>
      <c r="AY1412" t="inlineStr">
        <is>
          <t>991003666059702656</t>
        </is>
      </c>
      <c r="AZ1412" t="inlineStr">
        <is>
          <t>991003666059702656</t>
        </is>
      </c>
      <c r="BA1412" t="inlineStr">
        <is>
          <t>2261120440002656</t>
        </is>
      </c>
      <c r="BB1412" t="inlineStr">
        <is>
          <t>BOOK</t>
        </is>
      </c>
      <c r="BE1412" t="inlineStr">
        <is>
          <t>32285000136795</t>
        </is>
      </c>
      <c r="BF1412" t="inlineStr">
        <is>
          <t>893252605</t>
        </is>
      </c>
    </row>
    <row r="1413">
      <c r="A1413" t="inlineStr">
        <is>
          <t>No</t>
        </is>
      </c>
      <c r="B1413" t="inlineStr">
        <is>
          <t>CURAL</t>
        </is>
      </c>
      <c r="C1413" t="inlineStr">
        <is>
          <t>SHELVES</t>
        </is>
      </c>
      <c r="D1413" t="inlineStr">
        <is>
          <t>PR4024 .B3</t>
        </is>
      </c>
      <c r="E1413" t="inlineStr">
        <is>
          <t>0                      PR 4024000B  3</t>
        </is>
      </c>
      <c r="F1413" t="inlineStr">
        <is>
          <t>Ten studies in the poetry of Matthew Arnold.</t>
        </is>
      </c>
      <c r="H1413" t="inlineStr">
        <is>
          <t>No</t>
        </is>
      </c>
      <c r="I1413" t="inlineStr">
        <is>
          <t>1</t>
        </is>
      </c>
      <c r="J1413" t="inlineStr">
        <is>
          <t>No</t>
        </is>
      </c>
      <c r="K1413" t="inlineStr">
        <is>
          <t>No</t>
        </is>
      </c>
      <c r="L1413" t="inlineStr">
        <is>
          <t>0</t>
        </is>
      </c>
      <c r="M1413" t="inlineStr">
        <is>
          <t>Baum, Paull F. (Paull Franklin), 1886-1964.</t>
        </is>
      </c>
      <c r="N1413" t="inlineStr">
        <is>
          <t>Durham, N.C. : Duke University Press, 1958.</t>
        </is>
      </c>
      <c r="O1413" t="inlineStr">
        <is>
          <t>1958</t>
        </is>
      </c>
      <c r="Q1413" t="inlineStr">
        <is>
          <t>eng</t>
        </is>
      </c>
      <c r="R1413" t="inlineStr">
        <is>
          <t>ncu</t>
        </is>
      </c>
      <c r="T1413" t="inlineStr">
        <is>
          <t xml:space="preserve">PR </t>
        </is>
      </c>
      <c r="U1413" t="n">
        <v>8</v>
      </c>
      <c r="V1413" t="n">
        <v>8</v>
      </c>
      <c r="W1413" t="inlineStr">
        <is>
          <t>1999-10-26</t>
        </is>
      </c>
      <c r="X1413" t="inlineStr">
        <is>
          <t>1999-10-26</t>
        </is>
      </c>
      <c r="Y1413" t="inlineStr">
        <is>
          <t>1991-05-20</t>
        </is>
      </c>
      <c r="Z1413" t="inlineStr">
        <is>
          <t>1991-05-20</t>
        </is>
      </c>
      <c r="AA1413" t="n">
        <v>765</v>
      </c>
      <c r="AB1413" t="n">
        <v>656</v>
      </c>
      <c r="AC1413" t="n">
        <v>671</v>
      </c>
      <c r="AD1413" t="n">
        <v>7</v>
      </c>
      <c r="AE1413" t="n">
        <v>7</v>
      </c>
      <c r="AF1413" t="n">
        <v>42</v>
      </c>
      <c r="AG1413" t="n">
        <v>42</v>
      </c>
      <c r="AH1413" t="n">
        <v>18</v>
      </c>
      <c r="AI1413" t="n">
        <v>18</v>
      </c>
      <c r="AJ1413" t="n">
        <v>8</v>
      </c>
      <c r="AK1413" t="n">
        <v>8</v>
      </c>
      <c r="AL1413" t="n">
        <v>23</v>
      </c>
      <c r="AM1413" t="n">
        <v>23</v>
      </c>
      <c r="AN1413" t="n">
        <v>6</v>
      </c>
      <c r="AO1413" t="n">
        <v>6</v>
      </c>
      <c r="AP1413" t="n">
        <v>0</v>
      </c>
      <c r="AQ1413" t="n">
        <v>0</v>
      </c>
      <c r="AR1413" t="inlineStr">
        <is>
          <t>Yes</t>
        </is>
      </c>
      <c r="AS1413" t="inlineStr">
        <is>
          <t>No</t>
        </is>
      </c>
      <c r="AT1413">
        <f>HYPERLINK("http://catalog.hathitrust.org/Record/000660201","HathiTrust Record")</f>
        <v/>
      </c>
      <c r="AU1413">
        <f>HYPERLINK("https://creighton-primo.hosted.exlibrisgroup.com/primo-explore/search?tab=default_tab&amp;search_scope=EVERYTHING&amp;vid=01CRU&amp;lang=en_US&amp;offset=0&amp;query=any,contains,991002477509702656","Catalog Record")</f>
        <v/>
      </c>
      <c r="AV1413">
        <f>HYPERLINK("http://www.worldcat.org/oclc/359018","WorldCat Record")</f>
        <v/>
      </c>
      <c r="AW1413" t="inlineStr">
        <is>
          <t>194496253:eng</t>
        </is>
      </c>
      <c r="AX1413" t="inlineStr">
        <is>
          <t>359018</t>
        </is>
      </c>
      <c r="AY1413" t="inlineStr">
        <is>
          <t>991002477509702656</t>
        </is>
      </c>
      <c r="AZ1413" t="inlineStr">
        <is>
          <t>991002477509702656</t>
        </is>
      </c>
      <c r="BA1413" t="inlineStr">
        <is>
          <t>2272595230002656</t>
        </is>
      </c>
      <c r="BB1413" t="inlineStr">
        <is>
          <t>BOOK</t>
        </is>
      </c>
      <c r="BE1413" t="inlineStr">
        <is>
          <t>32285000597277</t>
        </is>
      </c>
      <c r="BF1413" t="inlineStr">
        <is>
          <t>893504432</t>
        </is>
      </c>
    </row>
    <row r="1414">
      <c r="A1414" t="inlineStr">
        <is>
          <t>No</t>
        </is>
      </c>
      <c r="B1414" t="inlineStr">
        <is>
          <t>CURAL</t>
        </is>
      </c>
      <c r="C1414" t="inlineStr">
        <is>
          <t>SHELVES</t>
        </is>
      </c>
      <c r="D1414" t="inlineStr">
        <is>
          <t>PR4024 .B5 1969</t>
        </is>
      </c>
      <c r="E1414" t="inlineStr">
        <is>
          <t>0                      PR 4024000B  5           1969</t>
        </is>
      </c>
      <c r="F1414" t="inlineStr">
        <is>
          <t>Matthew Arnold &amp; his poetry.</t>
        </is>
      </c>
      <c r="H1414" t="inlineStr">
        <is>
          <t>No</t>
        </is>
      </c>
      <c r="I1414" t="inlineStr">
        <is>
          <t>1</t>
        </is>
      </c>
      <c r="J1414" t="inlineStr">
        <is>
          <t>No</t>
        </is>
      </c>
      <c r="K1414" t="inlineStr">
        <is>
          <t>No</t>
        </is>
      </c>
      <c r="L1414" t="inlineStr">
        <is>
          <t>0</t>
        </is>
      </c>
      <c r="M1414" t="inlineStr">
        <is>
          <t>Bickley, Francis, 1885-1976.</t>
        </is>
      </c>
      <c r="N1414" t="inlineStr">
        <is>
          <t>[Folcroft, Pa.] : Folcroft Press, [1969, i.e.1911]</t>
        </is>
      </c>
      <c r="O1414" t="inlineStr">
        <is>
          <t>1969</t>
        </is>
      </c>
      <c r="Q1414" t="inlineStr">
        <is>
          <t>eng</t>
        </is>
      </c>
      <c r="R1414" t="inlineStr">
        <is>
          <t>pau</t>
        </is>
      </c>
      <c r="T1414" t="inlineStr">
        <is>
          <t xml:space="preserve">PR </t>
        </is>
      </c>
      <c r="U1414" t="n">
        <v>5</v>
      </c>
      <c r="V1414" t="n">
        <v>5</v>
      </c>
      <c r="W1414" t="inlineStr">
        <is>
          <t>1999-11-17</t>
        </is>
      </c>
      <c r="X1414" t="inlineStr">
        <is>
          <t>1999-11-17</t>
        </is>
      </c>
      <c r="Y1414" t="inlineStr">
        <is>
          <t>1993-10-18</t>
        </is>
      </c>
      <c r="Z1414" t="inlineStr">
        <is>
          <t>1993-10-18</t>
        </is>
      </c>
      <c r="AA1414" t="n">
        <v>42</v>
      </c>
      <c r="AB1414" t="n">
        <v>40</v>
      </c>
      <c r="AC1414" t="n">
        <v>220</v>
      </c>
      <c r="AD1414" t="n">
        <v>2</v>
      </c>
      <c r="AE1414" t="n">
        <v>3</v>
      </c>
      <c r="AF1414" t="n">
        <v>3</v>
      </c>
      <c r="AG1414" t="n">
        <v>9</v>
      </c>
      <c r="AH1414" t="n">
        <v>1</v>
      </c>
      <c r="AI1414" t="n">
        <v>4</v>
      </c>
      <c r="AJ1414" t="n">
        <v>0</v>
      </c>
      <c r="AK1414" t="n">
        <v>1</v>
      </c>
      <c r="AL1414" t="n">
        <v>2</v>
      </c>
      <c r="AM1414" t="n">
        <v>5</v>
      </c>
      <c r="AN1414" t="n">
        <v>1</v>
      </c>
      <c r="AO1414" t="n">
        <v>2</v>
      </c>
      <c r="AP1414" t="n">
        <v>0</v>
      </c>
      <c r="AQ1414" t="n">
        <v>0</v>
      </c>
      <c r="AR1414" t="inlineStr">
        <is>
          <t>No</t>
        </is>
      </c>
      <c r="AS1414" t="inlineStr">
        <is>
          <t>Yes</t>
        </is>
      </c>
      <c r="AT1414">
        <f>HYPERLINK("http://catalog.hathitrust.org/Record/011679483","HathiTrust Record")</f>
        <v/>
      </c>
      <c r="AU1414">
        <f>HYPERLINK("https://creighton-primo.hosted.exlibrisgroup.com/primo-explore/search?tab=default_tab&amp;search_scope=EVERYTHING&amp;vid=01CRU&amp;lang=en_US&amp;offset=0&amp;query=any,contains,991004183469702656","Catalog Record")</f>
        <v/>
      </c>
      <c r="AV1414">
        <f>HYPERLINK("http://www.worldcat.org/oclc/2611762","WorldCat Record")</f>
        <v/>
      </c>
      <c r="AW1414" t="inlineStr">
        <is>
          <t>1389361:eng</t>
        </is>
      </c>
      <c r="AX1414" t="inlineStr">
        <is>
          <t>2611762</t>
        </is>
      </c>
      <c r="AY1414" t="inlineStr">
        <is>
          <t>991004183469702656</t>
        </is>
      </c>
      <c r="AZ1414" t="inlineStr">
        <is>
          <t>991004183469702656</t>
        </is>
      </c>
      <c r="BA1414" t="inlineStr">
        <is>
          <t>2272652260002656</t>
        </is>
      </c>
      <c r="BB1414" t="inlineStr">
        <is>
          <t>BOOK</t>
        </is>
      </c>
      <c r="BE1414" t="inlineStr">
        <is>
          <t>32285001793693</t>
        </is>
      </c>
      <c r="BF1414" t="inlineStr">
        <is>
          <t>893605732</t>
        </is>
      </c>
    </row>
    <row r="1415">
      <c r="A1415" t="inlineStr">
        <is>
          <t>No</t>
        </is>
      </c>
      <c r="B1415" t="inlineStr">
        <is>
          <t>CURAL</t>
        </is>
      </c>
      <c r="C1415" t="inlineStr">
        <is>
          <t>SHELVES</t>
        </is>
      </c>
      <c r="D1415" t="inlineStr">
        <is>
          <t>PR4024 .B78</t>
        </is>
      </c>
      <c r="E1415" t="inlineStr">
        <is>
          <t>0                      PR 4024000B  78</t>
        </is>
      </c>
      <c r="F1415" t="inlineStr">
        <is>
          <t>On the poetry of Matthew Arnold : essays in critical reconstruction / William E. Buckler.</t>
        </is>
      </c>
      <c r="H1415" t="inlineStr">
        <is>
          <t>No</t>
        </is>
      </c>
      <c r="I1415" t="inlineStr">
        <is>
          <t>1</t>
        </is>
      </c>
      <c r="J1415" t="inlineStr">
        <is>
          <t>No</t>
        </is>
      </c>
      <c r="K1415" t="inlineStr">
        <is>
          <t>No</t>
        </is>
      </c>
      <c r="L1415" t="inlineStr">
        <is>
          <t>0</t>
        </is>
      </c>
      <c r="M1415" t="inlineStr">
        <is>
          <t>Buckler, William E. (William Earl), 1924-1990.</t>
        </is>
      </c>
      <c r="N1415" t="inlineStr">
        <is>
          <t>New York : New York University Press, c1982.</t>
        </is>
      </c>
      <c r="O1415" t="inlineStr">
        <is>
          <t>1982</t>
        </is>
      </c>
      <c r="Q1415" t="inlineStr">
        <is>
          <t>eng</t>
        </is>
      </c>
      <c r="R1415" t="inlineStr">
        <is>
          <t>nyu</t>
        </is>
      </c>
      <c r="S1415" t="inlineStr">
        <is>
          <t>The Gotham Library of the New York University Press</t>
        </is>
      </c>
      <c r="T1415" t="inlineStr">
        <is>
          <t xml:space="preserve">PR </t>
        </is>
      </c>
      <c r="U1415" t="n">
        <v>6</v>
      </c>
      <c r="V1415" t="n">
        <v>6</v>
      </c>
      <c r="W1415" t="inlineStr">
        <is>
          <t>1999-11-18</t>
        </is>
      </c>
      <c r="X1415" t="inlineStr">
        <is>
          <t>1999-11-18</t>
        </is>
      </c>
      <c r="Y1415" t="inlineStr">
        <is>
          <t>1991-06-20</t>
        </is>
      </c>
      <c r="Z1415" t="inlineStr">
        <is>
          <t>1991-06-20</t>
        </is>
      </c>
      <c r="AA1415" t="n">
        <v>548</v>
      </c>
      <c r="AB1415" t="n">
        <v>432</v>
      </c>
      <c r="AC1415" t="n">
        <v>437</v>
      </c>
      <c r="AD1415" t="n">
        <v>4</v>
      </c>
      <c r="AE1415" t="n">
        <v>4</v>
      </c>
      <c r="AF1415" t="n">
        <v>29</v>
      </c>
      <c r="AG1415" t="n">
        <v>29</v>
      </c>
      <c r="AH1415" t="n">
        <v>14</v>
      </c>
      <c r="AI1415" t="n">
        <v>14</v>
      </c>
      <c r="AJ1415" t="n">
        <v>6</v>
      </c>
      <c r="AK1415" t="n">
        <v>6</v>
      </c>
      <c r="AL1415" t="n">
        <v>15</v>
      </c>
      <c r="AM1415" t="n">
        <v>15</v>
      </c>
      <c r="AN1415" t="n">
        <v>3</v>
      </c>
      <c r="AO1415" t="n">
        <v>3</v>
      </c>
      <c r="AP1415" t="n">
        <v>0</v>
      </c>
      <c r="AQ1415" t="n">
        <v>0</v>
      </c>
      <c r="AR1415" t="inlineStr">
        <is>
          <t>No</t>
        </is>
      </c>
      <c r="AS1415" t="inlineStr">
        <is>
          <t>No</t>
        </is>
      </c>
      <c r="AU1415">
        <f>HYPERLINK("https://creighton-primo.hosted.exlibrisgroup.com/primo-explore/search?tab=default_tab&amp;search_scope=EVERYTHING&amp;vid=01CRU&amp;lang=en_US&amp;offset=0&amp;query=any,contains,991005219589702656","Catalog Record")</f>
        <v/>
      </c>
      <c r="AV1415">
        <f>HYPERLINK("http://www.worldcat.org/oclc/8219588","WorldCat Record")</f>
        <v/>
      </c>
      <c r="AW1415" t="inlineStr">
        <is>
          <t>905778193:eng</t>
        </is>
      </c>
      <c r="AX1415" t="inlineStr">
        <is>
          <t>8219588</t>
        </is>
      </c>
      <c r="AY1415" t="inlineStr">
        <is>
          <t>991005219589702656</t>
        </is>
      </c>
      <c r="AZ1415" t="inlineStr">
        <is>
          <t>991005219589702656</t>
        </is>
      </c>
      <c r="BA1415" t="inlineStr">
        <is>
          <t>2255584940002656</t>
        </is>
      </c>
      <c r="BB1415" t="inlineStr">
        <is>
          <t>BOOK</t>
        </is>
      </c>
      <c r="BD1415" t="inlineStr">
        <is>
          <t>9780814710395</t>
        </is>
      </c>
      <c r="BE1415" t="inlineStr">
        <is>
          <t>32285000616036</t>
        </is>
      </c>
      <c r="BF1415" t="inlineStr">
        <is>
          <t>893707463</t>
        </is>
      </c>
    </row>
    <row r="1416">
      <c r="A1416" t="inlineStr">
        <is>
          <t>No</t>
        </is>
      </c>
      <c r="B1416" t="inlineStr">
        <is>
          <t>CURAL</t>
        </is>
      </c>
      <c r="C1416" t="inlineStr">
        <is>
          <t>SHELVES</t>
        </is>
      </c>
      <c r="D1416" t="inlineStr">
        <is>
          <t>PR4024 .B8</t>
        </is>
      </c>
      <c r="E1416" t="inlineStr">
        <is>
          <t>0                      PR 4024000B  8</t>
        </is>
      </c>
      <c r="F1416" t="inlineStr">
        <is>
          <t>Poetry and morality : studies on the criticism of Matthew Arnold, T.S. Eliot, and F.R. Leavis / with an introd. by Basil Willey.</t>
        </is>
      </c>
      <c r="H1416" t="inlineStr">
        <is>
          <t>No</t>
        </is>
      </c>
      <c r="I1416" t="inlineStr">
        <is>
          <t>1</t>
        </is>
      </c>
      <c r="J1416" t="inlineStr">
        <is>
          <t>No</t>
        </is>
      </c>
      <c r="K1416" t="inlineStr">
        <is>
          <t>No</t>
        </is>
      </c>
      <c r="L1416" t="inlineStr">
        <is>
          <t>0</t>
        </is>
      </c>
      <c r="M1416" t="inlineStr">
        <is>
          <t>Buckley, Vincent.</t>
        </is>
      </c>
      <c r="N1416" t="inlineStr">
        <is>
          <t>London : Chatto &amp; Windus, 1959.</t>
        </is>
      </c>
      <c r="O1416" t="inlineStr">
        <is>
          <t>1959</t>
        </is>
      </c>
      <c r="Q1416" t="inlineStr">
        <is>
          <t>eng</t>
        </is>
      </c>
      <c r="R1416" t="inlineStr">
        <is>
          <t>enk</t>
        </is>
      </c>
      <c r="T1416" t="inlineStr">
        <is>
          <t xml:space="preserve">PR </t>
        </is>
      </c>
      <c r="U1416" t="n">
        <v>4</v>
      </c>
      <c r="V1416" t="n">
        <v>4</v>
      </c>
      <c r="W1416" t="inlineStr">
        <is>
          <t>1996-10-25</t>
        </is>
      </c>
      <c r="X1416" t="inlineStr">
        <is>
          <t>1996-10-25</t>
        </is>
      </c>
      <c r="Y1416" t="inlineStr">
        <is>
          <t>1990-03-28</t>
        </is>
      </c>
      <c r="Z1416" t="inlineStr">
        <is>
          <t>1990-03-28</t>
        </is>
      </c>
      <c r="AA1416" t="n">
        <v>759</v>
      </c>
      <c r="AB1416" t="n">
        <v>595</v>
      </c>
      <c r="AC1416" t="n">
        <v>721</v>
      </c>
      <c r="AD1416" t="n">
        <v>7</v>
      </c>
      <c r="AE1416" t="n">
        <v>7</v>
      </c>
      <c r="AF1416" t="n">
        <v>29</v>
      </c>
      <c r="AG1416" t="n">
        <v>33</v>
      </c>
      <c r="AH1416" t="n">
        <v>7</v>
      </c>
      <c r="AI1416" t="n">
        <v>9</v>
      </c>
      <c r="AJ1416" t="n">
        <v>4</v>
      </c>
      <c r="AK1416" t="n">
        <v>6</v>
      </c>
      <c r="AL1416" t="n">
        <v>16</v>
      </c>
      <c r="AM1416" t="n">
        <v>17</v>
      </c>
      <c r="AN1416" t="n">
        <v>6</v>
      </c>
      <c r="AO1416" t="n">
        <v>6</v>
      </c>
      <c r="AP1416" t="n">
        <v>0</v>
      </c>
      <c r="AQ1416" t="n">
        <v>0</v>
      </c>
      <c r="AR1416" t="inlineStr">
        <is>
          <t>No</t>
        </is>
      </c>
      <c r="AS1416" t="inlineStr">
        <is>
          <t>Yes</t>
        </is>
      </c>
      <c r="AT1416">
        <f>HYPERLINK("http://catalog.hathitrust.org/Record/001397752","HathiTrust Record")</f>
        <v/>
      </c>
      <c r="AU1416">
        <f>HYPERLINK("https://creighton-primo.hosted.exlibrisgroup.com/primo-explore/search?tab=default_tab&amp;search_scope=EVERYTHING&amp;vid=01CRU&amp;lang=en_US&amp;offset=0&amp;query=any,contains,991003214049702656","Catalog Record")</f>
        <v/>
      </c>
      <c r="AV1416">
        <f>HYPERLINK("http://www.worldcat.org/oclc/740661","WorldCat Record")</f>
        <v/>
      </c>
      <c r="AW1416" t="inlineStr">
        <is>
          <t>1801265:eng</t>
        </is>
      </c>
      <c r="AX1416" t="inlineStr">
        <is>
          <t>740661</t>
        </is>
      </c>
      <c r="AY1416" t="inlineStr">
        <is>
          <t>991003214049702656</t>
        </is>
      </c>
      <c r="AZ1416" t="inlineStr">
        <is>
          <t>991003214049702656</t>
        </is>
      </c>
      <c r="BA1416" t="inlineStr">
        <is>
          <t>2272402990002656</t>
        </is>
      </c>
      <c r="BB1416" t="inlineStr">
        <is>
          <t>BOOK</t>
        </is>
      </c>
      <c r="BE1416" t="inlineStr">
        <is>
          <t>32285000094127</t>
        </is>
      </c>
      <c r="BF1416" t="inlineStr">
        <is>
          <t>893258173</t>
        </is>
      </c>
    </row>
    <row r="1417">
      <c r="A1417" t="inlineStr">
        <is>
          <t>No</t>
        </is>
      </c>
      <c r="B1417" t="inlineStr">
        <is>
          <t>CURAL</t>
        </is>
      </c>
      <c r="C1417" t="inlineStr">
        <is>
          <t>SHELVES</t>
        </is>
      </c>
      <c r="D1417" t="inlineStr">
        <is>
          <t>PR4024 .C64 1988</t>
        </is>
      </c>
      <c r="E1417" t="inlineStr">
        <is>
          <t>0                      PR 4024000C  64          1988</t>
        </is>
      </c>
      <c r="F1417" t="inlineStr">
        <is>
          <t>Arnold / Stefan Collini.</t>
        </is>
      </c>
      <c r="H1417" t="inlineStr">
        <is>
          <t>No</t>
        </is>
      </c>
      <c r="I1417" t="inlineStr">
        <is>
          <t>1</t>
        </is>
      </c>
      <c r="J1417" t="inlineStr">
        <is>
          <t>No</t>
        </is>
      </c>
      <c r="K1417" t="inlineStr">
        <is>
          <t>No</t>
        </is>
      </c>
      <c r="L1417" t="inlineStr">
        <is>
          <t>0</t>
        </is>
      </c>
      <c r="M1417" t="inlineStr">
        <is>
          <t>Collini, Stefan, 1947-</t>
        </is>
      </c>
      <c r="N1417" t="inlineStr">
        <is>
          <t>Oxford [England] ; New York : Oxford University Press, 1988.</t>
        </is>
      </c>
      <c r="O1417" t="inlineStr">
        <is>
          <t>1988</t>
        </is>
      </c>
      <c r="Q1417" t="inlineStr">
        <is>
          <t>eng</t>
        </is>
      </c>
      <c r="R1417" t="inlineStr">
        <is>
          <t>enk</t>
        </is>
      </c>
      <c r="S1417" t="inlineStr">
        <is>
          <t>Past masters</t>
        </is>
      </c>
      <c r="T1417" t="inlineStr">
        <is>
          <t xml:space="preserve">PR </t>
        </is>
      </c>
      <c r="U1417" t="n">
        <v>6</v>
      </c>
      <c r="V1417" t="n">
        <v>6</v>
      </c>
      <c r="W1417" t="inlineStr">
        <is>
          <t>1998-10-14</t>
        </is>
      </c>
      <c r="X1417" t="inlineStr">
        <is>
          <t>1998-10-14</t>
        </is>
      </c>
      <c r="Y1417" t="inlineStr">
        <is>
          <t>1991-06-20</t>
        </is>
      </c>
      <c r="Z1417" t="inlineStr">
        <is>
          <t>1991-06-20</t>
        </is>
      </c>
      <c r="AA1417" t="n">
        <v>530</v>
      </c>
      <c r="AB1417" t="n">
        <v>390</v>
      </c>
      <c r="AC1417" t="n">
        <v>407</v>
      </c>
      <c r="AD1417" t="n">
        <v>3</v>
      </c>
      <c r="AE1417" t="n">
        <v>3</v>
      </c>
      <c r="AF1417" t="n">
        <v>20</v>
      </c>
      <c r="AG1417" t="n">
        <v>21</v>
      </c>
      <c r="AH1417" t="n">
        <v>6</v>
      </c>
      <c r="AI1417" t="n">
        <v>6</v>
      </c>
      <c r="AJ1417" t="n">
        <v>4</v>
      </c>
      <c r="AK1417" t="n">
        <v>5</v>
      </c>
      <c r="AL1417" t="n">
        <v>9</v>
      </c>
      <c r="AM1417" t="n">
        <v>10</v>
      </c>
      <c r="AN1417" t="n">
        <v>2</v>
      </c>
      <c r="AO1417" t="n">
        <v>2</v>
      </c>
      <c r="AP1417" t="n">
        <v>0</v>
      </c>
      <c r="AQ1417" t="n">
        <v>0</v>
      </c>
      <c r="AR1417" t="inlineStr">
        <is>
          <t>No</t>
        </is>
      </c>
      <c r="AS1417" t="inlineStr">
        <is>
          <t>Yes</t>
        </is>
      </c>
      <c r="AT1417">
        <f>HYPERLINK("http://catalog.hathitrust.org/Record/001087200","HathiTrust Record")</f>
        <v/>
      </c>
      <c r="AU1417">
        <f>HYPERLINK("https://creighton-primo.hosted.exlibrisgroup.com/primo-explore/search?tab=default_tab&amp;search_scope=EVERYTHING&amp;vid=01CRU&amp;lang=en_US&amp;offset=0&amp;query=any,contains,991001275449702656","Catalog Record")</f>
        <v/>
      </c>
      <c r="AV1417">
        <f>HYPERLINK("http://www.worldcat.org/oclc/17873551","WorldCat Record")</f>
        <v/>
      </c>
      <c r="AW1417" t="inlineStr">
        <is>
          <t>16674914:eng</t>
        </is>
      </c>
      <c r="AX1417" t="inlineStr">
        <is>
          <t>17873551</t>
        </is>
      </c>
      <c r="AY1417" t="inlineStr">
        <is>
          <t>991001275449702656</t>
        </is>
      </c>
      <c r="AZ1417" t="inlineStr">
        <is>
          <t>991001275449702656</t>
        </is>
      </c>
      <c r="BA1417" t="inlineStr">
        <is>
          <t>2269532420002656</t>
        </is>
      </c>
      <c r="BB1417" t="inlineStr">
        <is>
          <t>BOOK</t>
        </is>
      </c>
      <c r="BD1417" t="inlineStr">
        <is>
          <t>9780192876607</t>
        </is>
      </c>
      <c r="BE1417" t="inlineStr">
        <is>
          <t>32285000616051</t>
        </is>
      </c>
      <c r="BF1417" t="inlineStr">
        <is>
          <t>893772470</t>
        </is>
      </c>
    </row>
    <row r="1418">
      <c r="A1418" t="inlineStr">
        <is>
          <t>No</t>
        </is>
      </c>
      <c r="B1418" t="inlineStr">
        <is>
          <t>CURAL</t>
        </is>
      </c>
      <c r="C1418" t="inlineStr">
        <is>
          <t>SHELVES</t>
        </is>
      </c>
      <c r="D1418" t="inlineStr">
        <is>
          <t>PR4024 .C8</t>
        </is>
      </c>
      <c r="E1418" t="inlineStr">
        <is>
          <t>0                      PR 4024000C  8</t>
        </is>
      </c>
      <c r="F1418" t="inlineStr">
        <is>
          <t>Imaginative reason : the poetry of Matthew Arnold / [by] A. Dwight Culler.</t>
        </is>
      </c>
      <c r="H1418" t="inlineStr">
        <is>
          <t>No</t>
        </is>
      </c>
      <c r="I1418" t="inlineStr">
        <is>
          <t>1</t>
        </is>
      </c>
      <c r="J1418" t="inlineStr">
        <is>
          <t>No</t>
        </is>
      </c>
      <c r="K1418" t="inlineStr">
        <is>
          <t>No</t>
        </is>
      </c>
      <c r="L1418" t="inlineStr">
        <is>
          <t>0</t>
        </is>
      </c>
      <c r="M1418" t="inlineStr">
        <is>
          <t>Culler, A. Dwight (Arthur Dwight), 1917-2006.</t>
        </is>
      </c>
      <c r="N1418" t="inlineStr">
        <is>
          <t>New Haven : Yale University Press, 1966.</t>
        </is>
      </c>
      <c r="O1418" t="inlineStr">
        <is>
          <t>1966</t>
        </is>
      </c>
      <c r="Q1418" t="inlineStr">
        <is>
          <t>eng</t>
        </is>
      </c>
      <c r="R1418" t="inlineStr">
        <is>
          <t>ctu</t>
        </is>
      </c>
      <c r="T1418" t="inlineStr">
        <is>
          <t xml:space="preserve">PR </t>
        </is>
      </c>
      <c r="U1418" t="n">
        <v>3</v>
      </c>
      <c r="V1418" t="n">
        <v>3</v>
      </c>
      <c r="W1418" t="inlineStr">
        <is>
          <t>1999-11-18</t>
        </is>
      </c>
      <c r="X1418" t="inlineStr">
        <is>
          <t>1999-11-18</t>
        </is>
      </c>
      <c r="Y1418" t="inlineStr">
        <is>
          <t>1991-05-20</t>
        </is>
      </c>
      <c r="Z1418" t="inlineStr">
        <is>
          <t>1991-05-20</t>
        </is>
      </c>
      <c r="AA1418" t="n">
        <v>1101</v>
      </c>
      <c r="AB1418" t="n">
        <v>948</v>
      </c>
      <c r="AC1418" t="n">
        <v>1025</v>
      </c>
      <c r="AD1418" t="n">
        <v>10</v>
      </c>
      <c r="AE1418" t="n">
        <v>11</v>
      </c>
      <c r="AF1418" t="n">
        <v>51</v>
      </c>
      <c r="AG1418" t="n">
        <v>53</v>
      </c>
      <c r="AH1418" t="n">
        <v>21</v>
      </c>
      <c r="AI1418" t="n">
        <v>22</v>
      </c>
      <c r="AJ1418" t="n">
        <v>9</v>
      </c>
      <c r="AK1418" t="n">
        <v>9</v>
      </c>
      <c r="AL1418" t="n">
        <v>23</v>
      </c>
      <c r="AM1418" t="n">
        <v>23</v>
      </c>
      <c r="AN1418" t="n">
        <v>9</v>
      </c>
      <c r="AO1418" t="n">
        <v>10</v>
      </c>
      <c r="AP1418" t="n">
        <v>0</v>
      </c>
      <c r="AQ1418" t="n">
        <v>0</v>
      </c>
      <c r="AR1418" t="inlineStr">
        <is>
          <t>No</t>
        </is>
      </c>
      <c r="AS1418" t="inlineStr">
        <is>
          <t>No</t>
        </is>
      </c>
      <c r="AU1418">
        <f>HYPERLINK("https://creighton-primo.hosted.exlibrisgroup.com/primo-explore/search?tab=default_tab&amp;search_scope=EVERYTHING&amp;vid=01CRU&amp;lang=en_US&amp;offset=0&amp;query=any,contains,991002230259702656","Catalog Record")</f>
        <v/>
      </c>
      <c r="AV1418">
        <f>HYPERLINK("http://www.worldcat.org/oclc/293733","WorldCat Record")</f>
        <v/>
      </c>
      <c r="AW1418" t="inlineStr">
        <is>
          <t>501795:eng</t>
        </is>
      </c>
      <c r="AX1418" t="inlineStr">
        <is>
          <t>293733</t>
        </is>
      </c>
      <c r="AY1418" t="inlineStr">
        <is>
          <t>991002230259702656</t>
        </is>
      </c>
      <c r="AZ1418" t="inlineStr">
        <is>
          <t>991002230259702656</t>
        </is>
      </c>
      <c r="BA1418" t="inlineStr">
        <is>
          <t>2266594870002656</t>
        </is>
      </c>
      <c r="BB1418" t="inlineStr">
        <is>
          <t>BOOK</t>
        </is>
      </c>
      <c r="BE1418" t="inlineStr">
        <is>
          <t>32285000597269</t>
        </is>
      </c>
      <c r="BF1418" t="inlineStr">
        <is>
          <t>893232707</t>
        </is>
      </c>
    </row>
    <row r="1419">
      <c r="A1419" t="inlineStr">
        <is>
          <t>No</t>
        </is>
      </c>
      <c r="B1419" t="inlineStr">
        <is>
          <t>CURAL</t>
        </is>
      </c>
      <c r="C1419" t="inlineStr">
        <is>
          <t>SHELVES</t>
        </is>
      </c>
      <c r="D1419" t="inlineStr">
        <is>
          <t>PR4024 .D4</t>
        </is>
      </c>
      <c r="E1419" t="inlineStr">
        <is>
          <t>0                      PR 4024000D  4</t>
        </is>
      </c>
      <c r="F1419" t="inlineStr">
        <is>
          <t>Matthew Arnold: a collection of critical essays, edited by David J. DeLaura.</t>
        </is>
      </c>
      <c r="H1419" t="inlineStr">
        <is>
          <t>No</t>
        </is>
      </c>
      <c r="I1419" t="inlineStr">
        <is>
          <t>1</t>
        </is>
      </c>
      <c r="J1419" t="inlineStr">
        <is>
          <t>No</t>
        </is>
      </c>
      <c r="K1419" t="inlineStr">
        <is>
          <t>No</t>
        </is>
      </c>
      <c r="L1419" t="inlineStr">
        <is>
          <t>0</t>
        </is>
      </c>
      <c r="M1419" t="inlineStr">
        <is>
          <t>DeLaura, David J., compiler.</t>
        </is>
      </c>
      <c r="N1419" t="inlineStr">
        <is>
          <t>Englewood Cliffs, N.J., Prentice-Hall [1973]</t>
        </is>
      </c>
      <c r="O1419" t="inlineStr">
        <is>
          <t>1973</t>
        </is>
      </c>
      <c r="Q1419" t="inlineStr">
        <is>
          <t>eng</t>
        </is>
      </c>
      <c r="R1419" t="inlineStr">
        <is>
          <t>nju</t>
        </is>
      </c>
      <c r="S1419" t="inlineStr">
        <is>
          <t>A Spectrum book</t>
        </is>
      </c>
      <c r="T1419" t="inlineStr">
        <is>
          <t xml:space="preserve">PR </t>
        </is>
      </c>
      <c r="U1419" t="n">
        <v>5</v>
      </c>
      <c r="V1419" t="n">
        <v>5</v>
      </c>
      <c r="W1419" t="inlineStr">
        <is>
          <t>1999-11-19</t>
        </is>
      </c>
      <c r="X1419" t="inlineStr">
        <is>
          <t>1999-11-19</t>
        </is>
      </c>
      <c r="Y1419" t="inlineStr">
        <is>
          <t>1997-07-25</t>
        </is>
      </c>
      <c r="Z1419" t="inlineStr">
        <is>
          <t>1997-07-25</t>
        </is>
      </c>
      <c r="AA1419" t="n">
        <v>1344</v>
      </c>
      <c r="AB1419" t="n">
        <v>1189</v>
      </c>
      <c r="AC1419" t="n">
        <v>1196</v>
      </c>
      <c r="AD1419" t="n">
        <v>9</v>
      </c>
      <c r="AE1419" t="n">
        <v>9</v>
      </c>
      <c r="AF1419" t="n">
        <v>50</v>
      </c>
      <c r="AG1419" t="n">
        <v>50</v>
      </c>
      <c r="AH1419" t="n">
        <v>22</v>
      </c>
      <c r="AI1419" t="n">
        <v>22</v>
      </c>
      <c r="AJ1419" t="n">
        <v>10</v>
      </c>
      <c r="AK1419" t="n">
        <v>10</v>
      </c>
      <c r="AL1419" t="n">
        <v>23</v>
      </c>
      <c r="AM1419" t="n">
        <v>23</v>
      </c>
      <c r="AN1419" t="n">
        <v>7</v>
      </c>
      <c r="AO1419" t="n">
        <v>7</v>
      </c>
      <c r="AP1419" t="n">
        <v>0</v>
      </c>
      <c r="AQ1419" t="n">
        <v>0</v>
      </c>
      <c r="AR1419" t="inlineStr">
        <is>
          <t>No</t>
        </is>
      </c>
      <c r="AS1419" t="inlineStr">
        <is>
          <t>Yes</t>
        </is>
      </c>
      <c r="AT1419">
        <f>HYPERLINK("http://catalog.hathitrust.org/Record/000381791","HathiTrust Record")</f>
        <v/>
      </c>
      <c r="AU1419">
        <f>HYPERLINK("https://creighton-primo.hosted.exlibrisgroup.com/primo-explore/search?tab=default_tab&amp;search_scope=EVERYTHING&amp;vid=01CRU&amp;lang=en_US&amp;offset=0&amp;query=any,contains,991002979299702656","Catalog Record")</f>
        <v/>
      </c>
      <c r="AV1419">
        <f>HYPERLINK("http://www.worldcat.org/oclc/554138","WorldCat Record")</f>
        <v/>
      </c>
      <c r="AW1419" t="inlineStr">
        <is>
          <t>1812094033:eng</t>
        </is>
      </c>
      <c r="AX1419" t="inlineStr">
        <is>
          <t>554138</t>
        </is>
      </c>
      <c r="AY1419" t="inlineStr">
        <is>
          <t>991002979299702656</t>
        </is>
      </c>
      <c r="AZ1419" t="inlineStr">
        <is>
          <t>991002979299702656</t>
        </is>
      </c>
      <c r="BA1419" t="inlineStr">
        <is>
          <t>2258570110002656</t>
        </is>
      </c>
      <c r="BB1419" t="inlineStr">
        <is>
          <t>BOOK</t>
        </is>
      </c>
      <c r="BD1419" t="inlineStr">
        <is>
          <t>9780130464255</t>
        </is>
      </c>
      <c r="BE1419" t="inlineStr">
        <is>
          <t>32285002962982</t>
        </is>
      </c>
      <c r="BF1419" t="inlineStr">
        <is>
          <t>893227536</t>
        </is>
      </c>
    </row>
    <row r="1420">
      <c r="A1420" t="inlineStr">
        <is>
          <t>No</t>
        </is>
      </c>
      <c r="B1420" t="inlineStr">
        <is>
          <t>CURAL</t>
        </is>
      </c>
      <c r="C1420" t="inlineStr">
        <is>
          <t>SHELVES</t>
        </is>
      </c>
      <c r="D1420" t="inlineStr">
        <is>
          <t>PR4024 .E35</t>
        </is>
      </c>
      <c r="E1420" t="inlineStr">
        <is>
          <t>0                      PR 4024000E  35</t>
        </is>
      </c>
      <c r="F1420" t="inlineStr">
        <is>
          <t>The touchstones of Matthew Arnold.</t>
        </is>
      </c>
      <c r="H1420" t="inlineStr">
        <is>
          <t>No</t>
        </is>
      </c>
      <c r="I1420" t="inlineStr">
        <is>
          <t>1</t>
        </is>
      </c>
      <c r="J1420" t="inlineStr">
        <is>
          <t>No</t>
        </is>
      </c>
      <c r="K1420" t="inlineStr">
        <is>
          <t>No</t>
        </is>
      </c>
      <c r="L1420" t="inlineStr">
        <is>
          <t>0</t>
        </is>
      </c>
      <c r="M1420" t="inlineStr">
        <is>
          <t>Eells, John Shepard.</t>
        </is>
      </c>
      <c r="N1420" t="inlineStr">
        <is>
          <t>New York : Bookman Associates, [1955]</t>
        </is>
      </c>
      <c r="O1420" t="inlineStr">
        <is>
          <t>1955</t>
        </is>
      </c>
      <c r="Q1420" t="inlineStr">
        <is>
          <t>eng</t>
        </is>
      </c>
      <c r="R1420" t="inlineStr">
        <is>
          <t>nyu</t>
        </is>
      </c>
      <c r="T1420" t="inlineStr">
        <is>
          <t xml:space="preserve">PR </t>
        </is>
      </c>
      <c r="U1420" t="n">
        <v>1</v>
      </c>
      <c r="V1420" t="n">
        <v>1</v>
      </c>
      <c r="W1420" t="inlineStr">
        <is>
          <t>1998-10-14</t>
        </is>
      </c>
      <c r="X1420" t="inlineStr">
        <is>
          <t>1998-10-14</t>
        </is>
      </c>
      <c r="Y1420" t="inlineStr">
        <is>
          <t>1993-06-10</t>
        </is>
      </c>
      <c r="Z1420" t="inlineStr">
        <is>
          <t>1993-06-10</t>
        </is>
      </c>
      <c r="AA1420" t="n">
        <v>494</v>
      </c>
      <c r="AB1420" t="n">
        <v>446</v>
      </c>
      <c r="AC1420" t="n">
        <v>608</v>
      </c>
      <c r="AD1420" t="n">
        <v>6</v>
      </c>
      <c r="AE1420" t="n">
        <v>7</v>
      </c>
      <c r="AF1420" t="n">
        <v>31</v>
      </c>
      <c r="AG1420" t="n">
        <v>37</v>
      </c>
      <c r="AH1420" t="n">
        <v>13</v>
      </c>
      <c r="AI1420" t="n">
        <v>15</v>
      </c>
      <c r="AJ1420" t="n">
        <v>6</v>
      </c>
      <c r="AK1420" t="n">
        <v>8</v>
      </c>
      <c r="AL1420" t="n">
        <v>16</v>
      </c>
      <c r="AM1420" t="n">
        <v>18</v>
      </c>
      <c r="AN1420" t="n">
        <v>5</v>
      </c>
      <c r="AO1420" t="n">
        <v>6</v>
      </c>
      <c r="AP1420" t="n">
        <v>0</v>
      </c>
      <c r="AQ1420" t="n">
        <v>0</v>
      </c>
      <c r="AR1420" t="inlineStr">
        <is>
          <t>Yes</t>
        </is>
      </c>
      <c r="AS1420" t="inlineStr">
        <is>
          <t>No</t>
        </is>
      </c>
      <c r="AT1420">
        <f>HYPERLINK("http://catalog.hathitrust.org/Record/000660029","HathiTrust Record")</f>
        <v/>
      </c>
      <c r="AU1420">
        <f>HYPERLINK("https://creighton-primo.hosted.exlibrisgroup.com/primo-explore/search?tab=default_tab&amp;search_scope=EVERYTHING&amp;vid=01CRU&amp;lang=en_US&amp;offset=0&amp;query=any,contains,991003925099702656","Catalog Record")</f>
        <v/>
      </c>
      <c r="AV1420">
        <f>HYPERLINK("http://www.worldcat.org/oclc/1880935","WorldCat Record")</f>
        <v/>
      </c>
      <c r="AW1420" t="inlineStr">
        <is>
          <t>1330275:eng</t>
        </is>
      </c>
      <c r="AX1420" t="inlineStr">
        <is>
          <t>1880935</t>
        </is>
      </c>
      <c r="AY1420" t="inlineStr">
        <is>
          <t>991003925099702656</t>
        </is>
      </c>
      <c r="AZ1420" t="inlineStr">
        <is>
          <t>991003925099702656</t>
        </is>
      </c>
      <c r="BA1420" t="inlineStr">
        <is>
          <t>2257340180002656</t>
        </is>
      </c>
      <c r="BB1420" t="inlineStr">
        <is>
          <t>BOOK</t>
        </is>
      </c>
      <c r="BE1420" t="inlineStr">
        <is>
          <t>32285001695138</t>
        </is>
      </c>
      <c r="BF1420" t="inlineStr">
        <is>
          <t>893337135</t>
        </is>
      </c>
    </row>
    <row r="1421">
      <c r="A1421" t="inlineStr">
        <is>
          <t>No</t>
        </is>
      </c>
      <c r="B1421" t="inlineStr">
        <is>
          <t>CURAL</t>
        </is>
      </c>
      <c r="C1421" t="inlineStr">
        <is>
          <t>SHELVES</t>
        </is>
      </c>
      <c r="D1421" t="inlineStr">
        <is>
          <t>PR4024 .J3</t>
        </is>
      </c>
      <c r="E1421" t="inlineStr">
        <is>
          <t>0                      PR 4024000J  3</t>
        </is>
      </c>
      <c r="F1421" t="inlineStr">
        <is>
          <t>Arnold and the romantics.</t>
        </is>
      </c>
      <c r="H1421" t="inlineStr">
        <is>
          <t>No</t>
        </is>
      </c>
      <c r="I1421" t="inlineStr">
        <is>
          <t>1</t>
        </is>
      </c>
      <c r="J1421" t="inlineStr">
        <is>
          <t>No</t>
        </is>
      </c>
      <c r="K1421" t="inlineStr">
        <is>
          <t>No</t>
        </is>
      </c>
      <c r="L1421" t="inlineStr">
        <is>
          <t>0</t>
        </is>
      </c>
      <c r="M1421" t="inlineStr">
        <is>
          <t>Jamison, William Alexander.</t>
        </is>
      </c>
      <c r="N1421" t="inlineStr">
        <is>
          <t>Copenhagen, Rosenkilde and Bagger, c1958.</t>
        </is>
      </c>
      <c r="O1421" t="inlineStr">
        <is>
          <t>1958</t>
        </is>
      </c>
      <c r="Q1421" t="inlineStr">
        <is>
          <t>eng</t>
        </is>
      </c>
      <c r="R1421" t="inlineStr">
        <is>
          <t xml:space="preserve">dk </t>
        </is>
      </c>
      <c r="S1421" t="inlineStr">
        <is>
          <t>Anglistica ; v. 10</t>
        </is>
      </c>
      <c r="T1421" t="inlineStr">
        <is>
          <t xml:space="preserve">PR </t>
        </is>
      </c>
      <c r="U1421" t="n">
        <v>2</v>
      </c>
      <c r="V1421" t="n">
        <v>2</v>
      </c>
      <c r="W1421" t="inlineStr">
        <is>
          <t>1997-10-09</t>
        </is>
      </c>
      <c r="X1421" t="inlineStr">
        <is>
          <t>1997-10-09</t>
        </is>
      </c>
      <c r="Y1421" t="inlineStr">
        <is>
          <t>1997-07-25</t>
        </is>
      </c>
      <c r="Z1421" t="inlineStr">
        <is>
          <t>1997-07-25</t>
        </is>
      </c>
      <c r="AA1421" t="n">
        <v>383</v>
      </c>
      <c r="AB1421" t="n">
        <v>298</v>
      </c>
      <c r="AC1421" t="n">
        <v>333</v>
      </c>
      <c r="AD1421" t="n">
        <v>5</v>
      </c>
      <c r="AE1421" t="n">
        <v>5</v>
      </c>
      <c r="AF1421" t="n">
        <v>22</v>
      </c>
      <c r="AG1421" t="n">
        <v>23</v>
      </c>
      <c r="AH1421" t="n">
        <v>8</v>
      </c>
      <c r="AI1421" t="n">
        <v>8</v>
      </c>
      <c r="AJ1421" t="n">
        <v>4</v>
      </c>
      <c r="AK1421" t="n">
        <v>4</v>
      </c>
      <c r="AL1421" t="n">
        <v>13</v>
      </c>
      <c r="AM1421" t="n">
        <v>14</v>
      </c>
      <c r="AN1421" t="n">
        <v>4</v>
      </c>
      <c r="AO1421" t="n">
        <v>4</v>
      </c>
      <c r="AP1421" t="n">
        <v>0</v>
      </c>
      <c r="AQ1421" t="n">
        <v>0</v>
      </c>
      <c r="AR1421" t="inlineStr">
        <is>
          <t>No</t>
        </is>
      </c>
      <c r="AS1421" t="inlineStr">
        <is>
          <t>Yes</t>
        </is>
      </c>
      <c r="AT1421">
        <f>HYPERLINK("http://catalog.hathitrust.org/Record/000660180","HathiTrust Record")</f>
        <v/>
      </c>
      <c r="AU1421">
        <f>HYPERLINK("https://creighton-primo.hosted.exlibrisgroup.com/primo-explore/search?tab=default_tab&amp;search_scope=EVERYTHING&amp;vid=01CRU&amp;lang=en_US&amp;offset=0&amp;query=any,contains,991002460809702656","Catalog Record")</f>
        <v/>
      </c>
      <c r="AV1421">
        <f>HYPERLINK("http://www.worldcat.org/oclc/355865","WorldCat Record")</f>
        <v/>
      </c>
      <c r="AW1421" t="inlineStr">
        <is>
          <t>1283319:eng</t>
        </is>
      </c>
      <c r="AX1421" t="inlineStr">
        <is>
          <t>355865</t>
        </is>
      </c>
      <c r="AY1421" t="inlineStr">
        <is>
          <t>991002460809702656</t>
        </is>
      </c>
      <c r="AZ1421" t="inlineStr">
        <is>
          <t>991002460809702656</t>
        </is>
      </c>
      <c r="BA1421" t="inlineStr">
        <is>
          <t>2264711040002656</t>
        </is>
      </c>
      <c r="BB1421" t="inlineStr">
        <is>
          <t>BOOK</t>
        </is>
      </c>
      <c r="BE1421" t="inlineStr">
        <is>
          <t>32285002963048</t>
        </is>
      </c>
      <c r="BF1421" t="inlineStr">
        <is>
          <t>893517317</t>
        </is>
      </c>
    </row>
    <row r="1422">
      <c r="A1422" t="inlineStr">
        <is>
          <t>No</t>
        </is>
      </c>
      <c r="B1422" t="inlineStr">
        <is>
          <t>CURAL</t>
        </is>
      </c>
      <c r="C1422" t="inlineStr">
        <is>
          <t>SHELVES</t>
        </is>
      </c>
      <c r="D1422" t="inlineStr">
        <is>
          <t>PR4024 .L3</t>
        </is>
      </c>
      <c r="E1422" t="inlineStr">
        <is>
          <t>0                      PR 4024000L  3</t>
        </is>
      </c>
      <c r="F1422" t="inlineStr">
        <is>
          <t>Critics on Matthew Arnold / edited by Jacqueline E. M. Latham.</t>
        </is>
      </c>
      <c r="H1422" t="inlineStr">
        <is>
          <t>No</t>
        </is>
      </c>
      <c r="I1422" t="inlineStr">
        <is>
          <t>1</t>
        </is>
      </c>
      <c r="J1422" t="inlineStr">
        <is>
          <t>No</t>
        </is>
      </c>
      <c r="K1422" t="inlineStr">
        <is>
          <t>No</t>
        </is>
      </c>
      <c r="L1422" t="inlineStr">
        <is>
          <t>0</t>
        </is>
      </c>
      <c r="M1422" t="inlineStr">
        <is>
          <t>Latham, Jacqueline Quinn Moore.</t>
        </is>
      </c>
      <c r="N1422" t="inlineStr">
        <is>
          <t>London : George Allen and Unwin, [1973]</t>
        </is>
      </c>
      <c r="O1422" t="inlineStr">
        <is>
          <t>1973</t>
        </is>
      </c>
      <c r="Q1422" t="inlineStr">
        <is>
          <t>eng</t>
        </is>
      </c>
      <c r="R1422" t="inlineStr">
        <is>
          <t xml:space="preserve">xx </t>
        </is>
      </c>
      <c r="S1422" t="inlineStr">
        <is>
          <t>Readings in literary criticism ; 11</t>
        </is>
      </c>
      <c r="T1422" t="inlineStr">
        <is>
          <t xml:space="preserve">PR </t>
        </is>
      </c>
      <c r="U1422" t="n">
        <v>4</v>
      </c>
      <c r="V1422" t="n">
        <v>4</v>
      </c>
      <c r="W1422" t="inlineStr">
        <is>
          <t>1997-05-08</t>
        </is>
      </c>
      <c r="X1422" t="inlineStr">
        <is>
          <t>1997-05-08</t>
        </is>
      </c>
      <c r="Y1422" t="inlineStr">
        <is>
          <t>1993-05-12</t>
        </is>
      </c>
      <c r="Z1422" t="inlineStr">
        <is>
          <t>1993-05-12</t>
        </is>
      </c>
      <c r="AA1422" t="n">
        <v>117</v>
      </c>
      <c r="AB1422" t="n">
        <v>76</v>
      </c>
      <c r="AC1422" t="n">
        <v>89</v>
      </c>
      <c r="AD1422" t="n">
        <v>2</v>
      </c>
      <c r="AE1422" t="n">
        <v>2</v>
      </c>
      <c r="AF1422" t="n">
        <v>6</v>
      </c>
      <c r="AG1422" t="n">
        <v>7</v>
      </c>
      <c r="AH1422" t="n">
        <v>3</v>
      </c>
      <c r="AI1422" t="n">
        <v>4</v>
      </c>
      <c r="AJ1422" t="n">
        <v>1</v>
      </c>
      <c r="AK1422" t="n">
        <v>1</v>
      </c>
      <c r="AL1422" t="n">
        <v>3</v>
      </c>
      <c r="AM1422" t="n">
        <v>4</v>
      </c>
      <c r="AN1422" t="n">
        <v>1</v>
      </c>
      <c r="AO1422" t="n">
        <v>1</v>
      </c>
      <c r="AP1422" t="n">
        <v>0</v>
      </c>
      <c r="AQ1422" t="n">
        <v>0</v>
      </c>
      <c r="AR1422" t="inlineStr">
        <is>
          <t>No</t>
        </is>
      </c>
      <c r="AS1422" t="inlineStr">
        <is>
          <t>No</t>
        </is>
      </c>
      <c r="AU1422">
        <f>HYPERLINK("https://creighton-primo.hosted.exlibrisgroup.com/primo-explore/search?tab=default_tab&amp;search_scope=EVERYTHING&amp;vid=01CRU&amp;lang=en_US&amp;offset=0&amp;query=any,contains,991003331439702656","Catalog Record")</f>
        <v/>
      </c>
      <c r="AV1422">
        <f>HYPERLINK("http://www.worldcat.org/oclc/862558","WorldCat Record")</f>
        <v/>
      </c>
      <c r="AW1422" t="inlineStr">
        <is>
          <t>1828710:eng</t>
        </is>
      </c>
      <c r="AX1422" t="inlineStr">
        <is>
          <t>862558</t>
        </is>
      </c>
      <c r="AY1422" t="inlineStr">
        <is>
          <t>991003331439702656</t>
        </is>
      </c>
      <c r="AZ1422" t="inlineStr">
        <is>
          <t>991003331439702656</t>
        </is>
      </c>
      <c r="BA1422" t="inlineStr">
        <is>
          <t>2264082060002656</t>
        </is>
      </c>
      <c r="BB1422" t="inlineStr">
        <is>
          <t>BOOK</t>
        </is>
      </c>
      <c r="BE1422" t="inlineStr">
        <is>
          <t>32285001582351</t>
        </is>
      </c>
      <c r="BF1422" t="inlineStr">
        <is>
          <t>893686449</t>
        </is>
      </c>
    </row>
    <row r="1423">
      <c r="A1423" t="inlineStr">
        <is>
          <t>No</t>
        </is>
      </c>
      <c r="B1423" t="inlineStr">
        <is>
          <t>CURAL</t>
        </is>
      </c>
      <c r="C1423" t="inlineStr">
        <is>
          <t>SHELVES</t>
        </is>
      </c>
      <c r="D1423" t="inlineStr">
        <is>
          <t>PR4024 .M374 1986</t>
        </is>
      </c>
      <c r="E1423" t="inlineStr">
        <is>
          <t>0                      PR 4024000M  374         1986</t>
        </is>
      </c>
      <c r="F1423" t="inlineStr">
        <is>
          <t>Matthew Arnold : between two worlds / edited by Robert Giddings.</t>
        </is>
      </c>
      <c r="H1423" t="inlineStr">
        <is>
          <t>No</t>
        </is>
      </c>
      <c r="I1423" t="inlineStr">
        <is>
          <t>1</t>
        </is>
      </c>
      <c r="J1423" t="inlineStr">
        <is>
          <t>No</t>
        </is>
      </c>
      <c r="K1423" t="inlineStr">
        <is>
          <t>No</t>
        </is>
      </c>
      <c r="L1423" t="inlineStr">
        <is>
          <t>0</t>
        </is>
      </c>
      <c r="N1423" t="inlineStr">
        <is>
          <t>London : Vision ; Totowa, N.J. : Barnes &amp; Noble, c1986.</t>
        </is>
      </c>
      <c r="O1423" t="inlineStr">
        <is>
          <t>1986</t>
        </is>
      </c>
      <c r="Q1423" t="inlineStr">
        <is>
          <t>eng</t>
        </is>
      </c>
      <c r="R1423" t="inlineStr">
        <is>
          <t>enk</t>
        </is>
      </c>
      <c r="S1423" t="inlineStr">
        <is>
          <t>Critical studies series</t>
        </is>
      </c>
      <c r="T1423" t="inlineStr">
        <is>
          <t xml:space="preserve">PR </t>
        </is>
      </c>
      <c r="U1423" t="n">
        <v>3</v>
      </c>
      <c r="V1423" t="n">
        <v>3</v>
      </c>
      <c r="W1423" t="inlineStr">
        <is>
          <t>1997-10-15</t>
        </is>
      </c>
      <c r="X1423" t="inlineStr">
        <is>
          <t>1997-10-15</t>
        </is>
      </c>
      <c r="Y1423" t="inlineStr">
        <is>
          <t>1991-06-20</t>
        </is>
      </c>
      <c r="Z1423" t="inlineStr">
        <is>
          <t>1991-06-20</t>
        </is>
      </c>
      <c r="AA1423" t="n">
        <v>488</v>
      </c>
      <c r="AB1423" t="n">
        <v>400</v>
      </c>
      <c r="AC1423" t="n">
        <v>406</v>
      </c>
      <c r="AD1423" t="n">
        <v>3</v>
      </c>
      <c r="AE1423" t="n">
        <v>3</v>
      </c>
      <c r="AF1423" t="n">
        <v>17</v>
      </c>
      <c r="AG1423" t="n">
        <v>17</v>
      </c>
      <c r="AH1423" t="n">
        <v>6</v>
      </c>
      <c r="AI1423" t="n">
        <v>6</v>
      </c>
      <c r="AJ1423" t="n">
        <v>4</v>
      </c>
      <c r="AK1423" t="n">
        <v>4</v>
      </c>
      <c r="AL1423" t="n">
        <v>12</v>
      </c>
      <c r="AM1423" t="n">
        <v>12</v>
      </c>
      <c r="AN1423" t="n">
        <v>2</v>
      </c>
      <c r="AO1423" t="n">
        <v>2</v>
      </c>
      <c r="AP1423" t="n">
        <v>0</v>
      </c>
      <c r="AQ1423" t="n">
        <v>0</v>
      </c>
      <c r="AR1423" t="inlineStr">
        <is>
          <t>No</t>
        </is>
      </c>
      <c r="AS1423" t="inlineStr">
        <is>
          <t>Yes</t>
        </is>
      </c>
      <c r="AT1423">
        <f>HYPERLINK("http://catalog.hathitrust.org/Record/000481946","HathiTrust Record")</f>
        <v/>
      </c>
      <c r="AU1423">
        <f>HYPERLINK("https://creighton-primo.hosted.exlibrisgroup.com/primo-explore/search?tab=default_tab&amp;search_scope=EVERYTHING&amp;vid=01CRU&amp;lang=en_US&amp;offset=0&amp;query=any,contains,991000795279702656","Catalog Record")</f>
        <v/>
      </c>
      <c r="AV1423">
        <f>HYPERLINK("http://www.worldcat.org/oclc/13185291","WorldCat Record")</f>
        <v/>
      </c>
      <c r="AW1423" t="inlineStr">
        <is>
          <t>836621105:eng</t>
        </is>
      </c>
      <c r="AX1423" t="inlineStr">
        <is>
          <t>13185291</t>
        </is>
      </c>
      <c r="AY1423" t="inlineStr">
        <is>
          <t>991000795279702656</t>
        </is>
      </c>
      <c r="AZ1423" t="inlineStr">
        <is>
          <t>991000795279702656</t>
        </is>
      </c>
      <c r="BA1423" t="inlineStr">
        <is>
          <t>2254830170002656</t>
        </is>
      </c>
      <c r="BB1423" t="inlineStr">
        <is>
          <t>BOOK</t>
        </is>
      </c>
      <c r="BD1423" t="inlineStr">
        <is>
          <t>9780389206255</t>
        </is>
      </c>
      <c r="BE1423" t="inlineStr">
        <is>
          <t>32285000616077</t>
        </is>
      </c>
      <c r="BF1423" t="inlineStr">
        <is>
          <t>893515620</t>
        </is>
      </c>
    </row>
    <row r="1424">
      <c r="A1424" t="inlineStr">
        <is>
          <t>No</t>
        </is>
      </c>
      <c r="B1424" t="inlineStr">
        <is>
          <t>CURAL</t>
        </is>
      </c>
      <c r="C1424" t="inlineStr">
        <is>
          <t>SHELVES</t>
        </is>
      </c>
      <c r="D1424" t="inlineStr">
        <is>
          <t>PR4024 .R3</t>
        </is>
      </c>
      <c r="E1424" t="inlineStr">
        <is>
          <t>0                      PR 4024000R  3</t>
        </is>
      </c>
      <c r="F1424" t="inlineStr">
        <is>
          <t>Matthew Arnold and American culture.</t>
        </is>
      </c>
      <c r="H1424" t="inlineStr">
        <is>
          <t>No</t>
        </is>
      </c>
      <c r="I1424" t="inlineStr">
        <is>
          <t>1</t>
        </is>
      </c>
      <c r="J1424" t="inlineStr">
        <is>
          <t>No</t>
        </is>
      </c>
      <c r="K1424" t="inlineStr">
        <is>
          <t>No</t>
        </is>
      </c>
      <c r="L1424" t="inlineStr">
        <is>
          <t>0</t>
        </is>
      </c>
      <c r="M1424" t="inlineStr">
        <is>
          <t>Raleigh, John Henry, 1920-2001.</t>
        </is>
      </c>
      <c r="N1424" t="inlineStr">
        <is>
          <t>Berkeley, University of California Press, 1957.</t>
        </is>
      </c>
      <c r="O1424" t="inlineStr">
        <is>
          <t>1957</t>
        </is>
      </c>
      <c r="Q1424" t="inlineStr">
        <is>
          <t>eng</t>
        </is>
      </c>
      <c r="R1424" t="inlineStr">
        <is>
          <t>cau</t>
        </is>
      </c>
      <c r="S1424" t="inlineStr">
        <is>
          <t>University of California publications. English studies ; 17</t>
        </is>
      </c>
      <c r="T1424" t="inlineStr">
        <is>
          <t xml:space="preserve">PR </t>
        </is>
      </c>
      <c r="U1424" t="n">
        <v>1</v>
      </c>
      <c r="V1424" t="n">
        <v>1</v>
      </c>
      <c r="W1424" t="inlineStr">
        <is>
          <t>2004-11-23</t>
        </is>
      </c>
      <c r="X1424" t="inlineStr">
        <is>
          <t>2004-11-23</t>
        </is>
      </c>
      <c r="Y1424" t="inlineStr">
        <is>
          <t>1997-07-25</t>
        </is>
      </c>
      <c r="Z1424" t="inlineStr">
        <is>
          <t>1997-07-25</t>
        </is>
      </c>
      <c r="AA1424" t="n">
        <v>442</v>
      </c>
      <c r="AB1424" t="n">
        <v>393</v>
      </c>
      <c r="AC1424" t="n">
        <v>729</v>
      </c>
      <c r="AD1424" t="n">
        <v>2</v>
      </c>
      <c r="AE1424" t="n">
        <v>5</v>
      </c>
      <c r="AF1424" t="n">
        <v>23</v>
      </c>
      <c r="AG1424" t="n">
        <v>39</v>
      </c>
      <c r="AH1424" t="n">
        <v>10</v>
      </c>
      <c r="AI1424" t="n">
        <v>18</v>
      </c>
      <c r="AJ1424" t="n">
        <v>6</v>
      </c>
      <c r="AK1424" t="n">
        <v>9</v>
      </c>
      <c r="AL1424" t="n">
        <v>15</v>
      </c>
      <c r="AM1424" t="n">
        <v>20</v>
      </c>
      <c r="AN1424" t="n">
        <v>1</v>
      </c>
      <c r="AO1424" t="n">
        <v>4</v>
      </c>
      <c r="AP1424" t="n">
        <v>0</v>
      </c>
      <c r="AQ1424" t="n">
        <v>0</v>
      </c>
      <c r="AR1424" t="inlineStr">
        <is>
          <t>Yes</t>
        </is>
      </c>
      <c r="AS1424" t="inlineStr">
        <is>
          <t>No</t>
        </is>
      </c>
      <c r="AT1424">
        <f>HYPERLINK("http://catalog.hathitrust.org/Record/003189168","HathiTrust Record")</f>
        <v/>
      </c>
      <c r="AU1424">
        <f>HYPERLINK("https://creighton-primo.hosted.exlibrisgroup.com/primo-explore/search?tab=default_tab&amp;search_scope=EVERYTHING&amp;vid=01CRU&amp;lang=en_US&amp;offset=0&amp;query=any,contains,991004788599702656","Catalog Record")</f>
        <v/>
      </c>
      <c r="AV1424">
        <f>HYPERLINK("http://www.worldcat.org/oclc/5165319","WorldCat Record")</f>
        <v/>
      </c>
      <c r="AW1424" t="inlineStr">
        <is>
          <t>1408915:eng</t>
        </is>
      </c>
      <c r="AX1424" t="inlineStr">
        <is>
          <t>5165319</t>
        </is>
      </c>
      <c r="AY1424" t="inlineStr">
        <is>
          <t>991004788599702656</t>
        </is>
      </c>
      <c r="AZ1424" t="inlineStr">
        <is>
          <t>991004788599702656</t>
        </is>
      </c>
      <c r="BA1424" t="inlineStr">
        <is>
          <t>2255558340002656</t>
        </is>
      </c>
      <c r="BB1424" t="inlineStr">
        <is>
          <t>BOOK</t>
        </is>
      </c>
      <c r="BE1424" t="inlineStr">
        <is>
          <t>32285002963071</t>
        </is>
      </c>
      <c r="BF1424" t="inlineStr">
        <is>
          <t>893801365</t>
        </is>
      </c>
    </row>
    <row r="1425">
      <c r="A1425" t="inlineStr">
        <is>
          <t>No</t>
        </is>
      </c>
      <c r="B1425" t="inlineStr">
        <is>
          <t>CURAL</t>
        </is>
      </c>
      <c r="C1425" t="inlineStr">
        <is>
          <t>SHELVES</t>
        </is>
      </c>
      <c r="D1425" t="inlineStr">
        <is>
          <t>PR4024 .R69</t>
        </is>
      </c>
      <c r="E1425" t="inlineStr">
        <is>
          <t>0                      PR 4024000R  69</t>
        </is>
      </c>
      <c r="F1425" t="inlineStr">
        <is>
          <t>Matthew Arnold : poet and prophet / A. L. Rowse.</t>
        </is>
      </c>
      <c r="H1425" t="inlineStr">
        <is>
          <t>No</t>
        </is>
      </c>
      <c r="I1425" t="inlineStr">
        <is>
          <t>1</t>
        </is>
      </c>
      <c r="J1425" t="inlineStr">
        <is>
          <t>No</t>
        </is>
      </c>
      <c r="K1425" t="inlineStr">
        <is>
          <t>No</t>
        </is>
      </c>
      <c r="L1425" t="inlineStr">
        <is>
          <t>0</t>
        </is>
      </c>
      <c r="M1425" t="inlineStr">
        <is>
          <t>Rowse, A. L. (Alfred Leslie), 1903-1997.</t>
        </is>
      </c>
      <c r="N1425" t="inlineStr">
        <is>
          <t>London : Thames &amp; Hudson, 1976.</t>
        </is>
      </c>
      <c r="O1425" t="inlineStr">
        <is>
          <t>1976</t>
        </is>
      </c>
      <c r="Q1425" t="inlineStr">
        <is>
          <t>eng</t>
        </is>
      </c>
      <c r="R1425" t="inlineStr">
        <is>
          <t>enk</t>
        </is>
      </c>
      <c r="T1425" t="inlineStr">
        <is>
          <t xml:space="preserve">PR </t>
        </is>
      </c>
      <c r="U1425" t="n">
        <v>3</v>
      </c>
      <c r="V1425" t="n">
        <v>3</v>
      </c>
      <c r="W1425" t="inlineStr">
        <is>
          <t>1995-11-05</t>
        </is>
      </c>
      <c r="X1425" t="inlineStr">
        <is>
          <t>1995-11-05</t>
        </is>
      </c>
      <c r="Y1425" t="inlineStr">
        <is>
          <t>1991-06-20</t>
        </is>
      </c>
      <c r="Z1425" t="inlineStr">
        <is>
          <t>1991-06-20</t>
        </is>
      </c>
      <c r="AA1425" t="n">
        <v>294</v>
      </c>
      <c r="AB1425" t="n">
        <v>138</v>
      </c>
      <c r="AC1425" t="n">
        <v>216</v>
      </c>
      <c r="AD1425" t="n">
        <v>3</v>
      </c>
      <c r="AE1425" t="n">
        <v>3</v>
      </c>
      <c r="AF1425" t="n">
        <v>6</v>
      </c>
      <c r="AG1425" t="n">
        <v>8</v>
      </c>
      <c r="AH1425" t="n">
        <v>1</v>
      </c>
      <c r="AI1425" t="n">
        <v>2</v>
      </c>
      <c r="AJ1425" t="n">
        <v>1</v>
      </c>
      <c r="AK1425" t="n">
        <v>2</v>
      </c>
      <c r="AL1425" t="n">
        <v>4</v>
      </c>
      <c r="AM1425" t="n">
        <v>5</v>
      </c>
      <c r="AN1425" t="n">
        <v>2</v>
      </c>
      <c r="AO1425" t="n">
        <v>2</v>
      </c>
      <c r="AP1425" t="n">
        <v>0</v>
      </c>
      <c r="AQ1425" t="n">
        <v>0</v>
      </c>
      <c r="AR1425" t="inlineStr">
        <is>
          <t>No</t>
        </is>
      </c>
      <c r="AS1425" t="inlineStr">
        <is>
          <t>No</t>
        </is>
      </c>
      <c r="AU1425">
        <f>HYPERLINK("https://creighton-primo.hosted.exlibrisgroup.com/primo-explore/search?tab=default_tab&amp;search_scope=EVERYTHING&amp;vid=01CRU&amp;lang=en_US&amp;offset=0&amp;query=any,contains,991004199039702656","Catalog Record")</f>
        <v/>
      </c>
      <c r="AV1425">
        <f>HYPERLINK("http://www.worldcat.org/oclc/2646753","WorldCat Record")</f>
        <v/>
      </c>
      <c r="AW1425" t="inlineStr">
        <is>
          <t>367305243:eng</t>
        </is>
      </c>
      <c r="AX1425" t="inlineStr">
        <is>
          <t>2646753</t>
        </is>
      </c>
      <c r="AY1425" t="inlineStr">
        <is>
          <t>991004199039702656</t>
        </is>
      </c>
      <c r="AZ1425" t="inlineStr">
        <is>
          <t>991004199039702656</t>
        </is>
      </c>
      <c r="BA1425" t="inlineStr">
        <is>
          <t>2255213430002656</t>
        </is>
      </c>
      <c r="BB1425" t="inlineStr">
        <is>
          <t>BOOK</t>
        </is>
      </c>
      <c r="BD1425" t="inlineStr">
        <is>
          <t>9780500011638</t>
        </is>
      </c>
      <c r="BE1425" t="inlineStr">
        <is>
          <t>32285000616101</t>
        </is>
      </c>
      <c r="BF1425" t="inlineStr">
        <is>
          <t>893241141</t>
        </is>
      </c>
    </row>
    <row r="1426">
      <c r="A1426" t="inlineStr">
        <is>
          <t>No</t>
        </is>
      </c>
      <c r="B1426" t="inlineStr">
        <is>
          <t>CURAL</t>
        </is>
      </c>
      <c r="C1426" t="inlineStr">
        <is>
          <t>SHELVES</t>
        </is>
      </c>
      <c r="D1426" t="inlineStr">
        <is>
          <t>PR4024 .S78</t>
        </is>
      </c>
      <c r="E1426" t="inlineStr">
        <is>
          <t>0                      PR 4024000S  78</t>
        </is>
      </c>
      <c r="F1426" t="inlineStr">
        <is>
          <t>Matthew Arnold : the poet as humanist / [by] G. Robert Strange.</t>
        </is>
      </c>
      <c r="H1426" t="inlineStr">
        <is>
          <t>No</t>
        </is>
      </c>
      <c r="I1426" t="inlineStr">
        <is>
          <t>1</t>
        </is>
      </c>
      <c r="J1426" t="inlineStr">
        <is>
          <t>No</t>
        </is>
      </c>
      <c r="K1426" t="inlineStr">
        <is>
          <t>No</t>
        </is>
      </c>
      <c r="L1426" t="inlineStr">
        <is>
          <t>0</t>
        </is>
      </c>
      <c r="M1426" t="inlineStr">
        <is>
          <t>Stange, G. Robert (George Robert), 1919-2007.</t>
        </is>
      </c>
      <c r="N1426" t="inlineStr">
        <is>
          <t>Princeton, N.J. : Princeton University Press, 1967.</t>
        </is>
      </c>
      <c r="O1426" t="inlineStr">
        <is>
          <t>1967</t>
        </is>
      </c>
      <c r="Q1426" t="inlineStr">
        <is>
          <t>eng</t>
        </is>
      </c>
      <c r="R1426" t="inlineStr">
        <is>
          <t>nju</t>
        </is>
      </c>
      <c r="T1426" t="inlineStr">
        <is>
          <t xml:space="preserve">PR </t>
        </is>
      </c>
      <c r="U1426" t="n">
        <v>4</v>
      </c>
      <c r="V1426" t="n">
        <v>4</v>
      </c>
      <c r="W1426" t="inlineStr">
        <is>
          <t>1997-10-09</t>
        </is>
      </c>
      <c r="X1426" t="inlineStr">
        <is>
          <t>1997-10-09</t>
        </is>
      </c>
      <c r="Y1426" t="inlineStr">
        <is>
          <t>1990-05-09</t>
        </is>
      </c>
      <c r="Z1426" t="inlineStr">
        <is>
          <t>1990-05-09</t>
        </is>
      </c>
      <c r="AA1426" t="n">
        <v>980</v>
      </c>
      <c r="AB1426" t="n">
        <v>853</v>
      </c>
      <c r="AC1426" t="n">
        <v>1026</v>
      </c>
      <c r="AD1426" t="n">
        <v>5</v>
      </c>
      <c r="AE1426" t="n">
        <v>5</v>
      </c>
      <c r="AF1426" t="n">
        <v>31</v>
      </c>
      <c r="AG1426" t="n">
        <v>38</v>
      </c>
      <c r="AH1426" t="n">
        <v>13</v>
      </c>
      <c r="AI1426" t="n">
        <v>18</v>
      </c>
      <c r="AJ1426" t="n">
        <v>5</v>
      </c>
      <c r="AK1426" t="n">
        <v>9</v>
      </c>
      <c r="AL1426" t="n">
        <v>16</v>
      </c>
      <c r="AM1426" t="n">
        <v>19</v>
      </c>
      <c r="AN1426" t="n">
        <v>4</v>
      </c>
      <c r="AO1426" t="n">
        <v>4</v>
      </c>
      <c r="AP1426" t="n">
        <v>0</v>
      </c>
      <c r="AQ1426" t="n">
        <v>0</v>
      </c>
      <c r="AR1426" t="inlineStr">
        <is>
          <t>No</t>
        </is>
      </c>
      <c r="AS1426" t="inlineStr">
        <is>
          <t>No</t>
        </is>
      </c>
      <c r="AU1426">
        <f>HYPERLINK("https://creighton-primo.hosted.exlibrisgroup.com/primo-explore/search?tab=default_tab&amp;search_scope=EVERYTHING&amp;vid=01CRU&amp;lang=en_US&amp;offset=0&amp;query=any,contains,991002478699702656","Catalog Record")</f>
        <v/>
      </c>
      <c r="AV1426">
        <f>HYPERLINK("http://www.worldcat.org/oclc/359228","WorldCat Record")</f>
        <v/>
      </c>
      <c r="AW1426" t="inlineStr">
        <is>
          <t>377031104:eng</t>
        </is>
      </c>
      <c r="AX1426" t="inlineStr">
        <is>
          <t>359228</t>
        </is>
      </c>
      <c r="AY1426" t="inlineStr">
        <is>
          <t>991002478699702656</t>
        </is>
      </c>
      <c r="AZ1426" t="inlineStr">
        <is>
          <t>991002478699702656</t>
        </is>
      </c>
      <c r="BA1426" t="inlineStr">
        <is>
          <t>2272558430002656</t>
        </is>
      </c>
      <c r="BB1426" t="inlineStr">
        <is>
          <t>BOOK</t>
        </is>
      </c>
      <c r="BE1426" t="inlineStr">
        <is>
          <t>32285000136787</t>
        </is>
      </c>
      <c r="BF1426" t="inlineStr">
        <is>
          <t>893779867</t>
        </is>
      </c>
    </row>
    <row r="1427">
      <c r="A1427" t="inlineStr">
        <is>
          <t>No</t>
        </is>
      </c>
      <c r="B1427" t="inlineStr">
        <is>
          <t>CURAL</t>
        </is>
      </c>
      <c r="C1427" t="inlineStr">
        <is>
          <t>SHELVES</t>
        </is>
      </c>
      <c r="D1427" t="inlineStr">
        <is>
          <t>PR403 .B7</t>
        </is>
      </c>
      <c r="E1427" t="inlineStr">
        <is>
          <t>0                      PR 0403000B  7</t>
        </is>
      </c>
      <c r="F1427" t="inlineStr">
        <is>
          <t>A shaping joy : studies in the writer's craft.</t>
        </is>
      </c>
      <c r="H1427" t="inlineStr">
        <is>
          <t>No</t>
        </is>
      </c>
      <c r="I1427" t="inlineStr">
        <is>
          <t>1</t>
        </is>
      </c>
      <c r="J1427" t="inlineStr">
        <is>
          <t>No</t>
        </is>
      </c>
      <c r="K1427" t="inlineStr">
        <is>
          <t>No</t>
        </is>
      </c>
      <c r="L1427" t="inlineStr">
        <is>
          <t>0</t>
        </is>
      </c>
      <c r="M1427" t="inlineStr">
        <is>
          <t>Brooks, Cleanth, 1906-1994.</t>
        </is>
      </c>
      <c r="N1427" t="inlineStr">
        <is>
          <t>London : Methuen, 1971.</t>
        </is>
      </c>
      <c r="O1427" t="inlineStr">
        <is>
          <t>1971</t>
        </is>
      </c>
      <c r="Q1427" t="inlineStr">
        <is>
          <t>eng</t>
        </is>
      </c>
      <c r="R1427" t="inlineStr">
        <is>
          <t>enk</t>
        </is>
      </c>
      <c r="T1427" t="inlineStr">
        <is>
          <t xml:space="preserve">PR </t>
        </is>
      </c>
      <c r="U1427" t="n">
        <v>1</v>
      </c>
      <c r="V1427" t="n">
        <v>1</v>
      </c>
      <c r="W1427" t="inlineStr">
        <is>
          <t>1992-02-18</t>
        </is>
      </c>
      <c r="X1427" t="inlineStr">
        <is>
          <t>1992-02-18</t>
        </is>
      </c>
      <c r="Y1427" t="inlineStr">
        <is>
          <t>1991-07-31</t>
        </is>
      </c>
      <c r="Z1427" t="inlineStr">
        <is>
          <t>1991-07-31</t>
        </is>
      </c>
      <c r="AA1427" t="n">
        <v>340</v>
      </c>
      <c r="AB1427" t="n">
        <v>155</v>
      </c>
      <c r="AC1427" t="n">
        <v>948</v>
      </c>
      <c r="AD1427" t="n">
        <v>2</v>
      </c>
      <c r="AE1427" t="n">
        <v>7</v>
      </c>
      <c r="AF1427" t="n">
        <v>5</v>
      </c>
      <c r="AG1427" t="n">
        <v>35</v>
      </c>
      <c r="AH1427" t="n">
        <v>1</v>
      </c>
      <c r="AI1427" t="n">
        <v>13</v>
      </c>
      <c r="AJ1427" t="n">
        <v>2</v>
      </c>
      <c r="AK1427" t="n">
        <v>7</v>
      </c>
      <c r="AL1427" t="n">
        <v>3</v>
      </c>
      <c r="AM1427" t="n">
        <v>15</v>
      </c>
      <c r="AN1427" t="n">
        <v>1</v>
      </c>
      <c r="AO1427" t="n">
        <v>6</v>
      </c>
      <c r="AP1427" t="n">
        <v>0</v>
      </c>
      <c r="AQ1427" t="n">
        <v>0</v>
      </c>
      <c r="AR1427" t="inlineStr">
        <is>
          <t>No</t>
        </is>
      </c>
      <c r="AS1427" t="inlineStr">
        <is>
          <t>Yes</t>
        </is>
      </c>
      <c r="AT1427">
        <f>HYPERLINK("http://catalog.hathitrust.org/Record/001370685","HathiTrust Record")</f>
        <v/>
      </c>
      <c r="AU1427">
        <f>HYPERLINK("https://creighton-primo.hosted.exlibrisgroup.com/primo-explore/search?tab=default_tab&amp;search_scope=EVERYTHING&amp;vid=01CRU&amp;lang=en_US&amp;offset=0&amp;query=any,contains,991001238709702656","Catalog Record")</f>
        <v/>
      </c>
      <c r="AV1427">
        <f>HYPERLINK("http://www.worldcat.org/oclc/207567","WorldCat Record")</f>
        <v/>
      </c>
      <c r="AW1427" t="inlineStr">
        <is>
          <t>367502220:eng</t>
        </is>
      </c>
      <c r="AX1427" t="inlineStr">
        <is>
          <t>207567</t>
        </is>
      </c>
      <c r="AY1427" t="inlineStr">
        <is>
          <t>991001238709702656</t>
        </is>
      </c>
      <c r="AZ1427" t="inlineStr">
        <is>
          <t>991001238709702656</t>
        </is>
      </c>
      <c r="BA1427" t="inlineStr">
        <is>
          <t>2267121610002656</t>
        </is>
      </c>
      <c r="BB1427" t="inlineStr">
        <is>
          <t>BOOK</t>
        </is>
      </c>
      <c r="BD1427" t="inlineStr">
        <is>
          <t>9780416171501</t>
        </is>
      </c>
      <c r="BE1427" t="inlineStr">
        <is>
          <t>32285000679935</t>
        </is>
      </c>
      <c r="BF1427" t="inlineStr">
        <is>
          <t>893696598</t>
        </is>
      </c>
    </row>
    <row r="1428">
      <c r="A1428" t="inlineStr">
        <is>
          <t>No</t>
        </is>
      </c>
      <c r="B1428" t="inlineStr">
        <is>
          <t>CURAL</t>
        </is>
      </c>
      <c r="C1428" t="inlineStr">
        <is>
          <t>SHELVES</t>
        </is>
      </c>
      <c r="D1428" t="inlineStr">
        <is>
          <t>PR4034.E53 B8</t>
        </is>
      </c>
      <c r="E1428" t="inlineStr">
        <is>
          <t>0                      PR 4034000E  53                 B  8</t>
        </is>
      </c>
      <c r="F1428" t="inlineStr">
        <is>
          <t>Jane Austen's Emma / [by] J. F. Burrows.</t>
        </is>
      </c>
      <c r="H1428" t="inlineStr">
        <is>
          <t>No</t>
        </is>
      </c>
      <c r="I1428" t="inlineStr">
        <is>
          <t>1</t>
        </is>
      </c>
      <c r="J1428" t="inlineStr">
        <is>
          <t>No</t>
        </is>
      </c>
      <c r="K1428" t="inlineStr">
        <is>
          <t>No</t>
        </is>
      </c>
      <c r="L1428" t="inlineStr">
        <is>
          <t>0</t>
        </is>
      </c>
      <c r="M1428" t="inlineStr">
        <is>
          <t>Burrows, J. F. (John Frederick)</t>
        </is>
      </c>
      <c r="N1428" t="inlineStr">
        <is>
          <t>[Sydney] : Sydney University Press, [1968]</t>
        </is>
      </c>
      <c r="O1428" t="inlineStr">
        <is>
          <t>1968</t>
        </is>
      </c>
      <c r="Q1428" t="inlineStr">
        <is>
          <t>eng</t>
        </is>
      </c>
      <c r="R1428" t="inlineStr">
        <is>
          <t xml:space="preserve">at </t>
        </is>
      </c>
      <c r="S1428" t="inlineStr">
        <is>
          <t>Sydney studies in literature</t>
        </is>
      </c>
      <c r="T1428" t="inlineStr">
        <is>
          <t xml:space="preserve">PR </t>
        </is>
      </c>
      <c r="U1428" t="n">
        <v>3</v>
      </c>
      <c r="V1428" t="n">
        <v>3</v>
      </c>
      <c r="W1428" t="inlineStr">
        <is>
          <t>1997-02-03</t>
        </is>
      </c>
      <c r="X1428" t="inlineStr">
        <is>
          <t>1997-02-03</t>
        </is>
      </c>
      <c r="Y1428" t="inlineStr">
        <is>
          <t>1991-11-13</t>
        </is>
      </c>
      <c r="Z1428" t="inlineStr">
        <is>
          <t>1991-11-13</t>
        </is>
      </c>
      <c r="AA1428" t="n">
        <v>398</v>
      </c>
      <c r="AB1428" t="n">
        <v>228</v>
      </c>
      <c r="AC1428" t="n">
        <v>232</v>
      </c>
      <c r="AD1428" t="n">
        <v>4</v>
      </c>
      <c r="AE1428" t="n">
        <v>4</v>
      </c>
      <c r="AF1428" t="n">
        <v>13</v>
      </c>
      <c r="AG1428" t="n">
        <v>13</v>
      </c>
      <c r="AH1428" t="n">
        <v>3</v>
      </c>
      <c r="AI1428" t="n">
        <v>3</v>
      </c>
      <c r="AJ1428" t="n">
        <v>4</v>
      </c>
      <c r="AK1428" t="n">
        <v>4</v>
      </c>
      <c r="AL1428" t="n">
        <v>7</v>
      </c>
      <c r="AM1428" t="n">
        <v>7</v>
      </c>
      <c r="AN1428" t="n">
        <v>3</v>
      </c>
      <c r="AO1428" t="n">
        <v>3</v>
      </c>
      <c r="AP1428" t="n">
        <v>0</v>
      </c>
      <c r="AQ1428" t="n">
        <v>0</v>
      </c>
      <c r="AR1428" t="inlineStr">
        <is>
          <t>No</t>
        </is>
      </c>
      <c r="AS1428" t="inlineStr">
        <is>
          <t>Yes</t>
        </is>
      </c>
      <c r="AT1428">
        <f>HYPERLINK("http://catalog.hathitrust.org/Record/000355257","HathiTrust Record")</f>
        <v/>
      </c>
      <c r="AU1428">
        <f>HYPERLINK("https://creighton-primo.hosted.exlibrisgroup.com/primo-explore/search?tab=default_tab&amp;search_scope=EVERYTHING&amp;vid=01CRU&amp;lang=en_US&amp;offset=0&amp;query=any,contains,991000102459702656","Catalog Record")</f>
        <v/>
      </c>
      <c r="AV1428">
        <f>HYPERLINK("http://www.worldcat.org/oclc/45133","WorldCat Record")</f>
        <v/>
      </c>
      <c r="AW1428" t="inlineStr">
        <is>
          <t>143773185:eng</t>
        </is>
      </c>
      <c r="AX1428" t="inlineStr">
        <is>
          <t>45133</t>
        </is>
      </c>
      <c r="AY1428" t="inlineStr">
        <is>
          <t>991000102459702656</t>
        </is>
      </c>
      <c r="AZ1428" t="inlineStr">
        <is>
          <t>991000102459702656</t>
        </is>
      </c>
      <c r="BA1428" t="inlineStr">
        <is>
          <t>2261621870002656</t>
        </is>
      </c>
      <c r="BB1428" t="inlineStr">
        <is>
          <t>BOOK</t>
        </is>
      </c>
      <c r="BD1428" t="inlineStr">
        <is>
          <t>9780424058405</t>
        </is>
      </c>
      <c r="BE1428" t="inlineStr">
        <is>
          <t>32285000822808</t>
        </is>
      </c>
      <c r="BF1428" t="inlineStr">
        <is>
          <t>893333216</t>
        </is>
      </c>
    </row>
    <row r="1429">
      <c r="A1429" t="inlineStr">
        <is>
          <t>No</t>
        </is>
      </c>
      <c r="B1429" t="inlineStr">
        <is>
          <t>CURAL</t>
        </is>
      </c>
      <c r="C1429" t="inlineStr">
        <is>
          <t>SHELVES</t>
        </is>
      </c>
      <c r="D1429" t="inlineStr">
        <is>
          <t>PR4034.E53 L6 1970</t>
        </is>
      </c>
      <c r="E1429" t="inlineStr">
        <is>
          <t>0                      PR 4034000E  53                 L  6           1970</t>
        </is>
      </c>
      <c r="F1429" t="inlineStr">
        <is>
          <t>Jane Austen: Emma; a casebook. Edited by David Lodge.</t>
        </is>
      </c>
      <c r="H1429" t="inlineStr">
        <is>
          <t>No</t>
        </is>
      </c>
      <c r="I1429" t="inlineStr">
        <is>
          <t>1</t>
        </is>
      </c>
      <c r="J1429" t="inlineStr">
        <is>
          <t>No</t>
        </is>
      </c>
      <c r="K1429" t="inlineStr">
        <is>
          <t>No</t>
        </is>
      </c>
      <c r="L1429" t="inlineStr">
        <is>
          <t>0</t>
        </is>
      </c>
      <c r="M1429" t="inlineStr">
        <is>
          <t>Lodge, David, 1935-, compiler.</t>
        </is>
      </c>
      <c r="N1429" t="inlineStr">
        <is>
          <t>Nashville, Aurora [1970?]</t>
        </is>
      </c>
      <c r="O1429" t="inlineStr">
        <is>
          <t>1970</t>
        </is>
      </c>
      <c r="Q1429" t="inlineStr">
        <is>
          <t>eng</t>
        </is>
      </c>
      <c r="R1429" t="inlineStr">
        <is>
          <t>tnu</t>
        </is>
      </c>
      <c r="S1429" t="inlineStr">
        <is>
          <t>Casebook series</t>
        </is>
      </c>
      <c r="T1429" t="inlineStr">
        <is>
          <t xml:space="preserve">PR </t>
        </is>
      </c>
      <c r="U1429" t="n">
        <v>2</v>
      </c>
      <c r="V1429" t="n">
        <v>2</v>
      </c>
      <c r="W1429" t="inlineStr">
        <is>
          <t>1997-03-11</t>
        </is>
      </c>
      <c r="X1429" t="inlineStr">
        <is>
          <t>1997-03-11</t>
        </is>
      </c>
      <c r="Y1429" t="inlineStr">
        <is>
          <t>1997-03-11</t>
        </is>
      </c>
      <c r="Z1429" t="inlineStr">
        <is>
          <t>1997-03-11</t>
        </is>
      </c>
      <c r="AA1429" t="n">
        <v>143</v>
      </c>
      <c r="AB1429" t="n">
        <v>129</v>
      </c>
      <c r="AC1429" t="n">
        <v>235</v>
      </c>
      <c r="AD1429" t="n">
        <v>2</v>
      </c>
      <c r="AE1429" t="n">
        <v>2</v>
      </c>
      <c r="AF1429" t="n">
        <v>5</v>
      </c>
      <c r="AG1429" t="n">
        <v>12</v>
      </c>
      <c r="AH1429" t="n">
        <v>1</v>
      </c>
      <c r="AI1429" t="n">
        <v>1</v>
      </c>
      <c r="AJ1429" t="n">
        <v>0</v>
      </c>
      <c r="AK1429" t="n">
        <v>3</v>
      </c>
      <c r="AL1429" t="n">
        <v>3</v>
      </c>
      <c r="AM1429" t="n">
        <v>10</v>
      </c>
      <c r="AN1429" t="n">
        <v>1</v>
      </c>
      <c r="AO1429" t="n">
        <v>1</v>
      </c>
      <c r="AP1429" t="n">
        <v>0</v>
      </c>
      <c r="AQ1429" t="n">
        <v>0</v>
      </c>
      <c r="AR1429" t="inlineStr">
        <is>
          <t>No</t>
        </is>
      </c>
      <c r="AS1429" t="inlineStr">
        <is>
          <t>No</t>
        </is>
      </c>
      <c r="AU1429">
        <f>HYPERLINK("https://creighton-primo.hosted.exlibrisgroup.com/primo-explore/search?tab=default_tab&amp;search_scope=EVERYTHING&amp;vid=01CRU&amp;lang=en_US&amp;offset=0&amp;query=any,contains,991001182499702656","Catalog Record")</f>
        <v/>
      </c>
      <c r="AV1429">
        <f>HYPERLINK("http://www.worldcat.org/oclc/190781","WorldCat Record")</f>
        <v/>
      </c>
      <c r="AW1429" t="inlineStr">
        <is>
          <t>4921264123:eng</t>
        </is>
      </c>
      <c r="AX1429" t="inlineStr">
        <is>
          <t>190781</t>
        </is>
      </c>
      <c r="AY1429" t="inlineStr">
        <is>
          <t>991001182499702656</t>
        </is>
      </c>
      <c r="AZ1429" t="inlineStr">
        <is>
          <t>991001182499702656</t>
        </is>
      </c>
      <c r="BA1429" t="inlineStr">
        <is>
          <t>2259322200002656</t>
        </is>
      </c>
      <c r="BB1429" t="inlineStr">
        <is>
          <t>BOOK</t>
        </is>
      </c>
      <c r="BD1429" t="inlineStr">
        <is>
          <t>9780876950364</t>
        </is>
      </c>
      <c r="BE1429" t="inlineStr">
        <is>
          <t>32285002447125</t>
        </is>
      </c>
      <c r="BF1429" t="inlineStr">
        <is>
          <t>893528729</t>
        </is>
      </c>
    </row>
    <row r="1430">
      <c r="A1430" t="inlineStr">
        <is>
          <t>No</t>
        </is>
      </c>
      <c r="B1430" t="inlineStr">
        <is>
          <t>CURAL</t>
        </is>
      </c>
      <c r="C1430" t="inlineStr">
        <is>
          <t>SHELVES</t>
        </is>
      </c>
      <c r="D1430" t="inlineStr">
        <is>
          <t>PR4034.M33 F55</t>
        </is>
      </c>
      <c r="E1430" t="inlineStr">
        <is>
          <t>0                      PR 4034000M  33                 F  55</t>
        </is>
      </c>
      <c r="F1430" t="inlineStr">
        <is>
          <t>A reading of Mansfield Park : an essay in critical synthesis.</t>
        </is>
      </c>
      <c r="H1430" t="inlineStr">
        <is>
          <t>No</t>
        </is>
      </c>
      <c r="I1430" t="inlineStr">
        <is>
          <t>1</t>
        </is>
      </c>
      <c r="J1430" t="inlineStr">
        <is>
          <t>No</t>
        </is>
      </c>
      <c r="K1430" t="inlineStr">
        <is>
          <t>No</t>
        </is>
      </c>
      <c r="L1430" t="inlineStr">
        <is>
          <t>0</t>
        </is>
      </c>
      <c r="M1430" t="inlineStr">
        <is>
          <t>Fleishman, Avrom.</t>
        </is>
      </c>
      <c r="N1430" t="inlineStr">
        <is>
          <t>Minneapolis : University of Minnesota Press, [1967]</t>
        </is>
      </c>
      <c r="O1430" t="inlineStr">
        <is>
          <t>1967</t>
        </is>
      </c>
      <c r="Q1430" t="inlineStr">
        <is>
          <t>eng</t>
        </is>
      </c>
      <c r="R1430" t="inlineStr">
        <is>
          <t>mnu</t>
        </is>
      </c>
      <c r="S1430" t="inlineStr">
        <is>
          <t>Minnesota monographs in the humanities ; v. 2</t>
        </is>
      </c>
      <c r="T1430" t="inlineStr">
        <is>
          <t xml:space="preserve">PR </t>
        </is>
      </c>
      <c r="U1430" t="n">
        <v>9</v>
      </c>
      <c r="V1430" t="n">
        <v>9</v>
      </c>
      <c r="W1430" t="inlineStr">
        <is>
          <t>2010-05-02</t>
        </is>
      </c>
      <c r="X1430" t="inlineStr">
        <is>
          <t>2010-05-02</t>
        </is>
      </c>
      <c r="Y1430" t="inlineStr">
        <is>
          <t>1991-12-11</t>
        </is>
      </c>
      <c r="Z1430" t="inlineStr">
        <is>
          <t>1991-12-11</t>
        </is>
      </c>
      <c r="AA1430" t="n">
        <v>751</v>
      </c>
      <c r="AB1430" t="n">
        <v>637</v>
      </c>
      <c r="AC1430" t="n">
        <v>717</v>
      </c>
      <c r="AD1430" t="n">
        <v>6</v>
      </c>
      <c r="AE1430" t="n">
        <v>6</v>
      </c>
      <c r="AF1430" t="n">
        <v>32</v>
      </c>
      <c r="AG1430" t="n">
        <v>36</v>
      </c>
      <c r="AH1430" t="n">
        <v>13</v>
      </c>
      <c r="AI1430" t="n">
        <v>15</v>
      </c>
      <c r="AJ1430" t="n">
        <v>6</v>
      </c>
      <c r="AK1430" t="n">
        <v>7</v>
      </c>
      <c r="AL1430" t="n">
        <v>15</v>
      </c>
      <c r="AM1430" t="n">
        <v>17</v>
      </c>
      <c r="AN1430" t="n">
        <v>5</v>
      </c>
      <c r="AO1430" t="n">
        <v>5</v>
      </c>
      <c r="AP1430" t="n">
        <v>0</v>
      </c>
      <c r="AQ1430" t="n">
        <v>0</v>
      </c>
      <c r="AR1430" t="inlineStr">
        <is>
          <t>No</t>
        </is>
      </c>
      <c r="AS1430" t="inlineStr">
        <is>
          <t>Yes</t>
        </is>
      </c>
      <c r="AT1430">
        <f>HYPERLINK("http://catalog.hathitrust.org/Record/000355280","HathiTrust Record")</f>
        <v/>
      </c>
      <c r="AU1430">
        <f>HYPERLINK("https://creighton-primo.hosted.exlibrisgroup.com/primo-explore/search?tab=default_tab&amp;search_scope=EVERYTHING&amp;vid=01CRU&amp;lang=en_US&amp;offset=0&amp;query=any,contains,991002460849702656","Catalog Record")</f>
        <v/>
      </c>
      <c r="AV1430">
        <f>HYPERLINK("http://www.worldcat.org/oclc/355867","WorldCat Record")</f>
        <v/>
      </c>
      <c r="AW1430" t="inlineStr">
        <is>
          <t>1399033:eng</t>
        </is>
      </c>
      <c r="AX1430" t="inlineStr">
        <is>
          <t>355867</t>
        </is>
      </c>
      <c r="AY1430" t="inlineStr">
        <is>
          <t>991002460849702656</t>
        </is>
      </c>
      <c r="AZ1430" t="inlineStr">
        <is>
          <t>991002460849702656</t>
        </is>
      </c>
      <c r="BA1430" t="inlineStr">
        <is>
          <t>2264712170002656</t>
        </is>
      </c>
      <c r="BB1430" t="inlineStr">
        <is>
          <t>BOOK</t>
        </is>
      </c>
      <c r="BE1430" t="inlineStr">
        <is>
          <t>32285000875079</t>
        </is>
      </c>
      <c r="BF1430" t="inlineStr">
        <is>
          <t>893886313</t>
        </is>
      </c>
    </row>
    <row r="1431">
      <c r="A1431" t="inlineStr">
        <is>
          <t>No</t>
        </is>
      </c>
      <c r="B1431" t="inlineStr">
        <is>
          <t>CURAL</t>
        </is>
      </c>
      <c r="C1431" t="inlineStr">
        <is>
          <t>SHELVES</t>
        </is>
      </c>
      <c r="D1431" t="inlineStr">
        <is>
          <t>PR4036 .H6</t>
        </is>
      </c>
      <c r="E1431" t="inlineStr">
        <is>
          <t>0                      PR 4036000H  6</t>
        </is>
      </c>
      <c r="F1431" t="inlineStr">
        <is>
          <t>Only a novel : the double life of Jane Austen.</t>
        </is>
      </c>
      <c r="H1431" t="inlineStr">
        <is>
          <t>No</t>
        </is>
      </c>
      <c r="I1431" t="inlineStr">
        <is>
          <t>1</t>
        </is>
      </c>
      <c r="J1431" t="inlineStr">
        <is>
          <t>No</t>
        </is>
      </c>
      <c r="K1431" t="inlineStr">
        <is>
          <t>No</t>
        </is>
      </c>
      <c r="L1431" t="inlineStr">
        <is>
          <t>0</t>
        </is>
      </c>
      <c r="M1431" t="inlineStr">
        <is>
          <t>Hodge, Jane Aiken.</t>
        </is>
      </c>
      <c r="N1431" t="inlineStr">
        <is>
          <t>New York : Coward, McCann &amp; Geoghegan, [1972]</t>
        </is>
      </c>
      <c r="O1431" t="inlineStr">
        <is>
          <t>1972</t>
        </is>
      </c>
      <c r="P1431" t="inlineStr">
        <is>
          <t>[1st American ed.]</t>
        </is>
      </c>
      <c r="Q1431" t="inlineStr">
        <is>
          <t>eng</t>
        </is>
      </c>
      <c r="R1431" t="inlineStr">
        <is>
          <t>nyu</t>
        </is>
      </c>
      <c r="T1431" t="inlineStr">
        <is>
          <t xml:space="preserve">PR </t>
        </is>
      </c>
      <c r="U1431" t="n">
        <v>5</v>
      </c>
      <c r="V1431" t="n">
        <v>5</v>
      </c>
      <c r="W1431" t="inlineStr">
        <is>
          <t>1998-02-24</t>
        </is>
      </c>
      <c r="X1431" t="inlineStr">
        <is>
          <t>1998-02-24</t>
        </is>
      </c>
      <c r="Y1431" t="inlineStr">
        <is>
          <t>1991-11-13</t>
        </is>
      </c>
      <c r="Z1431" t="inlineStr">
        <is>
          <t>1991-11-13</t>
        </is>
      </c>
      <c r="AA1431" t="n">
        <v>864</v>
      </c>
      <c r="AB1431" t="n">
        <v>831</v>
      </c>
      <c r="AC1431" t="n">
        <v>888</v>
      </c>
      <c r="AD1431" t="n">
        <v>7</v>
      </c>
      <c r="AE1431" t="n">
        <v>7</v>
      </c>
      <c r="AF1431" t="n">
        <v>29</v>
      </c>
      <c r="AG1431" t="n">
        <v>30</v>
      </c>
      <c r="AH1431" t="n">
        <v>10</v>
      </c>
      <c r="AI1431" t="n">
        <v>10</v>
      </c>
      <c r="AJ1431" t="n">
        <v>9</v>
      </c>
      <c r="AK1431" t="n">
        <v>9</v>
      </c>
      <c r="AL1431" t="n">
        <v>12</v>
      </c>
      <c r="AM1431" t="n">
        <v>13</v>
      </c>
      <c r="AN1431" t="n">
        <v>5</v>
      </c>
      <c r="AO1431" t="n">
        <v>5</v>
      </c>
      <c r="AP1431" t="n">
        <v>0</v>
      </c>
      <c r="AQ1431" t="n">
        <v>0</v>
      </c>
      <c r="AR1431" t="inlineStr">
        <is>
          <t>No</t>
        </is>
      </c>
      <c r="AS1431" t="inlineStr">
        <is>
          <t>Yes</t>
        </is>
      </c>
      <c r="AT1431">
        <f>HYPERLINK("http://catalog.hathitrust.org/Record/000354468","HathiTrust Record")</f>
        <v/>
      </c>
      <c r="AU1431">
        <f>HYPERLINK("https://creighton-primo.hosted.exlibrisgroup.com/primo-explore/search?tab=default_tab&amp;search_scope=EVERYTHING&amp;vid=01CRU&amp;lang=en_US&amp;offset=0&amp;query=any,contains,991002412389702656","Catalog Record")</f>
        <v/>
      </c>
      <c r="AV1431">
        <f>HYPERLINK("http://www.worldcat.org/oclc/340261","WorldCat Record")</f>
        <v/>
      </c>
      <c r="AW1431" t="inlineStr">
        <is>
          <t>3857580071:eng</t>
        </is>
      </c>
      <c r="AX1431" t="inlineStr">
        <is>
          <t>340261</t>
        </is>
      </c>
      <c r="AY1431" t="inlineStr">
        <is>
          <t>991002412389702656</t>
        </is>
      </c>
      <c r="AZ1431" t="inlineStr">
        <is>
          <t>991002412389702656</t>
        </is>
      </c>
      <c r="BA1431" t="inlineStr">
        <is>
          <t>2262548100002656</t>
        </is>
      </c>
      <c r="BB1431" t="inlineStr">
        <is>
          <t>BOOK</t>
        </is>
      </c>
      <c r="BD1431" t="inlineStr">
        <is>
          <t>9780698104259</t>
        </is>
      </c>
      <c r="BE1431" t="inlineStr">
        <is>
          <t>32285000822907</t>
        </is>
      </c>
      <c r="BF1431" t="inlineStr">
        <is>
          <t>893245142</t>
        </is>
      </c>
    </row>
    <row r="1432">
      <c r="A1432" t="inlineStr">
        <is>
          <t>No</t>
        </is>
      </c>
      <c r="B1432" t="inlineStr">
        <is>
          <t>CURAL</t>
        </is>
      </c>
      <c r="C1432" t="inlineStr">
        <is>
          <t>SHELVES</t>
        </is>
      </c>
      <c r="D1432" t="inlineStr">
        <is>
          <t>PR4036 .L38 1969b</t>
        </is>
      </c>
      <c r="E1432" t="inlineStr">
        <is>
          <t>0                      PR 4036000L  38          1969b</t>
        </is>
      </c>
      <c r="F1432" t="inlineStr">
        <is>
          <t>Jane Austen and her world.</t>
        </is>
      </c>
      <c r="H1432" t="inlineStr">
        <is>
          <t>No</t>
        </is>
      </c>
      <c r="I1432" t="inlineStr">
        <is>
          <t>1</t>
        </is>
      </c>
      <c r="J1432" t="inlineStr">
        <is>
          <t>No</t>
        </is>
      </c>
      <c r="K1432" t="inlineStr">
        <is>
          <t>No</t>
        </is>
      </c>
      <c r="L1432" t="inlineStr">
        <is>
          <t>0</t>
        </is>
      </c>
      <c r="M1432" t="inlineStr">
        <is>
          <t>Laski, Marghanita, 1915-1988.</t>
        </is>
      </c>
      <c r="N1432" t="inlineStr">
        <is>
          <t>London, Thames and Hudson, 1969.</t>
        </is>
      </c>
      <c r="O1432" t="inlineStr">
        <is>
          <t>1969</t>
        </is>
      </c>
      <c r="Q1432" t="inlineStr">
        <is>
          <t>eng</t>
        </is>
      </c>
      <c r="R1432" t="inlineStr">
        <is>
          <t>enk</t>
        </is>
      </c>
      <c r="T1432" t="inlineStr">
        <is>
          <t xml:space="preserve">PR </t>
        </is>
      </c>
      <c r="U1432" t="n">
        <v>6</v>
      </c>
      <c r="V1432" t="n">
        <v>6</v>
      </c>
      <c r="W1432" t="inlineStr">
        <is>
          <t>1999-04-21</t>
        </is>
      </c>
      <c r="X1432" t="inlineStr">
        <is>
          <t>1999-04-21</t>
        </is>
      </c>
      <c r="Y1432" t="inlineStr">
        <is>
          <t>1997-06-20</t>
        </is>
      </c>
      <c r="Z1432" t="inlineStr">
        <is>
          <t>1997-06-20</t>
        </is>
      </c>
      <c r="AA1432" t="n">
        <v>321</v>
      </c>
      <c r="AB1432" t="n">
        <v>95</v>
      </c>
      <c r="AC1432" t="n">
        <v>967</v>
      </c>
      <c r="AD1432" t="n">
        <v>1</v>
      </c>
      <c r="AE1432" t="n">
        <v>7</v>
      </c>
      <c r="AF1432" t="n">
        <v>7</v>
      </c>
      <c r="AG1432" t="n">
        <v>31</v>
      </c>
      <c r="AH1432" t="n">
        <v>2</v>
      </c>
      <c r="AI1432" t="n">
        <v>9</v>
      </c>
      <c r="AJ1432" t="n">
        <v>3</v>
      </c>
      <c r="AK1432" t="n">
        <v>7</v>
      </c>
      <c r="AL1432" t="n">
        <v>7</v>
      </c>
      <c r="AM1432" t="n">
        <v>19</v>
      </c>
      <c r="AN1432" t="n">
        <v>0</v>
      </c>
      <c r="AO1432" t="n">
        <v>5</v>
      </c>
      <c r="AP1432" t="n">
        <v>0</v>
      </c>
      <c r="AQ1432" t="n">
        <v>0</v>
      </c>
      <c r="AR1432" t="inlineStr">
        <is>
          <t>No</t>
        </is>
      </c>
      <c r="AS1432" t="inlineStr">
        <is>
          <t>Yes</t>
        </is>
      </c>
      <c r="AT1432">
        <f>HYPERLINK("http://catalog.hathitrust.org/Record/000354506","HathiTrust Record")</f>
        <v/>
      </c>
      <c r="AU1432">
        <f>HYPERLINK("https://creighton-primo.hosted.exlibrisgroup.com/primo-explore/search?tab=default_tab&amp;search_scope=EVERYTHING&amp;vid=01CRU&amp;lang=en_US&amp;offset=0&amp;query=any,contains,991000084369702656","Catalog Record")</f>
        <v/>
      </c>
      <c r="AV1432">
        <f>HYPERLINK("http://www.worldcat.org/oclc/33013","WorldCat Record")</f>
        <v/>
      </c>
      <c r="AW1432" t="inlineStr">
        <is>
          <t>134033213:eng</t>
        </is>
      </c>
      <c r="AX1432" t="inlineStr">
        <is>
          <t>33013</t>
        </is>
      </c>
      <c r="AY1432" t="inlineStr">
        <is>
          <t>991000084369702656</t>
        </is>
      </c>
      <c r="AZ1432" t="inlineStr">
        <is>
          <t>991000084369702656</t>
        </is>
      </c>
      <c r="BA1432" t="inlineStr">
        <is>
          <t>2261516270002656</t>
        </is>
      </c>
      <c r="BB1432" t="inlineStr">
        <is>
          <t>BOOK</t>
        </is>
      </c>
      <c r="BD1432" t="inlineStr">
        <is>
          <t>9780500130230</t>
        </is>
      </c>
      <c r="BE1432" t="inlineStr">
        <is>
          <t>32285002772563</t>
        </is>
      </c>
      <c r="BF1432" t="inlineStr">
        <is>
          <t>893495895</t>
        </is>
      </c>
    </row>
    <row r="1433">
      <c r="A1433" t="inlineStr">
        <is>
          <t>No</t>
        </is>
      </c>
      <c r="B1433" t="inlineStr">
        <is>
          <t>CURAL</t>
        </is>
      </c>
      <c r="C1433" t="inlineStr">
        <is>
          <t>SHELVES</t>
        </is>
      </c>
      <c r="D1433" t="inlineStr">
        <is>
          <t>PR4036 .O3</t>
        </is>
      </c>
      <c r="E1433" t="inlineStr">
        <is>
          <t>0                      PR 4036000O  3</t>
        </is>
      </c>
      <c r="F1433" t="inlineStr">
        <is>
          <t>An understanding of Jane Austen's novels : character, value, and ironic perspective / John Odmark.</t>
        </is>
      </c>
      <c r="H1433" t="inlineStr">
        <is>
          <t>No</t>
        </is>
      </c>
      <c r="I1433" t="inlineStr">
        <is>
          <t>1</t>
        </is>
      </c>
      <c r="J1433" t="inlineStr">
        <is>
          <t>No</t>
        </is>
      </c>
      <c r="K1433" t="inlineStr">
        <is>
          <t>Yes</t>
        </is>
      </c>
      <c r="L1433" t="inlineStr">
        <is>
          <t>0</t>
        </is>
      </c>
      <c r="M1433" t="inlineStr">
        <is>
          <t>Odmark, John.</t>
        </is>
      </c>
      <c r="N1433" t="inlineStr">
        <is>
          <t>Totowa, N.J. : Barnes &amp; Noble Books, 1981.</t>
        </is>
      </c>
      <c r="O1433" t="inlineStr">
        <is>
          <t>1981</t>
        </is>
      </c>
      <c r="Q1433" t="inlineStr">
        <is>
          <t>eng</t>
        </is>
      </c>
      <c r="R1433" t="inlineStr">
        <is>
          <t>nju</t>
        </is>
      </c>
      <c r="T1433" t="inlineStr">
        <is>
          <t xml:space="preserve">PR </t>
        </is>
      </c>
      <c r="U1433" t="n">
        <v>7</v>
      </c>
      <c r="V1433" t="n">
        <v>7</v>
      </c>
      <c r="W1433" t="inlineStr">
        <is>
          <t>2010-09-01</t>
        </is>
      </c>
      <c r="X1433" t="inlineStr">
        <is>
          <t>2010-09-01</t>
        </is>
      </c>
      <c r="Y1433" t="inlineStr">
        <is>
          <t>1991-11-13</t>
        </is>
      </c>
      <c r="Z1433" t="inlineStr">
        <is>
          <t>1991-11-13</t>
        </is>
      </c>
      <c r="AA1433" t="n">
        <v>365</v>
      </c>
      <c r="AB1433" t="n">
        <v>325</v>
      </c>
      <c r="AC1433" t="n">
        <v>401</v>
      </c>
      <c r="AD1433" t="n">
        <v>2</v>
      </c>
      <c r="AE1433" t="n">
        <v>4</v>
      </c>
      <c r="AF1433" t="n">
        <v>14</v>
      </c>
      <c r="AG1433" t="n">
        <v>17</v>
      </c>
      <c r="AH1433" t="n">
        <v>6</v>
      </c>
      <c r="AI1433" t="n">
        <v>6</v>
      </c>
      <c r="AJ1433" t="n">
        <v>4</v>
      </c>
      <c r="AK1433" t="n">
        <v>5</v>
      </c>
      <c r="AL1433" t="n">
        <v>9</v>
      </c>
      <c r="AM1433" t="n">
        <v>10</v>
      </c>
      <c r="AN1433" t="n">
        <v>1</v>
      </c>
      <c r="AO1433" t="n">
        <v>3</v>
      </c>
      <c r="AP1433" t="n">
        <v>0</v>
      </c>
      <c r="AQ1433" t="n">
        <v>0</v>
      </c>
      <c r="AR1433" t="inlineStr">
        <is>
          <t>No</t>
        </is>
      </c>
      <c r="AS1433" t="inlineStr">
        <is>
          <t>No</t>
        </is>
      </c>
      <c r="AU1433">
        <f>HYPERLINK("https://creighton-primo.hosted.exlibrisgroup.com/primo-explore/search?tab=default_tab&amp;search_scope=EVERYTHING&amp;vid=01CRU&amp;lang=en_US&amp;offset=0&amp;query=any,contains,991005178529702656","Catalog Record")</f>
        <v/>
      </c>
      <c r="AV1433">
        <f>HYPERLINK("http://www.worldcat.org/oclc/7927539","WorldCat Record")</f>
        <v/>
      </c>
      <c r="AW1433" t="inlineStr">
        <is>
          <t>197081171:eng</t>
        </is>
      </c>
      <c r="AX1433" t="inlineStr">
        <is>
          <t>7927539</t>
        </is>
      </c>
      <c r="AY1433" t="inlineStr">
        <is>
          <t>991005178529702656</t>
        </is>
      </c>
      <c r="AZ1433" t="inlineStr">
        <is>
          <t>991005178529702656</t>
        </is>
      </c>
      <c r="BA1433" t="inlineStr">
        <is>
          <t>2267132660002656</t>
        </is>
      </c>
      <c r="BB1433" t="inlineStr">
        <is>
          <t>BOOK</t>
        </is>
      </c>
      <c r="BD1433" t="inlineStr">
        <is>
          <t>9780389202165</t>
        </is>
      </c>
      <c r="BE1433" t="inlineStr">
        <is>
          <t>32285000822931</t>
        </is>
      </c>
      <c r="BF1433" t="inlineStr">
        <is>
          <t>893807943</t>
        </is>
      </c>
    </row>
    <row r="1434">
      <c r="A1434" t="inlineStr">
        <is>
          <t>No</t>
        </is>
      </c>
      <c r="B1434" t="inlineStr">
        <is>
          <t>CURAL</t>
        </is>
      </c>
      <c r="C1434" t="inlineStr">
        <is>
          <t>SHELVES</t>
        </is>
      </c>
      <c r="D1434" t="inlineStr">
        <is>
          <t>PR4036 .T66 1997</t>
        </is>
      </c>
      <c r="E1434" t="inlineStr">
        <is>
          <t>0                      PR 4036000T  66          1997</t>
        </is>
      </c>
      <c r="F1434" t="inlineStr">
        <is>
          <t>Jane Austen : a life / Claire Tomalin.</t>
        </is>
      </c>
      <c r="H1434" t="inlineStr">
        <is>
          <t>No</t>
        </is>
      </c>
      <c r="I1434" t="inlineStr">
        <is>
          <t>1</t>
        </is>
      </c>
      <c r="J1434" t="inlineStr">
        <is>
          <t>No</t>
        </is>
      </c>
      <c r="K1434" t="inlineStr">
        <is>
          <t>Yes</t>
        </is>
      </c>
      <c r="L1434" t="inlineStr">
        <is>
          <t>0</t>
        </is>
      </c>
      <c r="M1434" t="inlineStr">
        <is>
          <t>Tomalin, Claire.</t>
        </is>
      </c>
      <c r="N1434" t="inlineStr">
        <is>
          <t>New York : Knopf : Distributed by Random House, 1997.</t>
        </is>
      </c>
      <c r="O1434" t="inlineStr">
        <is>
          <t>1997</t>
        </is>
      </c>
      <c r="P1434" t="inlineStr">
        <is>
          <t>1st American ed.</t>
        </is>
      </c>
      <c r="Q1434" t="inlineStr">
        <is>
          <t>eng</t>
        </is>
      </c>
      <c r="R1434" t="inlineStr">
        <is>
          <t>nyu</t>
        </is>
      </c>
      <c r="T1434" t="inlineStr">
        <is>
          <t xml:space="preserve">PR </t>
        </is>
      </c>
      <c r="U1434" t="n">
        <v>1</v>
      </c>
      <c r="V1434" t="n">
        <v>1</v>
      </c>
      <c r="W1434" t="inlineStr">
        <is>
          <t>2005-11-28</t>
        </is>
      </c>
      <c r="X1434" t="inlineStr">
        <is>
          <t>2005-11-28</t>
        </is>
      </c>
      <c r="Y1434" t="inlineStr">
        <is>
          <t>2005-11-28</t>
        </is>
      </c>
      <c r="Z1434" t="inlineStr">
        <is>
          <t>2005-11-28</t>
        </is>
      </c>
      <c r="AA1434" t="n">
        <v>1201</v>
      </c>
      <c r="AB1434" t="n">
        <v>1132</v>
      </c>
      <c r="AC1434" t="n">
        <v>1461</v>
      </c>
      <c r="AD1434" t="n">
        <v>13</v>
      </c>
      <c r="AE1434" t="n">
        <v>14</v>
      </c>
      <c r="AF1434" t="n">
        <v>33</v>
      </c>
      <c r="AG1434" t="n">
        <v>44</v>
      </c>
      <c r="AH1434" t="n">
        <v>11</v>
      </c>
      <c r="AI1434" t="n">
        <v>16</v>
      </c>
      <c r="AJ1434" t="n">
        <v>7</v>
      </c>
      <c r="AK1434" t="n">
        <v>9</v>
      </c>
      <c r="AL1434" t="n">
        <v>17</v>
      </c>
      <c r="AM1434" t="n">
        <v>21</v>
      </c>
      <c r="AN1434" t="n">
        <v>6</v>
      </c>
      <c r="AO1434" t="n">
        <v>7</v>
      </c>
      <c r="AP1434" t="n">
        <v>0</v>
      </c>
      <c r="AQ1434" t="n">
        <v>0</v>
      </c>
      <c r="AR1434" t="inlineStr">
        <is>
          <t>No</t>
        </is>
      </c>
      <c r="AS1434" t="inlineStr">
        <is>
          <t>Yes</t>
        </is>
      </c>
      <c r="AT1434">
        <f>HYPERLINK("http://catalog.hathitrust.org/Record/003300167","HathiTrust Record")</f>
        <v/>
      </c>
      <c r="AU1434">
        <f>HYPERLINK("https://creighton-primo.hosted.exlibrisgroup.com/primo-explore/search?tab=default_tab&amp;search_scope=EVERYTHING&amp;vid=01CRU&amp;lang=en_US&amp;offset=0&amp;query=any,contains,991004689799702656","Catalog Record")</f>
        <v/>
      </c>
      <c r="AV1434">
        <f>HYPERLINK("http://www.worldcat.org/oclc/37499943","WorldCat Record")</f>
        <v/>
      </c>
      <c r="AW1434" t="inlineStr">
        <is>
          <t>570179:eng</t>
        </is>
      </c>
      <c r="AX1434" t="inlineStr">
        <is>
          <t>37499943</t>
        </is>
      </c>
      <c r="AY1434" t="inlineStr">
        <is>
          <t>991004689799702656</t>
        </is>
      </c>
      <c r="AZ1434" t="inlineStr">
        <is>
          <t>991004689799702656</t>
        </is>
      </c>
      <c r="BA1434" t="inlineStr">
        <is>
          <t>2260037060002656</t>
        </is>
      </c>
      <c r="BB1434" t="inlineStr">
        <is>
          <t>BOOK</t>
        </is>
      </c>
      <c r="BD1434" t="inlineStr">
        <is>
          <t>9780679446286</t>
        </is>
      </c>
      <c r="BE1434" t="inlineStr">
        <is>
          <t>32285005149090</t>
        </is>
      </c>
      <c r="BF1434" t="inlineStr">
        <is>
          <t>893895355</t>
        </is>
      </c>
    </row>
    <row r="1435">
      <c r="A1435" t="inlineStr">
        <is>
          <t>No</t>
        </is>
      </c>
      <c r="B1435" t="inlineStr">
        <is>
          <t>CURAL</t>
        </is>
      </c>
      <c r="C1435" t="inlineStr">
        <is>
          <t>SHELVES</t>
        </is>
      </c>
      <c r="D1435" t="inlineStr">
        <is>
          <t>PR4036 .T8 1983</t>
        </is>
      </c>
      <c r="E1435" t="inlineStr">
        <is>
          <t>0                      PR 4036000T  8           1983</t>
        </is>
      </c>
      <c r="F1435" t="inlineStr">
        <is>
          <t>A goodly heritage : a history of Jane Austen's family / George Holbert Tucker.</t>
        </is>
      </c>
      <c r="H1435" t="inlineStr">
        <is>
          <t>No</t>
        </is>
      </c>
      <c r="I1435" t="inlineStr">
        <is>
          <t>1</t>
        </is>
      </c>
      <c r="J1435" t="inlineStr">
        <is>
          <t>No</t>
        </is>
      </c>
      <c r="K1435" t="inlineStr">
        <is>
          <t>No</t>
        </is>
      </c>
      <c r="L1435" t="inlineStr">
        <is>
          <t>0</t>
        </is>
      </c>
      <c r="M1435" t="inlineStr">
        <is>
          <t>Tucker, George Holbert.</t>
        </is>
      </c>
      <c r="N1435" t="inlineStr">
        <is>
          <t>Manchester : Carcanet New Press in association with Mid Northumberland Arts Group, 1983.</t>
        </is>
      </c>
      <c r="O1435" t="inlineStr">
        <is>
          <t>1983</t>
        </is>
      </c>
      <c r="Q1435" t="inlineStr">
        <is>
          <t>eng</t>
        </is>
      </c>
      <c r="R1435" t="inlineStr">
        <is>
          <t>enk</t>
        </is>
      </c>
      <c r="T1435" t="inlineStr">
        <is>
          <t xml:space="preserve">PR </t>
        </is>
      </c>
      <c r="U1435" t="n">
        <v>1</v>
      </c>
      <c r="V1435" t="n">
        <v>1</v>
      </c>
      <c r="W1435" t="inlineStr">
        <is>
          <t>2002-11-20</t>
        </is>
      </c>
      <c r="X1435" t="inlineStr">
        <is>
          <t>2002-11-20</t>
        </is>
      </c>
      <c r="Y1435" t="inlineStr">
        <is>
          <t>2002-11-20</t>
        </is>
      </c>
      <c r="Z1435" t="inlineStr">
        <is>
          <t>2002-11-20</t>
        </is>
      </c>
      <c r="AA1435" t="n">
        <v>444</v>
      </c>
      <c r="AB1435" t="n">
        <v>327</v>
      </c>
      <c r="AC1435" t="n">
        <v>335</v>
      </c>
      <c r="AD1435" t="n">
        <v>4</v>
      </c>
      <c r="AE1435" t="n">
        <v>4</v>
      </c>
      <c r="AF1435" t="n">
        <v>13</v>
      </c>
      <c r="AG1435" t="n">
        <v>13</v>
      </c>
      <c r="AH1435" t="n">
        <v>6</v>
      </c>
      <c r="AI1435" t="n">
        <v>6</v>
      </c>
      <c r="AJ1435" t="n">
        <v>2</v>
      </c>
      <c r="AK1435" t="n">
        <v>2</v>
      </c>
      <c r="AL1435" t="n">
        <v>6</v>
      </c>
      <c r="AM1435" t="n">
        <v>6</v>
      </c>
      <c r="AN1435" t="n">
        <v>3</v>
      </c>
      <c r="AO1435" t="n">
        <v>3</v>
      </c>
      <c r="AP1435" t="n">
        <v>0</v>
      </c>
      <c r="AQ1435" t="n">
        <v>0</v>
      </c>
      <c r="AR1435" t="inlineStr">
        <is>
          <t>No</t>
        </is>
      </c>
      <c r="AS1435" t="inlineStr">
        <is>
          <t>Yes</t>
        </is>
      </c>
      <c r="AT1435">
        <f>HYPERLINK("http://catalog.hathitrust.org/Record/000159218","HathiTrust Record")</f>
        <v/>
      </c>
      <c r="AU1435">
        <f>HYPERLINK("https://creighton-primo.hosted.exlibrisgroup.com/primo-explore/search?tab=default_tab&amp;search_scope=EVERYTHING&amp;vid=01CRU&amp;lang=en_US&amp;offset=0&amp;query=any,contains,991003948049702656","Catalog Record")</f>
        <v/>
      </c>
      <c r="AV1435">
        <f>HYPERLINK("http://www.worldcat.org/oclc/10058856","WorldCat Record")</f>
        <v/>
      </c>
      <c r="AW1435" t="inlineStr">
        <is>
          <t>2860067:eng</t>
        </is>
      </c>
      <c r="AX1435" t="inlineStr">
        <is>
          <t>10058856</t>
        </is>
      </c>
      <c r="AY1435" t="inlineStr">
        <is>
          <t>991003948049702656</t>
        </is>
      </c>
      <c r="AZ1435" t="inlineStr">
        <is>
          <t>991003948049702656</t>
        </is>
      </c>
      <c r="BA1435" t="inlineStr">
        <is>
          <t>2256346970002656</t>
        </is>
      </c>
      <c r="BB1435" t="inlineStr">
        <is>
          <t>BOOK</t>
        </is>
      </c>
      <c r="BD1435" t="inlineStr">
        <is>
          <t>9780856354854</t>
        </is>
      </c>
      <c r="BE1435" t="inlineStr">
        <is>
          <t>32285004665179</t>
        </is>
      </c>
      <c r="BF1435" t="inlineStr">
        <is>
          <t>893253055</t>
        </is>
      </c>
    </row>
    <row r="1436">
      <c r="A1436" t="inlineStr">
        <is>
          <t>No</t>
        </is>
      </c>
      <c r="B1436" t="inlineStr">
        <is>
          <t>CURAL</t>
        </is>
      </c>
      <c r="C1436" t="inlineStr">
        <is>
          <t>SHELVES</t>
        </is>
      </c>
      <c r="D1436" t="inlineStr">
        <is>
          <t>PR4037 .B7</t>
        </is>
      </c>
      <c r="E1436" t="inlineStr">
        <is>
          <t>0                      PR 4037000B  7</t>
        </is>
      </c>
      <c r="F1436" t="inlineStr">
        <is>
          <t>Jane Austen and her predecessors, by Frank W. Bradbrook.</t>
        </is>
      </c>
      <c r="H1436" t="inlineStr">
        <is>
          <t>No</t>
        </is>
      </c>
      <c r="I1436" t="inlineStr">
        <is>
          <t>1</t>
        </is>
      </c>
      <c r="J1436" t="inlineStr">
        <is>
          <t>No</t>
        </is>
      </c>
      <c r="K1436" t="inlineStr">
        <is>
          <t>No</t>
        </is>
      </c>
      <c r="L1436" t="inlineStr">
        <is>
          <t>0</t>
        </is>
      </c>
      <c r="M1436" t="inlineStr">
        <is>
          <t>Bradbrook, Frank W.</t>
        </is>
      </c>
      <c r="N1436" t="inlineStr">
        <is>
          <t>Cambridge, Cambridge U. P., 1966.</t>
        </is>
      </c>
      <c r="O1436" t="inlineStr">
        <is>
          <t>1966</t>
        </is>
      </c>
      <c r="Q1436" t="inlineStr">
        <is>
          <t>eng</t>
        </is>
      </c>
      <c r="R1436" t="inlineStr">
        <is>
          <t>enk</t>
        </is>
      </c>
      <c r="T1436" t="inlineStr">
        <is>
          <t xml:space="preserve">PR </t>
        </is>
      </c>
      <c r="U1436" t="n">
        <v>1</v>
      </c>
      <c r="V1436" t="n">
        <v>1</v>
      </c>
      <c r="W1436" t="inlineStr">
        <is>
          <t>2001-04-24</t>
        </is>
      </c>
      <c r="X1436" t="inlineStr">
        <is>
          <t>2001-04-24</t>
        </is>
      </c>
      <c r="Y1436" t="inlineStr">
        <is>
          <t>1997-06-20</t>
        </is>
      </c>
      <c r="Z1436" t="inlineStr">
        <is>
          <t>1997-06-20</t>
        </is>
      </c>
      <c r="AA1436" t="n">
        <v>881</v>
      </c>
      <c r="AB1436" t="n">
        <v>692</v>
      </c>
      <c r="AC1436" t="n">
        <v>724</v>
      </c>
      <c r="AD1436" t="n">
        <v>6</v>
      </c>
      <c r="AE1436" t="n">
        <v>6</v>
      </c>
      <c r="AF1436" t="n">
        <v>31</v>
      </c>
      <c r="AG1436" t="n">
        <v>34</v>
      </c>
      <c r="AH1436" t="n">
        <v>12</v>
      </c>
      <c r="AI1436" t="n">
        <v>14</v>
      </c>
      <c r="AJ1436" t="n">
        <v>5</v>
      </c>
      <c r="AK1436" t="n">
        <v>6</v>
      </c>
      <c r="AL1436" t="n">
        <v>18</v>
      </c>
      <c r="AM1436" t="n">
        <v>19</v>
      </c>
      <c r="AN1436" t="n">
        <v>5</v>
      </c>
      <c r="AO1436" t="n">
        <v>5</v>
      </c>
      <c r="AP1436" t="n">
        <v>0</v>
      </c>
      <c r="AQ1436" t="n">
        <v>0</v>
      </c>
      <c r="AR1436" t="inlineStr">
        <is>
          <t>No</t>
        </is>
      </c>
      <c r="AS1436" t="inlineStr">
        <is>
          <t>Yes</t>
        </is>
      </c>
      <c r="AT1436">
        <f>HYPERLINK("http://catalog.hathitrust.org/Record/000354281","HathiTrust Record")</f>
        <v/>
      </c>
      <c r="AU1436">
        <f>HYPERLINK("https://creighton-primo.hosted.exlibrisgroup.com/primo-explore/search?tab=default_tab&amp;search_scope=EVERYTHING&amp;vid=01CRU&amp;lang=en_US&amp;offset=0&amp;query=any,contains,991002460989702656","Catalog Record")</f>
        <v/>
      </c>
      <c r="AV1436">
        <f>HYPERLINK("http://www.worldcat.org/oclc/355912","WorldCat Record")</f>
        <v/>
      </c>
      <c r="AW1436" t="inlineStr">
        <is>
          <t>1399138:eng</t>
        </is>
      </c>
      <c r="AX1436" t="inlineStr">
        <is>
          <t>355912</t>
        </is>
      </c>
      <c r="AY1436" t="inlineStr">
        <is>
          <t>991002460989702656</t>
        </is>
      </c>
      <c r="AZ1436" t="inlineStr">
        <is>
          <t>991002460989702656</t>
        </is>
      </c>
      <c r="BA1436" t="inlineStr">
        <is>
          <t>2264791060002656</t>
        </is>
      </c>
      <c r="BB1436" t="inlineStr">
        <is>
          <t>BOOK</t>
        </is>
      </c>
      <c r="BE1436" t="inlineStr">
        <is>
          <t>32285002772589</t>
        </is>
      </c>
      <c r="BF1436" t="inlineStr">
        <is>
          <t>893697813</t>
        </is>
      </c>
    </row>
    <row r="1437">
      <c r="A1437" t="inlineStr">
        <is>
          <t>No</t>
        </is>
      </c>
      <c r="B1437" t="inlineStr">
        <is>
          <t>CURAL</t>
        </is>
      </c>
      <c r="C1437" t="inlineStr">
        <is>
          <t>SHELVES</t>
        </is>
      </c>
      <c r="D1437" t="inlineStr">
        <is>
          <t>PR4037 .B73</t>
        </is>
      </c>
      <c r="E1437" t="inlineStr">
        <is>
          <t>0                      PR 4037000B  73</t>
        </is>
      </c>
      <c r="F1437" t="inlineStr">
        <is>
          <t>Jane Austen's novels : social change and literary form / Julia Prewitt Brown.</t>
        </is>
      </c>
      <c r="H1437" t="inlineStr">
        <is>
          <t>No</t>
        </is>
      </c>
      <c r="I1437" t="inlineStr">
        <is>
          <t>1</t>
        </is>
      </c>
      <c r="J1437" t="inlineStr">
        <is>
          <t>No</t>
        </is>
      </c>
      <c r="K1437" t="inlineStr">
        <is>
          <t>No</t>
        </is>
      </c>
      <c r="L1437" t="inlineStr">
        <is>
          <t>0</t>
        </is>
      </c>
      <c r="M1437" t="inlineStr">
        <is>
          <t>Brown, Julia Prewitt, 1948-</t>
        </is>
      </c>
      <c r="N1437" t="inlineStr">
        <is>
          <t>Cambridge, Mass. : Harvard University Press, 1979.</t>
        </is>
      </c>
      <c r="O1437" t="inlineStr">
        <is>
          <t>1979</t>
        </is>
      </c>
      <c r="Q1437" t="inlineStr">
        <is>
          <t>eng</t>
        </is>
      </c>
      <c r="R1437" t="inlineStr">
        <is>
          <t>mau</t>
        </is>
      </c>
      <c r="T1437" t="inlineStr">
        <is>
          <t xml:space="preserve">PR </t>
        </is>
      </c>
      <c r="U1437" t="n">
        <v>7</v>
      </c>
      <c r="V1437" t="n">
        <v>7</v>
      </c>
      <c r="W1437" t="inlineStr">
        <is>
          <t>2008-04-01</t>
        </is>
      </c>
      <c r="X1437" t="inlineStr">
        <is>
          <t>2008-04-01</t>
        </is>
      </c>
      <c r="Y1437" t="inlineStr">
        <is>
          <t>1991-11-13</t>
        </is>
      </c>
      <c r="Z1437" t="inlineStr">
        <is>
          <t>1991-11-13</t>
        </is>
      </c>
      <c r="AA1437" t="n">
        <v>846</v>
      </c>
      <c r="AB1437" t="n">
        <v>656</v>
      </c>
      <c r="AC1437" t="n">
        <v>663</v>
      </c>
      <c r="AD1437" t="n">
        <v>6</v>
      </c>
      <c r="AE1437" t="n">
        <v>6</v>
      </c>
      <c r="AF1437" t="n">
        <v>27</v>
      </c>
      <c r="AG1437" t="n">
        <v>27</v>
      </c>
      <c r="AH1437" t="n">
        <v>9</v>
      </c>
      <c r="AI1437" t="n">
        <v>9</v>
      </c>
      <c r="AJ1437" t="n">
        <v>6</v>
      </c>
      <c r="AK1437" t="n">
        <v>6</v>
      </c>
      <c r="AL1437" t="n">
        <v>14</v>
      </c>
      <c r="AM1437" t="n">
        <v>14</v>
      </c>
      <c r="AN1437" t="n">
        <v>5</v>
      </c>
      <c r="AO1437" t="n">
        <v>5</v>
      </c>
      <c r="AP1437" t="n">
        <v>0</v>
      </c>
      <c r="AQ1437" t="n">
        <v>0</v>
      </c>
      <c r="AR1437" t="inlineStr">
        <is>
          <t>No</t>
        </is>
      </c>
      <c r="AS1437" t="inlineStr">
        <is>
          <t>Yes</t>
        </is>
      </c>
      <c r="AT1437">
        <f>HYPERLINK("http://catalog.hathitrust.org/Record/000176625","HathiTrust Record")</f>
        <v/>
      </c>
      <c r="AU1437">
        <f>HYPERLINK("https://creighton-primo.hosted.exlibrisgroup.com/primo-explore/search?tab=default_tab&amp;search_scope=EVERYTHING&amp;vid=01CRU&amp;lang=en_US&amp;offset=0&amp;query=any,contains,991004564869702656","Catalog Record")</f>
        <v/>
      </c>
      <c r="AV1437">
        <f>HYPERLINK("http://www.worldcat.org/oclc/4004237","WorldCat Record")</f>
        <v/>
      </c>
      <c r="AW1437" t="inlineStr">
        <is>
          <t>1909160264:eng</t>
        </is>
      </c>
      <c r="AX1437" t="inlineStr">
        <is>
          <t>4004237</t>
        </is>
      </c>
      <c r="AY1437" t="inlineStr">
        <is>
          <t>991004564869702656</t>
        </is>
      </c>
      <c r="AZ1437" t="inlineStr">
        <is>
          <t>991004564869702656</t>
        </is>
      </c>
      <c r="BA1437" t="inlineStr">
        <is>
          <t>2265246980002656</t>
        </is>
      </c>
      <c r="BB1437" t="inlineStr">
        <is>
          <t>BOOK</t>
        </is>
      </c>
      <c r="BD1437" t="inlineStr">
        <is>
          <t>9780674471726</t>
        </is>
      </c>
      <c r="BE1437" t="inlineStr">
        <is>
          <t>32285000822956</t>
        </is>
      </c>
      <c r="BF1437" t="inlineStr">
        <is>
          <t>893895153</t>
        </is>
      </c>
    </row>
    <row r="1438">
      <c r="A1438" t="inlineStr">
        <is>
          <t>No</t>
        </is>
      </c>
      <c r="B1438" t="inlineStr">
        <is>
          <t>CURAL</t>
        </is>
      </c>
      <c r="C1438" t="inlineStr">
        <is>
          <t>SHELVES</t>
        </is>
      </c>
      <c r="D1438" t="inlineStr">
        <is>
          <t>PR4037 .B74</t>
        </is>
      </c>
      <c r="E1438" t="inlineStr">
        <is>
          <t>0                      PR 4037000B  74</t>
        </is>
      </c>
      <c r="F1438" t="inlineStr">
        <is>
          <t>Bits of ivory : narrative techniques in Jane Austen's fiction / [by] Lloyd W. Brown.</t>
        </is>
      </c>
      <c r="H1438" t="inlineStr">
        <is>
          <t>No</t>
        </is>
      </c>
      <c r="I1438" t="inlineStr">
        <is>
          <t>1</t>
        </is>
      </c>
      <c r="J1438" t="inlineStr">
        <is>
          <t>No</t>
        </is>
      </c>
      <c r="K1438" t="inlineStr">
        <is>
          <t>No</t>
        </is>
      </c>
      <c r="L1438" t="inlineStr">
        <is>
          <t>0</t>
        </is>
      </c>
      <c r="M1438" t="inlineStr">
        <is>
          <t>Brown, Lloyd W. (Lloyd Wellesley), 1938-</t>
        </is>
      </c>
      <c r="N1438" t="inlineStr">
        <is>
          <t>Baton Rouge : Louisiana State University Press, [1973]</t>
        </is>
      </c>
      <c r="O1438" t="inlineStr">
        <is>
          <t>1973</t>
        </is>
      </c>
      <c r="Q1438" t="inlineStr">
        <is>
          <t>eng</t>
        </is>
      </c>
      <c r="R1438" t="inlineStr">
        <is>
          <t>lau</t>
        </is>
      </c>
      <c r="T1438" t="inlineStr">
        <is>
          <t xml:space="preserve">PR </t>
        </is>
      </c>
      <c r="U1438" t="n">
        <v>7</v>
      </c>
      <c r="V1438" t="n">
        <v>7</v>
      </c>
      <c r="W1438" t="inlineStr">
        <is>
          <t>2008-04-01</t>
        </is>
      </c>
      <c r="X1438" t="inlineStr">
        <is>
          <t>2008-04-01</t>
        </is>
      </c>
      <c r="Y1438" t="inlineStr">
        <is>
          <t>1991-11-13</t>
        </is>
      </c>
      <c r="Z1438" t="inlineStr">
        <is>
          <t>1991-11-13</t>
        </is>
      </c>
      <c r="AA1438" t="n">
        <v>833</v>
      </c>
      <c r="AB1438" t="n">
        <v>739</v>
      </c>
      <c r="AC1438" t="n">
        <v>741</v>
      </c>
      <c r="AD1438" t="n">
        <v>8</v>
      </c>
      <c r="AE1438" t="n">
        <v>8</v>
      </c>
      <c r="AF1438" t="n">
        <v>36</v>
      </c>
      <c r="AG1438" t="n">
        <v>36</v>
      </c>
      <c r="AH1438" t="n">
        <v>14</v>
      </c>
      <c r="AI1438" t="n">
        <v>14</v>
      </c>
      <c r="AJ1438" t="n">
        <v>8</v>
      </c>
      <c r="AK1438" t="n">
        <v>8</v>
      </c>
      <c r="AL1438" t="n">
        <v>16</v>
      </c>
      <c r="AM1438" t="n">
        <v>16</v>
      </c>
      <c r="AN1438" t="n">
        <v>7</v>
      </c>
      <c r="AO1438" t="n">
        <v>7</v>
      </c>
      <c r="AP1438" t="n">
        <v>0</v>
      </c>
      <c r="AQ1438" t="n">
        <v>0</v>
      </c>
      <c r="AR1438" t="inlineStr">
        <is>
          <t>No</t>
        </is>
      </c>
      <c r="AS1438" t="inlineStr">
        <is>
          <t>No</t>
        </is>
      </c>
      <c r="AU1438">
        <f>HYPERLINK("https://creighton-primo.hosted.exlibrisgroup.com/primo-explore/search?tab=default_tab&amp;search_scope=EVERYTHING&amp;vid=01CRU&amp;lang=en_US&amp;offset=0&amp;query=any,contains,991003068429702656","Catalog Record")</f>
        <v/>
      </c>
      <c r="AV1438">
        <f>HYPERLINK("http://www.worldcat.org/oclc/623426","WorldCat Record")</f>
        <v/>
      </c>
      <c r="AW1438" t="inlineStr">
        <is>
          <t>1705434:eng</t>
        </is>
      </c>
      <c r="AX1438" t="inlineStr">
        <is>
          <t>623426</t>
        </is>
      </c>
      <c r="AY1438" t="inlineStr">
        <is>
          <t>991003068429702656</t>
        </is>
      </c>
      <c r="AZ1438" t="inlineStr">
        <is>
          <t>991003068429702656</t>
        </is>
      </c>
      <c r="BA1438" t="inlineStr">
        <is>
          <t>2255708200002656</t>
        </is>
      </c>
      <c r="BB1438" t="inlineStr">
        <is>
          <t>BOOK</t>
        </is>
      </c>
      <c r="BD1438" t="inlineStr">
        <is>
          <t>9780807102244</t>
        </is>
      </c>
      <c r="BE1438" t="inlineStr">
        <is>
          <t>32285000822964</t>
        </is>
      </c>
      <c r="BF1438" t="inlineStr">
        <is>
          <t>893227642</t>
        </is>
      </c>
    </row>
    <row r="1439">
      <c r="A1439" t="inlineStr">
        <is>
          <t>No</t>
        </is>
      </c>
      <c r="B1439" t="inlineStr">
        <is>
          <t>CURAL</t>
        </is>
      </c>
      <c r="C1439" t="inlineStr">
        <is>
          <t>SHELVES</t>
        </is>
      </c>
      <c r="D1439" t="inlineStr">
        <is>
          <t>PR4037 .C7</t>
        </is>
      </c>
      <c r="E1439" t="inlineStr">
        <is>
          <t>0                      PR 4037000C  7</t>
        </is>
      </c>
      <c r="F1439" t="inlineStr">
        <is>
          <t>Jane Austen: the six novels [by] W.A. Craik.</t>
        </is>
      </c>
      <c r="H1439" t="inlineStr">
        <is>
          <t>No</t>
        </is>
      </c>
      <c r="I1439" t="inlineStr">
        <is>
          <t>1</t>
        </is>
      </c>
      <c r="J1439" t="inlineStr">
        <is>
          <t>No</t>
        </is>
      </c>
      <c r="K1439" t="inlineStr">
        <is>
          <t>No</t>
        </is>
      </c>
      <c r="L1439" t="inlineStr">
        <is>
          <t>0</t>
        </is>
      </c>
      <c r="M1439" t="inlineStr">
        <is>
          <t>Craik, W. A.</t>
        </is>
      </c>
      <c r="N1439" t="inlineStr">
        <is>
          <t>London, Methuen [c1965]</t>
        </is>
      </c>
      <c r="O1439" t="inlineStr">
        <is>
          <t>1965</t>
        </is>
      </c>
      <c r="Q1439" t="inlineStr">
        <is>
          <t>eng</t>
        </is>
      </c>
      <c r="R1439" t="inlineStr">
        <is>
          <t>enk</t>
        </is>
      </c>
      <c r="T1439" t="inlineStr">
        <is>
          <t xml:space="preserve">PR </t>
        </is>
      </c>
      <c r="U1439" t="n">
        <v>1</v>
      </c>
      <c r="V1439" t="n">
        <v>1</v>
      </c>
      <c r="W1439" t="inlineStr">
        <is>
          <t>2005-04-04</t>
        </is>
      </c>
      <c r="X1439" t="inlineStr">
        <is>
          <t>2005-04-04</t>
        </is>
      </c>
      <c r="Y1439" t="inlineStr">
        <is>
          <t>1997-06-20</t>
        </is>
      </c>
      <c r="Z1439" t="inlineStr">
        <is>
          <t>1997-06-20</t>
        </is>
      </c>
      <c r="AA1439" t="n">
        <v>453</v>
      </c>
      <c r="AB1439" t="n">
        <v>330</v>
      </c>
      <c r="AC1439" t="n">
        <v>1190</v>
      </c>
      <c r="AD1439" t="n">
        <v>2</v>
      </c>
      <c r="AE1439" t="n">
        <v>10</v>
      </c>
      <c r="AF1439" t="n">
        <v>19</v>
      </c>
      <c r="AG1439" t="n">
        <v>47</v>
      </c>
      <c r="AH1439" t="n">
        <v>9</v>
      </c>
      <c r="AI1439" t="n">
        <v>18</v>
      </c>
      <c r="AJ1439" t="n">
        <v>5</v>
      </c>
      <c r="AK1439" t="n">
        <v>9</v>
      </c>
      <c r="AL1439" t="n">
        <v>11</v>
      </c>
      <c r="AM1439" t="n">
        <v>21</v>
      </c>
      <c r="AN1439" t="n">
        <v>1</v>
      </c>
      <c r="AO1439" t="n">
        <v>8</v>
      </c>
      <c r="AP1439" t="n">
        <v>0</v>
      </c>
      <c r="AQ1439" t="n">
        <v>1</v>
      </c>
      <c r="AR1439" t="inlineStr">
        <is>
          <t>No</t>
        </is>
      </c>
      <c r="AS1439" t="inlineStr">
        <is>
          <t>Yes</t>
        </is>
      </c>
      <c r="AT1439">
        <f>HYPERLINK("http://catalog.hathitrust.org/Record/000430011","HathiTrust Record")</f>
        <v/>
      </c>
      <c r="AU1439">
        <f>HYPERLINK("https://creighton-primo.hosted.exlibrisgroup.com/primo-explore/search?tab=default_tab&amp;search_scope=EVERYTHING&amp;vid=01CRU&amp;lang=en_US&amp;offset=0&amp;query=any,contains,991002461009702656","Catalog Record")</f>
        <v/>
      </c>
      <c r="AV1439">
        <f>HYPERLINK("http://www.worldcat.org/oclc/355914","WorldCat Record")</f>
        <v/>
      </c>
      <c r="AW1439" t="inlineStr">
        <is>
          <t>1399147:eng</t>
        </is>
      </c>
      <c r="AX1439" t="inlineStr">
        <is>
          <t>355914</t>
        </is>
      </c>
      <c r="AY1439" t="inlineStr">
        <is>
          <t>991002461009702656</t>
        </is>
      </c>
      <c r="AZ1439" t="inlineStr">
        <is>
          <t>991002461009702656</t>
        </is>
      </c>
      <c r="BA1439" t="inlineStr">
        <is>
          <t>2264809480002656</t>
        </is>
      </c>
      <c r="BB1439" t="inlineStr">
        <is>
          <t>BOOK</t>
        </is>
      </c>
      <c r="BE1439" t="inlineStr">
        <is>
          <t>32285002772597</t>
        </is>
      </c>
      <c r="BF1439" t="inlineStr">
        <is>
          <t>893239085</t>
        </is>
      </c>
    </row>
    <row r="1440">
      <c r="A1440" t="inlineStr">
        <is>
          <t>No</t>
        </is>
      </c>
      <c r="B1440" t="inlineStr">
        <is>
          <t>CURAL</t>
        </is>
      </c>
      <c r="C1440" t="inlineStr">
        <is>
          <t>SHELVES</t>
        </is>
      </c>
      <c r="D1440" t="inlineStr">
        <is>
          <t>PR4037 .D4</t>
        </is>
      </c>
      <c r="E1440" t="inlineStr">
        <is>
          <t>0                      PR 4037000D  4</t>
        </is>
      </c>
      <c r="F1440" t="inlineStr">
        <is>
          <t>Jane Austen and Samuel Johnson / Peter L. De Rose.</t>
        </is>
      </c>
      <c r="H1440" t="inlineStr">
        <is>
          <t>No</t>
        </is>
      </c>
      <c r="I1440" t="inlineStr">
        <is>
          <t>1</t>
        </is>
      </c>
      <c r="J1440" t="inlineStr">
        <is>
          <t>No</t>
        </is>
      </c>
      <c r="K1440" t="inlineStr">
        <is>
          <t>No</t>
        </is>
      </c>
      <c r="L1440" t="inlineStr">
        <is>
          <t>0</t>
        </is>
      </c>
      <c r="M1440" t="inlineStr">
        <is>
          <t>De Rose, Peter L.</t>
        </is>
      </c>
      <c r="N1440" t="inlineStr">
        <is>
          <t>Washington, D.C. : University Press of America, c1980.</t>
        </is>
      </c>
      <c r="O1440" t="inlineStr">
        <is>
          <t>1980</t>
        </is>
      </c>
      <c r="Q1440" t="inlineStr">
        <is>
          <t>eng</t>
        </is>
      </c>
      <c r="R1440" t="inlineStr">
        <is>
          <t>dcu</t>
        </is>
      </c>
      <c r="T1440" t="inlineStr">
        <is>
          <t xml:space="preserve">PR </t>
        </is>
      </c>
      <c r="U1440" t="n">
        <v>2</v>
      </c>
      <c r="V1440" t="n">
        <v>2</v>
      </c>
      <c r="W1440" t="inlineStr">
        <is>
          <t>2001-04-24</t>
        </is>
      </c>
      <c r="X1440" t="inlineStr">
        <is>
          <t>2001-04-24</t>
        </is>
      </c>
      <c r="Y1440" t="inlineStr">
        <is>
          <t>1991-11-13</t>
        </is>
      </c>
      <c r="Z1440" t="inlineStr">
        <is>
          <t>1991-11-13</t>
        </is>
      </c>
      <c r="AA1440" t="n">
        <v>279</v>
      </c>
      <c r="AB1440" t="n">
        <v>250</v>
      </c>
      <c r="AC1440" t="n">
        <v>253</v>
      </c>
      <c r="AD1440" t="n">
        <v>3</v>
      </c>
      <c r="AE1440" t="n">
        <v>3</v>
      </c>
      <c r="AF1440" t="n">
        <v>15</v>
      </c>
      <c r="AG1440" t="n">
        <v>15</v>
      </c>
      <c r="AH1440" t="n">
        <v>4</v>
      </c>
      <c r="AI1440" t="n">
        <v>4</v>
      </c>
      <c r="AJ1440" t="n">
        <v>5</v>
      </c>
      <c r="AK1440" t="n">
        <v>5</v>
      </c>
      <c r="AL1440" t="n">
        <v>8</v>
      </c>
      <c r="AM1440" t="n">
        <v>8</v>
      </c>
      <c r="AN1440" t="n">
        <v>2</v>
      </c>
      <c r="AO1440" t="n">
        <v>2</v>
      </c>
      <c r="AP1440" t="n">
        <v>0</v>
      </c>
      <c r="AQ1440" t="n">
        <v>0</v>
      </c>
      <c r="AR1440" t="inlineStr">
        <is>
          <t>No</t>
        </is>
      </c>
      <c r="AS1440" t="inlineStr">
        <is>
          <t>Yes</t>
        </is>
      </c>
      <c r="AT1440">
        <f>HYPERLINK("http://catalog.hathitrust.org/Record/000741053","HathiTrust Record")</f>
        <v/>
      </c>
      <c r="AU1440">
        <f>HYPERLINK("https://creighton-primo.hosted.exlibrisgroup.com/primo-explore/search?tab=default_tab&amp;search_scope=EVERYTHING&amp;vid=01CRU&amp;lang=en_US&amp;offset=0&amp;query=any,contains,991004944999702656","Catalog Record")</f>
        <v/>
      </c>
      <c r="AV1440">
        <f>HYPERLINK("http://www.worldcat.org/oclc/6200026","WorldCat Record")</f>
        <v/>
      </c>
      <c r="AW1440" t="inlineStr">
        <is>
          <t>483048:eng</t>
        </is>
      </c>
      <c r="AX1440" t="inlineStr">
        <is>
          <t>6200026</t>
        </is>
      </c>
      <c r="AY1440" t="inlineStr">
        <is>
          <t>991004944999702656</t>
        </is>
      </c>
      <c r="AZ1440" t="inlineStr">
        <is>
          <t>991004944999702656</t>
        </is>
      </c>
      <c r="BA1440" t="inlineStr">
        <is>
          <t>2262026340002656</t>
        </is>
      </c>
      <c r="BB1440" t="inlineStr">
        <is>
          <t>BOOK</t>
        </is>
      </c>
      <c r="BD1440" t="inlineStr">
        <is>
          <t>9780819110732</t>
        </is>
      </c>
      <c r="BE1440" t="inlineStr">
        <is>
          <t>32285000822980</t>
        </is>
      </c>
      <c r="BF1440" t="inlineStr">
        <is>
          <t>893688398</t>
        </is>
      </c>
    </row>
    <row r="1441">
      <c r="A1441" t="inlineStr">
        <is>
          <t>No</t>
        </is>
      </c>
      <c r="B1441" t="inlineStr">
        <is>
          <t>CURAL</t>
        </is>
      </c>
      <c r="C1441" t="inlineStr">
        <is>
          <t>SHELVES</t>
        </is>
      </c>
      <c r="D1441" t="inlineStr">
        <is>
          <t>PR4037 .G6</t>
        </is>
      </c>
      <c r="E1441" t="inlineStr">
        <is>
          <t>0                      PR 4037000G  6</t>
        </is>
      </c>
      <c r="F1441" t="inlineStr">
        <is>
          <t>Jane Austen.</t>
        </is>
      </c>
      <c r="H1441" t="inlineStr">
        <is>
          <t>No</t>
        </is>
      </c>
      <c r="I1441" t="inlineStr">
        <is>
          <t>1</t>
        </is>
      </c>
      <c r="J1441" t="inlineStr">
        <is>
          <t>No</t>
        </is>
      </c>
      <c r="K1441" t="inlineStr">
        <is>
          <t>No</t>
        </is>
      </c>
      <c r="L1441" t="inlineStr">
        <is>
          <t>0</t>
        </is>
      </c>
      <c r="M1441" t="inlineStr">
        <is>
          <t>Gooneratne, Yasmine, 1935-</t>
        </is>
      </c>
      <c r="N1441" t="inlineStr">
        <is>
          <t>Cambridge [Eng.] University Press, 1970.</t>
        </is>
      </c>
      <c r="O1441" t="inlineStr">
        <is>
          <t>1970</t>
        </is>
      </c>
      <c r="Q1441" t="inlineStr">
        <is>
          <t>eng</t>
        </is>
      </c>
      <c r="R1441" t="inlineStr">
        <is>
          <t>enk</t>
        </is>
      </c>
      <c r="S1441" t="inlineStr">
        <is>
          <t>British authors, introductory critical studies</t>
        </is>
      </c>
      <c r="T1441" t="inlineStr">
        <is>
          <t xml:space="preserve">PR </t>
        </is>
      </c>
      <c r="U1441" t="n">
        <v>2</v>
      </c>
      <c r="V1441" t="n">
        <v>2</v>
      </c>
      <c r="W1441" t="inlineStr">
        <is>
          <t>1997-11-14</t>
        </is>
      </c>
      <c r="X1441" t="inlineStr">
        <is>
          <t>1997-11-14</t>
        </is>
      </c>
      <c r="Y1441" t="inlineStr">
        <is>
          <t>1997-06-20</t>
        </is>
      </c>
      <c r="Z1441" t="inlineStr">
        <is>
          <t>1997-06-20</t>
        </is>
      </c>
      <c r="AA1441" t="n">
        <v>723</v>
      </c>
      <c r="AB1441" t="n">
        <v>504</v>
      </c>
      <c r="AC1441" t="n">
        <v>512</v>
      </c>
      <c r="AD1441" t="n">
        <v>4</v>
      </c>
      <c r="AE1441" t="n">
        <v>4</v>
      </c>
      <c r="AF1441" t="n">
        <v>22</v>
      </c>
      <c r="AG1441" t="n">
        <v>22</v>
      </c>
      <c r="AH1441" t="n">
        <v>5</v>
      </c>
      <c r="AI1441" t="n">
        <v>5</v>
      </c>
      <c r="AJ1441" t="n">
        <v>6</v>
      </c>
      <c r="AK1441" t="n">
        <v>6</v>
      </c>
      <c r="AL1441" t="n">
        <v>14</v>
      </c>
      <c r="AM1441" t="n">
        <v>14</v>
      </c>
      <c r="AN1441" t="n">
        <v>3</v>
      </c>
      <c r="AO1441" t="n">
        <v>3</v>
      </c>
      <c r="AP1441" t="n">
        <v>0</v>
      </c>
      <c r="AQ1441" t="n">
        <v>0</v>
      </c>
      <c r="AR1441" t="inlineStr">
        <is>
          <t>No</t>
        </is>
      </c>
      <c r="AS1441" t="inlineStr">
        <is>
          <t>No</t>
        </is>
      </c>
      <c r="AU1441">
        <f>HYPERLINK("https://creighton-primo.hosted.exlibrisgroup.com/primo-explore/search?tab=default_tab&amp;search_scope=EVERYTHING&amp;vid=01CRU&amp;lang=en_US&amp;offset=0&amp;query=any,contains,991000627249702656","Catalog Record")</f>
        <v/>
      </c>
      <c r="AV1441">
        <f>HYPERLINK("http://www.worldcat.org/oclc/104748","WorldCat Record")</f>
        <v/>
      </c>
      <c r="AW1441" t="inlineStr">
        <is>
          <t>3943270924:eng</t>
        </is>
      </c>
      <c r="AX1441" t="inlineStr">
        <is>
          <t>104748</t>
        </is>
      </c>
      <c r="AY1441" t="inlineStr">
        <is>
          <t>991000627249702656</t>
        </is>
      </c>
      <c r="AZ1441" t="inlineStr">
        <is>
          <t>991000627249702656</t>
        </is>
      </c>
      <c r="BA1441" t="inlineStr">
        <is>
          <t>2260550460002656</t>
        </is>
      </c>
      <c r="BB1441" t="inlineStr">
        <is>
          <t>BOOK</t>
        </is>
      </c>
      <c r="BD1441" t="inlineStr">
        <is>
          <t>9780521078436</t>
        </is>
      </c>
      <c r="BE1441" t="inlineStr">
        <is>
          <t>32285002772621</t>
        </is>
      </c>
      <c r="BF1441" t="inlineStr">
        <is>
          <t>893689878</t>
        </is>
      </c>
    </row>
    <row r="1442">
      <c r="A1442" t="inlineStr">
        <is>
          <t>No</t>
        </is>
      </c>
      <c r="B1442" t="inlineStr">
        <is>
          <t>CURAL</t>
        </is>
      </c>
      <c r="C1442" t="inlineStr">
        <is>
          <t>SHELVES</t>
        </is>
      </c>
      <c r="D1442" t="inlineStr">
        <is>
          <t>PR4037 .H35</t>
        </is>
      </c>
      <c r="E1442" t="inlineStr">
        <is>
          <t>0                      PR 4037000H  35</t>
        </is>
      </c>
      <c r="F1442" t="inlineStr">
        <is>
          <t>The Osprey guide to Jane Austen / [by] Michael Hardwick.</t>
        </is>
      </c>
      <c r="H1442" t="inlineStr">
        <is>
          <t>No</t>
        </is>
      </c>
      <c r="I1442" t="inlineStr">
        <is>
          <t>1</t>
        </is>
      </c>
      <c r="J1442" t="inlineStr">
        <is>
          <t>No</t>
        </is>
      </c>
      <c r="K1442" t="inlineStr">
        <is>
          <t>No</t>
        </is>
      </c>
      <c r="L1442" t="inlineStr">
        <is>
          <t>0</t>
        </is>
      </c>
      <c r="M1442" t="inlineStr">
        <is>
          <t>Hardwick, Michael, 1924-1991.</t>
        </is>
      </c>
      <c r="N1442" t="inlineStr">
        <is>
          <t>Reading : Osprey Publishing, 1973.</t>
        </is>
      </c>
      <c r="O1442" t="inlineStr">
        <is>
          <t>1973</t>
        </is>
      </c>
      <c r="Q1442" t="inlineStr">
        <is>
          <t>eng</t>
        </is>
      </c>
      <c r="R1442" t="inlineStr">
        <is>
          <t>enk</t>
        </is>
      </c>
      <c r="S1442" t="inlineStr">
        <is>
          <t>The Osprey guides</t>
        </is>
      </c>
      <c r="T1442" t="inlineStr">
        <is>
          <t xml:space="preserve">PR </t>
        </is>
      </c>
      <c r="U1442" t="n">
        <v>2</v>
      </c>
      <c r="V1442" t="n">
        <v>2</v>
      </c>
      <c r="W1442" t="inlineStr">
        <is>
          <t>2003-03-31</t>
        </is>
      </c>
      <c r="X1442" t="inlineStr">
        <is>
          <t>2003-03-31</t>
        </is>
      </c>
      <c r="Y1442" t="inlineStr">
        <is>
          <t>1991-11-13</t>
        </is>
      </c>
      <c r="Z1442" t="inlineStr">
        <is>
          <t>1991-11-13</t>
        </is>
      </c>
      <c r="AA1442" t="n">
        <v>120</v>
      </c>
      <c r="AB1442" t="n">
        <v>48</v>
      </c>
      <c r="AC1442" t="n">
        <v>51</v>
      </c>
      <c r="AD1442" t="n">
        <v>1</v>
      </c>
      <c r="AE1442" t="n">
        <v>1</v>
      </c>
      <c r="AF1442" t="n">
        <v>2</v>
      </c>
      <c r="AG1442" t="n">
        <v>3</v>
      </c>
      <c r="AH1442" t="n">
        <v>0</v>
      </c>
      <c r="AI1442" t="n">
        <v>0</v>
      </c>
      <c r="AJ1442" t="n">
        <v>2</v>
      </c>
      <c r="AK1442" t="n">
        <v>2</v>
      </c>
      <c r="AL1442" t="n">
        <v>2</v>
      </c>
      <c r="AM1442" t="n">
        <v>3</v>
      </c>
      <c r="AN1442" t="n">
        <v>0</v>
      </c>
      <c r="AO1442" t="n">
        <v>0</v>
      </c>
      <c r="AP1442" t="n">
        <v>0</v>
      </c>
      <c r="AQ1442" t="n">
        <v>0</v>
      </c>
      <c r="AR1442" t="inlineStr">
        <is>
          <t>No</t>
        </is>
      </c>
      <c r="AS1442" t="inlineStr">
        <is>
          <t>No</t>
        </is>
      </c>
      <c r="AU1442">
        <f>HYPERLINK("https://creighton-primo.hosted.exlibrisgroup.com/primo-explore/search?tab=default_tab&amp;search_scope=EVERYTHING&amp;vid=01CRU&amp;lang=en_US&amp;offset=0&amp;query=any,contains,991003448989702656","Catalog Record")</f>
        <v/>
      </c>
      <c r="AV1442">
        <f>HYPERLINK("http://www.worldcat.org/oclc/984634","WorldCat Record")</f>
        <v/>
      </c>
      <c r="AW1442" t="inlineStr">
        <is>
          <t>935744697:eng</t>
        </is>
      </c>
      <c r="AX1442" t="inlineStr">
        <is>
          <t>984634</t>
        </is>
      </c>
      <c r="AY1442" t="inlineStr">
        <is>
          <t>991003448989702656</t>
        </is>
      </c>
      <c r="AZ1442" t="inlineStr">
        <is>
          <t>991003448989702656</t>
        </is>
      </c>
      <c r="BA1442" t="inlineStr">
        <is>
          <t>2272638890002656</t>
        </is>
      </c>
      <c r="BB1442" t="inlineStr">
        <is>
          <t>BOOK</t>
        </is>
      </c>
      <c r="BD1442" t="inlineStr">
        <is>
          <t>9780850451566</t>
        </is>
      </c>
      <c r="BE1442" t="inlineStr">
        <is>
          <t>32285000823012</t>
        </is>
      </c>
      <c r="BF1442" t="inlineStr">
        <is>
          <t>893234169</t>
        </is>
      </c>
    </row>
    <row r="1443">
      <c r="A1443" t="inlineStr">
        <is>
          <t>No</t>
        </is>
      </c>
      <c r="B1443" t="inlineStr">
        <is>
          <t>CURAL</t>
        </is>
      </c>
      <c r="C1443" t="inlineStr">
        <is>
          <t>SHELVES</t>
        </is>
      </c>
      <c r="D1443" t="inlineStr">
        <is>
          <t>PR4037 .J3</t>
        </is>
      </c>
      <c r="E1443" t="inlineStr">
        <is>
          <t>0                      PR 4037000J  3</t>
        </is>
      </c>
      <c r="F1443" t="inlineStr">
        <is>
          <t>Jane Austen : bicentenary essays / edited by John Halperin.</t>
        </is>
      </c>
      <c r="H1443" t="inlineStr">
        <is>
          <t>No</t>
        </is>
      </c>
      <c r="I1443" t="inlineStr">
        <is>
          <t>1</t>
        </is>
      </c>
      <c r="J1443" t="inlineStr">
        <is>
          <t>No</t>
        </is>
      </c>
      <c r="K1443" t="inlineStr">
        <is>
          <t>Yes</t>
        </is>
      </c>
      <c r="L1443" t="inlineStr">
        <is>
          <t>0</t>
        </is>
      </c>
      <c r="N1443" t="inlineStr">
        <is>
          <t>Cambridge [Eng.] ; New York : Cambridge University Press, 1975.</t>
        </is>
      </c>
      <c r="O1443" t="inlineStr">
        <is>
          <t>1975</t>
        </is>
      </c>
      <c r="Q1443" t="inlineStr">
        <is>
          <t>eng</t>
        </is>
      </c>
      <c r="R1443" t="inlineStr">
        <is>
          <t>enk</t>
        </is>
      </c>
      <c r="T1443" t="inlineStr">
        <is>
          <t xml:space="preserve">PR </t>
        </is>
      </c>
      <c r="U1443" t="n">
        <v>10</v>
      </c>
      <c r="V1443" t="n">
        <v>10</v>
      </c>
      <c r="W1443" t="inlineStr">
        <is>
          <t>2010-05-02</t>
        </is>
      </c>
      <c r="X1443" t="inlineStr">
        <is>
          <t>2010-05-02</t>
        </is>
      </c>
      <c r="Y1443" t="inlineStr">
        <is>
          <t>1991-11-13</t>
        </is>
      </c>
      <c r="Z1443" t="inlineStr">
        <is>
          <t>1991-11-13</t>
        </is>
      </c>
      <c r="AA1443" t="n">
        <v>1025</v>
      </c>
      <c r="AB1443" t="n">
        <v>814</v>
      </c>
      <c r="AC1443" t="n">
        <v>1689</v>
      </c>
      <c r="AD1443" t="n">
        <v>7</v>
      </c>
      <c r="AE1443" t="n">
        <v>13</v>
      </c>
      <c r="AF1443" t="n">
        <v>42</v>
      </c>
      <c r="AG1443" t="n">
        <v>58</v>
      </c>
      <c r="AH1443" t="n">
        <v>17</v>
      </c>
      <c r="AI1443" t="n">
        <v>26</v>
      </c>
      <c r="AJ1443" t="n">
        <v>10</v>
      </c>
      <c r="AK1443" t="n">
        <v>10</v>
      </c>
      <c r="AL1443" t="n">
        <v>20</v>
      </c>
      <c r="AM1443" t="n">
        <v>26</v>
      </c>
      <c r="AN1443" t="n">
        <v>6</v>
      </c>
      <c r="AO1443" t="n">
        <v>10</v>
      </c>
      <c r="AP1443" t="n">
        <v>0</v>
      </c>
      <c r="AQ1443" t="n">
        <v>0</v>
      </c>
      <c r="AR1443" t="inlineStr">
        <is>
          <t>No</t>
        </is>
      </c>
      <c r="AS1443" t="inlineStr">
        <is>
          <t>No</t>
        </is>
      </c>
      <c r="AU1443">
        <f>HYPERLINK("https://creighton-primo.hosted.exlibrisgroup.com/primo-explore/search?tab=default_tab&amp;search_scope=EVERYTHING&amp;vid=01CRU&amp;lang=en_US&amp;offset=0&amp;query=any,contains,991003990589702656","Catalog Record")</f>
        <v/>
      </c>
      <c r="AV1443">
        <f>HYPERLINK("http://www.worldcat.org/oclc/2044846","WorldCat Record")</f>
        <v/>
      </c>
      <c r="AW1443" t="inlineStr">
        <is>
          <t>3073497:eng</t>
        </is>
      </c>
      <c r="AX1443" t="inlineStr">
        <is>
          <t>2044846</t>
        </is>
      </c>
      <c r="AY1443" t="inlineStr">
        <is>
          <t>991003990589702656</t>
        </is>
      </c>
      <c r="AZ1443" t="inlineStr">
        <is>
          <t>991003990589702656</t>
        </is>
      </c>
      <c r="BA1443" t="inlineStr">
        <is>
          <t>2271328380002656</t>
        </is>
      </c>
      <c r="BB1443" t="inlineStr">
        <is>
          <t>BOOK</t>
        </is>
      </c>
      <c r="BD1443" t="inlineStr">
        <is>
          <t>9780521207096</t>
        </is>
      </c>
      <c r="BE1443" t="inlineStr">
        <is>
          <t>32285000823020</t>
        </is>
      </c>
      <c r="BF1443" t="inlineStr">
        <is>
          <t>893888191</t>
        </is>
      </c>
    </row>
    <row r="1444">
      <c r="A1444" t="inlineStr">
        <is>
          <t>No</t>
        </is>
      </c>
      <c r="B1444" t="inlineStr">
        <is>
          <t>CURAL</t>
        </is>
      </c>
      <c r="C1444" t="inlineStr">
        <is>
          <t>SHELVES</t>
        </is>
      </c>
      <c r="D1444" t="inlineStr">
        <is>
          <t>PR4037 .J34</t>
        </is>
      </c>
      <c r="E1444" t="inlineStr">
        <is>
          <t>0                      PR 4037000J  34</t>
        </is>
      </c>
      <c r="F1444" t="inlineStr">
        <is>
          <t>Jane Austen today / edited by Joel Weinsheimer.</t>
        </is>
      </c>
      <c r="H1444" t="inlineStr">
        <is>
          <t>No</t>
        </is>
      </c>
      <c r="I1444" t="inlineStr">
        <is>
          <t>1</t>
        </is>
      </c>
      <c r="J1444" t="inlineStr">
        <is>
          <t>No</t>
        </is>
      </c>
      <c r="K1444" t="inlineStr">
        <is>
          <t>No</t>
        </is>
      </c>
      <c r="L1444" t="inlineStr">
        <is>
          <t>0</t>
        </is>
      </c>
      <c r="N1444" t="inlineStr">
        <is>
          <t>Athens : University of Georgia Press, c1975.</t>
        </is>
      </c>
      <c r="O1444" t="inlineStr">
        <is>
          <t>1975</t>
        </is>
      </c>
      <c r="Q1444" t="inlineStr">
        <is>
          <t>eng</t>
        </is>
      </c>
      <c r="R1444" t="inlineStr">
        <is>
          <t>gau</t>
        </is>
      </c>
      <c r="T1444" t="inlineStr">
        <is>
          <t xml:space="preserve">PR </t>
        </is>
      </c>
      <c r="U1444" t="n">
        <v>4</v>
      </c>
      <c r="V1444" t="n">
        <v>4</v>
      </c>
      <c r="W1444" t="inlineStr">
        <is>
          <t>1999-12-13</t>
        </is>
      </c>
      <c r="X1444" t="inlineStr">
        <is>
          <t>1999-12-13</t>
        </is>
      </c>
      <c r="Y1444" t="inlineStr">
        <is>
          <t>1997-06-20</t>
        </is>
      </c>
      <c r="Z1444" t="inlineStr">
        <is>
          <t>1997-06-20</t>
        </is>
      </c>
      <c r="AA1444" t="n">
        <v>856</v>
      </c>
      <c r="AB1444" t="n">
        <v>721</v>
      </c>
      <c r="AC1444" t="n">
        <v>723</v>
      </c>
      <c r="AD1444" t="n">
        <v>7</v>
      </c>
      <c r="AE1444" t="n">
        <v>7</v>
      </c>
      <c r="AF1444" t="n">
        <v>37</v>
      </c>
      <c r="AG1444" t="n">
        <v>37</v>
      </c>
      <c r="AH1444" t="n">
        <v>14</v>
      </c>
      <c r="AI1444" t="n">
        <v>14</v>
      </c>
      <c r="AJ1444" t="n">
        <v>9</v>
      </c>
      <c r="AK1444" t="n">
        <v>9</v>
      </c>
      <c r="AL1444" t="n">
        <v>19</v>
      </c>
      <c r="AM1444" t="n">
        <v>19</v>
      </c>
      <c r="AN1444" t="n">
        <v>6</v>
      </c>
      <c r="AO1444" t="n">
        <v>6</v>
      </c>
      <c r="AP1444" t="n">
        <v>0</v>
      </c>
      <c r="AQ1444" t="n">
        <v>0</v>
      </c>
      <c r="AR1444" t="inlineStr">
        <is>
          <t>No</t>
        </is>
      </c>
      <c r="AS1444" t="inlineStr">
        <is>
          <t>Yes</t>
        </is>
      </c>
      <c r="AT1444">
        <f>HYPERLINK("http://catalog.hathitrust.org/Record/000707811","HathiTrust Record")</f>
        <v/>
      </c>
      <c r="AU1444">
        <f>HYPERLINK("https://creighton-primo.hosted.exlibrisgroup.com/primo-explore/search?tab=default_tab&amp;search_scope=EVERYTHING&amp;vid=01CRU&amp;lang=en_US&amp;offset=0&amp;query=any,contains,991003950859702656","Catalog Record")</f>
        <v/>
      </c>
      <c r="AV1444">
        <f>HYPERLINK("http://www.worldcat.org/oclc/1958071","WorldCat Record")</f>
        <v/>
      </c>
      <c r="AW1444" t="inlineStr">
        <is>
          <t>2622446:eng</t>
        </is>
      </c>
      <c r="AX1444" t="inlineStr">
        <is>
          <t>1958071</t>
        </is>
      </c>
      <c r="AY1444" t="inlineStr">
        <is>
          <t>991003950859702656</t>
        </is>
      </c>
      <c r="AZ1444" t="inlineStr">
        <is>
          <t>991003950859702656</t>
        </is>
      </c>
      <c r="BA1444" t="inlineStr">
        <is>
          <t>2263023660002656</t>
        </is>
      </c>
      <c r="BB1444" t="inlineStr">
        <is>
          <t>BOOK</t>
        </is>
      </c>
      <c r="BD1444" t="inlineStr">
        <is>
          <t>9780820303826</t>
        </is>
      </c>
      <c r="BE1444" t="inlineStr">
        <is>
          <t>32285002772654</t>
        </is>
      </c>
      <c r="BF1444" t="inlineStr">
        <is>
          <t>893535732</t>
        </is>
      </c>
    </row>
    <row r="1445">
      <c r="A1445" t="inlineStr">
        <is>
          <t>No</t>
        </is>
      </c>
      <c r="B1445" t="inlineStr">
        <is>
          <t>CURAL</t>
        </is>
      </c>
      <c r="C1445" t="inlineStr">
        <is>
          <t>SHELVES</t>
        </is>
      </c>
      <c r="D1445" t="inlineStr">
        <is>
          <t>PR4037 .L5</t>
        </is>
      </c>
      <c r="E1445" t="inlineStr">
        <is>
          <t>0                      PR 4037000L  5</t>
        </is>
      </c>
      <c r="F1445" t="inlineStr">
        <is>
          <t>The novels of Jane Austen.</t>
        </is>
      </c>
      <c r="H1445" t="inlineStr">
        <is>
          <t>No</t>
        </is>
      </c>
      <c r="I1445" t="inlineStr">
        <is>
          <t>1</t>
        </is>
      </c>
      <c r="J1445" t="inlineStr">
        <is>
          <t>No</t>
        </is>
      </c>
      <c r="K1445" t="inlineStr">
        <is>
          <t>No</t>
        </is>
      </c>
      <c r="L1445" t="inlineStr">
        <is>
          <t>0</t>
        </is>
      </c>
      <c r="M1445" t="inlineStr">
        <is>
          <t>Liddell, Robert, 1908-1992.</t>
        </is>
      </c>
      <c r="N1445" t="inlineStr">
        <is>
          <t>[London] Longmans [1963]</t>
        </is>
      </c>
      <c r="O1445" t="inlineStr">
        <is>
          <t>1963</t>
        </is>
      </c>
      <c r="Q1445" t="inlineStr">
        <is>
          <t>eng</t>
        </is>
      </c>
      <c r="R1445" t="inlineStr">
        <is>
          <t>enk</t>
        </is>
      </c>
      <c r="T1445" t="inlineStr">
        <is>
          <t xml:space="preserve">PR </t>
        </is>
      </c>
      <c r="U1445" t="n">
        <v>1</v>
      </c>
      <c r="V1445" t="n">
        <v>1</v>
      </c>
      <c r="W1445" t="inlineStr">
        <is>
          <t>2003-02-21</t>
        </is>
      </c>
      <c r="X1445" t="inlineStr">
        <is>
          <t>2003-02-21</t>
        </is>
      </c>
      <c r="Y1445" t="inlineStr">
        <is>
          <t>1998-02-09</t>
        </is>
      </c>
      <c r="Z1445" t="inlineStr">
        <is>
          <t>1998-02-09</t>
        </is>
      </c>
      <c r="AA1445" t="n">
        <v>678</v>
      </c>
      <c r="AB1445" t="n">
        <v>512</v>
      </c>
      <c r="AC1445" t="n">
        <v>548</v>
      </c>
      <c r="AD1445" t="n">
        <v>3</v>
      </c>
      <c r="AE1445" t="n">
        <v>3</v>
      </c>
      <c r="AF1445" t="n">
        <v>27</v>
      </c>
      <c r="AG1445" t="n">
        <v>28</v>
      </c>
      <c r="AH1445" t="n">
        <v>9</v>
      </c>
      <c r="AI1445" t="n">
        <v>10</v>
      </c>
      <c r="AJ1445" t="n">
        <v>7</v>
      </c>
      <c r="AK1445" t="n">
        <v>7</v>
      </c>
      <c r="AL1445" t="n">
        <v>16</v>
      </c>
      <c r="AM1445" t="n">
        <v>17</v>
      </c>
      <c r="AN1445" t="n">
        <v>2</v>
      </c>
      <c r="AO1445" t="n">
        <v>2</v>
      </c>
      <c r="AP1445" t="n">
        <v>0</v>
      </c>
      <c r="AQ1445" t="n">
        <v>0</v>
      </c>
      <c r="AR1445" t="inlineStr">
        <is>
          <t>No</t>
        </is>
      </c>
      <c r="AS1445" t="inlineStr">
        <is>
          <t>Yes</t>
        </is>
      </c>
      <c r="AT1445">
        <f>HYPERLINK("http://catalog.hathitrust.org/Record/000354497","HathiTrust Record")</f>
        <v/>
      </c>
      <c r="AU1445">
        <f>HYPERLINK("https://creighton-primo.hosted.exlibrisgroup.com/primo-explore/search?tab=default_tab&amp;search_scope=EVERYTHING&amp;vid=01CRU&amp;lang=en_US&amp;offset=0&amp;query=any,contains,991002461129702656","Catalog Record")</f>
        <v/>
      </c>
      <c r="AV1445">
        <f>HYPERLINK("http://www.worldcat.org/oclc/355921","WorldCat Record")</f>
        <v/>
      </c>
      <c r="AW1445" t="inlineStr">
        <is>
          <t>1399170:eng</t>
        </is>
      </c>
      <c r="AX1445" t="inlineStr">
        <is>
          <t>355921</t>
        </is>
      </c>
      <c r="AY1445" t="inlineStr">
        <is>
          <t>991002461129702656</t>
        </is>
      </c>
      <c r="AZ1445" t="inlineStr">
        <is>
          <t>991002461129702656</t>
        </is>
      </c>
      <c r="BA1445" t="inlineStr">
        <is>
          <t>2264808010002656</t>
        </is>
      </c>
      <c r="BB1445" t="inlineStr">
        <is>
          <t>BOOK</t>
        </is>
      </c>
      <c r="BE1445" t="inlineStr">
        <is>
          <t>32285003342358</t>
        </is>
      </c>
      <c r="BF1445" t="inlineStr">
        <is>
          <t>893892573</t>
        </is>
      </c>
    </row>
    <row r="1446">
      <c r="A1446" t="inlineStr">
        <is>
          <t>No</t>
        </is>
      </c>
      <c r="B1446" t="inlineStr">
        <is>
          <t>CURAL</t>
        </is>
      </c>
      <c r="C1446" t="inlineStr">
        <is>
          <t>SHELVES</t>
        </is>
      </c>
      <c r="D1446" t="inlineStr">
        <is>
          <t>PR4037 .M6</t>
        </is>
      </c>
      <c r="E1446" t="inlineStr">
        <is>
          <t>0                      PR 4037000M  6</t>
        </is>
      </c>
      <c r="F1446" t="inlineStr">
        <is>
          <t>Jane Austen's art of allusion [by] Kenneth L. Moler.</t>
        </is>
      </c>
      <c r="H1446" t="inlineStr">
        <is>
          <t>No</t>
        </is>
      </c>
      <c r="I1446" t="inlineStr">
        <is>
          <t>1</t>
        </is>
      </c>
      <c r="J1446" t="inlineStr">
        <is>
          <t>No</t>
        </is>
      </c>
      <c r="K1446" t="inlineStr">
        <is>
          <t>No</t>
        </is>
      </c>
      <c r="L1446" t="inlineStr">
        <is>
          <t>0</t>
        </is>
      </c>
      <c r="M1446" t="inlineStr">
        <is>
          <t>Moler, Kenneth L.</t>
        </is>
      </c>
      <c r="N1446" t="inlineStr">
        <is>
          <t>Lincoln, University of Nebraska Press [1968]</t>
        </is>
      </c>
      <c r="O1446" t="inlineStr">
        <is>
          <t>1968</t>
        </is>
      </c>
      <c r="Q1446" t="inlineStr">
        <is>
          <t>eng</t>
        </is>
      </c>
      <c r="R1446" t="inlineStr">
        <is>
          <t>nbu</t>
        </is>
      </c>
      <c r="T1446" t="inlineStr">
        <is>
          <t xml:space="preserve">PR </t>
        </is>
      </c>
      <c r="U1446" t="n">
        <v>3</v>
      </c>
      <c r="V1446" t="n">
        <v>3</v>
      </c>
      <c r="W1446" t="inlineStr">
        <is>
          <t>2010-12-17</t>
        </is>
      </c>
      <c r="X1446" t="inlineStr">
        <is>
          <t>2010-12-17</t>
        </is>
      </c>
      <c r="Y1446" t="inlineStr">
        <is>
          <t>1997-06-20</t>
        </is>
      </c>
      <c r="Z1446" t="inlineStr">
        <is>
          <t>1997-06-20</t>
        </is>
      </c>
      <c r="AA1446" t="n">
        <v>797</v>
      </c>
      <c r="AB1446" t="n">
        <v>683</v>
      </c>
      <c r="AC1446" t="n">
        <v>686</v>
      </c>
      <c r="AD1446" t="n">
        <v>10</v>
      </c>
      <c r="AE1446" t="n">
        <v>10</v>
      </c>
      <c r="AF1446" t="n">
        <v>41</v>
      </c>
      <c r="AG1446" t="n">
        <v>41</v>
      </c>
      <c r="AH1446" t="n">
        <v>17</v>
      </c>
      <c r="AI1446" t="n">
        <v>17</v>
      </c>
      <c r="AJ1446" t="n">
        <v>6</v>
      </c>
      <c r="AK1446" t="n">
        <v>6</v>
      </c>
      <c r="AL1446" t="n">
        <v>20</v>
      </c>
      <c r="AM1446" t="n">
        <v>20</v>
      </c>
      <c r="AN1446" t="n">
        <v>8</v>
      </c>
      <c r="AO1446" t="n">
        <v>8</v>
      </c>
      <c r="AP1446" t="n">
        <v>0</v>
      </c>
      <c r="AQ1446" t="n">
        <v>0</v>
      </c>
      <c r="AR1446" t="inlineStr">
        <is>
          <t>No</t>
        </is>
      </c>
      <c r="AS1446" t="inlineStr">
        <is>
          <t>Yes</t>
        </is>
      </c>
      <c r="AT1446">
        <f>HYPERLINK("http://catalog.hathitrust.org/Record/000430015","HathiTrust Record")</f>
        <v/>
      </c>
      <c r="AU1446">
        <f>HYPERLINK("https://creighton-primo.hosted.exlibrisgroup.com/primo-explore/search?tab=default_tab&amp;search_scope=EVERYTHING&amp;vid=01CRU&amp;lang=en_US&amp;offset=0&amp;query=any,contains,991002468719702656","Catalog Record")</f>
        <v/>
      </c>
      <c r="AV1446">
        <f>HYPERLINK("http://www.worldcat.org/oclc/358260","WorldCat Record")</f>
        <v/>
      </c>
      <c r="AW1446" t="inlineStr">
        <is>
          <t>8908663985:eng</t>
        </is>
      </c>
      <c r="AX1446" t="inlineStr">
        <is>
          <t>358260</t>
        </is>
      </c>
      <c r="AY1446" t="inlineStr">
        <is>
          <t>991002468719702656</t>
        </is>
      </c>
      <c r="AZ1446" t="inlineStr">
        <is>
          <t>991002468719702656</t>
        </is>
      </c>
      <c r="BA1446" t="inlineStr">
        <is>
          <t>2266130060002656</t>
        </is>
      </c>
      <c r="BB1446" t="inlineStr">
        <is>
          <t>BOOK</t>
        </is>
      </c>
      <c r="BE1446" t="inlineStr">
        <is>
          <t>32285002772670</t>
        </is>
      </c>
      <c r="BF1446" t="inlineStr">
        <is>
          <t>893873558</t>
        </is>
      </c>
    </row>
    <row r="1447">
      <c r="A1447" t="inlineStr">
        <is>
          <t>No</t>
        </is>
      </c>
      <c r="B1447" t="inlineStr">
        <is>
          <t>CURAL</t>
        </is>
      </c>
      <c r="C1447" t="inlineStr">
        <is>
          <t>SHELVES</t>
        </is>
      </c>
      <c r="D1447" t="inlineStr">
        <is>
          <t>PR4037 .M8</t>
        </is>
      </c>
      <c r="E1447" t="inlineStr">
        <is>
          <t>0                      PR 4037000M  8</t>
        </is>
      </c>
      <c r="F1447" t="inlineStr">
        <is>
          <t>Jane Austen : irony as defense and discovery.</t>
        </is>
      </c>
      <c r="H1447" t="inlineStr">
        <is>
          <t>No</t>
        </is>
      </c>
      <c r="I1447" t="inlineStr">
        <is>
          <t>1</t>
        </is>
      </c>
      <c r="J1447" t="inlineStr">
        <is>
          <t>No</t>
        </is>
      </c>
      <c r="K1447" t="inlineStr">
        <is>
          <t>No</t>
        </is>
      </c>
      <c r="L1447" t="inlineStr">
        <is>
          <t>0</t>
        </is>
      </c>
      <c r="M1447" t="inlineStr">
        <is>
          <t>Mudrick, Marvin.</t>
        </is>
      </c>
      <c r="N1447" t="inlineStr">
        <is>
          <t>Princeton, Princeton University Press, 1952.</t>
        </is>
      </c>
      <c r="O1447" t="inlineStr">
        <is>
          <t>1952</t>
        </is>
      </c>
      <c r="Q1447" t="inlineStr">
        <is>
          <t>eng</t>
        </is>
      </c>
      <c r="R1447" t="inlineStr">
        <is>
          <t>nju</t>
        </is>
      </c>
      <c r="T1447" t="inlineStr">
        <is>
          <t xml:space="preserve">PR </t>
        </is>
      </c>
      <c r="U1447" t="n">
        <v>1</v>
      </c>
      <c r="V1447" t="n">
        <v>1</v>
      </c>
      <c r="W1447" t="inlineStr">
        <is>
          <t>2001-04-24</t>
        </is>
      </c>
      <c r="X1447" t="inlineStr">
        <is>
          <t>2001-04-24</t>
        </is>
      </c>
      <c r="Y1447" t="inlineStr">
        <is>
          <t>1998-06-10</t>
        </is>
      </c>
      <c r="Z1447" t="inlineStr">
        <is>
          <t>1998-06-10</t>
        </is>
      </c>
      <c r="AA1447" t="n">
        <v>805</v>
      </c>
      <c r="AB1447" t="n">
        <v>682</v>
      </c>
      <c r="AC1447" t="n">
        <v>1001</v>
      </c>
      <c r="AD1447" t="n">
        <v>10</v>
      </c>
      <c r="AE1447" t="n">
        <v>11</v>
      </c>
      <c r="AF1447" t="n">
        <v>41</v>
      </c>
      <c r="AG1447" t="n">
        <v>55</v>
      </c>
      <c r="AH1447" t="n">
        <v>18</v>
      </c>
      <c r="AI1447" t="n">
        <v>26</v>
      </c>
      <c r="AJ1447" t="n">
        <v>6</v>
      </c>
      <c r="AK1447" t="n">
        <v>8</v>
      </c>
      <c r="AL1447" t="n">
        <v>20</v>
      </c>
      <c r="AM1447" t="n">
        <v>25</v>
      </c>
      <c r="AN1447" t="n">
        <v>8</v>
      </c>
      <c r="AO1447" t="n">
        <v>9</v>
      </c>
      <c r="AP1447" t="n">
        <v>0</v>
      </c>
      <c r="AQ1447" t="n">
        <v>0</v>
      </c>
      <c r="AR1447" t="inlineStr">
        <is>
          <t>Yes</t>
        </is>
      </c>
      <c r="AS1447" t="inlineStr">
        <is>
          <t>No</t>
        </is>
      </c>
      <c r="AT1447">
        <f>HYPERLINK("http://catalog.hathitrust.org/Record/000430017","HathiTrust Record")</f>
        <v/>
      </c>
      <c r="AU1447">
        <f>HYPERLINK("https://creighton-primo.hosted.exlibrisgroup.com/primo-explore/search?tab=default_tab&amp;search_scope=EVERYTHING&amp;vid=01CRU&amp;lang=en_US&amp;offset=0&amp;query=any,contains,991002468749702656","Catalog Record")</f>
        <v/>
      </c>
      <c r="AV1447">
        <f>HYPERLINK("http://www.worldcat.org/oclc/358263","WorldCat Record")</f>
        <v/>
      </c>
      <c r="AW1447" t="inlineStr">
        <is>
          <t>1406133:eng</t>
        </is>
      </c>
      <c r="AX1447" t="inlineStr">
        <is>
          <t>358263</t>
        </is>
      </c>
      <c r="AY1447" t="inlineStr">
        <is>
          <t>991002468749702656</t>
        </is>
      </c>
      <c r="AZ1447" t="inlineStr">
        <is>
          <t>991002468749702656</t>
        </is>
      </c>
      <c r="BA1447" t="inlineStr">
        <is>
          <t>2266148570002656</t>
        </is>
      </c>
      <c r="BB1447" t="inlineStr">
        <is>
          <t>BOOK</t>
        </is>
      </c>
      <c r="BE1447" t="inlineStr">
        <is>
          <t>32285003419115</t>
        </is>
      </c>
      <c r="BF1447" t="inlineStr">
        <is>
          <t>893591383</t>
        </is>
      </c>
    </row>
    <row r="1448">
      <c r="A1448" t="inlineStr">
        <is>
          <t>No</t>
        </is>
      </c>
      <c r="B1448" t="inlineStr">
        <is>
          <t>CURAL</t>
        </is>
      </c>
      <c r="C1448" t="inlineStr">
        <is>
          <t>SHELVES</t>
        </is>
      </c>
      <c r="D1448" t="inlineStr">
        <is>
          <t>PR4037 .O3</t>
        </is>
      </c>
      <c r="E1448" t="inlineStr">
        <is>
          <t>0                      PR 4037000O  3</t>
        </is>
      </c>
      <c r="F1448" t="inlineStr">
        <is>
          <t>An understanding of Jane Austen's novels : character, value and ironic perspective / John Odmark.</t>
        </is>
      </c>
      <c r="H1448" t="inlineStr">
        <is>
          <t>No</t>
        </is>
      </c>
      <c r="I1448" t="inlineStr">
        <is>
          <t>1</t>
        </is>
      </c>
      <c r="J1448" t="inlineStr">
        <is>
          <t>No</t>
        </is>
      </c>
      <c r="K1448" t="inlineStr">
        <is>
          <t>Yes</t>
        </is>
      </c>
      <c r="L1448" t="inlineStr">
        <is>
          <t>0</t>
        </is>
      </c>
      <c r="M1448" t="inlineStr">
        <is>
          <t>Odmark, John.</t>
        </is>
      </c>
      <c r="N1448" t="inlineStr">
        <is>
          <t>Oxford : Blackwell, 1981.</t>
        </is>
      </c>
      <c r="O1448" t="inlineStr">
        <is>
          <t>1981</t>
        </is>
      </c>
      <c r="Q1448" t="inlineStr">
        <is>
          <t>eng</t>
        </is>
      </c>
      <c r="R1448" t="inlineStr">
        <is>
          <t>enk</t>
        </is>
      </c>
      <c r="T1448" t="inlineStr">
        <is>
          <t xml:space="preserve">PR </t>
        </is>
      </c>
      <c r="U1448" t="n">
        <v>5</v>
      </c>
      <c r="V1448" t="n">
        <v>5</v>
      </c>
      <c r="W1448" t="inlineStr">
        <is>
          <t>2007-12-13</t>
        </is>
      </c>
      <c r="X1448" t="inlineStr">
        <is>
          <t>2007-12-13</t>
        </is>
      </c>
      <c r="Y1448" t="inlineStr">
        <is>
          <t>1990-08-01</t>
        </is>
      </c>
      <c r="Z1448" t="inlineStr">
        <is>
          <t>1990-08-01</t>
        </is>
      </c>
      <c r="AA1448" t="n">
        <v>274</v>
      </c>
      <c r="AB1448" t="n">
        <v>83</v>
      </c>
      <c r="AC1448" t="n">
        <v>401</v>
      </c>
      <c r="AD1448" t="n">
        <v>3</v>
      </c>
      <c r="AE1448" t="n">
        <v>4</v>
      </c>
      <c r="AF1448" t="n">
        <v>4</v>
      </c>
      <c r="AG1448" t="n">
        <v>17</v>
      </c>
      <c r="AH1448" t="n">
        <v>1</v>
      </c>
      <c r="AI1448" t="n">
        <v>6</v>
      </c>
      <c r="AJ1448" t="n">
        <v>1</v>
      </c>
      <c r="AK1448" t="n">
        <v>5</v>
      </c>
      <c r="AL1448" t="n">
        <v>2</v>
      </c>
      <c r="AM1448" t="n">
        <v>10</v>
      </c>
      <c r="AN1448" t="n">
        <v>2</v>
      </c>
      <c r="AO1448" t="n">
        <v>3</v>
      </c>
      <c r="AP1448" t="n">
        <v>0</v>
      </c>
      <c r="AQ1448" t="n">
        <v>0</v>
      </c>
      <c r="AR1448" t="inlineStr">
        <is>
          <t>No</t>
        </is>
      </c>
      <c r="AS1448" t="inlineStr">
        <is>
          <t>No</t>
        </is>
      </c>
      <c r="AU1448">
        <f>HYPERLINK("https://creighton-primo.hosted.exlibrisgroup.com/primo-explore/search?tab=default_tab&amp;search_scope=EVERYTHING&amp;vid=01CRU&amp;lang=en_US&amp;offset=0&amp;query=any,contains,991005148159702656","Catalog Record")</f>
        <v/>
      </c>
      <c r="AV1448">
        <f>HYPERLINK("http://www.worldcat.org/oclc/7673143","WorldCat Record")</f>
        <v/>
      </c>
      <c r="AW1448" t="inlineStr">
        <is>
          <t>197081171:eng</t>
        </is>
      </c>
      <c r="AX1448" t="inlineStr">
        <is>
          <t>7673143</t>
        </is>
      </c>
      <c r="AY1448" t="inlineStr">
        <is>
          <t>991005148159702656</t>
        </is>
      </c>
      <c r="AZ1448" t="inlineStr">
        <is>
          <t>991005148159702656</t>
        </is>
      </c>
      <c r="BA1448" t="inlineStr">
        <is>
          <t>2271261340002656</t>
        </is>
      </c>
      <c r="BB1448" t="inlineStr">
        <is>
          <t>BOOK</t>
        </is>
      </c>
      <c r="BD1448" t="inlineStr">
        <is>
          <t>9780631124948</t>
        </is>
      </c>
      <c r="BE1448" t="inlineStr">
        <is>
          <t>32285000262104</t>
        </is>
      </c>
      <c r="BF1448" t="inlineStr">
        <is>
          <t>893353725</t>
        </is>
      </c>
    </row>
    <row r="1449">
      <c r="A1449" t="inlineStr">
        <is>
          <t>No</t>
        </is>
      </c>
      <c r="B1449" t="inlineStr">
        <is>
          <t>CURAL</t>
        </is>
      </c>
      <c r="C1449" t="inlineStr">
        <is>
          <t>SHELVES</t>
        </is>
      </c>
      <c r="D1449" t="inlineStr">
        <is>
          <t>PR4037 .S36 1982</t>
        </is>
      </c>
      <c r="E1449" t="inlineStr">
        <is>
          <t>0                      PR 4037000S  36          1982</t>
        </is>
      </c>
      <c r="F1449" t="inlineStr">
        <is>
          <t>Jane Austen, a reassessment / by P.J.M. Scott.</t>
        </is>
      </c>
      <c r="H1449" t="inlineStr">
        <is>
          <t>No</t>
        </is>
      </c>
      <c r="I1449" t="inlineStr">
        <is>
          <t>1</t>
        </is>
      </c>
      <c r="J1449" t="inlineStr">
        <is>
          <t>No</t>
        </is>
      </c>
      <c r="K1449" t="inlineStr">
        <is>
          <t>No</t>
        </is>
      </c>
      <c r="L1449" t="inlineStr">
        <is>
          <t>0</t>
        </is>
      </c>
      <c r="M1449" t="inlineStr">
        <is>
          <t>Scott, P. J. M. (Peter James Malcolm)</t>
        </is>
      </c>
      <c r="N1449" t="inlineStr">
        <is>
          <t>London : Vision ; Totowa, N.J. : Barnes &amp; Noble, 1982.</t>
        </is>
      </c>
      <c r="O1449" t="inlineStr">
        <is>
          <t>1982</t>
        </is>
      </c>
      <c r="Q1449" t="inlineStr">
        <is>
          <t>eng</t>
        </is>
      </c>
      <c r="R1449" t="inlineStr">
        <is>
          <t>enk</t>
        </is>
      </c>
      <c r="S1449" t="inlineStr">
        <is>
          <t>Critical studies series</t>
        </is>
      </c>
      <c r="T1449" t="inlineStr">
        <is>
          <t xml:space="preserve">PR </t>
        </is>
      </c>
      <c r="U1449" t="n">
        <v>1</v>
      </c>
      <c r="V1449" t="n">
        <v>1</v>
      </c>
      <c r="W1449" t="inlineStr">
        <is>
          <t>2008-12-03</t>
        </is>
      </c>
      <c r="X1449" t="inlineStr">
        <is>
          <t>2008-12-03</t>
        </is>
      </c>
      <c r="Y1449" t="inlineStr">
        <is>
          <t>1991-11-13</t>
        </is>
      </c>
      <c r="Z1449" t="inlineStr">
        <is>
          <t>1991-11-13</t>
        </is>
      </c>
      <c r="AA1449" t="n">
        <v>450</v>
      </c>
      <c r="AB1449" t="n">
        <v>341</v>
      </c>
      <c r="AC1449" t="n">
        <v>343</v>
      </c>
      <c r="AD1449" t="n">
        <v>4</v>
      </c>
      <c r="AE1449" t="n">
        <v>4</v>
      </c>
      <c r="AF1449" t="n">
        <v>17</v>
      </c>
      <c r="AG1449" t="n">
        <v>17</v>
      </c>
      <c r="AH1449" t="n">
        <v>7</v>
      </c>
      <c r="AI1449" t="n">
        <v>7</v>
      </c>
      <c r="AJ1449" t="n">
        <v>3</v>
      </c>
      <c r="AK1449" t="n">
        <v>3</v>
      </c>
      <c r="AL1449" t="n">
        <v>12</v>
      </c>
      <c r="AM1449" t="n">
        <v>12</v>
      </c>
      <c r="AN1449" t="n">
        <v>3</v>
      </c>
      <c r="AO1449" t="n">
        <v>3</v>
      </c>
      <c r="AP1449" t="n">
        <v>0</v>
      </c>
      <c r="AQ1449" t="n">
        <v>0</v>
      </c>
      <c r="AR1449" t="inlineStr">
        <is>
          <t>No</t>
        </is>
      </c>
      <c r="AS1449" t="inlineStr">
        <is>
          <t>Yes</t>
        </is>
      </c>
      <c r="AT1449">
        <f>HYPERLINK("http://catalog.hathitrust.org/Record/000105016","HathiTrust Record")</f>
        <v/>
      </c>
      <c r="AU1449">
        <f>HYPERLINK("https://creighton-primo.hosted.exlibrisgroup.com/primo-explore/search?tab=default_tab&amp;search_scope=EVERYTHING&amp;vid=01CRU&amp;lang=en_US&amp;offset=0&amp;query=any,contains,991000120289702656","Catalog Record")</f>
        <v/>
      </c>
      <c r="AV1449">
        <f>HYPERLINK("http://www.worldcat.org/oclc/9066307","WorldCat Record")</f>
        <v/>
      </c>
      <c r="AW1449" t="inlineStr">
        <is>
          <t>1909642476:eng</t>
        </is>
      </c>
      <c r="AX1449" t="inlineStr">
        <is>
          <t>9066307</t>
        </is>
      </c>
      <c r="AY1449" t="inlineStr">
        <is>
          <t>991000120289702656</t>
        </is>
      </c>
      <c r="AZ1449" t="inlineStr">
        <is>
          <t>991000120289702656</t>
        </is>
      </c>
      <c r="BA1449" t="inlineStr">
        <is>
          <t>2269862520002656</t>
        </is>
      </c>
      <c r="BB1449" t="inlineStr">
        <is>
          <t>BOOK</t>
        </is>
      </c>
      <c r="BD1449" t="inlineStr">
        <is>
          <t>9780389202820</t>
        </is>
      </c>
      <c r="BE1449" t="inlineStr">
        <is>
          <t>32285000823061</t>
        </is>
      </c>
      <c r="BF1449" t="inlineStr">
        <is>
          <t>893495936</t>
        </is>
      </c>
    </row>
    <row r="1450">
      <c r="A1450" t="inlineStr">
        <is>
          <t>No</t>
        </is>
      </c>
      <c r="B1450" t="inlineStr">
        <is>
          <t>CURAL</t>
        </is>
      </c>
      <c r="C1450" t="inlineStr">
        <is>
          <t>SHELVES</t>
        </is>
      </c>
      <c r="D1450" t="inlineStr">
        <is>
          <t>PR4037 .S85 1990</t>
        </is>
      </c>
      <c r="E1450" t="inlineStr">
        <is>
          <t>0                      PR 4037000S  85          1990</t>
        </is>
      </c>
      <c r="F1450" t="inlineStr">
        <is>
          <t>Jane Austen and the province of womanhood / Alison G. Sulloway.</t>
        </is>
      </c>
      <c r="H1450" t="inlineStr">
        <is>
          <t>No</t>
        </is>
      </c>
      <c r="I1450" t="inlineStr">
        <is>
          <t>1</t>
        </is>
      </c>
      <c r="J1450" t="inlineStr">
        <is>
          <t>No</t>
        </is>
      </c>
      <c r="K1450" t="inlineStr">
        <is>
          <t>No</t>
        </is>
      </c>
      <c r="L1450" t="inlineStr">
        <is>
          <t>0</t>
        </is>
      </c>
      <c r="M1450" t="inlineStr">
        <is>
          <t>Sulloway, Alison G.</t>
        </is>
      </c>
      <c r="N1450" t="inlineStr">
        <is>
          <t>Philadelphia : University of Pennsylvania Press, 1990, c1989.</t>
        </is>
      </c>
      <c r="O1450" t="inlineStr">
        <is>
          <t>1990</t>
        </is>
      </c>
      <c r="Q1450" t="inlineStr">
        <is>
          <t>eng</t>
        </is>
      </c>
      <c r="R1450" t="inlineStr">
        <is>
          <t>pau</t>
        </is>
      </c>
      <c r="T1450" t="inlineStr">
        <is>
          <t xml:space="preserve">PR </t>
        </is>
      </c>
      <c r="U1450" t="n">
        <v>3</v>
      </c>
      <c r="V1450" t="n">
        <v>3</v>
      </c>
      <c r="W1450" t="inlineStr">
        <is>
          <t>2008-12-03</t>
        </is>
      </c>
      <c r="X1450" t="inlineStr">
        <is>
          <t>2008-12-03</t>
        </is>
      </c>
      <c r="Y1450" t="inlineStr">
        <is>
          <t>2003-09-03</t>
        </is>
      </c>
      <c r="Z1450" t="inlineStr">
        <is>
          <t>2003-09-03</t>
        </is>
      </c>
      <c r="AA1450" t="n">
        <v>21</v>
      </c>
      <c r="AB1450" t="n">
        <v>16</v>
      </c>
      <c r="AC1450" t="n">
        <v>806</v>
      </c>
      <c r="AD1450" t="n">
        <v>1</v>
      </c>
      <c r="AE1450" t="n">
        <v>6</v>
      </c>
      <c r="AF1450" t="n">
        <v>1</v>
      </c>
      <c r="AG1450" t="n">
        <v>44</v>
      </c>
      <c r="AH1450" t="n">
        <v>0</v>
      </c>
      <c r="AI1450" t="n">
        <v>20</v>
      </c>
      <c r="AJ1450" t="n">
        <v>0</v>
      </c>
      <c r="AK1450" t="n">
        <v>9</v>
      </c>
      <c r="AL1450" t="n">
        <v>1</v>
      </c>
      <c r="AM1450" t="n">
        <v>20</v>
      </c>
      <c r="AN1450" t="n">
        <v>0</v>
      </c>
      <c r="AO1450" t="n">
        <v>5</v>
      </c>
      <c r="AP1450" t="n">
        <v>0</v>
      </c>
      <c r="AQ1450" t="n">
        <v>0</v>
      </c>
      <c r="AR1450" t="inlineStr">
        <is>
          <t>No</t>
        </is>
      </c>
      <c r="AS1450" t="inlineStr">
        <is>
          <t>No</t>
        </is>
      </c>
      <c r="AU1450">
        <f>HYPERLINK("https://creighton-primo.hosted.exlibrisgroup.com/primo-explore/search?tab=default_tab&amp;search_scope=EVERYTHING&amp;vid=01CRU&amp;lang=en_US&amp;offset=0&amp;query=any,contains,991004113099702656","Catalog Record")</f>
        <v/>
      </c>
      <c r="AV1450">
        <f>HYPERLINK("http://www.worldcat.org/oclc/30653008","WorldCat Record")</f>
        <v/>
      </c>
      <c r="AW1450" t="inlineStr">
        <is>
          <t>18428446:eng</t>
        </is>
      </c>
      <c r="AX1450" t="inlineStr">
        <is>
          <t>30653008</t>
        </is>
      </c>
      <c r="AY1450" t="inlineStr">
        <is>
          <t>991004113099702656</t>
        </is>
      </c>
      <c r="AZ1450" t="inlineStr">
        <is>
          <t>991004113099702656</t>
        </is>
      </c>
      <c r="BA1450" t="inlineStr">
        <is>
          <t>2264848850002656</t>
        </is>
      </c>
      <c r="BB1450" t="inlineStr">
        <is>
          <t>BOOK</t>
        </is>
      </c>
      <c r="BD1450" t="inlineStr">
        <is>
          <t>9780812213386</t>
        </is>
      </c>
      <c r="BE1450" t="inlineStr">
        <is>
          <t>32285004781141</t>
        </is>
      </c>
      <c r="BF1450" t="inlineStr">
        <is>
          <t>893599444</t>
        </is>
      </c>
    </row>
    <row r="1451">
      <c r="A1451" t="inlineStr">
        <is>
          <t>No</t>
        </is>
      </c>
      <c r="B1451" t="inlineStr">
        <is>
          <t>CURAL</t>
        </is>
      </c>
      <c r="C1451" t="inlineStr">
        <is>
          <t>SHELVES</t>
        </is>
      </c>
      <c r="D1451" t="inlineStr">
        <is>
          <t>PR4037 .T36 1986</t>
        </is>
      </c>
      <c r="E1451" t="inlineStr">
        <is>
          <t>0                      PR 4037000T  36          1986</t>
        </is>
      </c>
      <c r="F1451" t="inlineStr">
        <is>
          <t>Jane Austen / Tony Tanner.</t>
        </is>
      </c>
      <c r="H1451" t="inlineStr">
        <is>
          <t>No</t>
        </is>
      </c>
      <c r="I1451" t="inlineStr">
        <is>
          <t>1</t>
        </is>
      </c>
      <c r="J1451" t="inlineStr">
        <is>
          <t>No</t>
        </is>
      </c>
      <c r="K1451" t="inlineStr">
        <is>
          <t>No</t>
        </is>
      </c>
      <c r="L1451" t="inlineStr">
        <is>
          <t>0</t>
        </is>
      </c>
      <c r="M1451" t="inlineStr">
        <is>
          <t>Tanner, Tony.</t>
        </is>
      </c>
      <c r="N1451" t="inlineStr">
        <is>
          <t>London : Macmillan, 1986.</t>
        </is>
      </c>
      <c r="O1451" t="inlineStr">
        <is>
          <t>1986</t>
        </is>
      </c>
      <c r="Q1451" t="inlineStr">
        <is>
          <t>eng</t>
        </is>
      </c>
      <c r="R1451" t="inlineStr">
        <is>
          <t>enk</t>
        </is>
      </c>
      <c r="T1451" t="inlineStr">
        <is>
          <t xml:space="preserve">PR </t>
        </is>
      </c>
      <c r="U1451" t="n">
        <v>8</v>
      </c>
      <c r="V1451" t="n">
        <v>8</v>
      </c>
      <c r="W1451" t="inlineStr">
        <is>
          <t>2005-04-04</t>
        </is>
      </c>
      <c r="X1451" t="inlineStr">
        <is>
          <t>2005-04-04</t>
        </is>
      </c>
      <c r="Y1451" t="inlineStr">
        <is>
          <t>1991-11-13</t>
        </is>
      </c>
      <c r="Z1451" t="inlineStr">
        <is>
          <t>1991-11-13</t>
        </is>
      </c>
      <c r="AA1451" t="n">
        <v>232</v>
      </c>
      <c r="AB1451" t="n">
        <v>53</v>
      </c>
      <c r="AC1451" t="n">
        <v>1149</v>
      </c>
      <c r="AD1451" t="n">
        <v>2</v>
      </c>
      <c r="AE1451" t="n">
        <v>7</v>
      </c>
      <c r="AF1451" t="n">
        <v>5</v>
      </c>
      <c r="AG1451" t="n">
        <v>47</v>
      </c>
      <c r="AH1451" t="n">
        <v>1</v>
      </c>
      <c r="AI1451" t="n">
        <v>24</v>
      </c>
      <c r="AJ1451" t="n">
        <v>1</v>
      </c>
      <c r="AK1451" t="n">
        <v>10</v>
      </c>
      <c r="AL1451" t="n">
        <v>3</v>
      </c>
      <c r="AM1451" t="n">
        <v>22</v>
      </c>
      <c r="AN1451" t="n">
        <v>1</v>
      </c>
      <c r="AO1451" t="n">
        <v>5</v>
      </c>
      <c r="AP1451" t="n">
        <v>0</v>
      </c>
      <c r="AQ1451" t="n">
        <v>0</v>
      </c>
      <c r="AR1451" t="inlineStr">
        <is>
          <t>No</t>
        </is>
      </c>
      <c r="AS1451" t="inlineStr">
        <is>
          <t>No</t>
        </is>
      </c>
      <c r="AU1451">
        <f>HYPERLINK("https://creighton-primo.hosted.exlibrisgroup.com/primo-explore/search?tab=default_tab&amp;search_scope=EVERYTHING&amp;vid=01CRU&amp;lang=en_US&amp;offset=0&amp;query=any,contains,991000799189702656","Catalog Record")</f>
        <v/>
      </c>
      <c r="AV1451">
        <f>HYPERLINK("http://www.worldcat.org/oclc/13216913","WorldCat Record")</f>
        <v/>
      </c>
      <c r="AW1451" t="inlineStr">
        <is>
          <t>2681136:eng</t>
        </is>
      </c>
      <c r="AX1451" t="inlineStr">
        <is>
          <t>13216913</t>
        </is>
      </c>
      <c r="AY1451" t="inlineStr">
        <is>
          <t>991000799189702656</t>
        </is>
      </c>
      <c r="AZ1451" t="inlineStr">
        <is>
          <t>991000799189702656</t>
        </is>
      </c>
      <c r="BA1451" t="inlineStr">
        <is>
          <t>2263946760002656</t>
        </is>
      </c>
      <c r="BB1451" t="inlineStr">
        <is>
          <t>BOOK</t>
        </is>
      </c>
      <c r="BD1451" t="inlineStr">
        <is>
          <t>9780333323182</t>
        </is>
      </c>
      <c r="BE1451" t="inlineStr">
        <is>
          <t>32285000823095</t>
        </is>
      </c>
      <c r="BF1451" t="inlineStr">
        <is>
          <t>893528392</t>
        </is>
      </c>
    </row>
    <row r="1452">
      <c r="A1452" t="inlineStr">
        <is>
          <t>No</t>
        </is>
      </c>
      <c r="B1452" t="inlineStr">
        <is>
          <t>CURAL</t>
        </is>
      </c>
      <c r="C1452" t="inlineStr">
        <is>
          <t>SHELVES</t>
        </is>
      </c>
      <c r="D1452" t="inlineStr">
        <is>
          <t>PR4037 .W35</t>
        </is>
      </c>
      <c r="E1452" t="inlineStr">
        <is>
          <t>0                      PR 4037000W  35</t>
        </is>
      </c>
      <c r="F1452" t="inlineStr">
        <is>
          <t>Jane Austen : a collection of critical essays.</t>
        </is>
      </c>
      <c r="H1452" t="inlineStr">
        <is>
          <t>No</t>
        </is>
      </c>
      <c r="I1452" t="inlineStr">
        <is>
          <t>1</t>
        </is>
      </c>
      <c r="J1452" t="inlineStr">
        <is>
          <t>No</t>
        </is>
      </c>
      <c r="K1452" t="inlineStr">
        <is>
          <t>No</t>
        </is>
      </c>
      <c r="L1452" t="inlineStr">
        <is>
          <t>0</t>
        </is>
      </c>
      <c r="M1452" t="inlineStr">
        <is>
          <t>Watt, Ian, 1917-1999, editor.</t>
        </is>
      </c>
      <c r="N1452" t="inlineStr">
        <is>
          <t>Englewood Cliffs, N.J., Prentice-Hall [1963]</t>
        </is>
      </c>
      <c r="O1452" t="inlineStr">
        <is>
          <t>1963</t>
        </is>
      </c>
      <c r="Q1452" t="inlineStr">
        <is>
          <t>eng</t>
        </is>
      </c>
      <c r="R1452" t="inlineStr">
        <is>
          <t>nju</t>
        </is>
      </c>
      <c r="S1452" t="inlineStr">
        <is>
          <t>A Spectrum book: Twentieth century views, S-TC-26</t>
        </is>
      </c>
      <c r="T1452" t="inlineStr">
        <is>
          <t xml:space="preserve">PR </t>
        </is>
      </c>
      <c r="U1452" t="n">
        <v>5</v>
      </c>
      <c r="V1452" t="n">
        <v>5</v>
      </c>
      <c r="W1452" t="inlineStr">
        <is>
          <t>2008-04-01</t>
        </is>
      </c>
      <c r="X1452" t="inlineStr">
        <is>
          <t>2008-04-01</t>
        </is>
      </c>
      <c r="Y1452" t="inlineStr">
        <is>
          <t>1998-02-09</t>
        </is>
      </c>
      <c r="Z1452" t="inlineStr">
        <is>
          <t>1998-02-09</t>
        </is>
      </c>
      <c r="AA1452" t="n">
        <v>2346</v>
      </c>
      <c r="AB1452" t="n">
        <v>2051</v>
      </c>
      <c r="AC1452" t="n">
        <v>2061</v>
      </c>
      <c r="AD1452" t="n">
        <v>17</v>
      </c>
      <c r="AE1452" t="n">
        <v>17</v>
      </c>
      <c r="AF1452" t="n">
        <v>62</v>
      </c>
      <c r="AG1452" t="n">
        <v>62</v>
      </c>
      <c r="AH1452" t="n">
        <v>27</v>
      </c>
      <c r="AI1452" t="n">
        <v>27</v>
      </c>
      <c r="AJ1452" t="n">
        <v>10</v>
      </c>
      <c r="AK1452" t="n">
        <v>10</v>
      </c>
      <c r="AL1452" t="n">
        <v>25</v>
      </c>
      <c r="AM1452" t="n">
        <v>25</v>
      </c>
      <c r="AN1452" t="n">
        <v>13</v>
      </c>
      <c r="AO1452" t="n">
        <v>13</v>
      </c>
      <c r="AP1452" t="n">
        <v>0</v>
      </c>
      <c r="AQ1452" t="n">
        <v>0</v>
      </c>
      <c r="AR1452" t="inlineStr">
        <is>
          <t>No</t>
        </is>
      </c>
      <c r="AS1452" t="inlineStr">
        <is>
          <t>No</t>
        </is>
      </c>
      <c r="AT1452">
        <f>HYPERLINK("http://catalog.hathitrust.org/Record/000355265","HathiTrust Record")</f>
        <v/>
      </c>
      <c r="AU1452">
        <f>HYPERLINK("https://creighton-primo.hosted.exlibrisgroup.com/primo-explore/search?tab=default_tab&amp;search_scope=EVERYTHING&amp;vid=01CRU&amp;lang=en_US&amp;offset=0&amp;query=any,contains,991002477179702656","Catalog Record")</f>
        <v/>
      </c>
      <c r="AV1452">
        <f>HYPERLINK("http://www.worldcat.org/oclc/358981","WorldCat Record")</f>
        <v/>
      </c>
      <c r="AW1452" t="inlineStr">
        <is>
          <t>795117075:eng</t>
        </is>
      </c>
      <c r="AX1452" t="inlineStr">
        <is>
          <t>358981</t>
        </is>
      </c>
      <c r="AY1452" t="inlineStr">
        <is>
          <t>991002477179702656</t>
        </is>
      </c>
      <c r="AZ1452" t="inlineStr">
        <is>
          <t>991002477179702656</t>
        </is>
      </c>
      <c r="BA1452" t="inlineStr">
        <is>
          <t>2266070860002656</t>
        </is>
      </c>
      <c r="BB1452" t="inlineStr">
        <is>
          <t>BOOK</t>
        </is>
      </c>
      <c r="BE1452" t="inlineStr">
        <is>
          <t>32285003342366</t>
        </is>
      </c>
      <c r="BF1452" t="inlineStr">
        <is>
          <t>893716500</t>
        </is>
      </c>
    </row>
    <row r="1453">
      <c r="A1453" t="inlineStr">
        <is>
          <t>No</t>
        </is>
      </c>
      <c r="B1453" t="inlineStr">
        <is>
          <t>CURAL</t>
        </is>
      </c>
      <c r="C1453" t="inlineStr">
        <is>
          <t>SHELVES</t>
        </is>
      </c>
      <c r="D1453" t="inlineStr">
        <is>
          <t>PR4037 .W5</t>
        </is>
      </c>
      <c r="E1453" t="inlineStr">
        <is>
          <t>0                      PR 4037000W  5</t>
        </is>
      </c>
      <c r="F1453" t="inlineStr">
        <is>
          <t>The errand of form; an assay of Jane Austen's art.</t>
        </is>
      </c>
      <c r="H1453" t="inlineStr">
        <is>
          <t>No</t>
        </is>
      </c>
      <c r="I1453" t="inlineStr">
        <is>
          <t>1</t>
        </is>
      </c>
      <c r="J1453" t="inlineStr">
        <is>
          <t>No</t>
        </is>
      </c>
      <c r="K1453" t="inlineStr">
        <is>
          <t>No</t>
        </is>
      </c>
      <c r="L1453" t="inlineStr">
        <is>
          <t>0</t>
        </is>
      </c>
      <c r="M1453" t="inlineStr">
        <is>
          <t>Wiesenfarth, Joseph.</t>
        </is>
      </c>
      <c r="N1453" t="inlineStr">
        <is>
          <t>New York, Fordham University Press, 1967.</t>
        </is>
      </c>
      <c r="O1453" t="inlineStr">
        <is>
          <t>1967</t>
        </is>
      </c>
      <c r="Q1453" t="inlineStr">
        <is>
          <t>eng</t>
        </is>
      </c>
      <c r="R1453" t="inlineStr">
        <is>
          <t>nyu</t>
        </is>
      </c>
      <c r="T1453" t="inlineStr">
        <is>
          <t xml:space="preserve">PR </t>
        </is>
      </c>
      <c r="U1453" t="n">
        <v>3</v>
      </c>
      <c r="V1453" t="n">
        <v>3</v>
      </c>
      <c r="W1453" t="inlineStr">
        <is>
          <t>2003-03-31</t>
        </is>
      </c>
      <c r="X1453" t="inlineStr">
        <is>
          <t>2003-03-31</t>
        </is>
      </c>
      <c r="Y1453" t="inlineStr">
        <is>
          <t>1997-06-20</t>
        </is>
      </c>
      <c r="Z1453" t="inlineStr">
        <is>
          <t>1997-06-20</t>
        </is>
      </c>
      <c r="AA1453" t="n">
        <v>634</v>
      </c>
      <c r="AB1453" t="n">
        <v>525</v>
      </c>
      <c r="AC1453" t="n">
        <v>527</v>
      </c>
      <c r="AD1453" t="n">
        <v>4</v>
      </c>
      <c r="AE1453" t="n">
        <v>4</v>
      </c>
      <c r="AF1453" t="n">
        <v>29</v>
      </c>
      <c r="AG1453" t="n">
        <v>29</v>
      </c>
      <c r="AH1453" t="n">
        <v>10</v>
      </c>
      <c r="AI1453" t="n">
        <v>10</v>
      </c>
      <c r="AJ1453" t="n">
        <v>9</v>
      </c>
      <c r="AK1453" t="n">
        <v>9</v>
      </c>
      <c r="AL1453" t="n">
        <v>17</v>
      </c>
      <c r="AM1453" t="n">
        <v>17</v>
      </c>
      <c r="AN1453" t="n">
        <v>3</v>
      </c>
      <c r="AO1453" t="n">
        <v>3</v>
      </c>
      <c r="AP1453" t="n">
        <v>0</v>
      </c>
      <c r="AQ1453" t="n">
        <v>0</v>
      </c>
      <c r="AR1453" t="inlineStr">
        <is>
          <t>No</t>
        </is>
      </c>
      <c r="AS1453" t="inlineStr">
        <is>
          <t>Yes</t>
        </is>
      </c>
      <c r="AT1453">
        <f>HYPERLINK("http://catalog.hathitrust.org/Record/000354870","HathiTrust Record")</f>
        <v/>
      </c>
      <c r="AU1453">
        <f>HYPERLINK("https://creighton-primo.hosted.exlibrisgroup.com/primo-explore/search?tab=default_tab&amp;search_scope=EVERYTHING&amp;vid=01CRU&amp;lang=en_US&amp;offset=0&amp;query=any,contains,991002466669702656","Catalog Record")</f>
        <v/>
      </c>
      <c r="AV1453">
        <f>HYPERLINK("http://www.worldcat.org/oclc/357848","WorldCat Record")</f>
        <v/>
      </c>
      <c r="AW1453" t="inlineStr">
        <is>
          <t>198066458:eng</t>
        </is>
      </c>
      <c r="AX1453" t="inlineStr">
        <is>
          <t>357848</t>
        </is>
      </c>
      <c r="AY1453" t="inlineStr">
        <is>
          <t>991002466669702656</t>
        </is>
      </c>
      <c r="AZ1453" t="inlineStr">
        <is>
          <t>991002466669702656</t>
        </is>
      </c>
      <c r="BA1453" t="inlineStr">
        <is>
          <t>2265579050002656</t>
        </is>
      </c>
      <c r="BB1453" t="inlineStr">
        <is>
          <t>BOOK</t>
        </is>
      </c>
      <c r="BE1453" t="inlineStr">
        <is>
          <t>32285002772712</t>
        </is>
      </c>
      <c r="BF1453" t="inlineStr">
        <is>
          <t>893804641</t>
        </is>
      </c>
    </row>
    <row r="1454">
      <c r="A1454" t="inlineStr">
        <is>
          <t>No</t>
        </is>
      </c>
      <c r="B1454" t="inlineStr">
        <is>
          <t>CURAL</t>
        </is>
      </c>
      <c r="C1454" t="inlineStr">
        <is>
          <t>SHELVES</t>
        </is>
      </c>
      <c r="D1454" t="inlineStr">
        <is>
          <t>PR4037 .W7</t>
        </is>
      </c>
      <c r="E1454" t="inlineStr">
        <is>
          <t>0                      PR 4037000W  7</t>
        </is>
      </c>
      <c r="F1454" t="inlineStr">
        <is>
          <t>Jane Austen's novels; a study in structure, by Andrew H. Wright.</t>
        </is>
      </c>
      <c r="H1454" t="inlineStr">
        <is>
          <t>No</t>
        </is>
      </c>
      <c r="I1454" t="inlineStr">
        <is>
          <t>1</t>
        </is>
      </c>
      <c r="J1454" t="inlineStr">
        <is>
          <t>No</t>
        </is>
      </c>
      <c r="K1454" t="inlineStr">
        <is>
          <t>No</t>
        </is>
      </c>
      <c r="L1454" t="inlineStr">
        <is>
          <t>0</t>
        </is>
      </c>
      <c r="M1454" t="inlineStr">
        <is>
          <t>Wright, Andrew, 1923-2009.</t>
        </is>
      </c>
      <c r="N1454" t="inlineStr">
        <is>
          <t>New York, Oxford University Press, 1953.</t>
        </is>
      </c>
      <c r="O1454" t="inlineStr">
        <is>
          <t>1953</t>
        </is>
      </c>
      <c r="Q1454" t="inlineStr">
        <is>
          <t>eng</t>
        </is>
      </c>
      <c r="R1454" t="inlineStr">
        <is>
          <t>nyu</t>
        </is>
      </c>
      <c r="T1454" t="inlineStr">
        <is>
          <t xml:space="preserve">PR </t>
        </is>
      </c>
      <c r="U1454" t="n">
        <v>5</v>
      </c>
      <c r="V1454" t="n">
        <v>5</v>
      </c>
      <c r="W1454" t="inlineStr">
        <is>
          <t>2008-04-01</t>
        </is>
      </c>
      <c r="X1454" t="inlineStr">
        <is>
          <t>2008-04-01</t>
        </is>
      </c>
      <c r="Y1454" t="inlineStr">
        <is>
          <t>1997-06-20</t>
        </is>
      </c>
      <c r="Z1454" t="inlineStr">
        <is>
          <t>1997-06-20</t>
        </is>
      </c>
      <c r="AA1454" t="n">
        <v>368</v>
      </c>
      <c r="AB1454" t="n">
        <v>358</v>
      </c>
      <c r="AC1454" t="n">
        <v>898</v>
      </c>
      <c r="AD1454" t="n">
        <v>5</v>
      </c>
      <c r="AE1454" t="n">
        <v>8</v>
      </c>
      <c r="AF1454" t="n">
        <v>20</v>
      </c>
      <c r="AG1454" t="n">
        <v>45</v>
      </c>
      <c r="AH1454" t="n">
        <v>8</v>
      </c>
      <c r="AI1454" t="n">
        <v>20</v>
      </c>
      <c r="AJ1454" t="n">
        <v>4</v>
      </c>
      <c r="AK1454" t="n">
        <v>8</v>
      </c>
      <c r="AL1454" t="n">
        <v>7</v>
      </c>
      <c r="AM1454" t="n">
        <v>20</v>
      </c>
      <c r="AN1454" t="n">
        <v>4</v>
      </c>
      <c r="AO1454" t="n">
        <v>7</v>
      </c>
      <c r="AP1454" t="n">
        <v>0</v>
      </c>
      <c r="AQ1454" t="n">
        <v>0</v>
      </c>
      <c r="AR1454" t="inlineStr">
        <is>
          <t>No</t>
        </is>
      </c>
      <c r="AS1454" t="inlineStr">
        <is>
          <t>No</t>
        </is>
      </c>
      <c r="AU1454">
        <f>HYPERLINK("https://creighton-primo.hosted.exlibrisgroup.com/primo-explore/search?tab=default_tab&amp;search_scope=EVERYTHING&amp;vid=01CRU&amp;lang=en_US&amp;offset=0&amp;query=any,contains,991003241709702656","Catalog Record")</f>
        <v/>
      </c>
      <c r="AV1454">
        <f>HYPERLINK("http://www.worldcat.org/oclc/764469","WorldCat Record")</f>
        <v/>
      </c>
      <c r="AW1454" t="inlineStr">
        <is>
          <t>364237678:eng</t>
        </is>
      </c>
      <c r="AX1454" t="inlineStr">
        <is>
          <t>764469</t>
        </is>
      </c>
      <c r="AY1454" t="inlineStr">
        <is>
          <t>991003241709702656</t>
        </is>
      </c>
      <c r="AZ1454" t="inlineStr">
        <is>
          <t>991003241709702656</t>
        </is>
      </c>
      <c r="BA1454" t="inlineStr">
        <is>
          <t>2268610430002656</t>
        </is>
      </c>
      <c r="BB1454" t="inlineStr">
        <is>
          <t>BOOK</t>
        </is>
      </c>
      <c r="BE1454" t="inlineStr">
        <is>
          <t>32285002772720</t>
        </is>
      </c>
      <c r="BF1454" t="inlineStr">
        <is>
          <t>893499098</t>
        </is>
      </c>
    </row>
    <row r="1455">
      <c r="A1455" t="inlineStr">
        <is>
          <t>No</t>
        </is>
      </c>
      <c r="B1455" t="inlineStr">
        <is>
          <t>CURAL</t>
        </is>
      </c>
      <c r="C1455" t="inlineStr">
        <is>
          <t>SHELVES</t>
        </is>
      </c>
      <c r="D1455" t="inlineStr">
        <is>
          <t>PR4038.C6 F75 1997</t>
        </is>
      </c>
      <c r="E1455" t="inlineStr">
        <is>
          <t>0                      PR 4038000C  6                  F  75          1997</t>
        </is>
      </c>
      <c r="F1455" t="inlineStr">
        <is>
          <t>Jane Austen and eighteenth-century courtesy books / Penelope Joan Fritzer.</t>
        </is>
      </c>
      <c r="H1455" t="inlineStr">
        <is>
          <t>No</t>
        </is>
      </c>
      <c r="I1455" t="inlineStr">
        <is>
          <t>1</t>
        </is>
      </c>
      <c r="J1455" t="inlineStr">
        <is>
          <t>No</t>
        </is>
      </c>
      <c r="K1455" t="inlineStr">
        <is>
          <t>No</t>
        </is>
      </c>
      <c r="L1455" t="inlineStr">
        <is>
          <t>0</t>
        </is>
      </c>
      <c r="M1455" t="inlineStr">
        <is>
          <t>Fritzer, Penelope Joan, 1949-</t>
        </is>
      </c>
      <c r="N1455" t="inlineStr">
        <is>
          <t>Westport, Conn. : Greenwood Press, 1997.</t>
        </is>
      </c>
      <c r="O1455" t="inlineStr">
        <is>
          <t>1997</t>
        </is>
      </c>
      <c r="Q1455" t="inlineStr">
        <is>
          <t>eng</t>
        </is>
      </c>
      <c r="R1455" t="inlineStr">
        <is>
          <t>ctu</t>
        </is>
      </c>
      <c r="S1455" t="inlineStr">
        <is>
          <t>Contributions to the study of world literature, 0738-9345 ; no. 90</t>
        </is>
      </c>
      <c r="T1455" t="inlineStr">
        <is>
          <t xml:space="preserve">PR </t>
        </is>
      </c>
      <c r="U1455" t="n">
        <v>3</v>
      </c>
      <c r="V1455" t="n">
        <v>3</v>
      </c>
      <c r="W1455" t="inlineStr">
        <is>
          <t>2005-11-18</t>
        </is>
      </c>
      <c r="X1455" t="inlineStr">
        <is>
          <t>2005-11-18</t>
        </is>
      </c>
      <c r="Y1455" t="inlineStr">
        <is>
          <t>1999-04-13</t>
        </is>
      </c>
      <c r="Z1455" t="inlineStr">
        <is>
          <t>1999-04-13</t>
        </is>
      </c>
      <c r="AA1455" t="n">
        <v>444</v>
      </c>
      <c r="AB1455" t="n">
        <v>376</v>
      </c>
      <c r="AC1455" t="n">
        <v>388</v>
      </c>
      <c r="AD1455" t="n">
        <v>3</v>
      </c>
      <c r="AE1455" t="n">
        <v>3</v>
      </c>
      <c r="AF1455" t="n">
        <v>22</v>
      </c>
      <c r="AG1455" t="n">
        <v>22</v>
      </c>
      <c r="AH1455" t="n">
        <v>9</v>
      </c>
      <c r="AI1455" t="n">
        <v>9</v>
      </c>
      <c r="AJ1455" t="n">
        <v>4</v>
      </c>
      <c r="AK1455" t="n">
        <v>4</v>
      </c>
      <c r="AL1455" t="n">
        <v>14</v>
      </c>
      <c r="AM1455" t="n">
        <v>14</v>
      </c>
      <c r="AN1455" t="n">
        <v>2</v>
      </c>
      <c r="AO1455" t="n">
        <v>2</v>
      </c>
      <c r="AP1455" t="n">
        <v>0</v>
      </c>
      <c r="AQ1455" t="n">
        <v>0</v>
      </c>
      <c r="AR1455" t="inlineStr">
        <is>
          <t>No</t>
        </is>
      </c>
      <c r="AS1455" t="inlineStr">
        <is>
          <t>Yes</t>
        </is>
      </c>
      <c r="AT1455">
        <f>HYPERLINK("http://catalog.hathitrust.org/Record/003996094","HathiTrust Record")</f>
        <v/>
      </c>
      <c r="AU1455">
        <f>HYPERLINK("https://creighton-primo.hosted.exlibrisgroup.com/primo-explore/search?tab=default_tab&amp;search_scope=EVERYTHING&amp;vid=01CRU&amp;lang=en_US&amp;offset=0&amp;query=any,contains,991002827779702656","Catalog Record")</f>
        <v/>
      </c>
      <c r="AV1455">
        <f>HYPERLINK("http://www.worldcat.org/oclc/37238889","WorldCat Record")</f>
        <v/>
      </c>
      <c r="AW1455" t="inlineStr">
        <is>
          <t>612105:eng</t>
        </is>
      </c>
      <c r="AX1455" t="inlineStr">
        <is>
          <t>37238889</t>
        </is>
      </c>
      <c r="AY1455" t="inlineStr">
        <is>
          <t>991002827779702656</t>
        </is>
      </c>
      <c r="AZ1455" t="inlineStr">
        <is>
          <t>991002827779702656</t>
        </is>
      </c>
      <c r="BA1455" t="inlineStr">
        <is>
          <t>2254831590002656</t>
        </is>
      </c>
      <c r="BB1455" t="inlineStr">
        <is>
          <t>BOOK</t>
        </is>
      </c>
      <c r="BD1455" t="inlineStr">
        <is>
          <t>9780313305238</t>
        </is>
      </c>
      <c r="BE1455" t="inlineStr">
        <is>
          <t>32285003552055</t>
        </is>
      </c>
      <c r="BF1455" t="inlineStr">
        <is>
          <t>893504865</t>
        </is>
      </c>
    </row>
    <row r="1456">
      <c r="A1456" t="inlineStr">
        <is>
          <t>No</t>
        </is>
      </c>
      <c r="B1456" t="inlineStr">
        <is>
          <t>CURAL</t>
        </is>
      </c>
      <c r="C1456" t="inlineStr">
        <is>
          <t>SHELVES</t>
        </is>
      </c>
      <c r="D1456" t="inlineStr">
        <is>
          <t>PR4038.L3 P5</t>
        </is>
      </c>
      <c r="E1456" t="inlineStr">
        <is>
          <t>0                      PR 4038000L  3                  P  5</t>
        </is>
      </c>
      <c r="F1456" t="inlineStr">
        <is>
          <t>Jane Austen's English [by] K. C. Phillipps.</t>
        </is>
      </c>
      <c r="H1456" t="inlineStr">
        <is>
          <t>No</t>
        </is>
      </c>
      <c r="I1456" t="inlineStr">
        <is>
          <t>1</t>
        </is>
      </c>
      <c r="J1456" t="inlineStr">
        <is>
          <t>No</t>
        </is>
      </c>
      <c r="K1456" t="inlineStr">
        <is>
          <t>No</t>
        </is>
      </c>
      <c r="L1456" t="inlineStr">
        <is>
          <t>0</t>
        </is>
      </c>
      <c r="M1456" t="inlineStr">
        <is>
          <t>Phillipps, K. C. (Kenneth C.)</t>
        </is>
      </c>
      <c r="N1456" t="inlineStr">
        <is>
          <t>London, Deutsch, 1970.</t>
        </is>
      </c>
      <c r="O1456" t="inlineStr">
        <is>
          <t>1970</t>
        </is>
      </c>
      <c r="Q1456" t="inlineStr">
        <is>
          <t>eng</t>
        </is>
      </c>
      <c r="R1456" t="inlineStr">
        <is>
          <t>enk</t>
        </is>
      </c>
      <c r="S1456" t="inlineStr">
        <is>
          <t>The language library</t>
        </is>
      </c>
      <c r="T1456" t="inlineStr">
        <is>
          <t xml:space="preserve">PR </t>
        </is>
      </c>
      <c r="U1456" t="n">
        <v>1</v>
      </c>
      <c r="V1456" t="n">
        <v>1</v>
      </c>
      <c r="W1456" t="inlineStr">
        <is>
          <t>2008-03-25</t>
        </is>
      </c>
      <c r="X1456" t="inlineStr">
        <is>
          <t>2008-03-25</t>
        </is>
      </c>
      <c r="Y1456" t="inlineStr">
        <is>
          <t>1997-06-20</t>
        </is>
      </c>
      <c r="Z1456" t="inlineStr">
        <is>
          <t>1997-06-20</t>
        </is>
      </c>
      <c r="AA1456" t="n">
        <v>496</v>
      </c>
      <c r="AB1456" t="n">
        <v>280</v>
      </c>
      <c r="AC1456" t="n">
        <v>285</v>
      </c>
      <c r="AD1456" t="n">
        <v>3</v>
      </c>
      <c r="AE1456" t="n">
        <v>3</v>
      </c>
      <c r="AF1456" t="n">
        <v>16</v>
      </c>
      <c r="AG1456" t="n">
        <v>16</v>
      </c>
      <c r="AH1456" t="n">
        <v>3</v>
      </c>
      <c r="AI1456" t="n">
        <v>3</v>
      </c>
      <c r="AJ1456" t="n">
        <v>5</v>
      </c>
      <c r="AK1456" t="n">
        <v>5</v>
      </c>
      <c r="AL1456" t="n">
        <v>11</v>
      </c>
      <c r="AM1456" t="n">
        <v>11</v>
      </c>
      <c r="AN1456" t="n">
        <v>2</v>
      </c>
      <c r="AO1456" t="n">
        <v>2</v>
      </c>
      <c r="AP1456" t="n">
        <v>0</v>
      </c>
      <c r="AQ1456" t="n">
        <v>0</v>
      </c>
      <c r="AR1456" t="inlineStr">
        <is>
          <t>No</t>
        </is>
      </c>
      <c r="AS1456" t="inlineStr">
        <is>
          <t>No</t>
        </is>
      </c>
      <c r="AU1456">
        <f>HYPERLINK("https://creighton-primo.hosted.exlibrisgroup.com/primo-explore/search?tab=default_tab&amp;search_scope=EVERYTHING&amp;vid=01CRU&amp;lang=en_US&amp;offset=0&amp;query=any,contains,991000862509702656","Catalog Record")</f>
        <v/>
      </c>
      <c r="AV1456">
        <f>HYPERLINK("http://www.worldcat.org/oclc/150674","WorldCat Record")</f>
        <v/>
      </c>
      <c r="AW1456" t="inlineStr">
        <is>
          <t>1169295:eng</t>
        </is>
      </c>
      <c r="AX1456" t="inlineStr">
        <is>
          <t>150674</t>
        </is>
      </c>
      <c r="AY1456" t="inlineStr">
        <is>
          <t>991000862509702656</t>
        </is>
      </c>
      <c r="AZ1456" t="inlineStr">
        <is>
          <t>991000862509702656</t>
        </is>
      </c>
      <c r="BA1456" t="inlineStr">
        <is>
          <t>2270920300002656</t>
        </is>
      </c>
      <c r="BB1456" t="inlineStr">
        <is>
          <t>BOOK</t>
        </is>
      </c>
      <c r="BD1456" t="inlineStr">
        <is>
          <t>9780233962283</t>
        </is>
      </c>
      <c r="BE1456" t="inlineStr">
        <is>
          <t>32285002772738</t>
        </is>
      </c>
      <c r="BF1456" t="inlineStr">
        <is>
          <t>893690105</t>
        </is>
      </c>
    </row>
    <row r="1457">
      <c r="A1457" t="inlineStr">
        <is>
          <t>No</t>
        </is>
      </c>
      <c r="B1457" t="inlineStr">
        <is>
          <t>CURAL</t>
        </is>
      </c>
      <c r="C1457" t="inlineStr">
        <is>
          <t>SHELVES</t>
        </is>
      </c>
      <c r="D1457" t="inlineStr">
        <is>
          <t>PR4038.L5 H37 1989</t>
        </is>
      </c>
      <c r="E1457" t="inlineStr">
        <is>
          <t>0                      PR 4038000L  5                  H  37          1989</t>
        </is>
      </c>
      <c r="F1457" t="inlineStr">
        <is>
          <t>Jane Austen's art of memory / Jocelyn Harris.</t>
        </is>
      </c>
      <c r="H1457" t="inlineStr">
        <is>
          <t>No</t>
        </is>
      </c>
      <c r="I1457" t="inlineStr">
        <is>
          <t>1</t>
        </is>
      </c>
      <c r="J1457" t="inlineStr">
        <is>
          <t>No</t>
        </is>
      </c>
      <c r="K1457" t="inlineStr">
        <is>
          <t>No</t>
        </is>
      </c>
      <c r="L1457" t="inlineStr">
        <is>
          <t>0</t>
        </is>
      </c>
      <c r="M1457" t="inlineStr">
        <is>
          <t>Harris, Jocelyn.</t>
        </is>
      </c>
      <c r="N1457" t="inlineStr">
        <is>
          <t>Cambridge ; New York : Cambridge University Press, 1989.</t>
        </is>
      </c>
      <c r="O1457" t="inlineStr">
        <is>
          <t>1989</t>
        </is>
      </c>
      <c r="Q1457" t="inlineStr">
        <is>
          <t>eng</t>
        </is>
      </c>
      <c r="R1457" t="inlineStr">
        <is>
          <t>enk</t>
        </is>
      </c>
      <c r="T1457" t="inlineStr">
        <is>
          <t xml:space="preserve">PR </t>
        </is>
      </c>
      <c r="U1457" t="n">
        <v>1</v>
      </c>
      <c r="V1457" t="n">
        <v>1</v>
      </c>
      <c r="W1457" t="inlineStr">
        <is>
          <t>2004-03-24</t>
        </is>
      </c>
      <c r="X1457" t="inlineStr">
        <is>
          <t>2004-03-24</t>
        </is>
      </c>
      <c r="Y1457" t="inlineStr">
        <is>
          <t>2004-03-24</t>
        </is>
      </c>
      <c r="Z1457" t="inlineStr">
        <is>
          <t>2004-03-24</t>
        </is>
      </c>
      <c r="AA1457" t="n">
        <v>570</v>
      </c>
      <c r="AB1457" t="n">
        <v>410</v>
      </c>
      <c r="AC1457" t="n">
        <v>433</v>
      </c>
      <c r="AD1457" t="n">
        <v>3</v>
      </c>
      <c r="AE1457" t="n">
        <v>3</v>
      </c>
      <c r="AF1457" t="n">
        <v>22</v>
      </c>
      <c r="AG1457" t="n">
        <v>22</v>
      </c>
      <c r="AH1457" t="n">
        <v>8</v>
      </c>
      <c r="AI1457" t="n">
        <v>8</v>
      </c>
      <c r="AJ1457" t="n">
        <v>7</v>
      </c>
      <c r="AK1457" t="n">
        <v>7</v>
      </c>
      <c r="AL1457" t="n">
        <v>11</v>
      </c>
      <c r="AM1457" t="n">
        <v>11</v>
      </c>
      <c r="AN1457" t="n">
        <v>2</v>
      </c>
      <c r="AO1457" t="n">
        <v>2</v>
      </c>
      <c r="AP1457" t="n">
        <v>0</v>
      </c>
      <c r="AQ1457" t="n">
        <v>0</v>
      </c>
      <c r="AR1457" t="inlineStr">
        <is>
          <t>No</t>
        </is>
      </c>
      <c r="AS1457" t="inlineStr">
        <is>
          <t>No</t>
        </is>
      </c>
      <c r="AU1457">
        <f>HYPERLINK("https://creighton-primo.hosted.exlibrisgroup.com/primo-explore/search?tab=default_tab&amp;search_scope=EVERYTHING&amp;vid=01CRU&amp;lang=en_US&amp;offset=0&amp;query=any,contains,991004268049702656","Catalog Record")</f>
        <v/>
      </c>
      <c r="AV1457">
        <f>HYPERLINK("http://www.worldcat.org/oclc/19126041","WorldCat Record")</f>
        <v/>
      </c>
      <c r="AW1457" t="inlineStr">
        <is>
          <t>709026:eng</t>
        </is>
      </c>
      <c r="AX1457" t="inlineStr">
        <is>
          <t>19126041</t>
        </is>
      </c>
      <c r="AY1457" t="inlineStr">
        <is>
          <t>991004268049702656</t>
        </is>
      </c>
      <c r="AZ1457" t="inlineStr">
        <is>
          <t>991004268049702656</t>
        </is>
      </c>
      <c r="BA1457" t="inlineStr">
        <is>
          <t>2271495870002656</t>
        </is>
      </c>
      <c r="BB1457" t="inlineStr">
        <is>
          <t>BOOK</t>
        </is>
      </c>
      <c r="BD1457" t="inlineStr">
        <is>
          <t>9780521363914</t>
        </is>
      </c>
      <c r="BE1457" t="inlineStr">
        <is>
          <t>32285004896915</t>
        </is>
      </c>
      <c r="BF1457" t="inlineStr">
        <is>
          <t>893875892</t>
        </is>
      </c>
    </row>
    <row r="1458">
      <c r="A1458" t="inlineStr">
        <is>
          <t>No</t>
        </is>
      </c>
      <c r="B1458" t="inlineStr">
        <is>
          <t>CURAL</t>
        </is>
      </c>
      <c r="C1458" t="inlineStr">
        <is>
          <t>SHELVES</t>
        </is>
      </c>
      <c r="D1458" t="inlineStr">
        <is>
          <t>PR4038.M4 W5 1992</t>
        </is>
      </c>
      <c r="E1458" t="inlineStr">
        <is>
          <t>0                      PR 4038000M  4                  W  5           1992</t>
        </is>
      </c>
      <c r="F1458" t="inlineStr">
        <is>
          <t>Jane Austen and the body : "the picture of health" / John Wiltshire.</t>
        </is>
      </c>
      <c r="H1458" t="inlineStr">
        <is>
          <t>No</t>
        </is>
      </c>
      <c r="I1458" t="inlineStr">
        <is>
          <t>1</t>
        </is>
      </c>
      <c r="J1458" t="inlineStr">
        <is>
          <t>No</t>
        </is>
      </c>
      <c r="K1458" t="inlineStr">
        <is>
          <t>No</t>
        </is>
      </c>
      <c r="L1458" t="inlineStr">
        <is>
          <t>0</t>
        </is>
      </c>
      <c r="M1458" t="inlineStr">
        <is>
          <t>Wiltshire, John.</t>
        </is>
      </c>
      <c r="N1458" t="inlineStr">
        <is>
          <t>Cambridge [England] ; New York : Cambridge University Press, 1992.</t>
        </is>
      </c>
      <c r="O1458" t="inlineStr">
        <is>
          <t>1992</t>
        </is>
      </c>
      <c r="Q1458" t="inlineStr">
        <is>
          <t>eng</t>
        </is>
      </c>
      <c r="R1458" t="inlineStr">
        <is>
          <t>enk</t>
        </is>
      </c>
      <c r="T1458" t="inlineStr">
        <is>
          <t xml:space="preserve">PR </t>
        </is>
      </c>
      <c r="U1458" t="n">
        <v>1</v>
      </c>
      <c r="V1458" t="n">
        <v>1</v>
      </c>
      <c r="W1458" t="inlineStr">
        <is>
          <t>2007-04-04</t>
        </is>
      </c>
      <c r="X1458" t="inlineStr">
        <is>
          <t>2007-04-04</t>
        </is>
      </c>
      <c r="Y1458" t="inlineStr">
        <is>
          <t>1993-04-13</t>
        </is>
      </c>
      <c r="Z1458" t="inlineStr">
        <is>
          <t>1993-04-13</t>
        </is>
      </c>
      <c r="AA1458" t="n">
        <v>602</v>
      </c>
      <c r="AB1458" t="n">
        <v>438</v>
      </c>
      <c r="AC1458" t="n">
        <v>463</v>
      </c>
      <c r="AD1458" t="n">
        <v>4</v>
      </c>
      <c r="AE1458" t="n">
        <v>4</v>
      </c>
      <c r="AF1458" t="n">
        <v>31</v>
      </c>
      <c r="AG1458" t="n">
        <v>31</v>
      </c>
      <c r="AH1458" t="n">
        <v>12</v>
      </c>
      <c r="AI1458" t="n">
        <v>12</v>
      </c>
      <c r="AJ1458" t="n">
        <v>8</v>
      </c>
      <c r="AK1458" t="n">
        <v>8</v>
      </c>
      <c r="AL1458" t="n">
        <v>13</v>
      </c>
      <c r="AM1458" t="n">
        <v>13</v>
      </c>
      <c r="AN1458" t="n">
        <v>3</v>
      </c>
      <c r="AO1458" t="n">
        <v>3</v>
      </c>
      <c r="AP1458" t="n">
        <v>0</v>
      </c>
      <c r="AQ1458" t="n">
        <v>0</v>
      </c>
      <c r="AR1458" t="inlineStr">
        <is>
          <t>No</t>
        </is>
      </c>
      <c r="AS1458" t="inlineStr">
        <is>
          <t>No</t>
        </is>
      </c>
      <c r="AU1458">
        <f>HYPERLINK("https://creighton-primo.hosted.exlibrisgroup.com/primo-explore/search?tab=default_tab&amp;search_scope=EVERYTHING&amp;vid=01CRU&amp;lang=en_US&amp;offset=0&amp;query=any,contains,991001971119702656","Catalog Record")</f>
        <v/>
      </c>
      <c r="AV1458">
        <f>HYPERLINK("http://www.worldcat.org/oclc/25009110","WorldCat Record")</f>
        <v/>
      </c>
      <c r="AW1458" t="inlineStr">
        <is>
          <t>296141072:eng</t>
        </is>
      </c>
      <c r="AX1458" t="inlineStr">
        <is>
          <t>25009110</t>
        </is>
      </c>
      <c r="AY1458" t="inlineStr">
        <is>
          <t>991001971119702656</t>
        </is>
      </c>
      <c r="AZ1458" t="inlineStr">
        <is>
          <t>991001971119702656</t>
        </is>
      </c>
      <c r="BA1458" t="inlineStr">
        <is>
          <t>2269492830002656</t>
        </is>
      </c>
      <c r="BB1458" t="inlineStr">
        <is>
          <t>BOOK</t>
        </is>
      </c>
      <c r="BD1458" t="inlineStr">
        <is>
          <t>9780521414760</t>
        </is>
      </c>
      <c r="BE1458" t="inlineStr">
        <is>
          <t>32285001499796</t>
        </is>
      </c>
      <c r="BF1458" t="inlineStr">
        <is>
          <t>893340893</t>
        </is>
      </c>
    </row>
    <row r="1459">
      <c r="A1459" t="inlineStr">
        <is>
          <t>No</t>
        </is>
      </c>
      <c r="B1459" t="inlineStr">
        <is>
          <t>CURAL</t>
        </is>
      </c>
      <c r="C1459" t="inlineStr">
        <is>
          <t>SHELVES</t>
        </is>
      </c>
      <c r="D1459" t="inlineStr">
        <is>
          <t>PR4038.P5 M6</t>
        </is>
      </c>
      <c r="E1459" t="inlineStr">
        <is>
          <t>0                      PR 4038000P  5                  M  6</t>
        </is>
      </c>
      <c r="F1459" t="inlineStr">
        <is>
          <t>In the meantime : character and perception in Jane Austen's fiction / Susan Morgan.</t>
        </is>
      </c>
      <c r="H1459" t="inlineStr">
        <is>
          <t>No</t>
        </is>
      </c>
      <c r="I1459" t="inlineStr">
        <is>
          <t>1</t>
        </is>
      </c>
      <c r="J1459" t="inlineStr">
        <is>
          <t>No</t>
        </is>
      </c>
      <c r="K1459" t="inlineStr">
        <is>
          <t>No</t>
        </is>
      </c>
      <c r="L1459" t="inlineStr">
        <is>
          <t>0</t>
        </is>
      </c>
      <c r="M1459" t="inlineStr">
        <is>
          <t>Morgan, Susan, 1943-</t>
        </is>
      </c>
      <c r="N1459" t="inlineStr">
        <is>
          <t>Chicago : University of Chicago Press, c1980.</t>
        </is>
      </c>
      <c r="O1459" t="inlineStr">
        <is>
          <t>1980</t>
        </is>
      </c>
      <c r="Q1459" t="inlineStr">
        <is>
          <t>eng</t>
        </is>
      </c>
      <c r="R1459" t="inlineStr">
        <is>
          <t>ilu</t>
        </is>
      </c>
      <c r="T1459" t="inlineStr">
        <is>
          <t xml:space="preserve">PR </t>
        </is>
      </c>
      <c r="U1459" t="n">
        <v>5</v>
      </c>
      <c r="V1459" t="n">
        <v>5</v>
      </c>
      <c r="W1459" t="inlineStr">
        <is>
          <t>2008-12-03</t>
        </is>
      </c>
      <c r="X1459" t="inlineStr">
        <is>
          <t>2008-12-03</t>
        </is>
      </c>
      <c r="Y1459" t="inlineStr">
        <is>
          <t>1991-11-13</t>
        </is>
      </c>
      <c r="Z1459" t="inlineStr">
        <is>
          <t>1991-11-13</t>
        </is>
      </c>
      <c r="AA1459" t="n">
        <v>669</v>
      </c>
      <c r="AB1459" t="n">
        <v>540</v>
      </c>
      <c r="AC1459" t="n">
        <v>541</v>
      </c>
      <c r="AD1459" t="n">
        <v>5</v>
      </c>
      <c r="AE1459" t="n">
        <v>5</v>
      </c>
      <c r="AF1459" t="n">
        <v>26</v>
      </c>
      <c r="AG1459" t="n">
        <v>26</v>
      </c>
      <c r="AH1459" t="n">
        <v>10</v>
      </c>
      <c r="AI1459" t="n">
        <v>10</v>
      </c>
      <c r="AJ1459" t="n">
        <v>5</v>
      </c>
      <c r="AK1459" t="n">
        <v>5</v>
      </c>
      <c r="AL1459" t="n">
        <v>11</v>
      </c>
      <c r="AM1459" t="n">
        <v>11</v>
      </c>
      <c r="AN1459" t="n">
        <v>4</v>
      </c>
      <c r="AO1459" t="n">
        <v>4</v>
      </c>
      <c r="AP1459" t="n">
        <v>0</v>
      </c>
      <c r="AQ1459" t="n">
        <v>0</v>
      </c>
      <c r="AR1459" t="inlineStr">
        <is>
          <t>No</t>
        </is>
      </c>
      <c r="AS1459" t="inlineStr">
        <is>
          <t>No</t>
        </is>
      </c>
      <c r="AU1459">
        <f>HYPERLINK("https://creighton-primo.hosted.exlibrisgroup.com/primo-explore/search?tab=default_tab&amp;search_scope=EVERYTHING&amp;vid=01CRU&amp;lang=en_US&amp;offset=0&amp;query=any,contains,991004836069702656","Catalog Record")</f>
        <v/>
      </c>
      <c r="AV1459">
        <f>HYPERLINK("http://www.worldcat.org/oclc/5448945","WorldCat Record")</f>
        <v/>
      </c>
      <c r="AW1459" t="inlineStr">
        <is>
          <t>796553898:eng</t>
        </is>
      </c>
      <c r="AX1459" t="inlineStr">
        <is>
          <t>5448945</t>
        </is>
      </c>
      <c r="AY1459" t="inlineStr">
        <is>
          <t>991004836069702656</t>
        </is>
      </c>
      <c r="AZ1459" t="inlineStr">
        <is>
          <t>991004836069702656</t>
        </is>
      </c>
      <c r="BA1459" t="inlineStr">
        <is>
          <t>2258639190002656</t>
        </is>
      </c>
      <c r="BB1459" t="inlineStr">
        <is>
          <t>BOOK</t>
        </is>
      </c>
      <c r="BD1459" t="inlineStr">
        <is>
          <t>9780226537634</t>
        </is>
      </c>
      <c r="BE1459" t="inlineStr">
        <is>
          <t>32285000823145</t>
        </is>
      </c>
      <c r="BF1459" t="inlineStr">
        <is>
          <t>893501006</t>
        </is>
      </c>
    </row>
    <row r="1460">
      <c r="A1460" t="inlineStr">
        <is>
          <t>No</t>
        </is>
      </c>
      <c r="B1460" t="inlineStr">
        <is>
          <t>CURAL</t>
        </is>
      </c>
      <c r="C1460" t="inlineStr">
        <is>
          <t>SHELVES</t>
        </is>
      </c>
      <c r="D1460" t="inlineStr">
        <is>
          <t>PR4038.S8 P3</t>
        </is>
      </c>
      <c r="E1460" t="inlineStr">
        <is>
          <t>0                      PR 4038000S  8                  P  3</t>
        </is>
      </c>
      <c r="F1460" t="inlineStr">
        <is>
          <t>The language of Jane Austen.</t>
        </is>
      </c>
      <c r="H1460" t="inlineStr">
        <is>
          <t>No</t>
        </is>
      </c>
      <c r="I1460" t="inlineStr">
        <is>
          <t>1</t>
        </is>
      </c>
      <c r="J1460" t="inlineStr">
        <is>
          <t>No</t>
        </is>
      </c>
      <c r="K1460" t="inlineStr">
        <is>
          <t>No</t>
        </is>
      </c>
      <c r="L1460" t="inlineStr">
        <is>
          <t>0</t>
        </is>
      </c>
      <c r="M1460" t="inlineStr">
        <is>
          <t>Page, Norman.</t>
        </is>
      </c>
      <c r="N1460" t="inlineStr">
        <is>
          <t>New York, Barnes &amp; Noble Books [1972]</t>
        </is>
      </c>
      <c r="O1460" t="inlineStr">
        <is>
          <t>1972</t>
        </is>
      </c>
      <c r="Q1460" t="inlineStr">
        <is>
          <t>eng</t>
        </is>
      </c>
      <c r="R1460" t="inlineStr">
        <is>
          <t>nyu</t>
        </is>
      </c>
      <c r="S1460" t="inlineStr">
        <is>
          <t>Language and style series ; 13</t>
        </is>
      </c>
      <c r="T1460" t="inlineStr">
        <is>
          <t xml:space="preserve">PR </t>
        </is>
      </c>
      <c r="U1460" t="n">
        <v>4</v>
      </c>
      <c r="V1460" t="n">
        <v>4</v>
      </c>
      <c r="W1460" t="inlineStr">
        <is>
          <t>2010-01-15</t>
        </is>
      </c>
      <c r="X1460" t="inlineStr">
        <is>
          <t>2010-01-15</t>
        </is>
      </c>
      <c r="Y1460" t="inlineStr">
        <is>
          <t>1997-06-20</t>
        </is>
      </c>
      <c r="Z1460" t="inlineStr">
        <is>
          <t>1997-06-20</t>
        </is>
      </c>
      <c r="AA1460" t="n">
        <v>346</v>
      </c>
      <c r="AB1460" t="n">
        <v>332</v>
      </c>
      <c r="AC1460" t="n">
        <v>798</v>
      </c>
      <c r="AD1460" t="n">
        <v>5</v>
      </c>
      <c r="AE1460" t="n">
        <v>9</v>
      </c>
      <c r="AF1460" t="n">
        <v>21</v>
      </c>
      <c r="AG1460" t="n">
        <v>40</v>
      </c>
      <c r="AH1460" t="n">
        <v>7</v>
      </c>
      <c r="AI1460" t="n">
        <v>13</v>
      </c>
      <c r="AJ1460" t="n">
        <v>6</v>
      </c>
      <c r="AK1460" t="n">
        <v>9</v>
      </c>
      <c r="AL1460" t="n">
        <v>10</v>
      </c>
      <c r="AM1460" t="n">
        <v>16</v>
      </c>
      <c r="AN1460" t="n">
        <v>4</v>
      </c>
      <c r="AO1460" t="n">
        <v>8</v>
      </c>
      <c r="AP1460" t="n">
        <v>0</v>
      </c>
      <c r="AQ1460" t="n">
        <v>1</v>
      </c>
      <c r="AR1460" t="inlineStr">
        <is>
          <t>No</t>
        </is>
      </c>
      <c r="AS1460" t="inlineStr">
        <is>
          <t>No</t>
        </is>
      </c>
      <c r="AU1460">
        <f>HYPERLINK("https://creighton-primo.hosted.exlibrisgroup.com/primo-explore/search?tab=default_tab&amp;search_scope=EVERYTHING&amp;vid=01CRU&amp;lang=en_US&amp;offset=0&amp;query=any,contains,991002886719702656","Catalog Record")</f>
        <v/>
      </c>
      <c r="AV1460">
        <f>HYPERLINK("http://www.worldcat.org/oclc/508924","WorldCat Record")</f>
        <v/>
      </c>
      <c r="AW1460" t="inlineStr">
        <is>
          <t>1464914:eng</t>
        </is>
      </c>
      <c r="AX1460" t="inlineStr">
        <is>
          <t>508924</t>
        </is>
      </c>
      <c r="AY1460" t="inlineStr">
        <is>
          <t>991002886719702656</t>
        </is>
      </c>
      <c r="AZ1460" t="inlineStr">
        <is>
          <t>991002886719702656</t>
        </is>
      </c>
      <c r="BA1460" t="inlineStr">
        <is>
          <t>2261249920002656</t>
        </is>
      </c>
      <c r="BB1460" t="inlineStr">
        <is>
          <t>BOOK</t>
        </is>
      </c>
      <c r="BD1460" t="inlineStr">
        <is>
          <t>9780064954501</t>
        </is>
      </c>
      <c r="BE1460" t="inlineStr">
        <is>
          <t>32285002772753</t>
        </is>
      </c>
      <c r="BF1460" t="inlineStr">
        <is>
          <t>893685908</t>
        </is>
      </c>
    </row>
    <row r="1461">
      <c r="A1461" t="inlineStr">
        <is>
          <t>No</t>
        </is>
      </c>
      <c r="B1461" t="inlineStr">
        <is>
          <t>CURAL</t>
        </is>
      </c>
      <c r="C1461" t="inlineStr">
        <is>
          <t>SHELVES</t>
        </is>
      </c>
      <c r="D1461" t="inlineStr">
        <is>
          <t>PR4061.B3 B6 1969</t>
        </is>
      </c>
      <c r="E1461" t="inlineStr">
        <is>
          <t>0                      PR 4061000B  3                  B  6           1969</t>
        </is>
      </c>
      <c r="F1461" t="inlineStr">
        <is>
          <t>A book of ghosts. With eight illus. by D. Murray Smith.</t>
        </is>
      </c>
      <c r="H1461" t="inlineStr">
        <is>
          <t>No</t>
        </is>
      </c>
      <c r="I1461" t="inlineStr">
        <is>
          <t>1</t>
        </is>
      </c>
      <c r="J1461" t="inlineStr">
        <is>
          <t>No</t>
        </is>
      </c>
      <c r="K1461" t="inlineStr">
        <is>
          <t>No</t>
        </is>
      </c>
      <c r="L1461" t="inlineStr">
        <is>
          <t>0</t>
        </is>
      </c>
      <c r="M1461" t="inlineStr">
        <is>
          <t>Baring-Gould, S. (Sabine), 1834-1924.</t>
        </is>
      </c>
      <c r="N1461" t="inlineStr">
        <is>
          <t>Freeport, N.Y., Books for Libraries Press [1969]</t>
        </is>
      </c>
      <c r="O1461" t="inlineStr">
        <is>
          <t>1969</t>
        </is>
      </c>
      <c r="Q1461" t="inlineStr">
        <is>
          <t>eng</t>
        </is>
      </c>
      <c r="R1461" t="inlineStr">
        <is>
          <t>nyu</t>
        </is>
      </c>
      <c r="S1461" t="inlineStr">
        <is>
          <t>Short story index reprint series</t>
        </is>
      </c>
      <c r="T1461" t="inlineStr">
        <is>
          <t xml:space="preserve">PR </t>
        </is>
      </c>
      <c r="U1461" t="n">
        <v>2</v>
      </c>
      <c r="V1461" t="n">
        <v>2</v>
      </c>
      <c r="W1461" t="inlineStr">
        <is>
          <t>2000-09-25</t>
        </is>
      </c>
      <c r="X1461" t="inlineStr">
        <is>
          <t>2000-09-25</t>
        </is>
      </c>
      <c r="Y1461" t="inlineStr">
        <is>
          <t>1997-06-20</t>
        </is>
      </c>
      <c r="Z1461" t="inlineStr">
        <is>
          <t>1997-06-20</t>
        </is>
      </c>
      <c r="AA1461" t="n">
        <v>208</v>
      </c>
      <c r="AB1461" t="n">
        <v>200</v>
      </c>
      <c r="AC1461" t="n">
        <v>330</v>
      </c>
      <c r="AD1461" t="n">
        <v>3</v>
      </c>
      <c r="AE1461" t="n">
        <v>4</v>
      </c>
      <c r="AF1461" t="n">
        <v>9</v>
      </c>
      <c r="AG1461" t="n">
        <v>12</v>
      </c>
      <c r="AH1461" t="n">
        <v>4</v>
      </c>
      <c r="AI1461" t="n">
        <v>5</v>
      </c>
      <c r="AJ1461" t="n">
        <v>2</v>
      </c>
      <c r="AK1461" t="n">
        <v>3</v>
      </c>
      <c r="AL1461" t="n">
        <v>5</v>
      </c>
      <c r="AM1461" t="n">
        <v>6</v>
      </c>
      <c r="AN1461" t="n">
        <v>2</v>
      </c>
      <c r="AO1461" t="n">
        <v>3</v>
      </c>
      <c r="AP1461" t="n">
        <v>0</v>
      </c>
      <c r="AQ1461" t="n">
        <v>0</v>
      </c>
      <c r="AR1461" t="inlineStr">
        <is>
          <t>No</t>
        </is>
      </c>
      <c r="AS1461" t="inlineStr">
        <is>
          <t>No</t>
        </is>
      </c>
      <c r="AU1461">
        <f>HYPERLINK("https://creighton-primo.hosted.exlibrisgroup.com/primo-explore/search?tab=default_tab&amp;search_scope=EVERYTHING&amp;vid=01CRU&amp;lang=en_US&amp;offset=0&amp;query=any,contains,991000011489702656","Catalog Record")</f>
        <v/>
      </c>
      <c r="AV1461">
        <f>HYPERLINK("http://www.worldcat.org/oclc/14882","WorldCat Record")</f>
        <v/>
      </c>
      <c r="AW1461" t="inlineStr">
        <is>
          <t>1137599:eng</t>
        </is>
      </c>
      <c r="AX1461" t="inlineStr">
        <is>
          <t>14882</t>
        </is>
      </c>
      <c r="AY1461" t="inlineStr">
        <is>
          <t>991000011489702656</t>
        </is>
      </c>
      <c r="AZ1461" t="inlineStr">
        <is>
          <t>991000011489702656</t>
        </is>
      </c>
      <c r="BA1461" t="inlineStr">
        <is>
          <t>2265964950002656</t>
        </is>
      </c>
      <c r="BB1461" t="inlineStr">
        <is>
          <t>BOOK</t>
        </is>
      </c>
      <c r="BD1461" t="inlineStr">
        <is>
          <t>9780836930146</t>
        </is>
      </c>
      <c r="BE1461" t="inlineStr">
        <is>
          <t>32285002772829</t>
        </is>
      </c>
      <c r="BF1461" t="inlineStr">
        <is>
          <t>893601375</t>
        </is>
      </c>
    </row>
    <row r="1462">
      <c r="A1462" t="inlineStr">
        <is>
          <t>No</t>
        </is>
      </c>
      <c r="B1462" t="inlineStr">
        <is>
          <t>CURAL</t>
        </is>
      </c>
      <c r="C1462" t="inlineStr">
        <is>
          <t>SHELVES</t>
        </is>
      </c>
      <c r="D1462" t="inlineStr">
        <is>
          <t>PR4076 .A4</t>
        </is>
      </c>
      <c r="E1462" t="inlineStr">
        <is>
          <t>0                      PR 4076000A  4</t>
        </is>
      </c>
      <c r="F1462" t="inlineStr">
        <is>
          <t>Letters; ed. by Viola Meynell.</t>
        </is>
      </c>
      <c r="H1462" t="inlineStr">
        <is>
          <t>No</t>
        </is>
      </c>
      <c r="I1462" t="inlineStr">
        <is>
          <t>1</t>
        </is>
      </c>
      <c r="J1462" t="inlineStr">
        <is>
          <t>No</t>
        </is>
      </c>
      <c r="K1462" t="inlineStr">
        <is>
          <t>No</t>
        </is>
      </c>
      <c r="L1462" t="inlineStr">
        <is>
          <t>0</t>
        </is>
      </c>
      <c r="M1462" t="inlineStr">
        <is>
          <t>Barrie, J. M. (James Matthew), 1860-1937.</t>
        </is>
      </c>
      <c r="N1462" t="inlineStr">
        <is>
          <t>New York, C. Scribner's Sons, 1947.</t>
        </is>
      </c>
      <c r="O1462" t="inlineStr">
        <is>
          <t>1947</t>
        </is>
      </c>
      <c r="Q1462" t="inlineStr">
        <is>
          <t>eng</t>
        </is>
      </c>
      <c r="R1462" t="inlineStr">
        <is>
          <t>nyu</t>
        </is>
      </c>
      <c r="T1462" t="inlineStr">
        <is>
          <t xml:space="preserve">PR </t>
        </is>
      </c>
      <c r="U1462" t="n">
        <v>1</v>
      </c>
      <c r="V1462" t="n">
        <v>1</v>
      </c>
      <c r="W1462" t="inlineStr">
        <is>
          <t>2008-01-29</t>
        </is>
      </c>
      <c r="X1462" t="inlineStr">
        <is>
          <t>2008-01-29</t>
        </is>
      </c>
      <c r="Y1462" t="inlineStr">
        <is>
          <t>1997-06-20</t>
        </is>
      </c>
      <c r="Z1462" t="inlineStr">
        <is>
          <t>1997-06-20</t>
        </is>
      </c>
      <c r="AA1462" t="n">
        <v>507</v>
      </c>
      <c r="AB1462" t="n">
        <v>473</v>
      </c>
      <c r="AC1462" t="n">
        <v>475</v>
      </c>
      <c r="AD1462" t="n">
        <v>2</v>
      </c>
      <c r="AE1462" t="n">
        <v>2</v>
      </c>
      <c r="AF1462" t="n">
        <v>24</v>
      </c>
      <c r="AG1462" t="n">
        <v>24</v>
      </c>
      <c r="AH1462" t="n">
        <v>10</v>
      </c>
      <c r="AI1462" t="n">
        <v>10</v>
      </c>
      <c r="AJ1462" t="n">
        <v>5</v>
      </c>
      <c r="AK1462" t="n">
        <v>5</v>
      </c>
      <c r="AL1462" t="n">
        <v>15</v>
      </c>
      <c r="AM1462" t="n">
        <v>15</v>
      </c>
      <c r="AN1462" t="n">
        <v>1</v>
      </c>
      <c r="AO1462" t="n">
        <v>1</v>
      </c>
      <c r="AP1462" t="n">
        <v>0</v>
      </c>
      <c r="AQ1462" t="n">
        <v>0</v>
      </c>
      <c r="AR1462" t="inlineStr">
        <is>
          <t>No</t>
        </is>
      </c>
      <c r="AS1462" t="inlineStr">
        <is>
          <t>Yes</t>
        </is>
      </c>
      <c r="AT1462">
        <f>HYPERLINK("http://catalog.hathitrust.org/Record/007881328","HathiTrust Record")</f>
        <v/>
      </c>
      <c r="AU1462">
        <f>HYPERLINK("https://creighton-primo.hosted.exlibrisgroup.com/primo-explore/search?tab=default_tab&amp;search_scope=EVERYTHING&amp;vid=01CRU&amp;lang=en_US&amp;offset=0&amp;query=any,contains,991003642519702656","Catalog Record")</f>
        <v/>
      </c>
      <c r="AV1462">
        <f>HYPERLINK("http://www.worldcat.org/oclc/1240729","WorldCat Record")</f>
        <v/>
      </c>
      <c r="AW1462" t="inlineStr">
        <is>
          <t>2145003:eng</t>
        </is>
      </c>
      <c r="AX1462" t="inlineStr">
        <is>
          <t>1240729</t>
        </is>
      </c>
      <c r="AY1462" t="inlineStr">
        <is>
          <t>991003642519702656</t>
        </is>
      </c>
      <c r="AZ1462" t="inlineStr">
        <is>
          <t>991003642519702656</t>
        </is>
      </c>
      <c r="BA1462" t="inlineStr">
        <is>
          <t>2257723780002656</t>
        </is>
      </c>
      <c r="BB1462" t="inlineStr">
        <is>
          <t>BOOK</t>
        </is>
      </c>
      <c r="BE1462" t="inlineStr">
        <is>
          <t>32285002772951</t>
        </is>
      </c>
      <c r="BF1462" t="inlineStr">
        <is>
          <t>893874995</t>
        </is>
      </c>
    </row>
    <row r="1463">
      <c r="A1463" t="inlineStr">
        <is>
          <t>No</t>
        </is>
      </c>
      <c r="B1463" t="inlineStr">
        <is>
          <t>CURAL</t>
        </is>
      </c>
      <c r="C1463" t="inlineStr">
        <is>
          <t>SHELVES</t>
        </is>
      </c>
      <c r="D1463" t="inlineStr">
        <is>
          <t>PR4076 .A8 1971</t>
        </is>
      </c>
      <c r="E1463" t="inlineStr">
        <is>
          <t>0                      PR 4076000A  8           1971</t>
        </is>
      </c>
      <c r="F1463" t="inlineStr">
        <is>
          <t>Portrait of Barrie.</t>
        </is>
      </c>
      <c r="H1463" t="inlineStr">
        <is>
          <t>No</t>
        </is>
      </c>
      <c r="I1463" t="inlineStr">
        <is>
          <t>1</t>
        </is>
      </c>
      <c r="J1463" t="inlineStr">
        <is>
          <t>No</t>
        </is>
      </c>
      <c r="K1463" t="inlineStr">
        <is>
          <t>No</t>
        </is>
      </c>
      <c r="L1463" t="inlineStr">
        <is>
          <t>0</t>
        </is>
      </c>
      <c r="M1463" t="inlineStr">
        <is>
          <t>Asquith, Cynthia, Lady, 1887-1960.</t>
        </is>
      </c>
      <c r="N1463" t="inlineStr">
        <is>
          <t>Westport, Conn., Greenwood Press [1971, c1955]</t>
        </is>
      </c>
      <c r="O1463" t="inlineStr">
        <is>
          <t>1971</t>
        </is>
      </c>
      <c r="Q1463" t="inlineStr">
        <is>
          <t>eng</t>
        </is>
      </c>
      <c r="R1463" t="inlineStr">
        <is>
          <t>ctu</t>
        </is>
      </c>
      <c r="T1463" t="inlineStr">
        <is>
          <t xml:space="preserve">PR </t>
        </is>
      </c>
      <c r="U1463" t="n">
        <v>1</v>
      </c>
      <c r="V1463" t="n">
        <v>1</v>
      </c>
      <c r="W1463" t="inlineStr">
        <is>
          <t>2006-10-30</t>
        </is>
      </c>
      <c r="X1463" t="inlineStr">
        <is>
          <t>2006-10-30</t>
        </is>
      </c>
      <c r="Y1463" t="inlineStr">
        <is>
          <t>1997-06-20</t>
        </is>
      </c>
      <c r="Z1463" t="inlineStr">
        <is>
          <t>1997-06-20</t>
        </is>
      </c>
      <c r="AA1463" t="n">
        <v>94</v>
      </c>
      <c r="AB1463" t="n">
        <v>78</v>
      </c>
      <c r="AC1463" t="n">
        <v>659</v>
      </c>
      <c r="AD1463" t="n">
        <v>1</v>
      </c>
      <c r="AE1463" t="n">
        <v>5</v>
      </c>
      <c r="AF1463" t="n">
        <v>2</v>
      </c>
      <c r="AG1463" t="n">
        <v>33</v>
      </c>
      <c r="AH1463" t="n">
        <v>1</v>
      </c>
      <c r="AI1463" t="n">
        <v>15</v>
      </c>
      <c r="AJ1463" t="n">
        <v>1</v>
      </c>
      <c r="AK1463" t="n">
        <v>5</v>
      </c>
      <c r="AL1463" t="n">
        <v>1</v>
      </c>
      <c r="AM1463" t="n">
        <v>19</v>
      </c>
      <c r="AN1463" t="n">
        <v>0</v>
      </c>
      <c r="AO1463" t="n">
        <v>4</v>
      </c>
      <c r="AP1463" t="n">
        <v>0</v>
      </c>
      <c r="AQ1463" t="n">
        <v>0</v>
      </c>
      <c r="AR1463" t="inlineStr">
        <is>
          <t>No</t>
        </is>
      </c>
      <c r="AS1463" t="inlineStr">
        <is>
          <t>Yes</t>
        </is>
      </c>
      <c r="AT1463">
        <f>HYPERLINK("http://catalog.hathitrust.org/Record/012265399","HathiTrust Record")</f>
        <v/>
      </c>
      <c r="AU1463">
        <f>HYPERLINK("https://creighton-primo.hosted.exlibrisgroup.com/primo-explore/search?tab=default_tab&amp;search_scope=EVERYTHING&amp;vid=01CRU&amp;lang=en_US&amp;offset=0&amp;query=any,contains,991002384409702656","Catalog Record")</f>
        <v/>
      </c>
      <c r="AV1463">
        <f>HYPERLINK("http://www.worldcat.org/oclc/329456","WorldCat Record")</f>
        <v/>
      </c>
      <c r="AW1463" t="inlineStr">
        <is>
          <t>1425373:eng</t>
        </is>
      </c>
      <c r="AX1463" t="inlineStr">
        <is>
          <t>329456</t>
        </is>
      </c>
      <c r="AY1463" t="inlineStr">
        <is>
          <t>991002384409702656</t>
        </is>
      </c>
      <c r="AZ1463" t="inlineStr">
        <is>
          <t>991002384409702656</t>
        </is>
      </c>
      <c r="BA1463" t="inlineStr">
        <is>
          <t>2267447890002656</t>
        </is>
      </c>
      <c r="BB1463" t="inlineStr">
        <is>
          <t>BOOK</t>
        </is>
      </c>
      <c r="BD1463" t="inlineStr">
        <is>
          <t>9780837161150</t>
        </is>
      </c>
      <c r="BE1463" t="inlineStr">
        <is>
          <t>32285002772969</t>
        </is>
      </c>
      <c r="BF1463" t="inlineStr">
        <is>
          <t>893421278</t>
        </is>
      </c>
    </row>
    <row r="1464">
      <c r="A1464" t="inlineStr">
        <is>
          <t>No</t>
        </is>
      </c>
      <c r="B1464" t="inlineStr">
        <is>
          <t>CURAL</t>
        </is>
      </c>
      <c r="C1464" t="inlineStr">
        <is>
          <t>SHELVES</t>
        </is>
      </c>
      <c r="D1464" t="inlineStr">
        <is>
          <t>PR4076 .D8</t>
        </is>
      </c>
      <c r="E1464" t="inlineStr">
        <is>
          <t>0                      PR 4076000D  8</t>
        </is>
      </c>
      <c r="F1464" t="inlineStr">
        <is>
          <t>J. M. Barrie; the man behind the image.</t>
        </is>
      </c>
      <c r="H1464" t="inlineStr">
        <is>
          <t>No</t>
        </is>
      </c>
      <c r="I1464" t="inlineStr">
        <is>
          <t>1</t>
        </is>
      </c>
      <c r="J1464" t="inlineStr">
        <is>
          <t>No</t>
        </is>
      </c>
      <c r="K1464" t="inlineStr">
        <is>
          <t>No</t>
        </is>
      </c>
      <c r="L1464" t="inlineStr">
        <is>
          <t>0</t>
        </is>
      </c>
      <c r="M1464" t="inlineStr">
        <is>
          <t>Dunbar, Janet.</t>
        </is>
      </c>
      <c r="N1464" t="inlineStr">
        <is>
          <t>Boston, Houghton Mifflin, 1970.</t>
        </is>
      </c>
      <c r="O1464" t="inlineStr">
        <is>
          <t>1970</t>
        </is>
      </c>
      <c r="Q1464" t="inlineStr">
        <is>
          <t>eng</t>
        </is>
      </c>
      <c r="R1464" t="inlineStr">
        <is>
          <t>mau</t>
        </is>
      </c>
      <c r="T1464" t="inlineStr">
        <is>
          <t xml:space="preserve">PR </t>
        </is>
      </c>
      <c r="U1464" t="n">
        <v>1</v>
      </c>
      <c r="V1464" t="n">
        <v>1</v>
      </c>
      <c r="W1464" t="inlineStr">
        <is>
          <t>2006-10-30</t>
        </is>
      </c>
      <c r="X1464" t="inlineStr">
        <is>
          <t>2006-10-30</t>
        </is>
      </c>
      <c r="Y1464" t="inlineStr">
        <is>
          <t>1997-06-20</t>
        </is>
      </c>
      <c r="Z1464" t="inlineStr">
        <is>
          <t>1997-06-20</t>
        </is>
      </c>
      <c r="AA1464" t="n">
        <v>999</v>
      </c>
      <c r="AB1464" t="n">
        <v>950</v>
      </c>
      <c r="AC1464" t="n">
        <v>987</v>
      </c>
      <c r="AD1464" t="n">
        <v>6</v>
      </c>
      <c r="AE1464" t="n">
        <v>6</v>
      </c>
      <c r="AF1464" t="n">
        <v>35</v>
      </c>
      <c r="AG1464" t="n">
        <v>37</v>
      </c>
      <c r="AH1464" t="n">
        <v>15</v>
      </c>
      <c r="AI1464" t="n">
        <v>16</v>
      </c>
      <c r="AJ1464" t="n">
        <v>9</v>
      </c>
      <c r="AK1464" t="n">
        <v>9</v>
      </c>
      <c r="AL1464" t="n">
        <v>18</v>
      </c>
      <c r="AM1464" t="n">
        <v>20</v>
      </c>
      <c r="AN1464" t="n">
        <v>4</v>
      </c>
      <c r="AO1464" t="n">
        <v>4</v>
      </c>
      <c r="AP1464" t="n">
        <v>0</v>
      </c>
      <c r="AQ1464" t="n">
        <v>0</v>
      </c>
      <c r="AR1464" t="inlineStr">
        <is>
          <t>No</t>
        </is>
      </c>
      <c r="AS1464" t="inlineStr">
        <is>
          <t>Yes</t>
        </is>
      </c>
      <c r="AT1464">
        <f>HYPERLINK("http://catalog.hathitrust.org/Record/000358485","HathiTrust Record")</f>
        <v/>
      </c>
      <c r="AU1464">
        <f>HYPERLINK("https://creighton-primo.hosted.exlibrisgroup.com/primo-explore/search?tab=default_tab&amp;search_scope=EVERYTHING&amp;vid=01CRU&amp;lang=en_US&amp;offset=0&amp;query=any,contains,991000516849702656","Catalog Record")</f>
        <v/>
      </c>
      <c r="AV1464">
        <f>HYPERLINK("http://www.worldcat.org/oclc/86127","WorldCat Record")</f>
        <v/>
      </c>
      <c r="AW1464" t="inlineStr">
        <is>
          <t>1177846:eng</t>
        </is>
      </c>
      <c r="AX1464" t="inlineStr">
        <is>
          <t>86127</t>
        </is>
      </c>
      <c r="AY1464" t="inlineStr">
        <is>
          <t>991000516849702656</t>
        </is>
      </c>
      <c r="AZ1464" t="inlineStr">
        <is>
          <t>991000516849702656</t>
        </is>
      </c>
      <c r="BA1464" t="inlineStr">
        <is>
          <t>2270306220002656</t>
        </is>
      </c>
      <c r="BB1464" t="inlineStr">
        <is>
          <t>BOOK</t>
        </is>
      </c>
      <c r="BE1464" t="inlineStr">
        <is>
          <t>32285002772985</t>
        </is>
      </c>
      <c r="BF1464" t="inlineStr">
        <is>
          <t>893345734</t>
        </is>
      </c>
    </row>
    <row r="1465">
      <c r="A1465" t="inlineStr">
        <is>
          <t>No</t>
        </is>
      </c>
      <c r="B1465" t="inlineStr">
        <is>
          <t>CURAL</t>
        </is>
      </c>
      <c r="C1465" t="inlineStr">
        <is>
          <t>SHELVES</t>
        </is>
      </c>
      <c r="D1465" t="inlineStr">
        <is>
          <t>PR408.A68 D66 2003</t>
        </is>
      </c>
      <c r="E1465" t="inlineStr">
        <is>
          <t>0                      PR 0408000A  68                 D  66          2003</t>
        </is>
      </c>
      <c r="F1465" t="inlineStr">
        <is>
          <t>Speaking of beauty / Denis Donoghue.</t>
        </is>
      </c>
      <c r="H1465" t="inlineStr">
        <is>
          <t>No</t>
        </is>
      </c>
      <c r="I1465" t="inlineStr">
        <is>
          <t>1</t>
        </is>
      </c>
      <c r="J1465" t="inlineStr">
        <is>
          <t>No</t>
        </is>
      </c>
      <c r="K1465" t="inlineStr">
        <is>
          <t>No</t>
        </is>
      </c>
      <c r="L1465" t="inlineStr">
        <is>
          <t>0</t>
        </is>
      </c>
      <c r="M1465" t="inlineStr">
        <is>
          <t>Donoghue, Denis.</t>
        </is>
      </c>
      <c r="N1465" t="inlineStr">
        <is>
          <t>New Haven : Yale University Press, c2003.</t>
        </is>
      </c>
      <c r="O1465" t="inlineStr">
        <is>
          <t>2003</t>
        </is>
      </c>
      <c r="Q1465" t="inlineStr">
        <is>
          <t>eng</t>
        </is>
      </c>
      <c r="R1465" t="inlineStr">
        <is>
          <t>ctu</t>
        </is>
      </c>
      <c r="T1465" t="inlineStr">
        <is>
          <t xml:space="preserve">PR </t>
        </is>
      </c>
      <c r="U1465" t="n">
        <v>5</v>
      </c>
      <c r="V1465" t="n">
        <v>5</v>
      </c>
      <c r="W1465" t="inlineStr">
        <is>
          <t>2004-10-24</t>
        </is>
      </c>
      <c r="X1465" t="inlineStr">
        <is>
          <t>2004-10-24</t>
        </is>
      </c>
      <c r="Y1465" t="inlineStr">
        <is>
          <t>2003-10-03</t>
        </is>
      </c>
      <c r="Z1465" t="inlineStr">
        <is>
          <t>2003-10-03</t>
        </is>
      </c>
      <c r="AA1465" t="n">
        <v>662</v>
      </c>
      <c r="AB1465" t="n">
        <v>567</v>
      </c>
      <c r="AC1465" t="n">
        <v>584</v>
      </c>
      <c r="AD1465" t="n">
        <v>5</v>
      </c>
      <c r="AE1465" t="n">
        <v>5</v>
      </c>
      <c r="AF1465" t="n">
        <v>31</v>
      </c>
      <c r="AG1465" t="n">
        <v>32</v>
      </c>
      <c r="AH1465" t="n">
        <v>15</v>
      </c>
      <c r="AI1465" t="n">
        <v>15</v>
      </c>
      <c r="AJ1465" t="n">
        <v>8</v>
      </c>
      <c r="AK1465" t="n">
        <v>9</v>
      </c>
      <c r="AL1465" t="n">
        <v>14</v>
      </c>
      <c r="AM1465" t="n">
        <v>14</v>
      </c>
      <c r="AN1465" t="n">
        <v>4</v>
      </c>
      <c r="AO1465" t="n">
        <v>4</v>
      </c>
      <c r="AP1465" t="n">
        <v>0</v>
      </c>
      <c r="AQ1465" t="n">
        <v>0</v>
      </c>
      <c r="AR1465" t="inlineStr">
        <is>
          <t>No</t>
        </is>
      </c>
      <c r="AS1465" t="inlineStr">
        <is>
          <t>No</t>
        </is>
      </c>
      <c r="AU1465">
        <f>HYPERLINK("https://creighton-primo.hosted.exlibrisgroup.com/primo-explore/search?tab=default_tab&amp;search_scope=EVERYTHING&amp;vid=01CRU&amp;lang=en_US&amp;offset=0&amp;query=any,contains,991004151439702656","Catalog Record")</f>
        <v/>
      </c>
      <c r="AV1465">
        <f>HYPERLINK("http://www.worldcat.org/oclc/50323012","WorldCat Record")</f>
        <v/>
      </c>
      <c r="AW1465" t="inlineStr">
        <is>
          <t>997627:eng</t>
        </is>
      </c>
      <c r="AX1465" t="inlineStr">
        <is>
          <t>50323012</t>
        </is>
      </c>
      <c r="AY1465" t="inlineStr">
        <is>
          <t>991004151439702656</t>
        </is>
      </c>
      <c r="AZ1465" t="inlineStr">
        <is>
          <t>991004151439702656</t>
        </is>
      </c>
      <c r="BA1465" t="inlineStr">
        <is>
          <t>2255682550002656</t>
        </is>
      </c>
      <c r="BB1465" t="inlineStr">
        <is>
          <t>BOOK</t>
        </is>
      </c>
      <c r="BD1465" t="inlineStr">
        <is>
          <t>9780300098938</t>
        </is>
      </c>
      <c r="BE1465" t="inlineStr">
        <is>
          <t>32285004794672</t>
        </is>
      </c>
      <c r="BF1465" t="inlineStr">
        <is>
          <t>893894621</t>
        </is>
      </c>
    </row>
    <row r="1466">
      <c r="A1466" t="inlineStr">
        <is>
          <t>No</t>
        </is>
      </c>
      <c r="B1466" t="inlineStr">
        <is>
          <t>CURAL</t>
        </is>
      </c>
      <c r="C1466" t="inlineStr">
        <is>
          <t>SHELVES</t>
        </is>
      </c>
      <c r="D1466" t="inlineStr">
        <is>
          <t>PR408.A7 T38 1983</t>
        </is>
      </c>
      <c r="E1466" t="inlineStr">
        <is>
          <t>0                      PR 0408000A  7                  T  38          1983</t>
        </is>
      </c>
      <c r="F1466" t="inlineStr">
        <is>
          <t>The return of King Arthur : British and American Arthurian literature since 1900 / Beverly Taylor &amp; Elisabeth Brewer.</t>
        </is>
      </c>
      <c r="H1466" t="inlineStr">
        <is>
          <t>No</t>
        </is>
      </c>
      <c r="I1466" t="inlineStr">
        <is>
          <t>1</t>
        </is>
      </c>
      <c r="J1466" t="inlineStr">
        <is>
          <t>No</t>
        </is>
      </c>
      <c r="K1466" t="inlineStr">
        <is>
          <t>No</t>
        </is>
      </c>
      <c r="L1466" t="inlineStr">
        <is>
          <t>0</t>
        </is>
      </c>
      <c r="M1466" t="inlineStr">
        <is>
          <t>Taylor, Beverly.</t>
        </is>
      </c>
      <c r="N1466" t="inlineStr">
        <is>
          <t>Cambridge [Cambrideshire] ; Totowa, N.J. : Barnes &amp; Noble, 1983.</t>
        </is>
      </c>
      <c r="O1466" t="inlineStr">
        <is>
          <t>1983</t>
        </is>
      </c>
      <c r="Q1466" t="inlineStr">
        <is>
          <t>eng</t>
        </is>
      </c>
      <c r="R1466" t="inlineStr">
        <is>
          <t>enk</t>
        </is>
      </c>
      <c r="S1466" t="inlineStr">
        <is>
          <t>Arthurian studies, 0261-9814 ; 9</t>
        </is>
      </c>
      <c r="T1466" t="inlineStr">
        <is>
          <t xml:space="preserve">PR </t>
        </is>
      </c>
      <c r="U1466" t="n">
        <v>8</v>
      </c>
      <c r="V1466" t="n">
        <v>8</v>
      </c>
      <c r="W1466" t="inlineStr">
        <is>
          <t>2000-04-10</t>
        </is>
      </c>
      <c r="X1466" t="inlineStr">
        <is>
          <t>2000-04-10</t>
        </is>
      </c>
      <c r="Y1466" t="inlineStr">
        <is>
          <t>1991-08-28</t>
        </is>
      </c>
      <c r="Z1466" t="inlineStr">
        <is>
          <t>1991-08-28</t>
        </is>
      </c>
      <c r="AA1466" t="n">
        <v>523</v>
      </c>
      <c r="AB1466" t="n">
        <v>423</v>
      </c>
      <c r="AC1466" t="n">
        <v>494</v>
      </c>
      <c r="AD1466" t="n">
        <v>3</v>
      </c>
      <c r="AE1466" t="n">
        <v>4</v>
      </c>
      <c r="AF1466" t="n">
        <v>20</v>
      </c>
      <c r="AG1466" t="n">
        <v>24</v>
      </c>
      <c r="AH1466" t="n">
        <v>10</v>
      </c>
      <c r="AI1466" t="n">
        <v>11</v>
      </c>
      <c r="AJ1466" t="n">
        <v>7</v>
      </c>
      <c r="AK1466" t="n">
        <v>8</v>
      </c>
      <c r="AL1466" t="n">
        <v>8</v>
      </c>
      <c r="AM1466" t="n">
        <v>10</v>
      </c>
      <c r="AN1466" t="n">
        <v>2</v>
      </c>
      <c r="AO1466" t="n">
        <v>3</v>
      </c>
      <c r="AP1466" t="n">
        <v>0</v>
      </c>
      <c r="AQ1466" t="n">
        <v>0</v>
      </c>
      <c r="AR1466" t="inlineStr">
        <is>
          <t>No</t>
        </is>
      </c>
      <c r="AS1466" t="inlineStr">
        <is>
          <t>No</t>
        </is>
      </c>
      <c r="AU1466">
        <f>HYPERLINK("https://creighton-primo.hosted.exlibrisgroup.com/primo-explore/search?tab=default_tab&amp;search_scope=EVERYTHING&amp;vid=01CRU&amp;lang=en_US&amp;offset=0&amp;query=any,contains,991000139109702656","Catalog Record")</f>
        <v/>
      </c>
      <c r="AV1466">
        <f>HYPERLINK("http://www.worldcat.org/oclc/9153602","WorldCat Record")</f>
        <v/>
      </c>
      <c r="AW1466" t="inlineStr">
        <is>
          <t>863209796:eng</t>
        </is>
      </c>
      <c r="AX1466" t="inlineStr">
        <is>
          <t>9153602</t>
        </is>
      </c>
      <c r="AY1466" t="inlineStr">
        <is>
          <t>991000139109702656</t>
        </is>
      </c>
      <c r="AZ1466" t="inlineStr">
        <is>
          <t>991000139109702656</t>
        </is>
      </c>
      <c r="BA1466" t="inlineStr">
        <is>
          <t>2265118730002656</t>
        </is>
      </c>
      <c r="BB1466" t="inlineStr">
        <is>
          <t>BOOK</t>
        </is>
      </c>
      <c r="BD1466" t="inlineStr">
        <is>
          <t>9780389202783</t>
        </is>
      </c>
      <c r="BE1466" t="inlineStr">
        <is>
          <t>32285000730928</t>
        </is>
      </c>
      <c r="BF1466" t="inlineStr">
        <is>
          <t>893413116</t>
        </is>
      </c>
    </row>
    <row r="1467">
      <c r="A1467" t="inlineStr">
        <is>
          <t>No</t>
        </is>
      </c>
      <c r="B1467" t="inlineStr">
        <is>
          <t>CURAL</t>
        </is>
      </c>
      <c r="C1467" t="inlineStr">
        <is>
          <t>SHELVES</t>
        </is>
      </c>
      <c r="D1467" t="inlineStr">
        <is>
          <t>PR408.G56 N88 1998</t>
        </is>
      </c>
      <c r="E1467" t="inlineStr">
        <is>
          <t>0                      PR 0408000G  56                 N  88          1998</t>
        </is>
      </c>
      <c r="F1467" t="inlineStr">
        <is>
          <t>The alternative trinity : gnostic heresy in Marlowe, Milton, and Blake / A.D. Nuttall.</t>
        </is>
      </c>
      <c r="H1467" t="inlineStr">
        <is>
          <t>No</t>
        </is>
      </c>
      <c r="I1467" t="inlineStr">
        <is>
          <t>1</t>
        </is>
      </c>
      <c r="J1467" t="inlineStr">
        <is>
          <t>No</t>
        </is>
      </c>
      <c r="K1467" t="inlineStr">
        <is>
          <t>No</t>
        </is>
      </c>
      <c r="L1467" t="inlineStr">
        <is>
          <t>0</t>
        </is>
      </c>
      <c r="M1467" t="inlineStr">
        <is>
          <t>Nuttall, A. D. (Anthony David)</t>
        </is>
      </c>
      <c r="N1467" t="inlineStr">
        <is>
          <t>Oxford [United Kingdom] : Clarendon Press ; New York : Oxford University Press, 1998.</t>
        </is>
      </c>
      <c r="O1467" t="inlineStr">
        <is>
          <t>1998</t>
        </is>
      </c>
      <c r="Q1467" t="inlineStr">
        <is>
          <t>eng</t>
        </is>
      </c>
      <c r="R1467" t="inlineStr">
        <is>
          <t>enk</t>
        </is>
      </c>
      <c r="T1467" t="inlineStr">
        <is>
          <t xml:space="preserve">PR </t>
        </is>
      </c>
      <c r="U1467" t="n">
        <v>4</v>
      </c>
      <c r="V1467" t="n">
        <v>4</v>
      </c>
      <c r="W1467" t="inlineStr">
        <is>
          <t>2003-04-22</t>
        </is>
      </c>
      <c r="X1467" t="inlineStr">
        <is>
          <t>2003-04-22</t>
        </is>
      </c>
      <c r="Y1467" t="inlineStr">
        <is>
          <t>2001-10-25</t>
        </is>
      </c>
      <c r="Z1467" t="inlineStr">
        <is>
          <t>2001-10-25</t>
        </is>
      </c>
      <c r="AA1467" t="n">
        <v>385</v>
      </c>
      <c r="AB1467" t="n">
        <v>286</v>
      </c>
      <c r="AC1467" t="n">
        <v>1022</v>
      </c>
      <c r="AD1467" t="n">
        <v>4</v>
      </c>
      <c r="AE1467" t="n">
        <v>17</v>
      </c>
      <c r="AF1467" t="n">
        <v>20</v>
      </c>
      <c r="AG1467" t="n">
        <v>45</v>
      </c>
      <c r="AH1467" t="n">
        <v>5</v>
      </c>
      <c r="AI1467" t="n">
        <v>12</v>
      </c>
      <c r="AJ1467" t="n">
        <v>5</v>
      </c>
      <c r="AK1467" t="n">
        <v>9</v>
      </c>
      <c r="AL1467" t="n">
        <v>12</v>
      </c>
      <c r="AM1467" t="n">
        <v>17</v>
      </c>
      <c r="AN1467" t="n">
        <v>3</v>
      </c>
      <c r="AO1467" t="n">
        <v>14</v>
      </c>
      <c r="AP1467" t="n">
        <v>0</v>
      </c>
      <c r="AQ1467" t="n">
        <v>1</v>
      </c>
      <c r="AR1467" t="inlineStr">
        <is>
          <t>No</t>
        </is>
      </c>
      <c r="AS1467" t="inlineStr">
        <is>
          <t>Yes</t>
        </is>
      </c>
      <c r="AT1467">
        <f>HYPERLINK("http://catalog.hathitrust.org/Record/003982785","HathiTrust Record")</f>
        <v/>
      </c>
      <c r="AU1467">
        <f>HYPERLINK("https://creighton-primo.hosted.exlibrisgroup.com/primo-explore/search?tab=default_tab&amp;search_scope=EVERYTHING&amp;vid=01CRU&amp;lang=en_US&amp;offset=0&amp;query=any,contains,991003634209702656","Catalog Record")</f>
        <v/>
      </c>
      <c r="AV1467">
        <f>HYPERLINK("http://www.worldcat.org/oclc/38081671","WorldCat Record")</f>
        <v/>
      </c>
      <c r="AW1467" t="inlineStr">
        <is>
          <t>793093308:eng</t>
        </is>
      </c>
      <c r="AX1467" t="inlineStr">
        <is>
          <t>38081671</t>
        </is>
      </c>
      <c r="AY1467" t="inlineStr">
        <is>
          <t>991003634209702656</t>
        </is>
      </c>
      <c r="AZ1467" t="inlineStr">
        <is>
          <t>991003634209702656</t>
        </is>
      </c>
      <c r="BA1467" t="inlineStr">
        <is>
          <t>2268817790002656</t>
        </is>
      </c>
      <c r="BB1467" t="inlineStr">
        <is>
          <t>BOOK</t>
        </is>
      </c>
      <c r="BD1467" t="inlineStr">
        <is>
          <t>9780198184621</t>
        </is>
      </c>
      <c r="BE1467" t="inlineStr">
        <is>
          <t>32285004415351</t>
        </is>
      </c>
      <c r="BF1467" t="inlineStr">
        <is>
          <t>893499501</t>
        </is>
      </c>
    </row>
    <row r="1468">
      <c r="A1468" t="inlineStr">
        <is>
          <t>No</t>
        </is>
      </c>
      <c r="B1468" t="inlineStr">
        <is>
          <t>CURAL</t>
        </is>
      </c>
      <c r="C1468" t="inlineStr">
        <is>
          <t>SHELVES</t>
        </is>
      </c>
      <c r="D1468" t="inlineStr">
        <is>
          <t>PR408.M66 F7 1985</t>
        </is>
      </c>
      <c r="E1468" t="inlineStr">
        <is>
          <t>0                      PR 0408000M  66                 F  7           1985</t>
        </is>
      </c>
      <c r="F1468" t="inlineStr">
        <is>
          <t>Genius and monologue / Ken Frieden.</t>
        </is>
      </c>
      <c r="H1468" t="inlineStr">
        <is>
          <t>No</t>
        </is>
      </c>
      <c r="I1468" t="inlineStr">
        <is>
          <t>1</t>
        </is>
      </c>
      <c r="J1468" t="inlineStr">
        <is>
          <t>No</t>
        </is>
      </c>
      <c r="K1468" t="inlineStr">
        <is>
          <t>No</t>
        </is>
      </c>
      <c r="L1468" t="inlineStr">
        <is>
          <t>0</t>
        </is>
      </c>
      <c r="M1468" t="inlineStr">
        <is>
          <t>Frieden, Ken, 1955-</t>
        </is>
      </c>
      <c r="N1468" t="inlineStr">
        <is>
          <t>Ithaca : Cornell University Press, 1985.</t>
        </is>
      </c>
      <c r="O1468" t="inlineStr">
        <is>
          <t>1985</t>
        </is>
      </c>
      <c r="Q1468" t="inlineStr">
        <is>
          <t>eng</t>
        </is>
      </c>
      <c r="R1468" t="inlineStr">
        <is>
          <t>nyu</t>
        </is>
      </c>
      <c r="T1468" t="inlineStr">
        <is>
          <t xml:space="preserve">PR </t>
        </is>
      </c>
      <c r="U1468" t="n">
        <v>1</v>
      </c>
      <c r="V1468" t="n">
        <v>1</v>
      </c>
      <c r="W1468" t="inlineStr">
        <is>
          <t>2004-09-27</t>
        </is>
      </c>
      <c r="X1468" t="inlineStr">
        <is>
          <t>2004-09-27</t>
        </is>
      </c>
      <c r="Y1468" t="inlineStr">
        <is>
          <t>2004-09-27</t>
        </is>
      </c>
      <c r="Z1468" t="inlineStr">
        <is>
          <t>2004-09-27</t>
        </is>
      </c>
      <c r="AA1468" t="n">
        <v>462</v>
      </c>
      <c r="AB1468" t="n">
        <v>403</v>
      </c>
      <c r="AC1468" t="n">
        <v>409</v>
      </c>
      <c r="AD1468" t="n">
        <v>5</v>
      </c>
      <c r="AE1468" t="n">
        <v>5</v>
      </c>
      <c r="AF1468" t="n">
        <v>19</v>
      </c>
      <c r="AG1468" t="n">
        <v>19</v>
      </c>
      <c r="AH1468" t="n">
        <v>3</v>
      </c>
      <c r="AI1468" t="n">
        <v>3</v>
      </c>
      <c r="AJ1468" t="n">
        <v>4</v>
      </c>
      <c r="AK1468" t="n">
        <v>4</v>
      </c>
      <c r="AL1468" t="n">
        <v>11</v>
      </c>
      <c r="AM1468" t="n">
        <v>11</v>
      </c>
      <c r="AN1468" t="n">
        <v>4</v>
      </c>
      <c r="AO1468" t="n">
        <v>4</v>
      </c>
      <c r="AP1468" t="n">
        <v>0</v>
      </c>
      <c r="AQ1468" t="n">
        <v>0</v>
      </c>
      <c r="AR1468" t="inlineStr">
        <is>
          <t>No</t>
        </is>
      </c>
      <c r="AS1468" t="inlineStr">
        <is>
          <t>Yes</t>
        </is>
      </c>
      <c r="AT1468">
        <f>HYPERLINK("http://catalog.hathitrust.org/Record/000421770","HathiTrust Record")</f>
        <v/>
      </c>
      <c r="AU1468">
        <f>HYPERLINK("https://creighton-primo.hosted.exlibrisgroup.com/primo-explore/search?tab=default_tab&amp;search_scope=EVERYTHING&amp;vid=01CRU&amp;lang=en_US&amp;offset=0&amp;query=any,contains,991004383909702656","Catalog Record")</f>
        <v/>
      </c>
      <c r="AV1468">
        <f>HYPERLINK("http://www.worldcat.org/oclc/12079100","WorldCat Record")</f>
        <v/>
      </c>
      <c r="AW1468" t="inlineStr">
        <is>
          <t>8907063115:eng</t>
        </is>
      </c>
      <c r="AX1468" t="inlineStr">
        <is>
          <t>12079100</t>
        </is>
      </c>
      <c r="AY1468" t="inlineStr">
        <is>
          <t>991004383909702656</t>
        </is>
      </c>
      <c r="AZ1468" t="inlineStr">
        <is>
          <t>991004383909702656</t>
        </is>
      </c>
      <c r="BA1468" t="inlineStr">
        <is>
          <t>2269492650002656</t>
        </is>
      </c>
      <c r="BB1468" t="inlineStr">
        <is>
          <t>BOOK</t>
        </is>
      </c>
      <c r="BD1468" t="inlineStr">
        <is>
          <t>9780801418044</t>
        </is>
      </c>
      <c r="BE1468" t="inlineStr">
        <is>
          <t>32285004989470</t>
        </is>
      </c>
      <c r="BF1468" t="inlineStr">
        <is>
          <t>893700167</t>
        </is>
      </c>
    </row>
    <row r="1469">
      <c r="A1469" t="inlineStr">
        <is>
          <t>No</t>
        </is>
      </c>
      <c r="B1469" t="inlineStr">
        <is>
          <t>CURAL</t>
        </is>
      </c>
      <c r="C1469" t="inlineStr">
        <is>
          <t>SHELVES</t>
        </is>
      </c>
      <c r="D1469" t="inlineStr">
        <is>
          <t>PR408.P54 E39 2005</t>
        </is>
      </c>
      <c r="E1469" t="inlineStr">
        <is>
          <t>0                      PR 0408000P  54                 E  39          2005</t>
        </is>
      </c>
      <c r="F1469" t="inlineStr">
        <is>
          <t>Pilgrimage and literary tradition / Philip Edwards.</t>
        </is>
      </c>
      <c r="H1469" t="inlineStr">
        <is>
          <t>No</t>
        </is>
      </c>
      <c r="I1469" t="inlineStr">
        <is>
          <t>1</t>
        </is>
      </c>
      <c r="J1469" t="inlineStr">
        <is>
          <t>No</t>
        </is>
      </c>
      <c r="K1469" t="inlineStr">
        <is>
          <t>No</t>
        </is>
      </c>
      <c r="L1469" t="inlineStr">
        <is>
          <t>0</t>
        </is>
      </c>
      <c r="M1469" t="inlineStr">
        <is>
          <t>Edwards, Philip, 1923-</t>
        </is>
      </c>
      <c r="N1469" t="inlineStr">
        <is>
          <t>New York : Cambridge University Press, 2005.</t>
        </is>
      </c>
      <c r="O1469" t="inlineStr">
        <is>
          <t>2005</t>
        </is>
      </c>
      <c r="Q1469" t="inlineStr">
        <is>
          <t>eng</t>
        </is>
      </c>
      <c r="R1469" t="inlineStr">
        <is>
          <t>nyu</t>
        </is>
      </c>
      <c r="T1469" t="inlineStr">
        <is>
          <t xml:space="preserve">PR </t>
        </is>
      </c>
      <c r="U1469" t="n">
        <v>1</v>
      </c>
      <c r="V1469" t="n">
        <v>1</v>
      </c>
      <c r="W1469" t="inlineStr">
        <is>
          <t>2007-01-23</t>
        </is>
      </c>
      <c r="X1469" t="inlineStr">
        <is>
          <t>2007-01-23</t>
        </is>
      </c>
      <c r="Y1469" t="inlineStr">
        <is>
          <t>2007-01-23</t>
        </is>
      </c>
      <c r="Z1469" t="inlineStr">
        <is>
          <t>2007-01-23</t>
        </is>
      </c>
      <c r="AA1469" t="n">
        <v>280</v>
      </c>
      <c r="AB1469" t="n">
        <v>213</v>
      </c>
      <c r="AC1469" t="n">
        <v>227</v>
      </c>
      <c r="AD1469" t="n">
        <v>3</v>
      </c>
      <c r="AE1469" t="n">
        <v>3</v>
      </c>
      <c r="AF1469" t="n">
        <v>13</v>
      </c>
      <c r="AG1469" t="n">
        <v>14</v>
      </c>
      <c r="AH1469" t="n">
        <v>5</v>
      </c>
      <c r="AI1469" t="n">
        <v>6</v>
      </c>
      <c r="AJ1469" t="n">
        <v>3</v>
      </c>
      <c r="AK1469" t="n">
        <v>3</v>
      </c>
      <c r="AL1469" t="n">
        <v>5</v>
      </c>
      <c r="AM1469" t="n">
        <v>6</v>
      </c>
      <c r="AN1469" t="n">
        <v>2</v>
      </c>
      <c r="AO1469" t="n">
        <v>2</v>
      </c>
      <c r="AP1469" t="n">
        <v>0</v>
      </c>
      <c r="AQ1469" t="n">
        <v>0</v>
      </c>
      <c r="AR1469" t="inlineStr">
        <is>
          <t>No</t>
        </is>
      </c>
      <c r="AS1469" t="inlineStr">
        <is>
          <t>No</t>
        </is>
      </c>
      <c r="AU1469">
        <f>HYPERLINK("https://creighton-primo.hosted.exlibrisgroup.com/primo-explore/search?tab=default_tab&amp;search_scope=EVERYTHING&amp;vid=01CRU&amp;lang=en_US&amp;offset=0&amp;query=any,contains,991005002169702656","Catalog Record")</f>
        <v/>
      </c>
      <c r="AV1469">
        <f>HYPERLINK("http://www.worldcat.org/oclc/59818172","WorldCat Record")</f>
        <v/>
      </c>
      <c r="AW1469" t="inlineStr">
        <is>
          <t>19129360:eng</t>
        </is>
      </c>
      <c r="AX1469" t="inlineStr">
        <is>
          <t>59818172</t>
        </is>
      </c>
      <c r="AY1469" t="inlineStr">
        <is>
          <t>991005002169702656</t>
        </is>
      </c>
      <c r="AZ1469" t="inlineStr">
        <is>
          <t>991005002169702656</t>
        </is>
      </c>
      <c r="BA1469" t="inlineStr">
        <is>
          <t>2256881110002656</t>
        </is>
      </c>
      <c r="BB1469" t="inlineStr">
        <is>
          <t>BOOK</t>
        </is>
      </c>
      <c r="BD1469" t="inlineStr">
        <is>
          <t>9780521847629</t>
        </is>
      </c>
      <c r="BE1469" t="inlineStr">
        <is>
          <t>32285005272348</t>
        </is>
      </c>
      <c r="BF1469" t="inlineStr">
        <is>
          <t>893338363</t>
        </is>
      </c>
    </row>
    <row r="1470">
      <c r="A1470" t="inlineStr">
        <is>
          <t>No</t>
        </is>
      </c>
      <c r="B1470" t="inlineStr">
        <is>
          <t>CURAL</t>
        </is>
      </c>
      <c r="C1470" t="inlineStr">
        <is>
          <t>SHELVES</t>
        </is>
      </c>
      <c r="D1470" t="inlineStr">
        <is>
          <t>PR408.P8 G6</t>
        </is>
      </c>
      <c r="E1470" t="inlineStr">
        <is>
          <t>0                      PR 0408000P  8                  G  6</t>
        </is>
      </c>
      <c r="F1470" t="inlineStr">
        <is>
          <t>Literary art and the unconscious / David J. Gordon.</t>
        </is>
      </c>
      <c r="H1470" t="inlineStr">
        <is>
          <t>No</t>
        </is>
      </c>
      <c r="I1470" t="inlineStr">
        <is>
          <t>1</t>
        </is>
      </c>
      <c r="J1470" t="inlineStr">
        <is>
          <t>No</t>
        </is>
      </c>
      <c r="K1470" t="inlineStr">
        <is>
          <t>No</t>
        </is>
      </c>
      <c r="L1470" t="inlineStr">
        <is>
          <t>0</t>
        </is>
      </c>
      <c r="M1470" t="inlineStr">
        <is>
          <t>Gordon, David J.</t>
        </is>
      </c>
      <c r="N1470" t="inlineStr">
        <is>
          <t>Baton Rouge : Louisiana State University Press, c1976.</t>
        </is>
      </c>
      <c r="O1470" t="inlineStr">
        <is>
          <t>1976</t>
        </is>
      </c>
      <c r="Q1470" t="inlineStr">
        <is>
          <t>eng</t>
        </is>
      </c>
      <c r="R1470" t="inlineStr">
        <is>
          <t>lau</t>
        </is>
      </c>
      <c r="T1470" t="inlineStr">
        <is>
          <t xml:space="preserve">PR </t>
        </is>
      </c>
      <c r="U1470" t="n">
        <v>3</v>
      </c>
      <c r="V1470" t="n">
        <v>3</v>
      </c>
      <c r="W1470" t="inlineStr">
        <is>
          <t>2000-11-21</t>
        </is>
      </c>
      <c r="X1470" t="inlineStr">
        <is>
          <t>2000-11-21</t>
        </is>
      </c>
      <c r="Y1470" t="inlineStr">
        <is>
          <t>1991-08-28</t>
        </is>
      </c>
      <c r="Z1470" t="inlineStr">
        <is>
          <t>1991-08-28</t>
        </is>
      </c>
      <c r="AA1470" t="n">
        <v>570</v>
      </c>
      <c r="AB1470" t="n">
        <v>486</v>
      </c>
      <c r="AC1470" t="n">
        <v>487</v>
      </c>
      <c r="AD1470" t="n">
        <v>4</v>
      </c>
      <c r="AE1470" t="n">
        <v>4</v>
      </c>
      <c r="AF1470" t="n">
        <v>23</v>
      </c>
      <c r="AG1470" t="n">
        <v>23</v>
      </c>
      <c r="AH1470" t="n">
        <v>10</v>
      </c>
      <c r="AI1470" t="n">
        <v>10</v>
      </c>
      <c r="AJ1470" t="n">
        <v>4</v>
      </c>
      <c r="AK1470" t="n">
        <v>4</v>
      </c>
      <c r="AL1470" t="n">
        <v>12</v>
      </c>
      <c r="AM1470" t="n">
        <v>12</v>
      </c>
      <c r="AN1470" t="n">
        <v>3</v>
      </c>
      <c r="AO1470" t="n">
        <v>3</v>
      </c>
      <c r="AP1470" t="n">
        <v>0</v>
      </c>
      <c r="AQ1470" t="n">
        <v>0</v>
      </c>
      <c r="AR1470" t="inlineStr">
        <is>
          <t>No</t>
        </is>
      </c>
      <c r="AS1470" t="inlineStr">
        <is>
          <t>No</t>
        </is>
      </c>
      <c r="AU1470">
        <f>HYPERLINK("https://creighton-primo.hosted.exlibrisgroup.com/primo-explore/search?tab=default_tab&amp;search_scope=EVERYTHING&amp;vid=01CRU&amp;lang=en_US&amp;offset=0&amp;query=any,contains,991004100389702656","Catalog Record")</f>
        <v/>
      </c>
      <c r="AV1470">
        <f>HYPERLINK("http://www.worldcat.org/oclc/2371973","WorldCat Record")</f>
        <v/>
      </c>
      <c r="AW1470" t="inlineStr">
        <is>
          <t>4736488:eng</t>
        </is>
      </c>
      <c r="AX1470" t="inlineStr">
        <is>
          <t>2371973</t>
        </is>
      </c>
      <c r="AY1470" t="inlineStr">
        <is>
          <t>991004100389702656</t>
        </is>
      </c>
      <c r="AZ1470" t="inlineStr">
        <is>
          <t>991004100389702656</t>
        </is>
      </c>
      <c r="BA1470" t="inlineStr">
        <is>
          <t>2254772760002656</t>
        </is>
      </c>
      <c r="BB1470" t="inlineStr">
        <is>
          <t>BOOK</t>
        </is>
      </c>
      <c r="BD1470" t="inlineStr">
        <is>
          <t>9780807101971</t>
        </is>
      </c>
      <c r="BE1470" t="inlineStr">
        <is>
          <t>32285000730969</t>
        </is>
      </c>
      <c r="BF1470" t="inlineStr">
        <is>
          <t>893318798</t>
        </is>
      </c>
    </row>
    <row r="1471">
      <c r="A1471" t="inlineStr">
        <is>
          <t>No</t>
        </is>
      </c>
      <c r="B1471" t="inlineStr">
        <is>
          <t>CURAL</t>
        </is>
      </c>
      <c r="C1471" t="inlineStr">
        <is>
          <t>SHELVES</t>
        </is>
      </c>
      <c r="D1471" t="inlineStr">
        <is>
          <t>PR408.P83 E3 1982</t>
        </is>
      </c>
      <c r="E1471" t="inlineStr">
        <is>
          <t>0                      PR 0408000P  83                 E  3           1982</t>
        </is>
      </c>
      <c r="F1471" t="inlineStr">
        <is>
          <t>Stuff of sleep and dreams : experiments in literary psychology / by Leon Edel.</t>
        </is>
      </c>
      <c r="H1471" t="inlineStr">
        <is>
          <t>No</t>
        </is>
      </c>
      <c r="I1471" t="inlineStr">
        <is>
          <t>1</t>
        </is>
      </c>
      <c r="J1471" t="inlineStr">
        <is>
          <t>No</t>
        </is>
      </c>
      <c r="K1471" t="inlineStr">
        <is>
          <t>No</t>
        </is>
      </c>
      <c r="L1471" t="inlineStr">
        <is>
          <t>0</t>
        </is>
      </c>
      <c r="M1471" t="inlineStr">
        <is>
          <t>Edel, Leon, 1907-1997.</t>
        </is>
      </c>
      <c r="N1471" t="inlineStr">
        <is>
          <t>New York : Harper &amp; Row, c1982.</t>
        </is>
      </c>
      <c r="O1471" t="inlineStr">
        <is>
          <t>1982</t>
        </is>
      </c>
      <c r="P1471" t="inlineStr">
        <is>
          <t>1st ed.</t>
        </is>
      </c>
      <c r="Q1471" t="inlineStr">
        <is>
          <t>eng</t>
        </is>
      </c>
      <c r="R1471" t="inlineStr">
        <is>
          <t>nyu</t>
        </is>
      </c>
      <c r="T1471" t="inlineStr">
        <is>
          <t xml:space="preserve">PR </t>
        </is>
      </c>
      <c r="U1471" t="n">
        <v>7</v>
      </c>
      <c r="V1471" t="n">
        <v>7</v>
      </c>
      <c r="W1471" t="inlineStr">
        <is>
          <t>2005-09-30</t>
        </is>
      </c>
      <c r="X1471" t="inlineStr">
        <is>
          <t>2005-09-30</t>
        </is>
      </c>
      <c r="Y1471" t="inlineStr">
        <is>
          <t>1991-08-28</t>
        </is>
      </c>
      <c r="Z1471" t="inlineStr">
        <is>
          <t>1991-08-28</t>
        </is>
      </c>
      <c r="AA1471" t="n">
        <v>1063</v>
      </c>
      <c r="AB1471" t="n">
        <v>960</v>
      </c>
      <c r="AC1471" t="n">
        <v>995</v>
      </c>
      <c r="AD1471" t="n">
        <v>9</v>
      </c>
      <c r="AE1471" t="n">
        <v>9</v>
      </c>
      <c r="AF1471" t="n">
        <v>37</v>
      </c>
      <c r="AG1471" t="n">
        <v>38</v>
      </c>
      <c r="AH1471" t="n">
        <v>14</v>
      </c>
      <c r="AI1471" t="n">
        <v>14</v>
      </c>
      <c r="AJ1471" t="n">
        <v>6</v>
      </c>
      <c r="AK1471" t="n">
        <v>6</v>
      </c>
      <c r="AL1471" t="n">
        <v>18</v>
      </c>
      <c r="AM1471" t="n">
        <v>19</v>
      </c>
      <c r="AN1471" t="n">
        <v>8</v>
      </c>
      <c r="AO1471" t="n">
        <v>8</v>
      </c>
      <c r="AP1471" t="n">
        <v>0</v>
      </c>
      <c r="AQ1471" t="n">
        <v>0</v>
      </c>
      <c r="AR1471" t="inlineStr">
        <is>
          <t>No</t>
        </is>
      </c>
      <c r="AS1471" t="inlineStr">
        <is>
          <t>Yes</t>
        </is>
      </c>
      <c r="AT1471">
        <f>HYPERLINK("http://catalog.hathitrust.org/Record/000761359","HathiTrust Record")</f>
        <v/>
      </c>
      <c r="AU1471">
        <f>HYPERLINK("https://creighton-primo.hosted.exlibrisgroup.com/primo-explore/search?tab=default_tab&amp;search_scope=EVERYTHING&amp;vid=01CRU&amp;lang=en_US&amp;offset=0&amp;query=any,contains,991005166619702656","Catalog Record")</f>
        <v/>
      </c>
      <c r="AV1471">
        <f>HYPERLINK("http://www.worldcat.org/oclc/7836102","WorldCat Record")</f>
        <v/>
      </c>
      <c r="AW1471" t="inlineStr">
        <is>
          <t>205192272:eng</t>
        </is>
      </c>
      <c r="AX1471" t="inlineStr">
        <is>
          <t>7836102</t>
        </is>
      </c>
      <c r="AY1471" t="inlineStr">
        <is>
          <t>991005166619702656</t>
        </is>
      </c>
      <c r="AZ1471" t="inlineStr">
        <is>
          <t>991005166619702656</t>
        </is>
      </c>
      <c r="BA1471" t="inlineStr">
        <is>
          <t>2255293420002656</t>
        </is>
      </c>
      <c r="BB1471" t="inlineStr">
        <is>
          <t>BOOK</t>
        </is>
      </c>
      <c r="BD1471" t="inlineStr">
        <is>
          <t>9780060149291</t>
        </is>
      </c>
      <c r="BE1471" t="inlineStr">
        <is>
          <t>32285000730977</t>
        </is>
      </c>
      <c r="BF1471" t="inlineStr">
        <is>
          <t>893254570</t>
        </is>
      </c>
    </row>
    <row r="1472">
      <c r="A1472" t="inlineStr">
        <is>
          <t>No</t>
        </is>
      </c>
      <c r="B1472" t="inlineStr">
        <is>
          <t>CURAL</t>
        </is>
      </c>
      <c r="C1472" t="inlineStr">
        <is>
          <t>SHELVES</t>
        </is>
      </c>
      <c r="D1472" t="inlineStr">
        <is>
          <t>PR409.D68 M5 1987</t>
        </is>
      </c>
      <c r="E1472" t="inlineStr">
        <is>
          <t>0                      PR 0409000D  68                 M  5           1987</t>
        </is>
      </c>
      <c r="F1472" t="inlineStr">
        <is>
          <t>Doubles : studies in literary history / Karl Miller.</t>
        </is>
      </c>
      <c r="H1472" t="inlineStr">
        <is>
          <t>No</t>
        </is>
      </c>
      <c r="I1472" t="inlineStr">
        <is>
          <t>1</t>
        </is>
      </c>
      <c r="J1472" t="inlineStr">
        <is>
          <t>No</t>
        </is>
      </c>
      <c r="K1472" t="inlineStr">
        <is>
          <t>No</t>
        </is>
      </c>
      <c r="L1472" t="inlineStr">
        <is>
          <t>0</t>
        </is>
      </c>
      <c r="M1472" t="inlineStr">
        <is>
          <t>Miller, Karl, 1931-2014.</t>
        </is>
      </c>
      <c r="N1472" t="inlineStr">
        <is>
          <t>Oxford ; New York : Oxford University Press, 1987, c1985.</t>
        </is>
      </c>
      <c r="O1472" t="inlineStr">
        <is>
          <t>1987</t>
        </is>
      </c>
      <c r="Q1472" t="inlineStr">
        <is>
          <t>eng</t>
        </is>
      </c>
      <c r="R1472" t="inlineStr">
        <is>
          <t>enk</t>
        </is>
      </c>
      <c r="T1472" t="inlineStr">
        <is>
          <t xml:space="preserve">PR </t>
        </is>
      </c>
      <c r="U1472" t="n">
        <v>1</v>
      </c>
      <c r="V1472" t="n">
        <v>1</v>
      </c>
      <c r="W1472" t="inlineStr">
        <is>
          <t>2003-09-03</t>
        </is>
      </c>
      <c r="X1472" t="inlineStr">
        <is>
          <t>2003-09-03</t>
        </is>
      </c>
      <c r="Y1472" t="inlineStr">
        <is>
          <t>2003-09-03</t>
        </is>
      </c>
      <c r="Z1472" t="inlineStr">
        <is>
          <t>2003-09-03</t>
        </is>
      </c>
      <c r="AA1472" t="n">
        <v>105</v>
      </c>
      <c r="AB1472" t="n">
        <v>56</v>
      </c>
      <c r="AC1472" t="n">
        <v>601</v>
      </c>
      <c r="AD1472" t="n">
        <v>1</v>
      </c>
      <c r="AE1472" t="n">
        <v>6</v>
      </c>
      <c r="AF1472" t="n">
        <v>5</v>
      </c>
      <c r="AG1472" t="n">
        <v>34</v>
      </c>
      <c r="AH1472" t="n">
        <v>3</v>
      </c>
      <c r="AI1472" t="n">
        <v>13</v>
      </c>
      <c r="AJ1472" t="n">
        <v>0</v>
      </c>
      <c r="AK1472" t="n">
        <v>8</v>
      </c>
      <c r="AL1472" t="n">
        <v>4</v>
      </c>
      <c r="AM1472" t="n">
        <v>17</v>
      </c>
      <c r="AN1472" t="n">
        <v>0</v>
      </c>
      <c r="AO1472" t="n">
        <v>5</v>
      </c>
      <c r="AP1472" t="n">
        <v>0</v>
      </c>
      <c r="AQ1472" t="n">
        <v>0</v>
      </c>
      <c r="AR1472" t="inlineStr">
        <is>
          <t>No</t>
        </is>
      </c>
      <c r="AS1472" t="inlineStr">
        <is>
          <t>No</t>
        </is>
      </c>
      <c r="AU1472">
        <f>HYPERLINK("https://creighton-primo.hosted.exlibrisgroup.com/primo-explore/search?tab=default_tab&amp;search_scope=EVERYTHING&amp;vid=01CRU&amp;lang=en_US&amp;offset=0&amp;query=any,contains,991004113059702656","Catalog Record")</f>
        <v/>
      </c>
      <c r="AV1472">
        <f>HYPERLINK("http://www.worldcat.org/oclc/15109016","WorldCat Record")</f>
        <v/>
      </c>
      <c r="AW1472" t="inlineStr">
        <is>
          <t>807839607:eng</t>
        </is>
      </c>
      <c r="AX1472" t="inlineStr">
        <is>
          <t>15109016</t>
        </is>
      </c>
      <c r="AY1472" t="inlineStr">
        <is>
          <t>991004113059702656</t>
        </is>
      </c>
      <c r="AZ1472" t="inlineStr">
        <is>
          <t>991004113059702656</t>
        </is>
      </c>
      <c r="BA1472" t="inlineStr">
        <is>
          <t>2266981820002656</t>
        </is>
      </c>
      <c r="BB1472" t="inlineStr">
        <is>
          <t>BOOK</t>
        </is>
      </c>
      <c r="BD1472" t="inlineStr">
        <is>
          <t>9780192820471</t>
        </is>
      </c>
      <c r="BE1472" t="inlineStr">
        <is>
          <t>32285004781018</t>
        </is>
      </c>
      <c r="BF1472" t="inlineStr">
        <is>
          <t>893331213</t>
        </is>
      </c>
    </row>
    <row r="1473">
      <c r="A1473" t="inlineStr">
        <is>
          <t>No</t>
        </is>
      </c>
      <c r="B1473" t="inlineStr">
        <is>
          <t>CURAL</t>
        </is>
      </c>
      <c r="C1473" t="inlineStr">
        <is>
          <t>SHELVES</t>
        </is>
      </c>
      <c r="D1473" t="inlineStr">
        <is>
          <t>PR409.G7 C5 1965</t>
        </is>
      </c>
      <c r="E1473" t="inlineStr">
        <is>
          <t>0                      PR 0409000G  7                  C  5           1965</t>
        </is>
      </c>
      <c r="F1473" t="inlineStr">
        <is>
          <t>The grotesque in English literature.</t>
        </is>
      </c>
      <c r="H1473" t="inlineStr">
        <is>
          <t>No</t>
        </is>
      </c>
      <c r="I1473" t="inlineStr">
        <is>
          <t>1</t>
        </is>
      </c>
      <c r="J1473" t="inlineStr">
        <is>
          <t>No</t>
        </is>
      </c>
      <c r="K1473" t="inlineStr">
        <is>
          <t>No</t>
        </is>
      </c>
      <c r="L1473" t="inlineStr">
        <is>
          <t>0</t>
        </is>
      </c>
      <c r="M1473" t="inlineStr">
        <is>
          <t>Clayborough, Arthur.</t>
        </is>
      </c>
      <c r="N1473" t="inlineStr">
        <is>
          <t>Oxford : Clarendon Press, 1965.</t>
        </is>
      </c>
      <c r="O1473" t="inlineStr">
        <is>
          <t>1965</t>
        </is>
      </c>
      <c r="Q1473" t="inlineStr">
        <is>
          <t>eng</t>
        </is>
      </c>
      <c r="R1473" t="inlineStr">
        <is>
          <t>enk</t>
        </is>
      </c>
      <c r="T1473" t="inlineStr">
        <is>
          <t xml:space="preserve">PR </t>
        </is>
      </c>
      <c r="U1473" t="n">
        <v>1</v>
      </c>
      <c r="V1473" t="n">
        <v>1</v>
      </c>
      <c r="W1473" t="inlineStr">
        <is>
          <t>1998-04-24</t>
        </is>
      </c>
      <c r="X1473" t="inlineStr">
        <is>
          <t>1998-04-24</t>
        </is>
      </c>
      <c r="Y1473" t="inlineStr">
        <is>
          <t>1991-08-28</t>
        </is>
      </c>
      <c r="Z1473" t="inlineStr">
        <is>
          <t>1991-08-28</t>
        </is>
      </c>
      <c r="AA1473" t="n">
        <v>693</v>
      </c>
      <c r="AB1473" t="n">
        <v>524</v>
      </c>
      <c r="AC1473" t="n">
        <v>576</v>
      </c>
      <c r="AD1473" t="n">
        <v>5</v>
      </c>
      <c r="AE1473" t="n">
        <v>5</v>
      </c>
      <c r="AF1473" t="n">
        <v>36</v>
      </c>
      <c r="AG1473" t="n">
        <v>37</v>
      </c>
      <c r="AH1473" t="n">
        <v>15</v>
      </c>
      <c r="AI1473" t="n">
        <v>16</v>
      </c>
      <c r="AJ1473" t="n">
        <v>8</v>
      </c>
      <c r="AK1473" t="n">
        <v>8</v>
      </c>
      <c r="AL1473" t="n">
        <v>19</v>
      </c>
      <c r="AM1473" t="n">
        <v>20</v>
      </c>
      <c r="AN1473" t="n">
        <v>4</v>
      </c>
      <c r="AO1473" t="n">
        <v>4</v>
      </c>
      <c r="AP1473" t="n">
        <v>0</v>
      </c>
      <c r="AQ1473" t="n">
        <v>0</v>
      </c>
      <c r="AR1473" t="inlineStr">
        <is>
          <t>No</t>
        </is>
      </c>
      <c r="AS1473" t="inlineStr">
        <is>
          <t>Yes</t>
        </is>
      </c>
      <c r="AT1473">
        <f>HYPERLINK("http://catalog.hathitrust.org/Record/001369870","HathiTrust Record")</f>
        <v/>
      </c>
      <c r="AU1473">
        <f>HYPERLINK("https://creighton-primo.hosted.exlibrisgroup.com/primo-explore/search?tab=default_tab&amp;search_scope=EVERYTHING&amp;vid=01CRU&amp;lang=en_US&amp;offset=0&amp;query=any,contains,991002438339702656","Catalog Record")</f>
        <v/>
      </c>
      <c r="AV1473">
        <f>HYPERLINK("http://www.worldcat.org/oclc/40937683","WorldCat Record")</f>
        <v/>
      </c>
      <c r="AW1473" t="inlineStr">
        <is>
          <t>293811:eng</t>
        </is>
      </c>
      <c r="AX1473" t="inlineStr">
        <is>
          <t>40937683</t>
        </is>
      </c>
      <c r="AY1473" t="inlineStr">
        <is>
          <t>991002438339702656</t>
        </is>
      </c>
      <c r="AZ1473" t="inlineStr">
        <is>
          <t>991002438339702656</t>
        </is>
      </c>
      <c r="BA1473" t="inlineStr">
        <is>
          <t>2267099430002656</t>
        </is>
      </c>
      <c r="BB1473" t="inlineStr">
        <is>
          <t>BOOK</t>
        </is>
      </c>
      <c r="BE1473" t="inlineStr">
        <is>
          <t>32285000731033</t>
        </is>
      </c>
      <c r="BF1473" t="inlineStr">
        <is>
          <t>893251225</t>
        </is>
      </c>
    </row>
    <row r="1474">
      <c r="A1474" t="inlineStr">
        <is>
          <t>No</t>
        </is>
      </c>
      <c r="B1474" t="inlineStr">
        <is>
          <t>CURAL</t>
        </is>
      </c>
      <c r="C1474" t="inlineStr">
        <is>
          <t>SHELVES</t>
        </is>
      </c>
      <c r="D1474" t="inlineStr">
        <is>
          <t>PR409.O28 B55 1987</t>
        </is>
      </c>
      <c r="E1474" t="inlineStr">
        <is>
          <t>0                      PR 0409000O  28                 B  55          1987</t>
        </is>
      </c>
      <c r="F1474" t="inlineStr">
        <is>
          <t>The 'occult' experience and the new criticism : daemonism, sexuality, and the hidden in literature / Clive Bloom.</t>
        </is>
      </c>
      <c r="H1474" t="inlineStr">
        <is>
          <t>No</t>
        </is>
      </c>
      <c r="I1474" t="inlineStr">
        <is>
          <t>1</t>
        </is>
      </c>
      <c r="J1474" t="inlineStr">
        <is>
          <t>No</t>
        </is>
      </c>
      <c r="K1474" t="inlineStr">
        <is>
          <t>No</t>
        </is>
      </c>
      <c r="L1474" t="inlineStr">
        <is>
          <t>0</t>
        </is>
      </c>
      <c r="M1474" t="inlineStr">
        <is>
          <t>Bloom, Clive.</t>
        </is>
      </c>
      <c r="N1474" t="inlineStr">
        <is>
          <t>Sussex : Harvester Press ; New Jersey : Barnes &amp; Noble, 1987, c1986.</t>
        </is>
      </c>
      <c r="O1474" t="inlineStr">
        <is>
          <t>1987</t>
        </is>
      </c>
      <c r="Q1474" t="inlineStr">
        <is>
          <t>eng</t>
        </is>
      </c>
      <c r="R1474" t="inlineStr">
        <is>
          <t>enk</t>
        </is>
      </c>
      <c r="T1474" t="inlineStr">
        <is>
          <t xml:space="preserve">PR </t>
        </is>
      </c>
      <c r="U1474" t="n">
        <v>2</v>
      </c>
      <c r="V1474" t="n">
        <v>2</v>
      </c>
      <c r="W1474" t="inlineStr">
        <is>
          <t>2003-02-27</t>
        </is>
      </c>
      <c r="X1474" t="inlineStr">
        <is>
          <t>2003-02-27</t>
        </is>
      </c>
      <c r="Y1474" t="inlineStr">
        <is>
          <t>1991-08-28</t>
        </is>
      </c>
      <c r="Z1474" t="inlineStr">
        <is>
          <t>1991-08-28</t>
        </is>
      </c>
      <c r="AA1474" t="n">
        <v>403</v>
      </c>
      <c r="AB1474" t="n">
        <v>372</v>
      </c>
      <c r="AC1474" t="n">
        <v>405</v>
      </c>
      <c r="AD1474" t="n">
        <v>4</v>
      </c>
      <c r="AE1474" t="n">
        <v>4</v>
      </c>
      <c r="AF1474" t="n">
        <v>15</v>
      </c>
      <c r="AG1474" t="n">
        <v>15</v>
      </c>
      <c r="AH1474" t="n">
        <v>4</v>
      </c>
      <c r="AI1474" t="n">
        <v>4</v>
      </c>
      <c r="AJ1474" t="n">
        <v>4</v>
      </c>
      <c r="AK1474" t="n">
        <v>4</v>
      </c>
      <c r="AL1474" t="n">
        <v>9</v>
      </c>
      <c r="AM1474" t="n">
        <v>9</v>
      </c>
      <c r="AN1474" t="n">
        <v>3</v>
      </c>
      <c r="AO1474" t="n">
        <v>3</v>
      </c>
      <c r="AP1474" t="n">
        <v>0</v>
      </c>
      <c r="AQ1474" t="n">
        <v>0</v>
      </c>
      <c r="AR1474" t="inlineStr">
        <is>
          <t>No</t>
        </is>
      </c>
      <c r="AS1474" t="inlineStr">
        <is>
          <t>No</t>
        </is>
      </c>
      <c r="AU1474">
        <f>HYPERLINK("https://creighton-primo.hosted.exlibrisgroup.com/primo-explore/search?tab=default_tab&amp;search_scope=EVERYTHING&amp;vid=01CRU&amp;lang=en_US&amp;offset=0&amp;query=any,contains,991000851379702656","Catalog Record")</f>
        <v/>
      </c>
      <c r="AV1474">
        <f>HYPERLINK("http://www.worldcat.org/oclc/13582793","WorldCat Record")</f>
        <v/>
      </c>
      <c r="AW1474" t="inlineStr">
        <is>
          <t>7556834:eng</t>
        </is>
      </c>
      <c r="AX1474" t="inlineStr">
        <is>
          <t>13582793</t>
        </is>
      </c>
      <c r="AY1474" t="inlineStr">
        <is>
          <t>991000851379702656</t>
        </is>
      </c>
      <c r="AZ1474" t="inlineStr">
        <is>
          <t>991000851379702656</t>
        </is>
      </c>
      <c r="BA1474" t="inlineStr">
        <is>
          <t>2258941690002656</t>
        </is>
      </c>
      <c r="BB1474" t="inlineStr">
        <is>
          <t>BOOK</t>
        </is>
      </c>
      <c r="BD1474" t="inlineStr">
        <is>
          <t>9780389206460</t>
        </is>
      </c>
      <c r="BE1474" t="inlineStr">
        <is>
          <t>32285000731074</t>
        </is>
      </c>
      <c r="BF1474" t="inlineStr">
        <is>
          <t>893690091</t>
        </is>
      </c>
    </row>
    <row r="1475">
      <c r="A1475" t="inlineStr">
        <is>
          <t>No</t>
        </is>
      </c>
      <c r="B1475" t="inlineStr">
        <is>
          <t>CURAL</t>
        </is>
      </c>
      <c r="C1475" t="inlineStr">
        <is>
          <t>SHELVES</t>
        </is>
      </c>
      <c r="D1475" t="inlineStr">
        <is>
          <t>PR409.P48 P54 1984</t>
        </is>
      </c>
      <c r="E1475" t="inlineStr">
        <is>
          <t>0                      PR 0409000P  48                 P  54          1984</t>
        </is>
      </c>
      <c r="F1475" t="inlineStr">
        <is>
          <t>Philosophical approaches to literature : new essays on nineteenth- and twentieth-century texts / edited by William E. Cain.</t>
        </is>
      </c>
      <c r="H1475" t="inlineStr">
        <is>
          <t>No</t>
        </is>
      </c>
      <c r="I1475" t="inlineStr">
        <is>
          <t>1</t>
        </is>
      </c>
      <c r="J1475" t="inlineStr">
        <is>
          <t>No</t>
        </is>
      </c>
      <c r="K1475" t="inlineStr">
        <is>
          <t>No</t>
        </is>
      </c>
      <c r="L1475" t="inlineStr">
        <is>
          <t>0</t>
        </is>
      </c>
      <c r="N1475" t="inlineStr">
        <is>
          <t>Lewisburg [Pa.] : Bucknell University Press ; London ; Cranbury, NJ : Associated University Presses, c1984.</t>
        </is>
      </c>
      <c r="O1475" t="inlineStr">
        <is>
          <t>1984</t>
        </is>
      </c>
      <c r="Q1475" t="inlineStr">
        <is>
          <t>eng</t>
        </is>
      </c>
      <c r="R1475" t="inlineStr">
        <is>
          <t>pau</t>
        </is>
      </c>
      <c r="T1475" t="inlineStr">
        <is>
          <t xml:space="preserve">PR </t>
        </is>
      </c>
      <c r="U1475" t="n">
        <v>1</v>
      </c>
      <c r="V1475" t="n">
        <v>1</v>
      </c>
      <c r="W1475" t="inlineStr">
        <is>
          <t>2008-04-01</t>
        </is>
      </c>
      <c r="X1475" t="inlineStr">
        <is>
          <t>2008-04-01</t>
        </is>
      </c>
      <c r="Y1475" t="inlineStr">
        <is>
          <t>1995-07-21</t>
        </is>
      </c>
      <c r="Z1475" t="inlineStr">
        <is>
          <t>1995-07-21</t>
        </is>
      </c>
      <c r="AA1475" t="n">
        <v>328</v>
      </c>
      <c r="AB1475" t="n">
        <v>271</v>
      </c>
      <c r="AC1475" t="n">
        <v>273</v>
      </c>
      <c r="AD1475" t="n">
        <v>4</v>
      </c>
      <c r="AE1475" t="n">
        <v>4</v>
      </c>
      <c r="AF1475" t="n">
        <v>12</v>
      </c>
      <c r="AG1475" t="n">
        <v>12</v>
      </c>
      <c r="AH1475" t="n">
        <v>2</v>
      </c>
      <c r="AI1475" t="n">
        <v>2</v>
      </c>
      <c r="AJ1475" t="n">
        <v>3</v>
      </c>
      <c r="AK1475" t="n">
        <v>3</v>
      </c>
      <c r="AL1475" t="n">
        <v>7</v>
      </c>
      <c r="AM1475" t="n">
        <v>7</v>
      </c>
      <c r="AN1475" t="n">
        <v>3</v>
      </c>
      <c r="AO1475" t="n">
        <v>3</v>
      </c>
      <c r="AP1475" t="n">
        <v>0</v>
      </c>
      <c r="AQ1475" t="n">
        <v>0</v>
      </c>
      <c r="AR1475" t="inlineStr">
        <is>
          <t>No</t>
        </is>
      </c>
      <c r="AS1475" t="inlineStr">
        <is>
          <t>No</t>
        </is>
      </c>
      <c r="AU1475">
        <f>HYPERLINK("https://creighton-primo.hosted.exlibrisgroup.com/primo-explore/search?tab=default_tab&amp;search_scope=EVERYTHING&amp;vid=01CRU&amp;lang=en_US&amp;offset=0&amp;query=any,contains,991000239339702656","Catalog Record")</f>
        <v/>
      </c>
      <c r="AV1475">
        <f>HYPERLINK("http://www.worldcat.org/oclc/9682766","WorldCat Record")</f>
        <v/>
      </c>
      <c r="AW1475" t="inlineStr">
        <is>
          <t>54580487:eng</t>
        </is>
      </c>
      <c r="AX1475" t="inlineStr">
        <is>
          <t>9682766</t>
        </is>
      </c>
      <c r="AY1475" t="inlineStr">
        <is>
          <t>991000239339702656</t>
        </is>
      </c>
      <c r="AZ1475" t="inlineStr">
        <is>
          <t>991000239339702656</t>
        </is>
      </c>
      <c r="BA1475" t="inlineStr">
        <is>
          <t>2264115630002656</t>
        </is>
      </c>
      <c r="BB1475" t="inlineStr">
        <is>
          <t>BOOK</t>
        </is>
      </c>
      <c r="BD1475" t="inlineStr">
        <is>
          <t>9780838750551</t>
        </is>
      </c>
      <c r="BE1475" t="inlineStr">
        <is>
          <t>32285002075587</t>
        </is>
      </c>
      <c r="BF1475" t="inlineStr">
        <is>
          <t>893419320</t>
        </is>
      </c>
    </row>
    <row r="1476">
      <c r="A1476" t="inlineStr">
        <is>
          <t>No</t>
        </is>
      </c>
      <c r="B1476" t="inlineStr">
        <is>
          <t>CURAL</t>
        </is>
      </c>
      <c r="C1476" t="inlineStr">
        <is>
          <t>SHELVES</t>
        </is>
      </c>
      <c r="D1476" t="inlineStr">
        <is>
          <t>PR409.S35 B83 1984</t>
        </is>
      </c>
      <c r="E1476" t="inlineStr">
        <is>
          <t>0                      PR 0409000S  35                 B  83          1984</t>
        </is>
      </c>
      <c r="F1476" t="inlineStr">
        <is>
          <t>The turning key : autobiography and the subjective impulse since 1800 / Jerome Hamilton Buckley.</t>
        </is>
      </c>
      <c r="H1476" t="inlineStr">
        <is>
          <t>No</t>
        </is>
      </c>
      <c r="I1476" t="inlineStr">
        <is>
          <t>1</t>
        </is>
      </c>
      <c r="J1476" t="inlineStr">
        <is>
          <t>No</t>
        </is>
      </c>
      <c r="K1476" t="inlineStr">
        <is>
          <t>No</t>
        </is>
      </c>
      <c r="L1476" t="inlineStr">
        <is>
          <t>0</t>
        </is>
      </c>
      <c r="M1476" t="inlineStr">
        <is>
          <t>Buckley, Jerome Hamilton.</t>
        </is>
      </c>
      <c r="N1476" t="inlineStr">
        <is>
          <t>Cambridge, Mass. : Harvard University Press, 1984.</t>
        </is>
      </c>
      <c r="O1476" t="inlineStr">
        <is>
          <t>1984</t>
        </is>
      </c>
      <c r="Q1476" t="inlineStr">
        <is>
          <t>eng</t>
        </is>
      </c>
      <c r="R1476" t="inlineStr">
        <is>
          <t>mau</t>
        </is>
      </c>
      <c r="T1476" t="inlineStr">
        <is>
          <t xml:space="preserve">PR </t>
        </is>
      </c>
      <c r="U1476" t="n">
        <v>2</v>
      </c>
      <c r="V1476" t="n">
        <v>2</v>
      </c>
      <c r="W1476" t="inlineStr">
        <is>
          <t>2006-03-20</t>
        </is>
      </c>
      <c r="X1476" t="inlineStr">
        <is>
          <t>2006-03-20</t>
        </is>
      </c>
      <c r="Y1476" t="inlineStr">
        <is>
          <t>1991-08-28</t>
        </is>
      </c>
      <c r="Z1476" t="inlineStr">
        <is>
          <t>1991-08-28</t>
        </is>
      </c>
      <c r="AA1476" t="n">
        <v>629</v>
      </c>
      <c r="AB1476" t="n">
        <v>499</v>
      </c>
      <c r="AC1476" t="n">
        <v>509</v>
      </c>
      <c r="AD1476" t="n">
        <v>5</v>
      </c>
      <c r="AE1476" t="n">
        <v>5</v>
      </c>
      <c r="AF1476" t="n">
        <v>34</v>
      </c>
      <c r="AG1476" t="n">
        <v>34</v>
      </c>
      <c r="AH1476" t="n">
        <v>13</v>
      </c>
      <c r="AI1476" t="n">
        <v>13</v>
      </c>
      <c r="AJ1476" t="n">
        <v>6</v>
      </c>
      <c r="AK1476" t="n">
        <v>6</v>
      </c>
      <c r="AL1476" t="n">
        <v>20</v>
      </c>
      <c r="AM1476" t="n">
        <v>20</v>
      </c>
      <c r="AN1476" t="n">
        <v>4</v>
      </c>
      <c r="AO1476" t="n">
        <v>4</v>
      </c>
      <c r="AP1476" t="n">
        <v>0</v>
      </c>
      <c r="AQ1476" t="n">
        <v>0</v>
      </c>
      <c r="AR1476" t="inlineStr">
        <is>
          <t>No</t>
        </is>
      </c>
      <c r="AS1476" t="inlineStr">
        <is>
          <t>Yes</t>
        </is>
      </c>
      <c r="AT1476">
        <f>HYPERLINK("http://catalog.hathitrust.org/Record/000242421","HathiTrust Record")</f>
        <v/>
      </c>
      <c r="AU1476">
        <f>HYPERLINK("https://creighton-primo.hosted.exlibrisgroup.com/primo-explore/search?tab=default_tab&amp;search_scope=EVERYTHING&amp;vid=01CRU&amp;lang=en_US&amp;offset=0&amp;query=any,contains,991000270989702656","Catalog Record")</f>
        <v/>
      </c>
      <c r="AV1476">
        <f>HYPERLINK("http://www.worldcat.org/oclc/9854500","WorldCat Record")</f>
        <v/>
      </c>
      <c r="AW1476" t="inlineStr">
        <is>
          <t>198526893:eng</t>
        </is>
      </c>
      <c r="AX1476" t="inlineStr">
        <is>
          <t>9854500</t>
        </is>
      </c>
      <c r="AY1476" t="inlineStr">
        <is>
          <t>991000270989702656</t>
        </is>
      </c>
      <c r="AZ1476" t="inlineStr">
        <is>
          <t>991000270989702656</t>
        </is>
      </c>
      <c r="BA1476" t="inlineStr">
        <is>
          <t>2261332850002656</t>
        </is>
      </c>
      <c r="BB1476" t="inlineStr">
        <is>
          <t>BOOK</t>
        </is>
      </c>
      <c r="BD1476" t="inlineStr">
        <is>
          <t>9780674913301</t>
        </is>
      </c>
      <c r="BE1476" t="inlineStr">
        <is>
          <t>32285000731090</t>
        </is>
      </c>
      <c r="BF1476" t="inlineStr">
        <is>
          <t>893771516</t>
        </is>
      </c>
    </row>
    <row r="1477">
      <c r="A1477" t="inlineStr">
        <is>
          <t>No</t>
        </is>
      </c>
      <c r="B1477" t="inlineStr">
        <is>
          <t>CURAL</t>
        </is>
      </c>
      <c r="C1477" t="inlineStr">
        <is>
          <t>SHELVES</t>
        </is>
      </c>
      <c r="D1477" t="inlineStr">
        <is>
          <t>PR409.W65 R68 1986</t>
        </is>
      </c>
      <c r="E1477" t="inlineStr">
        <is>
          <t>0                      PR 0409000W  65                 R  68          1986</t>
        </is>
      </c>
      <c r="F1477" t="inlineStr">
        <is>
          <t>The conversation of the sexes : seduction and equality in selected seventeenth- and eighteenth-century texts / Roy Roussel.</t>
        </is>
      </c>
      <c r="H1477" t="inlineStr">
        <is>
          <t>No</t>
        </is>
      </c>
      <c r="I1477" t="inlineStr">
        <is>
          <t>1</t>
        </is>
      </c>
      <c r="J1477" t="inlineStr">
        <is>
          <t>No</t>
        </is>
      </c>
      <c r="K1477" t="inlineStr">
        <is>
          <t>No</t>
        </is>
      </c>
      <c r="L1477" t="inlineStr">
        <is>
          <t>0</t>
        </is>
      </c>
      <c r="M1477" t="inlineStr">
        <is>
          <t>Roussel, Roy.</t>
        </is>
      </c>
      <c r="N1477" t="inlineStr">
        <is>
          <t>New York : Oxford University Press, 1986.</t>
        </is>
      </c>
      <c r="O1477" t="inlineStr">
        <is>
          <t>1986</t>
        </is>
      </c>
      <c r="Q1477" t="inlineStr">
        <is>
          <t>eng</t>
        </is>
      </c>
      <c r="R1477" t="inlineStr">
        <is>
          <t>nyu</t>
        </is>
      </c>
      <c r="T1477" t="inlineStr">
        <is>
          <t xml:space="preserve">PR </t>
        </is>
      </c>
      <c r="U1477" t="n">
        <v>1</v>
      </c>
      <c r="V1477" t="n">
        <v>1</v>
      </c>
      <c r="W1477" t="inlineStr">
        <is>
          <t>2005-05-04</t>
        </is>
      </c>
      <c r="X1477" t="inlineStr">
        <is>
          <t>2005-05-04</t>
        </is>
      </c>
      <c r="Y1477" t="inlineStr">
        <is>
          <t>2005-05-04</t>
        </is>
      </c>
      <c r="Z1477" t="inlineStr">
        <is>
          <t>2005-05-04</t>
        </is>
      </c>
      <c r="AA1477" t="n">
        <v>573</v>
      </c>
      <c r="AB1477" t="n">
        <v>478</v>
      </c>
      <c r="AC1477" t="n">
        <v>494</v>
      </c>
      <c r="AD1477" t="n">
        <v>5</v>
      </c>
      <c r="AE1477" t="n">
        <v>5</v>
      </c>
      <c r="AF1477" t="n">
        <v>26</v>
      </c>
      <c r="AG1477" t="n">
        <v>27</v>
      </c>
      <c r="AH1477" t="n">
        <v>10</v>
      </c>
      <c r="AI1477" t="n">
        <v>10</v>
      </c>
      <c r="AJ1477" t="n">
        <v>4</v>
      </c>
      <c r="AK1477" t="n">
        <v>5</v>
      </c>
      <c r="AL1477" t="n">
        <v>13</v>
      </c>
      <c r="AM1477" t="n">
        <v>14</v>
      </c>
      <c r="AN1477" t="n">
        <v>4</v>
      </c>
      <c r="AO1477" t="n">
        <v>4</v>
      </c>
      <c r="AP1477" t="n">
        <v>0</v>
      </c>
      <c r="AQ1477" t="n">
        <v>0</v>
      </c>
      <c r="AR1477" t="inlineStr">
        <is>
          <t>No</t>
        </is>
      </c>
      <c r="AS1477" t="inlineStr">
        <is>
          <t>No</t>
        </is>
      </c>
      <c r="AU1477">
        <f>HYPERLINK("https://creighton-primo.hosted.exlibrisgroup.com/primo-explore/search?tab=default_tab&amp;search_scope=EVERYTHING&amp;vid=01CRU&amp;lang=en_US&amp;offset=0&amp;query=any,contains,991004549409702656","Catalog Record")</f>
        <v/>
      </c>
      <c r="AV1477">
        <f>HYPERLINK("http://www.worldcat.org/oclc/12344949","WorldCat Record")</f>
        <v/>
      </c>
      <c r="AW1477" t="inlineStr">
        <is>
          <t>836724405:eng</t>
        </is>
      </c>
      <c r="AX1477" t="inlineStr">
        <is>
          <t>12344949</t>
        </is>
      </c>
      <c r="AY1477" t="inlineStr">
        <is>
          <t>991004549409702656</t>
        </is>
      </c>
      <c r="AZ1477" t="inlineStr">
        <is>
          <t>991004549409702656</t>
        </is>
      </c>
      <c r="BA1477" t="inlineStr">
        <is>
          <t>2265461540002656</t>
        </is>
      </c>
      <c r="BB1477" t="inlineStr">
        <is>
          <t>BOOK</t>
        </is>
      </c>
      <c r="BD1477" t="inlineStr">
        <is>
          <t>9780195036596</t>
        </is>
      </c>
      <c r="BE1477" t="inlineStr">
        <is>
          <t>32285005035810</t>
        </is>
      </c>
      <c r="BF1477" t="inlineStr">
        <is>
          <t>893430201</t>
        </is>
      </c>
    </row>
    <row r="1478">
      <c r="A1478" t="inlineStr">
        <is>
          <t>No</t>
        </is>
      </c>
      <c r="B1478" t="inlineStr">
        <is>
          <t>CURAL</t>
        </is>
      </c>
      <c r="C1478" t="inlineStr">
        <is>
          <t>SHELVES</t>
        </is>
      </c>
      <c r="D1478" t="inlineStr">
        <is>
          <t>PR4099.B6 Z563 1991</t>
        </is>
      </c>
      <c r="E1478" t="inlineStr">
        <is>
          <t>0                      PR 4099000B  6                  Z  563         1991</t>
        </is>
      </c>
      <c r="F1478" t="inlineStr">
        <is>
          <t>The life of E.F. Benson / Brian Masters.</t>
        </is>
      </c>
      <c r="H1478" t="inlineStr">
        <is>
          <t>No</t>
        </is>
      </c>
      <c r="I1478" t="inlineStr">
        <is>
          <t>1</t>
        </is>
      </c>
      <c r="J1478" t="inlineStr">
        <is>
          <t>No</t>
        </is>
      </c>
      <c r="K1478" t="inlineStr">
        <is>
          <t>No</t>
        </is>
      </c>
      <c r="L1478" t="inlineStr">
        <is>
          <t>0</t>
        </is>
      </c>
      <c r="M1478" t="inlineStr">
        <is>
          <t>Masters, Brian.</t>
        </is>
      </c>
      <c r="N1478" t="inlineStr">
        <is>
          <t>London : Chatto &amp; Windus, 1991.</t>
        </is>
      </c>
      <c r="O1478" t="inlineStr">
        <is>
          <t>1991</t>
        </is>
      </c>
      <c r="Q1478" t="inlineStr">
        <is>
          <t>eng</t>
        </is>
      </c>
      <c r="R1478" t="inlineStr">
        <is>
          <t>enk</t>
        </is>
      </c>
      <c r="T1478" t="inlineStr">
        <is>
          <t xml:space="preserve">PR </t>
        </is>
      </c>
      <c r="U1478" t="n">
        <v>0</v>
      </c>
      <c r="V1478" t="n">
        <v>0</v>
      </c>
      <c r="W1478" t="inlineStr">
        <is>
          <t>2006-11-07</t>
        </is>
      </c>
      <c r="X1478" t="inlineStr">
        <is>
          <t>2006-11-07</t>
        </is>
      </c>
      <c r="Y1478" t="inlineStr">
        <is>
          <t>1992-09-22</t>
        </is>
      </c>
      <c r="Z1478" t="inlineStr">
        <is>
          <t>1992-09-22</t>
        </is>
      </c>
      <c r="AA1478" t="n">
        <v>281</v>
      </c>
      <c r="AB1478" t="n">
        <v>187</v>
      </c>
      <c r="AC1478" t="n">
        <v>211</v>
      </c>
      <c r="AD1478" t="n">
        <v>1</v>
      </c>
      <c r="AE1478" t="n">
        <v>1</v>
      </c>
      <c r="AF1478" t="n">
        <v>3</v>
      </c>
      <c r="AG1478" t="n">
        <v>3</v>
      </c>
      <c r="AH1478" t="n">
        <v>0</v>
      </c>
      <c r="AI1478" t="n">
        <v>0</v>
      </c>
      <c r="AJ1478" t="n">
        <v>0</v>
      </c>
      <c r="AK1478" t="n">
        <v>0</v>
      </c>
      <c r="AL1478" t="n">
        <v>3</v>
      </c>
      <c r="AM1478" t="n">
        <v>3</v>
      </c>
      <c r="AN1478" t="n">
        <v>0</v>
      </c>
      <c r="AO1478" t="n">
        <v>0</v>
      </c>
      <c r="AP1478" t="n">
        <v>0</v>
      </c>
      <c r="AQ1478" t="n">
        <v>0</v>
      </c>
      <c r="AR1478" t="inlineStr">
        <is>
          <t>No</t>
        </is>
      </c>
      <c r="AS1478" t="inlineStr">
        <is>
          <t>Yes</t>
        </is>
      </c>
      <c r="AT1478">
        <f>HYPERLINK("http://catalog.hathitrust.org/Record/002516578","HathiTrust Record")</f>
        <v/>
      </c>
      <c r="AU1478">
        <f>HYPERLINK("https://creighton-primo.hosted.exlibrisgroup.com/primo-explore/search?tab=default_tab&amp;search_scope=EVERYTHING&amp;vid=01CRU&amp;lang=en_US&amp;offset=0&amp;query=any,contains,991001955789702656","Catalog Record")</f>
        <v/>
      </c>
      <c r="AV1478">
        <f>HYPERLINK("http://www.worldcat.org/oclc/27073383","WorldCat Record")</f>
        <v/>
      </c>
      <c r="AW1478" t="inlineStr">
        <is>
          <t>29582096:eng</t>
        </is>
      </c>
      <c r="AX1478" t="inlineStr">
        <is>
          <t>27073383</t>
        </is>
      </c>
      <c r="AY1478" t="inlineStr">
        <is>
          <t>991001955789702656</t>
        </is>
      </c>
      <c r="AZ1478" t="inlineStr">
        <is>
          <t>991001955789702656</t>
        </is>
      </c>
      <c r="BA1478" t="inlineStr">
        <is>
          <t>2259233630002656</t>
        </is>
      </c>
      <c r="BB1478" t="inlineStr">
        <is>
          <t>BOOK</t>
        </is>
      </c>
      <c r="BD1478" t="inlineStr">
        <is>
          <t>9780701135669</t>
        </is>
      </c>
      <c r="BE1478" t="inlineStr">
        <is>
          <t>32285001288066</t>
        </is>
      </c>
      <c r="BF1478" t="inlineStr">
        <is>
          <t>893328510</t>
        </is>
      </c>
    </row>
    <row r="1479">
      <c r="A1479" t="inlineStr">
        <is>
          <t>No</t>
        </is>
      </c>
      <c r="B1479" t="inlineStr">
        <is>
          <t>CURAL</t>
        </is>
      </c>
      <c r="C1479" t="inlineStr">
        <is>
          <t>SHELVES</t>
        </is>
      </c>
      <c r="D1479" t="inlineStr">
        <is>
          <t>PR411 .H4 1992</t>
        </is>
      </c>
      <c r="E1479" t="inlineStr">
        <is>
          <t>0                      PR 0411000H  4           1992</t>
        </is>
      </c>
      <c r="F1479" t="inlineStr">
        <is>
          <t>New latitudes : theory and English Renaissance literature / Thomas Healy.</t>
        </is>
      </c>
      <c r="H1479" t="inlineStr">
        <is>
          <t>No</t>
        </is>
      </c>
      <c r="I1479" t="inlineStr">
        <is>
          <t>1</t>
        </is>
      </c>
      <c r="J1479" t="inlineStr">
        <is>
          <t>No</t>
        </is>
      </c>
      <c r="K1479" t="inlineStr">
        <is>
          <t>No</t>
        </is>
      </c>
      <c r="L1479" t="inlineStr">
        <is>
          <t>0</t>
        </is>
      </c>
      <c r="M1479" t="inlineStr">
        <is>
          <t>Healy, Thomas F.</t>
        </is>
      </c>
      <c r="N1479" t="inlineStr">
        <is>
          <t>London : E. Arnold ; New York, NY : Distributed in the USA by Routledge, Chapman, and Hall, 1992.</t>
        </is>
      </c>
      <c r="O1479" t="inlineStr">
        <is>
          <t>1992</t>
        </is>
      </c>
      <c r="Q1479" t="inlineStr">
        <is>
          <t>eng</t>
        </is>
      </c>
      <c r="R1479" t="inlineStr">
        <is>
          <t>enk</t>
        </is>
      </c>
      <c r="T1479" t="inlineStr">
        <is>
          <t xml:space="preserve">PR </t>
        </is>
      </c>
      <c r="U1479" t="n">
        <v>1</v>
      </c>
      <c r="V1479" t="n">
        <v>1</v>
      </c>
      <c r="W1479" t="inlineStr">
        <is>
          <t>2001-05-01</t>
        </is>
      </c>
      <c r="X1479" t="inlineStr">
        <is>
          <t>2001-05-01</t>
        </is>
      </c>
      <c r="Y1479" t="inlineStr">
        <is>
          <t>1994-11-08</t>
        </is>
      </c>
      <c r="Z1479" t="inlineStr">
        <is>
          <t>1994-11-08</t>
        </is>
      </c>
      <c r="AA1479" t="n">
        <v>357</v>
      </c>
      <c r="AB1479" t="n">
        <v>205</v>
      </c>
      <c r="AC1479" t="n">
        <v>205</v>
      </c>
      <c r="AD1479" t="n">
        <v>3</v>
      </c>
      <c r="AE1479" t="n">
        <v>3</v>
      </c>
      <c r="AF1479" t="n">
        <v>12</v>
      </c>
      <c r="AG1479" t="n">
        <v>12</v>
      </c>
      <c r="AH1479" t="n">
        <v>2</v>
      </c>
      <c r="AI1479" t="n">
        <v>2</v>
      </c>
      <c r="AJ1479" t="n">
        <v>3</v>
      </c>
      <c r="AK1479" t="n">
        <v>3</v>
      </c>
      <c r="AL1479" t="n">
        <v>6</v>
      </c>
      <c r="AM1479" t="n">
        <v>6</v>
      </c>
      <c r="AN1479" t="n">
        <v>2</v>
      </c>
      <c r="AO1479" t="n">
        <v>2</v>
      </c>
      <c r="AP1479" t="n">
        <v>0</v>
      </c>
      <c r="AQ1479" t="n">
        <v>0</v>
      </c>
      <c r="AR1479" t="inlineStr">
        <is>
          <t>No</t>
        </is>
      </c>
      <c r="AS1479" t="inlineStr">
        <is>
          <t>No</t>
        </is>
      </c>
      <c r="AU1479">
        <f>HYPERLINK("https://creighton-primo.hosted.exlibrisgroup.com/primo-explore/search?tab=default_tab&amp;search_scope=EVERYTHING&amp;vid=01CRU&amp;lang=en_US&amp;offset=0&amp;query=any,contains,991001911419702656","Catalog Record")</f>
        <v/>
      </c>
      <c r="AV1479">
        <f>HYPERLINK("http://www.worldcat.org/oclc/24142627","WorldCat Record")</f>
        <v/>
      </c>
      <c r="AW1479" t="inlineStr">
        <is>
          <t>836889999:eng</t>
        </is>
      </c>
      <c r="AX1479" t="inlineStr">
        <is>
          <t>24142627</t>
        </is>
      </c>
      <c r="AY1479" t="inlineStr">
        <is>
          <t>991001911419702656</t>
        </is>
      </c>
      <c r="AZ1479" t="inlineStr">
        <is>
          <t>991001911419702656</t>
        </is>
      </c>
      <c r="BA1479" t="inlineStr">
        <is>
          <t>2265846280002656</t>
        </is>
      </c>
      <c r="BB1479" t="inlineStr">
        <is>
          <t>BOOK</t>
        </is>
      </c>
      <c r="BD1479" t="inlineStr">
        <is>
          <t>9780340493083</t>
        </is>
      </c>
      <c r="BE1479" t="inlineStr">
        <is>
          <t>32285001956902</t>
        </is>
      </c>
      <c r="BF1479" t="inlineStr">
        <is>
          <t>893346884</t>
        </is>
      </c>
    </row>
    <row r="1480">
      <c r="A1480" t="inlineStr">
        <is>
          <t>No</t>
        </is>
      </c>
      <c r="B1480" t="inlineStr">
        <is>
          <t>CURAL</t>
        </is>
      </c>
      <c r="C1480" t="inlineStr">
        <is>
          <t>SHELVES</t>
        </is>
      </c>
      <c r="D1480" t="inlineStr">
        <is>
          <t>PR411 .K48</t>
        </is>
      </c>
      <c r="E1480" t="inlineStr">
        <is>
          <t>0                      PR 0411000K  48</t>
        </is>
      </c>
      <c r="F1480" t="inlineStr">
        <is>
          <t>English Reformation literature : the Tudor origins of the Protestant tradition / John N. King.</t>
        </is>
      </c>
      <c r="H1480" t="inlineStr">
        <is>
          <t>No</t>
        </is>
      </c>
      <c r="I1480" t="inlineStr">
        <is>
          <t>1</t>
        </is>
      </c>
      <c r="J1480" t="inlineStr">
        <is>
          <t>No</t>
        </is>
      </c>
      <c r="K1480" t="inlineStr">
        <is>
          <t>No</t>
        </is>
      </c>
      <c r="L1480" t="inlineStr">
        <is>
          <t>0</t>
        </is>
      </c>
      <c r="M1480" t="inlineStr">
        <is>
          <t>King, John N., 1945-</t>
        </is>
      </c>
      <c r="N1480" t="inlineStr">
        <is>
          <t>Princeton, N.J. : Princeton University Press, c1982.</t>
        </is>
      </c>
      <c r="O1480" t="inlineStr">
        <is>
          <t>1982</t>
        </is>
      </c>
      <c r="Q1480" t="inlineStr">
        <is>
          <t>eng</t>
        </is>
      </c>
      <c r="R1480" t="inlineStr">
        <is>
          <t>nju</t>
        </is>
      </c>
      <c r="T1480" t="inlineStr">
        <is>
          <t xml:space="preserve">PR </t>
        </is>
      </c>
      <c r="U1480" t="n">
        <v>1</v>
      </c>
      <c r="V1480" t="n">
        <v>1</v>
      </c>
      <c r="W1480" t="inlineStr">
        <is>
          <t>2002-09-05</t>
        </is>
      </c>
      <c r="X1480" t="inlineStr">
        <is>
          <t>2002-09-05</t>
        </is>
      </c>
      <c r="Y1480" t="inlineStr">
        <is>
          <t>1991-08-28</t>
        </is>
      </c>
      <c r="Z1480" t="inlineStr">
        <is>
          <t>1991-08-28</t>
        </is>
      </c>
      <c r="AA1480" t="n">
        <v>877</v>
      </c>
      <c r="AB1480" t="n">
        <v>684</v>
      </c>
      <c r="AC1480" t="n">
        <v>685</v>
      </c>
      <c r="AD1480" t="n">
        <v>7</v>
      </c>
      <c r="AE1480" t="n">
        <v>7</v>
      </c>
      <c r="AF1480" t="n">
        <v>38</v>
      </c>
      <c r="AG1480" t="n">
        <v>38</v>
      </c>
      <c r="AH1480" t="n">
        <v>16</v>
      </c>
      <c r="AI1480" t="n">
        <v>16</v>
      </c>
      <c r="AJ1480" t="n">
        <v>7</v>
      </c>
      <c r="AK1480" t="n">
        <v>7</v>
      </c>
      <c r="AL1480" t="n">
        <v>16</v>
      </c>
      <c r="AM1480" t="n">
        <v>16</v>
      </c>
      <c r="AN1480" t="n">
        <v>6</v>
      </c>
      <c r="AO1480" t="n">
        <v>6</v>
      </c>
      <c r="AP1480" t="n">
        <v>1</v>
      </c>
      <c r="AQ1480" t="n">
        <v>1</v>
      </c>
      <c r="AR1480" t="inlineStr">
        <is>
          <t>No</t>
        </is>
      </c>
      <c r="AS1480" t="inlineStr">
        <is>
          <t>No</t>
        </is>
      </c>
      <c r="AU1480">
        <f>HYPERLINK("https://creighton-primo.hosted.exlibrisgroup.com/primo-explore/search?tab=default_tab&amp;search_scope=EVERYTHING&amp;vid=01CRU&amp;lang=en_US&amp;offset=0&amp;query=any,contains,991005203339702656","Catalog Record")</f>
        <v/>
      </c>
      <c r="AV1480">
        <f>HYPERLINK("http://www.worldcat.org/oclc/8109732","WorldCat Record")</f>
        <v/>
      </c>
      <c r="AW1480" t="inlineStr">
        <is>
          <t>442007:eng</t>
        </is>
      </c>
      <c r="AX1480" t="inlineStr">
        <is>
          <t>8109732</t>
        </is>
      </c>
      <c r="AY1480" t="inlineStr">
        <is>
          <t>991005203339702656</t>
        </is>
      </c>
      <c r="AZ1480" t="inlineStr">
        <is>
          <t>991005203339702656</t>
        </is>
      </c>
      <c r="BA1480" t="inlineStr">
        <is>
          <t>2261390340002656</t>
        </is>
      </c>
      <c r="BB1480" t="inlineStr">
        <is>
          <t>BOOK</t>
        </is>
      </c>
      <c r="BD1480" t="inlineStr">
        <is>
          <t>9780691065021</t>
        </is>
      </c>
      <c r="BE1480" t="inlineStr">
        <is>
          <t>32285000731108</t>
        </is>
      </c>
      <c r="BF1480" t="inlineStr">
        <is>
          <t>893254640</t>
        </is>
      </c>
    </row>
    <row r="1481">
      <c r="A1481" t="inlineStr">
        <is>
          <t>No</t>
        </is>
      </c>
      <c r="B1481" t="inlineStr">
        <is>
          <t>CURAL</t>
        </is>
      </c>
      <c r="C1481" t="inlineStr">
        <is>
          <t>SHELVES</t>
        </is>
      </c>
      <c r="D1481" t="inlineStr">
        <is>
          <t>PR411 .P5 1966</t>
        </is>
      </c>
      <c r="E1481" t="inlineStr">
        <is>
          <t>0                      PR 0411000P  5           1966</t>
        </is>
      </c>
      <c r="F1481" t="inlineStr">
        <is>
          <t>The English Renaissance 1510-1688 / with a chapter on literature and music by Bruce Pattison.</t>
        </is>
      </c>
      <c r="H1481" t="inlineStr">
        <is>
          <t>No</t>
        </is>
      </c>
      <c r="I1481" t="inlineStr">
        <is>
          <t>1</t>
        </is>
      </c>
      <c r="J1481" t="inlineStr">
        <is>
          <t>No</t>
        </is>
      </c>
      <c r="K1481" t="inlineStr">
        <is>
          <t>Yes</t>
        </is>
      </c>
      <c r="L1481" t="inlineStr">
        <is>
          <t>0</t>
        </is>
      </c>
      <c r="M1481" t="inlineStr">
        <is>
          <t>Pinto, Vivian de Sola, 1895-1969.</t>
        </is>
      </c>
      <c r="N1481" t="inlineStr">
        <is>
          <t>London : Cresset P., 1966.</t>
        </is>
      </c>
      <c r="O1481" t="inlineStr">
        <is>
          <t>1966</t>
        </is>
      </c>
      <c r="P1481" t="inlineStr">
        <is>
          <t>3rd ed. revised and reset.</t>
        </is>
      </c>
      <c r="Q1481" t="inlineStr">
        <is>
          <t>eng</t>
        </is>
      </c>
      <c r="R1481" t="inlineStr">
        <is>
          <t>enk</t>
        </is>
      </c>
      <c r="S1481" t="inlineStr">
        <is>
          <t>Introductions to English literature ; v. 2</t>
        </is>
      </c>
      <c r="T1481" t="inlineStr">
        <is>
          <t xml:space="preserve">PR </t>
        </is>
      </c>
      <c r="U1481" t="n">
        <v>6</v>
      </c>
      <c r="V1481" t="n">
        <v>6</v>
      </c>
      <c r="W1481" t="inlineStr">
        <is>
          <t>2002-02-27</t>
        </is>
      </c>
      <c r="X1481" t="inlineStr">
        <is>
          <t>2002-02-27</t>
        </is>
      </c>
      <c r="Y1481" t="inlineStr">
        <is>
          <t>1993-02-17</t>
        </is>
      </c>
      <c r="Z1481" t="inlineStr">
        <is>
          <t>1993-02-17</t>
        </is>
      </c>
      <c r="AA1481" t="n">
        <v>371</v>
      </c>
      <c r="AB1481" t="n">
        <v>262</v>
      </c>
      <c r="AC1481" t="n">
        <v>840</v>
      </c>
      <c r="AD1481" t="n">
        <v>2</v>
      </c>
      <c r="AE1481" t="n">
        <v>8</v>
      </c>
      <c r="AF1481" t="n">
        <v>10</v>
      </c>
      <c r="AG1481" t="n">
        <v>42</v>
      </c>
      <c r="AH1481" t="n">
        <v>3</v>
      </c>
      <c r="AI1481" t="n">
        <v>18</v>
      </c>
      <c r="AJ1481" t="n">
        <v>3</v>
      </c>
      <c r="AK1481" t="n">
        <v>7</v>
      </c>
      <c r="AL1481" t="n">
        <v>6</v>
      </c>
      <c r="AM1481" t="n">
        <v>23</v>
      </c>
      <c r="AN1481" t="n">
        <v>1</v>
      </c>
      <c r="AO1481" t="n">
        <v>6</v>
      </c>
      <c r="AP1481" t="n">
        <v>0</v>
      </c>
      <c r="AQ1481" t="n">
        <v>0</v>
      </c>
      <c r="AR1481" t="inlineStr">
        <is>
          <t>No</t>
        </is>
      </c>
      <c r="AS1481" t="inlineStr">
        <is>
          <t>Yes</t>
        </is>
      </c>
      <c r="AT1481">
        <f>HYPERLINK("http://catalog.hathitrust.org/Record/001371104","HathiTrust Record")</f>
        <v/>
      </c>
      <c r="AU1481">
        <f>HYPERLINK("https://creighton-primo.hosted.exlibrisgroup.com/primo-explore/search?tab=default_tab&amp;search_scope=EVERYTHING&amp;vid=01CRU&amp;lang=en_US&amp;offset=0&amp;query=any,contains,991003364119702656","Catalog Record")</f>
        <v/>
      </c>
      <c r="AV1481">
        <f>HYPERLINK("http://www.worldcat.org/oclc/900632","WorldCat Record")</f>
        <v/>
      </c>
      <c r="AW1481" t="inlineStr">
        <is>
          <t>1352981:eng</t>
        </is>
      </c>
      <c r="AX1481" t="inlineStr">
        <is>
          <t>900632</t>
        </is>
      </c>
      <c r="AY1481" t="inlineStr">
        <is>
          <t>991003364119702656</t>
        </is>
      </c>
      <c r="AZ1481" t="inlineStr">
        <is>
          <t>991003364119702656</t>
        </is>
      </c>
      <c r="BA1481" t="inlineStr">
        <is>
          <t>2264290340002656</t>
        </is>
      </c>
      <c r="BB1481" t="inlineStr">
        <is>
          <t>BOOK</t>
        </is>
      </c>
      <c r="BE1481" t="inlineStr">
        <is>
          <t>32285001502581</t>
        </is>
      </c>
      <c r="BF1481" t="inlineStr">
        <is>
          <t>893422508</t>
        </is>
      </c>
    </row>
    <row r="1482">
      <c r="A1482" t="inlineStr">
        <is>
          <t>No</t>
        </is>
      </c>
      <c r="B1482" t="inlineStr">
        <is>
          <t>CURAL</t>
        </is>
      </c>
      <c r="C1482" t="inlineStr">
        <is>
          <t>SHELVES</t>
        </is>
      </c>
      <c r="D1482" t="inlineStr">
        <is>
          <t>PR411 .R67 1982</t>
        </is>
      </c>
      <c r="E1482" t="inlineStr">
        <is>
          <t>0                      PR 0411000R  67          1982</t>
        </is>
      </c>
      <c r="F1482" t="inlineStr">
        <is>
          <t>Sixteenth-century English literature / Murray Roston.</t>
        </is>
      </c>
      <c r="H1482" t="inlineStr">
        <is>
          <t>No</t>
        </is>
      </c>
      <c r="I1482" t="inlineStr">
        <is>
          <t>1</t>
        </is>
      </c>
      <c r="J1482" t="inlineStr">
        <is>
          <t>No</t>
        </is>
      </c>
      <c r="K1482" t="inlineStr">
        <is>
          <t>No</t>
        </is>
      </c>
      <c r="L1482" t="inlineStr">
        <is>
          <t>0</t>
        </is>
      </c>
      <c r="M1482" t="inlineStr">
        <is>
          <t>Roston, Murray.</t>
        </is>
      </c>
      <c r="N1482" t="inlineStr">
        <is>
          <t>New York : Schocken Books, 1982.</t>
        </is>
      </c>
      <c r="O1482" t="inlineStr">
        <is>
          <t>1982</t>
        </is>
      </c>
      <c r="P1482" t="inlineStr">
        <is>
          <t>1st Amer. ed.</t>
        </is>
      </c>
      <c r="Q1482" t="inlineStr">
        <is>
          <t>eng</t>
        </is>
      </c>
      <c r="R1482" t="inlineStr">
        <is>
          <t>nyu</t>
        </is>
      </c>
      <c r="S1482" t="inlineStr">
        <is>
          <t>History of literature series</t>
        </is>
      </c>
      <c r="T1482" t="inlineStr">
        <is>
          <t xml:space="preserve">PR </t>
        </is>
      </c>
      <c r="U1482" t="n">
        <v>3</v>
      </c>
      <c r="V1482" t="n">
        <v>3</v>
      </c>
      <c r="W1482" t="inlineStr">
        <is>
          <t>2001-03-18</t>
        </is>
      </c>
      <c r="X1482" t="inlineStr">
        <is>
          <t>2001-03-18</t>
        </is>
      </c>
      <c r="Y1482" t="inlineStr">
        <is>
          <t>1991-08-28</t>
        </is>
      </c>
      <c r="Z1482" t="inlineStr">
        <is>
          <t>1991-08-28</t>
        </is>
      </c>
      <c r="AA1482" t="n">
        <v>572</v>
      </c>
      <c r="AB1482" t="n">
        <v>523</v>
      </c>
      <c r="AC1482" t="n">
        <v>562</v>
      </c>
      <c r="AD1482" t="n">
        <v>3</v>
      </c>
      <c r="AE1482" t="n">
        <v>3</v>
      </c>
      <c r="AF1482" t="n">
        <v>18</v>
      </c>
      <c r="AG1482" t="n">
        <v>20</v>
      </c>
      <c r="AH1482" t="n">
        <v>9</v>
      </c>
      <c r="AI1482" t="n">
        <v>11</v>
      </c>
      <c r="AJ1482" t="n">
        <v>5</v>
      </c>
      <c r="AK1482" t="n">
        <v>5</v>
      </c>
      <c r="AL1482" t="n">
        <v>6</v>
      </c>
      <c r="AM1482" t="n">
        <v>8</v>
      </c>
      <c r="AN1482" t="n">
        <v>2</v>
      </c>
      <c r="AO1482" t="n">
        <v>2</v>
      </c>
      <c r="AP1482" t="n">
        <v>0</v>
      </c>
      <c r="AQ1482" t="n">
        <v>0</v>
      </c>
      <c r="AR1482" t="inlineStr">
        <is>
          <t>No</t>
        </is>
      </c>
      <c r="AS1482" t="inlineStr">
        <is>
          <t>Yes</t>
        </is>
      </c>
      <c r="AT1482">
        <f>HYPERLINK("http://catalog.hathitrust.org/Record/000309371","HathiTrust Record")</f>
        <v/>
      </c>
      <c r="AU1482">
        <f>HYPERLINK("https://creighton-primo.hosted.exlibrisgroup.com/primo-explore/search?tab=default_tab&amp;search_scope=EVERYTHING&amp;vid=01CRU&amp;lang=en_US&amp;offset=0&amp;query=any,contains,991005242499702656","Catalog Record")</f>
        <v/>
      </c>
      <c r="AV1482">
        <f>HYPERLINK("http://www.worldcat.org/oclc/8430849","WorldCat Record")</f>
        <v/>
      </c>
      <c r="AW1482" t="inlineStr">
        <is>
          <t>460661:eng</t>
        </is>
      </c>
      <c r="AX1482" t="inlineStr">
        <is>
          <t>8430849</t>
        </is>
      </c>
      <c r="AY1482" t="inlineStr">
        <is>
          <t>991005242499702656</t>
        </is>
      </c>
      <c r="AZ1482" t="inlineStr">
        <is>
          <t>991005242499702656</t>
        </is>
      </c>
      <c r="BA1482" t="inlineStr">
        <is>
          <t>2261249220002656</t>
        </is>
      </c>
      <c r="BB1482" t="inlineStr">
        <is>
          <t>BOOK</t>
        </is>
      </c>
      <c r="BD1482" t="inlineStr">
        <is>
          <t>9780805238259</t>
        </is>
      </c>
      <c r="BE1482" t="inlineStr">
        <is>
          <t>32285000731124</t>
        </is>
      </c>
      <c r="BF1482" t="inlineStr">
        <is>
          <t>893628640</t>
        </is>
      </c>
    </row>
    <row r="1483">
      <c r="A1483" t="inlineStr">
        <is>
          <t>No</t>
        </is>
      </c>
      <c r="B1483" t="inlineStr">
        <is>
          <t>CURAL</t>
        </is>
      </c>
      <c r="C1483" t="inlineStr">
        <is>
          <t>SHELVES</t>
        </is>
      </c>
      <c r="D1483" t="inlineStr">
        <is>
          <t>PR411 .S66 1985</t>
        </is>
      </c>
      <c r="E1483" t="inlineStr">
        <is>
          <t>0                      PR 0411000S  66          1985</t>
        </is>
      </c>
      <c r="F1483" t="inlineStr">
        <is>
          <t>Medieval to Renaissance in English poetry / A.C. Spearing.</t>
        </is>
      </c>
      <c r="H1483" t="inlineStr">
        <is>
          <t>No</t>
        </is>
      </c>
      <c r="I1483" t="inlineStr">
        <is>
          <t>1</t>
        </is>
      </c>
      <c r="J1483" t="inlineStr">
        <is>
          <t>No</t>
        </is>
      </c>
      <c r="K1483" t="inlineStr">
        <is>
          <t>No</t>
        </is>
      </c>
      <c r="L1483" t="inlineStr">
        <is>
          <t>0</t>
        </is>
      </c>
      <c r="M1483" t="inlineStr">
        <is>
          <t>Spearing, A. C.</t>
        </is>
      </c>
      <c r="N1483" t="inlineStr">
        <is>
          <t>Cambridge ; New York : Cambridge University Press, 1985.</t>
        </is>
      </c>
      <c r="O1483" t="inlineStr">
        <is>
          <t>1985</t>
        </is>
      </c>
      <c r="Q1483" t="inlineStr">
        <is>
          <t>eng</t>
        </is>
      </c>
      <c r="R1483" t="inlineStr">
        <is>
          <t>enk</t>
        </is>
      </c>
      <c r="T1483" t="inlineStr">
        <is>
          <t xml:space="preserve">PR </t>
        </is>
      </c>
      <c r="U1483" t="n">
        <v>1</v>
      </c>
      <c r="V1483" t="n">
        <v>1</v>
      </c>
      <c r="W1483" t="inlineStr">
        <is>
          <t>2001-03-18</t>
        </is>
      </c>
      <c r="X1483" t="inlineStr">
        <is>
          <t>2001-03-18</t>
        </is>
      </c>
      <c r="Y1483" t="inlineStr">
        <is>
          <t>1991-08-28</t>
        </is>
      </c>
      <c r="Z1483" t="inlineStr">
        <is>
          <t>1991-08-28</t>
        </is>
      </c>
      <c r="AA1483" t="n">
        <v>814</v>
      </c>
      <c r="AB1483" t="n">
        <v>617</v>
      </c>
      <c r="AC1483" t="n">
        <v>618</v>
      </c>
      <c r="AD1483" t="n">
        <v>5</v>
      </c>
      <c r="AE1483" t="n">
        <v>5</v>
      </c>
      <c r="AF1483" t="n">
        <v>33</v>
      </c>
      <c r="AG1483" t="n">
        <v>33</v>
      </c>
      <c r="AH1483" t="n">
        <v>14</v>
      </c>
      <c r="AI1483" t="n">
        <v>14</v>
      </c>
      <c r="AJ1483" t="n">
        <v>5</v>
      </c>
      <c r="AK1483" t="n">
        <v>5</v>
      </c>
      <c r="AL1483" t="n">
        <v>18</v>
      </c>
      <c r="AM1483" t="n">
        <v>18</v>
      </c>
      <c r="AN1483" t="n">
        <v>4</v>
      </c>
      <c r="AO1483" t="n">
        <v>4</v>
      </c>
      <c r="AP1483" t="n">
        <v>0</v>
      </c>
      <c r="AQ1483" t="n">
        <v>0</v>
      </c>
      <c r="AR1483" t="inlineStr">
        <is>
          <t>No</t>
        </is>
      </c>
      <c r="AS1483" t="inlineStr">
        <is>
          <t>Yes</t>
        </is>
      </c>
      <c r="AT1483">
        <f>HYPERLINK("http://catalog.hathitrust.org/Record/000655854","HathiTrust Record")</f>
        <v/>
      </c>
      <c r="AU1483">
        <f>HYPERLINK("https://creighton-primo.hosted.exlibrisgroup.com/primo-explore/search?tab=default_tab&amp;search_scope=EVERYTHING&amp;vid=01CRU&amp;lang=en_US&amp;offset=0&amp;query=any,contains,991000567939702656","Catalog Record")</f>
        <v/>
      </c>
      <c r="AV1483">
        <f>HYPERLINK("http://www.worldcat.org/oclc/11623668","WorldCat Record")</f>
        <v/>
      </c>
      <c r="AW1483" t="inlineStr">
        <is>
          <t>4471898:eng</t>
        </is>
      </c>
      <c r="AX1483" t="inlineStr">
        <is>
          <t>11623668</t>
        </is>
      </c>
      <c r="AY1483" t="inlineStr">
        <is>
          <t>991000567939702656</t>
        </is>
      </c>
      <c r="AZ1483" t="inlineStr">
        <is>
          <t>991000567939702656</t>
        </is>
      </c>
      <c r="BA1483" t="inlineStr">
        <is>
          <t>2262353470002656</t>
        </is>
      </c>
      <c r="BB1483" t="inlineStr">
        <is>
          <t>BOOK</t>
        </is>
      </c>
      <c r="BD1483" t="inlineStr">
        <is>
          <t>9780521315333</t>
        </is>
      </c>
      <c r="BE1483" t="inlineStr">
        <is>
          <t>32285000731132</t>
        </is>
      </c>
      <c r="BF1483" t="inlineStr">
        <is>
          <t>893413483</t>
        </is>
      </c>
    </row>
    <row r="1484">
      <c r="A1484" t="inlineStr">
        <is>
          <t>No</t>
        </is>
      </c>
      <c r="B1484" t="inlineStr">
        <is>
          <t>CURAL</t>
        </is>
      </c>
      <c r="C1484" t="inlineStr">
        <is>
          <t>SHELVES</t>
        </is>
      </c>
      <c r="D1484" t="inlineStr">
        <is>
          <t>PR4115 .E7</t>
        </is>
      </c>
      <c r="E1484" t="inlineStr">
        <is>
          <t>0                      PR 4115000E  7</t>
        </is>
      </c>
      <c r="F1484" t="inlineStr">
        <is>
          <t>Essays about men, women, and books, by Augustine Birrell ...</t>
        </is>
      </c>
      <c r="H1484" t="inlineStr">
        <is>
          <t>No</t>
        </is>
      </c>
      <c r="I1484" t="inlineStr">
        <is>
          <t>1</t>
        </is>
      </c>
      <c r="J1484" t="inlineStr">
        <is>
          <t>No</t>
        </is>
      </c>
      <c r="K1484" t="inlineStr">
        <is>
          <t>No</t>
        </is>
      </c>
      <c r="L1484" t="inlineStr">
        <is>
          <t>0</t>
        </is>
      </c>
      <c r="M1484" t="inlineStr">
        <is>
          <t>Birrell, Augustine, 1850-1933.</t>
        </is>
      </c>
      <c r="N1484" t="inlineStr">
        <is>
          <t>New York, C. Scribner's sons, 1894.</t>
        </is>
      </c>
      <c r="O1484" t="inlineStr">
        <is>
          <t>1894</t>
        </is>
      </c>
      <c r="Q1484" t="inlineStr">
        <is>
          <t>eng</t>
        </is>
      </c>
      <c r="R1484" t="inlineStr">
        <is>
          <t xml:space="preserve">xx </t>
        </is>
      </c>
      <c r="T1484" t="inlineStr">
        <is>
          <t xml:space="preserve">PR </t>
        </is>
      </c>
      <c r="U1484" t="n">
        <v>1</v>
      </c>
      <c r="V1484" t="n">
        <v>1</v>
      </c>
      <c r="W1484" t="inlineStr">
        <is>
          <t>1999-02-02</t>
        </is>
      </c>
      <c r="X1484" t="inlineStr">
        <is>
          <t>1999-02-02</t>
        </is>
      </c>
      <c r="Y1484" t="inlineStr">
        <is>
          <t>1997-06-20</t>
        </is>
      </c>
      <c r="Z1484" t="inlineStr">
        <is>
          <t>1997-06-20</t>
        </is>
      </c>
      <c r="AA1484" t="n">
        <v>249</v>
      </c>
      <c r="AB1484" t="n">
        <v>228</v>
      </c>
      <c r="AC1484" t="n">
        <v>369</v>
      </c>
      <c r="AD1484" t="n">
        <v>1</v>
      </c>
      <c r="AE1484" t="n">
        <v>3</v>
      </c>
      <c r="AF1484" t="n">
        <v>12</v>
      </c>
      <c r="AG1484" t="n">
        <v>19</v>
      </c>
      <c r="AH1484" t="n">
        <v>6</v>
      </c>
      <c r="AI1484" t="n">
        <v>7</v>
      </c>
      <c r="AJ1484" t="n">
        <v>2</v>
      </c>
      <c r="AK1484" t="n">
        <v>4</v>
      </c>
      <c r="AL1484" t="n">
        <v>8</v>
      </c>
      <c r="AM1484" t="n">
        <v>12</v>
      </c>
      <c r="AN1484" t="n">
        <v>0</v>
      </c>
      <c r="AO1484" t="n">
        <v>2</v>
      </c>
      <c r="AP1484" t="n">
        <v>0</v>
      </c>
      <c r="AQ1484" t="n">
        <v>0</v>
      </c>
      <c r="AR1484" t="inlineStr">
        <is>
          <t>Yes</t>
        </is>
      </c>
      <c r="AS1484" t="inlineStr">
        <is>
          <t>No</t>
        </is>
      </c>
      <c r="AT1484">
        <f>HYPERLINK("http://catalog.hathitrust.org/Record/000115055","HathiTrust Record")</f>
        <v/>
      </c>
      <c r="AU1484">
        <f>HYPERLINK("https://creighton-primo.hosted.exlibrisgroup.com/primo-explore/search?tab=default_tab&amp;search_scope=EVERYTHING&amp;vid=01CRU&amp;lang=en_US&amp;offset=0&amp;query=any,contains,991004072849702656","Catalog Record")</f>
        <v/>
      </c>
      <c r="AV1484">
        <f>HYPERLINK("http://www.worldcat.org/oclc/2309267","WorldCat Record")</f>
        <v/>
      </c>
      <c r="AW1484" t="inlineStr">
        <is>
          <t>1231087:eng</t>
        </is>
      </c>
      <c r="AX1484" t="inlineStr">
        <is>
          <t>2309267</t>
        </is>
      </c>
      <c r="AY1484" t="inlineStr">
        <is>
          <t>991004072849702656</t>
        </is>
      </c>
      <c r="AZ1484" t="inlineStr">
        <is>
          <t>991004072849702656</t>
        </is>
      </c>
      <c r="BA1484" t="inlineStr">
        <is>
          <t>2267737650002656</t>
        </is>
      </c>
      <c r="BB1484" t="inlineStr">
        <is>
          <t>BOOK</t>
        </is>
      </c>
      <c r="BE1484" t="inlineStr">
        <is>
          <t>32285002773348</t>
        </is>
      </c>
      <c r="BF1484" t="inlineStr">
        <is>
          <t>893900771</t>
        </is>
      </c>
    </row>
    <row r="1485">
      <c r="A1485" t="inlineStr">
        <is>
          <t>No</t>
        </is>
      </c>
      <c r="B1485" t="inlineStr">
        <is>
          <t>CURAL</t>
        </is>
      </c>
      <c r="C1485" t="inlineStr">
        <is>
          <t>SHELVES</t>
        </is>
      </c>
      <c r="D1485" t="inlineStr">
        <is>
          <t>PR4115 .I4</t>
        </is>
      </c>
      <c r="E1485" t="inlineStr">
        <is>
          <t>0                      PR 4115000I  4</t>
        </is>
      </c>
      <c r="F1485" t="inlineStr">
        <is>
          <t>In the name of the Bodleian, and other essays, by Augustine Birrell.</t>
        </is>
      </c>
      <c r="H1485" t="inlineStr">
        <is>
          <t>No</t>
        </is>
      </c>
      <c r="I1485" t="inlineStr">
        <is>
          <t>1</t>
        </is>
      </c>
      <c r="J1485" t="inlineStr">
        <is>
          <t>No</t>
        </is>
      </c>
      <c r="K1485" t="inlineStr">
        <is>
          <t>No</t>
        </is>
      </c>
      <c r="L1485" t="inlineStr">
        <is>
          <t>0</t>
        </is>
      </c>
      <c r="M1485" t="inlineStr">
        <is>
          <t>Birrell, Augustine, 1850-1933.</t>
        </is>
      </c>
      <c r="N1485" t="inlineStr">
        <is>
          <t>New York, C. Scribner's sons, 1905.</t>
        </is>
      </c>
      <c r="O1485" t="inlineStr">
        <is>
          <t>1905</t>
        </is>
      </c>
      <c r="Q1485" t="inlineStr">
        <is>
          <t>eng</t>
        </is>
      </c>
      <c r="R1485" t="inlineStr">
        <is>
          <t xml:space="preserve">xx </t>
        </is>
      </c>
      <c r="T1485" t="inlineStr">
        <is>
          <t xml:space="preserve">PR </t>
        </is>
      </c>
      <c r="U1485" t="n">
        <v>1</v>
      </c>
      <c r="V1485" t="n">
        <v>1</v>
      </c>
      <c r="W1485" t="inlineStr">
        <is>
          <t>1999-02-02</t>
        </is>
      </c>
      <c r="X1485" t="inlineStr">
        <is>
          <t>1999-02-02</t>
        </is>
      </c>
      <c r="Y1485" t="inlineStr">
        <is>
          <t>1997-06-20</t>
        </is>
      </c>
      <c r="Z1485" t="inlineStr">
        <is>
          <t>1997-06-20</t>
        </is>
      </c>
      <c r="AA1485" t="n">
        <v>253</v>
      </c>
      <c r="AB1485" t="n">
        <v>238</v>
      </c>
      <c r="AC1485" t="n">
        <v>456</v>
      </c>
      <c r="AD1485" t="n">
        <v>1</v>
      </c>
      <c r="AE1485" t="n">
        <v>2</v>
      </c>
      <c r="AF1485" t="n">
        <v>8</v>
      </c>
      <c r="AG1485" t="n">
        <v>21</v>
      </c>
      <c r="AH1485" t="n">
        <v>2</v>
      </c>
      <c r="AI1485" t="n">
        <v>9</v>
      </c>
      <c r="AJ1485" t="n">
        <v>3</v>
      </c>
      <c r="AK1485" t="n">
        <v>6</v>
      </c>
      <c r="AL1485" t="n">
        <v>6</v>
      </c>
      <c r="AM1485" t="n">
        <v>12</v>
      </c>
      <c r="AN1485" t="n">
        <v>0</v>
      </c>
      <c r="AO1485" t="n">
        <v>1</v>
      </c>
      <c r="AP1485" t="n">
        <v>0</v>
      </c>
      <c r="AQ1485" t="n">
        <v>0</v>
      </c>
      <c r="AR1485" t="inlineStr">
        <is>
          <t>Yes</t>
        </is>
      </c>
      <c r="AS1485" t="inlineStr">
        <is>
          <t>No</t>
        </is>
      </c>
      <c r="AT1485">
        <f>HYPERLINK("http://catalog.hathitrust.org/Record/006632948","HathiTrust Record")</f>
        <v/>
      </c>
      <c r="AU1485">
        <f>HYPERLINK("https://creighton-primo.hosted.exlibrisgroup.com/primo-explore/search?tab=default_tab&amp;search_scope=EVERYTHING&amp;vid=01CRU&amp;lang=en_US&amp;offset=0&amp;query=any,contains,991003825559702656","Catalog Record")</f>
        <v/>
      </c>
      <c r="AV1485">
        <f>HYPERLINK("http://www.worldcat.org/oclc/1119065678","WorldCat Record")</f>
        <v/>
      </c>
      <c r="AW1485" t="inlineStr">
        <is>
          <t>1364169:eng</t>
        </is>
      </c>
      <c r="AX1485" t="inlineStr">
        <is>
          <t>1119065678</t>
        </is>
      </c>
      <c r="AY1485" t="inlineStr">
        <is>
          <t>991003825559702656</t>
        </is>
      </c>
      <c r="AZ1485" t="inlineStr">
        <is>
          <t>991003825559702656</t>
        </is>
      </c>
      <c r="BA1485" t="inlineStr">
        <is>
          <t>2264763270002656</t>
        </is>
      </c>
      <c r="BB1485" t="inlineStr">
        <is>
          <t>BOOK</t>
        </is>
      </c>
      <c r="BE1485" t="inlineStr">
        <is>
          <t>32285002773371</t>
        </is>
      </c>
      <c r="BF1485" t="inlineStr">
        <is>
          <t>893330857</t>
        </is>
      </c>
    </row>
    <row r="1486">
      <c r="A1486" t="inlineStr">
        <is>
          <t>No</t>
        </is>
      </c>
      <c r="B1486" t="inlineStr">
        <is>
          <t>CURAL</t>
        </is>
      </c>
      <c r="C1486" t="inlineStr">
        <is>
          <t>SHELVES</t>
        </is>
      </c>
      <c r="D1486" t="inlineStr">
        <is>
          <t>PR413 .K4</t>
        </is>
      </c>
      <c r="E1486" t="inlineStr">
        <is>
          <t>0                      PR 0413000K  4</t>
        </is>
      </c>
      <c r="F1486" t="inlineStr">
        <is>
          <t>English Renaissance literature : introductory lectures / Frank Kermode, Stephen Fender, Kenneth Palmer.</t>
        </is>
      </c>
      <c r="H1486" t="inlineStr">
        <is>
          <t>No</t>
        </is>
      </c>
      <c r="I1486" t="inlineStr">
        <is>
          <t>1</t>
        </is>
      </c>
      <c r="J1486" t="inlineStr">
        <is>
          <t>No</t>
        </is>
      </c>
      <c r="K1486" t="inlineStr">
        <is>
          <t>No</t>
        </is>
      </c>
      <c r="L1486" t="inlineStr">
        <is>
          <t>0</t>
        </is>
      </c>
      <c r="M1486" t="inlineStr">
        <is>
          <t>Kermode, Frank, 1919-2010.</t>
        </is>
      </c>
      <c r="N1486" t="inlineStr">
        <is>
          <t>London : Gray-Mills Pub., 1974.</t>
        </is>
      </c>
      <c r="O1486" t="inlineStr">
        <is>
          <t>1974</t>
        </is>
      </c>
      <c r="P1486" t="inlineStr">
        <is>
          <t>1st ed.</t>
        </is>
      </c>
      <c r="Q1486" t="inlineStr">
        <is>
          <t>eng</t>
        </is>
      </c>
      <c r="R1486" t="inlineStr">
        <is>
          <t>enk</t>
        </is>
      </c>
      <c r="T1486" t="inlineStr">
        <is>
          <t xml:space="preserve">PR </t>
        </is>
      </c>
      <c r="U1486" t="n">
        <v>1</v>
      </c>
      <c r="V1486" t="n">
        <v>1</v>
      </c>
      <c r="W1486" t="inlineStr">
        <is>
          <t>2001-05-01</t>
        </is>
      </c>
      <c r="X1486" t="inlineStr">
        <is>
          <t>2001-05-01</t>
        </is>
      </c>
      <c r="Y1486" t="inlineStr">
        <is>
          <t>1997-08-20</t>
        </is>
      </c>
      <c r="Z1486" t="inlineStr">
        <is>
          <t>1997-08-20</t>
        </is>
      </c>
      <c r="AA1486" t="n">
        <v>289</v>
      </c>
      <c r="AB1486" t="n">
        <v>169</v>
      </c>
      <c r="AC1486" t="n">
        <v>170</v>
      </c>
      <c r="AD1486" t="n">
        <v>2</v>
      </c>
      <c r="AE1486" t="n">
        <v>2</v>
      </c>
      <c r="AF1486" t="n">
        <v>10</v>
      </c>
      <c r="AG1486" t="n">
        <v>10</v>
      </c>
      <c r="AH1486" t="n">
        <v>5</v>
      </c>
      <c r="AI1486" t="n">
        <v>5</v>
      </c>
      <c r="AJ1486" t="n">
        <v>1</v>
      </c>
      <c r="AK1486" t="n">
        <v>1</v>
      </c>
      <c r="AL1486" t="n">
        <v>6</v>
      </c>
      <c r="AM1486" t="n">
        <v>6</v>
      </c>
      <c r="AN1486" t="n">
        <v>1</v>
      </c>
      <c r="AO1486" t="n">
        <v>1</v>
      </c>
      <c r="AP1486" t="n">
        <v>0</v>
      </c>
      <c r="AQ1486" t="n">
        <v>0</v>
      </c>
      <c r="AR1486" t="inlineStr">
        <is>
          <t>No</t>
        </is>
      </c>
      <c r="AS1486" t="inlineStr">
        <is>
          <t>Yes</t>
        </is>
      </c>
      <c r="AT1486">
        <f>HYPERLINK("http://catalog.hathitrust.org/Record/000692366","HathiTrust Record")</f>
        <v/>
      </c>
      <c r="AU1486">
        <f>HYPERLINK("https://creighton-primo.hosted.exlibrisgroup.com/primo-explore/search?tab=default_tab&amp;search_scope=EVERYTHING&amp;vid=01CRU&amp;lang=en_US&amp;offset=0&amp;query=any,contains,991003941129702656","Catalog Record")</f>
        <v/>
      </c>
      <c r="AV1486">
        <f>HYPERLINK("http://www.worldcat.org/oclc/1930904","WorldCat Record")</f>
        <v/>
      </c>
      <c r="AW1486" t="inlineStr">
        <is>
          <t>231911307:eng</t>
        </is>
      </c>
      <c r="AX1486" t="inlineStr">
        <is>
          <t>1930904</t>
        </is>
      </c>
      <c r="AY1486" t="inlineStr">
        <is>
          <t>991003941129702656</t>
        </is>
      </c>
      <c r="AZ1486" t="inlineStr">
        <is>
          <t>991003941129702656</t>
        </is>
      </c>
      <c r="BA1486" t="inlineStr">
        <is>
          <t>2267780710002656</t>
        </is>
      </c>
      <c r="BB1486" t="inlineStr">
        <is>
          <t>BOOK</t>
        </is>
      </c>
      <c r="BD1486" t="inlineStr">
        <is>
          <t>9780856410222</t>
        </is>
      </c>
      <c r="BE1486" t="inlineStr">
        <is>
          <t>32285003151197</t>
        </is>
      </c>
      <c r="BF1486" t="inlineStr">
        <is>
          <t>893611717</t>
        </is>
      </c>
    </row>
    <row r="1487">
      <c r="A1487" t="inlineStr">
        <is>
          <t>No</t>
        </is>
      </c>
      <c r="B1487" t="inlineStr">
        <is>
          <t>CURAL</t>
        </is>
      </c>
      <c r="C1487" t="inlineStr">
        <is>
          <t>SHELVES</t>
        </is>
      </c>
      <c r="D1487" t="inlineStr">
        <is>
          <t>PR4144.F683 L56 1995</t>
        </is>
      </c>
      <c r="E1487" t="inlineStr">
        <is>
          <t>0                      PR 4144000F  683                L  56          1995</t>
        </is>
      </c>
      <c r="F1487" t="inlineStr">
        <is>
          <t>Spiritual history : a reading of William Blake's Vala, or The four Zoas / Andrew Lincoln.</t>
        </is>
      </c>
      <c r="H1487" t="inlineStr">
        <is>
          <t>No</t>
        </is>
      </c>
      <c r="I1487" t="inlineStr">
        <is>
          <t>1</t>
        </is>
      </c>
      <c r="J1487" t="inlineStr">
        <is>
          <t>No</t>
        </is>
      </c>
      <c r="K1487" t="inlineStr">
        <is>
          <t>No</t>
        </is>
      </c>
      <c r="L1487" t="inlineStr">
        <is>
          <t>0</t>
        </is>
      </c>
      <c r="M1487" t="inlineStr">
        <is>
          <t>Lincoln, Andrew.</t>
        </is>
      </c>
      <c r="N1487" t="inlineStr">
        <is>
          <t>Oxford : Clarendon Press ; New York : Oxford Unuversity Press, 1995.</t>
        </is>
      </c>
      <c r="O1487" t="inlineStr">
        <is>
          <t>1995</t>
        </is>
      </c>
      <c r="Q1487" t="inlineStr">
        <is>
          <t>eng</t>
        </is>
      </c>
      <c r="R1487" t="inlineStr">
        <is>
          <t>enk</t>
        </is>
      </c>
      <c r="T1487" t="inlineStr">
        <is>
          <t xml:space="preserve">PR </t>
        </is>
      </c>
      <c r="U1487" t="n">
        <v>1</v>
      </c>
      <c r="V1487" t="n">
        <v>1</v>
      </c>
      <c r="W1487" t="inlineStr">
        <is>
          <t>2001-03-24</t>
        </is>
      </c>
      <c r="X1487" t="inlineStr">
        <is>
          <t>2001-03-24</t>
        </is>
      </c>
      <c r="Y1487" t="inlineStr">
        <is>
          <t>1998-01-08</t>
        </is>
      </c>
      <c r="Z1487" t="inlineStr">
        <is>
          <t>1998-01-08</t>
        </is>
      </c>
      <c r="AA1487" t="n">
        <v>363</v>
      </c>
      <c r="AB1487" t="n">
        <v>279</v>
      </c>
      <c r="AC1487" t="n">
        <v>310</v>
      </c>
      <c r="AD1487" t="n">
        <v>4</v>
      </c>
      <c r="AE1487" t="n">
        <v>4</v>
      </c>
      <c r="AF1487" t="n">
        <v>18</v>
      </c>
      <c r="AG1487" t="n">
        <v>19</v>
      </c>
      <c r="AH1487" t="n">
        <v>3</v>
      </c>
      <c r="AI1487" t="n">
        <v>3</v>
      </c>
      <c r="AJ1487" t="n">
        <v>6</v>
      </c>
      <c r="AK1487" t="n">
        <v>7</v>
      </c>
      <c r="AL1487" t="n">
        <v>10</v>
      </c>
      <c r="AM1487" t="n">
        <v>10</v>
      </c>
      <c r="AN1487" t="n">
        <v>3</v>
      </c>
      <c r="AO1487" t="n">
        <v>3</v>
      </c>
      <c r="AP1487" t="n">
        <v>0</v>
      </c>
      <c r="AQ1487" t="n">
        <v>0</v>
      </c>
      <c r="AR1487" t="inlineStr">
        <is>
          <t>No</t>
        </is>
      </c>
      <c r="AS1487" t="inlineStr">
        <is>
          <t>No</t>
        </is>
      </c>
      <c r="AU1487">
        <f>HYPERLINK("https://creighton-primo.hosted.exlibrisgroup.com/primo-explore/search?tab=default_tab&amp;search_scope=EVERYTHING&amp;vid=01CRU&amp;lang=en_US&amp;offset=0&amp;query=any,contains,991002498489702656","Catalog Record")</f>
        <v/>
      </c>
      <c r="AV1487">
        <f>HYPERLINK("http://www.worldcat.org/oclc/32508910","WorldCat Record")</f>
        <v/>
      </c>
      <c r="AW1487" t="inlineStr">
        <is>
          <t>335314039:eng</t>
        </is>
      </c>
      <c r="AX1487" t="inlineStr">
        <is>
          <t>32508910</t>
        </is>
      </c>
      <c r="AY1487" t="inlineStr">
        <is>
          <t>991002498489702656</t>
        </is>
      </c>
      <c r="AZ1487" t="inlineStr">
        <is>
          <t>991002498489702656</t>
        </is>
      </c>
      <c r="BA1487" t="inlineStr">
        <is>
          <t>2261721230002656</t>
        </is>
      </c>
      <c r="BB1487" t="inlineStr">
        <is>
          <t>BOOK</t>
        </is>
      </c>
      <c r="BD1487" t="inlineStr">
        <is>
          <t>9780198183143</t>
        </is>
      </c>
      <c r="BE1487" t="inlineStr">
        <is>
          <t>32285003302303</t>
        </is>
      </c>
      <c r="BF1487" t="inlineStr">
        <is>
          <t>893257378</t>
        </is>
      </c>
    </row>
    <row r="1488">
      <c r="A1488" t="inlineStr">
        <is>
          <t>No</t>
        </is>
      </c>
      <c r="B1488" t="inlineStr">
        <is>
          <t>CURAL</t>
        </is>
      </c>
      <c r="C1488" t="inlineStr">
        <is>
          <t>SHELVES</t>
        </is>
      </c>
      <c r="D1488" t="inlineStr">
        <is>
          <t>PR4146 .A25</t>
        </is>
      </c>
      <c r="E1488" t="inlineStr">
        <is>
          <t>0                      PR 4146000A  25</t>
        </is>
      </c>
      <c r="F1488" t="inlineStr">
        <is>
          <t>A concordance to the writings of William Blake / edited by David V. Erdman with the assistance of John E. Thiesmeyer [and others]</t>
        </is>
      </c>
      <c r="G1488" t="inlineStr">
        <is>
          <t>V.1</t>
        </is>
      </c>
      <c r="H1488" t="inlineStr">
        <is>
          <t>Yes</t>
        </is>
      </c>
      <c r="I1488" t="inlineStr">
        <is>
          <t>1</t>
        </is>
      </c>
      <c r="J1488" t="inlineStr">
        <is>
          <t>No</t>
        </is>
      </c>
      <c r="K1488" t="inlineStr">
        <is>
          <t>No</t>
        </is>
      </c>
      <c r="L1488" t="inlineStr">
        <is>
          <t>0</t>
        </is>
      </c>
      <c r="M1488" t="inlineStr">
        <is>
          <t>Erdman, David V.</t>
        </is>
      </c>
      <c r="N1488" t="inlineStr">
        <is>
          <t>Ithaca, N.Y. : Cornell University Press, [1967]</t>
        </is>
      </c>
      <c r="O1488" t="inlineStr">
        <is>
          <t>1967</t>
        </is>
      </c>
      <c r="Q1488" t="inlineStr">
        <is>
          <t>eng</t>
        </is>
      </c>
      <c r="R1488" t="inlineStr">
        <is>
          <t>nyu</t>
        </is>
      </c>
      <c r="S1488" t="inlineStr">
        <is>
          <t>The Cornell concordances</t>
        </is>
      </c>
      <c r="T1488" t="inlineStr">
        <is>
          <t xml:space="preserve">PR </t>
        </is>
      </c>
      <c r="U1488" t="n">
        <v>2</v>
      </c>
      <c r="V1488" t="n">
        <v>2</v>
      </c>
      <c r="W1488" t="inlineStr">
        <is>
          <t>1998-10-02</t>
        </is>
      </c>
      <c r="X1488" t="inlineStr">
        <is>
          <t>1998-10-02</t>
        </is>
      </c>
      <c r="Y1488" t="inlineStr">
        <is>
          <t>1994-07-29</t>
        </is>
      </c>
      <c r="Z1488" t="inlineStr">
        <is>
          <t>1994-07-29</t>
        </is>
      </c>
      <c r="AA1488" t="n">
        <v>727</v>
      </c>
      <c r="AB1488" t="n">
        <v>570</v>
      </c>
      <c r="AC1488" t="n">
        <v>578</v>
      </c>
      <c r="AD1488" t="n">
        <v>5</v>
      </c>
      <c r="AE1488" t="n">
        <v>5</v>
      </c>
      <c r="AF1488" t="n">
        <v>35</v>
      </c>
      <c r="AG1488" t="n">
        <v>35</v>
      </c>
      <c r="AH1488" t="n">
        <v>14</v>
      </c>
      <c r="AI1488" t="n">
        <v>14</v>
      </c>
      <c r="AJ1488" t="n">
        <v>8</v>
      </c>
      <c r="AK1488" t="n">
        <v>8</v>
      </c>
      <c r="AL1488" t="n">
        <v>18</v>
      </c>
      <c r="AM1488" t="n">
        <v>18</v>
      </c>
      <c r="AN1488" t="n">
        <v>4</v>
      </c>
      <c r="AO1488" t="n">
        <v>4</v>
      </c>
      <c r="AP1488" t="n">
        <v>0</v>
      </c>
      <c r="AQ1488" t="n">
        <v>0</v>
      </c>
      <c r="AR1488" t="inlineStr">
        <is>
          <t>No</t>
        </is>
      </c>
      <c r="AS1488" t="inlineStr">
        <is>
          <t>Yes</t>
        </is>
      </c>
      <c r="AT1488">
        <f>HYPERLINK("http://catalog.hathitrust.org/Record/000281287","HathiTrust Record")</f>
        <v/>
      </c>
      <c r="AU1488">
        <f>HYPERLINK("https://creighton-primo.hosted.exlibrisgroup.com/primo-explore/search?tab=default_tab&amp;search_scope=EVERYTHING&amp;vid=01CRU&amp;lang=en_US&amp;offset=0&amp;query=any,contains,991003163749702656","Catalog Record")</f>
        <v/>
      </c>
      <c r="AV1488">
        <f>HYPERLINK("http://www.worldcat.org/oclc/702379","WorldCat Record")</f>
        <v/>
      </c>
      <c r="AW1488" t="inlineStr">
        <is>
          <t>32824749:eng</t>
        </is>
      </c>
      <c r="AX1488" t="inlineStr">
        <is>
          <t>702379</t>
        </is>
      </c>
      <c r="AY1488" t="inlineStr">
        <is>
          <t>991003163749702656</t>
        </is>
      </c>
      <c r="AZ1488" t="inlineStr">
        <is>
          <t>991003163749702656</t>
        </is>
      </c>
      <c r="BA1488" t="inlineStr">
        <is>
          <t>2257920320002656</t>
        </is>
      </c>
      <c r="BB1488" t="inlineStr">
        <is>
          <t>BOOK</t>
        </is>
      </c>
      <c r="BE1488" t="inlineStr">
        <is>
          <t>32285001937357</t>
        </is>
      </c>
      <c r="BF1488" t="inlineStr">
        <is>
          <t>893598332</t>
        </is>
      </c>
    </row>
    <row r="1489">
      <c r="A1489" t="inlineStr">
        <is>
          <t>No</t>
        </is>
      </c>
      <c r="B1489" t="inlineStr">
        <is>
          <t>CURAL</t>
        </is>
      </c>
      <c r="C1489" t="inlineStr">
        <is>
          <t>SHELVES</t>
        </is>
      </c>
      <c r="D1489" t="inlineStr">
        <is>
          <t>PR4146 .A25</t>
        </is>
      </c>
      <c r="E1489" t="inlineStr">
        <is>
          <t>0                      PR 4146000A  25</t>
        </is>
      </c>
      <c r="F1489" t="inlineStr">
        <is>
          <t>A concordance to the writings of William Blake / edited by David V. Erdman with the assistance of John E. Thiesmeyer [and others]</t>
        </is>
      </c>
      <c r="G1489" t="inlineStr">
        <is>
          <t>V.2</t>
        </is>
      </c>
      <c r="H1489" t="inlineStr">
        <is>
          <t>Yes</t>
        </is>
      </c>
      <c r="I1489" t="inlineStr">
        <is>
          <t>1</t>
        </is>
      </c>
      <c r="J1489" t="inlineStr">
        <is>
          <t>No</t>
        </is>
      </c>
      <c r="K1489" t="inlineStr">
        <is>
          <t>No</t>
        </is>
      </c>
      <c r="L1489" t="inlineStr">
        <is>
          <t>0</t>
        </is>
      </c>
      <c r="M1489" t="inlineStr">
        <is>
          <t>Erdman, David V.</t>
        </is>
      </c>
      <c r="N1489" t="inlineStr">
        <is>
          <t>Ithaca, N.Y. : Cornell University Press, [1967]</t>
        </is>
      </c>
      <c r="O1489" t="inlineStr">
        <is>
          <t>1967</t>
        </is>
      </c>
      <c r="Q1489" t="inlineStr">
        <is>
          <t>eng</t>
        </is>
      </c>
      <c r="R1489" t="inlineStr">
        <is>
          <t>nyu</t>
        </is>
      </c>
      <c r="S1489" t="inlineStr">
        <is>
          <t>The Cornell concordances</t>
        </is>
      </c>
      <c r="T1489" t="inlineStr">
        <is>
          <t xml:space="preserve">PR </t>
        </is>
      </c>
      <c r="U1489" t="n">
        <v>0</v>
      </c>
      <c r="V1489" t="n">
        <v>2</v>
      </c>
      <c r="X1489" t="inlineStr">
        <is>
          <t>1998-10-02</t>
        </is>
      </c>
      <c r="Y1489" t="inlineStr">
        <is>
          <t>1994-07-29</t>
        </is>
      </c>
      <c r="Z1489" t="inlineStr">
        <is>
          <t>1994-07-29</t>
        </is>
      </c>
      <c r="AA1489" t="n">
        <v>727</v>
      </c>
      <c r="AB1489" t="n">
        <v>570</v>
      </c>
      <c r="AC1489" t="n">
        <v>578</v>
      </c>
      <c r="AD1489" t="n">
        <v>5</v>
      </c>
      <c r="AE1489" t="n">
        <v>5</v>
      </c>
      <c r="AF1489" t="n">
        <v>35</v>
      </c>
      <c r="AG1489" t="n">
        <v>35</v>
      </c>
      <c r="AH1489" t="n">
        <v>14</v>
      </c>
      <c r="AI1489" t="n">
        <v>14</v>
      </c>
      <c r="AJ1489" t="n">
        <v>8</v>
      </c>
      <c r="AK1489" t="n">
        <v>8</v>
      </c>
      <c r="AL1489" t="n">
        <v>18</v>
      </c>
      <c r="AM1489" t="n">
        <v>18</v>
      </c>
      <c r="AN1489" t="n">
        <v>4</v>
      </c>
      <c r="AO1489" t="n">
        <v>4</v>
      </c>
      <c r="AP1489" t="n">
        <v>0</v>
      </c>
      <c r="AQ1489" t="n">
        <v>0</v>
      </c>
      <c r="AR1489" t="inlineStr">
        <is>
          <t>No</t>
        </is>
      </c>
      <c r="AS1489" t="inlineStr">
        <is>
          <t>Yes</t>
        </is>
      </c>
      <c r="AT1489">
        <f>HYPERLINK("http://catalog.hathitrust.org/Record/000281287","HathiTrust Record")</f>
        <v/>
      </c>
      <c r="AU1489">
        <f>HYPERLINK("https://creighton-primo.hosted.exlibrisgroup.com/primo-explore/search?tab=default_tab&amp;search_scope=EVERYTHING&amp;vid=01CRU&amp;lang=en_US&amp;offset=0&amp;query=any,contains,991003163749702656","Catalog Record")</f>
        <v/>
      </c>
      <c r="AV1489">
        <f>HYPERLINK("http://www.worldcat.org/oclc/702379","WorldCat Record")</f>
        <v/>
      </c>
      <c r="AW1489" t="inlineStr">
        <is>
          <t>32824749:eng</t>
        </is>
      </c>
      <c r="AX1489" t="inlineStr">
        <is>
          <t>702379</t>
        </is>
      </c>
      <c r="AY1489" t="inlineStr">
        <is>
          <t>991003163749702656</t>
        </is>
      </c>
      <c r="AZ1489" t="inlineStr">
        <is>
          <t>991003163749702656</t>
        </is>
      </c>
      <c r="BA1489" t="inlineStr">
        <is>
          <t>2257920320002656</t>
        </is>
      </c>
      <c r="BB1489" t="inlineStr">
        <is>
          <t>BOOK</t>
        </is>
      </c>
      <c r="BE1489" t="inlineStr">
        <is>
          <t>32285001937340</t>
        </is>
      </c>
      <c r="BF1489" t="inlineStr">
        <is>
          <t>893598331</t>
        </is>
      </c>
    </row>
    <row r="1490">
      <c r="A1490" t="inlineStr">
        <is>
          <t>No</t>
        </is>
      </c>
      <c r="B1490" t="inlineStr">
        <is>
          <t>CURAL</t>
        </is>
      </c>
      <c r="C1490" t="inlineStr">
        <is>
          <t>SHELVES</t>
        </is>
      </c>
      <c r="D1490" t="inlineStr">
        <is>
          <t>PR4146 .B68</t>
        </is>
      </c>
      <c r="E1490" t="inlineStr">
        <is>
          <t>0                      PR 4146000B  68</t>
        </is>
      </c>
      <c r="F1490" t="inlineStr">
        <is>
          <t>William Blake and the age of revolution / [by] J. Bronowski.</t>
        </is>
      </c>
      <c r="H1490" t="inlineStr">
        <is>
          <t>No</t>
        </is>
      </c>
      <c r="I1490" t="inlineStr">
        <is>
          <t>1</t>
        </is>
      </c>
      <c r="J1490" t="inlineStr">
        <is>
          <t>No</t>
        </is>
      </c>
      <c r="K1490" t="inlineStr">
        <is>
          <t>No</t>
        </is>
      </c>
      <c r="L1490" t="inlineStr">
        <is>
          <t>0</t>
        </is>
      </c>
      <c r="M1490" t="inlineStr">
        <is>
          <t>Bronowski, Jacob, 1908-1974.</t>
        </is>
      </c>
      <c r="N1490" t="inlineStr">
        <is>
          <t>New York : Harper &amp; Row, [1965]</t>
        </is>
      </c>
      <c r="O1490" t="inlineStr">
        <is>
          <t>1965</t>
        </is>
      </c>
      <c r="P1490" t="inlineStr">
        <is>
          <t>[1st ed.]</t>
        </is>
      </c>
      <c r="Q1490" t="inlineStr">
        <is>
          <t>eng</t>
        </is>
      </c>
      <c r="R1490" t="inlineStr">
        <is>
          <t>nyu</t>
        </is>
      </c>
      <c r="T1490" t="inlineStr">
        <is>
          <t xml:space="preserve">PR </t>
        </is>
      </c>
      <c r="U1490" t="n">
        <v>2</v>
      </c>
      <c r="V1490" t="n">
        <v>2</v>
      </c>
      <c r="W1490" t="inlineStr">
        <is>
          <t>2008-12-12</t>
        </is>
      </c>
      <c r="X1490" t="inlineStr">
        <is>
          <t>2008-12-12</t>
        </is>
      </c>
      <c r="Y1490" t="inlineStr">
        <is>
          <t>1990-04-18</t>
        </is>
      </c>
      <c r="Z1490" t="inlineStr">
        <is>
          <t>1990-04-18</t>
        </is>
      </c>
      <c r="AA1490" t="n">
        <v>829</v>
      </c>
      <c r="AB1490" t="n">
        <v>779</v>
      </c>
      <c r="AC1490" t="n">
        <v>921</v>
      </c>
      <c r="AD1490" t="n">
        <v>10</v>
      </c>
      <c r="AE1490" t="n">
        <v>10</v>
      </c>
      <c r="AF1490" t="n">
        <v>37</v>
      </c>
      <c r="AG1490" t="n">
        <v>40</v>
      </c>
      <c r="AH1490" t="n">
        <v>15</v>
      </c>
      <c r="AI1490" t="n">
        <v>16</v>
      </c>
      <c r="AJ1490" t="n">
        <v>7</v>
      </c>
      <c r="AK1490" t="n">
        <v>8</v>
      </c>
      <c r="AL1490" t="n">
        <v>18</v>
      </c>
      <c r="AM1490" t="n">
        <v>20</v>
      </c>
      <c r="AN1490" t="n">
        <v>8</v>
      </c>
      <c r="AO1490" t="n">
        <v>8</v>
      </c>
      <c r="AP1490" t="n">
        <v>0</v>
      </c>
      <c r="AQ1490" t="n">
        <v>0</v>
      </c>
      <c r="AR1490" t="inlineStr">
        <is>
          <t>No</t>
        </is>
      </c>
      <c r="AS1490" t="inlineStr">
        <is>
          <t>No</t>
        </is>
      </c>
      <c r="AU1490">
        <f>HYPERLINK("https://creighton-primo.hosted.exlibrisgroup.com/primo-explore/search?tab=default_tab&amp;search_scope=EVERYTHING&amp;vid=01CRU&amp;lang=en_US&amp;offset=0&amp;query=any,contains,991002460069702656","Catalog Record")</f>
        <v/>
      </c>
      <c r="AV1490">
        <f>HYPERLINK("http://www.worldcat.org/oclc/355658","WorldCat Record")</f>
        <v/>
      </c>
      <c r="AW1490" t="inlineStr">
        <is>
          <t>1189356:eng</t>
        </is>
      </c>
      <c r="AX1490" t="inlineStr">
        <is>
          <t>355658</t>
        </is>
      </c>
      <c r="AY1490" t="inlineStr">
        <is>
          <t>991002460069702656</t>
        </is>
      </c>
      <c r="AZ1490" t="inlineStr">
        <is>
          <t>991002460069702656</t>
        </is>
      </c>
      <c r="BA1490" t="inlineStr">
        <is>
          <t>2264692560002656</t>
        </is>
      </c>
      <c r="BB1490" t="inlineStr">
        <is>
          <t>BOOK</t>
        </is>
      </c>
      <c r="BE1490" t="inlineStr">
        <is>
          <t>32285000118702</t>
        </is>
      </c>
      <c r="BF1490" t="inlineStr">
        <is>
          <t>893609888</t>
        </is>
      </c>
    </row>
    <row r="1491">
      <c r="A1491" t="inlineStr">
        <is>
          <t>No</t>
        </is>
      </c>
      <c r="B1491" t="inlineStr">
        <is>
          <t>CURAL</t>
        </is>
      </c>
      <c r="C1491" t="inlineStr">
        <is>
          <t>SHELVES</t>
        </is>
      </c>
      <c r="D1491" t="inlineStr">
        <is>
          <t>PR4146 .D3 1947</t>
        </is>
      </c>
      <c r="E1491" t="inlineStr">
        <is>
          <t>0                      PR 4146000D  3           1947</t>
        </is>
      </c>
      <c r="F1491" t="inlineStr">
        <is>
          <t>William Blake : his philosophy and symbols / by S. Foster Damon.</t>
        </is>
      </c>
      <c r="H1491" t="inlineStr">
        <is>
          <t>No</t>
        </is>
      </c>
      <c r="I1491" t="inlineStr">
        <is>
          <t>1</t>
        </is>
      </c>
      <c r="J1491" t="inlineStr">
        <is>
          <t>No</t>
        </is>
      </c>
      <c r="K1491" t="inlineStr">
        <is>
          <t>No</t>
        </is>
      </c>
      <c r="L1491" t="inlineStr">
        <is>
          <t>0</t>
        </is>
      </c>
      <c r="M1491" t="inlineStr">
        <is>
          <t>Damon, S. Foster (Samuel Foster), 1893-1971.</t>
        </is>
      </c>
      <c r="N1491" t="inlineStr">
        <is>
          <t>New York : P. Smith, 1947.</t>
        </is>
      </c>
      <c r="O1491" t="inlineStr">
        <is>
          <t>1947</t>
        </is>
      </c>
      <c r="Q1491" t="inlineStr">
        <is>
          <t>eng</t>
        </is>
      </c>
      <c r="R1491" t="inlineStr">
        <is>
          <t xml:space="preserve">xx </t>
        </is>
      </c>
      <c r="T1491" t="inlineStr">
        <is>
          <t xml:space="preserve">PR </t>
        </is>
      </c>
      <c r="U1491" t="n">
        <v>14</v>
      </c>
      <c r="V1491" t="n">
        <v>14</v>
      </c>
      <c r="W1491" t="inlineStr">
        <is>
          <t>2002-03-08</t>
        </is>
      </c>
      <c r="X1491" t="inlineStr">
        <is>
          <t>2002-03-08</t>
        </is>
      </c>
      <c r="Y1491" t="inlineStr">
        <is>
          <t>1990-07-19</t>
        </is>
      </c>
      <c r="Z1491" t="inlineStr">
        <is>
          <t>1990-07-19</t>
        </is>
      </c>
      <c r="AA1491" t="n">
        <v>223</v>
      </c>
      <c r="AB1491" t="n">
        <v>203</v>
      </c>
      <c r="AC1491" t="n">
        <v>932</v>
      </c>
      <c r="AD1491" t="n">
        <v>4</v>
      </c>
      <c r="AE1491" t="n">
        <v>8</v>
      </c>
      <c r="AF1491" t="n">
        <v>11</v>
      </c>
      <c r="AG1491" t="n">
        <v>45</v>
      </c>
      <c r="AH1491" t="n">
        <v>7</v>
      </c>
      <c r="AI1491" t="n">
        <v>23</v>
      </c>
      <c r="AJ1491" t="n">
        <v>2</v>
      </c>
      <c r="AK1491" t="n">
        <v>8</v>
      </c>
      <c r="AL1491" t="n">
        <v>2</v>
      </c>
      <c r="AM1491" t="n">
        <v>18</v>
      </c>
      <c r="AN1491" t="n">
        <v>3</v>
      </c>
      <c r="AO1491" t="n">
        <v>7</v>
      </c>
      <c r="AP1491" t="n">
        <v>0</v>
      </c>
      <c r="AQ1491" t="n">
        <v>0</v>
      </c>
      <c r="AR1491" t="inlineStr">
        <is>
          <t>Yes</t>
        </is>
      </c>
      <c r="AS1491" t="inlineStr">
        <is>
          <t>No</t>
        </is>
      </c>
      <c r="AT1491">
        <f>HYPERLINK("http://catalog.hathitrust.org/Record/000475745","HathiTrust Record")</f>
        <v/>
      </c>
      <c r="AU1491">
        <f>HYPERLINK("https://creighton-primo.hosted.exlibrisgroup.com/primo-explore/search?tab=default_tab&amp;search_scope=EVERYTHING&amp;vid=01CRU&amp;lang=en_US&amp;offset=0&amp;query=any,contains,991004596319702656","Catalog Record")</f>
        <v/>
      </c>
      <c r="AV1491">
        <f>HYPERLINK("http://www.worldcat.org/oclc/4139521","WorldCat Record")</f>
        <v/>
      </c>
      <c r="AW1491" t="inlineStr">
        <is>
          <t>20309177:eng</t>
        </is>
      </c>
      <c r="AX1491" t="inlineStr">
        <is>
          <t>4139521</t>
        </is>
      </c>
      <c r="AY1491" t="inlineStr">
        <is>
          <t>991004596319702656</t>
        </is>
      </c>
      <c r="AZ1491" t="inlineStr">
        <is>
          <t>991004596319702656</t>
        </is>
      </c>
      <c r="BA1491" t="inlineStr">
        <is>
          <t>2258992090002656</t>
        </is>
      </c>
      <c r="BB1491" t="inlineStr">
        <is>
          <t>BOOK</t>
        </is>
      </c>
      <c r="BE1491" t="inlineStr">
        <is>
          <t>32285000155365</t>
        </is>
      </c>
      <c r="BF1491" t="inlineStr">
        <is>
          <t>893795026</t>
        </is>
      </c>
    </row>
    <row r="1492">
      <c r="A1492" t="inlineStr">
        <is>
          <t>No</t>
        </is>
      </c>
      <c r="B1492" t="inlineStr">
        <is>
          <t>CURAL</t>
        </is>
      </c>
      <c r="C1492" t="inlineStr">
        <is>
          <t>SHELVES</t>
        </is>
      </c>
      <c r="D1492" t="inlineStr">
        <is>
          <t>PR4146 .G33 1969</t>
        </is>
      </c>
      <c r="E1492" t="inlineStr">
        <is>
          <t>0                      PR 4146000G  33          1969</t>
        </is>
      </c>
      <c r="F1492" t="inlineStr">
        <is>
          <t>Blake.</t>
        </is>
      </c>
      <c r="H1492" t="inlineStr">
        <is>
          <t>No</t>
        </is>
      </c>
      <c r="I1492" t="inlineStr">
        <is>
          <t>1</t>
        </is>
      </c>
      <c r="J1492" t="inlineStr">
        <is>
          <t>No</t>
        </is>
      </c>
      <c r="K1492" t="inlineStr">
        <is>
          <t>No</t>
        </is>
      </c>
      <c r="L1492" t="inlineStr">
        <is>
          <t>0</t>
        </is>
      </c>
      <c r="M1492" t="inlineStr">
        <is>
          <t>Gardner, Stanley.</t>
        </is>
      </c>
      <c r="N1492" t="inlineStr">
        <is>
          <t>New York : Arco, [1969]</t>
        </is>
      </c>
      <c r="O1492" t="inlineStr">
        <is>
          <t>1969</t>
        </is>
      </c>
      <c r="Q1492" t="inlineStr">
        <is>
          <t>eng</t>
        </is>
      </c>
      <c r="R1492" t="inlineStr">
        <is>
          <t>nyu</t>
        </is>
      </c>
      <c r="S1492" t="inlineStr">
        <is>
          <t>Arco literary critiques</t>
        </is>
      </c>
      <c r="T1492" t="inlineStr">
        <is>
          <t xml:space="preserve">PR </t>
        </is>
      </c>
      <c r="U1492" t="n">
        <v>10</v>
      </c>
      <c r="V1492" t="n">
        <v>10</v>
      </c>
      <c r="W1492" t="inlineStr">
        <is>
          <t>2004-02-23</t>
        </is>
      </c>
      <c r="X1492" t="inlineStr">
        <is>
          <t>2004-02-23</t>
        </is>
      </c>
      <c r="Y1492" t="inlineStr">
        <is>
          <t>1991-12-16</t>
        </is>
      </c>
      <c r="Z1492" t="inlineStr">
        <is>
          <t>1991-12-16</t>
        </is>
      </c>
      <c r="AA1492" t="n">
        <v>556</v>
      </c>
      <c r="AB1492" t="n">
        <v>533</v>
      </c>
      <c r="AC1492" t="n">
        <v>638</v>
      </c>
      <c r="AD1492" t="n">
        <v>3</v>
      </c>
      <c r="AE1492" t="n">
        <v>4</v>
      </c>
      <c r="AF1492" t="n">
        <v>14</v>
      </c>
      <c r="AG1492" t="n">
        <v>19</v>
      </c>
      <c r="AH1492" t="n">
        <v>6</v>
      </c>
      <c r="AI1492" t="n">
        <v>7</v>
      </c>
      <c r="AJ1492" t="n">
        <v>3</v>
      </c>
      <c r="AK1492" t="n">
        <v>5</v>
      </c>
      <c r="AL1492" t="n">
        <v>6</v>
      </c>
      <c r="AM1492" t="n">
        <v>9</v>
      </c>
      <c r="AN1492" t="n">
        <v>2</v>
      </c>
      <c r="AO1492" t="n">
        <v>3</v>
      </c>
      <c r="AP1492" t="n">
        <v>0</v>
      </c>
      <c r="AQ1492" t="n">
        <v>0</v>
      </c>
      <c r="AR1492" t="inlineStr">
        <is>
          <t>No</t>
        </is>
      </c>
      <c r="AS1492" t="inlineStr">
        <is>
          <t>No</t>
        </is>
      </c>
      <c r="AU1492">
        <f>HYPERLINK("https://creighton-primo.hosted.exlibrisgroup.com/primo-explore/search?tab=default_tab&amp;search_scope=EVERYTHING&amp;vid=01CRU&amp;lang=en_US&amp;offset=0&amp;query=any,contains,991000073529702656","Catalog Record")</f>
        <v/>
      </c>
      <c r="AV1492">
        <f>HYPERLINK("http://www.worldcat.org/oclc/29261","WorldCat Record")</f>
        <v/>
      </c>
      <c r="AW1492" t="inlineStr">
        <is>
          <t>3769259294:eng</t>
        </is>
      </c>
      <c r="AX1492" t="inlineStr">
        <is>
          <t>29261</t>
        </is>
      </c>
      <c r="AY1492" t="inlineStr">
        <is>
          <t>991000073529702656</t>
        </is>
      </c>
      <c r="AZ1492" t="inlineStr">
        <is>
          <t>991000073529702656</t>
        </is>
      </c>
      <c r="BA1492" t="inlineStr">
        <is>
          <t>2266295540002656</t>
        </is>
      </c>
      <c r="BB1492" t="inlineStr">
        <is>
          <t>BOOK</t>
        </is>
      </c>
      <c r="BD1492" t="inlineStr">
        <is>
          <t>9780668019514</t>
        </is>
      </c>
      <c r="BE1492" t="inlineStr">
        <is>
          <t>32285000877679</t>
        </is>
      </c>
      <c r="BF1492" t="inlineStr">
        <is>
          <t>893613859</t>
        </is>
      </c>
    </row>
    <row r="1493">
      <c r="A1493" t="inlineStr">
        <is>
          <t>No</t>
        </is>
      </c>
      <c r="B1493" t="inlineStr">
        <is>
          <t>CURAL</t>
        </is>
      </c>
      <c r="C1493" t="inlineStr">
        <is>
          <t>SHELVES</t>
        </is>
      </c>
      <c r="D1493" t="inlineStr">
        <is>
          <t>PR4146 .G5 1969</t>
        </is>
      </c>
      <c r="E1493" t="inlineStr">
        <is>
          <t>0                      PR 4146000G  5           1969</t>
        </is>
      </c>
      <c r="F1493" t="inlineStr">
        <is>
          <t>Life of William Blake, with selections from his poems and other writings / by Alexander Gilchrist.</t>
        </is>
      </c>
      <c r="H1493" t="inlineStr">
        <is>
          <t>Yes</t>
        </is>
      </c>
      <c r="I1493" t="inlineStr">
        <is>
          <t>1</t>
        </is>
      </c>
      <c r="J1493" t="inlineStr">
        <is>
          <t>Yes</t>
        </is>
      </c>
      <c r="K1493" t="inlineStr">
        <is>
          <t>No</t>
        </is>
      </c>
      <c r="L1493" t="inlineStr">
        <is>
          <t>0</t>
        </is>
      </c>
      <c r="M1493" t="inlineStr">
        <is>
          <t>Gilchrist, Alexander, 1828-1861.</t>
        </is>
      </c>
      <c r="N1493" t="inlineStr">
        <is>
          <t>New York : Phaeton Press, 1969.</t>
        </is>
      </c>
      <c r="O1493" t="inlineStr">
        <is>
          <t>1969</t>
        </is>
      </c>
      <c r="P1493" t="inlineStr">
        <is>
          <t>A new and enl. ed., illustrated from Blake's own works, with additional letters and a memoir of the author.</t>
        </is>
      </c>
      <c r="Q1493" t="inlineStr">
        <is>
          <t>eng</t>
        </is>
      </c>
      <c r="R1493" t="inlineStr">
        <is>
          <t>nyu</t>
        </is>
      </c>
      <c r="T1493" t="inlineStr">
        <is>
          <t xml:space="preserve">PR </t>
        </is>
      </c>
      <c r="U1493" t="n">
        <v>3</v>
      </c>
      <c r="V1493" t="n">
        <v>3</v>
      </c>
      <c r="W1493" t="inlineStr">
        <is>
          <t>1999-07-27</t>
        </is>
      </c>
      <c r="X1493" t="inlineStr">
        <is>
          <t>1999-07-27</t>
        </is>
      </c>
      <c r="Y1493" t="inlineStr">
        <is>
          <t>1991-11-13</t>
        </is>
      </c>
      <c r="Z1493" t="inlineStr">
        <is>
          <t>1991-11-13</t>
        </is>
      </c>
      <c r="AA1493" t="n">
        <v>322</v>
      </c>
      <c r="AB1493" t="n">
        <v>280</v>
      </c>
      <c r="AC1493" t="n">
        <v>286</v>
      </c>
      <c r="AD1493" t="n">
        <v>5</v>
      </c>
      <c r="AE1493" t="n">
        <v>6</v>
      </c>
      <c r="AF1493" t="n">
        <v>21</v>
      </c>
      <c r="AG1493" t="n">
        <v>22</v>
      </c>
      <c r="AH1493" t="n">
        <v>9</v>
      </c>
      <c r="AI1493" t="n">
        <v>9</v>
      </c>
      <c r="AJ1493" t="n">
        <v>5</v>
      </c>
      <c r="AK1493" t="n">
        <v>5</v>
      </c>
      <c r="AL1493" t="n">
        <v>10</v>
      </c>
      <c r="AM1493" t="n">
        <v>10</v>
      </c>
      <c r="AN1493" t="n">
        <v>4</v>
      </c>
      <c r="AO1493" t="n">
        <v>5</v>
      </c>
      <c r="AP1493" t="n">
        <v>0</v>
      </c>
      <c r="AQ1493" t="n">
        <v>0</v>
      </c>
      <c r="AR1493" t="inlineStr">
        <is>
          <t>No</t>
        </is>
      </c>
      <c r="AS1493" t="inlineStr">
        <is>
          <t>Yes</t>
        </is>
      </c>
      <c r="AT1493">
        <f>HYPERLINK("http://catalog.hathitrust.org/Record/009913799","HathiTrust Record")</f>
        <v/>
      </c>
      <c r="AU1493">
        <f>HYPERLINK("https://creighton-primo.hosted.exlibrisgroup.com/primo-explore/search?tab=default_tab&amp;search_scope=EVERYTHING&amp;vid=01CRU&amp;lang=en_US&amp;offset=0&amp;query=any,contains,991000119959702656","Catalog Record")</f>
        <v/>
      </c>
      <c r="AV1493">
        <f>HYPERLINK("http://www.worldcat.org/oclc/49933","WorldCat Record")</f>
        <v/>
      </c>
      <c r="AW1493" t="inlineStr">
        <is>
          <t>2070185390:eng</t>
        </is>
      </c>
      <c r="AX1493" t="inlineStr">
        <is>
          <t>49933</t>
        </is>
      </c>
      <c r="AY1493" t="inlineStr">
        <is>
          <t>991000119959702656</t>
        </is>
      </c>
      <c r="AZ1493" t="inlineStr">
        <is>
          <t>991000119959702656</t>
        </is>
      </c>
      <c r="BA1493" t="inlineStr">
        <is>
          <t>2263709510002656</t>
        </is>
      </c>
      <c r="BB1493" t="inlineStr">
        <is>
          <t>BOOK</t>
        </is>
      </c>
      <c r="BE1493" t="inlineStr">
        <is>
          <t>32285000823426</t>
        </is>
      </c>
      <c r="BF1493" t="inlineStr">
        <is>
          <t>893595301</t>
        </is>
      </c>
    </row>
    <row r="1494">
      <c r="A1494" t="inlineStr">
        <is>
          <t>No</t>
        </is>
      </c>
      <c r="B1494" t="inlineStr">
        <is>
          <t>CURAL</t>
        </is>
      </c>
      <c r="C1494" t="inlineStr">
        <is>
          <t>SHELVES</t>
        </is>
      </c>
      <c r="D1494" t="inlineStr">
        <is>
          <t>PR4146 .G5 1969 V.2</t>
        </is>
      </c>
      <c r="E1494" t="inlineStr">
        <is>
          <t>0                      PR 4146000G  5           1969                                        V.2</t>
        </is>
      </c>
      <c r="F1494" t="inlineStr">
        <is>
          <t>Life of William Blake, with selections from his poems and other writings / by Alexander Gilchrist.</t>
        </is>
      </c>
      <c r="G1494" t="inlineStr">
        <is>
          <t>V.2*</t>
        </is>
      </c>
      <c r="H1494" t="inlineStr">
        <is>
          <t>Yes</t>
        </is>
      </c>
      <c r="I1494" t="inlineStr">
        <is>
          <t>1</t>
        </is>
      </c>
      <c r="J1494" t="inlineStr">
        <is>
          <t>No</t>
        </is>
      </c>
      <c r="K1494" t="inlineStr">
        <is>
          <t>No</t>
        </is>
      </c>
      <c r="L1494" t="inlineStr">
        <is>
          <t>0</t>
        </is>
      </c>
      <c r="M1494" t="inlineStr">
        <is>
          <t>Gilchrist, Alexander, 1828-1861.</t>
        </is>
      </c>
      <c r="N1494" t="inlineStr">
        <is>
          <t>New York : Phaeton Press, 1969.</t>
        </is>
      </c>
      <c r="O1494" t="inlineStr">
        <is>
          <t>1969</t>
        </is>
      </c>
      <c r="P1494" t="inlineStr">
        <is>
          <t>A new and enl. ed., illustrated from Blake's own works, with additional letters and a memoir of the author.</t>
        </is>
      </c>
      <c r="Q1494" t="inlineStr">
        <is>
          <t>eng</t>
        </is>
      </c>
      <c r="R1494" t="inlineStr">
        <is>
          <t>nyu</t>
        </is>
      </c>
      <c r="T1494" t="inlineStr">
        <is>
          <t xml:space="preserve">PR </t>
        </is>
      </c>
      <c r="U1494" t="n">
        <v>0</v>
      </c>
      <c r="V1494" t="n">
        <v>3</v>
      </c>
      <c r="X1494" t="inlineStr">
        <is>
          <t>1999-07-27</t>
        </is>
      </c>
      <c r="Y1494" t="inlineStr">
        <is>
          <t>1991-11-13</t>
        </is>
      </c>
      <c r="Z1494" t="inlineStr">
        <is>
          <t>1991-11-13</t>
        </is>
      </c>
      <c r="AA1494" t="n">
        <v>322</v>
      </c>
      <c r="AB1494" t="n">
        <v>280</v>
      </c>
      <c r="AC1494" t="n">
        <v>286</v>
      </c>
      <c r="AD1494" t="n">
        <v>5</v>
      </c>
      <c r="AE1494" t="n">
        <v>6</v>
      </c>
      <c r="AF1494" t="n">
        <v>21</v>
      </c>
      <c r="AG1494" t="n">
        <v>22</v>
      </c>
      <c r="AH1494" t="n">
        <v>9</v>
      </c>
      <c r="AI1494" t="n">
        <v>9</v>
      </c>
      <c r="AJ1494" t="n">
        <v>5</v>
      </c>
      <c r="AK1494" t="n">
        <v>5</v>
      </c>
      <c r="AL1494" t="n">
        <v>10</v>
      </c>
      <c r="AM1494" t="n">
        <v>10</v>
      </c>
      <c r="AN1494" t="n">
        <v>4</v>
      </c>
      <c r="AO1494" t="n">
        <v>5</v>
      </c>
      <c r="AP1494" t="n">
        <v>0</v>
      </c>
      <c r="AQ1494" t="n">
        <v>0</v>
      </c>
      <c r="AR1494" t="inlineStr">
        <is>
          <t>No</t>
        </is>
      </c>
      <c r="AS1494" t="inlineStr">
        <is>
          <t>Yes</t>
        </is>
      </c>
      <c r="AT1494">
        <f>HYPERLINK("http://catalog.hathitrust.org/Record/009913799","HathiTrust Record")</f>
        <v/>
      </c>
      <c r="AU1494">
        <f>HYPERLINK("https://creighton-primo.hosted.exlibrisgroup.com/primo-explore/search?tab=default_tab&amp;search_scope=EVERYTHING&amp;vid=01CRU&amp;lang=en_US&amp;offset=0&amp;query=any,contains,991000119959702656","Catalog Record")</f>
        <v/>
      </c>
      <c r="AV1494">
        <f>HYPERLINK("http://www.worldcat.org/oclc/49933","WorldCat Record")</f>
        <v/>
      </c>
      <c r="AW1494" t="inlineStr">
        <is>
          <t>2070185390:eng</t>
        </is>
      </c>
      <c r="AX1494" t="inlineStr">
        <is>
          <t>49933</t>
        </is>
      </c>
      <c r="AY1494" t="inlineStr">
        <is>
          <t>991000119959702656</t>
        </is>
      </c>
      <c r="AZ1494" t="inlineStr">
        <is>
          <t>991000119959702656</t>
        </is>
      </c>
      <c r="BA1494" t="inlineStr">
        <is>
          <t>2263709510002656</t>
        </is>
      </c>
      <c r="BB1494" t="inlineStr">
        <is>
          <t>BOOK</t>
        </is>
      </c>
      <c r="BE1494" t="inlineStr">
        <is>
          <t>32285000823434</t>
        </is>
      </c>
      <c r="BF1494" t="inlineStr">
        <is>
          <t>893613920</t>
        </is>
      </c>
    </row>
    <row r="1495">
      <c r="A1495" t="inlineStr">
        <is>
          <t>No</t>
        </is>
      </c>
      <c r="B1495" t="inlineStr">
        <is>
          <t>CURAL</t>
        </is>
      </c>
      <c r="C1495" t="inlineStr">
        <is>
          <t>SHELVES</t>
        </is>
      </c>
      <c r="D1495" t="inlineStr">
        <is>
          <t>PR4146 .K4 1971</t>
        </is>
      </c>
      <c r="E1495" t="inlineStr">
        <is>
          <t>0                      PR 4146000K  4           1971</t>
        </is>
      </c>
      <c r="F1495" t="inlineStr">
        <is>
          <t>Blake studies: essays on his life and work, by Geoffrey Keynes, Kt.</t>
        </is>
      </c>
      <c r="H1495" t="inlineStr">
        <is>
          <t>No</t>
        </is>
      </c>
      <c r="I1495" t="inlineStr">
        <is>
          <t>1</t>
        </is>
      </c>
      <c r="J1495" t="inlineStr">
        <is>
          <t>No</t>
        </is>
      </c>
      <c r="K1495" t="inlineStr">
        <is>
          <t>No</t>
        </is>
      </c>
      <c r="L1495" t="inlineStr">
        <is>
          <t>0</t>
        </is>
      </c>
      <c r="M1495" t="inlineStr">
        <is>
          <t>Keynes, Geoffrey, 1887-1982.</t>
        </is>
      </c>
      <c r="N1495" t="inlineStr">
        <is>
          <t>Oxford, Clarendon Press, 1971.</t>
        </is>
      </c>
      <c r="O1495" t="inlineStr">
        <is>
          <t>1971</t>
        </is>
      </c>
      <c r="P1495" t="inlineStr">
        <is>
          <t>2nd ed.</t>
        </is>
      </c>
      <c r="Q1495" t="inlineStr">
        <is>
          <t>eng</t>
        </is>
      </c>
      <c r="R1495" t="inlineStr">
        <is>
          <t>enk</t>
        </is>
      </c>
      <c r="T1495" t="inlineStr">
        <is>
          <t xml:space="preserve">PR </t>
        </is>
      </c>
      <c r="U1495" t="n">
        <v>6</v>
      </c>
      <c r="V1495" t="n">
        <v>6</v>
      </c>
      <c r="W1495" t="inlineStr">
        <is>
          <t>2002-02-17</t>
        </is>
      </c>
      <c r="X1495" t="inlineStr">
        <is>
          <t>2002-02-17</t>
        </is>
      </c>
      <c r="Y1495" t="inlineStr">
        <is>
          <t>1997-06-20</t>
        </is>
      </c>
      <c r="Z1495" t="inlineStr">
        <is>
          <t>1997-06-20</t>
        </is>
      </c>
      <c r="AA1495" t="n">
        <v>613</v>
      </c>
      <c r="AB1495" t="n">
        <v>441</v>
      </c>
      <c r="AC1495" t="n">
        <v>448</v>
      </c>
      <c r="AD1495" t="n">
        <v>5</v>
      </c>
      <c r="AE1495" t="n">
        <v>5</v>
      </c>
      <c r="AF1495" t="n">
        <v>22</v>
      </c>
      <c r="AG1495" t="n">
        <v>22</v>
      </c>
      <c r="AH1495" t="n">
        <v>5</v>
      </c>
      <c r="AI1495" t="n">
        <v>5</v>
      </c>
      <c r="AJ1495" t="n">
        <v>4</v>
      </c>
      <c r="AK1495" t="n">
        <v>4</v>
      </c>
      <c r="AL1495" t="n">
        <v>14</v>
      </c>
      <c r="AM1495" t="n">
        <v>14</v>
      </c>
      <c r="AN1495" t="n">
        <v>4</v>
      </c>
      <c r="AO1495" t="n">
        <v>4</v>
      </c>
      <c r="AP1495" t="n">
        <v>0</v>
      </c>
      <c r="AQ1495" t="n">
        <v>0</v>
      </c>
      <c r="AR1495" t="inlineStr">
        <is>
          <t>No</t>
        </is>
      </c>
      <c r="AS1495" t="inlineStr">
        <is>
          <t>Yes</t>
        </is>
      </c>
      <c r="AT1495">
        <f>HYPERLINK("http://catalog.hathitrust.org/Record/000334358","HathiTrust Record")</f>
        <v/>
      </c>
      <c r="AU1495">
        <f>HYPERLINK("https://creighton-primo.hosted.exlibrisgroup.com/primo-explore/search?tab=default_tab&amp;search_scope=EVERYTHING&amp;vid=01CRU&amp;lang=en_US&amp;offset=0&amp;query=any,contains,991001352819702656","Catalog Record")</f>
        <v/>
      </c>
      <c r="AV1495">
        <f>HYPERLINK("http://www.worldcat.org/oclc/221588","WorldCat Record")</f>
        <v/>
      </c>
      <c r="AW1495" t="inlineStr">
        <is>
          <t>3768502313:eng</t>
        </is>
      </c>
      <c r="AX1495" t="inlineStr">
        <is>
          <t>221588</t>
        </is>
      </c>
      <c r="AY1495" t="inlineStr">
        <is>
          <t>991001352819702656</t>
        </is>
      </c>
      <c r="AZ1495" t="inlineStr">
        <is>
          <t>991001352819702656</t>
        </is>
      </c>
      <c r="BA1495" t="inlineStr">
        <is>
          <t>2258473180002656</t>
        </is>
      </c>
      <c r="BB1495" t="inlineStr">
        <is>
          <t>BOOK</t>
        </is>
      </c>
      <c r="BD1495" t="inlineStr">
        <is>
          <t>9780198120032</t>
        </is>
      </c>
      <c r="BE1495" t="inlineStr">
        <is>
          <t>32285002825429</t>
        </is>
      </c>
      <c r="BF1495" t="inlineStr">
        <is>
          <t>893878818</t>
        </is>
      </c>
    </row>
    <row r="1496">
      <c r="A1496" t="inlineStr">
        <is>
          <t>No</t>
        </is>
      </c>
      <c r="B1496" t="inlineStr">
        <is>
          <t>CURAL</t>
        </is>
      </c>
      <c r="C1496" t="inlineStr">
        <is>
          <t>SHELVES</t>
        </is>
      </c>
      <c r="D1496" t="inlineStr">
        <is>
          <t>PR4146 .L5 1970</t>
        </is>
      </c>
      <c r="E1496" t="inlineStr">
        <is>
          <t>0                      PR 4146000L  5           1970</t>
        </is>
      </c>
      <c r="F1496" t="inlineStr">
        <is>
          <t>William Blake; an introduction to the man and to his work. With a foreword by G. E. Bentley, Jr.</t>
        </is>
      </c>
      <c r="H1496" t="inlineStr">
        <is>
          <t>No</t>
        </is>
      </c>
      <c r="I1496" t="inlineStr">
        <is>
          <t>1</t>
        </is>
      </c>
      <c r="J1496" t="inlineStr">
        <is>
          <t>No</t>
        </is>
      </c>
      <c r="K1496" t="inlineStr">
        <is>
          <t>No</t>
        </is>
      </c>
      <c r="L1496" t="inlineStr">
        <is>
          <t>0</t>
        </is>
      </c>
      <c r="M1496" t="inlineStr">
        <is>
          <t>Lister, Raymond.</t>
        </is>
      </c>
      <c r="N1496" t="inlineStr">
        <is>
          <t>New York, Ungar [1970, c1968]</t>
        </is>
      </c>
      <c r="O1496" t="inlineStr">
        <is>
          <t>1970</t>
        </is>
      </c>
      <c r="P1496" t="inlineStr">
        <is>
          <t>[1st American ed.]</t>
        </is>
      </c>
      <c r="Q1496" t="inlineStr">
        <is>
          <t>eng</t>
        </is>
      </c>
      <c r="R1496" t="inlineStr">
        <is>
          <t>nyu</t>
        </is>
      </c>
      <c r="T1496" t="inlineStr">
        <is>
          <t xml:space="preserve">PR </t>
        </is>
      </c>
      <c r="U1496" t="n">
        <v>2</v>
      </c>
      <c r="V1496" t="n">
        <v>2</v>
      </c>
      <c r="W1496" t="inlineStr">
        <is>
          <t>1997-09-23</t>
        </is>
      </c>
      <c r="X1496" t="inlineStr">
        <is>
          <t>1997-09-23</t>
        </is>
      </c>
      <c r="Y1496" t="inlineStr">
        <is>
          <t>1997-06-20</t>
        </is>
      </c>
      <c r="Z1496" t="inlineStr">
        <is>
          <t>1997-06-20</t>
        </is>
      </c>
      <c r="AA1496" t="n">
        <v>350</v>
      </c>
      <c r="AB1496" t="n">
        <v>341</v>
      </c>
      <c r="AC1496" t="n">
        <v>625</v>
      </c>
      <c r="AD1496" t="n">
        <v>4</v>
      </c>
      <c r="AE1496" t="n">
        <v>5</v>
      </c>
      <c r="AF1496" t="n">
        <v>10</v>
      </c>
      <c r="AG1496" t="n">
        <v>27</v>
      </c>
      <c r="AH1496" t="n">
        <v>3</v>
      </c>
      <c r="AI1496" t="n">
        <v>10</v>
      </c>
      <c r="AJ1496" t="n">
        <v>2</v>
      </c>
      <c r="AK1496" t="n">
        <v>7</v>
      </c>
      <c r="AL1496" t="n">
        <v>4</v>
      </c>
      <c r="AM1496" t="n">
        <v>15</v>
      </c>
      <c r="AN1496" t="n">
        <v>2</v>
      </c>
      <c r="AO1496" t="n">
        <v>3</v>
      </c>
      <c r="AP1496" t="n">
        <v>0</v>
      </c>
      <c r="AQ1496" t="n">
        <v>0</v>
      </c>
      <c r="AR1496" t="inlineStr">
        <is>
          <t>No</t>
        </is>
      </c>
      <c r="AS1496" t="inlineStr">
        <is>
          <t>Yes</t>
        </is>
      </c>
      <c r="AT1496">
        <f>HYPERLINK("http://catalog.hathitrust.org/Record/004481685","HathiTrust Record")</f>
        <v/>
      </c>
      <c r="AU1496">
        <f>HYPERLINK("https://creighton-primo.hosted.exlibrisgroup.com/primo-explore/search?tab=default_tab&amp;search_scope=EVERYTHING&amp;vid=01CRU&amp;lang=en_US&amp;offset=0&amp;query=any,contains,991000433029702656","Catalog Record")</f>
        <v/>
      </c>
      <c r="AV1496">
        <f>HYPERLINK("http://www.worldcat.org/oclc/75939","WorldCat Record")</f>
        <v/>
      </c>
      <c r="AW1496" t="inlineStr">
        <is>
          <t>144854962:eng</t>
        </is>
      </c>
      <c r="AX1496" t="inlineStr">
        <is>
          <t>75939</t>
        </is>
      </c>
      <c r="AY1496" t="inlineStr">
        <is>
          <t>991000433029702656</t>
        </is>
      </c>
      <c r="AZ1496" t="inlineStr">
        <is>
          <t>991000433029702656</t>
        </is>
      </c>
      <c r="BA1496" t="inlineStr">
        <is>
          <t>2255889440002656</t>
        </is>
      </c>
      <c r="BB1496" t="inlineStr">
        <is>
          <t>BOOK</t>
        </is>
      </c>
      <c r="BD1496" t="inlineStr">
        <is>
          <t>9780804425315</t>
        </is>
      </c>
      <c r="BE1496" t="inlineStr">
        <is>
          <t>32285002825437</t>
        </is>
      </c>
      <c r="BF1496" t="inlineStr">
        <is>
          <t>893601743</t>
        </is>
      </c>
    </row>
    <row r="1497">
      <c r="A1497" t="inlineStr">
        <is>
          <t>No</t>
        </is>
      </c>
      <c r="B1497" t="inlineStr">
        <is>
          <t>CURAL</t>
        </is>
      </c>
      <c r="C1497" t="inlineStr">
        <is>
          <t>SHELVES</t>
        </is>
      </c>
      <c r="D1497" t="inlineStr">
        <is>
          <t>PR4146 .M3 1967</t>
        </is>
      </c>
      <c r="E1497" t="inlineStr">
        <is>
          <t>0                      PR 4146000M  3           1967</t>
        </is>
      </c>
      <c r="F1497" t="inlineStr">
        <is>
          <t>William Blake [by] H. M. Margoliouth.</t>
        </is>
      </c>
      <c r="H1497" t="inlineStr">
        <is>
          <t>No</t>
        </is>
      </c>
      <c r="I1497" t="inlineStr">
        <is>
          <t>1</t>
        </is>
      </c>
      <c r="J1497" t="inlineStr">
        <is>
          <t>No</t>
        </is>
      </c>
      <c r="K1497" t="inlineStr">
        <is>
          <t>No</t>
        </is>
      </c>
      <c r="L1497" t="inlineStr">
        <is>
          <t>0</t>
        </is>
      </c>
      <c r="M1497" t="inlineStr">
        <is>
          <t>Margoliouth, H. M. (Herschel Maurice), 1887-1959.</t>
        </is>
      </c>
      <c r="N1497" t="inlineStr">
        <is>
          <t>[Hamden, Conn.] Archon Books, 1967.</t>
        </is>
      </c>
      <c r="O1497" t="inlineStr">
        <is>
          <t>1967</t>
        </is>
      </c>
      <c r="Q1497" t="inlineStr">
        <is>
          <t>eng</t>
        </is>
      </c>
      <c r="R1497" t="inlineStr">
        <is>
          <t>ctu</t>
        </is>
      </c>
      <c r="T1497" t="inlineStr">
        <is>
          <t xml:space="preserve">PR </t>
        </is>
      </c>
      <c r="U1497" t="n">
        <v>5</v>
      </c>
      <c r="V1497" t="n">
        <v>5</v>
      </c>
      <c r="W1497" t="inlineStr">
        <is>
          <t>2002-11-11</t>
        </is>
      </c>
      <c r="X1497" t="inlineStr">
        <is>
          <t>2002-11-11</t>
        </is>
      </c>
      <c r="Y1497" t="inlineStr">
        <is>
          <t>1997-06-20</t>
        </is>
      </c>
      <c r="Z1497" t="inlineStr">
        <is>
          <t>1997-06-20</t>
        </is>
      </c>
      <c r="AA1497" t="n">
        <v>449</v>
      </c>
      <c r="AB1497" t="n">
        <v>391</v>
      </c>
      <c r="AC1497" t="n">
        <v>582</v>
      </c>
      <c r="AD1497" t="n">
        <v>3</v>
      </c>
      <c r="AE1497" t="n">
        <v>5</v>
      </c>
      <c r="AF1497" t="n">
        <v>19</v>
      </c>
      <c r="AG1497" t="n">
        <v>33</v>
      </c>
      <c r="AH1497" t="n">
        <v>11</v>
      </c>
      <c r="AI1497" t="n">
        <v>15</v>
      </c>
      <c r="AJ1497" t="n">
        <v>6</v>
      </c>
      <c r="AK1497" t="n">
        <v>7</v>
      </c>
      <c r="AL1497" t="n">
        <v>9</v>
      </c>
      <c r="AM1497" t="n">
        <v>18</v>
      </c>
      <c r="AN1497" t="n">
        <v>2</v>
      </c>
      <c r="AO1497" t="n">
        <v>4</v>
      </c>
      <c r="AP1497" t="n">
        <v>0</v>
      </c>
      <c r="AQ1497" t="n">
        <v>0</v>
      </c>
      <c r="AR1497" t="inlineStr">
        <is>
          <t>No</t>
        </is>
      </c>
      <c r="AS1497" t="inlineStr">
        <is>
          <t>Yes</t>
        </is>
      </c>
      <c r="AT1497">
        <f>HYPERLINK("http://catalog.hathitrust.org/Record/009496268","HathiTrust Record")</f>
        <v/>
      </c>
      <c r="AU1497">
        <f>HYPERLINK("https://creighton-primo.hosted.exlibrisgroup.com/primo-explore/search?tab=default_tab&amp;search_scope=EVERYTHING&amp;vid=01CRU&amp;lang=en_US&amp;offset=0&amp;query=any,contains,991002743439702656","Catalog Record")</f>
        <v/>
      </c>
      <c r="AV1497">
        <f>HYPERLINK("http://www.worldcat.org/oclc/421905","WorldCat Record")</f>
        <v/>
      </c>
      <c r="AW1497" t="inlineStr">
        <is>
          <t>4160516941:eng</t>
        </is>
      </c>
      <c r="AX1497" t="inlineStr">
        <is>
          <t>421905</t>
        </is>
      </c>
      <c r="AY1497" t="inlineStr">
        <is>
          <t>991002743439702656</t>
        </is>
      </c>
      <c r="AZ1497" t="inlineStr">
        <is>
          <t>991002743439702656</t>
        </is>
      </c>
      <c r="BA1497" t="inlineStr">
        <is>
          <t>2270053490002656</t>
        </is>
      </c>
      <c r="BB1497" t="inlineStr">
        <is>
          <t>BOOK</t>
        </is>
      </c>
      <c r="BE1497" t="inlineStr">
        <is>
          <t>32285002825445</t>
        </is>
      </c>
      <c r="BF1497" t="inlineStr">
        <is>
          <t>893352492</t>
        </is>
      </c>
    </row>
    <row r="1498">
      <c r="A1498" t="inlineStr">
        <is>
          <t>No</t>
        </is>
      </c>
      <c r="B1498" t="inlineStr">
        <is>
          <t>CURAL</t>
        </is>
      </c>
      <c r="C1498" t="inlineStr">
        <is>
          <t>SHELVES</t>
        </is>
      </c>
      <c r="D1498" t="inlineStr">
        <is>
          <t>PR4146 .R32 1970</t>
        </is>
      </c>
      <c r="E1498" t="inlineStr">
        <is>
          <t>0                      PR 4146000R  32          1970</t>
        </is>
      </c>
      <c r="F1498" t="inlineStr">
        <is>
          <t>William Blake / Kathleen Raine.</t>
        </is>
      </c>
      <c r="H1498" t="inlineStr">
        <is>
          <t>No</t>
        </is>
      </c>
      <c r="I1498" t="inlineStr">
        <is>
          <t>1</t>
        </is>
      </c>
      <c r="J1498" t="inlineStr">
        <is>
          <t>No</t>
        </is>
      </c>
      <c r="K1498" t="inlineStr">
        <is>
          <t>No</t>
        </is>
      </c>
      <c r="L1498" t="inlineStr">
        <is>
          <t>0</t>
        </is>
      </c>
      <c r="M1498" t="inlineStr">
        <is>
          <t>Raine, Kathleen, 1908-2003.</t>
        </is>
      </c>
      <c r="N1498" t="inlineStr">
        <is>
          <t>New York : Oxford University Press, c1970.</t>
        </is>
      </c>
      <c r="O1498" t="inlineStr">
        <is>
          <t>1970</t>
        </is>
      </c>
      <c r="Q1498" t="inlineStr">
        <is>
          <t>eng</t>
        </is>
      </c>
      <c r="R1498" t="inlineStr">
        <is>
          <t>nyu</t>
        </is>
      </c>
      <c r="S1498" t="inlineStr">
        <is>
          <t>The World of art</t>
        </is>
      </c>
      <c r="T1498" t="inlineStr">
        <is>
          <t xml:space="preserve">PR </t>
        </is>
      </c>
      <c r="U1498" t="n">
        <v>17</v>
      </c>
      <c r="V1498" t="n">
        <v>17</v>
      </c>
      <c r="W1498" t="inlineStr">
        <is>
          <t>2004-02-23</t>
        </is>
      </c>
      <c r="X1498" t="inlineStr">
        <is>
          <t>2004-02-23</t>
        </is>
      </c>
      <c r="Y1498" t="inlineStr">
        <is>
          <t>1991-11-13</t>
        </is>
      </c>
      <c r="Z1498" t="inlineStr">
        <is>
          <t>1991-11-13</t>
        </is>
      </c>
      <c r="AA1498" t="n">
        <v>910</v>
      </c>
      <c r="AB1498" t="n">
        <v>845</v>
      </c>
      <c r="AC1498" t="n">
        <v>1328</v>
      </c>
      <c r="AD1498" t="n">
        <v>10</v>
      </c>
      <c r="AE1498" t="n">
        <v>13</v>
      </c>
      <c r="AF1498" t="n">
        <v>35</v>
      </c>
      <c r="AG1498" t="n">
        <v>48</v>
      </c>
      <c r="AH1498" t="n">
        <v>14</v>
      </c>
      <c r="AI1498" t="n">
        <v>19</v>
      </c>
      <c r="AJ1498" t="n">
        <v>5</v>
      </c>
      <c r="AK1498" t="n">
        <v>8</v>
      </c>
      <c r="AL1498" t="n">
        <v>17</v>
      </c>
      <c r="AM1498" t="n">
        <v>23</v>
      </c>
      <c r="AN1498" t="n">
        <v>8</v>
      </c>
      <c r="AO1498" t="n">
        <v>10</v>
      </c>
      <c r="AP1498" t="n">
        <v>0</v>
      </c>
      <c r="AQ1498" t="n">
        <v>0</v>
      </c>
      <c r="AR1498" t="inlineStr">
        <is>
          <t>No</t>
        </is>
      </c>
      <c r="AS1498" t="inlineStr">
        <is>
          <t>Yes</t>
        </is>
      </c>
      <c r="AT1498">
        <f>HYPERLINK("http://catalog.hathitrust.org/Record/004481718","HathiTrust Record")</f>
        <v/>
      </c>
      <c r="AU1498">
        <f>HYPERLINK("https://creighton-primo.hosted.exlibrisgroup.com/primo-explore/search?tab=default_tab&amp;search_scope=EVERYTHING&amp;vid=01CRU&amp;lang=en_US&amp;offset=0&amp;query=any,contains,991004396609702656","Catalog Record")</f>
        <v/>
      </c>
      <c r="AV1498">
        <f>HYPERLINK("http://www.worldcat.org/oclc/120135","WorldCat Record")</f>
        <v/>
      </c>
      <c r="AW1498" t="inlineStr">
        <is>
          <t>57476769:eng</t>
        </is>
      </c>
      <c r="AX1498" t="inlineStr">
        <is>
          <t>120135</t>
        </is>
      </c>
      <c r="AY1498" t="inlineStr">
        <is>
          <t>991004396609702656</t>
        </is>
      </c>
      <c r="AZ1498" t="inlineStr">
        <is>
          <t>991004396609702656</t>
        </is>
      </c>
      <c r="BA1498" t="inlineStr">
        <is>
          <t>2259136010002656</t>
        </is>
      </c>
      <c r="BB1498" t="inlineStr">
        <is>
          <t>BOOK</t>
        </is>
      </c>
      <c r="BD1498" t="inlineStr">
        <is>
          <t>9780195199314</t>
        </is>
      </c>
      <c r="BE1498" t="inlineStr">
        <is>
          <t>32285000823442</t>
        </is>
      </c>
      <c r="BF1498" t="inlineStr">
        <is>
          <t>893506798</t>
        </is>
      </c>
    </row>
    <row r="1499">
      <c r="A1499" t="inlineStr">
        <is>
          <t>No</t>
        </is>
      </c>
      <c r="B1499" t="inlineStr">
        <is>
          <t>CURAL</t>
        </is>
      </c>
      <c r="C1499" t="inlineStr">
        <is>
          <t>SHELVES</t>
        </is>
      </c>
      <c r="D1499" t="inlineStr">
        <is>
          <t>PR4146 .S4</t>
        </is>
      </c>
      <c r="E1499" t="inlineStr">
        <is>
          <t>0                      PR 4146000S  4</t>
        </is>
      </c>
      <c r="F1499" t="inlineStr">
        <is>
          <t>William Blake; the politics of vision [by] Mark Schorer.</t>
        </is>
      </c>
      <c r="H1499" t="inlineStr">
        <is>
          <t>No</t>
        </is>
      </c>
      <c r="I1499" t="inlineStr">
        <is>
          <t>1</t>
        </is>
      </c>
      <c r="J1499" t="inlineStr">
        <is>
          <t>No</t>
        </is>
      </c>
      <c r="K1499" t="inlineStr">
        <is>
          <t>Yes</t>
        </is>
      </c>
      <c r="L1499" t="inlineStr">
        <is>
          <t>0</t>
        </is>
      </c>
      <c r="M1499" t="inlineStr">
        <is>
          <t>Schorer, Mark, 1908-1977.</t>
        </is>
      </c>
      <c r="N1499" t="inlineStr">
        <is>
          <t>New York, H. Holt and Company [1946]</t>
        </is>
      </c>
      <c r="O1499" t="inlineStr">
        <is>
          <t>1946</t>
        </is>
      </c>
      <c r="Q1499" t="inlineStr">
        <is>
          <t>eng</t>
        </is>
      </c>
      <c r="R1499" t="inlineStr">
        <is>
          <t>nyu</t>
        </is>
      </c>
      <c r="T1499" t="inlineStr">
        <is>
          <t xml:space="preserve">PR </t>
        </is>
      </c>
      <c r="U1499" t="n">
        <v>2</v>
      </c>
      <c r="V1499" t="n">
        <v>2</v>
      </c>
      <c r="W1499" t="inlineStr">
        <is>
          <t>1999-07-27</t>
        </is>
      </c>
      <c r="X1499" t="inlineStr">
        <is>
          <t>1999-07-27</t>
        </is>
      </c>
      <c r="Y1499" t="inlineStr">
        <is>
          <t>1997-06-20</t>
        </is>
      </c>
      <c r="Z1499" t="inlineStr">
        <is>
          <t>1997-06-20</t>
        </is>
      </c>
      <c r="AA1499" t="n">
        <v>704</v>
      </c>
      <c r="AB1499" t="n">
        <v>650</v>
      </c>
      <c r="AC1499" t="n">
        <v>1094</v>
      </c>
      <c r="AD1499" t="n">
        <v>5</v>
      </c>
      <c r="AE1499" t="n">
        <v>8</v>
      </c>
      <c r="AF1499" t="n">
        <v>31</v>
      </c>
      <c r="AG1499" t="n">
        <v>52</v>
      </c>
      <c r="AH1499" t="n">
        <v>13</v>
      </c>
      <c r="AI1499" t="n">
        <v>25</v>
      </c>
      <c r="AJ1499" t="n">
        <v>6</v>
      </c>
      <c r="AK1499" t="n">
        <v>8</v>
      </c>
      <c r="AL1499" t="n">
        <v>16</v>
      </c>
      <c r="AM1499" t="n">
        <v>24</v>
      </c>
      <c r="AN1499" t="n">
        <v>4</v>
      </c>
      <c r="AO1499" t="n">
        <v>7</v>
      </c>
      <c r="AP1499" t="n">
        <v>0</v>
      </c>
      <c r="AQ1499" t="n">
        <v>0</v>
      </c>
      <c r="AR1499" t="inlineStr">
        <is>
          <t>No</t>
        </is>
      </c>
      <c r="AS1499" t="inlineStr">
        <is>
          <t>No</t>
        </is>
      </c>
      <c r="AT1499">
        <f>HYPERLINK("http://catalog.hathitrust.org/Record/000430028","HathiTrust Record")</f>
        <v/>
      </c>
      <c r="AU1499">
        <f>HYPERLINK("https://creighton-primo.hosted.exlibrisgroup.com/primo-explore/search?tab=default_tab&amp;search_scope=EVERYTHING&amp;vid=01CRU&amp;lang=en_US&amp;offset=0&amp;query=any,contains,991003454579702656","Catalog Record")</f>
        <v/>
      </c>
      <c r="AV1499">
        <f>HYPERLINK("http://www.worldcat.org/oclc/994285","WorldCat Record")</f>
        <v/>
      </c>
      <c r="AW1499" t="inlineStr">
        <is>
          <t>196510071:eng</t>
        </is>
      </c>
      <c r="AX1499" t="inlineStr">
        <is>
          <t>994285</t>
        </is>
      </c>
      <c r="AY1499" t="inlineStr">
        <is>
          <t>991003454579702656</t>
        </is>
      </c>
      <c r="AZ1499" t="inlineStr">
        <is>
          <t>991003454579702656</t>
        </is>
      </c>
      <c r="BA1499" t="inlineStr">
        <is>
          <t>2257170010002656</t>
        </is>
      </c>
      <c r="BB1499" t="inlineStr">
        <is>
          <t>BOOK</t>
        </is>
      </c>
      <c r="BE1499" t="inlineStr">
        <is>
          <t>32285002825460</t>
        </is>
      </c>
      <c r="BF1499" t="inlineStr">
        <is>
          <t>893868417</t>
        </is>
      </c>
    </row>
    <row r="1500">
      <c r="A1500" t="inlineStr">
        <is>
          <t>No</t>
        </is>
      </c>
      <c r="B1500" t="inlineStr">
        <is>
          <t>CURAL</t>
        </is>
      </c>
      <c r="C1500" t="inlineStr">
        <is>
          <t>SHELVES</t>
        </is>
      </c>
      <c r="D1500" t="inlineStr">
        <is>
          <t>PR4146 .S4 1959</t>
        </is>
      </c>
      <c r="E1500" t="inlineStr">
        <is>
          <t>0                      PR 4146000S  4           1959</t>
        </is>
      </c>
      <c r="F1500" t="inlineStr">
        <is>
          <t>William Blake; the politics of vision.</t>
        </is>
      </c>
      <c r="H1500" t="inlineStr">
        <is>
          <t>No</t>
        </is>
      </c>
      <c r="I1500" t="inlineStr">
        <is>
          <t>1</t>
        </is>
      </c>
      <c r="J1500" t="inlineStr">
        <is>
          <t>No</t>
        </is>
      </c>
      <c r="K1500" t="inlineStr">
        <is>
          <t>Yes</t>
        </is>
      </c>
      <c r="L1500" t="inlineStr">
        <is>
          <t>0</t>
        </is>
      </c>
      <c r="M1500" t="inlineStr">
        <is>
          <t>Schorer, Mark, 1908-1977.</t>
        </is>
      </c>
      <c r="N1500" t="inlineStr">
        <is>
          <t>New York, Vintage Books [c1959]</t>
        </is>
      </c>
      <c r="O1500" t="inlineStr">
        <is>
          <t>1959</t>
        </is>
      </c>
      <c r="P1500" t="inlineStr">
        <is>
          <t>[1st Vintage ed.]</t>
        </is>
      </c>
      <c r="Q1500" t="inlineStr">
        <is>
          <t>eng</t>
        </is>
      </c>
      <c r="R1500" t="inlineStr">
        <is>
          <t>nyu</t>
        </is>
      </c>
      <c r="S1500" t="inlineStr">
        <is>
          <t>Vintage books, K89</t>
        </is>
      </c>
      <c r="T1500" t="inlineStr">
        <is>
          <t xml:space="preserve">PR </t>
        </is>
      </c>
      <c r="U1500" t="n">
        <v>5</v>
      </c>
      <c r="V1500" t="n">
        <v>5</v>
      </c>
      <c r="W1500" t="inlineStr">
        <is>
          <t>2009-10-23</t>
        </is>
      </c>
      <c r="X1500" t="inlineStr">
        <is>
          <t>2009-10-23</t>
        </is>
      </c>
      <c r="Y1500" t="inlineStr">
        <is>
          <t>1997-06-20</t>
        </is>
      </c>
      <c r="Z1500" t="inlineStr">
        <is>
          <t>1997-06-20</t>
        </is>
      </c>
      <c r="AA1500" t="n">
        <v>450</v>
      </c>
      <c r="AB1500" t="n">
        <v>394</v>
      </c>
      <c r="AC1500" t="n">
        <v>1094</v>
      </c>
      <c r="AD1500" t="n">
        <v>5</v>
      </c>
      <c r="AE1500" t="n">
        <v>8</v>
      </c>
      <c r="AF1500" t="n">
        <v>17</v>
      </c>
      <c r="AG1500" t="n">
        <v>52</v>
      </c>
      <c r="AH1500" t="n">
        <v>7</v>
      </c>
      <c r="AI1500" t="n">
        <v>25</v>
      </c>
      <c r="AJ1500" t="n">
        <v>1</v>
      </c>
      <c r="AK1500" t="n">
        <v>8</v>
      </c>
      <c r="AL1500" t="n">
        <v>6</v>
      </c>
      <c r="AM1500" t="n">
        <v>24</v>
      </c>
      <c r="AN1500" t="n">
        <v>4</v>
      </c>
      <c r="AO1500" t="n">
        <v>7</v>
      </c>
      <c r="AP1500" t="n">
        <v>0</v>
      </c>
      <c r="AQ1500" t="n">
        <v>0</v>
      </c>
      <c r="AR1500" t="inlineStr">
        <is>
          <t>No</t>
        </is>
      </c>
      <c r="AS1500" t="inlineStr">
        <is>
          <t>Yes</t>
        </is>
      </c>
      <c r="AT1500">
        <f>HYPERLINK("http://catalog.hathitrust.org/Record/000475769","HathiTrust Record")</f>
        <v/>
      </c>
      <c r="AU1500">
        <f>HYPERLINK("https://creighton-primo.hosted.exlibrisgroup.com/primo-explore/search?tab=default_tab&amp;search_scope=EVERYTHING&amp;vid=01CRU&amp;lang=en_US&amp;offset=0&amp;query=any,contains,991004986549702656","Catalog Record")</f>
        <v/>
      </c>
      <c r="AV1500">
        <f>HYPERLINK("http://www.worldcat.org/oclc/40837207","WorldCat Record")</f>
        <v/>
      </c>
      <c r="AW1500" t="inlineStr">
        <is>
          <t>196510071:eng</t>
        </is>
      </c>
      <c r="AX1500" t="inlineStr">
        <is>
          <t>40837207</t>
        </is>
      </c>
      <c r="AY1500" t="inlineStr">
        <is>
          <t>991004986549702656</t>
        </is>
      </c>
      <c r="AZ1500" t="inlineStr">
        <is>
          <t>991004986549702656</t>
        </is>
      </c>
      <c r="BA1500" t="inlineStr">
        <is>
          <t>2257697340002656</t>
        </is>
      </c>
      <c r="BB1500" t="inlineStr">
        <is>
          <t>BOOK</t>
        </is>
      </c>
      <c r="BE1500" t="inlineStr">
        <is>
          <t>32285002825478</t>
        </is>
      </c>
      <c r="BF1500" t="inlineStr">
        <is>
          <t>893628447</t>
        </is>
      </c>
    </row>
    <row r="1501">
      <c r="A1501" t="inlineStr">
        <is>
          <t>No</t>
        </is>
      </c>
      <c r="B1501" t="inlineStr">
        <is>
          <t>CURAL</t>
        </is>
      </c>
      <c r="C1501" t="inlineStr">
        <is>
          <t>SHELVES</t>
        </is>
      </c>
      <c r="D1501" t="inlineStr">
        <is>
          <t>PR4146 .V3</t>
        </is>
      </c>
      <c r="E1501" t="inlineStr">
        <is>
          <t>0                      PR 4146000V  3</t>
        </is>
      </c>
      <c r="F1501" t="inlineStr">
        <is>
          <t>Blake : the mystic genius.</t>
        </is>
      </c>
      <c r="H1501" t="inlineStr">
        <is>
          <t>No</t>
        </is>
      </c>
      <c r="I1501" t="inlineStr">
        <is>
          <t>1</t>
        </is>
      </c>
      <c r="J1501" t="inlineStr">
        <is>
          <t>No</t>
        </is>
      </c>
      <c r="K1501" t="inlineStr">
        <is>
          <t>No</t>
        </is>
      </c>
      <c r="L1501" t="inlineStr">
        <is>
          <t>0</t>
        </is>
      </c>
      <c r="M1501" t="inlineStr">
        <is>
          <t>Van Sinderen, Adrian, 1887-1963.</t>
        </is>
      </c>
      <c r="N1501" t="inlineStr">
        <is>
          <t>[Syracuse] : Syracuse University Press, 1949.</t>
        </is>
      </c>
      <c r="O1501" t="inlineStr">
        <is>
          <t>1949</t>
        </is>
      </c>
      <c r="Q1501" t="inlineStr">
        <is>
          <t>eng</t>
        </is>
      </c>
      <c r="R1501" t="inlineStr">
        <is>
          <t>nyu</t>
        </is>
      </c>
      <c r="T1501" t="inlineStr">
        <is>
          <t xml:space="preserve">PR </t>
        </is>
      </c>
      <c r="U1501" t="n">
        <v>1</v>
      </c>
      <c r="V1501" t="n">
        <v>1</v>
      </c>
      <c r="W1501" t="inlineStr">
        <is>
          <t>1999-05-14</t>
        </is>
      </c>
      <c r="X1501" t="inlineStr">
        <is>
          <t>1999-05-14</t>
        </is>
      </c>
      <c r="Y1501" t="inlineStr">
        <is>
          <t>1998-06-10</t>
        </is>
      </c>
      <c r="Z1501" t="inlineStr">
        <is>
          <t>1998-06-10</t>
        </is>
      </c>
      <c r="AA1501" t="n">
        <v>623</v>
      </c>
      <c r="AB1501" t="n">
        <v>582</v>
      </c>
      <c r="AC1501" t="n">
        <v>603</v>
      </c>
      <c r="AD1501" t="n">
        <v>6</v>
      </c>
      <c r="AE1501" t="n">
        <v>6</v>
      </c>
      <c r="AF1501" t="n">
        <v>31</v>
      </c>
      <c r="AG1501" t="n">
        <v>32</v>
      </c>
      <c r="AH1501" t="n">
        <v>15</v>
      </c>
      <c r="AI1501" t="n">
        <v>16</v>
      </c>
      <c r="AJ1501" t="n">
        <v>7</v>
      </c>
      <c r="AK1501" t="n">
        <v>7</v>
      </c>
      <c r="AL1501" t="n">
        <v>12</v>
      </c>
      <c r="AM1501" t="n">
        <v>12</v>
      </c>
      <c r="AN1501" t="n">
        <v>4</v>
      </c>
      <c r="AO1501" t="n">
        <v>4</v>
      </c>
      <c r="AP1501" t="n">
        <v>0</v>
      </c>
      <c r="AQ1501" t="n">
        <v>0</v>
      </c>
      <c r="AR1501" t="inlineStr">
        <is>
          <t>Yes</t>
        </is>
      </c>
      <c r="AS1501" t="inlineStr">
        <is>
          <t>No</t>
        </is>
      </c>
      <c r="AT1501">
        <f>HYPERLINK("http://catalog.hathitrust.org/Record/000475335","HathiTrust Record")</f>
        <v/>
      </c>
      <c r="AU1501">
        <f>HYPERLINK("https://creighton-primo.hosted.exlibrisgroup.com/primo-explore/search?tab=default_tab&amp;search_scope=EVERYTHING&amp;vid=01CRU&amp;lang=en_US&amp;offset=0&amp;query=any,contains,991001485139702656","Catalog Record")</f>
        <v/>
      </c>
      <c r="AV1501">
        <f>HYPERLINK("http://www.worldcat.org/oclc/231637","WorldCat Record")</f>
        <v/>
      </c>
      <c r="AW1501" t="inlineStr">
        <is>
          <t>309167009:eng</t>
        </is>
      </c>
      <c r="AX1501" t="inlineStr">
        <is>
          <t>231637</t>
        </is>
      </c>
      <c r="AY1501" t="inlineStr">
        <is>
          <t>991001485139702656</t>
        </is>
      </c>
      <c r="AZ1501" t="inlineStr">
        <is>
          <t>991001485139702656</t>
        </is>
      </c>
      <c r="BA1501" t="inlineStr">
        <is>
          <t>2270889670002656</t>
        </is>
      </c>
      <c r="BB1501" t="inlineStr">
        <is>
          <t>BOOK</t>
        </is>
      </c>
      <c r="BE1501" t="inlineStr">
        <is>
          <t>32285003419297</t>
        </is>
      </c>
      <c r="BF1501" t="inlineStr">
        <is>
          <t>893872552</t>
        </is>
      </c>
    </row>
    <row r="1502">
      <c r="A1502" t="inlineStr">
        <is>
          <t>No</t>
        </is>
      </c>
      <c r="B1502" t="inlineStr">
        <is>
          <t>CURAL</t>
        </is>
      </c>
      <c r="C1502" t="inlineStr">
        <is>
          <t>SHELVES</t>
        </is>
      </c>
      <c r="D1502" t="inlineStr">
        <is>
          <t>PR4146 .W5 1971</t>
        </is>
      </c>
      <c r="E1502" t="inlineStr">
        <is>
          <t>0                      PR 4146000W  5           1971</t>
        </is>
      </c>
      <c r="F1502" t="inlineStr">
        <is>
          <t>The life of William Blake.</t>
        </is>
      </c>
      <c r="H1502" t="inlineStr">
        <is>
          <t>No</t>
        </is>
      </c>
      <c r="I1502" t="inlineStr">
        <is>
          <t>1</t>
        </is>
      </c>
      <c r="J1502" t="inlineStr">
        <is>
          <t>No</t>
        </is>
      </c>
      <c r="K1502" t="inlineStr">
        <is>
          <t>No</t>
        </is>
      </c>
      <c r="L1502" t="inlineStr">
        <is>
          <t>0</t>
        </is>
      </c>
      <c r="M1502" t="inlineStr">
        <is>
          <t>Wilson, Mona, 1872-1954.</t>
        </is>
      </c>
      <c r="N1502" t="inlineStr">
        <is>
          <t>London ; New York : Oxford University Press, 1971.</t>
        </is>
      </c>
      <c r="O1502" t="inlineStr">
        <is>
          <t>1971</t>
        </is>
      </c>
      <c r="P1502" t="inlineStr">
        <is>
          <t>3rd ed. / edited by Geoffrey Keynes.</t>
        </is>
      </c>
      <c r="Q1502" t="inlineStr">
        <is>
          <t>eng</t>
        </is>
      </c>
      <c r="R1502" t="inlineStr">
        <is>
          <t>enk</t>
        </is>
      </c>
      <c r="T1502" t="inlineStr">
        <is>
          <t xml:space="preserve">PR </t>
        </is>
      </c>
      <c r="U1502" t="n">
        <v>4</v>
      </c>
      <c r="V1502" t="n">
        <v>4</v>
      </c>
      <c r="W1502" t="inlineStr">
        <is>
          <t>1998-11-11</t>
        </is>
      </c>
      <c r="X1502" t="inlineStr">
        <is>
          <t>1998-11-11</t>
        </is>
      </c>
      <c r="Y1502" t="inlineStr">
        <is>
          <t>1993-03-25</t>
        </is>
      </c>
      <c r="Z1502" t="inlineStr">
        <is>
          <t>1993-03-25</t>
        </is>
      </c>
      <c r="AA1502" t="n">
        <v>706</v>
      </c>
      <c r="AB1502" t="n">
        <v>521</v>
      </c>
      <c r="AC1502" t="n">
        <v>1132</v>
      </c>
      <c r="AD1502" t="n">
        <v>6</v>
      </c>
      <c r="AE1502" t="n">
        <v>11</v>
      </c>
      <c r="AF1502" t="n">
        <v>22</v>
      </c>
      <c r="AG1502" t="n">
        <v>54</v>
      </c>
      <c r="AH1502" t="n">
        <v>7</v>
      </c>
      <c r="AI1502" t="n">
        <v>23</v>
      </c>
      <c r="AJ1502" t="n">
        <v>6</v>
      </c>
      <c r="AK1502" t="n">
        <v>11</v>
      </c>
      <c r="AL1502" t="n">
        <v>10</v>
      </c>
      <c r="AM1502" t="n">
        <v>24</v>
      </c>
      <c r="AN1502" t="n">
        <v>4</v>
      </c>
      <c r="AO1502" t="n">
        <v>8</v>
      </c>
      <c r="AP1502" t="n">
        <v>0</v>
      </c>
      <c r="AQ1502" t="n">
        <v>0</v>
      </c>
      <c r="AR1502" t="inlineStr">
        <is>
          <t>No</t>
        </is>
      </c>
      <c r="AS1502" t="inlineStr">
        <is>
          <t>Yes</t>
        </is>
      </c>
      <c r="AT1502">
        <f>HYPERLINK("http://catalog.hathitrust.org/Record/000002921","HathiTrust Record")</f>
        <v/>
      </c>
      <c r="AU1502">
        <f>HYPERLINK("https://creighton-primo.hosted.exlibrisgroup.com/primo-explore/search?tab=default_tab&amp;search_scope=EVERYTHING&amp;vid=01CRU&amp;lang=en_US&amp;offset=0&amp;query=any,contains,991001227499702656","Catalog Record")</f>
        <v/>
      </c>
      <c r="AV1502">
        <f>HYPERLINK("http://www.worldcat.org/oclc/200531","WorldCat Record")</f>
        <v/>
      </c>
      <c r="AW1502" t="inlineStr">
        <is>
          <t>1191726:eng</t>
        </is>
      </c>
      <c r="AX1502" t="inlineStr">
        <is>
          <t>200531</t>
        </is>
      </c>
      <c r="AY1502" t="inlineStr">
        <is>
          <t>991001227499702656</t>
        </is>
      </c>
      <c r="AZ1502" t="inlineStr">
        <is>
          <t>991001227499702656</t>
        </is>
      </c>
      <c r="BA1502" t="inlineStr">
        <is>
          <t>2257484620002656</t>
        </is>
      </c>
      <c r="BB1502" t="inlineStr">
        <is>
          <t>BOOK</t>
        </is>
      </c>
      <c r="BD1502" t="inlineStr">
        <is>
          <t>9780192117076</t>
        </is>
      </c>
      <c r="BE1502" t="inlineStr">
        <is>
          <t>32285001590693</t>
        </is>
      </c>
      <c r="BF1502" t="inlineStr">
        <is>
          <t>893878744</t>
        </is>
      </c>
    </row>
    <row r="1503">
      <c r="A1503" t="inlineStr">
        <is>
          <t>No</t>
        </is>
      </c>
      <c r="B1503" t="inlineStr">
        <is>
          <t>CURAL</t>
        </is>
      </c>
      <c r="C1503" t="inlineStr">
        <is>
          <t>SHELVES</t>
        </is>
      </c>
      <c r="D1503" t="inlineStr">
        <is>
          <t>PR4146.A2 B4</t>
        </is>
      </c>
      <c r="E1503" t="inlineStr">
        <is>
          <t>0                      PR 4146000A  2                  B  4</t>
        </is>
      </c>
      <c r="F1503" t="inlineStr">
        <is>
          <t>A Blake bibliography: annotated lists of works, studies, and Blakeana [by] G. E. Bentley, Jr., and Martin K. Nurmi.</t>
        </is>
      </c>
      <c r="H1503" t="inlineStr">
        <is>
          <t>No</t>
        </is>
      </c>
      <c r="I1503" t="inlineStr">
        <is>
          <t>1</t>
        </is>
      </c>
      <c r="J1503" t="inlineStr">
        <is>
          <t>No</t>
        </is>
      </c>
      <c r="K1503" t="inlineStr">
        <is>
          <t>No</t>
        </is>
      </c>
      <c r="L1503" t="inlineStr">
        <is>
          <t>0</t>
        </is>
      </c>
      <c r="M1503" t="inlineStr">
        <is>
          <t>Bentley, G. E., Jr. (Gerald Eades), 1930-2017.</t>
        </is>
      </c>
      <c r="N1503" t="inlineStr">
        <is>
          <t>Minneapolis, University of Minnesota Press [c1964]</t>
        </is>
      </c>
      <c r="O1503" t="inlineStr">
        <is>
          <t>1964</t>
        </is>
      </c>
      <c r="Q1503" t="inlineStr">
        <is>
          <t>eng</t>
        </is>
      </c>
      <c r="R1503" t="inlineStr">
        <is>
          <t>mnu</t>
        </is>
      </c>
      <c r="T1503" t="inlineStr">
        <is>
          <t xml:space="preserve">PR </t>
        </is>
      </c>
      <c r="U1503" t="n">
        <v>1</v>
      </c>
      <c r="V1503" t="n">
        <v>1</v>
      </c>
      <c r="W1503" t="inlineStr">
        <is>
          <t>2002-02-17</t>
        </is>
      </c>
      <c r="X1503" t="inlineStr">
        <is>
          <t>2002-02-17</t>
        </is>
      </c>
      <c r="Y1503" t="inlineStr">
        <is>
          <t>1997-06-20</t>
        </is>
      </c>
      <c r="Z1503" t="inlineStr">
        <is>
          <t>1997-06-20</t>
        </is>
      </c>
      <c r="AA1503" t="n">
        <v>663</v>
      </c>
      <c r="AB1503" t="n">
        <v>519</v>
      </c>
      <c r="AC1503" t="n">
        <v>924</v>
      </c>
      <c r="AD1503" t="n">
        <v>3</v>
      </c>
      <c r="AE1503" t="n">
        <v>6</v>
      </c>
      <c r="AF1503" t="n">
        <v>31</v>
      </c>
      <c r="AG1503" t="n">
        <v>48</v>
      </c>
      <c r="AH1503" t="n">
        <v>14</v>
      </c>
      <c r="AI1503" t="n">
        <v>21</v>
      </c>
      <c r="AJ1503" t="n">
        <v>7</v>
      </c>
      <c r="AK1503" t="n">
        <v>10</v>
      </c>
      <c r="AL1503" t="n">
        <v>18</v>
      </c>
      <c r="AM1503" t="n">
        <v>23</v>
      </c>
      <c r="AN1503" t="n">
        <v>2</v>
      </c>
      <c r="AO1503" t="n">
        <v>5</v>
      </c>
      <c r="AP1503" t="n">
        <v>0</v>
      </c>
      <c r="AQ1503" t="n">
        <v>1</v>
      </c>
      <c r="AR1503" t="inlineStr">
        <is>
          <t>No</t>
        </is>
      </c>
      <c r="AS1503" t="inlineStr">
        <is>
          <t>Yes</t>
        </is>
      </c>
      <c r="AT1503">
        <f>HYPERLINK("http://catalog.hathitrust.org/Record/000429588","HathiTrust Record")</f>
        <v/>
      </c>
      <c r="AU1503">
        <f>HYPERLINK("https://creighton-primo.hosted.exlibrisgroup.com/primo-explore/search?tab=default_tab&amp;search_scope=EVERYTHING&amp;vid=01CRU&amp;lang=en_US&amp;offset=0&amp;query=any,contains,991004218509702656","Catalog Record")</f>
        <v/>
      </c>
      <c r="AV1503">
        <f>HYPERLINK("http://www.worldcat.org/oclc/2704756","WorldCat Record")</f>
        <v/>
      </c>
      <c r="AW1503" t="inlineStr">
        <is>
          <t>2712483:eng</t>
        </is>
      </c>
      <c r="AX1503" t="inlineStr">
        <is>
          <t>2704756</t>
        </is>
      </c>
      <c r="AY1503" t="inlineStr">
        <is>
          <t>991004218509702656</t>
        </is>
      </c>
      <c r="AZ1503" t="inlineStr">
        <is>
          <t>991004218509702656</t>
        </is>
      </c>
      <c r="BA1503" t="inlineStr">
        <is>
          <t>2255928640002656</t>
        </is>
      </c>
      <c r="BB1503" t="inlineStr">
        <is>
          <t>BOOK</t>
        </is>
      </c>
      <c r="BE1503" t="inlineStr">
        <is>
          <t>32285002825338</t>
        </is>
      </c>
      <c r="BF1503" t="inlineStr">
        <is>
          <t>893500280</t>
        </is>
      </c>
    </row>
    <row r="1504">
      <c r="A1504" t="inlineStr">
        <is>
          <t>No</t>
        </is>
      </c>
      <c r="B1504" t="inlineStr">
        <is>
          <t>CURAL</t>
        </is>
      </c>
      <c r="C1504" t="inlineStr">
        <is>
          <t>SHELVES</t>
        </is>
      </c>
      <c r="D1504" t="inlineStr">
        <is>
          <t>PR4147 .B45 1990</t>
        </is>
      </c>
      <c r="E1504" t="inlineStr">
        <is>
          <t>0                      PR 4147000B  45          1990</t>
        </is>
      </c>
      <c r="F1504" t="inlineStr">
        <is>
          <t>Wheels of eternity : a comparative study of William Blake and William Butler Yeats / Rachel V. Billigheimer.</t>
        </is>
      </c>
      <c r="H1504" t="inlineStr">
        <is>
          <t>No</t>
        </is>
      </c>
      <c r="I1504" t="inlineStr">
        <is>
          <t>1</t>
        </is>
      </c>
      <c r="J1504" t="inlineStr">
        <is>
          <t>No</t>
        </is>
      </c>
      <c r="K1504" t="inlineStr">
        <is>
          <t>No</t>
        </is>
      </c>
      <c r="L1504" t="inlineStr">
        <is>
          <t>0</t>
        </is>
      </c>
      <c r="M1504" t="inlineStr">
        <is>
          <t>Billigheimer, Rachel V.</t>
        </is>
      </c>
      <c r="N1504" t="inlineStr">
        <is>
          <t>New York : St. Martin's Press, 1990.</t>
        </is>
      </c>
      <c r="O1504" t="inlineStr">
        <is>
          <t>1990</t>
        </is>
      </c>
      <c r="Q1504" t="inlineStr">
        <is>
          <t>eng</t>
        </is>
      </c>
      <c r="R1504" t="inlineStr">
        <is>
          <t>nyu</t>
        </is>
      </c>
      <c r="T1504" t="inlineStr">
        <is>
          <t xml:space="preserve">PR </t>
        </is>
      </c>
      <c r="U1504" t="n">
        <v>4</v>
      </c>
      <c r="V1504" t="n">
        <v>4</v>
      </c>
      <c r="W1504" t="inlineStr">
        <is>
          <t>1994-03-03</t>
        </is>
      </c>
      <c r="X1504" t="inlineStr">
        <is>
          <t>1994-03-03</t>
        </is>
      </c>
      <c r="Y1504" t="inlineStr">
        <is>
          <t>1990-06-18</t>
        </is>
      </c>
      <c r="Z1504" t="inlineStr">
        <is>
          <t>1990-06-18</t>
        </is>
      </c>
      <c r="AA1504" t="n">
        <v>215</v>
      </c>
      <c r="AB1504" t="n">
        <v>188</v>
      </c>
      <c r="AC1504" t="n">
        <v>237</v>
      </c>
      <c r="AD1504" t="n">
        <v>2</v>
      </c>
      <c r="AE1504" t="n">
        <v>3</v>
      </c>
      <c r="AF1504" t="n">
        <v>10</v>
      </c>
      <c r="AG1504" t="n">
        <v>14</v>
      </c>
      <c r="AH1504" t="n">
        <v>3</v>
      </c>
      <c r="AI1504" t="n">
        <v>3</v>
      </c>
      <c r="AJ1504" t="n">
        <v>3</v>
      </c>
      <c r="AK1504" t="n">
        <v>5</v>
      </c>
      <c r="AL1504" t="n">
        <v>6</v>
      </c>
      <c r="AM1504" t="n">
        <v>9</v>
      </c>
      <c r="AN1504" t="n">
        <v>1</v>
      </c>
      <c r="AO1504" t="n">
        <v>2</v>
      </c>
      <c r="AP1504" t="n">
        <v>0</v>
      </c>
      <c r="AQ1504" t="n">
        <v>0</v>
      </c>
      <c r="AR1504" t="inlineStr">
        <is>
          <t>No</t>
        </is>
      </c>
      <c r="AS1504" t="inlineStr">
        <is>
          <t>Yes</t>
        </is>
      </c>
      <c r="AT1504">
        <f>HYPERLINK("http://catalog.hathitrust.org/Record/002181000","HathiTrust Record")</f>
        <v/>
      </c>
      <c r="AU1504">
        <f>HYPERLINK("https://creighton-primo.hosted.exlibrisgroup.com/primo-explore/search?tab=default_tab&amp;search_scope=EVERYTHING&amp;vid=01CRU&amp;lang=en_US&amp;offset=0&amp;query=any,contains,991001550669702656","Catalog Record")</f>
        <v/>
      </c>
      <c r="AV1504">
        <f>HYPERLINK("http://www.worldcat.org/oclc/20219611","WorldCat Record")</f>
        <v/>
      </c>
      <c r="AW1504" t="inlineStr">
        <is>
          <t>21867799:eng</t>
        </is>
      </c>
      <c r="AX1504" t="inlineStr">
        <is>
          <t>20219611</t>
        </is>
      </c>
      <c r="AY1504" t="inlineStr">
        <is>
          <t>991001550669702656</t>
        </is>
      </c>
      <c r="AZ1504" t="inlineStr">
        <is>
          <t>991001550669702656</t>
        </is>
      </c>
      <c r="BA1504" t="inlineStr">
        <is>
          <t>2272257910002656</t>
        </is>
      </c>
      <c r="BB1504" t="inlineStr">
        <is>
          <t>BOOK</t>
        </is>
      </c>
      <c r="BD1504" t="inlineStr">
        <is>
          <t>9780312035631</t>
        </is>
      </c>
      <c r="BE1504" t="inlineStr">
        <is>
          <t>32285000177856</t>
        </is>
      </c>
      <c r="BF1504" t="inlineStr">
        <is>
          <t>893522626</t>
        </is>
      </c>
    </row>
    <row r="1505">
      <c r="A1505" t="inlineStr">
        <is>
          <t>No</t>
        </is>
      </c>
      <c r="B1505" t="inlineStr">
        <is>
          <t>CURAL</t>
        </is>
      </c>
      <c r="C1505" t="inlineStr">
        <is>
          <t>SHELVES</t>
        </is>
      </c>
      <c r="D1505" t="inlineStr">
        <is>
          <t>PR4147 .C6 1971</t>
        </is>
      </c>
      <c r="E1505" t="inlineStr">
        <is>
          <t>0                      PR 4147000C  6           1971</t>
        </is>
      </c>
      <c r="F1505" t="inlineStr">
        <is>
          <t>William Blake, 1757-1827, on the Lord's prayer.</t>
        </is>
      </c>
      <c r="H1505" t="inlineStr">
        <is>
          <t>No</t>
        </is>
      </c>
      <c r="I1505" t="inlineStr">
        <is>
          <t>1</t>
        </is>
      </c>
      <c r="J1505" t="inlineStr">
        <is>
          <t>No</t>
        </is>
      </c>
      <c r="K1505" t="inlineStr">
        <is>
          <t>No</t>
        </is>
      </c>
      <c r="L1505" t="inlineStr">
        <is>
          <t>0</t>
        </is>
      </c>
      <c r="M1505" t="inlineStr">
        <is>
          <t>Clarke, John Henry, 1852-1931.</t>
        </is>
      </c>
      <c r="N1505" t="inlineStr">
        <is>
          <t>New York : Haskell House, 1971.</t>
        </is>
      </c>
      <c r="O1505" t="inlineStr">
        <is>
          <t>1971</t>
        </is>
      </c>
      <c r="Q1505" t="inlineStr">
        <is>
          <t>eng</t>
        </is>
      </c>
      <c r="R1505" t="inlineStr">
        <is>
          <t>nyu</t>
        </is>
      </c>
      <c r="T1505" t="inlineStr">
        <is>
          <t xml:space="preserve">PR </t>
        </is>
      </c>
      <c r="U1505" t="n">
        <v>4</v>
      </c>
      <c r="V1505" t="n">
        <v>4</v>
      </c>
      <c r="W1505" t="inlineStr">
        <is>
          <t>1995-11-06</t>
        </is>
      </c>
      <c r="X1505" t="inlineStr">
        <is>
          <t>1995-11-06</t>
        </is>
      </c>
      <c r="Y1505" t="inlineStr">
        <is>
          <t>1991-11-13</t>
        </is>
      </c>
      <c r="Z1505" t="inlineStr">
        <is>
          <t>1991-11-13</t>
        </is>
      </c>
      <c r="AA1505" t="n">
        <v>133</v>
      </c>
      <c r="AB1505" t="n">
        <v>113</v>
      </c>
      <c r="AC1505" t="n">
        <v>160</v>
      </c>
      <c r="AD1505" t="n">
        <v>2</v>
      </c>
      <c r="AE1505" t="n">
        <v>2</v>
      </c>
      <c r="AF1505" t="n">
        <v>6</v>
      </c>
      <c r="AG1505" t="n">
        <v>8</v>
      </c>
      <c r="AH1505" t="n">
        <v>0</v>
      </c>
      <c r="AI1505" t="n">
        <v>0</v>
      </c>
      <c r="AJ1505" t="n">
        <v>2</v>
      </c>
      <c r="AK1505" t="n">
        <v>3</v>
      </c>
      <c r="AL1505" t="n">
        <v>4</v>
      </c>
      <c r="AM1505" t="n">
        <v>5</v>
      </c>
      <c r="AN1505" t="n">
        <v>1</v>
      </c>
      <c r="AO1505" t="n">
        <v>1</v>
      </c>
      <c r="AP1505" t="n">
        <v>0</v>
      </c>
      <c r="AQ1505" t="n">
        <v>0</v>
      </c>
      <c r="AR1505" t="inlineStr">
        <is>
          <t>No</t>
        </is>
      </c>
      <c r="AS1505" t="inlineStr">
        <is>
          <t>Yes</t>
        </is>
      </c>
      <c r="AT1505">
        <f>HYPERLINK("http://catalog.hathitrust.org/Record/009494650","HathiTrust Record")</f>
        <v/>
      </c>
      <c r="AU1505">
        <f>HYPERLINK("https://creighton-primo.hosted.exlibrisgroup.com/primo-explore/search?tab=default_tab&amp;search_scope=EVERYTHING&amp;vid=01CRU&amp;lang=en_US&amp;offset=0&amp;query=any,contains,991000818169702656","Catalog Record")</f>
        <v/>
      </c>
      <c r="AV1505">
        <f>HYPERLINK("http://www.worldcat.org/oclc/143622","WorldCat Record")</f>
        <v/>
      </c>
      <c r="AW1505" t="inlineStr">
        <is>
          <t>1315501:eng</t>
        </is>
      </c>
      <c r="AX1505" t="inlineStr">
        <is>
          <t>143622</t>
        </is>
      </c>
      <c r="AY1505" t="inlineStr">
        <is>
          <t>991000818169702656</t>
        </is>
      </c>
      <c r="AZ1505" t="inlineStr">
        <is>
          <t>991000818169702656</t>
        </is>
      </c>
      <c r="BA1505" t="inlineStr">
        <is>
          <t>2256597370002656</t>
        </is>
      </c>
      <c r="BB1505" t="inlineStr">
        <is>
          <t>BOOK</t>
        </is>
      </c>
      <c r="BD1505" t="inlineStr">
        <is>
          <t>9780838309674</t>
        </is>
      </c>
      <c r="BE1505" t="inlineStr">
        <is>
          <t>32285000823467</t>
        </is>
      </c>
      <c r="BF1505" t="inlineStr">
        <is>
          <t>893534319</t>
        </is>
      </c>
    </row>
    <row r="1506">
      <c r="A1506" t="inlineStr">
        <is>
          <t>No</t>
        </is>
      </c>
      <c r="B1506" t="inlineStr">
        <is>
          <t>CURAL</t>
        </is>
      </c>
      <c r="C1506" t="inlineStr">
        <is>
          <t>SHELVES</t>
        </is>
      </c>
      <c r="D1506" t="inlineStr">
        <is>
          <t>PR4147 .C8</t>
        </is>
      </c>
      <c r="E1506" t="inlineStr">
        <is>
          <t>0                      PR 4147000C  8</t>
        </is>
      </c>
      <c r="F1506" t="inlineStr">
        <is>
          <t>Blake's sublime allegory; essays on The four Zoas, Milton, Jerusalem. Edited by Stuart Curran and Joseph Anthony Wittreich, Jr.</t>
        </is>
      </c>
      <c r="H1506" t="inlineStr">
        <is>
          <t>No</t>
        </is>
      </c>
      <c r="I1506" t="inlineStr">
        <is>
          <t>1</t>
        </is>
      </c>
      <c r="J1506" t="inlineStr">
        <is>
          <t>No</t>
        </is>
      </c>
      <c r="K1506" t="inlineStr">
        <is>
          <t>No</t>
        </is>
      </c>
      <c r="L1506" t="inlineStr">
        <is>
          <t>0</t>
        </is>
      </c>
      <c r="M1506" t="inlineStr">
        <is>
          <t>Curran, Stuart.</t>
        </is>
      </c>
      <c r="N1506" t="inlineStr">
        <is>
          <t>[Madison] University of Wisconsin Press [1973]</t>
        </is>
      </c>
      <c r="O1506" t="inlineStr">
        <is>
          <t>1973</t>
        </is>
      </c>
      <c r="Q1506" t="inlineStr">
        <is>
          <t>eng</t>
        </is>
      </c>
      <c r="R1506" t="inlineStr">
        <is>
          <t>wiu</t>
        </is>
      </c>
      <c r="T1506" t="inlineStr">
        <is>
          <t xml:space="preserve">PR </t>
        </is>
      </c>
      <c r="U1506" t="n">
        <v>5</v>
      </c>
      <c r="V1506" t="n">
        <v>5</v>
      </c>
      <c r="W1506" t="inlineStr">
        <is>
          <t>2001-04-07</t>
        </is>
      </c>
      <c r="X1506" t="inlineStr">
        <is>
          <t>2001-04-07</t>
        </is>
      </c>
      <c r="Y1506" t="inlineStr">
        <is>
          <t>1997-06-20</t>
        </is>
      </c>
      <c r="Z1506" t="inlineStr">
        <is>
          <t>1997-06-20</t>
        </is>
      </c>
      <c r="AA1506" t="n">
        <v>1082</v>
      </c>
      <c r="AB1506" t="n">
        <v>891</v>
      </c>
      <c r="AC1506" t="n">
        <v>895</v>
      </c>
      <c r="AD1506" t="n">
        <v>10</v>
      </c>
      <c r="AE1506" t="n">
        <v>10</v>
      </c>
      <c r="AF1506" t="n">
        <v>49</v>
      </c>
      <c r="AG1506" t="n">
        <v>49</v>
      </c>
      <c r="AH1506" t="n">
        <v>22</v>
      </c>
      <c r="AI1506" t="n">
        <v>22</v>
      </c>
      <c r="AJ1506" t="n">
        <v>9</v>
      </c>
      <c r="AK1506" t="n">
        <v>9</v>
      </c>
      <c r="AL1506" t="n">
        <v>21</v>
      </c>
      <c r="AM1506" t="n">
        <v>21</v>
      </c>
      <c r="AN1506" t="n">
        <v>9</v>
      </c>
      <c r="AO1506" t="n">
        <v>9</v>
      </c>
      <c r="AP1506" t="n">
        <v>0</v>
      </c>
      <c r="AQ1506" t="n">
        <v>0</v>
      </c>
      <c r="AR1506" t="inlineStr">
        <is>
          <t>No</t>
        </is>
      </c>
      <c r="AS1506" t="inlineStr">
        <is>
          <t>Yes</t>
        </is>
      </c>
      <c r="AT1506">
        <f>HYPERLINK("http://catalog.hathitrust.org/Record/000429613","HathiTrust Record")</f>
        <v/>
      </c>
      <c r="AU1506">
        <f>HYPERLINK("https://creighton-primo.hosted.exlibrisgroup.com/primo-explore/search?tab=default_tab&amp;search_scope=EVERYTHING&amp;vid=01CRU&amp;lang=en_US&amp;offset=0&amp;query=any,contains,991003026729702656","Catalog Record")</f>
        <v/>
      </c>
      <c r="AV1506">
        <f>HYPERLINK("http://www.worldcat.org/oclc/590678","WorldCat Record")</f>
        <v/>
      </c>
      <c r="AW1506" t="inlineStr">
        <is>
          <t>889857582:eng</t>
        </is>
      </c>
      <c r="AX1506" t="inlineStr">
        <is>
          <t>590678</t>
        </is>
      </c>
      <c r="AY1506" t="inlineStr">
        <is>
          <t>991003026729702656</t>
        </is>
      </c>
      <c r="AZ1506" t="inlineStr">
        <is>
          <t>991003026729702656</t>
        </is>
      </c>
      <c r="BA1506" t="inlineStr">
        <is>
          <t>2262893280002656</t>
        </is>
      </c>
      <c r="BB1506" t="inlineStr">
        <is>
          <t>BOOK</t>
        </is>
      </c>
      <c r="BD1506" t="inlineStr">
        <is>
          <t>9780299061807</t>
        </is>
      </c>
      <c r="BE1506" t="inlineStr">
        <is>
          <t>32285002825528</t>
        </is>
      </c>
      <c r="BF1506" t="inlineStr">
        <is>
          <t>893233741</t>
        </is>
      </c>
    </row>
    <row r="1507">
      <c r="A1507" t="inlineStr">
        <is>
          <t>No</t>
        </is>
      </c>
      <c r="B1507" t="inlineStr">
        <is>
          <t>CURAL</t>
        </is>
      </c>
      <c r="C1507" t="inlineStr">
        <is>
          <t>SHELVES</t>
        </is>
      </c>
      <c r="D1507" t="inlineStr">
        <is>
          <t>PR4147 .E73</t>
        </is>
      </c>
      <c r="E1507" t="inlineStr">
        <is>
          <t>0                      PR 4147000E  73</t>
        </is>
      </c>
      <c r="F1507" t="inlineStr">
        <is>
          <t>Blake's visionary forms dramatic / edited by David V. Erdman and John E. Grant.</t>
        </is>
      </c>
      <c r="H1507" t="inlineStr">
        <is>
          <t>No</t>
        </is>
      </c>
      <c r="I1507" t="inlineStr">
        <is>
          <t>1</t>
        </is>
      </c>
      <c r="J1507" t="inlineStr">
        <is>
          <t>No</t>
        </is>
      </c>
      <c r="K1507" t="inlineStr">
        <is>
          <t>No</t>
        </is>
      </c>
      <c r="L1507" t="inlineStr">
        <is>
          <t>0</t>
        </is>
      </c>
      <c r="M1507" t="inlineStr">
        <is>
          <t>Erdman, David V.</t>
        </is>
      </c>
      <c r="N1507" t="inlineStr">
        <is>
          <t>Princeton, N.J. : Princeton University Press, 1970.</t>
        </is>
      </c>
      <c r="O1507" t="inlineStr">
        <is>
          <t>1970</t>
        </is>
      </c>
      <c r="Q1507" t="inlineStr">
        <is>
          <t>eng</t>
        </is>
      </c>
      <c r="R1507" t="inlineStr">
        <is>
          <t>nju</t>
        </is>
      </c>
      <c r="T1507" t="inlineStr">
        <is>
          <t xml:space="preserve">PR </t>
        </is>
      </c>
      <c r="U1507" t="n">
        <v>4</v>
      </c>
      <c r="V1507" t="n">
        <v>4</v>
      </c>
      <c r="W1507" t="inlineStr">
        <is>
          <t>1997-04-11</t>
        </is>
      </c>
      <c r="X1507" t="inlineStr">
        <is>
          <t>1997-04-11</t>
        </is>
      </c>
      <c r="Y1507" t="inlineStr">
        <is>
          <t>1995-03-23</t>
        </is>
      </c>
      <c r="Z1507" t="inlineStr">
        <is>
          <t>1995-03-23</t>
        </is>
      </c>
      <c r="AA1507" t="n">
        <v>1007</v>
      </c>
      <c r="AB1507" t="n">
        <v>833</v>
      </c>
      <c r="AC1507" t="n">
        <v>969</v>
      </c>
      <c r="AD1507" t="n">
        <v>11</v>
      </c>
      <c r="AE1507" t="n">
        <v>11</v>
      </c>
      <c r="AF1507" t="n">
        <v>47</v>
      </c>
      <c r="AG1507" t="n">
        <v>51</v>
      </c>
      <c r="AH1507" t="n">
        <v>18</v>
      </c>
      <c r="AI1507" t="n">
        <v>21</v>
      </c>
      <c r="AJ1507" t="n">
        <v>11</v>
      </c>
      <c r="AK1507" t="n">
        <v>11</v>
      </c>
      <c r="AL1507" t="n">
        <v>21</v>
      </c>
      <c r="AM1507" t="n">
        <v>22</v>
      </c>
      <c r="AN1507" t="n">
        <v>10</v>
      </c>
      <c r="AO1507" t="n">
        <v>10</v>
      </c>
      <c r="AP1507" t="n">
        <v>0</v>
      </c>
      <c r="AQ1507" t="n">
        <v>0</v>
      </c>
      <c r="AR1507" t="inlineStr">
        <is>
          <t>No</t>
        </is>
      </c>
      <c r="AS1507" t="inlineStr">
        <is>
          <t>No</t>
        </is>
      </c>
      <c r="AU1507">
        <f>HYPERLINK("https://creighton-primo.hosted.exlibrisgroup.com/primo-explore/search?tab=default_tab&amp;search_scope=EVERYTHING&amp;vid=01CRU&amp;lang=en_US&amp;offset=0&amp;query=any,contains,991000721259702656","Catalog Record")</f>
        <v/>
      </c>
      <c r="AV1507">
        <f>HYPERLINK("http://www.worldcat.org/oclc/127000","WorldCat Record")</f>
        <v/>
      </c>
      <c r="AW1507" t="inlineStr">
        <is>
          <t>347142101:eng</t>
        </is>
      </c>
      <c r="AX1507" t="inlineStr">
        <is>
          <t>127000</t>
        </is>
      </c>
      <c r="AY1507" t="inlineStr">
        <is>
          <t>991000721259702656</t>
        </is>
      </c>
      <c r="AZ1507" t="inlineStr">
        <is>
          <t>991000721259702656</t>
        </is>
      </c>
      <c r="BA1507" t="inlineStr">
        <is>
          <t>2261022630002656</t>
        </is>
      </c>
      <c r="BB1507" t="inlineStr">
        <is>
          <t>BOOK</t>
        </is>
      </c>
      <c r="BD1507" t="inlineStr">
        <is>
          <t>9780691061894</t>
        </is>
      </c>
      <c r="BE1507" t="inlineStr">
        <is>
          <t>32285002013240</t>
        </is>
      </c>
      <c r="BF1507" t="inlineStr">
        <is>
          <t>893419722</t>
        </is>
      </c>
    </row>
    <row r="1508">
      <c r="A1508" t="inlineStr">
        <is>
          <t>No</t>
        </is>
      </c>
      <c r="B1508" t="inlineStr">
        <is>
          <t>CURAL</t>
        </is>
      </c>
      <c r="C1508" t="inlineStr">
        <is>
          <t>SHELVES</t>
        </is>
      </c>
      <c r="D1508" t="inlineStr">
        <is>
          <t>PR4147 .F85 1988</t>
        </is>
      </c>
      <c r="E1508" t="inlineStr">
        <is>
          <t>0                      PR 4147000F  85          1988</t>
        </is>
      </c>
      <c r="F1508" t="inlineStr">
        <is>
          <t>Blake's heroic argument / David Fuller.</t>
        </is>
      </c>
      <c r="H1508" t="inlineStr">
        <is>
          <t>No</t>
        </is>
      </c>
      <c r="I1508" t="inlineStr">
        <is>
          <t>1</t>
        </is>
      </c>
      <c r="J1508" t="inlineStr">
        <is>
          <t>No</t>
        </is>
      </c>
      <c r="K1508" t="inlineStr">
        <is>
          <t>No</t>
        </is>
      </c>
      <c r="L1508" t="inlineStr">
        <is>
          <t>0</t>
        </is>
      </c>
      <c r="M1508" t="inlineStr">
        <is>
          <t>Fuller, David, 1947-</t>
        </is>
      </c>
      <c r="N1508" t="inlineStr">
        <is>
          <t>London ; New York : Croom Helm, c1988.</t>
        </is>
      </c>
      <c r="O1508" t="inlineStr">
        <is>
          <t>1987</t>
        </is>
      </c>
      <c r="Q1508" t="inlineStr">
        <is>
          <t>eng</t>
        </is>
      </c>
      <c r="R1508" t="inlineStr">
        <is>
          <t>enk</t>
        </is>
      </c>
      <c r="T1508" t="inlineStr">
        <is>
          <t xml:space="preserve">PR </t>
        </is>
      </c>
      <c r="U1508" t="n">
        <v>5</v>
      </c>
      <c r="V1508" t="n">
        <v>5</v>
      </c>
      <c r="W1508" t="inlineStr">
        <is>
          <t>2003-02-10</t>
        </is>
      </c>
      <c r="X1508" t="inlineStr">
        <is>
          <t>2003-02-10</t>
        </is>
      </c>
      <c r="Y1508" t="inlineStr">
        <is>
          <t>1991-11-13</t>
        </is>
      </c>
      <c r="Z1508" t="inlineStr">
        <is>
          <t>1991-11-13</t>
        </is>
      </c>
      <c r="AA1508" t="n">
        <v>294</v>
      </c>
      <c r="AB1508" t="n">
        <v>182</v>
      </c>
      <c r="AC1508" t="n">
        <v>229</v>
      </c>
      <c r="AD1508" t="n">
        <v>3</v>
      </c>
      <c r="AE1508" t="n">
        <v>3</v>
      </c>
      <c r="AF1508" t="n">
        <v>13</v>
      </c>
      <c r="AG1508" t="n">
        <v>13</v>
      </c>
      <c r="AH1508" t="n">
        <v>2</v>
      </c>
      <c r="AI1508" t="n">
        <v>2</v>
      </c>
      <c r="AJ1508" t="n">
        <v>5</v>
      </c>
      <c r="AK1508" t="n">
        <v>5</v>
      </c>
      <c r="AL1508" t="n">
        <v>9</v>
      </c>
      <c r="AM1508" t="n">
        <v>9</v>
      </c>
      <c r="AN1508" t="n">
        <v>2</v>
      </c>
      <c r="AO1508" t="n">
        <v>2</v>
      </c>
      <c r="AP1508" t="n">
        <v>0</v>
      </c>
      <c r="AQ1508" t="n">
        <v>0</v>
      </c>
      <c r="AR1508" t="inlineStr">
        <is>
          <t>No</t>
        </is>
      </c>
      <c r="AS1508" t="inlineStr">
        <is>
          <t>Yes</t>
        </is>
      </c>
      <c r="AT1508">
        <f>HYPERLINK("http://catalog.hathitrust.org/Record/000919839","HathiTrust Record")</f>
        <v/>
      </c>
      <c r="AU1508">
        <f>HYPERLINK("https://creighton-primo.hosted.exlibrisgroup.com/primo-explore/search?tab=default_tab&amp;search_scope=EVERYTHING&amp;vid=01CRU&amp;lang=en_US&amp;offset=0&amp;query=any,contains,991001105389702656","Catalog Record")</f>
        <v/>
      </c>
      <c r="AV1508">
        <f>HYPERLINK("http://www.worldcat.org/oclc/16404544","WorldCat Record")</f>
        <v/>
      </c>
      <c r="AW1508" t="inlineStr">
        <is>
          <t>11933559:eng</t>
        </is>
      </c>
      <c r="AX1508" t="inlineStr">
        <is>
          <t>16404544</t>
        </is>
      </c>
      <c r="AY1508" t="inlineStr">
        <is>
          <t>991001105389702656</t>
        </is>
      </c>
      <c r="AZ1508" t="inlineStr">
        <is>
          <t>991001105389702656</t>
        </is>
      </c>
      <c r="BA1508" t="inlineStr">
        <is>
          <t>2260890200002656</t>
        </is>
      </c>
      <c r="BB1508" t="inlineStr">
        <is>
          <t>BOOK</t>
        </is>
      </c>
      <c r="BD1508" t="inlineStr">
        <is>
          <t>9780709910602</t>
        </is>
      </c>
      <c r="BE1508" t="inlineStr">
        <is>
          <t>32285000823475</t>
        </is>
      </c>
      <c r="BF1508" t="inlineStr">
        <is>
          <t>893878621</t>
        </is>
      </c>
    </row>
    <row r="1509">
      <c r="A1509" t="inlineStr">
        <is>
          <t>No</t>
        </is>
      </c>
      <c r="B1509" t="inlineStr">
        <is>
          <t>CURAL</t>
        </is>
      </c>
      <c r="C1509" t="inlineStr">
        <is>
          <t>SHELVES</t>
        </is>
      </c>
      <c r="D1509" t="inlineStr">
        <is>
          <t>PR4147 .G5</t>
        </is>
      </c>
      <c r="E1509" t="inlineStr">
        <is>
          <t>0                      PR 4147000G  5</t>
        </is>
      </c>
      <c r="F1509" t="inlineStr">
        <is>
          <t>William Blake / by D. G. Gillham.</t>
        </is>
      </c>
      <c r="H1509" t="inlineStr">
        <is>
          <t>No</t>
        </is>
      </c>
      <c r="I1509" t="inlineStr">
        <is>
          <t>1</t>
        </is>
      </c>
      <c r="J1509" t="inlineStr">
        <is>
          <t>No</t>
        </is>
      </c>
      <c r="K1509" t="inlineStr">
        <is>
          <t>No</t>
        </is>
      </c>
      <c r="L1509" t="inlineStr">
        <is>
          <t>0</t>
        </is>
      </c>
      <c r="M1509" t="inlineStr">
        <is>
          <t>Gillham, D. G.</t>
        </is>
      </c>
      <c r="N1509" t="inlineStr">
        <is>
          <t>[London] : Cambridge University Press, 1973.</t>
        </is>
      </c>
      <c r="O1509" t="inlineStr">
        <is>
          <t>1973</t>
        </is>
      </c>
      <c r="Q1509" t="inlineStr">
        <is>
          <t>eng</t>
        </is>
      </c>
      <c r="R1509" t="inlineStr">
        <is>
          <t>enk</t>
        </is>
      </c>
      <c r="S1509" t="inlineStr">
        <is>
          <t>British authors, introductory critical studies</t>
        </is>
      </c>
      <c r="T1509" t="inlineStr">
        <is>
          <t xml:space="preserve">PR </t>
        </is>
      </c>
      <c r="U1509" t="n">
        <v>7</v>
      </c>
      <c r="V1509" t="n">
        <v>7</v>
      </c>
      <c r="W1509" t="inlineStr">
        <is>
          <t>2000-02-07</t>
        </is>
      </c>
      <c r="X1509" t="inlineStr">
        <is>
          <t>2000-02-07</t>
        </is>
      </c>
      <c r="Y1509" t="inlineStr">
        <is>
          <t>1992-03-20</t>
        </is>
      </c>
      <c r="Z1509" t="inlineStr">
        <is>
          <t>1992-03-20</t>
        </is>
      </c>
      <c r="AA1509" t="n">
        <v>852</v>
      </c>
      <c r="AB1509" t="n">
        <v>643</v>
      </c>
      <c r="AC1509" t="n">
        <v>648</v>
      </c>
      <c r="AD1509" t="n">
        <v>5</v>
      </c>
      <c r="AE1509" t="n">
        <v>5</v>
      </c>
      <c r="AF1509" t="n">
        <v>29</v>
      </c>
      <c r="AG1509" t="n">
        <v>29</v>
      </c>
      <c r="AH1509" t="n">
        <v>7</v>
      </c>
      <c r="AI1509" t="n">
        <v>7</v>
      </c>
      <c r="AJ1509" t="n">
        <v>8</v>
      </c>
      <c r="AK1509" t="n">
        <v>8</v>
      </c>
      <c r="AL1509" t="n">
        <v>17</v>
      </c>
      <c r="AM1509" t="n">
        <v>17</v>
      </c>
      <c r="AN1509" t="n">
        <v>4</v>
      </c>
      <c r="AO1509" t="n">
        <v>4</v>
      </c>
      <c r="AP1509" t="n">
        <v>0</v>
      </c>
      <c r="AQ1509" t="n">
        <v>0</v>
      </c>
      <c r="AR1509" t="inlineStr">
        <is>
          <t>No</t>
        </is>
      </c>
      <c r="AS1509" t="inlineStr">
        <is>
          <t>No</t>
        </is>
      </c>
      <c r="AU1509">
        <f>HYPERLINK("https://creighton-primo.hosted.exlibrisgroup.com/primo-explore/search?tab=default_tab&amp;search_scope=EVERYTHING&amp;vid=01CRU&amp;lang=en_US&amp;offset=0&amp;query=any,contains,991003019239702656","Catalog Record")</f>
        <v/>
      </c>
      <c r="AV1509">
        <f>HYPERLINK("http://www.worldcat.org/oclc/584003","WorldCat Record")</f>
        <v/>
      </c>
      <c r="AW1509" t="inlineStr">
        <is>
          <t>1739925:eng</t>
        </is>
      </c>
      <c r="AX1509" t="inlineStr">
        <is>
          <t>584003</t>
        </is>
      </c>
      <c r="AY1509" t="inlineStr">
        <is>
          <t>991003019239702656</t>
        </is>
      </c>
      <c r="AZ1509" t="inlineStr">
        <is>
          <t>991003019239702656</t>
        </is>
      </c>
      <c r="BA1509" t="inlineStr">
        <is>
          <t>2269078340002656</t>
        </is>
      </c>
      <c r="BB1509" t="inlineStr">
        <is>
          <t>BOOK</t>
        </is>
      </c>
      <c r="BD1509" t="inlineStr">
        <is>
          <t>9780521086806</t>
        </is>
      </c>
      <c r="BE1509" t="inlineStr">
        <is>
          <t>32285001025583</t>
        </is>
      </c>
      <c r="BF1509" t="inlineStr">
        <is>
          <t>893710967</t>
        </is>
      </c>
    </row>
    <row r="1510">
      <c r="A1510" t="inlineStr">
        <is>
          <t>No</t>
        </is>
      </c>
      <c r="B1510" t="inlineStr">
        <is>
          <t>CURAL</t>
        </is>
      </c>
      <c r="C1510" t="inlineStr">
        <is>
          <t>SHELVES</t>
        </is>
      </c>
      <c r="D1510" t="inlineStr">
        <is>
          <t>PR4147 .H6</t>
        </is>
      </c>
      <c r="E1510" t="inlineStr">
        <is>
          <t>0                      PR 4147000H  6</t>
        </is>
      </c>
      <c r="F1510" t="inlineStr">
        <is>
          <t>Blake, the lyric poetry.</t>
        </is>
      </c>
      <c r="H1510" t="inlineStr">
        <is>
          <t>No</t>
        </is>
      </c>
      <c r="I1510" t="inlineStr">
        <is>
          <t>1</t>
        </is>
      </c>
      <c r="J1510" t="inlineStr">
        <is>
          <t>No</t>
        </is>
      </c>
      <c r="K1510" t="inlineStr">
        <is>
          <t>No</t>
        </is>
      </c>
      <c r="L1510" t="inlineStr">
        <is>
          <t>0</t>
        </is>
      </c>
      <c r="M1510" t="inlineStr">
        <is>
          <t>Holloway, John, 1920-1999.</t>
        </is>
      </c>
      <c r="N1510" t="inlineStr">
        <is>
          <t>London : Edward Arnold, 1968.</t>
        </is>
      </c>
      <c r="O1510" t="inlineStr">
        <is>
          <t>1968</t>
        </is>
      </c>
      <c r="Q1510" t="inlineStr">
        <is>
          <t>eng</t>
        </is>
      </c>
      <c r="R1510" t="inlineStr">
        <is>
          <t>enk</t>
        </is>
      </c>
      <c r="S1510" t="inlineStr">
        <is>
          <t>Studies in English literature ; no. 34</t>
        </is>
      </c>
      <c r="T1510" t="inlineStr">
        <is>
          <t xml:space="preserve">PR </t>
        </is>
      </c>
      <c r="U1510" t="n">
        <v>1</v>
      </c>
      <c r="V1510" t="n">
        <v>1</v>
      </c>
      <c r="W1510" t="inlineStr">
        <is>
          <t>1993-05-04</t>
        </is>
      </c>
      <c r="X1510" t="inlineStr">
        <is>
          <t>1993-05-04</t>
        </is>
      </c>
      <c r="Y1510" t="inlineStr">
        <is>
          <t>1993-05-04</t>
        </is>
      </c>
      <c r="Z1510" t="inlineStr">
        <is>
          <t>1993-05-04</t>
        </is>
      </c>
      <c r="AA1510" t="n">
        <v>342</v>
      </c>
      <c r="AB1510" t="n">
        <v>158</v>
      </c>
      <c r="AC1510" t="n">
        <v>163</v>
      </c>
      <c r="AD1510" t="n">
        <v>2</v>
      </c>
      <c r="AE1510" t="n">
        <v>2</v>
      </c>
      <c r="AF1510" t="n">
        <v>6</v>
      </c>
      <c r="AG1510" t="n">
        <v>6</v>
      </c>
      <c r="AH1510" t="n">
        <v>1</v>
      </c>
      <c r="AI1510" t="n">
        <v>1</v>
      </c>
      <c r="AJ1510" t="n">
        <v>2</v>
      </c>
      <c r="AK1510" t="n">
        <v>2</v>
      </c>
      <c r="AL1510" t="n">
        <v>5</v>
      </c>
      <c r="AM1510" t="n">
        <v>5</v>
      </c>
      <c r="AN1510" t="n">
        <v>1</v>
      </c>
      <c r="AO1510" t="n">
        <v>1</v>
      </c>
      <c r="AP1510" t="n">
        <v>0</v>
      </c>
      <c r="AQ1510" t="n">
        <v>0</v>
      </c>
      <c r="AR1510" t="inlineStr">
        <is>
          <t>No</t>
        </is>
      </c>
      <c r="AS1510" t="inlineStr">
        <is>
          <t>No</t>
        </is>
      </c>
      <c r="AU1510">
        <f>HYPERLINK("https://creighton-primo.hosted.exlibrisgroup.com/primo-explore/search?tab=default_tab&amp;search_scope=EVERYTHING&amp;vid=01CRU&amp;lang=en_US&amp;offset=0&amp;query=any,contains,991000097509702656","Catalog Record")</f>
        <v/>
      </c>
      <c r="AV1510">
        <f>HYPERLINK("http://www.worldcat.org/oclc/42339","WorldCat Record")</f>
        <v/>
      </c>
      <c r="AW1510" t="inlineStr">
        <is>
          <t>4923903448:eng</t>
        </is>
      </c>
      <c r="AX1510" t="inlineStr">
        <is>
          <t>42339</t>
        </is>
      </c>
      <c r="AY1510" t="inlineStr">
        <is>
          <t>991000097509702656</t>
        </is>
      </c>
      <c r="AZ1510" t="inlineStr">
        <is>
          <t>991000097509702656</t>
        </is>
      </c>
      <c r="BA1510" t="inlineStr">
        <is>
          <t>2260347320002656</t>
        </is>
      </c>
      <c r="BB1510" t="inlineStr">
        <is>
          <t>BOOK</t>
        </is>
      </c>
      <c r="BD1510" t="inlineStr">
        <is>
          <t>9780713154191</t>
        </is>
      </c>
      <c r="BE1510" t="inlineStr">
        <is>
          <t>32285001581502</t>
        </is>
      </c>
      <c r="BF1510" t="inlineStr">
        <is>
          <t>893320801</t>
        </is>
      </c>
    </row>
    <row r="1511">
      <c r="A1511" t="inlineStr">
        <is>
          <t>No</t>
        </is>
      </c>
      <c r="B1511" t="inlineStr">
        <is>
          <t>CURAL</t>
        </is>
      </c>
      <c r="C1511" t="inlineStr">
        <is>
          <t>SHELVES</t>
        </is>
      </c>
      <c r="D1511" t="inlineStr">
        <is>
          <t>PR4147 .K6 1966</t>
        </is>
      </c>
      <c r="E1511" t="inlineStr">
        <is>
          <t>0                      PR 4147000K  6           1966</t>
        </is>
      </c>
      <c r="F1511" t="inlineStr">
        <is>
          <t>Mysticism in Blake and Wordsworth.</t>
        </is>
      </c>
      <c r="H1511" t="inlineStr">
        <is>
          <t>No</t>
        </is>
      </c>
      <c r="I1511" t="inlineStr">
        <is>
          <t>1</t>
        </is>
      </c>
      <c r="J1511" t="inlineStr">
        <is>
          <t>No</t>
        </is>
      </c>
      <c r="K1511" t="inlineStr">
        <is>
          <t>No</t>
        </is>
      </c>
      <c r="L1511" t="inlineStr">
        <is>
          <t>0</t>
        </is>
      </c>
      <c r="M1511" t="inlineStr">
        <is>
          <t>Korteling, Jacomina, 1892-</t>
        </is>
      </c>
      <c r="N1511" t="inlineStr">
        <is>
          <t>New York : Haskell House, 1966.</t>
        </is>
      </c>
      <c r="O1511" t="inlineStr">
        <is>
          <t>1966</t>
        </is>
      </c>
      <c r="Q1511" t="inlineStr">
        <is>
          <t>eng</t>
        </is>
      </c>
      <c r="R1511" t="inlineStr">
        <is>
          <t>nyu</t>
        </is>
      </c>
      <c r="T1511" t="inlineStr">
        <is>
          <t xml:space="preserve">PR </t>
        </is>
      </c>
      <c r="U1511" t="n">
        <v>5</v>
      </c>
      <c r="V1511" t="n">
        <v>5</v>
      </c>
      <c r="W1511" t="inlineStr">
        <is>
          <t>2005-02-22</t>
        </is>
      </c>
      <c r="X1511" t="inlineStr">
        <is>
          <t>2005-02-22</t>
        </is>
      </c>
      <c r="Y1511" t="inlineStr">
        <is>
          <t>1993-03-01</t>
        </is>
      </c>
      <c r="Z1511" t="inlineStr">
        <is>
          <t>1993-03-01</t>
        </is>
      </c>
      <c r="AA1511" t="n">
        <v>284</v>
      </c>
      <c r="AB1511" t="n">
        <v>251</v>
      </c>
      <c r="AC1511" t="n">
        <v>295</v>
      </c>
      <c r="AD1511" t="n">
        <v>4</v>
      </c>
      <c r="AE1511" t="n">
        <v>5</v>
      </c>
      <c r="AF1511" t="n">
        <v>10</v>
      </c>
      <c r="AG1511" t="n">
        <v>15</v>
      </c>
      <c r="AH1511" t="n">
        <v>3</v>
      </c>
      <c r="AI1511" t="n">
        <v>4</v>
      </c>
      <c r="AJ1511" t="n">
        <v>2</v>
      </c>
      <c r="AK1511" t="n">
        <v>3</v>
      </c>
      <c r="AL1511" t="n">
        <v>4</v>
      </c>
      <c r="AM1511" t="n">
        <v>8</v>
      </c>
      <c r="AN1511" t="n">
        <v>3</v>
      </c>
      <c r="AO1511" t="n">
        <v>4</v>
      </c>
      <c r="AP1511" t="n">
        <v>0</v>
      </c>
      <c r="AQ1511" t="n">
        <v>0</v>
      </c>
      <c r="AR1511" t="inlineStr">
        <is>
          <t>No</t>
        </is>
      </c>
      <c r="AS1511" t="inlineStr">
        <is>
          <t>Yes</t>
        </is>
      </c>
      <c r="AT1511">
        <f>HYPERLINK("http://catalog.hathitrust.org/Record/008322957","HathiTrust Record")</f>
        <v/>
      </c>
      <c r="AU1511">
        <f>HYPERLINK("https://creighton-primo.hosted.exlibrisgroup.com/primo-explore/search?tab=default_tab&amp;search_scope=EVERYTHING&amp;vid=01CRU&amp;lang=en_US&amp;offset=0&amp;query=any,contains,991002763459702656","Catalog Record")</f>
        <v/>
      </c>
      <c r="AV1511">
        <f>HYPERLINK("http://www.worldcat.org/oclc/430900","WorldCat Record")</f>
        <v/>
      </c>
      <c r="AW1511" t="inlineStr">
        <is>
          <t>1535117:eng</t>
        </is>
      </c>
      <c r="AX1511" t="inlineStr">
        <is>
          <t>430900</t>
        </is>
      </c>
      <c r="AY1511" t="inlineStr">
        <is>
          <t>991002763459702656</t>
        </is>
      </c>
      <c r="AZ1511" t="inlineStr">
        <is>
          <t>991002763459702656</t>
        </is>
      </c>
      <c r="BA1511" t="inlineStr">
        <is>
          <t>2271509540002656</t>
        </is>
      </c>
      <c r="BB1511" t="inlineStr">
        <is>
          <t>BOOK</t>
        </is>
      </c>
      <c r="BE1511" t="inlineStr">
        <is>
          <t>32285001541530</t>
        </is>
      </c>
      <c r="BF1511" t="inlineStr">
        <is>
          <t>893335683</t>
        </is>
      </c>
    </row>
    <row r="1512">
      <c r="A1512" t="inlineStr">
        <is>
          <t>No</t>
        </is>
      </c>
      <c r="B1512" t="inlineStr">
        <is>
          <t>CURAL</t>
        </is>
      </c>
      <c r="C1512" t="inlineStr">
        <is>
          <t>SHELVES</t>
        </is>
      </c>
      <c r="D1512" t="inlineStr">
        <is>
          <t>PR4147 .M4 1974</t>
        </is>
      </c>
      <c r="E1512" t="inlineStr">
        <is>
          <t>0                      PR 4147000M  4           1974</t>
        </is>
      </c>
      <c r="F1512" t="inlineStr">
        <is>
          <t>Blake's human form divine / Anne Kostelanetz Mellor.</t>
        </is>
      </c>
      <c r="H1512" t="inlineStr">
        <is>
          <t>No</t>
        </is>
      </c>
      <c r="I1512" t="inlineStr">
        <is>
          <t>1</t>
        </is>
      </c>
      <c r="J1512" t="inlineStr">
        <is>
          <t>No</t>
        </is>
      </c>
      <c r="K1512" t="inlineStr">
        <is>
          <t>No</t>
        </is>
      </c>
      <c r="L1512" t="inlineStr">
        <is>
          <t>0</t>
        </is>
      </c>
      <c r="M1512" t="inlineStr">
        <is>
          <t>Mellor, Anne Kostelanetz.</t>
        </is>
      </c>
      <c r="N1512" t="inlineStr">
        <is>
          <t>Berkeley : University of California Press, [1974]</t>
        </is>
      </c>
      <c r="O1512" t="inlineStr">
        <is>
          <t>1974</t>
        </is>
      </c>
      <c r="Q1512" t="inlineStr">
        <is>
          <t>eng</t>
        </is>
      </c>
      <c r="R1512" t="inlineStr">
        <is>
          <t>cau</t>
        </is>
      </c>
      <c r="T1512" t="inlineStr">
        <is>
          <t xml:space="preserve">PR </t>
        </is>
      </c>
      <c r="U1512" t="n">
        <v>6</v>
      </c>
      <c r="V1512" t="n">
        <v>6</v>
      </c>
      <c r="W1512" t="inlineStr">
        <is>
          <t>2002-03-08</t>
        </is>
      </c>
      <c r="X1512" t="inlineStr">
        <is>
          <t>2002-03-08</t>
        </is>
      </c>
      <c r="Y1512" t="inlineStr">
        <is>
          <t>1991-11-13</t>
        </is>
      </c>
      <c r="Z1512" t="inlineStr">
        <is>
          <t>1991-11-13</t>
        </is>
      </c>
      <c r="AA1512" t="n">
        <v>842</v>
      </c>
      <c r="AB1512" t="n">
        <v>669</v>
      </c>
      <c r="AC1512" t="n">
        <v>674</v>
      </c>
      <c r="AD1512" t="n">
        <v>8</v>
      </c>
      <c r="AE1512" t="n">
        <v>8</v>
      </c>
      <c r="AF1512" t="n">
        <v>34</v>
      </c>
      <c r="AG1512" t="n">
        <v>34</v>
      </c>
      <c r="AH1512" t="n">
        <v>11</v>
      </c>
      <c r="AI1512" t="n">
        <v>11</v>
      </c>
      <c r="AJ1512" t="n">
        <v>9</v>
      </c>
      <c r="AK1512" t="n">
        <v>9</v>
      </c>
      <c r="AL1512" t="n">
        <v>19</v>
      </c>
      <c r="AM1512" t="n">
        <v>19</v>
      </c>
      <c r="AN1512" t="n">
        <v>6</v>
      </c>
      <c r="AO1512" t="n">
        <v>6</v>
      </c>
      <c r="AP1512" t="n">
        <v>0</v>
      </c>
      <c r="AQ1512" t="n">
        <v>0</v>
      </c>
      <c r="AR1512" t="inlineStr">
        <is>
          <t>No</t>
        </is>
      </c>
      <c r="AS1512" t="inlineStr">
        <is>
          <t>No</t>
        </is>
      </c>
      <c r="AU1512">
        <f>HYPERLINK("https://creighton-primo.hosted.exlibrisgroup.com/primo-explore/search?tab=default_tab&amp;search_scope=EVERYTHING&amp;vid=01CRU&amp;lang=en_US&amp;offset=0&amp;query=any,contains,991003366409702656","Catalog Record")</f>
        <v/>
      </c>
      <c r="AV1512">
        <f>HYPERLINK("http://www.worldcat.org/oclc/902333","WorldCat Record")</f>
        <v/>
      </c>
      <c r="AW1512" t="inlineStr">
        <is>
          <t>500598:eng</t>
        </is>
      </c>
      <c r="AX1512" t="inlineStr">
        <is>
          <t>902333</t>
        </is>
      </c>
      <c r="AY1512" t="inlineStr">
        <is>
          <t>991003366409702656</t>
        </is>
      </c>
      <c r="AZ1512" t="inlineStr">
        <is>
          <t>991003366409702656</t>
        </is>
      </c>
      <c r="BA1512" t="inlineStr">
        <is>
          <t>2262564960002656</t>
        </is>
      </c>
      <c r="BB1512" t="inlineStr">
        <is>
          <t>BOOK</t>
        </is>
      </c>
      <c r="BD1512" t="inlineStr">
        <is>
          <t>9780520020658</t>
        </is>
      </c>
      <c r="BE1512" t="inlineStr">
        <is>
          <t>32285000823483</t>
        </is>
      </c>
      <c r="BF1512" t="inlineStr">
        <is>
          <t>893799653</t>
        </is>
      </c>
    </row>
    <row r="1513">
      <c r="A1513" t="inlineStr">
        <is>
          <t>No</t>
        </is>
      </c>
      <c r="B1513" t="inlineStr">
        <is>
          <t>CURAL</t>
        </is>
      </c>
      <c r="C1513" t="inlineStr">
        <is>
          <t>SHELVES</t>
        </is>
      </c>
      <c r="D1513" t="inlineStr">
        <is>
          <t>PR4147 .N37 1982</t>
        </is>
      </c>
      <c r="E1513" t="inlineStr">
        <is>
          <t>0                      PR 4147000N  37          1982</t>
        </is>
      </c>
      <c r="F1513" t="inlineStr">
        <is>
          <t>Twentieth-century Blake criticism : Northrop Frye to the present / Joseph P. Natoli.</t>
        </is>
      </c>
      <c r="H1513" t="inlineStr">
        <is>
          <t>No</t>
        </is>
      </c>
      <c r="I1513" t="inlineStr">
        <is>
          <t>1</t>
        </is>
      </c>
      <c r="J1513" t="inlineStr">
        <is>
          <t>No</t>
        </is>
      </c>
      <c r="K1513" t="inlineStr">
        <is>
          <t>No</t>
        </is>
      </c>
      <c r="L1513" t="inlineStr">
        <is>
          <t>0</t>
        </is>
      </c>
      <c r="M1513" t="inlineStr">
        <is>
          <t>Natoli, Joseph P., 1943-</t>
        </is>
      </c>
      <c r="N1513" t="inlineStr">
        <is>
          <t>New York : Garland Pub., 1982.</t>
        </is>
      </c>
      <c r="O1513" t="inlineStr">
        <is>
          <t>1982</t>
        </is>
      </c>
      <c r="Q1513" t="inlineStr">
        <is>
          <t>eng</t>
        </is>
      </c>
      <c r="R1513" t="inlineStr">
        <is>
          <t>nyu</t>
        </is>
      </c>
      <c r="S1513" t="inlineStr">
        <is>
          <t>Garland reference library of the humanities ; v. 285</t>
        </is>
      </c>
      <c r="T1513" t="inlineStr">
        <is>
          <t xml:space="preserve">PR </t>
        </is>
      </c>
      <c r="U1513" t="n">
        <v>7</v>
      </c>
      <c r="V1513" t="n">
        <v>7</v>
      </c>
      <c r="W1513" t="inlineStr">
        <is>
          <t>1997-11-24</t>
        </is>
      </c>
      <c r="X1513" t="inlineStr">
        <is>
          <t>1997-11-24</t>
        </is>
      </c>
      <c r="Y1513" t="inlineStr">
        <is>
          <t>1991-11-13</t>
        </is>
      </c>
      <c r="Z1513" t="inlineStr">
        <is>
          <t>1991-11-13</t>
        </is>
      </c>
      <c r="AA1513" t="n">
        <v>397</v>
      </c>
      <c r="AB1513" t="n">
        <v>305</v>
      </c>
      <c r="AC1513" t="n">
        <v>345</v>
      </c>
      <c r="AD1513" t="n">
        <v>3</v>
      </c>
      <c r="AE1513" t="n">
        <v>3</v>
      </c>
      <c r="AF1513" t="n">
        <v>17</v>
      </c>
      <c r="AG1513" t="n">
        <v>17</v>
      </c>
      <c r="AH1513" t="n">
        <v>4</v>
      </c>
      <c r="AI1513" t="n">
        <v>4</v>
      </c>
      <c r="AJ1513" t="n">
        <v>5</v>
      </c>
      <c r="AK1513" t="n">
        <v>5</v>
      </c>
      <c r="AL1513" t="n">
        <v>11</v>
      </c>
      <c r="AM1513" t="n">
        <v>11</v>
      </c>
      <c r="AN1513" t="n">
        <v>2</v>
      </c>
      <c r="AO1513" t="n">
        <v>2</v>
      </c>
      <c r="AP1513" t="n">
        <v>0</v>
      </c>
      <c r="AQ1513" t="n">
        <v>0</v>
      </c>
      <c r="AR1513" t="inlineStr">
        <is>
          <t>No</t>
        </is>
      </c>
      <c r="AS1513" t="inlineStr">
        <is>
          <t>Yes</t>
        </is>
      </c>
      <c r="AT1513">
        <f>HYPERLINK("http://catalog.hathitrust.org/Record/000309114","HathiTrust Record")</f>
        <v/>
      </c>
      <c r="AU1513">
        <f>HYPERLINK("https://creighton-primo.hosted.exlibrisgroup.com/primo-explore/search?tab=default_tab&amp;search_scope=EVERYTHING&amp;vid=01CRU&amp;lang=en_US&amp;offset=0&amp;query=any,contains,991000055039702656","Catalog Record")</f>
        <v/>
      </c>
      <c r="AV1513">
        <f>HYPERLINK("http://www.worldcat.org/oclc/8708577","WorldCat Record")</f>
        <v/>
      </c>
      <c r="AW1513" t="inlineStr">
        <is>
          <t>345999930:eng</t>
        </is>
      </c>
      <c r="AX1513" t="inlineStr">
        <is>
          <t>8708577</t>
        </is>
      </c>
      <c r="AY1513" t="inlineStr">
        <is>
          <t>991000055039702656</t>
        </is>
      </c>
      <c r="AZ1513" t="inlineStr">
        <is>
          <t>991000055039702656</t>
        </is>
      </c>
      <c r="BA1513" t="inlineStr">
        <is>
          <t>2255551470002656</t>
        </is>
      </c>
      <c r="BB1513" t="inlineStr">
        <is>
          <t>BOOK</t>
        </is>
      </c>
      <c r="BD1513" t="inlineStr">
        <is>
          <t>9780824093266</t>
        </is>
      </c>
      <c r="BE1513" t="inlineStr">
        <is>
          <t>32285000823491</t>
        </is>
      </c>
      <c r="BF1513" t="inlineStr">
        <is>
          <t>893877753</t>
        </is>
      </c>
    </row>
    <row r="1514">
      <c r="A1514" t="inlineStr">
        <is>
          <t>No</t>
        </is>
      </c>
      <c r="B1514" t="inlineStr">
        <is>
          <t>CURAL</t>
        </is>
      </c>
      <c r="C1514" t="inlineStr">
        <is>
          <t>SHELVES</t>
        </is>
      </c>
      <c r="D1514" t="inlineStr">
        <is>
          <t>PR4147 .P25 1996</t>
        </is>
      </c>
      <c r="E1514" t="inlineStr">
        <is>
          <t>0                      PR 4147000P  25          1996</t>
        </is>
      </c>
      <c r="F1514" t="inlineStr">
        <is>
          <t>William Blake / by Victor N. Paananen.</t>
        </is>
      </c>
      <c r="H1514" t="inlineStr">
        <is>
          <t>No</t>
        </is>
      </c>
      <c r="I1514" t="inlineStr">
        <is>
          <t>1</t>
        </is>
      </c>
      <c r="J1514" t="inlineStr">
        <is>
          <t>No</t>
        </is>
      </c>
      <c r="K1514" t="inlineStr">
        <is>
          <t>Yes</t>
        </is>
      </c>
      <c r="L1514" t="inlineStr">
        <is>
          <t>0</t>
        </is>
      </c>
      <c r="M1514" t="inlineStr">
        <is>
          <t>Paananen, Victor N.</t>
        </is>
      </c>
      <c r="N1514" t="inlineStr">
        <is>
          <t>New York : Twayne Publishers, 1996.</t>
        </is>
      </c>
      <c r="O1514" t="inlineStr">
        <is>
          <t>1996</t>
        </is>
      </c>
      <c r="P1514" t="inlineStr">
        <is>
          <t>Updated ed.</t>
        </is>
      </c>
      <c r="Q1514" t="inlineStr">
        <is>
          <t>eng</t>
        </is>
      </c>
      <c r="R1514" t="inlineStr">
        <is>
          <t>nyu</t>
        </is>
      </c>
      <c r="S1514" t="inlineStr">
        <is>
          <t>Twayne's English authors series ; 202</t>
        </is>
      </c>
      <c r="T1514" t="inlineStr">
        <is>
          <t xml:space="preserve">PR </t>
        </is>
      </c>
      <c r="U1514" t="n">
        <v>5</v>
      </c>
      <c r="V1514" t="n">
        <v>5</v>
      </c>
      <c r="W1514" t="inlineStr">
        <is>
          <t>2001-02-06</t>
        </is>
      </c>
      <c r="X1514" t="inlineStr">
        <is>
          <t>2001-02-06</t>
        </is>
      </c>
      <c r="Y1514" t="inlineStr">
        <is>
          <t>1996-04-04</t>
        </is>
      </c>
      <c r="Z1514" t="inlineStr">
        <is>
          <t>1996-04-04</t>
        </is>
      </c>
      <c r="AA1514" t="n">
        <v>536</v>
      </c>
      <c r="AB1514" t="n">
        <v>503</v>
      </c>
      <c r="AC1514" t="n">
        <v>1377</v>
      </c>
      <c r="AD1514" t="n">
        <v>5</v>
      </c>
      <c r="AE1514" t="n">
        <v>8</v>
      </c>
      <c r="AF1514" t="n">
        <v>20</v>
      </c>
      <c r="AG1514" t="n">
        <v>42</v>
      </c>
      <c r="AH1514" t="n">
        <v>7</v>
      </c>
      <c r="AI1514" t="n">
        <v>18</v>
      </c>
      <c r="AJ1514" t="n">
        <v>2</v>
      </c>
      <c r="AK1514" t="n">
        <v>9</v>
      </c>
      <c r="AL1514" t="n">
        <v>11</v>
      </c>
      <c r="AM1514" t="n">
        <v>20</v>
      </c>
      <c r="AN1514" t="n">
        <v>4</v>
      </c>
      <c r="AO1514" t="n">
        <v>6</v>
      </c>
      <c r="AP1514" t="n">
        <v>0</v>
      </c>
      <c r="AQ1514" t="n">
        <v>0</v>
      </c>
      <c r="AR1514" t="inlineStr">
        <is>
          <t>No</t>
        </is>
      </c>
      <c r="AS1514" t="inlineStr">
        <is>
          <t>Yes</t>
        </is>
      </c>
      <c r="AT1514">
        <f>HYPERLINK("http://catalog.hathitrust.org/Record/003049282","HathiTrust Record")</f>
        <v/>
      </c>
      <c r="AU1514">
        <f>HYPERLINK("https://creighton-primo.hosted.exlibrisgroup.com/primo-explore/search?tab=default_tab&amp;search_scope=EVERYTHING&amp;vid=01CRU&amp;lang=en_US&amp;offset=0&amp;query=any,contains,991002555439702656","Catalog Record")</f>
        <v/>
      </c>
      <c r="AV1514">
        <f>HYPERLINK("http://www.worldcat.org/oclc/33209674","WorldCat Record")</f>
        <v/>
      </c>
      <c r="AW1514" t="inlineStr">
        <is>
          <t>4160239369:eng</t>
        </is>
      </c>
      <c r="AX1514" t="inlineStr">
        <is>
          <t>33209674</t>
        </is>
      </c>
      <c r="AY1514" t="inlineStr">
        <is>
          <t>991002555439702656</t>
        </is>
      </c>
      <c r="AZ1514" t="inlineStr">
        <is>
          <t>991002555439702656</t>
        </is>
      </c>
      <c r="BA1514" t="inlineStr">
        <is>
          <t>2262322050002656</t>
        </is>
      </c>
      <c r="BB1514" t="inlineStr">
        <is>
          <t>BOOK</t>
        </is>
      </c>
      <c r="BD1514" t="inlineStr">
        <is>
          <t>9780805770537</t>
        </is>
      </c>
      <c r="BE1514" t="inlineStr">
        <is>
          <t>32285002150455</t>
        </is>
      </c>
      <c r="BF1514" t="inlineStr">
        <is>
          <t>893710429</t>
        </is>
      </c>
    </row>
    <row r="1515">
      <c r="A1515" t="inlineStr">
        <is>
          <t>No</t>
        </is>
      </c>
      <c r="B1515" t="inlineStr">
        <is>
          <t>CURAL</t>
        </is>
      </c>
      <c r="C1515" t="inlineStr">
        <is>
          <t>SHELVES</t>
        </is>
      </c>
      <c r="D1515" t="inlineStr">
        <is>
          <t>PR4147 .P3</t>
        </is>
      </c>
      <c r="E1515" t="inlineStr">
        <is>
          <t>0                      PR 4147000P  3</t>
        </is>
      </c>
      <c r="F1515" t="inlineStr">
        <is>
          <t>Energy and the imagination : a study of the development of Blake's thought / by Morton D. Paley.</t>
        </is>
      </c>
      <c r="H1515" t="inlineStr">
        <is>
          <t>No</t>
        </is>
      </c>
      <c r="I1515" t="inlineStr">
        <is>
          <t>1</t>
        </is>
      </c>
      <c r="J1515" t="inlineStr">
        <is>
          <t>No</t>
        </is>
      </c>
      <c r="K1515" t="inlineStr">
        <is>
          <t>No</t>
        </is>
      </c>
      <c r="L1515" t="inlineStr">
        <is>
          <t>0</t>
        </is>
      </c>
      <c r="M1515" t="inlineStr">
        <is>
          <t>Paley, Morton D.</t>
        </is>
      </c>
      <c r="N1515" t="inlineStr">
        <is>
          <t>Oxford : Clarendon P., 1970.</t>
        </is>
      </c>
      <c r="O1515" t="inlineStr">
        <is>
          <t>1970</t>
        </is>
      </c>
      <c r="Q1515" t="inlineStr">
        <is>
          <t>eng</t>
        </is>
      </c>
      <c r="R1515" t="inlineStr">
        <is>
          <t>enk</t>
        </is>
      </c>
      <c r="T1515" t="inlineStr">
        <is>
          <t xml:space="preserve">PR </t>
        </is>
      </c>
      <c r="U1515" t="n">
        <v>7</v>
      </c>
      <c r="V1515" t="n">
        <v>7</v>
      </c>
      <c r="W1515" t="inlineStr">
        <is>
          <t>2001-04-07</t>
        </is>
      </c>
      <c r="X1515" t="inlineStr">
        <is>
          <t>2001-04-07</t>
        </is>
      </c>
      <c r="Y1515" t="inlineStr">
        <is>
          <t>1993-03-03</t>
        </is>
      </c>
      <c r="Z1515" t="inlineStr">
        <is>
          <t>1993-03-03</t>
        </is>
      </c>
      <c r="AA1515" t="n">
        <v>839</v>
      </c>
      <c r="AB1515" t="n">
        <v>624</v>
      </c>
      <c r="AC1515" t="n">
        <v>629</v>
      </c>
      <c r="AD1515" t="n">
        <v>7</v>
      </c>
      <c r="AE1515" t="n">
        <v>7</v>
      </c>
      <c r="AF1515" t="n">
        <v>31</v>
      </c>
      <c r="AG1515" t="n">
        <v>31</v>
      </c>
      <c r="AH1515" t="n">
        <v>11</v>
      </c>
      <c r="AI1515" t="n">
        <v>11</v>
      </c>
      <c r="AJ1515" t="n">
        <v>7</v>
      </c>
      <c r="AK1515" t="n">
        <v>7</v>
      </c>
      <c r="AL1515" t="n">
        <v>15</v>
      </c>
      <c r="AM1515" t="n">
        <v>15</v>
      </c>
      <c r="AN1515" t="n">
        <v>6</v>
      </c>
      <c r="AO1515" t="n">
        <v>6</v>
      </c>
      <c r="AP1515" t="n">
        <v>0</v>
      </c>
      <c r="AQ1515" t="n">
        <v>0</v>
      </c>
      <c r="AR1515" t="inlineStr">
        <is>
          <t>No</t>
        </is>
      </c>
      <c r="AS1515" t="inlineStr">
        <is>
          <t>Yes</t>
        </is>
      </c>
      <c r="AT1515">
        <f>HYPERLINK("http://catalog.hathitrust.org/Record/000429971","HathiTrust Record")</f>
        <v/>
      </c>
      <c r="AU1515">
        <f>HYPERLINK("https://creighton-primo.hosted.exlibrisgroup.com/primo-explore/search?tab=default_tab&amp;search_scope=EVERYTHING&amp;vid=01CRU&amp;lang=en_US&amp;offset=0&amp;query=any,contains,991000580709702656","Catalog Record")</f>
        <v/>
      </c>
      <c r="AV1515">
        <f>HYPERLINK("http://www.worldcat.org/oclc/95598","WorldCat Record")</f>
        <v/>
      </c>
      <c r="AW1515" t="inlineStr">
        <is>
          <t>227198645:eng</t>
        </is>
      </c>
      <c r="AX1515" t="inlineStr">
        <is>
          <t>95598</t>
        </is>
      </c>
      <c r="AY1515" t="inlineStr">
        <is>
          <t>991000580709702656</t>
        </is>
      </c>
      <c r="AZ1515" t="inlineStr">
        <is>
          <t>991000580709702656</t>
        </is>
      </c>
      <c r="BA1515" t="inlineStr">
        <is>
          <t>2272376340002656</t>
        </is>
      </c>
      <c r="BB1515" t="inlineStr">
        <is>
          <t>BOOK</t>
        </is>
      </c>
      <c r="BD1515" t="inlineStr">
        <is>
          <t>9780198116820</t>
        </is>
      </c>
      <c r="BE1515" t="inlineStr">
        <is>
          <t>32285001542074</t>
        </is>
      </c>
      <c r="BF1515" t="inlineStr">
        <is>
          <t>893339685</t>
        </is>
      </c>
    </row>
    <row r="1516">
      <c r="A1516" t="inlineStr">
        <is>
          <t>No</t>
        </is>
      </c>
      <c r="B1516" t="inlineStr">
        <is>
          <t>CURAL</t>
        </is>
      </c>
      <c r="C1516" t="inlineStr">
        <is>
          <t>SHELVES</t>
        </is>
      </c>
      <c r="D1516" t="inlineStr">
        <is>
          <t>PR4147 .P6</t>
        </is>
      </c>
      <c r="E1516" t="inlineStr">
        <is>
          <t>0                      PR 4147000P  6</t>
        </is>
      </c>
      <c r="F1516" t="inlineStr">
        <is>
          <t>An introduction to the study of Blake / by Max Plowman.</t>
        </is>
      </c>
      <c r="H1516" t="inlineStr">
        <is>
          <t>No</t>
        </is>
      </c>
      <c r="I1516" t="inlineStr">
        <is>
          <t>1</t>
        </is>
      </c>
      <c r="J1516" t="inlineStr">
        <is>
          <t>No</t>
        </is>
      </c>
      <c r="K1516" t="inlineStr">
        <is>
          <t>No</t>
        </is>
      </c>
      <c r="L1516" t="inlineStr">
        <is>
          <t>0</t>
        </is>
      </c>
      <c r="M1516" t="inlineStr">
        <is>
          <t>Plowman, Max, 1883-1941.</t>
        </is>
      </c>
      <c r="N1516" t="inlineStr">
        <is>
          <t>New York : E.P. Dutton, c1927.</t>
        </is>
      </c>
      <c r="O1516" t="inlineStr">
        <is>
          <t>1927</t>
        </is>
      </c>
      <c r="Q1516" t="inlineStr">
        <is>
          <t>eng</t>
        </is>
      </c>
      <c r="R1516" t="inlineStr">
        <is>
          <t>nyu</t>
        </is>
      </c>
      <c r="T1516" t="inlineStr">
        <is>
          <t xml:space="preserve">PR </t>
        </is>
      </c>
      <c r="U1516" t="n">
        <v>6</v>
      </c>
      <c r="V1516" t="n">
        <v>6</v>
      </c>
      <c r="W1516" t="inlineStr">
        <is>
          <t>2000-03-16</t>
        </is>
      </c>
      <c r="X1516" t="inlineStr">
        <is>
          <t>2000-03-16</t>
        </is>
      </c>
      <c r="Y1516" t="inlineStr">
        <is>
          <t>1995-03-21</t>
        </is>
      </c>
      <c r="Z1516" t="inlineStr">
        <is>
          <t>1995-03-21</t>
        </is>
      </c>
      <c r="AA1516" t="n">
        <v>79</v>
      </c>
      <c r="AB1516" t="n">
        <v>71</v>
      </c>
      <c r="AC1516" t="n">
        <v>723</v>
      </c>
      <c r="AD1516" t="n">
        <v>2</v>
      </c>
      <c r="AE1516" t="n">
        <v>8</v>
      </c>
      <c r="AF1516" t="n">
        <v>4</v>
      </c>
      <c r="AG1516" t="n">
        <v>36</v>
      </c>
      <c r="AH1516" t="n">
        <v>3</v>
      </c>
      <c r="AI1516" t="n">
        <v>12</v>
      </c>
      <c r="AJ1516" t="n">
        <v>0</v>
      </c>
      <c r="AK1516" t="n">
        <v>8</v>
      </c>
      <c r="AL1516" t="n">
        <v>1</v>
      </c>
      <c r="AM1516" t="n">
        <v>19</v>
      </c>
      <c r="AN1516" t="n">
        <v>1</v>
      </c>
      <c r="AO1516" t="n">
        <v>7</v>
      </c>
      <c r="AP1516" t="n">
        <v>0</v>
      </c>
      <c r="AQ1516" t="n">
        <v>0</v>
      </c>
      <c r="AR1516" t="inlineStr">
        <is>
          <t>No</t>
        </is>
      </c>
      <c r="AS1516" t="inlineStr">
        <is>
          <t>No</t>
        </is>
      </c>
      <c r="AU1516">
        <f>HYPERLINK("https://creighton-primo.hosted.exlibrisgroup.com/primo-explore/search?tab=default_tab&amp;search_scope=EVERYTHING&amp;vid=01CRU&amp;lang=en_US&amp;offset=0&amp;query=any,contains,991002097969702656","Catalog Record")</f>
        <v/>
      </c>
      <c r="AV1516">
        <f>HYPERLINK("http://www.worldcat.org/oclc/26926158","WorldCat Record")</f>
        <v/>
      </c>
      <c r="AW1516" t="inlineStr">
        <is>
          <t>1407070:eng</t>
        </is>
      </c>
      <c r="AX1516" t="inlineStr">
        <is>
          <t>26926158</t>
        </is>
      </c>
      <c r="AY1516" t="inlineStr">
        <is>
          <t>991002097969702656</t>
        </is>
      </c>
      <c r="AZ1516" t="inlineStr">
        <is>
          <t>991002097969702656</t>
        </is>
      </c>
      <c r="BA1516" t="inlineStr">
        <is>
          <t>2258567570002656</t>
        </is>
      </c>
      <c r="BB1516" t="inlineStr">
        <is>
          <t>BOOK</t>
        </is>
      </c>
      <c r="BE1516" t="inlineStr">
        <is>
          <t>32285002012796</t>
        </is>
      </c>
      <c r="BF1516" t="inlineStr">
        <is>
          <t>893785716</t>
        </is>
      </c>
    </row>
    <row r="1517">
      <c r="A1517" t="inlineStr">
        <is>
          <t>No</t>
        </is>
      </c>
      <c r="B1517" t="inlineStr">
        <is>
          <t>CURAL</t>
        </is>
      </c>
      <c r="C1517" t="inlineStr">
        <is>
          <t>SHELVES</t>
        </is>
      </c>
      <c r="D1517" t="inlineStr">
        <is>
          <t>PR4147 .R32 1979</t>
        </is>
      </c>
      <c r="E1517" t="inlineStr">
        <is>
          <t>0                      PR 4147000R  32          1979</t>
        </is>
      </c>
      <c r="F1517" t="inlineStr">
        <is>
          <t>Blake and the new age / Kathleen Raine.</t>
        </is>
      </c>
      <c r="H1517" t="inlineStr">
        <is>
          <t>No</t>
        </is>
      </c>
      <c r="I1517" t="inlineStr">
        <is>
          <t>1</t>
        </is>
      </c>
      <c r="J1517" t="inlineStr">
        <is>
          <t>No</t>
        </is>
      </c>
      <c r="K1517" t="inlineStr">
        <is>
          <t>No</t>
        </is>
      </c>
      <c r="L1517" t="inlineStr">
        <is>
          <t>0</t>
        </is>
      </c>
      <c r="M1517" t="inlineStr">
        <is>
          <t>Raine, Kathleen, 1908-2003.</t>
        </is>
      </c>
      <c r="N1517" t="inlineStr">
        <is>
          <t>London ; Boston : G. Allen &amp; Unwin, 1979.</t>
        </is>
      </c>
      <c r="O1517" t="inlineStr">
        <is>
          <t>1979</t>
        </is>
      </c>
      <c r="Q1517" t="inlineStr">
        <is>
          <t>eng</t>
        </is>
      </c>
      <c r="R1517" t="inlineStr">
        <is>
          <t>enk</t>
        </is>
      </c>
      <c r="T1517" t="inlineStr">
        <is>
          <t xml:space="preserve">PR </t>
        </is>
      </c>
      <c r="U1517" t="n">
        <v>6</v>
      </c>
      <c r="V1517" t="n">
        <v>6</v>
      </c>
      <c r="W1517" t="inlineStr">
        <is>
          <t>2009-10-23</t>
        </is>
      </c>
      <c r="X1517" t="inlineStr">
        <is>
          <t>2009-10-23</t>
        </is>
      </c>
      <c r="Y1517" t="inlineStr">
        <is>
          <t>1991-11-13</t>
        </is>
      </c>
      <c r="Z1517" t="inlineStr">
        <is>
          <t>1991-11-13</t>
        </is>
      </c>
      <c r="AA1517" t="n">
        <v>538</v>
      </c>
      <c r="AB1517" t="n">
        <v>368</v>
      </c>
      <c r="AC1517" t="n">
        <v>394</v>
      </c>
      <c r="AD1517" t="n">
        <v>2</v>
      </c>
      <c r="AE1517" t="n">
        <v>2</v>
      </c>
      <c r="AF1517" t="n">
        <v>17</v>
      </c>
      <c r="AG1517" t="n">
        <v>17</v>
      </c>
      <c r="AH1517" t="n">
        <v>7</v>
      </c>
      <c r="AI1517" t="n">
        <v>7</v>
      </c>
      <c r="AJ1517" t="n">
        <v>5</v>
      </c>
      <c r="AK1517" t="n">
        <v>5</v>
      </c>
      <c r="AL1517" t="n">
        <v>9</v>
      </c>
      <c r="AM1517" t="n">
        <v>9</v>
      </c>
      <c r="AN1517" t="n">
        <v>1</v>
      </c>
      <c r="AO1517" t="n">
        <v>1</v>
      </c>
      <c r="AP1517" t="n">
        <v>0</v>
      </c>
      <c r="AQ1517" t="n">
        <v>0</v>
      </c>
      <c r="AR1517" t="inlineStr">
        <is>
          <t>No</t>
        </is>
      </c>
      <c r="AS1517" t="inlineStr">
        <is>
          <t>No</t>
        </is>
      </c>
      <c r="AU1517">
        <f>HYPERLINK("https://creighton-primo.hosted.exlibrisgroup.com/primo-explore/search?tab=default_tab&amp;search_scope=EVERYTHING&amp;vid=01CRU&amp;lang=en_US&amp;offset=0&amp;query=any,contains,991004899669702656","Catalog Record")</f>
        <v/>
      </c>
      <c r="AV1517">
        <f>HYPERLINK("http://www.worldcat.org/oclc/5921820","WorldCat Record")</f>
        <v/>
      </c>
      <c r="AW1517" t="inlineStr">
        <is>
          <t>20700904:eng</t>
        </is>
      </c>
      <c r="AX1517" t="inlineStr">
        <is>
          <t>5921820</t>
        </is>
      </c>
      <c r="AY1517" t="inlineStr">
        <is>
          <t>991004899669702656</t>
        </is>
      </c>
      <c r="AZ1517" t="inlineStr">
        <is>
          <t>991004899669702656</t>
        </is>
      </c>
      <c r="BA1517" t="inlineStr">
        <is>
          <t>2263473740002656</t>
        </is>
      </c>
      <c r="BB1517" t="inlineStr">
        <is>
          <t>BOOK</t>
        </is>
      </c>
      <c r="BD1517" t="inlineStr">
        <is>
          <t>9780048210432</t>
        </is>
      </c>
      <c r="BE1517" t="inlineStr">
        <is>
          <t>32285000823517</t>
        </is>
      </c>
      <c r="BF1517" t="inlineStr">
        <is>
          <t>893594212</t>
        </is>
      </c>
    </row>
    <row r="1518">
      <c r="A1518" t="inlineStr">
        <is>
          <t>No</t>
        </is>
      </c>
      <c r="B1518" t="inlineStr">
        <is>
          <t>CURAL</t>
        </is>
      </c>
      <c r="C1518" t="inlineStr">
        <is>
          <t>SHELVES</t>
        </is>
      </c>
      <c r="D1518" t="inlineStr">
        <is>
          <t>PR4147 .R33</t>
        </is>
      </c>
      <c r="E1518" t="inlineStr">
        <is>
          <t>0                      PR 4147000R  33</t>
        </is>
      </c>
      <c r="F1518" t="inlineStr">
        <is>
          <t>Blake and tradition / [by] Kathleen Raine.</t>
        </is>
      </c>
      <c r="G1518" t="inlineStr">
        <is>
          <t>V.1</t>
        </is>
      </c>
      <c r="H1518" t="inlineStr">
        <is>
          <t>Yes</t>
        </is>
      </c>
      <c r="I1518" t="inlineStr">
        <is>
          <t>1</t>
        </is>
      </c>
      <c r="J1518" t="inlineStr">
        <is>
          <t>No</t>
        </is>
      </c>
      <c r="K1518" t="inlineStr">
        <is>
          <t>No</t>
        </is>
      </c>
      <c r="L1518" t="inlineStr">
        <is>
          <t>0</t>
        </is>
      </c>
      <c r="M1518" t="inlineStr">
        <is>
          <t>Raine, Kathleen, 1908-2003.</t>
        </is>
      </c>
      <c r="N1518" t="inlineStr">
        <is>
          <t>[Princeton, N.J.] : Princeton University Press, [c1968]</t>
        </is>
      </c>
      <c r="O1518" t="inlineStr">
        <is>
          <t>1968</t>
        </is>
      </c>
      <c r="Q1518" t="inlineStr">
        <is>
          <t>eng</t>
        </is>
      </c>
      <c r="R1518" t="inlineStr">
        <is>
          <t>nju</t>
        </is>
      </c>
      <c r="S1518" t="inlineStr">
        <is>
          <t>Bollingen series ; 35</t>
        </is>
      </c>
      <c r="T1518" t="inlineStr">
        <is>
          <t xml:space="preserve">PR </t>
        </is>
      </c>
      <c r="U1518" t="n">
        <v>1</v>
      </c>
      <c r="V1518" t="n">
        <v>3</v>
      </c>
      <c r="W1518" t="inlineStr">
        <is>
          <t>2001-03-24</t>
        </is>
      </c>
      <c r="X1518" t="inlineStr">
        <is>
          <t>2001-03-24</t>
        </is>
      </c>
      <c r="Y1518" t="inlineStr">
        <is>
          <t>1997-09-18</t>
        </is>
      </c>
      <c r="Z1518" t="inlineStr">
        <is>
          <t>1997-09-18</t>
        </is>
      </c>
      <c r="AA1518" t="n">
        <v>1063</v>
      </c>
      <c r="AB1518" t="n">
        <v>908</v>
      </c>
      <c r="AC1518" t="n">
        <v>914</v>
      </c>
      <c r="AD1518" t="n">
        <v>11</v>
      </c>
      <c r="AE1518" t="n">
        <v>11</v>
      </c>
      <c r="AF1518" t="n">
        <v>45</v>
      </c>
      <c r="AG1518" t="n">
        <v>45</v>
      </c>
      <c r="AH1518" t="n">
        <v>18</v>
      </c>
      <c r="AI1518" t="n">
        <v>18</v>
      </c>
      <c r="AJ1518" t="n">
        <v>10</v>
      </c>
      <c r="AK1518" t="n">
        <v>10</v>
      </c>
      <c r="AL1518" t="n">
        <v>20</v>
      </c>
      <c r="AM1518" t="n">
        <v>20</v>
      </c>
      <c r="AN1518" t="n">
        <v>8</v>
      </c>
      <c r="AO1518" t="n">
        <v>8</v>
      </c>
      <c r="AP1518" t="n">
        <v>0</v>
      </c>
      <c r="AQ1518" t="n">
        <v>0</v>
      </c>
      <c r="AR1518" t="inlineStr">
        <is>
          <t>No</t>
        </is>
      </c>
      <c r="AS1518" t="inlineStr">
        <is>
          <t>Yes</t>
        </is>
      </c>
      <c r="AT1518">
        <f>HYPERLINK("http://catalog.hathitrust.org/Record/000476524","HathiTrust Record")</f>
        <v/>
      </c>
      <c r="AU1518">
        <f>HYPERLINK("https://creighton-primo.hosted.exlibrisgroup.com/primo-explore/search?tab=default_tab&amp;search_scope=EVERYTHING&amp;vid=01CRU&amp;lang=en_US&amp;offset=0&amp;query=any,contains,991003182179702656","Catalog Record")</f>
        <v/>
      </c>
      <c r="AV1518">
        <f>HYPERLINK("http://www.worldcat.org/oclc/711961","WorldCat Record")</f>
        <v/>
      </c>
      <c r="AW1518" t="inlineStr">
        <is>
          <t>3944164657:eng</t>
        </is>
      </c>
      <c r="AX1518" t="inlineStr">
        <is>
          <t>711961</t>
        </is>
      </c>
      <c r="AY1518" t="inlineStr">
        <is>
          <t>991003182179702656</t>
        </is>
      </c>
      <c r="AZ1518" t="inlineStr">
        <is>
          <t>991003182179702656</t>
        </is>
      </c>
      <c r="BA1518" t="inlineStr">
        <is>
          <t>2261876560002656</t>
        </is>
      </c>
      <c r="BB1518" t="inlineStr">
        <is>
          <t>BOOK</t>
        </is>
      </c>
      <c r="BE1518" t="inlineStr">
        <is>
          <t>32285003203907</t>
        </is>
      </c>
      <c r="BF1518" t="inlineStr">
        <is>
          <t>893610797</t>
        </is>
      </c>
    </row>
    <row r="1519">
      <c r="A1519" t="inlineStr">
        <is>
          <t>No</t>
        </is>
      </c>
      <c r="B1519" t="inlineStr">
        <is>
          <t>CURAL</t>
        </is>
      </c>
      <c r="C1519" t="inlineStr">
        <is>
          <t>SHELVES</t>
        </is>
      </c>
      <c r="D1519" t="inlineStr">
        <is>
          <t>PR4147 .R33</t>
        </is>
      </c>
      <c r="E1519" t="inlineStr">
        <is>
          <t>0                      PR 4147000R  33</t>
        </is>
      </c>
      <c r="F1519" t="inlineStr">
        <is>
          <t>Blake and tradition / [by] Kathleen Raine.</t>
        </is>
      </c>
      <c r="G1519" t="inlineStr">
        <is>
          <t>V.2</t>
        </is>
      </c>
      <c r="H1519" t="inlineStr">
        <is>
          <t>Yes</t>
        </is>
      </c>
      <c r="I1519" t="inlineStr">
        <is>
          <t>1</t>
        </is>
      </c>
      <c r="J1519" t="inlineStr">
        <is>
          <t>No</t>
        </is>
      </c>
      <c r="K1519" t="inlineStr">
        <is>
          <t>No</t>
        </is>
      </c>
      <c r="L1519" t="inlineStr">
        <is>
          <t>0</t>
        </is>
      </c>
      <c r="M1519" t="inlineStr">
        <is>
          <t>Raine, Kathleen, 1908-2003.</t>
        </is>
      </c>
      <c r="N1519" t="inlineStr">
        <is>
          <t>[Princeton, N.J.] : Princeton University Press, [c1968]</t>
        </is>
      </c>
      <c r="O1519" t="inlineStr">
        <is>
          <t>1968</t>
        </is>
      </c>
      <c r="Q1519" t="inlineStr">
        <is>
          <t>eng</t>
        </is>
      </c>
      <c r="R1519" t="inlineStr">
        <is>
          <t>nju</t>
        </is>
      </c>
      <c r="S1519" t="inlineStr">
        <is>
          <t>Bollingen series ; 35</t>
        </is>
      </c>
      <c r="T1519" t="inlineStr">
        <is>
          <t xml:space="preserve">PR </t>
        </is>
      </c>
      <c r="U1519" t="n">
        <v>2</v>
      </c>
      <c r="V1519" t="n">
        <v>3</v>
      </c>
      <c r="W1519" t="inlineStr">
        <is>
          <t>2001-03-17</t>
        </is>
      </c>
      <c r="X1519" t="inlineStr">
        <is>
          <t>2001-03-24</t>
        </is>
      </c>
      <c r="Y1519" t="inlineStr">
        <is>
          <t>1992-03-20</t>
        </is>
      </c>
      <c r="Z1519" t="inlineStr">
        <is>
          <t>1997-09-18</t>
        </is>
      </c>
      <c r="AA1519" t="n">
        <v>1063</v>
      </c>
      <c r="AB1519" t="n">
        <v>908</v>
      </c>
      <c r="AC1519" t="n">
        <v>914</v>
      </c>
      <c r="AD1519" t="n">
        <v>11</v>
      </c>
      <c r="AE1519" t="n">
        <v>11</v>
      </c>
      <c r="AF1519" t="n">
        <v>45</v>
      </c>
      <c r="AG1519" t="n">
        <v>45</v>
      </c>
      <c r="AH1519" t="n">
        <v>18</v>
      </c>
      <c r="AI1519" t="n">
        <v>18</v>
      </c>
      <c r="AJ1519" t="n">
        <v>10</v>
      </c>
      <c r="AK1519" t="n">
        <v>10</v>
      </c>
      <c r="AL1519" t="n">
        <v>20</v>
      </c>
      <c r="AM1519" t="n">
        <v>20</v>
      </c>
      <c r="AN1519" t="n">
        <v>8</v>
      </c>
      <c r="AO1519" t="n">
        <v>8</v>
      </c>
      <c r="AP1519" t="n">
        <v>0</v>
      </c>
      <c r="AQ1519" t="n">
        <v>0</v>
      </c>
      <c r="AR1519" t="inlineStr">
        <is>
          <t>No</t>
        </is>
      </c>
      <c r="AS1519" t="inlineStr">
        <is>
          <t>Yes</t>
        </is>
      </c>
      <c r="AT1519">
        <f>HYPERLINK("http://catalog.hathitrust.org/Record/000476524","HathiTrust Record")</f>
        <v/>
      </c>
      <c r="AU1519">
        <f>HYPERLINK("https://creighton-primo.hosted.exlibrisgroup.com/primo-explore/search?tab=default_tab&amp;search_scope=EVERYTHING&amp;vid=01CRU&amp;lang=en_US&amp;offset=0&amp;query=any,contains,991003182179702656","Catalog Record")</f>
        <v/>
      </c>
      <c r="AV1519">
        <f>HYPERLINK("http://www.worldcat.org/oclc/711961","WorldCat Record")</f>
        <v/>
      </c>
      <c r="AW1519" t="inlineStr">
        <is>
          <t>3944164657:eng</t>
        </is>
      </c>
      <c r="AX1519" t="inlineStr">
        <is>
          <t>711961</t>
        </is>
      </c>
      <c r="AY1519" t="inlineStr">
        <is>
          <t>991003182179702656</t>
        </is>
      </c>
      <c r="AZ1519" t="inlineStr">
        <is>
          <t>991003182179702656</t>
        </is>
      </c>
      <c r="BA1519" t="inlineStr">
        <is>
          <t>2261876560002656</t>
        </is>
      </c>
      <c r="BB1519" t="inlineStr">
        <is>
          <t>BOOK</t>
        </is>
      </c>
      <c r="BE1519" t="inlineStr">
        <is>
          <t>32285001025575</t>
        </is>
      </c>
      <c r="BF1519" t="inlineStr">
        <is>
          <t>893598343</t>
        </is>
      </c>
    </row>
    <row r="1520">
      <c r="A1520" t="inlineStr">
        <is>
          <t>No</t>
        </is>
      </c>
      <c r="B1520" t="inlineStr">
        <is>
          <t>CURAL</t>
        </is>
      </c>
      <c r="C1520" t="inlineStr">
        <is>
          <t>SHELVES</t>
        </is>
      </c>
      <c r="D1520" t="inlineStr">
        <is>
          <t>PR4147 .S3 1965</t>
        </is>
      </c>
      <c r="E1520" t="inlineStr">
        <is>
          <t>0                      PR 4147000S  3           1965</t>
        </is>
      </c>
      <c r="F1520" t="inlineStr">
        <is>
          <t>Blake and Milton.</t>
        </is>
      </c>
      <c r="H1520" t="inlineStr">
        <is>
          <t>No</t>
        </is>
      </c>
      <c r="I1520" t="inlineStr">
        <is>
          <t>1</t>
        </is>
      </c>
      <c r="J1520" t="inlineStr">
        <is>
          <t>No</t>
        </is>
      </c>
      <c r="K1520" t="inlineStr">
        <is>
          <t>No</t>
        </is>
      </c>
      <c r="L1520" t="inlineStr">
        <is>
          <t>0</t>
        </is>
      </c>
      <c r="M1520" t="inlineStr">
        <is>
          <t>Saurat, Denis, 1890-1958.</t>
        </is>
      </c>
      <c r="N1520" t="inlineStr">
        <is>
          <t>New York, Russell &amp; Russell, 1965.</t>
        </is>
      </c>
      <c r="O1520" t="inlineStr">
        <is>
          <t>1965</t>
        </is>
      </c>
      <c r="Q1520" t="inlineStr">
        <is>
          <t>eng</t>
        </is>
      </c>
      <c r="R1520" t="inlineStr">
        <is>
          <t>nyu</t>
        </is>
      </c>
      <c r="T1520" t="inlineStr">
        <is>
          <t xml:space="preserve">PR </t>
        </is>
      </c>
      <c r="U1520" t="n">
        <v>1</v>
      </c>
      <c r="V1520" t="n">
        <v>1</v>
      </c>
      <c r="W1520" t="inlineStr">
        <is>
          <t>2003-01-22</t>
        </is>
      </c>
      <c r="X1520" t="inlineStr">
        <is>
          <t>2003-01-22</t>
        </is>
      </c>
      <c r="Y1520" t="inlineStr">
        <is>
          <t>1997-06-20</t>
        </is>
      </c>
      <c r="Z1520" t="inlineStr">
        <is>
          <t>1997-06-20</t>
        </is>
      </c>
      <c r="AA1520" t="n">
        <v>446</v>
      </c>
      <c r="AB1520" t="n">
        <v>405</v>
      </c>
      <c r="AC1520" t="n">
        <v>533</v>
      </c>
      <c r="AD1520" t="n">
        <v>4</v>
      </c>
      <c r="AE1520" t="n">
        <v>5</v>
      </c>
      <c r="AF1520" t="n">
        <v>26</v>
      </c>
      <c r="AG1520" t="n">
        <v>30</v>
      </c>
      <c r="AH1520" t="n">
        <v>11</v>
      </c>
      <c r="AI1520" t="n">
        <v>11</v>
      </c>
      <c r="AJ1520" t="n">
        <v>7</v>
      </c>
      <c r="AK1520" t="n">
        <v>8</v>
      </c>
      <c r="AL1520" t="n">
        <v>13</v>
      </c>
      <c r="AM1520" t="n">
        <v>16</v>
      </c>
      <c r="AN1520" t="n">
        <v>3</v>
      </c>
      <c r="AO1520" t="n">
        <v>4</v>
      </c>
      <c r="AP1520" t="n">
        <v>0</v>
      </c>
      <c r="AQ1520" t="n">
        <v>0</v>
      </c>
      <c r="AR1520" t="inlineStr">
        <is>
          <t>No</t>
        </is>
      </c>
      <c r="AS1520" t="inlineStr">
        <is>
          <t>Yes</t>
        </is>
      </c>
      <c r="AT1520">
        <f>HYPERLINK("http://catalog.hathitrust.org/Record/000430024","HathiTrust Record")</f>
        <v/>
      </c>
      <c r="AU1520">
        <f>HYPERLINK("https://creighton-primo.hosted.exlibrisgroup.com/primo-explore/search?tab=default_tab&amp;search_scope=EVERYTHING&amp;vid=01CRU&amp;lang=en_US&amp;offset=0&amp;query=any,contains,991002482889702656","Catalog Record")</f>
        <v/>
      </c>
      <c r="AV1520">
        <f>HYPERLINK("http://www.worldcat.org/oclc/360197","WorldCat Record")</f>
        <v/>
      </c>
      <c r="AW1520" t="inlineStr">
        <is>
          <t>1410973:eng</t>
        </is>
      </c>
      <c r="AX1520" t="inlineStr">
        <is>
          <t>360197</t>
        </is>
      </c>
      <c r="AY1520" t="inlineStr">
        <is>
          <t>991002482889702656</t>
        </is>
      </c>
      <c r="AZ1520" t="inlineStr">
        <is>
          <t>991002482889702656</t>
        </is>
      </c>
      <c r="BA1520" t="inlineStr">
        <is>
          <t>2263867200002656</t>
        </is>
      </c>
      <c r="BB1520" t="inlineStr">
        <is>
          <t>BOOK</t>
        </is>
      </c>
      <c r="BE1520" t="inlineStr">
        <is>
          <t>32285002825627</t>
        </is>
      </c>
      <c r="BF1520" t="inlineStr">
        <is>
          <t>893685404</t>
        </is>
      </c>
    </row>
    <row r="1521">
      <c r="A1521" t="inlineStr">
        <is>
          <t>No</t>
        </is>
      </c>
      <c r="B1521" t="inlineStr">
        <is>
          <t>CURAL</t>
        </is>
      </c>
      <c r="C1521" t="inlineStr">
        <is>
          <t>SHELVES</t>
        </is>
      </c>
      <c r="D1521" t="inlineStr">
        <is>
          <t>PR4147 .S35 1964</t>
        </is>
      </c>
      <c r="E1521" t="inlineStr">
        <is>
          <t>0                      PR 4147000S  35          1964</t>
        </is>
      </c>
      <c r="F1521" t="inlineStr">
        <is>
          <t>Blake &amp; modern thought.</t>
        </is>
      </c>
      <c r="H1521" t="inlineStr">
        <is>
          <t>No</t>
        </is>
      </c>
      <c r="I1521" t="inlineStr">
        <is>
          <t>1</t>
        </is>
      </c>
      <c r="J1521" t="inlineStr">
        <is>
          <t>No</t>
        </is>
      </c>
      <c r="K1521" t="inlineStr">
        <is>
          <t>No</t>
        </is>
      </c>
      <c r="L1521" t="inlineStr">
        <is>
          <t>0</t>
        </is>
      </c>
      <c r="M1521" t="inlineStr">
        <is>
          <t>Saurat, Denis, 1890-1958.</t>
        </is>
      </c>
      <c r="N1521" t="inlineStr">
        <is>
          <t>New York, Russell &amp; Russell, 1964.</t>
        </is>
      </c>
      <c r="O1521" t="inlineStr">
        <is>
          <t>1964</t>
        </is>
      </c>
      <c r="Q1521" t="inlineStr">
        <is>
          <t>eng</t>
        </is>
      </c>
      <c r="R1521" t="inlineStr">
        <is>
          <t>nyu</t>
        </is>
      </c>
      <c r="T1521" t="inlineStr">
        <is>
          <t xml:space="preserve">PR </t>
        </is>
      </c>
      <c r="U1521" t="n">
        <v>3</v>
      </c>
      <c r="V1521" t="n">
        <v>3</v>
      </c>
      <c r="W1521" t="inlineStr">
        <is>
          <t>2004-10-04</t>
        </is>
      </c>
      <c r="X1521" t="inlineStr">
        <is>
          <t>2004-10-04</t>
        </is>
      </c>
      <c r="Y1521" t="inlineStr">
        <is>
          <t>1997-06-20</t>
        </is>
      </c>
      <c r="Z1521" t="inlineStr">
        <is>
          <t>1997-06-20</t>
        </is>
      </c>
      <c r="AA1521" t="n">
        <v>494</v>
      </c>
      <c r="AB1521" t="n">
        <v>439</v>
      </c>
      <c r="AC1521" t="n">
        <v>647</v>
      </c>
      <c r="AD1521" t="n">
        <v>7</v>
      </c>
      <c r="AE1521" t="n">
        <v>9</v>
      </c>
      <c r="AF1521" t="n">
        <v>23</v>
      </c>
      <c r="AG1521" t="n">
        <v>34</v>
      </c>
      <c r="AH1521" t="n">
        <v>9</v>
      </c>
      <c r="AI1521" t="n">
        <v>12</v>
      </c>
      <c r="AJ1521" t="n">
        <v>3</v>
      </c>
      <c r="AK1521" t="n">
        <v>9</v>
      </c>
      <c r="AL1521" t="n">
        <v>8</v>
      </c>
      <c r="AM1521" t="n">
        <v>13</v>
      </c>
      <c r="AN1521" t="n">
        <v>6</v>
      </c>
      <c r="AO1521" t="n">
        <v>8</v>
      </c>
      <c r="AP1521" t="n">
        <v>0</v>
      </c>
      <c r="AQ1521" t="n">
        <v>0</v>
      </c>
      <c r="AR1521" t="inlineStr">
        <is>
          <t>No</t>
        </is>
      </c>
      <c r="AS1521" t="inlineStr">
        <is>
          <t>No</t>
        </is>
      </c>
      <c r="AU1521">
        <f>HYPERLINK("https://creighton-primo.hosted.exlibrisgroup.com/primo-explore/search?tab=default_tab&amp;search_scope=EVERYTHING&amp;vid=01CRU&amp;lang=en_US&amp;offset=0&amp;query=any,contains,991002171409702656","Catalog Record")</f>
        <v/>
      </c>
      <c r="AV1521">
        <f>HYPERLINK("http://www.worldcat.org/oclc/276922","WorldCat Record")</f>
        <v/>
      </c>
      <c r="AW1521" t="inlineStr">
        <is>
          <t>1414234:eng</t>
        </is>
      </c>
      <c r="AX1521" t="inlineStr">
        <is>
          <t>276922</t>
        </is>
      </c>
      <c r="AY1521" t="inlineStr">
        <is>
          <t>991002171409702656</t>
        </is>
      </c>
      <c r="AZ1521" t="inlineStr">
        <is>
          <t>991002171409702656</t>
        </is>
      </c>
      <c r="BA1521" t="inlineStr">
        <is>
          <t>2259894710002656</t>
        </is>
      </c>
      <c r="BB1521" t="inlineStr">
        <is>
          <t>BOOK</t>
        </is>
      </c>
      <c r="BE1521" t="inlineStr">
        <is>
          <t>32285002825635</t>
        </is>
      </c>
      <c r="BF1521" t="inlineStr">
        <is>
          <t>893804307</t>
        </is>
      </c>
    </row>
    <row r="1522">
      <c r="A1522" t="inlineStr">
        <is>
          <t>No</t>
        </is>
      </c>
      <c r="B1522" t="inlineStr">
        <is>
          <t>CURAL</t>
        </is>
      </c>
      <c r="C1522" t="inlineStr">
        <is>
          <t>SHELVES</t>
        </is>
      </c>
      <c r="D1522" t="inlineStr">
        <is>
          <t>PR4147 .W26 1973</t>
        </is>
      </c>
      <c r="E1522" t="inlineStr">
        <is>
          <t>0                      PR 4147000W  26          1973</t>
        </is>
      </c>
      <c r="F1522" t="inlineStr">
        <is>
          <t>Blake's night : William Blake and the idea of pastoral.</t>
        </is>
      </c>
      <c r="H1522" t="inlineStr">
        <is>
          <t>No</t>
        </is>
      </c>
      <c r="I1522" t="inlineStr">
        <is>
          <t>1</t>
        </is>
      </c>
      <c r="J1522" t="inlineStr">
        <is>
          <t>No</t>
        </is>
      </c>
      <c r="K1522" t="inlineStr">
        <is>
          <t>No</t>
        </is>
      </c>
      <c r="L1522" t="inlineStr">
        <is>
          <t>0</t>
        </is>
      </c>
      <c r="M1522" t="inlineStr">
        <is>
          <t>Wagenknecht, David.</t>
        </is>
      </c>
      <c r="N1522" t="inlineStr">
        <is>
          <t>Cambridge, Mass. : Belknap Press, 1973.</t>
        </is>
      </c>
      <c r="O1522" t="inlineStr">
        <is>
          <t>1973</t>
        </is>
      </c>
      <c r="Q1522" t="inlineStr">
        <is>
          <t>eng</t>
        </is>
      </c>
      <c r="R1522" t="inlineStr">
        <is>
          <t>mau</t>
        </is>
      </c>
      <c r="T1522" t="inlineStr">
        <is>
          <t xml:space="preserve">PR </t>
        </is>
      </c>
      <c r="U1522" t="n">
        <v>4</v>
      </c>
      <c r="V1522" t="n">
        <v>4</v>
      </c>
      <c r="W1522" t="inlineStr">
        <is>
          <t>2004-10-04</t>
        </is>
      </c>
      <c r="X1522" t="inlineStr">
        <is>
          <t>2004-10-04</t>
        </is>
      </c>
      <c r="Y1522" t="inlineStr">
        <is>
          <t>1990-03-07</t>
        </is>
      </c>
      <c r="Z1522" t="inlineStr">
        <is>
          <t>1990-03-07</t>
        </is>
      </c>
      <c r="AA1522" t="n">
        <v>876</v>
      </c>
      <c r="AB1522" t="n">
        <v>694</v>
      </c>
      <c r="AC1522" t="n">
        <v>705</v>
      </c>
      <c r="AD1522" t="n">
        <v>6</v>
      </c>
      <c r="AE1522" t="n">
        <v>6</v>
      </c>
      <c r="AF1522" t="n">
        <v>38</v>
      </c>
      <c r="AG1522" t="n">
        <v>38</v>
      </c>
      <c r="AH1522" t="n">
        <v>13</v>
      </c>
      <c r="AI1522" t="n">
        <v>13</v>
      </c>
      <c r="AJ1522" t="n">
        <v>8</v>
      </c>
      <c r="AK1522" t="n">
        <v>8</v>
      </c>
      <c r="AL1522" t="n">
        <v>22</v>
      </c>
      <c r="AM1522" t="n">
        <v>22</v>
      </c>
      <c r="AN1522" t="n">
        <v>5</v>
      </c>
      <c r="AO1522" t="n">
        <v>5</v>
      </c>
      <c r="AP1522" t="n">
        <v>0</v>
      </c>
      <c r="AQ1522" t="n">
        <v>0</v>
      </c>
      <c r="AR1522" t="inlineStr">
        <is>
          <t>No</t>
        </is>
      </c>
      <c r="AS1522" t="inlineStr">
        <is>
          <t>Yes</t>
        </is>
      </c>
      <c r="AT1522">
        <f>HYPERLINK("http://catalog.hathitrust.org/Record/000430036","HathiTrust Record")</f>
        <v/>
      </c>
      <c r="AU1522">
        <f>HYPERLINK("https://creighton-primo.hosted.exlibrisgroup.com/primo-explore/search?tab=default_tab&amp;search_scope=EVERYTHING&amp;vid=01CRU&amp;lang=en_US&amp;offset=0&amp;query=any,contains,991003154529702656","Catalog Record")</f>
        <v/>
      </c>
      <c r="AV1522">
        <f>HYPERLINK("http://www.worldcat.org/oclc/693431","WorldCat Record")</f>
        <v/>
      </c>
      <c r="AW1522" t="inlineStr">
        <is>
          <t>488757877:eng</t>
        </is>
      </c>
      <c r="AX1522" t="inlineStr">
        <is>
          <t>693431</t>
        </is>
      </c>
      <c r="AY1522" t="inlineStr">
        <is>
          <t>991003154529702656</t>
        </is>
      </c>
      <c r="AZ1522" t="inlineStr">
        <is>
          <t>991003154529702656</t>
        </is>
      </c>
      <c r="BA1522" t="inlineStr">
        <is>
          <t>2266617180002656</t>
        </is>
      </c>
      <c r="BB1522" t="inlineStr">
        <is>
          <t>BOOK</t>
        </is>
      </c>
      <c r="BD1522" t="inlineStr">
        <is>
          <t>9780674076358</t>
        </is>
      </c>
      <c r="BE1522" t="inlineStr">
        <is>
          <t>32285000064740</t>
        </is>
      </c>
      <c r="BF1522" t="inlineStr">
        <is>
          <t>893505257</t>
        </is>
      </c>
    </row>
    <row r="1523">
      <c r="A1523" t="inlineStr">
        <is>
          <t>No</t>
        </is>
      </c>
      <c r="B1523" t="inlineStr">
        <is>
          <t>CURAL</t>
        </is>
      </c>
      <c r="C1523" t="inlineStr">
        <is>
          <t>SHELVES</t>
        </is>
      </c>
      <c r="D1523" t="inlineStr">
        <is>
          <t>PR4147 .W5</t>
        </is>
      </c>
      <c r="E1523" t="inlineStr">
        <is>
          <t>0                      PR 4147000W  5</t>
        </is>
      </c>
      <c r="F1523" t="inlineStr">
        <is>
          <t>Blake, a psychological study / W. P. Witcutt.</t>
        </is>
      </c>
      <c r="H1523" t="inlineStr">
        <is>
          <t>No</t>
        </is>
      </c>
      <c r="I1523" t="inlineStr">
        <is>
          <t>1</t>
        </is>
      </c>
      <c r="J1523" t="inlineStr">
        <is>
          <t>No</t>
        </is>
      </c>
      <c r="K1523" t="inlineStr">
        <is>
          <t>No</t>
        </is>
      </c>
      <c r="L1523" t="inlineStr">
        <is>
          <t>0</t>
        </is>
      </c>
      <c r="M1523" t="inlineStr">
        <is>
          <t>Witcutt, William Purcell.</t>
        </is>
      </c>
      <c r="N1523" t="inlineStr">
        <is>
          <t>London : Hollis &amp; Carter, 1946.</t>
        </is>
      </c>
      <c r="O1523" t="inlineStr">
        <is>
          <t>1946</t>
        </is>
      </c>
      <c r="Q1523" t="inlineStr">
        <is>
          <t>eng</t>
        </is>
      </c>
      <c r="R1523" t="inlineStr">
        <is>
          <t>enk</t>
        </is>
      </c>
      <c r="T1523" t="inlineStr">
        <is>
          <t xml:space="preserve">PR </t>
        </is>
      </c>
      <c r="U1523" t="n">
        <v>2</v>
      </c>
      <c r="V1523" t="n">
        <v>2</v>
      </c>
      <c r="W1523" t="inlineStr">
        <is>
          <t>1993-05-12</t>
        </is>
      </c>
      <c r="X1523" t="inlineStr">
        <is>
          <t>1993-05-12</t>
        </is>
      </c>
      <c r="Y1523" t="inlineStr">
        <is>
          <t>1993-05-12</t>
        </is>
      </c>
      <c r="Z1523" t="inlineStr">
        <is>
          <t>1993-05-12</t>
        </is>
      </c>
      <c r="AA1523" t="n">
        <v>281</v>
      </c>
      <c r="AB1523" t="n">
        <v>202</v>
      </c>
      <c r="AC1523" t="n">
        <v>507</v>
      </c>
      <c r="AD1523" t="n">
        <v>2</v>
      </c>
      <c r="AE1523" t="n">
        <v>7</v>
      </c>
      <c r="AF1523" t="n">
        <v>17</v>
      </c>
      <c r="AG1523" t="n">
        <v>32</v>
      </c>
      <c r="AH1523" t="n">
        <v>4</v>
      </c>
      <c r="AI1523" t="n">
        <v>10</v>
      </c>
      <c r="AJ1523" t="n">
        <v>3</v>
      </c>
      <c r="AK1523" t="n">
        <v>6</v>
      </c>
      <c r="AL1523" t="n">
        <v>12</v>
      </c>
      <c r="AM1523" t="n">
        <v>17</v>
      </c>
      <c r="AN1523" t="n">
        <v>1</v>
      </c>
      <c r="AO1523" t="n">
        <v>6</v>
      </c>
      <c r="AP1523" t="n">
        <v>0</v>
      </c>
      <c r="AQ1523" t="n">
        <v>0</v>
      </c>
      <c r="AR1523" t="inlineStr">
        <is>
          <t>No</t>
        </is>
      </c>
      <c r="AS1523" t="inlineStr">
        <is>
          <t>Yes</t>
        </is>
      </c>
      <c r="AT1523">
        <f>HYPERLINK("http://catalog.hathitrust.org/Record/000471253","HathiTrust Record")</f>
        <v/>
      </c>
      <c r="AU1523">
        <f>HYPERLINK("https://creighton-primo.hosted.exlibrisgroup.com/primo-explore/search?tab=default_tab&amp;search_scope=EVERYTHING&amp;vid=01CRU&amp;lang=en_US&amp;offset=0&amp;query=any,contains,991004358139702656","Catalog Record")</f>
        <v/>
      </c>
      <c r="AV1523">
        <f>HYPERLINK("http://www.worldcat.org/oclc/3151622","WorldCat Record")</f>
        <v/>
      </c>
      <c r="AW1523" t="inlineStr">
        <is>
          <t>3768443511:eng</t>
        </is>
      </c>
      <c r="AX1523" t="inlineStr">
        <is>
          <t>3151622</t>
        </is>
      </c>
      <c r="AY1523" t="inlineStr">
        <is>
          <t>991004358139702656</t>
        </is>
      </c>
      <c r="AZ1523" t="inlineStr">
        <is>
          <t>991004358139702656</t>
        </is>
      </c>
      <c r="BA1523" t="inlineStr">
        <is>
          <t>2260689710002656</t>
        </is>
      </c>
      <c r="BB1523" t="inlineStr">
        <is>
          <t>BOOK</t>
        </is>
      </c>
      <c r="BE1523" t="inlineStr">
        <is>
          <t>32285001582369</t>
        </is>
      </c>
      <c r="BF1523" t="inlineStr">
        <is>
          <t>893343739</t>
        </is>
      </c>
    </row>
    <row r="1524">
      <c r="A1524" t="inlineStr">
        <is>
          <t>No</t>
        </is>
      </c>
      <c r="B1524" t="inlineStr">
        <is>
          <t>CURAL</t>
        </is>
      </c>
      <c r="C1524" t="inlineStr">
        <is>
          <t>SHELVES</t>
        </is>
      </c>
      <c r="D1524" t="inlineStr">
        <is>
          <t>PR4147 .W53 1975</t>
        </is>
      </c>
      <c r="E1524" t="inlineStr">
        <is>
          <t>0                      PR 4147000W  53          1975</t>
        </is>
      </c>
      <c r="F1524" t="inlineStr">
        <is>
          <t>Angel of apocalypse : Blake's idea of Milton / Joseph Anthony Wittreich, Jr.</t>
        </is>
      </c>
      <c r="H1524" t="inlineStr">
        <is>
          <t>No</t>
        </is>
      </c>
      <c r="I1524" t="inlineStr">
        <is>
          <t>1</t>
        </is>
      </c>
      <c r="J1524" t="inlineStr">
        <is>
          <t>No</t>
        </is>
      </c>
      <c r="K1524" t="inlineStr">
        <is>
          <t>No</t>
        </is>
      </c>
      <c r="L1524" t="inlineStr">
        <is>
          <t>0</t>
        </is>
      </c>
      <c r="M1524" t="inlineStr">
        <is>
          <t>Wittreich, Joseph Anthony.</t>
        </is>
      </c>
      <c r="N1524" t="inlineStr">
        <is>
          <t>Madison : University of Wisconsin Press, 1975.</t>
        </is>
      </c>
      <c r="O1524" t="inlineStr">
        <is>
          <t>1975</t>
        </is>
      </c>
      <c r="Q1524" t="inlineStr">
        <is>
          <t>eng</t>
        </is>
      </c>
      <c r="R1524" t="inlineStr">
        <is>
          <t>wiu</t>
        </is>
      </c>
      <c r="T1524" t="inlineStr">
        <is>
          <t xml:space="preserve">PR </t>
        </is>
      </c>
      <c r="U1524" t="n">
        <v>1</v>
      </c>
      <c r="V1524" t="n">
        <v>1</v>
      </c>
      <c r="W1524" t="inlineStr">
        <is>
          <t>2008-10-20</t>
        </is>
      </c>
      <c r="X1524" t="inlineStr">
        <is>
          <t>2008-10-20</t>
        </is>
      </c>
      <c r="Y1524" t="inlineStr">
        <is>
          <t>1991-11-13</t>
        </is>
      </c>
      <c r="Z1524" t="inlineStr">
        <is>
          <t>1991-11-13</t>
        </is>
      </c>
      <c r="AA1524" t="n">
        <v>718</v>
      </c>
      <c r="AB1524" t="n">
        <v>597</v>
      </c>
      <c r="AC1524" t="n">
        <v>617</v>
      </c>
      <c r="AD1524" t="n">
        <v>4</v>
      </c>
      <c r="AE1524" t="n">
        <v>4</v>
      </c>
      <c r="AF1524" t="n">
        <v>33</v>
      </c>
      <c r="AG1524" t="n">
        <v>34</v>
      </c>
      <c r="AH1524" t="n">
        <v>12</v>
      </c>
      <c r="AI1524" t="n">
        <v>13</v>
      </c>
      <c r="AJ1524" t="n">
        <v>9</v>
      </c>
      <c r="AK1524" t="n">
        <v>9</v>
      </c>
      <c r="AL1524" t="n">
        <v>19</v>
      </c>
      <c r="AM1524" t="n">
        <v>20</v>
      </c>
      <c r="AN1524" t="n">
        <v>3</v>
      </c>
      <c r="AO1524" t="n">
        <v>3</v>
      </c>
      <c r="AP1524" t="n">
        <v>0</v>
      </c>
      <c r="AQ1524" t="n">
        <v>0</v>
      </c>
      <c r="AR1524" t="inlineStr">
        <is>
          <t>No</t>
        </is>
      </c>
      <c r="AS1524" t="inlineStr">
        <is>
          <t>Yes</t>
        </is>
      </c>
      <c r="AT1524">
        <f>HYPERLINK("http://catalog.hathitrust.org/Record/000025175","HathiTrust Record")</f>
        <v/>
      </c>
      <c r="AU1524">
        <f>HYPERLINK("https://creighton-primo.hosted.exlibrisgroup.com/primo-explore/search?tab=default_tab&amp;search_scope=EVERYTHING&amp;vid=01CRU&amp;lang=en_US&amp;offset=0&amp;query=any,contains,991003650219702656","Catalog Record")</f>
        <v/>
      </c>
      <c r="AV1524">
        <f>HYPERLINK("http://www.worldcat.org/oclc/1253982","WorldCat Record")</f>
        <v/>
      </c>
      <c r="AW1524" t="inlineStr">
        <is>
          <t>118146773:eng</t>
        </is>
      </c>
      <c r="AX1524" t="inlineStr">
        <is>
          <t>1253982</t>
        </is>
      </c>
      <c r="AY1524" t="inlineStr">
        <is>
          <t>991003650219702656</t>
        </is>
      </c>
      <c r="AZ1524" t="inlineStr">
        <is>
          <t>991003650219702656</t>
        </is>
      </c>
      <c r="BA1524" t="inlineStr">
        <is>
          <t>2261485380002656</t>
        </is>
      </c>
      <c r="BB1524" t="inlineStr">
        <is>
          <t>BOOK</t>
        </is>
      </c>
      <c r="BD1524" t="inlineStr">
        <is>
          <t>9780299068004</t>
        </is>
      </c>
      <c r="BE1524" t="inlineStr">
        <is>
          <t>32285000823525</t>
        </is>
      </c>
      <c r="BF1524" t="inlineStr">
        <is>
          <t>893330617</t>
        </is>
      </c>
    </row>
    <row r="1525">
      <c r="A1525" t="inlineStr">
        <is>
          <t>No</t>
        </is>
      </c>
      <c r="B1525" t="inlineStr">
        <is>
          <t>CURAL</t>
        </is>
      </c>
      <c r="C1525" t="inlineStr">
        <is>
          <t>SHELVES</t>
        </is>
      </c>
      <c r="D1525" t="inlineStr">
        <is>
          <t>PR4148.A35 E2 1982</t>
        </is>
      </c>
      <c r="E1525" t="inlineStr">
        <is>
          <t>0                      PR 4148000A  35                 E  2           1982</t>
        </is>
      </c>
      <c r="F1525" t="inlineStr">
        <is>
          <t>William Blake's theory of art / Morris Eaves.</t>
        </is>
      </c>
      <c r="H1525" t="inlineStr">
        <is>
          <t>No</t>
        </is>
      </c>
      <c r="I1525" t="inlineStr">
        <is>
          <t>1</t>
        </is>
      </c>
      <c r="J1525" t="inlineStr">
        <is>
          <t>No</t>
        </is>
      </c>
      <c r="K1525" t="inlineStr">
        <is>
          <t>No</t>
        </is>
      </c>
      <c r="L1525" t="inlineStr">
        <is>
          <t>0</t>
        </is>
      </c>
      <c r="M1525" t="inlineStr">
        <is>
          <t>Eaves, Morris, 1944-</t>
        </is>
      </c>
      <c r="N1525" t="inlineStr">
        <is>
          <t>Princeton, N.J. : Princeton University Press, c1982.</t>
        </is>
      </c>
      <c r="O1525" t="inlineStr">
        <is>
          <t>1982</t>
        </is>
      </c>
      <c r="Q1525" t="inlineStr">
        <is>
          <t>eng</t>
        </is>
      </c>
      <c r="R1525" t="inlineStr">
        <is>
          <t>nju</t>
        </is>
      </c>
      <c r="S1525" t="inlineStr">
        <is>
          <t>Princeton essays on the arts ; 13</t>
        </is>
      </c>
      <c r="T1525" t="inlineStr">
        <is>
          <t xml:space="preserve">PR </t>
        </is>
      </c>
      <c r="U1525" t="n">
        <v>6</v>
      </c>
      <c r="V1525" t="n">
        <v>6</v>
      </c>
      <c r="W1525" t="inlineStr">
        <is>
          <t>2009-10-23</t>
        </is>
      </c>
      <c r="X1525" t="inlineStr">
        <is>
          <t>2009-10-23</t>
        </is>
      </c>
      <c r="Y1525" t="inlineStr">
        <is>
          <t>1991-11-19</t>
        </is>
      </c>
      <c r="Z1525" t="inlineStr">
        <is>
          <t>1991-11-19</t>
        </is>
      </c>
      <c r="AA1525" t="n">
        <v>619</v>
      </c>
      <c r="AB1525" t="n">
        <v>418</v>
      </c>
      <c r="AC1525" t="n">
        <v>418</v>
      </c>
      <c r="AD1525" t="n">
        <v>4</v>
      </c>
      <c r="AE1525" t="n">
        <v>4</v>
      </c>
      <c r="AF1525" t="n">
        <v>26</v>
      </c>
      <c r="AG1525" t="n">
        <v>26</v>
      </c>
      <c r="AH1525" t="n">
        <v>9</v>
      </c>
      <c r="AI1525" t="n">
        <v>9</v>
      </c>
      <c r="AJ1525" t="n">
        <v>8</v>
      </c>
      <c r="AK1525" t="n">
        <v>8</v>
      </c>
      <c r="AL1525" t="n">
        <v>15</v>
      </c>
      <c r="AM1525" t="n">
        <v>15</v>
      </c>
      <c r="AN1525" t="n">
        <v>3</v>
      </c>
      <c r="AO1525" t="n">
        <v>3</v>
      </c>
      <c r="AP1525" t="n">
        <v>0</v>
      </c>
      <c r="AQ1525" t="n">
        <v>0</v>
      </c>
      <c r="AR1525" t="inlineStr">
        <is>
          <t>No</t>
        </is>
      </c>
      <c r="AS1525" t="inlineStr">
        <is>
          <t>No</t>
        </is>
      </c>
      <c r="AU1525">
        <f>HYPERLINK("https://creighton-primo.hosted.exlibrisgroup.com/primo-explore/search?tab=default_tab&amp;search_scope=EVERYTHING&amp;vid=01CRU&amp;lang=en_US&amp;offset=0&amp;query=any,contains,991005225049702656","Catalog Record")</f>
        <v/>
      </c>
      <c r="AV1525">
        <f>HYPERLINK("http://www.worldcat.org/oclc/8280484","WorldCat Record")</f>
        <v/>
      </c>
      <c r="AW1525" t="inlineStr">
        <is>
          <t>441176:eng</t>
        </is>
      </c>
      <c r="AX1525" t="inlineStr">
        <is>
          <t>8280484</t>
        </is>
      </c>
      <c r="AY1525" t="inlineStr">
        <is>
          <t>991005225049702656</t>
        </is>
      </c>
      <c r="AZ1525" t="inlineStr">
        <is>
          <t>991005225049702656</t>
        </is>
      </c>
      <c r="BA1525" t="inlineStr">
        <is>
          <t>2257279850002656</t>
        </is>
      </c>
      <c r="BB1525" t="inlineStr">
        <is>
          <t>BOOK</t>
        </is>
      </c>
      <c r="BD1525" t="inlineStr">
        <is>
          <t>9780691003405</t>
        </is>
      </c>
      <c r="BE1525" t="inlineStr">
        <is>
          <t>32285000840024</t>
        </is>
      </c>
      <c r="BF1525" t="inlineStr">
        <is>
          <t>893713669</t>
        </is>
      </c>
    </row>
    <row r="1526">
      <c r="A1526" t="inlineStr">
        <is>
          <t>No</t>
        </is>
      </c>
      <c r="B1526" t="inlineStr">
        <is>
          <t>CURAL</t>
        </is>
      </c>
      <c r="C1526" t="inlineStr">
        <is>
          <t>SHELVES</t>
        </is>
      </c>
      <c r="D1526" t="inlineStr">
        <is>
          <t>PR4148.L33 E87 1989</t>
        </is>
      </c>
      <c r="E1526" t="inlineStr">
        <is>
          <t>0                      PR 4148000L  33                 E  87          1989</t>
        </is>
      </c>
      <c r="F1526" t="inlineStr">
        <is>
          <t>William Blake and the language of Adam / Robert N. Essick.</t>
        </is>
      </c>
      <c r="H1526" t="inlineStr">
        <is>
          <t>No</t>
        </is>
      </c>
      <c r="I1526" t="inlineStr">
        <is>
          <t>1</t>
        </is>
      </c>
      <c r="J1526" t="inlineStr">
        <is>
          <t>No</t>
        </is>
      </c>
      <c r="K1526" t="inlineStr">
        <is>
          <t>No</t>
        </is>
      </c>
      <c r="L1526" t="inlineStr">
        <is>
          <t>0</t>
        </is>
      </c>
      <c r="M1526" t="inlineStr">
        <is>
          <t>Essick, Robert N.</t>
        </is>
      </c>
      <c r="N1526" t="inlineStr">
        <is>
          <t>Oxford : Clarendon Press ; New York : Oxford University Press, 1989.</t>
        </is>
      </c>
      <c r="O1526" t="inlineStr">
        <is>
          <t>1989</t>
        </is>
      </c>
      <c r="Q1526" t="inlineStr">
        <is>
          <t>eng</t>
        </is>
      </c>
      <c r="R1526" t="inlineStr">
        <is>
          <t>enk</t>
        </is>
      </c>
      <c r="T1526" t="inlineStr">
        <is>
          <t xml:space="preserve">PR </t>
        </is>
      </c>
      <c r="U1526" t="n">
        <v>1</v>
      </c>
      <c r="V1526" t="n">
        <v>1</v>
      </c>
      <c r="W1526" t="inlineStr">
        <is>
          <t>1998-11-11</t>
        </is>
      </c>
      <c r="X1526" t="inlineStr">
        <is>
          <t>1998-11-11</t>
        </is>
      </c>
      <c r="Y1526" t="inlineStr">
        <is>
          <t>1991-11-19</t>
        </is>
      </c>
      <c r="Z1526" t="inlineStr">
        <is>
          <t>1991-11-19</t>
        </is>
      </c>
      <c r="AA1526" t="n">
        <v>402</v>
      </c>
      <c r="AB1526" t="n">
        <v>273</v>
      </c>
      <c r="AC1526" t="n">
        <v>279</v>
      </c>
      <c r="AD1526" t="n">
        <v>2</v>
      </c>
      <c r="AE1526" t="n">
        <v>2</v>
      </c>
      <c r="AF1526" t="n">
        <v>15</v>
      </c>
      <c r="AG1526" t="n">
        <v>15</v>
      </c>
      <c r="AH1526" t="n">
        <v>4</v>
      </c>
      <c r="AI1526" t="n">
        <v>4</v>
      </c>
      <c r="AJ1526" t="n">
        <v>5</v>
      </c>
      <c r="AK1526" t="n">
        <v>5</v>
      </c>
      <c r="AL1526" t="n">
        <v>10</v>
      </c>
      <c r="AM1526" t="n">
        <v>10</v>
      </c>
      <c r="AN1526" t="n">
        <v>1</v>
      </c>
      <c r="AO1526" t="n">
        <v>1</v>
      </c>
      <c r="AP1526" t="n">
        <v>0</v>
      </c>
      <c r="AQ1526" t="n">
        <v>0</v>
      </c>
      <c r="AR1526" t="inlineStr">
        <is>
          <t>No</t>
        </is>
      </c>
      <c r="AS1526" t="inlineStr">
        <is>
          <t>Yes</t>
        </is>
      </c>
      <c r="AT1526">
        <f>HYPERLINK("http://catalog.hathitrust.org/Record/001074475","HathiTrust Record")</f>
        <v/>
      </c>
      <c r="AU1526">
        <f>HYPERLINK("https://creighton-primo.hosted.exlibrisgroup.com/primo-explore/search?tab=default_tab&amp;search_scope=EVERYTHING&amp;vid=01CRU&amp;lang=en_US&amp;offset=0&amp;query=any,contains,991001306039702656","Catalog Record")</f>
        <v/>
      </c>
      <c r="AV1526">
        <f>HYPERLINK("http://www.worldcat.org/oclc/18106230","WorldCat Record")</f>
        <v/>
      </c>
      <c r="AW1526" t="inlineStr">
        <is>
          <t>16389514:eng</t>
        </is>
      </c>
      <c r="AX1526" t="inlineStr">
        <is>
          <t>18106230</t>
        </is>
      </c>
      <c r="AY1526" t="inlineStr">
        <is>
          <t>991001306039702656</t>
        </is>
      </c>
      <c r="AZ1526" t="inlineStr">
        <is>
          <t>991001306039702656</t>
        </is>
      </c>
      <c r="BA1526" t="inlineStr">
        <is>
          <t>2257758340002656</t>
        </is>
      </c>
      <c r="BB1526" t="inlineStr">
        <is>
          <t>BOOK</t>
        </is>
      </c>
      <c r="BD1526" t="inlineStr">
        <is>
          <t>9780198129851</t>
        </is>
      </c>
      <c r="BE1526" t="inlineStr">
        <is>
          <t>32285000840040</t>
        </is>
      </c>
      <c r="BF1526" t="inlineStr">
        <is>
          <t>893328049</t>
        </is>
      </c>
    </row>
    <row r="1527">
      <c r="A1527" t="inlineStr">
        <is>
          <t>No</t>
        </is>
      </c>
      <c r="B1527" t="inlineStr">
        <is>
          <t>CURAL</t>
        </is>
      </c>
      <c r="C1527" t="inlineStr">
        <is>
          <t>SHELVES</t>
        </is>
      </c>
      <c r="D1527" t="inlineStr">
        <is>
          <t>PR4148.M74 F3 1980</t>
        </is>
      </c>
      <c r="E1527" t="inlineStr">
        <is>
          <t>0                      PR 4148000M  74                 F  3           1980</t>
        </is>
      </c>
      <c r="F1527" t="inlineStr">
        <is>
          <t>Such holy song : music as idea, form, and image in the poetry of William Blake / by B. H. Fairchild, Jr.</t>
        </is>
      </c>
      <c r="H1527" t="inlineStr">
        <is>
          <t>No</t>
        </is>
      </c>
      <c r="I1527" t="inlineStr">
        <is>
          <t>1</t>
        </is>
      </c>
      <c r="J1527" t="inlineStr">
        <is>
          <t>No</t>
        </is>
      </c>
      <c r="K1527" t="inlineStr">
        <is>
          <t>No</t>
        </is>
      </c>
      <c r="L1527" t="inlineStr">
        <is>
          <t>0</t>
        </is>
      </c>
      <c r="M1527" t="inlineStr">
        <is>
          <t>Fairchild, B. H.</t>
        </is>
      </c>
      <c r="N1527" t="inlineStr">
        <is>
          <t>Kent, Ohio : Kent State University Press, c1980.</t>
        </is>
      </c>
      <c r="O1527" t="inlineStr">
        <is>
          <t>1980</t>
        </is>
      </c>
      <c r="Q1527" t="inlineStr">
        <is>
          <t>eng</t>
        </is>
      </c>
      <c r="R1527" t="inlineStr">
        <is>
          <t>ohu</t>
        </is>
      </c>
      <c r="T1527" t="inlineStr">
        <is>
          <t xml:space="preserve">PR </t>
        </is>
      </c>
      <c r="U1527" t="n">
        <v>3</v>
      </c>
      <c r="V1527" t="n">
        <v>3</v>
      </c>
      <c r="W1527" t="inlineStr">
        <is>
          <t>1995-01-25</t>
        </is>
      </c>
      <c r="X1527" t="inlineStr">
        <is>
          <t>1995-01-25</t>
        </is>
      </c>
      <c r="Y1527" t="inlineStr">
        <is>
          <t>1991-11-19</t>
        </is>
      </c>
      <c r="Z1527" t="inlineStr">
        <is>
          <t>1991-11-19</t>
        </is>
      </c>
      <c r="AA1527" t="n">
        <v>565</v>
      </c>
      <c r="AB1527" t="n">
        <v>465</v>
      </c>
      <c r="AC1527" t="n">
        <v>473</v>
      </c>
      <c r="AD1527" t="n">
        <v>4</v>
      </c>
      <c r="AE1527" t="n">
        <v>4</v>
      </c>
      <c r="AF1527" t="n">
        <v>21</v>
      </c>
      <c r="AG1527" t="n">
        <v>21</v>
      </c>
      <c r="AH1527" t="n">
        <v>7</v>
      </c>
      <c r="AI1527" t="n">
        <v>7</v>
      </c>
      <c r="AJ1527" t="n">
        <v>5</v>
      </c>
      <c r="AK1527" t="n">
        <v>5</v>
      </c>
      <c r="AL1527" t="n">
        <v>10</v>
      </c>
      <c r="AM1527" t="n">
        <v>10</v>
      </c>
      <c r="AN1527" t="n">
        <v>3</v>
      </c>
      <c r="AO1527" t="n">
        <v>3</v>
      </c>
      <c r="AP1527" t="n">
        <v>0</v>
      </c>
      <c r="AQ1527" t="n">
        <v>0</v>
      </c>
      <c r="AR1527" t="inlineStr">
        <is>
          <t>No</t>
        </is>
      </c>
      <c r="AS1527" t="inlineStr">
        <is>
          <t>Yes</t>
        </is>
      </c>
      <c r="AT1527">
        <f>HYPERLINK("http://catalog.hathitrust.org/Record/004482015","HathiTrust Record")</f>
        <v/>
      </c>
      <c r="AU1527">
        <f>HYPERLINK("https://creighton-primo.hosted.exlibrisgroup.com/primo-explore/search?tab=default_tab&amp;search_scope=EVERYTHING&amp;vid=01CRU&amp;lang=en_US&amp;offset=0&amp;query=any,contains,991004968539702656","Catalog Record")</f>
        <v/>
      </c>
      <c r="AV1527">
        <f>HYPERLINK("http://www.worldcat.org/oclc/6355619","WorldCat Record")</f>
        <v/>
      </c>
      <c r="AW1527" t="inlineStr">
        <is>
          <t>21941689:eng</t>
        </is>
      </c>
      <c r="AX1527" t="inlineStr">
        <is>
          <t>6355619</t>
        </is>
      </c>
      <c r="AY1527" t="inlineStr">
        <is>
          <t>991004968539702656</t>
        </is>
      </c>
      <c r="AZ1527" t="inlineStr">
        <is>
          <t>991004968539702656</t>
        </is>
      </c>
      <c r="BA1527" t="inlineStr">
        <is>
          <t>2256585090002656</t>
        </is>
      </c>
      <c r="BB1527" t="inlineStr">
        <is>
          <t>BOOK</t>
        </is>
      </c>
      <c r="BD1527" t="inlineStr">
        <is>
          <t>9780873382380</t>
        </is>
      </c>
      <c r="BE1527" t="inlineStr">
        <is>
          <t>32285000840065</t>
        </is>
      </c>
      <c r="BF1527" t="inlineStr">
        <is>
          <t>893443241</t>
        </is>
      </c>
    </row>
    <row r="1528">
      <c r="A1528" t="inlineStr">
        <is>
          <t>No</t>
        </is>
      </c>
      <c r="B1528" t="inlineStr">
        <is>
          <t>CURAL</t>
        </is>
      </c>
      <c r="C1528" t="inlineStr">
        <is>
          <t>SHELVES</t>
        </is>
      </c>
      <c r="D1528" t="inlineStr">
        <is>
          <t>PR4161.B2 Z67</t>
        </is>
      </c>
      <c r="E1528" t="inlineStr">
        <is>
          <t>0                      PR 4161000B  2                  Z  67</t>
        </is>
      </c>
      <c r="F1528" t="inlineStr">
        <is>
          <t>Dion Boucicault : a biography / Richard Fawkes.</t>
        </is>
      </c>
      <c r="H1528" t="inlineStr">
        <is>
          <t>No</t>
        </is>
      </c>
      <c r="I1528" t="inlineStr">
        <is>
          <t>1</t>
        </is>
      </c>
      <c r="J1528" t="inlineStr">
        <is>
          <t>No</t>
        </is>
      </c>
      <c r="K1528" t="inlineStr">
        <is>
          <t>No</t>
        </is>
      </c>
      <c r="L1528" t="inlineStr">
        <is>
          <t>0</t>
        </is>
      </c>
      <c r="M1528" t="inlineStr">
        <is>
          <t>Fawkes, Richard, 1944-</t>
        </is>
      </c>
      <c r="N1528" t="inlineStr">
        <is>
          <t>London ; New York : Quartet Books, 1979.</t>
        </is>
      </c>
      <c r="O1528" t="inlineStr">
        <is>
          <t>1979</t>
        </is>
      </c>
      <c r="Q1528" t="inlineStr">
        <is>
          <t>eng</t>
        </is>
      </c>
      <c r="R1528" t="inlineStr">
        <is>
          <t>enk</t>
        </is>
      </c>
      <c r="T1528" t="inlineStr">
        <is>
          <t xml:space="preserve">PR </t>
        </is>
      </c>
      <c r="U1528" t="n">
        <v>1</v>
      </c>
      <c r="V1528" t="n">
        <v>1</v>
      </c>
      <c r="W1528" t="inlineStr">
        <is>
          <t>2001-03-23</t>
        </is>
      </c>
      <c r="X1528" t="inlineStr">
        <is>
          <t>2001-03-23</t>
        </is>
      </c>
      <c r="Y1528" t="inlineStr">
        <is>
          <t>1991-11-19</t>
        </is>
      </c>
      <c r="Z1528" t="inlineStr">
        <is>
          <t>1991-11-19</t>
        </is>
      </c>
      <c r="AA1528" t="n">
        <v>241</v>
      </c>
      <c r="AB1528" t="n">
        <v>169</v>
      </c>
      <c r="AC1528" t="n">
        <v>252</v>
      </c>
      <c r="AD1528" t="n">
        <v>3</v>
      </c>
      <c r="AE1528" t="n">
        <v>3</v>
      </c>
      <c r="AF1528" t="n">
        <v>7</v>
      </c>
      <c r="AG1528" t="n">
        <v>10</v>
      </c>
      <c r="AH1528" t="n">
        <v>1</v>
      </c>
      <c r="AI1528" t="n">
        <v>2</v>
      </c>
      <c r="AJ1528" t="n">
        <v>2</v>
      </c>
      <c r="AK1528" t="n">
        <v>3</v>
      </c>
      <c r="AL1528" t="n">
        <v>3</v>
      </c>
      <c r="AM1528" t="n">
        <v>5</v>
      </c>
      <c r="AN1528" t="n">
        <v>2</v>
      </c>
      <c r="AO1528" t="n">
        <v>2</v>
      </c>
      <c r="AP1528" t="n">
        <v>0</v>
      </c>
      <c r="AQ1528" t="n">
        <v>0</v>
      </c>
      <c r="AR1528" t="inlineStr">
        <is>
          <t>No</t>
        </is>
      </c>
      <c r="AS1528" t="inlineStr">
        <is>
          <t>Yes</t>
        </is>
      </c>
      <c r="AT1528">
        <f>HYPERLINK("http://catalog.hathitrust.org/Record/000096133","HathiTrust Record")</f>
        <v/>
      </c>
      <c r="AU1528">
        <f>HYPERLINK("https://creighton-primo.hosted.exlibrisgroup.com/primo-explore/search?tab=default_tab&amp;search_scope=EVERYTHING&amp;vid=01CRU&amp;lang=en_US&amp;offset=0&amp;query=any,contains,991004921349702656","Catalog Record")</f>
        <v/>
      </c>
      <c r="AV1528">
        <f>HYPERLINK("http://www.worldcat.org/oclc/6043451","WorldCat Record")</f>
        <v/>
      </c>
      <c r="AW1528" t="inlineStr">
        <is>
          <t>198428053:eng</t>
        </is>
      </c>
      <c r="AX1528" t="inlineStr">
        <is>
          <t>6043451</t>
        </is>
      </c>
      <c r="AY1528" t="inlineStr">
        <is>
          <t>991004921349702656</t>
        </is>
      </c>
      <c r="AZ1528" t="inlineStr">
        <is>
          <t>991004921349702656</t>
        </is>
      </c>
      <c r="BA1528" t="inlineStr">
        <is>
          <t>2255882510002656</t>
        </is>
      </c>
      <c r="BB1528" t="inlineStr">
        <is>
          <t>BOOK</t>
        </is>
      </c>
      <c r="BD1528" t="inlineStr">
        <is>
          <t>9780704322219</t>
        </is>
      </c>
      <c r="BE1528" t="inlineStr">
        <is>
          <t>32285000840164</t>
        </is>
      </c>
      <c r="BF1528" t="inlineStr">
        <is>
          <t>893600366</t>
        </is>
      </c>
    </row>
    <row r="1529">
      <c r="A1529" t="inlineStr">
        <is>
          <t>No</t>
        </is>
      </c>
      <c r="B1529" t="inlineStr">
        <is>
          <t>CURAL</t>
        </is>
      </c>
      <c r="C1529" t="inlineStr">
        <is>
          <t>SHELVES</t>
        </is>
      </c>
      <c r="D1529" t="inlineStr">
        <is>
          <t>PR4161.B2 Z7</t>
        </is>
      </c>
      <c r="E1529" t="inlineStr">
        <is>
          <t>0                      PR 4161000B  2                  Z  7</t>
        </is>
      </c>
      <c r="F1529" t="inlineStr">
        <is>
          <t>Dion Boucicault / by Robert Hogan.</t>
        </is>
      </c>
      <c r="H1529" t="inlineStr">
        <is>
          <t>No</t>
        </is>
      </c>
      <c r="I1529" t="inlineStr">
        <is>
          <t>1</t>
        </is>
      </c>
      <c r="J1529" t="inlineStr">
        <is>
          <t>No</t>
        </is>
      </c>
      <c r="K1529" t="inlineStr">
        <is>
          <t>No</t>
        </is>
      </c>
      <c r="L1529" t="inlineStr">
        <is>
          <t>0</t>
        </is>
      </c>
      <c r="M1529" t="inlineStr">
        <is>
          <t>Hogan, Robert, 1930-1999.</t>
        </is>
      </c>
      <c r="N1529" t="inlineStr">
        <is>
          <t>New York : Twayne Publishers, [c1969]</t>
        </is>
      </c>
      <c r="O1529" t="inlineStr">
        <is>
          <t>1969</t>
        </is>
      </c>
      <c r="Q1529" t="inlineStr">
        <is>
          <t>eng</t>
        </is>
      </c>
      <c r="R1529" t="inlineStr">
        <is>
          <t>nyu</t>
        </is>
      </c>
      <c r="S1529" t="inlineStr">
        <is>
          <t>Twayne's United States authors series, 163</t>
        </is>
      </c>
      <c r="T1529" t="inlineStr">
        <is>
          <t xml:space="preserve">PR </t>
        </is>
      </c>
      <c r="U1529" t="n">
        <v>1</v>
      </c>
      <c r="V1529" t="n">
        <v>1</v>
      </c>
      <c r="W1529" t="inlineStr">
        <is>
          <t>2001-03-23</t>
        </is>
      </c>
      <c r="X1529" t="inlineStr">
        <is>
          <t>2001-03-23</t>
        </is>
      </c>
      <c r="Y1529" t="inlineStr">
        <is>
          <t>1991-11-19</t>
        </is>
      </c>
      <c r="Z1529" t="inlineStr">
        <is>
          <t>1991-11-19</t>
        </is>
      </c>
      <c r="AA1529" t="n">
        <v>780</v>
      </c>
      <c r="AB1529" t="n">
        <v>684</v>
      </c>
      <c r="AC1529" t="n">
        <v>696</v>
      </c>
      <c r="AD1529" t="n">
        <v>7</v>
      </c>
      <c r="AE1529" t="n">
        <v>7</v>
      </c>
      <c r="AF1529" t="n">
        <v>40</v>
      </c>
      <c r="AG1529" t="n">
        <v>40</v>
      </c>
      <c r="AH1529" t="n">
        <v>14</v>
      </c>
      <c r="AI1529" t="n">
        <v>14</v>
      </c>
      <c r="AJ1529" t="n">
        <v>8</v>
      </c>
      <c r="AK1529" t="n">
        <v>8</v>
      </c>
      <c r="AL1529" t="n">
        <v>20</v>
      </c>
      <c r="AM1529" t="n">
        <v>20</v>
      </c>
      <c r="AN1529" t="n">
        <v>6</v>
      </c>
      <c r="AO1529" t="n">
        <v>6</v>
      </c>
      <c r="AP1529" t="n">
        <v>0</v>
      </c>
      <c r="AQ1529" t="n">
        <v>0</v>
      </c>
      <c r="AR1529" t="inlineStr">
        <is>
          <t>No</t>
        </is>
      </c>
      <c r="AS1529" t="inlineStr">
        <is>
          <t>Yes</t>
        </is>
      </c>
      <c r="AT1529">
        <f>HYPERLINK("http://catalog.hathitrust.org/Record/000473110","HathiTrust Record")</f>
        <v/>
      </c>
      <c r="AU1529">
        <f>HYPERLINK("https://creighton-primo.hosted.exlibrisgroup.com/primo-explore/search?tab=default_tab&amp;search_scope=EVERYTHING&amp;vid=01CRU&amp;lang=en_US&amp;offset=0&amp;query=any,contains,991000134249702656","Catalog Record")</f>
        <v/>
      </c>
      <c r="AV1529">
        <f>HYPERLINK("http://www.worldcat.org/oclc/55618","WorldCat Record")</f>
        <v/>
      </c>
      <c r="AW1529" t="inlineStr">
        <is>
          <t>1186021:eng</t>
        </is>
      </c>
      <c r="AX1529" t="inlineStr">
        <is>
          <t>55618</t>
        </is>
      </c>
      <c r="AY1529" t="inlineStr">
        <is>
          <t>991000134249702656</t>
        </is>
      </c>
      <c r="AZ1529" t="inlineStr">
        <is>
          <t>991000134249702656</t>
        </is>
      </c>
      <c r="BA1529" t="inlineStr">
        <is>
          <t>2258231870002656</t>
        </is>
      </c>
      <c r="BB1529" t="inlineStr">
        <is>
          <t>BOOK</t>
        </is>
      </c>
      <c r="BE1529" t="inlineStr">
        <is>
          <t>32285000840172</t>
        </is>
      </c>
      <c r="BF1529" t="inlineStr">
        <is>
          <t>893339322</t>
        </is>
      </c>
    </row>
    <row r="1530">
      <c r="A1530" t="inlineStr">
        <is>
          <t>No</t>
        </is>
      </c>
      <c r="B1530" t="inlineStr">
        <is>
          <t>CURAL</t>
        </is>
      </c>
      <c r="C1530" t="inlineStr">
        <is>
          <t>SHELVES</t>
        </is>
      </c>
      <c r="D1530" t="inlineStr">
        <is>
          <t>PR4161.B6 Z459 1933</t>
        </is>
      </c>
      <c r="E1530" t="inlineStr">
        <is>
          <t>0                      PR 4161000B  6                  Z  459         1933</t>
        </is>
      </c>
      <c r="F1530" t="inlineStr">
        <is>
          <t>A bibliography of Robert Bridges, by George L. McKay.</t>
        </is>
      </c>
      <c r="H1530" t="inlineStr">
        <is>
          <t>No</t>
        </is>
      </c>
      <c r="I1530" t="inlineStr">
        <is>
          <t>1</t>
        </is>
      </c>
      <c r="J1530" t="inlineStr">
        <is>
          <t>No</t>
        </is>
      </c>
      <c r="K1530" t="inlineStr">
        <is>
          <t>No</t>
        </is>
      </c>
      <c r="L1530" t="inlineStr">
        <is>
          <t>0</t>
        </is>
      </c>
      <c r="M1530" t="inlineStr">
        <is>
          <t>McKay, George L. (George Leslie), 1895-1976.</t>
        </is>
      </c>
      <c r="N1530" t="inlineStr">
        <is>
          <t>New York, Columbia University Press; London, Oxford University Press, 1933.</t>
        </is>
      </c>
      <c r="O1530" t="inlineStr">
        <is>
          <t>1933</t>
        </is>
      </c>
      <c r="Q1530" t="inlineStr">
        <is>
          <t>eng</t>
        </is>
      </c>
      <c r="R1530" t="inlineStr">
        <is>
          <t>nyu</t>
        </is>
      </c>
      <c r="T1530" t="inlineStr">
        <is>
          <t xml:space="preserve">PR </t>
        </is>
      </c>
      <c r="U1530" t="n">
        <v>0</v>
      </c>
      <c r="V1530" t="n">
        <v>0</v>
      </c>
      <c r="W1530" t="inlineStr">
        <is>
          <t>2009-01-22</t>
        </is>
      </c>
      <c r="X1530" t="inlineStr">
        <is>
          <t>2009-01-22</t>
        </is>
      </c>
      <c r="Y1530" t="inlineStr">
        <is>
          <t>1997-06-23</t>
        </is>
      </c>
      <c r="Z1530" t="inlineStr">
        <is>
          <t>1997-06-23</t>
        </is>
      </c>
      <c r="AA1530" t="n">
        <v>242</v>
      </c>
      <c r="AB1530" t="n">
        <v>211</v>
      </c>
      <c r="AC1530" t="n">
        <v>273</v>
      </c>
      <c r="AD1530" t="n">
        <v>2</v>
      </c>
      <c r="AE1530" t="n">
        <v>3</v>
      </c>
      <c r="AF1530" t="n">
        <v>19</v>
      </c>
      <c r="AG1530" t="n">
        <v>24</v>
      </c>
      <c r="AH1530" t="n">
        <v>7</v>
      </c>
      <c r="AI1530" t="n">
        <v>9</v>
      </c>
      <c r="AJ1530" t="n">
        <v>3</v>
      </c>
      <c r="AK1530" t="n">
        <v>4</v>
      </c>
      <c r="AL1530" t="n">
        <v>14</v>
      </c>
      <c r="AM1530" t="n">
        <v>16</v>
      </c>
      <c r="AN1530" t="n">
        <v>1</v>
      </c>
      <c r="AO1530" t="n">
        <v>2</v>
      </c>
      <c r="AP1530" t="n">
        <v>0</v>
      </c>
      <c r="AQ1530" t="n">
        <v>0</v>
      </c>
      <c r="AR1530" t="inlineStr">
        <is>
          <t>Yes</t>
        </is>
      </c>
      <c r="AS1530" t="inlineStr">
        <is>
          <t>No</t>
        </is>
      </c>
      <c r="AT1530">
        <f>HYPERLINK("http://catalog.hathitrust.org/Record/001023193","HathiTrust Record")</f>
        <v/>
      </c>
      <c r="AU1530">
        <f>HYPERLINK("https://creighton-primo.hosted.exlibrisgroup.com/primo-explore/search?tab=default_tab&amp;search_scope=EVERYTHING&amp;vid=01CRU&amp;lang=en_US&amp;offset=0&amp;query=any,contains,991003051869702656","Catalog Record")</f>
        <v/>
      </c>
      <c r="AV1530">
        <f>HYPERLINK("http://www.worldcat.org/oclc/611438","WorldCat Record")</f>
        <v/>
      </c>
      <c r="AW1530" t="inlineStr">
        <is>
          <t>122161756:eng</t>
        </is>
      </c>
      <c r="AX1530" t="inlineStr">
        <is>
          <t>611438</t>
        </is>
      </c>
      <c r="AY1530" t="inlineStr">
        <is>
          <t>991003051869702656</t>
        </is>
      </c>
      <c r="AZ1530" t="inlineStr">
        <is>
          <t>991003051869702656</t>
        </is>
      </c>
      <c r="BA1530" t="inlineStr">
        <is>
          <t>2265287680002656</t>
        </is>
      </c>
      <c r="BB1530" t="inlineStr">
        <is>
          <t>BOOK</t>
        </is>
      </c>
      <c r="BE1530" t="inlineStr">
        <is>
          <t>32285002827581</t>
        </is>
      </c>
      <c r="BF1530" t="inlineStr">
        <is>
          <t>893336092</t>
        </is>
      </c>
    </row>
    <row r="1531">
      <c r="A1531" t="inlineStr">
        <is>
          <t>No</t>
        </is>
      </c>
      <c r="B1531" t="inlineStr">
        <is>
          <t>CURAL</t>
        </is>
      </c>
      <c r="C1531" t="inlineStr">
        <is>
          <t>SHELVES</t>
        </is>
      </c>
      <c r="D1531" t="inlineStr">
        <is>
          <t>PR4161.B6 Z82 1992</t>
        </is>
      </c>
      <c r="E1531" t="inlineStr">
        <is>
          <t>0                      PR 4161000B  6                  Z  82          1992</t>
        </is>
      </c>
      <c r="F1531" t="inlineStr">
        <is>
          <t>Robert Bridges : a biography / Catherine Phillips.</t>
        </is>
      </c>
      <c r="H1531" t="inlineStr">
        <is>
          <t>No</t>
        </is>
      </c>
      <c r="I1531" t="inlineStr">
        <is>
          <t>1</t>
        </is>
      </c>
      <c r="J1531" t="inlineStr">
        <is>
          <t>No</t>
        </is>
      </c>
      <c r="K1531" t="inlineStr">
        <is>
          <t>No</t>
        </is>
      </c>
      <c r="L1531" t="inlineStr">
        <is>
          <t>0</t>
        </is>
      </c>
      <c r="M1531" t="inlineStr">
        <is>
          <t>Phillips, Catherine, 1953-</t>
        </is>
      </c>
      <c r="N1531" t="inlineStr">
        <is>
          <t>Oxford [England] ; New York : Oxford University Press, 1992.</t>
        </is>
      </c>
      <c r="O1531" t="inlineStr">
        <is>
          <t>1992</t>
        </is>
      </c>
      <c r="Q1531" t="inlineStr">
        <is>
          <t>eng</t>
        </is>
      </c>
      <c r="R1531" t="inlineStr">
        <is>
          <t>enk</t>
        </is>
      </c>
      <c r="T1531" t="inlineStr">
        <is>
          <t xml:space="preserve">PR </t>
        </is>
      </c>
      <c r="U1531" t="n">
        <v>1</v>
      </c>
      <c r="V1531" t="n">
        <v>1</v>
      </c>
      <c r="W1531" t="inlineStr">
        <is>
          <t>1994-01-19</t>
        </is>
      </c>
      <c r="X1531" t="inlineStr">
        <is>
          <t>1994-01-19</t>
        </is>
      </c>
      <c r="Y1531" t="inlineStr">
        <is>
          <t>1993-10-28</t>
        </is>
      </c>
      <c r="Z1531" t="inlineStr">
        <is>
          <t>1993-10-28</t>
        </is>
      </c>
      <c r="AA1531" t="n">
        <v>413</v>
      </c>
      <c r="AB1531" t="n">
        <v>285</v>
      </c>
      <c r="AC1531" t="n">
        <v>293</v>
      </c>
      <c r="AD1531" t="n">
        <v>3</v>
      </c>
      <c r="AE1531" t="n">
        <v>3</v>
      </c>
      <c r="AF1531" t="n">
        <v>21</v>
      </c>
      <c r="AG1531" t="n">
        <v>21</v>
      </c>
      <c r="AH1531" t="n">
        <v>6</v>
      </c>
      <c r="AI1531" t="n">
        <v>6</v>
      </c>
      <c r="AJ1531" t="n">
        <v>7</v>
      </c>
      <c r="AK1531" t="n">
        <v>7</v>
      </c>
      <c r="AL1531" t="n">
        <v>14</v>
      </c>
      <c r="AM1531" t="n">
        <v>14</v>
      </c>
      <c r="AN1531" t="n">
        <v>2</v>
      </c>
      <c r="AO1531" t="n">
        <v>2</v>
      </c>
      <c r="AP1531" t="n">
        <v>0</v>
      </c>
      <c r="AQ1531" t="n">
        <v>0</v>
      </c>
      <c r="AR1531" t="inlineStr">
        <is>
          <t>No</t>
        </is>
      </c>
      <c r="AS1531" t="inlineStr">
        <is>
          <t>Yes</t>
        </is>
      </c>
      <c r="AT1531">
        <f>HYPERLINK("http://catalog.hathitrust.org/Record/002602345","HathiTrust Record")</f>
        <v/>
      </c>
      <c r="AU1531">
        <f>HYPERLINK("https://creighton-primo.hosted.exlibrisgroup.com/primo-explore/search?tab=default_tab&amp;search_scope=EVERYTHING&amp;vid=01CRU&amp;lang=en_US&amp;offset=0&amp;query=any,contains,991001940569702656","Catalog Record")</f>
        <v/>
      </c>
      <c r="AV1531">
        <f>HYPERLINK("http://www.worldcat.org/oclc/24504850","WorldCat Record")</f>
        <v/>
      </c>
      <c r="AW1531" t="inlineStr">
        <is>
          <t>347469632:eng</t>
        </is>
      </c>
      <c r="AX1531" t="inlineStr">
        <is>
          <t>24504850</t>
        </is>
      </c>
      <c r="AY1531" t="inlineStr">
        <is>
          <t>991001940569702656</t>
        </is>
      </c>
      <c r="AZ1531" t="inlineStr">
        <is>
          <t>991001940569702656</t>
        </is>
      </c>
      <c r="BA1531" t="inlineStr">
        <is>
          <t>2260964580002656</t>
        </is>
      </c>
      <c r="BB1531" t="inlineStr">
        <is>
          <t>BOOK</t>
        </is>
      </c>
      <c r="BD1531" t="inlineStr">
        <is>
          <t>9780192122513</t>
        </is>
      </c>
      <c r="BE1531" t="inlineStr">
        <is>
          <t>32285001789006</t>
        </is>
      </c>
      <c r="BF1531" t="inlineStr">
        <is>
          <t>893444876</t>
        </is>
      </c>
    </row>
    <row r="1532">
      <c r="A1532" t="inlineStr">
        <is>
          <t>No</t>
        </is>
      </c>
      <c r="B1532" t="inlineStr">
        <is>
          <t>CURAL</t>
        </is>
      </c>
      <c r="C1532" t="inlineStr">
        <is>
          <t>SHELVES</t>
        </is>
      </c>
      <c r="D1532" t="inlineStr">
        <is>
          <t>PR4163 .C4 1991</t>
        </is>
      </c>
      <c r="E1532" t="inlineStr">
        <is>
          <t>0                      PR 4163000C  4           1991</t>
        </is>
      </c>
      <c r="F1532" t="inlineStr">
        <is>
          <t>A life of Anne Brontë / Edward Chitham.</t>
        </is>
      </c>
      <c r="H1532" t="inlineStr">
        <is>
          <t>No</t>
        </is>
      </c>
      <c r="I1532" t="inlineStr">
        <is>
          <t>1</t>
        </is>
      </c>
      <c r="J1532" t="inlineStr">
        <is>
          <t>No</t>
        </is>
      </c>
      <c r="K1532" t="inlineStr">
        <is>
          <t>No</t>
        </is>
      </c>
      <c r="L1532" t="inlineStr">
        <is>
          <t>0</t>
        </is>
      </c>
      <c r="M1532" t="inlineStr">
        <is>
          <t>Chitham, Edward.</t>
        </is>
      </c>
      <c r="N1532" t="inlineStr">
        <is>
          <t>Oxford, UK ; Cambridge, Mass., USA : B. Blackwell, 1991.</t>
        </is>
      </c>
      <c r="O1532" t="inlineStr">
        <is>
          <t>1991</t>
        </is>
      </c>
      <c r="Q1532" t="inlineStr">
        <is>
          <t>eng</t>
        </is>
      </c>
      <c r="R1532" t="inlineStr">
        <is>
          <t>enk</t>
        </is>
      </c>
      <c r="T1532" t="inlineStr">
        <is>
          <t xml:space="preserve">PR </t>
        </is>
      </c>
      <c r="U1532" t="n">
        <v>3</v>
      </c>
      <c r="V1532" t="n">
        <v>3</v>
      </c>
      <c r="W1532" t="inlineStr">
        <is>
          <t>1992-07-27</t>
        </is>
      </c>
      <c r="X1532" t="inlineStr">
        <is>
          <t>1992-07-27</t>
        </is>
      </c>
      <c r="Y1532" t="inlineStr">
        <is>
          <t>1992-06-29</t>
        </is>
      </c>
      <c r="Z1532" t="inlineStr">
        <is>
          <t>1992-06-29</t>
        </is>
      </c>
      <c r="AA1532" t="n">
        <v>395</v>
      </c>
      <c r="AB1532" t="n">
        <v>238</v>
      </c>
      <c r="AC1532" t="n">
        <v>272</v>
      </c>
      <c r="AD1532" t="n">
        <v>3</v>
      </c>
      <c r="AE1532" t="n">
        <v>3</v>
      </c>
      <c r="AF1532" t="n">
        <v>18</v>
      </c>
      <c r="AG1532" t="n">
        <v>19</v>
      </c>
      <c r="AH1532" t="n">
        <v>3</v>
      </c>
      <c r="AI1532" t="n">
        <v>3</v>
      </c>
      <c r="AJ1532" t="n">
        <v>7</v>
      </c>
      <c r="AK1532" t="n">
        <v>7</v>
      </c>
      <c r="AL1532" t="n">
        <v>10</v>
      </c>
      <c r="AM1532" t="n">
        <v>11</v>
      </c>
      <c r="AN1532" t="n">
        <v>2</v>
      </c>
      <c r="AO1532" t="n">
        <v>2</v>
      </c>
      <c r="AP1532" t="n">
        <v>0</v>
      </c>
      <c r="AQ1532" t="n">
        <v>0</v>
      </c>
      <c r="AR1532" t="inlineStr">
        <is>
          <t>No</t>
        </is>
      </c>
      <c r="AS1532" t="inlineStr">
        <is>
          <t>No</t>
        </is>
      </c>
      <c r="AU1532">
        <f>HYPERLINK("https://creighton-primo.hosted.exlibrisgroup.com/primo-explore/search?tab=default_tab&amp;search_scope=EVERYTHING&amp;vid=01CRU&amp;lang=en_US&amp;offset=0&amp;query=any,contains,991001622829702656","Catalog Record")</f>
        <v/>
      </c>
      <c r="AV1532">
        <f>HYPERLINK("http://www.worldcat.org/oclc/20826372","WorldCat Record")</f>
        <v/>
      </c>
      <c r="AW1532" t="inlineStr">
        <is>
          <t>130603:eng</t>
        </is>
      </c>
      <c r="AX1532" t="inlineStr">
        <is>
          <t>20826372</t>
        </is>
      </c>
      <c r="AY1532" t="inlineStr">
        <is>
          <t>991001622829702656</t>
        </is>
      </c>
      <c r="AZ1532" t="inlineStr">
        <is>
          <t>991001622829702656</t>
        </is>
      </c>
      <c r="BA1532" t="inlineStr">
        <is>
          <t>2261119940002656</t>
        </is>
      </c>
      <c r="BB1532" t="inlineStr">
        <is>
          <t>BOOK</t>
        </is>
      </c>
      <c r="BD1532" t="inlineStr">
        <is>
          <t>9780631166160</t>
        </is>
      </c>
      <c r="BE1532" t="inlineStr">
        <is>
          <t>32285001156362</t>
        </is>
      </c>
      <c r="BF1532" t="inlineStr">
        <is>
          <t>893621497</t>
        </is>
      </c>
    </row>
    <row r="1533">
      <c r="A1533" t="inlineStr">
        <is>
          <t>No</t>
        </is>
      </c>
      <c r="B1533" t="inlineStr">
        <is>
          <t>CURAL</t>
        </is>
      </c>
      <c r="C1533" t="inlineStr">
        <is>
          <t>SHELVES</t>
        </is>
      </c>
      <c r="D1533" t="inlineStr">
        <is>
          <t>PR4163 .F73 1996</t>
        </is>
      </c>
      <c r="E1533" t="inlineStr">
        <is>
          <t>0                      PR 4163000F  73          1996</t>
        </is>
      </c>
      <c r="F1533" t="inlineStr">
        <is>
          <t>Anne Brontë / Maria H. Frawley.</t>
        </is>
      </c>
      <c r="H1533" t="inlineStr">
        <is>
          <t>No</t>
        </is>
      </c>
      <c r="I1533" t="inlineStr">
        <is>
          <t>1</t>
        </is>
      </c>
      <c r="J1533" t="inlineStr">
        <is>
          <t>No</t>
        </is>
      </c>
      <c r="K1533" t="inlineStr">
        <is>
          <t>No</t>
        </is>
      </c>
      <c r="L1533" t="inlineStr">
        <is>
          <t>0</t>
        </is>
      </c>
      <c r="M1533" t="inlineStr">
        <is>
          <t>Frawley, Maria H., 1961-</t>
        </is>
      </c>
      <c r="N1533" t="inlineStr">
        <is>
          <t>New York : Twayne Publishers, c1996.</t>
        </is>
      </c>
      <c r="O1533" t="inlineStr">
        <is>
          <t>1996</t>
        </is>
      </c>
      <c r="Q1533" t="inlineStr">
        <is>
          <t>eng</t>
        </is>
      </c>
      <c r="R1533" t="inlineStr">
        <is>
          <t>nyu</t>
        </is>
      </c>
      <c r="S1533" t="inlineStr">
        <is>
          <t>Twayne's English authors series ; no. 524</t>
        </is>
      </c>
      <c r="T1533" t="inlineStr">
        <is>
          <t xml:space="preserve">PR </t>
        </is>
      </c>
      <c r="U1533" t="n">
        <v>1</v>
      </c>
      <c r="V1533" t="n">
        <v>1</v>
      </c>
      <c r="W1533" t="inlineStr">
        <is>
          <t>2002-11-21</t>
        </is>
      </c>
      <c r="X1533" t="inlineStr">
        <is>
          <t>2002-11-21</t>
        </is>
      </c>
      <c r="Y1533" t="inlineStr">
        <is>
          <t>1996-08-29</t>
        </is>
      </c>
      <c r="Z1533" t="inlineStr">
        <is>
          <t>1996-08-29</t>
        </is>
      </c>
      <c r="AA1533" t="n">
        <v>729</v>
      </c>
      <c r="AB1533" t="n">
        <v>645</v>
      </c>
      <c r="AC1533" t="n">
        <v>739</v>
      </c>
      <c r="AD1533" t="n">
        <v>7</v>
      </c>
      <c r="AE1533" t="n">
        <v>7</v>
      </c>
      <c r="AF1533" t="n">
        <v>33</v>
      </c>
      <c r="AG1533" t="n">
        <v>36</v>
      </c>
      <c r="AH1533" t="n">
        <v>11</v>
      </c>
      <c r="AI1533" t="n">
        <v>13</v>
      </c>
      <c r="AJ1533" t="n">
        <v>7</v>
      </c>
      <c r="AK1533" t="n">
        <v>7</v>
      </c>
      <c r="AL1533" t="n">
        <v>20</v>
      </c>
      <c r="AM1533" t="n">
        <v>22</v>
      </c>
      <c r="AN1533" t="n">
        <v>6</v>
      </c>
      <c r="AO1533" t="n">
        <v>6</v>
      </c>
      <c r="AP1533" t="n">
        <v>0</v>
      </c>
      <c r="AQ1533" t="n">
        <v>0</v>
      </c>
      <c r="AR1533" t="inlineStr">
        <is>
          <t>No</t>
        </is>
      </c>
      <c r="AS1533" t="inlineStr">
        <is>
          <t>Yes</t>
        </is>
      </c>
      <c r="AT1533">
        <f>HYPERLINK("http://catalog.hathitrust.org/Record/003099669","HathiTrust Record")</f>
        <v/>
      </c>
      <c r="AU1533">
        <f>HYPERLINK("https://creighton-primo.hosted.exlibrisgroup.com/primo-explore/search?tab=default_tab&amp;search_scope=EVERYTHING&amp;vid=01CRU&amp;lang=en_US&amp;offset=0&amp;query=any,contains,991002625899702656","Catalog Record")</f>
        <v/>
      </c>
      <c r="AV1533">
        <f>HYPERLINK("http://www.worldcat.org/oclc/34412295","WorldCat Record")</f>
        <v/>
      </c>
      <c r="AW1533" t="inlineStr">
        <is>
          <t>17663954:eng</t>
        </is>
      </c>
      <c r="AX1533" t="inlineStr">
        <is>
          <t>34412295</t>
        </is>
      </c>
      <c r="AY1533" t="inlineStr">
        <is>
          <t>991002625899702656</t>
        </is>
      </c>
      <c r="AZ1533" t="inlineStr">
        <is>
          <t>991002625899702656</t>
        </is>
      </c>
      <c r="BA1533" t="inlineStr">
        <is>
          <t>2260591220002656</t>
        </is>
      </c>
      <c r="BB1533" t="inlineStr">
        <is>
          <t>BOOK</t>
        </is>
      </c>
      <c r="BD1533" t="inlineStr">
        <is>
          <t>9780805770605</t>
        </is>
      </c>
      <c r="BE1533" t="inlineStr">
        <is>
          <t>32285002293214</t>
        </is>
      </c>
      <c r="BF1533" t="inlineStr">
        <is>
          <t>893251449</t>
        </is>
      </c>
    </row>
    <row r="1534">
      <c r="A1534" t="inlineStr">
        <is>
          <t>No</t>
        </is>
      </c>
      <c r="B1534" t="inlineStr">
        <is>
          <t>CURAL</t>
        </is>
      </c>
      <c r="C1534" t="inlineStr">
        <is>
          <t>SHELVES</t>
        </is>
      </c>
      <c r="D1534" t="inlineStr">
        <is>
          <t>PR4168 .A7 1974</t>
        </is>
      </c>
      <c r="E1534" t="inlineStr">
        <is>
          <t>0                      PR 4168000A  7           1974</t>
        </is>
      </c>
      <c r="F1534" t="inlineStr">
        <is>
          <t>The Brontës, the critical heritage / edited by Miriam Allott.</t>
        </is>
      </c>
      <c r="H1534" t="inlineStr">
        <is>
          <t>No</t>
        </is>
      </c>
      <c r="I1534" t="inlineStr">
        <is>
          <t>1</t>
        </is>
      </c>
      <c r="J1534" t="inlineStr">
        <is>
          <t>No</t>
        </is>
      </c>
      <c r="K1534" t="inlineStr">
        <is>
          <t>No</t>
        </is>
      </c>
      <c r="L1534" t="inlineStr">
        <is>
          <t>0</t>
        </is>
      </c>
      <c r="M1534" t="inlineStr">
        <is>
          <t>Allott, Miriam Farris, compiler.</t>
        </is>
      </c>
      <c r="N1534" t="inlineStr">
        <is>
          <t>London ; Boston : Routledge and Kegan Paul, 1974.</t>
        </is>
      </c>
      <c r="O1534" t="inlineStr">
        <is>
          <t>1974</t>
        </is>
      </c>
      <c r="Q1534" t="inlineStr">
        <is>
          <t>eng</t>
        </is>
      </c>
      <c r="R1534" t="inlineStr">
        <is>
          <t>enk</t>
        </is>
      </c>
      <c r="S1534" t="inlineStr">
        <is>
          <t>The Critical heritage series</t>
        </is>
      </c>
      <c r="T1534" t="inlineStr">
        <is>
          <t xml:space="preserve">PR </t>
        </is>
      </c>
      <c r="U1534" t="n">
        <v>4</v>
      </c>
      <c r="V1534" t="n">
        <v>4</v>
      </c>
      <c r="W1534" t="inlineStr">
        <is>
          <t>2002-10-21</t>
        </is>
      </c>
      <c r="X1534" t="inlineStr">
        <is>
          <t>2002-10-21</t>
        </is>
      </c>
      <c r="Y1534" t="inlineStr">
        <is>
          <t>1991-11-19</t>
        </is>
      </c>
      <c r="Z1534" t="inlineStr">
        <is>
          <t>1991-11-19</t>
        </is>
      </c>
      <c r="AA1534" t="n">
        <v>959</v>
      </c>
      <c r="AB1534" t="n">
        <v>681</v>
      </c>
      <c r="AC1534" t="n">
        <v>727</v>
      </c>
      <c r="AD1534" t="n">
        <v>5</v>
      </c>
      <c r="AE1534" t="n">
        <v>5</v>
      </c>
      <c r="AF1534" t="n">
        <v>34</v>
      </c>
      <c r="AG1534" t="n">
        <v>34</v>
      </c>
      <c r="AH1534" t="n">
        <v>14</v>
      </c>
      <c r="AI1534" t="n">
        <v>14</v>
      </c>
      <c r="AJ1534" t="n">
        <v>9</v>
      </c>
      <c r="AK1534" t="n">
        <v>9</v>
      </c>
      <c r="AL1534" t="n">
        <v>17</v>
      </c>
      <c r="AM1534" t="n">
        <v>17</v>
      </c>
      <c r="AN1534" t="n">
        <v>4</v>
      </c>
      <c r="AO1534" t="n">
        <v>4</v>
      </c>
      <c r="AP1534" t="n">
        <v>0</v>
      </c>
      <c r="AQ1534" t="n">
        <v>0</v>
      </c>
      <c r="AR1534" t="inlineStr">
        <is>
          <t>No</t>
        </is>
      </c>
      <c r="AS1534" t="inlineStr">
        <is>
          <t>No</t>
        </is>
      </c>
      <c r="AU1534">
        <f>HYPERLINK("https://creighton-primo.hosted.exlibrisgroup.com/primo-explore/search?tab=default_tab&amp;search_scope=EVERYTHING&amp;vid=01CRU&amp;lang=en_US&amp;offset=0&amp;query=any,contains,991003529639702656","Catalog Record")</f>
        <v/>
      </c>
      <c r="AV1534">
        <f>HYPERLINK("http://www.worldcat.org/oclc/1093203","WorldCat Record")</f>
        <v/>
      </c>
      <c r="AW1534" t="inlineStr">
        <is>
          <t>505278871:eng</t>
        </is>
      </c>
      <c r="AX1534" t="inlineStr">
        <is>
          <t>1093203</t>
        </is>
      </c>
      <c r="AY1534" t="inlineStr">
        <is>
          <t>991003529639702656</t>
        </is>
      </c>
      <c r="AZ1534" t="inlineStr">
        <is>
          <t>991003529639702656</t>
        </is>
      </c>
      <c r="BA1534" t="inlineStr">
        <is>
          <t>2264705620002656</t>
        </is>
      </c>
      <c r="BB1534" t="inlineStr">
        <is>
          <t>BOOK</t>
        </is>
      </c>
      <c r="BD1534" t="inlineStr">
        <is>
          <t>9780710077011</t>
        </is>
      </c>
      <c r="BE1534" t="inlineStr">
        <is>
          <t>32285000840818</t>
        </is>
      </c>
      <c r="BF1534" t="inlineStr">
        <is>
          <t>893518572</t>
        </is>
      </c>
    </row>
    <row r="1535">
      <c r="A1535" t="inlineStr">
        <is>
          <t>No</t>
        </is>
      </c>
      <c r="B1535" t="inlineStr">
        <is>
          <t>CURAL</t>
        </is>
      </c>
      <c r="C1535" t="inlineStr">
        <is>
          <t>SHELVES</t>
        </is>
      </c>
      <c r="D1535" t="inlineStr">
        <is>
          <t>PR4168 .B4</t>
        </is>
      </c>
      <c r="E1535" t="inlineStr">
        <is>
          <t>0                      PR 4168000B  4</t>
        </is>
      </c>
      <c r="F1535" t="inlineStr">
        <is>
          <t>The Brontë sisters / by Phyllis Bentley.</t>
        </is>
      </c>
      <c r="H1535" t="inlineStr">
        <is>
          <t>No</t>
        </is>
      </c>
      <c r="I1535" t="inlineStr">
        <is>
          <t>1</t>
        </is>
      </c>
      <c r="J1535" t="inlineStr">
        <is>
          <t>No</t>
        </is>
      </c>
      <c r="K1535" t="inlineStr">
        <is>
          <t>No</t>
        </is>
      </c>
      <c r="L1535" t="inlineStr">
        <is>
          <t>0</t>
        </is>
      </c>
      <c r="M1535" t="inlineStr">
        <is>
          <t>Bentley, Phyllis Eleanor, 1894-1977.</t>
        </is>
      </c>
      <c r="N1535" t="inlineStr">
        <is>
          <t>London, New York, Published for the British Council and the National Book League by Longmans, Green &amp; Co. [1954]</t>
        </is>
      </c>
      <c r="O1535" t="inlineStr">
        <is>
          <t>1954</t>
        </is>
      </c>
      <c r="P1535" t="inlineStr">
        <is>
          <t>[Revised ed.]</t>
        </is>
      </c>
      <c r="Q1535" t="inlineStr">
        <is>
          <t>eng</t>
        </is>
      </c>
      <c r="R1535" t="inlineStr">
        <is>
          <t>enk</t>
        </is>
      </c>
      <c r="S1535" t="inlineStr">
        <is>
          <t>Bibliograhical series of Supplements to 'British Book News' on writers and their work</t>
        </is>
      </c>
      <c r="T1535" t="inlineStr">
        <is>
          <t xml:space="preserve">PR </t>
        </is>
      </c>
      <c r="U1535" t="n">
        <v>1</v>
      </c>
      <c r="V1535" t="n">
        <v>1</v>
      </c>
      <c r="W1535" t="inlineStr">
        <is>
          <t>2004-04-14</t>
        </is>
      </c>
      <c r="X1535" t="inlineStr">
        <is>
          <t>2004-04-14</t>
        </is>
      </c>
      <c r="Y1535" t="inlineStr">
        <is>
          <t>1997-06-23</t>
        </is>
      </c>
      <c r="Z1535" t="inlineStr">
        <is>
          <t>1997-06-23</t>
        </is>
      </c>
      <c r="AA1535" t="n">
        <v>105</v>
      </c>
      <c r="AB1535" t="n">
        <v>83</v>
      </c>
      <c r="AC1535" t="n">
        <v>638</v>
      </c>
      <c r="AD1535" t="n">
        <v>1</v>
      </c>
      <c r="AE1535" t="n">
        <v>4</v>
      </c>
      <c r="AF1535" t="n">
        <v>7</v>
      </c>
      <c r="AG1535" t="n">
        <v>33</v>
      </c>
      <c r="AH1535" t="n">
        <v>3</v>
      </c>
      <c r="AI1535" t="n">
        <v>16</v>
      </c>
      <c r="AJ1535" t="n">
        <v>4</v>
      </c>
      <c r="AK1535" t="n">
        <v>9</v>
      </c>
      <c r="AL1535" t="n">
        <v>4</v>
      </c>
      <c r="AM1535" t="n">
        <v>15</v>
      </c>
      <c r="AN1535" t="n">
        <v>0</v>
      </c>
      <c r="AO1535" t="n">
        <v>3</v>
      </c>
      <c r="AP1535" t="n">
        <v>0</v>
      </c>
      <c r="AQ1535" t="n">
        <v>0</v>
      </c>
      <c r="AR1535" t="inlineStr">
        <is>
          <t>No</t>
        </is>
      </c>
      <c r="AS1535" t="inlineStr">
        <is>
          <t>No</t>
        </is>
      </c>
      <c r="AU1535">
        <f>HYPERLINK("https://creighton-primo.hosted.exlibrisgroup.com/primo-explore/search?tab=default_tab&amp;search_scope=EVERYTHING&amp;vid=01CRU&amp;lang=en_US&amp;offset=0&amp;query=any,contains,991004391439702656","Catalog Record")</f>
        <v/>
      </c>
      <c r="AV1535">
        <f>HYPERLINK("http://www.worldcat.org/oclc/3266579","WorldCat Record")</f>
        <v/>
      </c>
      <c r="AW1535" t="inlineStr">
        <is>
          <t>119246868:eng</t>
        </is>
      </c>
      <c r="AX1535" t="inlineStr">
        <is>
          <t>3266579</t>
        </is>
      </c>
      <c r="AY1535" t="inlineStr">
        <is>
          <t>991004391439702656</t>
        </is>
      </c>
      <c r="AZ1535" t="inlineStr">
        <is>
          <t>991004391439702656</t>
        </is>
      </c>
      <c r="BA1535" t="inlineStr">
        <is>
          <t>2256345380002656</t>
        </is>
      </c>
      <c r="BB1535" t="inlineStr">
        <is>
          <t>BOOK</t>
        </is>
      </c>
      <c r="BE1535" t="inlineStr">
        <is>
          <t>32285002827680</t>
        </is>
      </c>
      <c r="BF1535" t="inlineStr">
        <is>
          <t>893526045</t>
        </is>
      </c>
    </row>
    <row r="1536">
      <c r="A1536" t="inlineStr">
        <is>
          <t>No</t>
        </is>
      </c>
      <c r="B1536" t="inlineStr">
        <is>
          <t>CURAL</t>
        </is>
      </c>
      <c r="C1536" t="inlineStr">
        <is>
          <t>SHELVES</t>
        </is>
      </c>
      <c r="D1536" t="inlineStr">
        <is>
          <t>PR4168 .B53</t>
        </is>
      </c>
      <c r="E1536" t="inlineStr">
        <is>
          <t>0                      PR 4168000B  53</t>
        </is>
      </c>
      <c r="F1536" t="inlineStr">
        <is>
          <t>The Brontë sisters: selected source materials for college research papers, edited by Ruth H. Blackburn.</t>
        </is>
      </c>
      <c r="H1536" t="inlineStr">
        <is>
          <t>No</t>
        </is>
      </c>
      <c r="I1536" t="inlineStr">
        <is>
          <t>1</t>
        </is>
      </c>
      <c r="J1536" t="inlineStr">
        <is>
          <t>No</t>
        </is>
      </c>
      <c r="K1536" t="inlineStr">
        <is>
          <t>No</t>
        </is>
      </c>
      <c r="L1536" t="inlineStr">
        <is>
          <t>0</t>
        </is>
      </c>
      <c r="M1536" t="inlineStr">
        <is>
          <t>Blackburn, Ruth Harriett, 1915- editor.</t>
        </is>
      </c>
      <c r="N1536" t="inlineStr">
        <is>
          <t>Boston, Heath [1964]</t>
        </is>
      </c>
      <c r="O1536" t="inlineStr">
        <is>
          <t>1964</t>
        </is>
      </c>
      <c r="Q1536" t="inlineStr">
        <is>
          <t>eng</t>
        </is>
      </c>
      <c r="R1536" t="inlineStr">
        <is>
          <t>mau</t>
        </is>
      </c>
      <c r="T1536" t="inlineStr">
        <is>
          <t xml:space="preserve">PR </t>
        </is>
      </c>
      <c r="U1536" t="n">
        <v>2</v>
      </c>
      <c r="V1536" t="n">
        <v>2</v>
      </c>
      <c r="W1536" t="inlineStr">
        <is>
          <t>2004-10-04</t>
        </is>
      </c>
      <c r="X1536" t="inlineStr">
        <is>
          <t>2004-10-04</t>
        </is>
      </c>
      <c r="Y1536" t="inlineStr">
        <is>
          <t>1997-06-23</t>
        </is>
      </c>
      <c r="Z1536" t="inlineStr">
        <is>
          <t>1997-06-23</t>
        </is>
      </c>
      <c r="AA1536" t="n">
        <v>392</v>
      </c>
      <c r="AB1536" t="n">
        <v>348</v>
      </c>
      <c r="AC1536" t="n">
        <v>356</v>
      </c>
      <c r="AD1536" t="n">
        <v>3</v>
      </c>
      <c r="AE1536" t="n">
        <v>3</v>
      </c>
      <c r="AF1536" t="n">
        <v>17</v>
      </c>
      <c r="AG1536" t="n">
        <v>17</v>
      </c>
      <c r="AH1536" t="n">
        <v>8</v>
      </c>
      <c r="AI1536" t="n">
        <v>8</v>
      </c>
      <c r="AJ1536" t="n">
        <v>3</v>
      </c>
      <c r="AK1536" t="n">
        <v>3</v>
      </c>
      <c r="AL1536" t="n">
        <v>9</v>
      </c>
      <c r="AM1536" t="n">
        <v>9</v>
      </c>
      <c r="AN1536" t="n">
        <v>2</v>
      </c>
      <c r="AO1536" t="n">
        <v>2</v>
      </c>
      <c r="AP1536" t="n">
        <v>0</v>
      </c>
      <c r="AQ1536" t="n">
        <v>0</v>
      </c>
      <c r="AR1536" t="inlineStr">
        <is>
          <t>No</t>
        </is>
      </c>
      <c r="AS1536" t="inlineStr">
        <is>
          <t>Yes</t>
        </is>
      </c>
      <c r="AT1536">
        <f>HYPERLINK("http://catalog.hathitrust.org/Record/004454182","HathiTrust Record")</f>
        <v/>
      </c>
      <c r="AU1536">
        <f>HYPERLINK("https://creighton-primo.hosted.exlibrisgroup.com/primo-explore/search?tab=default_tab&amp;search_scope=EVERYTHING&amp;vid=01CRU&amp;lang=en_US&amp;offset=0&amp;query=any,contains,991003572739702656","Catalog Record")</f>
        <v/>
      </c>
      <c r="AV1536">
        <f>HYPERLINK("http://www.worldcat.org/oclc/1148452","WorldCat Record")</f>
        <v/>
      </c>
      <c r="AW1536" t="inlineStr">
        <is>
          <t>309223899:eng</t>
        </is>
      </c>
      <c r="AX1536" t="inlineStr">
        <is>
          <t>1148452</t>
        </is>
      </c>
      <c r="AY1536" t="inlineStr">
        <is>
          <t>991003572739702656</t>
        </is>
      </c>
      <c r="AZ1536" t="inlineStr">
        <is>
          <t>991003572739702656</t>
        </is>
      </c>
      <c r="BA1536" t="inlineStr">
        <is>
          <t>2261237740002656</t>
        </is>
      </c>
      <c r="BB1536" t="inlineStr">
        <is>
          <t>BOOK</t>
        </is>
      </c>
      <c r="BE1536" t="inlineStr">
        <is>
          <t>32285002827706</t>
        </is>
      </c>
      <c r="BF1536" t="inlineStr">
        <is>
          <t>893535525</t>
        </is>
      </c>
    </row>
    <row r="1537">
      <c r="A1537" t="inlineStr">
        <is>
          <t>No</t>
        </is>
      </c>
      <c r="B1537" t="inlineStr">
        <is>
          <t>CURAL</t>
        </is>
      </c>
      <c r="C1537" t="inlineStr">
        <is>
          <t>SHELVES</t>
        </is>
      </c>
      <c r="D1537" t="inlineStr">
        <is>
          <t>PR4168 .G3 1905</t>
        </is>
      </c>
      <c r="E1537" t="inlineStr">
        <is>
          <t>0                      PR 4168000G  3           1905</t>
        </is>
      </c>
      <c r="F1537" t="inlineStr">
        <is>
          <t>The life of Charlotte Brontë / by E. C. Gaskell ; introd. and notes by Temple Scott and B. W. Willett.</t>
        </is>
      </c>
      <c r="H1537" t="inlineStr">
        <is>
          <t>No</t>
        </is>
      </c>
      <c r="I1537" t="inlineStr">
        <is>
          <t>1</t>
        </is>
      </c>
      <c r="J1537" t="inlineStr">
        <is>
          <t>No</t>
        </is>
      </c>
      <c r="K1537" t="inlineStr">
        <is>
          <t>No</t>
        </is>
      </c>
      <c r="L1537" t="inlineStr">
        <is>
          <t>0</t>
        </is>
      </c>
      <c r="M1537" t="inlineStr">
        <is>
          <t>Gaskell, Elizabeth Cleghorn, 1810-1865.</t>
        </is>
      </c>
      <c r="N1537" t="inlineStr">
        <is>
          <t>Edinburgh : J. Grant, 1905.</t>
        </is>
      </c>
      <c r="O1537" t="inlineStr">
        <is>
          <t>1905</t>
        </is>
      </c>
      <c r="P1537" t="inlineStr">
        <is>
          <t>Thornton ed.</t>
        </is>
      </c>
      <c r="Q1537" t="inlineStr">
        <is>
          <t>eng</t>
        </is>
      </c>
      <c r="R1537" t="inlineStr">
        <is>
          <t>stk</t>
        </is>
      </c>
      <c r="T1537" t="inlineStr">
        <is>
          <t xml:space="preserve">PR </t>
        </is>
      </c>
      <c r="U1537" t="n">
        <v>4</v>
      </c>
      <c r="V1537" t="n">
        <v>4</v>
      </c>
      <c r="W1537" t="inlineStr">
        <is>
          <t>2002-10-21</t>
        </is>
      </c>
      <c r="X1537" t="inlineStr">
        <is>
          <t>2002-10-21</t>
        </is>
      </c>
      <c r="Y1537" t="inlineStr">
        <is>
          <t>1993-04-15</t>
        </is>
      </c>
      <c r="Z1537" t="inlineStr">
        <is>
          <t>1993-04-15</t>
        </is>
      </c>
      <c r="AA1537" t="n">
        <v>58</v>
      </c>
      <c r="AB1537" t="n">
        <v>46</v>
      </c>
      <c r="AC1537" t="n">
        <v>2292</v>
      </c>
      <c r="AD1537" t="n">
        <v>1</v>
      </c>
      <c r="AE1537" t="n">
        <v>13</v>
      </c>
      <c r="AF1537" t="n">
        <v>2</v>
      </c>
      <c r="AG1537" t="n">
        <v>62</v>
      </c>
      <c r="AH1537" t="n">
        <v>0</v>
      </c>
      <c r="AI1537" t="n">
        <v>29</v>
      </c>
      <c r="AJ1537" t="n">
        <v>0</v>
      </c>
      <c r="AK1537" t="n">
        <v>11</v>
      </c>
      <c r="AL1537" t="n">
        <v>2</v>
      </c>
      <c r="AM1537" t="n">
        <v>26</v>
      </c>
      <c r="AN1537" t="n">
        <v>0</v>
      </c>
      <c r="AO1537" t="n">
        <v>8</v>
      </c>
      <c r="AP1537" t="n">
        <v>0</v>
      </c>
      <c r="AQ1537" t="n">
        <v>2</v>
      </c>
      <c r="AR1537" t="inlineStr">
        <is>
          <t>Yes</t>
        </is>
      </c>
      <c r="AS1537" t="inlineStr">
        <is>
          <t>No</t>
        </is>
      </c>
      <c r="AT1537">
        <f>HYPERLINK("http://catalog.hathitrust.org/Record/100324170","HathiTrust Record")</f>
        <v/>
      </c>
      <c r="AU1537">
        <f>HYPERLINK("https://creighton-primo.hosted.exlibrisgroup.com/primo-explore/search?tab=default_tab&amp;search_scope=EVERYTHING&amp;vid=01CRU&amp;lang=en_US&amp;offset=0&amp;query=any,contains,991004218769702656","Catalog Record")</f>
        <v/>
      </c>
      <c r="AV1537">
        <f>HYPERLINK("http://www.worldcat.org/oclc/2705438","WorldCat Record")</f>
        <v/>
      </c>
      <c r="AW1537" t="inlineStr">
        <is>
          <t>129574:eng</t>
        </is>
      </c>
      <c r="AX1537" t="inlineStr">
        <is>
          <t>2705438</t>
        </is>
      </c>
      <c r="AY1537" t="inlineStr">
        <is>
          <t>991004218769702656</t>
        </is>
      </c>
      <c r="AZ1537" t="inlineStr">
        <is>
          <t>991004218769702656</t>
        </is>
      </c>
      <c r="BA1537" t="inlineStr">
        <is>
          <t>2255998150002656</t>
        </is>
      </c>
      <c r="BB1537" t="inlineStr">
        <is>
          <t>BOOK</t>
        </is>
      </c>
      <c r="BE1537" t="inlineStr">
        <is>
          <t>32285001620607</t>
        </is>
      </c>
      <c r="BF1537" t="inlineStr">
        <is>
          <t>893417374</t>
        </is>
      </c>
    </row>
    <row r="1538">
      <c r="A1538" t="inlineStr">
        <is>
          <t>No</t>
        </is>
      </c>
      <c r="B1538" t="inlineStr">
        <is>
          <t>CURAL</t>
        </is>
      </c>
      <c r="C1538" t="inlineStr">
        <is>
          <t>SHELVES</t>
        </is>
      </c>
      <c r="D1538" t="inlineStr">
        <is>
          <t>PR4168 .G4 1968</t>
        </is>
      </c>
      <c r="E1538" t="inlineStr">
        <is>
          <t>0                      PR 4168000G  4           1968</t>
        </is>
      </c>
      <c r="F1538" t="inlineStr">
        <is>
          <t>Charlotte Brontë : the evolution of genius.</t>
        </is>
      </c>
      <c r="H1538" t="inlineStr">
        <is>
          <t>No</t>
        </is>
      </c>
      <c r="I1538" t="inlineStr">
        <is>
          <t>1</t>
        </is>
      </c>
      <c r="J1538" t="inlineStr">
        <is>
          <t>No</t>
        </is>
      </c>
      <c r="K1538" t="inlineStr">
        <is>
          <t>No</t>
        </is>
      </c>
      <c r="L1538" t="inlineStr">
        <is>
          <t>0</t>
        </is>
      </c>
      <c r="M1538" t="inlineStr">
        <is>
          <t>Gérin, Winifred.</t>
        </is>
      </c>
      <c r="N1538" t="inlineStr">
        <is>
          <t>Oxford, Clarendon P., 1968, c1967.</t>
        </is>
      </c>
      <c r="O1538" t="inlineStr">
        <is>
          <t>1968</t>
        </is>
      </c>
      <c r="Q1538" t="inlineStr">
        <is>
          <t>eng</t>
        </is>
      </c>
      <c r="R1538" t="inlineStr">
        <is>
          <t>enk</t>
        </is>
      </c>
      <c r="T1538" t="inlineStr">
        <is>
          <t xml:space="preserve">PR </t>
        </is>
      </c>
      <c r="U1538" t="n">
        <v>4</v>
      </c>
      <c r="V1538" t="n">
        <v>4</v>
      </c>
      <c r="W1538" t="inlineStr">
        <is>
          <t>2002-10-21</t>
        </is>
      </c>
      <c r="X1538" t="inlineStr">
        <is>
          <t>2002-10-21</t>
        </is>
      </c>
      <c r="Y1538" t="inlineStr">
        <is>
          <t>1998-07-21</t>
        </is>
      </c>
      <c r="Z1538" t="inlineStr">
        <is>
          <t>1998-07-21</t>
        </is>
      </c>
      <c r="AA1538" t="n">
        <v>121</v>
      </c>
      <c r="AB1538" t="n">
        <v>108</v>
      </c>
      <c r="AC1538" t="n">
        <v>1283</v>
      </c>
      <c r="AD1538" t="n">
        <v>1</v>
      </c>
      <c r="AE1538" t="n">
        <v>8</v>
      </c>
      <c r="AF1538" t="n">
        <v>3</v>
      </c>
      <c r="AG1538" t="n">
        <v>47</v>
      </c>
      <c r="AH1538" t="n">
        <v>1</v>
      </c>
      <c r="AI1538" t="n">
        <v>19</v>
      </c>
      <c r="AJ1538" t="n">
        <v>1</v>
      </c>
      <c r="AK1538" t="n">
        <v>10</v>
      </c>
      <c r="AL1538" t="n">
        <v>3</v>
      </c>
      <c r="AM1538" t="n">
        <v>22</v>
      </c>
      <c r="AN1538" t="n">
        <v>0</v>
      </c>
      <c r="AO1538" t="n">
        <v>7</v>
      </c>
      <c r="AP1538" t="n">
        <v>0</v>
      </c>
      <c r="AQ1538" t="n">
        <v>0</v>
      </c>
      <c r="AR1538" t="inlineStr">
        <is>
          <t>No</t>
        </is>
      </c>
      <c r="AS1538" t="inlineStr">
        <is>
          <t>Yes</t>
        </is>
      </c>
      <c r="AT1538">
        <f>HYPERLINK("http://catalog.hathitrust.org/Record/009913837","HathiTrust Record")</f>
        <v/>
      </c>
      <c r="AU1538">
        <f>HYPERLINK("https://creighton-primo.hosted.exlibrisgroup.com/primo-explore/search?tab=default_tab&amp;search_scope=EVERYTHING&amp;vid=01CRU&amp;lang=en_US&amp;offset=0&amp;query=any,contains,991004755449702656","Catalog Record")</f>
        <v/>
      </c>
      <c r="AV1538">
        <f>HYPERLINK("http://www.worldcat.org/oclc/4959644","WorldCat Record")</f>
        <v/>
      </c>
      <c r="AW1538" t="inlineStr">
        <is>
          <t>1398298:eng</t>
        </is>
      </c>
      <c r="AX1538" t="inlineStr">
        <is>
          <t>4959644</t>
        </is>
      </c>
      <c r="AY1538" t="inlineStr">
        <is>
          <t>991004755449702656</t>
        </is>
      </c>
      <c r="AZ1538" t="inlineStr">
        <is>
          <t>991004755449702656</t>
        </is>
      </c>
      <c r="BA1538" t="inlineStr">
        <is>
          <t>2269866120002656</t>
        </is>
      </c>
      <c r="BB1538" t="inlineStr">
        <is>
          <t>BOOK</t>
        </is>
      </c>
      <c r="BE1538" t="inlineStr">
        <is>
          <t>32285003434452</t>
        </is>
      </c>
      <c r="BF1538" t="inlineStr">
        <is>
          <t>893776389</t>
        </is>
      </c>
    </row>
    <row r="1539">
      <c r="A1539" t="inlineStr">
        <is>
          <t>No</t>
        </is>
      </c>
      <c r="B1539" t="inlineStr">
        <is>
          <t>CURAL</t>
        </is>
      </c>
      <c r="C1539" t="inlineStr">
        <is>
          <t>SHELVES</t>
        </is>
      </c>
      <c r="D1539" t="inlineStr">
        <is>
          <t>PR4168 .H3</t>
        </is>
      </c>
      <c r="E1539" t="inlineStr">
        <is>
          <t>0                      PR 4168000H  3</t>
        </is>
      </c>
      <c r="F1539" t="inlineStr">
        <is>
          <t>Haworth parsonage : a study of Wesley and the Brontës / by G. Elsie Harrison. London, The Epworth press (E. C. Barton), [1937]</t>
        </is>
      </c>
      <c r="H1539" t="inlineStr">
        <is>
          <t>No</t>
        </is>
      </c>
      <c r="I1539" t="inlineStr">
        <is>
          <t>1</t>
        </is>
      </c>
      <c r="J1539" t="inlineStr">
        <is>
          <t>No</t>
        </is>
      </c>
      <c r="K1539" t="inlineStr">
        <is>
          <t>No</t>
        </is>
      </c>
      <c r="L1539" t="inlineStr">
        <is>
          <t>0</t>
        </is>
      </c>
      <c r="M1539" t="inlineStr">
        <is>
          <t>Harrison, G. Elsie (Grace Elsie), 1886-</t>
        </is>
      </c>
      <c r="N1539" t="inlineStr">
        <is>
          <t>[Folcroft, Pa. : Folcroft Press, 197-.]</t>
        </is>
      </c>
      <c r="O1539" t="inlineStr">
        <is>
          <t>1970</t>
        </is>
      </c>
      <c r="Q1539" t="inlineStr">
        <is>
          <t>eng</t>
        </is>
      </c>
      <c r="R1539" t="inlineStr">
        <is>
          <t xml:space="preserve">xx </t>
        </is>
      </c>
      <c r="S1539" t="inlineStr">
        <is>
          <t>The Wesley historical society lectures, no. 3</t>
        </is>
      </c>
      <c r="T1539" t="inlineStr">
        <is>
          <t xml:space="preserve">PR </t>
        </is>
      </c>
      <c r="U1539" t="n">
        <v>5</v>
      </c>
      <c r="V1539" t="n">
        <v>5</v>
      </c>
      <c r="W1539" t="inlineStr">
        <is>
          <t>1999-02-22</t>
        </is>
      </c>
      <c r="X1539" t="inlineStr">
        <is>
          <t>1999-02-22</t>
        </is>
      </c>
      <c r="Y1539" t="inlineStr">
        <is>
          <t>1995-01-14</t>
        </is>
      </c>
      <c r="Z1539" t="inlineStr">
        <is>
          <t>1995-01-14</t>
        </is>
      </c>
      <c r="AA1539" t="n">
        <v>27</v>
      </c>
      <c r="AB1539" t="n">
        <v>26</v>
      </c>
      <c r="AC1539" t="n">
        <v>91</v>
      </c>
      <c r="AD1539" t="n">
        <v>3</v>
      </c>
      <c r="AE1539" t="n">
        <v>4</v>
      </c>
      <c r="AF1539" t="n">
        <v>2</v>
      </c>
      <c r="AG1539" t="n">
        <v>6</v>
      </c>
      <c r="AH1539" t="n">
        <v>0</v>
      </c>
      <c r="AI1539" t="n">
        <v>1</v>
      </c>
      <c r="AJ1539" t="n">
        <v>0</v>
      </c>
      <c r="AK1539" t="n">
        <v>1</v>
      </c>
      <c r="AL1539" t="n">
        <v>0</v>
      </c>
      <c r="AM1539" t="n">
        <v>2</v>
      </c>
      <c r="AN1539" t="n">
        <v>2</v>
      </c>
      <c r="AO1539" t="n">
        <v>3</v>
      </c>
      <c r="AP1539" t="n">
        <v>0</v>
      </c>
      <c r="AQ1539" t="n">
        <v>0</v>
      </c>
      <c r="AR1539" t="inlineStr">
        <is>
          <t>No</t>
        </is>
      </c>
      <c r="AS1539" t="inlineStr">
        <is>
          <t>No</t>
        </is>
      </c>
      <c r="AU1539">
        <f>HYPERLINK("https://creighton-primo.hosted.exlibrisgroup.com/primo-explore/search?tab=default_tab&amp;search_scope=EVERYTHING&amp;vid=01CRU&amp;lang=en_US&amp;offset=0&amp;query=any,contains,991003874149702656","Catalog Record")</f>
        <v/>
      </c>
      <c r="AV1539">
        <f>HYPERLINK("http://www.worldcat.org/oclc/1701731","WorldCat Record")</f>
        <v/>
      </c>
      <c r="AW1539" t="inlineStr">
        <is>
          <t>1726409:eng</t>
        </is>
      </c>
      <c r="AX1539" t="inlineStr">
        <is>
          <t>1701731</t>
        </is>
      </c>
      <c r="AY1539" t="inlineStr">
        <is>
          <t>991003874149702656</t>
        </is>
      </c>
      <c r="AZ1539" t="inlineStr">
        <is>
          <t>991003874149702656</t>
        </is>
      </c>
      <c r="BA1539" t="inlineStr">
        <is>
          <t>2271699970002656</t>
        </is>
      </c>
      <c r="BB1539" t="inlineStr">
        <is>
          <t>BOOK</t>
        </is>
      </c>
      <c r="BE1539" t="inlineStr">
        <is>
          <t>32285001986867</t>
        </is>
      </c>
      <c r="BF1539" t="inlineStr">
        <is>
          <t>893787950</t>
        </is>
      </c>
    </row>
    <row r="1540">
      <c r="A1540" t="inlineStr">
        <is>
          <t>No</t>
        </is>
      </c>
      <c r="B1540" t="inlineStr">
        <is>
          <t>CURAL</t>
        </is>
      </c>
      <c r="C1540" t="inlineStr">
        <is>
          <t>SHELVES</t>
        </is>
      </c>
      <c r="D1540" t="inlineStr">
        <is>
          <t>PR4168 .H5</t>
        </is>
      </c>
      <c r="E1540" t="inlineStr">
        <is>
          <t>0                      PR 4168000H  5</t>
        </is>
      </c>
      <c r="F1540" t="inlineStr">
        <is>
          <t>The Brontës, Charlotte and Emily, by Laura L. Hinkley.</t>
        </is>
      </c>
      <c r="H1540" t="inlineStr">
        <is>
          <t>No</t>
        </is>
      </c>
      <c r="I1540" t="inlineStr">
        <is>
          <t>1</t>
        </is>
      </c>
      <c r="J1540" t="inlineStr">
        <is>
          <t>No</t>
        </is>
      </c>
      <c r="K1540" t="inlineStr">
        <is>
          <t>No</t>
        </is>
      </c>
      <c r="L1540" t="inlineStr">
        <is>
          <t>0</t>
        </is>
      </c>
      <c r="M1540" t="inlineStr">
        <is>
          <t>Hinkley, Laura L.</t>
        </is>
      </c>
      <c r="N1540" t="inlineStr">
        <is>
          <t>New York, Hastings House [c1945]</t>
        </is>
      </c>
      <c r="O1540" t="inlineStr">
        <is>
          <t>1945</t>
        </is>
      </c>
      <c r="Q1540" t="inlineStr">
        <is>
          <t>eng</t>
        </is>
      </c>
      <c r="R1540" t="inlineStr">
        <is>
          <t>nyu</t>
        </is>
      </c>
      <c r="T1540" t="inlineStr">
        <is>
          <t xml:space="preserve">PR </t>
        </is>
      </c>
      <c r="U1540" t="n">
        <v>1</v>
      </c>
      <c r="V1540" t="n">
        <v>1</v>
      </c>
      <c r="W1540" t="inlineStr">
        <is>
          <t>2004-04-14</t>
        </is>
      </c>
      <c r="X1540" t="inlineStr">
        <is>
          <t>2004-04-14</t>
        </is>
      </c>
      <c r="Y1540" t="inlineStr">
        <is>
          <t>1997-06-23</t>
        </is>
      </c>
      <c r="Z1540" t="inlineStr">
        <is>
          <t>1997-06-23</t>
        </is>
      </c>
      <c r="AA1540" t="n">
        <v>602</v>
      </c>
      <c r="AB1540" t="n">
        <v>579</v>
      </c>
      <c r="AC1540" t="n">
        <v>685</v>
      </c>
      <c r="AD1540" t="n">
        <v>8</v>
      </c>
      <c r="AE1540" t="n">
        <v>8</v>
      </c>
      <c r="AF1540" t="n">
        <v>36</v>
      </c>
      <c r="AG1540" t="n">
        <v>38</v>
      </c>
      <c r="AH1540" t="n">
        <v>17</v>
      </c>
      <c r="AI1540" t="n">
        <v>18</v>
      </c>
      <c r="AJ1540" t="n">
        <v>7</v>
      </c>
      <c r="AK1540" t="n">
        <v>8</v>
      </c>
      <c r="AL1540" t="n">
        <v>16</v>
      </c>
      <c r="AM1540" t="n">
        <v>17</v>
      </c>
      <c r="AN1540" t="n">
        <v>6</v>
      </c>
      <c r="AO1540" t="n">
        <v>6</v>
      </c>
      <c r="AP1540" t="n">
        <v>0</v>
      </c>
      <c r="AQ1540" t="n">
        <v>0</v>
      </c>
      <c r="AR1540" t="inlineStr">
        <is>
          <t>No</t>
        </is>
      </c>
      <c r="AS1540" t="inlineStr">
        <is>
          <t>Yes</t>
        </is>
      </c>
      <c r="AT1540">
        <f>HYPERLINK("http://catalog.hathitrust.org/Record/000583129","HathiTrust Record")</f>
        <v/>
      </c>
      <c r="AU1540">
        <f>HYPERLINK("https://creighton-primo.hosted.exlibrisgroup.com/primo-explore/search?tab=default_tab&amp;search_scope=EVERYTHING&amp;vid=01CRU&amp;lang=en_US&amp;offset=0&amp;query=any,contains,991003087699702656","Catalog Record")</f>
        <v/>
      </c>
      <c r="AV1540">
        <f>HYPERLINK("http://www.worldcat.org/oclc/637951","WorldCat Record")</f>
        <v/>
      </c>
      <c r="AW1540" t="inlineStr">
        <is>
          <t>1440081:eng</t>
        </is>
      </c>
      <c r="AX1540" t="inlineStr">
        <is>
          <t>637951</t>
        </is>
      </c>
      <c r="AY1540" t="inlineStr">
        <is>
          <t>991003087699702656</t>
        </is>
      </c>
      <c r="AZ1540" t="inlineStr">
        <is>
          <t>991003087699702656</t>
        </is>
      </c>
      <c r="BA1540" t="inlineStr">
        <is>
          <t>2256483780002656</t>
        </is>
      </c>
      <c r="BB1540" t="inlineStr">
        <is>
          <t>BOOK</t>
        </is>
      </c>
      <c r="BE1540" t="inlineStr">
        <is>
          <t>32285002827763</t>
        </is>
      </c>
      <c r="BF1540" t="inlineStr">
        <is>
          <t>893616981</t>
        </is>
      </c>
    </row>
    <row r="1541">
      <c r="A1541" t="inlineStr">
        <is>
          <t>No</t>
        </is>
      </c>
      <c r="B1541" t="inlineStr">
        <is>
          <t>CURAL</t>
        </is>
      </c>
      <c r="C1541" t="inlineStr">
        <is>
          <t>SHELVES</t>
        </is>
      </c>
      <c r="D1541" t="inlineStr">
        <is>
          <t>PR4168 .L56 1982b</t>
        </is>
      </c>
      <c r="E1541" t="inlineStr">
        <is>
          <t>0                      PR 4168000L  56          1982b</t>
        </is>
      </c>
      <c r="F1541" t="inlineStr">
        <is>
          <t>The Scribner companion to the Brontës / Barbara and Gareth Lloyd Evans.</t>
        </is>
      </c>
      <c r="H1541" t="inlineStr">
        <is>
          <t>No</t>
        </is>
      </c>
      <c r="I1541" t="inlineStr">
        <is>
          <t>1</t>
        </is>
      </c>
      <c r="J1541" t="inlineStr">
        <is>
          <t>No</t>
        </is>
      </c>
      <c r="K1541" t="inlineStr">
        <is>
          <t>No</t>
        </is>
      </c>
      <c r="L1541" t="inlineStr">
        <is>
          <t>0</t>
        </is>
      </c>
      <c r="M1541" t="inlineStr">
        <is>
          <t>Lloyd Evans, Barbara.</t>
        </is>
      </c>
      <c r="N1541" t="inlineStr">
        <is>
          <t>New York : C. Scribner's Sons, 1982.</t>
        </is>
      </c>
      <c r="O1541" t="inlineStr">
        <is>
          <t>1982</t>
        </is>
      </c>
      <c r="P1541" t="inlineStr">
        <is>
          <t>U.S. ed.</t>
        </is>
      </c>
      <c r="Q1541" t="inlineStr">
        <is>
          <t>eng</t>
        </is>
      </c>
      <c r="R1541" t="inlineStr">
        <is>
          <t>nyu</t>
        </is>
      </c>
      <c r="T1541" t="inlineStr">
        <is>
          <t xml:space="preserve">PR </t>
        </is>
      </c>
      <c r="U1541" t="n">
        <v>2</v>
      </c>
      <c r="V1541" t="n">
        <v>2</v>
      </c>
      <c r="W1541" t="inlineStr">
        <is>
          <t>1993-02-22</t>
        </is>
      </c>
      <c r="X1541" t="inlineStr">
        <is>
          <t>1993-02-22</t>
        </is>
      </c>
      <c r="Y1541" t="inlineStr">
        <is>
          <t>1991-11-19</t>
        </is>
      </c>
      <c r="Z1541" t="inlineStr">
        <is>
          <t>1991-11-19</t>
        </is>
      </c>
      <c r="AA1541" t="n">
        <v>810</v>
      </c>
      <c r="AB1541" t="n">
        <v>770</v>
      </c>
      <c r="AC1541" t="n">
        <v>778</v>
      </c>
      <c r="AD1541" t="n">
        <v>6</v>
      </c>
      <c r="AE1541" t="n">
        <v>6</v>
      </c>
      <c r="AF1541" t="n">
        <v>28</v>
      </c>
      <c r="AG1541" t="n">
        <v>28</v>
      </c>
      <c r="AH1541" t="n">
        <v>11</v>
      </c>
      <c r="AI1541" t="n">
        <v>11</v>
      </c>
      <c r="AJ1541" t="n">
        <v>7</v>
      </c>
      <c r="AK1541" t="n">
        <v>7</v>
      </c>
      <c r="AL1541" t="n">
        <v>12</v>
      </c>
      <c r="AM1541" t="n">
        <v>12</v>
      </c>
      <c r="AN1541" t="n">
        <v>5</v>
      </c>
      <c r="AO1541" t="n">
        <v>5</v>
      </c>
      <c r="AP1541" t="n">
        <v>0</v>
      </c>
      <c r="AQ1541" t="n">
        <v>0</v>
      </c>
      <c r="AR1541" t="inlineStr">
        <is>
          <t>No</t>
        </is>
      </c>
      <c r="AS1541" t="inlineStr">
        <is>
          <t>No</t>
        </is>
      </c>
      <c r="AU1541">
        <f>HYPERLINK("https://creighton-primo.hosted.exlibrisgroup.com/primo-explore/search?tab=default_tab&amp;search_scope=EVERYTHING&amp;vid=01CRU&amp;lang=en_US&amp;offset=0&amp;query=any,contains,991000227009702656","Catalog Record")</f>
        <v/>
      </c>
      <c r="AV1541">
        <f>HYPERLINK("http://www.worldcat.org/oclc/9621549","WorldCat Record")</f>
        <v/>
      </c>
      <c r="AW1541" t="inlineStr">
        <is>
          <t>433853:eng</t>
        </is>
      </c>
      <c r="AX1541" t="inlineStr">
        <is>
          <t>9621549</t>
        </is>
      </c>
      <c r="AY1541" t="inlineStr">
        <is>
          <t>991000227009702656</t>
        </is>
      </c>
      <c r="AZ1541" t="inlineStr">
        <is>
          <t>991000227009702656</t>
        </is>
      </c>
      <c r="BA1541" t="inlineStr">
        <is>
          <t>2268886450002656</t>
        </is>
      </c>
      <c r="BB1541" t="inlineStr">
        <is>
          <t>BOOK</t>
        </is>
      </c>
      <c r="BD1541" t="inlineStr">
        <is>
          <t>9780684176628</t>
        </is>
      </c>
      <c r="BE1541" t="inlineStr">
        <is>
          <t>32285000840867</t>
        </is>
      </c>
      <c r="BF1541" t="inlineStr">
        <is>
          <t>893689569</t>
        </is>
      </c>
    </row>
    <row r="1542">
      <c r="A1542" t="inlineStr">
        <is>
          <t>No</t>
        </is>
      </c>
      <c r="B1542" t="inlineStr">
        <is>
          <t>CURAL</t>
        </is>
      </c>
      <c r="C1542" t="inlineStr">
        <is>
          <t>SHELVES</t>
        </is>
      </c>
      <c r="D1542" t="inlineStr">
        <is>
          <t>PR4168 .S36 1970</t>
        </is>
      </c>
      <c r="E1542" t="inlineStr">
        <is>
          <t>0                      PR 4168000S  36          1970</t>
        </is>
      </c>
      <c r="F1542" t="inlineStr">
        <is>
          <t>Charlotte and Emily Brontë.</t>
        </is>
      </c>
      <c r="H1542" t="inlineStr">
        <is>
          <t>No</t>
        </is>
      </c>
      <c r="I1542" t="inlineStr">
        <is>
          <t>1</t>
        </is>
      </c>
      <c r="J1542" t="inlineStr">
        <is>
          <t>No</t>
        </is>
      </c>
      <c r="K1542" t="inlineStr">
        <is>
          <t>No</t>
        </is>
      </c>
      <c r="L1542" t="inlineStr">
        <is>
          <t>0</t>
        </is>
      </c>
      <c r="M1542" t="inlineStr">
        <is>
          <t>Sherry, Norman.</t>
        </is>
      </c>
      <c r="N1542" t="inlineStr">
        <is>
          <t>New York : Arco, [1970]</t>
        </is>
      </c>
      <c r="O1542" t="inlineStr">
        <is>
          <t>1970</t>
        </is>
      </c>
      <c r="Q1542" t="inlineStr">
        <is>
          <t>eng</t>
        </is>
      </c>
      <c r="R1542" t="inlineStr">
        <is>
          <t>nyu</t>
        </is>
      </c>
      <c r="S1542" t="inlineStr">
        <is>
          <t>Arco literary critiques</t>
        </is>
      </c>
      <c r="T1542" t="inlineStr">
        <is>
          <t xml:space="preserve">PR </t>
        </is>
      </c>
      <c r="U1542" t="n">
        <v>1</v>
      </c>
      <c r="V1542" t="n">
        <v>1</v>
      </c>
      <c r="W1542" t="inlineStr">
        <is>
          <t>2008-03-31</t>
        </is>
      </c>
      <c r="X1542" t="inlineStr">
        <is>
          <t>2008-03-31</t>
        </is>
      </c>
      <c r="Y1542" t="inlineStr">
        <is>
          <t>1993-10-29</t>
        </is>
      </c>
      <c r="Z1542" t="inlineStr">
        <is>
          <t>1993-10-29</t>
        </is>
      </c>
      <c r="AA1542" t="n">
        <v>545</v>
      </c>
      <c r="AB1542" t="n">
        <v>523</v>
      </c>
      <c r="AC1542" t="n">
        <v>627</v>
      </c>
      <c r="AD1542" t="n">
        <v>3</v>
      </c>
      <c r="AE1542" t="n">
        <v>4</v>
      </c>
      <c r="AF1542" t="n">
        <v>12</v>
      </c>
      <c r="AG1542" t="n">
        <v>18</v>
      </c>
      <c r="AH1542" t="n">
        <v>4</v>
      </c>
      <c r="AI1542" t="n">
        <v>6</v>
      </c>
      <c r="AJ1542" t="n">
        <v>5</v>
      </c>
      <c r="AK1542" t="n">
        <v>6</v>
      </c>
      <c r="AL1542" t="n">
        <v>5</v>
      </c>
      <c r="AM1542" t="n">
        <v>8</v>
      </c>
      <c r="AN1542" t="n">
        <v>1</v>
      </c>
      <c r="AO1542" t="n">
        <v>2</v>
      </c>
      <c r="AP1542" t="n">
        <v>0</v>
      </c>
      <c r="AQ1542" t="n">
        <v>0</v>
      </c>
      <c r="AR1542" t="inlineStr">
        <is>
          <t>No</t>
        </is>
      </c>
      <c r="AS1542" t="inlineStr">
        <is>
          <t>No</t>
        </is>
      </c>
      <c r="AU1542">
        <f>HYPERLINK("https://creighton-primo.hosted.exlibrisgroup.com/primo-explore/search?tab=default_tab&amp;search_scope=EVERYTHING&amp;vid=01CRU&amp;lang=en_US&amp;offset=0&amp;query=any,contains,991000578769702656","Catalog Record")</f>
        <v/>
      </c>
      <c r="AV1542">
        <f>HYPERLINK("http://www.worldcat.org/oclc/95466","WorldCat Record")</f>
        <v/>
      </c>
      <c r="AW1542" t="inlineStr">
        <is>
          <t>1180919:eng</t>
        </is>
      </c>
      <c r="AX1542" t="inlineStr">
        <is>
          <t>95466</t>
        </is>
      </c>
      <c r="AY1542" t="inlineStr">
        <is>
          <t>991000578769702656</t>
        </is>
      </c>
      <c r="AZ1542" t="inlineStr">
        <is>
          <t>991000578769702656</t>
        </is>
      </c>
      <c r="BA1542" t="inlineStr">
        <is>
          <t>2272435700002656</t>
        </is>
      </c>
      <c r="BB1542" t="inlineStr">
        <is>
          <t>BOOK</t>
        </is>
      </c>
      <c r="BD1542" t="inlineStr">
        <is>
          <t>9780668021852</t>
        </is>
      </c>
      <c r="BE1542" t="inlineStr">
        <is>
          <t>32285001795607</t>
        </is>
      </c>
      <c r="BF1542" t="inlineStr">
        <is>
          <t>893702246</t>
        </is>
      </c>
    </row>
    <row r="1543">
      <c r="A1543" t="inlineStr">
        <is>
          <t>No</t>
        </is>
      </c>
      <c r="B1543" t="inlineStr">
        <is>
          <t>CURAL</t>
        </is>
      </c>
      <c r="C1543" t="inlineStr">
        <is>
          <t>SHELVES</t>
        </is>
      </c>
      <c r="D1543" t="inlineStr">
        <is>
          <t>PR4168 .S385 1970</t>
        </is>
      </c>
      <c r="E1543" t="inlineStr">
        <is>
          <t>0                      PR 4168000S  385         1970</t>
        </is>
      </c>
      <c r="F1543" t="inlineStr">
        <is>
          <t>Charlotte Brontë and her circle.</t>
        </is>
      </c>
      <c r="H1543" t="inlineStr">
        <is>
          <t>No</t>
        </is>
      </c>
      <c r="I1543" t="inlineStr">
        <is>
          <t>1</t>
        </is>
      </c>
      <c r="J1543" t="inlineStr">
        <is>
          <t>No</t>
        </is>
      </c>
      <c r="K1543" t="inlineStr">
        <is>
          <t>No</t>
        </is>
      </c>
      <c r="L1543" t="inlineStr">
        <is>
          <t>0</t>
        </is>
      </c>
      <c r="M1543" t="inlineStr">
        <is>
          <t>Shorter, Clement King, 1857-1926.</t>
        </is>
      </c>
      <c r="N1543" t="inlineStr">
        <is>
          <t>Westport, Conn., Greenwood Press [1970]</t>
        </is>
      </c>
      <c r="O1543" t="inlineStr">
        <is>
          <t>1970</t>
        </is>
      </c>
      <c r="Q1543" t="inlineStr">
        <is>
          <t>eng</t>
        </is>
      </c>
      <c r="R1543" t="inlineStr">
        <is>
          <t>ctu</t>
        </is>
      </c>
      <c r="T1543" t="inlineStr">
        <is>
          <t xml:space="preserve">PR </t>
        </is>
      </c>
      <c r="U1543" t="n">
        <v>4</v>
      </c>
      <c r="V1543" t="n">
        <v>4</v>
      </c>
      <c r="W1543" t="inlineStr">
        <is>
          <t>2002-10-21</t>
        </is>
      </c>
      <c r="X1543" t="inlineStr">
        <is>
          <t>2002-10-21</t>
        </is>
      </c>
      <c r="Y1543" t="inlineStr">
        <is>
          <t>1997-06-23</t>
        </is>
      </c>
      <c r="Z1543" t="inlineStr">
        <is>
          <t>1997-06-23</t>
        </is>
      </c>
      <c r="AA1543" t="n">
        <v>221</v>
      </c>
      <c r="AB1543" t="n">
        <v>201</v>
      </c>
      <c r="AC1543" t="n">
        <v>716</v>
      </c>
      <c r="AD1543" t="n">
        <v>2</v>
      </c>
      <c r="AE1543" t="n">
        <v>7</v>
      </c>
      <c r="AF1543" t="n">
        <v>7</v>
      </c>
      <c r="AG1543" t="n">
        <v>29</v>
      </c>
      <c r="AH1543" t="n">
        <v>0</v>
      </c>
      <c r="AI1543" t="n">
        <v>4</v>
      </c>
      <c r="AJ1543" t="n">
        <v>4</v>
      </c>
      <c r="AK1543" t="n">
        <v>8</v>
      </c>
      <c r="AL1543" t="n">
        <v>4</v>
      </c>
      <c r="AM1543" t="n">
        <v>17</v>
      </c>
      <c r="AN1543" t="n">
        <v>1</v>
      </c>
      <c r="AO1543" t="n">
        <v>6</v>
      </c>
      <c r="AP1543" t="n">
        <v>0</v>
      </c>
      <c r="AQ1543" t="n">
        <v>0</v>
      </c>
      <c r="AR1543" t="inlineStr">
        <is>
          <t>No</t>
        </is>
      </c>
      <c r="AS1543" t="inlineStr">
        <is>
          <t>Yes</t>
        </is>
      </c>
      <c r="AT1543">
        <f>HYPERLINK("http://catalog.hathitrust.org/Record/102068543","HathiTrust Record")</f>
        <v/>
      </c>
      <c r="AU1543">
        <f>HYPERLINK("https://creighton-primo.hosted.exlibrisgroup.com/primo-explore/search?tab=default_tab&amp;search_scope=EVERYTHING&amp;vid=01CRU&amp;lang=en_US&amp;offset=0&amp;query=any,contains,991000211489702656","Catalog Record")</f>
        <v/>
      </c>
      <c r="AV1543">
        <f>HYPERLINK("http://www.worldcat.org/oclc/66539","WorldCat Record")</f>
        <v/>
      </c>
      <c r="AW1543" t="inlineStr">
        <is>
          <t>1194900:eng</t>
        </is>
      </c>
      <c r="AX1543" t="inlineStr">
        <is>
          <t>66539</t>
        </is>
      </c>
      <c r="AY1543" t="inlineStr">
        <is>
          <t>991000211489702656</t>
        </is>
      </c>
      <c r="AZ1543" t="inlineStr">
        <is>
          <t>991000211489702656</t>
        </is>
      </c>
      <c r="BA1543" t="inlineStr">
        <is>
          <t>2258768280002656</t>
        </is>
      </c>
      <c r="BB1543" t="inlineStr">
        <is>
          <t>BOOK</t>
        </is>
      </c>
      <c r="BD1543" t="inlineStr">
        <is>
          <t>9780837128115</t>
        </is>
      </c>
      <c r="BE1543" t="inlineStr">
        <is>
          <t>32285002827854</t>
        </is>
      </c>
      <c r="BF1543" t="inlineStr">
        <is>
          <t>893327126</t>
        </is>
      </c>
    </row>
    <row r="1544">
      <c r="A1544" t="inlineStr">
        <is>
          <t>No</t>
        </is>
      </c>
      <c r="B1544" t="inlineStr">
        <is>
          <t>CURAL</t>
        </is>
      </c>
      <c r="C1544" t="inlineStr">
        <is>
          <t>SHELVES</t>
        </is>
      </c>
      <c r="D1544" t="inlineStr">
        <is>
          <t>PR4168 .S5 1967</t>
        </is>
      </c>
      <c r="E1544" t="inlineStr">
        <is>
          <t>0                      PR 4168000S  5           1967</t>
        </is>
      </c>
      <c r="F1544" t="inlineStr">
        <is>
          <t>The three Brontës.</t>
        </is>
      </c>
      <c r="H1544" t="inlineStr">
        <is>
          <t>No</t>
        </is>
      </c>
      <c r="I1544" t="inlineStr">
        <is>
          <t>1</t>
        </is>
      </c>
      <c r="J1544" t="inlineStr">
        <is>
          <t>No</t>
        </is>
      </c>
      <c r="K1544" t="inlineStr">
        <is>
          <t>No</t>
        </is>
      </c>
      <c r="L1544" t="inlineStr">
        <is>
          <t>0</t>
        </is>
      </c>
      <c r="M1544" t="inlineStr">
        <is>
          <t>Sinclair, May.</t>
        </is>
      </c>
      <c r="N1544" t="inlineStr">
        <is>
          <t>Port Washington, N.Y., Kennikat press [1967, c1939]</t>
        </is>
      </c>
      <c r="O1544" t="inlineStr">
        <is>
          <t>1967</t>
        </is>
      </c>
      <c r="Q1544" t="inlineStr">
        <is>
          <t>eng</t>
        </is>
      </c>
      <c r="R1544" t="inlineStr">
        <is>
          <t>nyu</t>
        </is>
      </c>
      <c r="T1544" t="inlineStr">
        <is>
          <t xml:space="preserve">PR </t>
        </is>
      </c>
      <c r="U1544" t="n">
        <v>1</v>
      </c>
      <c r="V1544" t="n">
        <v>1</v>
      </c>
      <c r="W1544" t="inlineStr">
        <is>
          <t>2004-04-18</t>
        </is>
      </c>
      <c r="X1544" t="inlineStr">
        <is>
          <t>2004-04-18</t>
        </is>
      </c>
      <c r="Y1544" t="inlineStr">
        <is>
          <t>1997-06-23</t>
        </is>
      </c>
      <c r="Z1544" t="inlineStr">
        <is>
          <t>1997-06-23</t>
        </is>
      </c>
      <c r="AA1544" t="n">
        <v>388</v>
      </c>
      <c r="AB1544" t="n">
        <v>349</v>
      </c>
      <c r="AC1544" t="n">
        <v>918</v>
      </c>
      <c r="AD1544" t="n">
        <v>3</v>
      </c>
      <c r="AE1544" t="n">
        <v>6</v>
      </c>
      <c r="AF1544" t="n">
        <v>13</v>
      </c>
      <c r="AG1544" t="n">
        <v>34</v>
      </c>
      <c r="AH1544" t="n">
        <v>8</v>
      </c>
      <c r="AI1544" t="n">
        <v>15</v>
      </c>
      <c r="AJ1544" t="n">
        <v>2</v>
      </c>
      <c r="AK1544" t="n">
        <v>7</v>
      </c>
      <c r="AL1544" t="n">
        <v>4</v>
      </c>
      <c r="AM1544" t="n">
        <v>15</v>
      </c>
      <c r="AN1544" t="n">
        <v>2</v>
      </c>
      <c r="AO1544" t="n">
        <v>5</v>
      </c>
      <c r="AP1544" t="n">
        <v>0</v>
      </c>
      <c r="AQ1544" t="n">
        <v>0</v>
      </c>
      <c r="AR1544" t="inlineStr">
        <is>
          <t>No</t>
        </is>
      </c>
      <c r="AS1544" t="inlineStr">
        <is>
          <t>Yes</t>
        </is>
      </c>
      <c r="AT1544">
        <f>HYPERLINK("http://catalog.hathitrust.org/Record/009913838","HathiTrust Record")</f>
        <v/>
      </c>
      <c r="AU1544">
        <f>HYPERLINK("https://creighton-primo.hosted.exlibrisgroup.com/primo-explore/search?tab=default_tab&amp;search_scope=EVERYTHING&amp;vid=01CRU&amp;lang=en_US&amp;offset=0&amp;query=any,contains,991002844759702656","Catalog Record")</f>
        <v/>
      </c>
      <c r="AV1544">
        <f>HYPERLINK("http://www.worldcat.org/oclc/484142","WorldCat Record")</f>
        <v/>
      </c>
      <c r="AW1544" t="inlineStr">
        <is>
          <t>1566892:eng</t>
        </is>
      </c>
      <c r="AX1544" t="inlineStr">
        <is>
          <t>484142</t>
        </is>
      </c>
      <c r="AY1544" t="inlineStr">
        <is>
          <t>991002844759702656</t>
        </is>
      </c>
      <c r="AZ1544" t="inlineStr">
        <is>
          <t>991002844759702656</t>
        </is>
      </c>
      <c r="BA1544" t="inlineStr">
        <is>
          <t>2258100720002656</t>
        </is>
      </c>
      <c r="BB1544" t="inlineStr">
        <is>
          <t>BOOK</t>
        </is>
      </c>
      <c r="BE1544" t="inlineStr">
        <is>
          <t>32285002827862</t>
        </is>
      </c>
      <c r="BF1544" t="inlineStr">
        <is>
          <t>893704595</t>
        </is>
      </c>
    </row>
    <row r="1545">
      <c r="A1545" t="inlineStr">
        <is>
          <t>No</t>
        </is>
      </c>
      <c r="B1545" t="inlineStr">
        <is>
          <t>CURAL</t>
        </is>
      </c>
      <c r="C1545" t="inlineStr">
        <is>
          <t>SHELVES</t>
        </is>
      </c>
      <c r="D1545" t="inlineStr">
        <is>
          <t>PR4168 .W5</t>
        </is>
      </c>
      <c r="E1545" t="inlineStr">
        <is>
          <t>0                      PR 4168000W  5</t>
        </is>
      </c>
      <c r="F1545" t="inlineStr">
        <is>
          <t>The Brontes, by Irene Cooper Willis.</t>
        </is>
      </c>
      <c r="H1545" t="inlineStr">
        <is>
          <t>No</t>
        </is>
      </c>
      <c r="I1545" t="inlineStr">
        <is>
          <t>1</t>
        </is>
      </c>
      <c r="J1545" t="inlineStr">
        <is>
          <t>No</t>
        </is>
      </c>
      <c r="K1545" t="inlineStr">
        <is>
          <t>No</t>
        </is>
      </c>
      <c r="L1545" t="inlineStr">
        <is>
          <t>0</t>
        </is>
      </c>
      <c r="M1545" t="inlineStr">
        <is>
          <t>Willis, Irene Cooper.</t>
        </is>
      </c>
      <c r="N1545" t="inlineStr">
        <is>
          <t>N.Y. The Macmillan Company, 1933.</t>
        </is>
      </c>
      <c r="O1545" t="inlineStr">
        <is>
          <t>1933</t>
        </is>
      </c>
      <c r="Q1545" t="inlineStr">
        <is>
          <t>eng</t>
        </is>
      </c>
      <c r="R1545" t="inlineStr">
        <is>
          <t>nyu</t>
        </is>
      </c>
      <c r="S1545" t="inlineStr">
        <is>
          <t>Great lives</t>
        </is>
      </c>
      <c r="T1545" t="inlineStr">
        <is>
          <t xml:space="preserve">PR </t>
        </is>
      </c>
      <c r="U1545" t="n">
        <v>1</v>
      </c>
      <c r="V1545" t="n">
        <v>1</v>
      </c>
      <c r="W1545" t="inlineStr">
        <is>
          <t>2004-04-01</t>
        </is>
      </c>
      <c r="X1545" t="inlineStr">
        <is>
          <t>2004-04-01</t>
        </is>
      </c>
      <c r="Y1545" t="inlineStr">
        <is>
          <t>1997-06-23</t>
        </is>
      </c>
      <c r="Z1545" t="inlineStr">
        <is>
          <t>1997-06-23</t>
        </is>
      </c>
      <c r="AA1545" t="n">
        <v>187</v>
      </c>
      <c r="AB1545" t="n">
        <v>182</v>
      </c>
      <c r="AC1545" t="n">
        <v>189</v>
      </c>
      <c r="AD1545" t="n">
        <v>2</v>
      </c>
      <c r="AE1545" t="n">
        <v>2</v>
      </c>
      <c r="AF1545" t="n">
        <v>5</v>
      </c>
      <c r="AG1545" t="n">
        <v>5</v>
      </c>
      <c r="AH1545" t="n">
        <v>2</v>
      </c>
      <c r="AI1545" t="n">
        <v>2</v>
      </c>
      <c r="AJ1545" t="n">
        <v>1</v>
      </c>
      <c r="AK1545" t="n">
        <v>1</v>
      </c>
      <c r="AL1545" t="n">
        <v>2</v>
      </c>
      <c r="AM1545" t="n">
        <v>2</v>
      </c>
      <c r="AN1545" t="n">
        <v>1</v>
      </c>
      <c r="AO1545" t="n">
        <v>1</v>
      </c>
      <c r="AP1545" t="n">
        <v>0</v>
      </c>
      <c r="AQ1545" t="n">
        <v>0</v>
      </c>
      <c r="AR1545" t="inlineStr">
        <is>
          <t>Yes</t>
        </is>
      </c>
      <c r="AS1545" t="inlineStr">
        <is>
          <t>No</t>
        </is>
      </c>
      <c r="AT1545">
        <f>HYPERLINK("http://catalog.hathitrust.org/Record/000582872","HathiTrust Record")</f>
        <v/>
      </c>
      <c r="AU1545">
        <f>HYPERLINK("https://creighton-primo.hosted.exlibrisgroup.com/primo-explore/search?tab=default_tab&amp;search_scope=EVERYTHING&amp;vid=01CRU&amp;lang=en_US&amp;offset=0&amp;query=any,contains,991003613989702656","Catalog Record")</f>
        <v/>
      </c>
      <c r="AV1545">
        <f>HYPERLINK("http://www.worldcat.org/oclc/1196527","WorldCat Record")</f>
        <v/>
      </c>
      <c r="AW1545" t="inlineStr">
        <is>
          <t>4020035773:eng</t>
        </is>
      </c>
      <c r="AX1545" t="inlineStr">
        <is>
          <t>1196527</t>
        </is>
      </c>
      <c r="AY1545" t="inlineStr">
        <is>
          <t>991003613989702656</t>
        </is>
      </c>
      <c r="AZ1545" t="inlineStr">
        <is>
          <t>991003613989702656</t>
        </is>
      </c>
      <c r="BA1545" t="inlineStr">
        <is>
          <t>2259727660002656</t>
        </is>
      </c>
      <c r="BB1545" t="inlineStr">
        <is>
          <t>BOOK</t>
        </is>
      </c>
      <c r="BE1545" t="inlineStr">
        <is>
          <t>32285002827888</t>
        </is>
      </c>
      <c r="BF1545" t="inlineStr">
        <is>
          <t>893246543</t>
        </is>
      </c>
    </row>
    <row r="1546">
      <c r="A1546" t="inlineStr">
        <is>
          <t>No</t>
        </is>
      </c>
      <c r="B1546" t="inlineStr">
        <is>
          <t>CURAL</t>
        </is>
      </c>
      <c r="C1546" t="inlineStr">
        <is>
          <t>SHELVES</t>
        </is>
      </c>
      <c r="D1546" t="inlineStr">
        <is>
          <t>PR4169 .B55</t>
        </is>
      </c>
      <c r="E1546" t="inlineStr">
        <is>
          <t>0                      PR 4169000B  55</t>
        </is>
      </c>
      <c r="F1546" t="inlineStr">
        <is>
          <t>Charlotte Brontë / by Margaret Howard Blom.</t>
        </is>
      </c>
      <c r="H1546" t="inlineStr">
        <is>
          <t>No</t>
        </is>
      </c>
      <c r="I1546" t="inlineStr">
        <is>
          <t>1</t>
        </is>
      </c>
      <c r="J1546" t="inlineStr">
        <is>
          <t>No</t>
        </is>
      </c>
      <c r="K1546" t="inlineStr">
        <is>
          <t>No</t>
        </is>
      </c>
      <c r="L1546" t="inlineStr">
        <is>
          <t>0</t>
        </is>
      </c>
      <c r="M1546" t="inlineStr">
        <is>
          <t>Blom, Margaret Howard.</t>
        </is>
      </c>
      <c r="N1546" t="inlineStr">
        <is>
          <t>Boston : Twayne Publishers, c1977.</t>
        </is>
      </c>
      <c r="O1546" t="inlineStr">
        <is>
          <t>1977</t>
        </is>
      </c>
      <c r="Q1546" t="inlineStr">
        <is>
          <t>eng</t>
        </is>
      </c>
      <c r="R1546" t="inlineStr">
        <is>
          <t>mau</t>
        </is>
      </c>
      <c r="S1546" t="inlineStr">
        <is>
          <t>Twayne's English authors series ; TEAS 203</t>
        </is>
      </c>
      <c r="T1546" t="inlineStr">
        <is>
          <t xml:space="preserve">PR </t>
        </is>
      </c>
      <c r="U1546" t="n">
        <v>1</v>
      </c>
      <c r="V1546" t="n">
        <v>1</v>
      </c>
      <c r="W1546" t="inlineStr">
        <is>
          <t>2002-11-20</t>
        </is>
      </c>
      <c r="X1546" t="inlineStr">
        <is>
          <t>2002-11-20</t>
        </is>
      </c>
      <c r="Y1546" t="inlineStr">
        <is>
          <t>1991-11-21</t>
        </is>
      </c>
      <c r="Z1546" t="inlineStr">
        <is>
          <t>1991-11-21</t>
        </is>
      </c>
      <c r="AA1546" t="n">
        <v>1649</v>
      </c>
      <c r="AB1546" t="n">
        <v>1503</v>
      </c>
      <c r="AC1546" t="n">
        <v>1575</v>
      </c>
      <c r="AD1546" t="n">
        <v>8</v>
      </c>
      <c r="AE1546" t="n">
        <v>8</v>
      </c>
      <c r="AF1546" t="n">
        <v>43</v>
      </c>
      <c r="AG1546" t="n">
        <v>44</v>
      </c>
      <c r="AH1546" t="n">
        <v>18</v>
      </c>
      <c r="AI1546" t="n">
        <v>19</v>
      </c>
      <c r="AJ1546" t="n">
        <v>7</v>
      </c>
      <c r="AK1546" t="n">
        <v>7</v>
      </c>
      <c r="AL1546" t="n">
        <v>21</v>
      </c>
      <c r="AM1546" t="n">
        <v>21</v>
      </c>
      <c r="AN1546" t="n">
        <v>7</v>
      </c>
      <c r="AO1546" t="n">
        <v>7</v>
      </c>
      <c r="AP1546" t="n">
        <v>0</v>
      </c>
      <c r="AQ1546" t="n">
        <v>0</v>
      </c>
      <c r="AR1546" t="inlineStr">
        <is>
          <t>No</t>
        </is>
      </c>
      <c r="AS1546" t="inlineStr">
        <is>
          <t>Yes</t>
        </is>
      </c>
      <c r="AT1546">
        <f>HYPERLINK("http://catalog.hathitrust.org/Record/000735858","HathiTrust Record")</f>
        <v/>
      </c>
      <c r="AU1546">
        <f>HYPERLINK("https://creighton-primo.hosted.exlibrisgroup.com/primo-explore/search?tab=default_tab&amp;search_scope=EVERYTHING&amp;vid=01CRU&amp;lang=en_US&amp;offset=0&amp;query=any,contains,991004124489702656","Catalog Record")</f>
        <v/>
      </c>
      <c r="AV1546">
        <f>HYPERLINK("http://www.worldcat.org/oclc/2439514","WorldCat Record")</f>
        <v/>
      </c>
      <c r="AW1546" t="inlineStr">
        <is>
          <t>461531:eng</t>
        </is>
      </c>
      <c r="AX1546" t="inlineStr">
        <is>
          <t>2439514</t>
        </is>
      </c>
      <c r="AY1546" t="inlineStr">
        <is>
          <t>991004124489702656</t>
        </is>
      </c>
      <c r="AZ1546" t="inlineStr">
        <is>
          <t>991004124489702656</t>
        </is>
      </c>
      <c r="BA1546" t="inlineStr">
        <is>
          <t>2262178620002656</t>
        </is>
      </c>
      <c r="BB1546" t="inlineStr">
        <is>
          <t>BOOK</t>
        </is>
      </c>
      <c r="BD1546" t="inlineStr">
        <is>
          <t>9780805766738</t>
        </is>
      </c>
      <c r="BE1546" t="inlineStr">
        <is>
          <t>32285000841741</t>
        </is>
      </c>
      <c r="BF1546" t="inlineStr">
        <is>
          <t>893627993</t>
        </is>
      </c>
    </row>
    <row r="1547">
      <c r="A1547" t="inlineStr">
        <is>
          <t>No</t>
        </is>
      </c>
      <c r="B1547" t="inlineStr">
        <is>
          <t>CURAL</t>
        </is>
      </c>
      <c r="C1547" t="inlineStr">
        <is>
          <t>SHELVES</t>
        </is>
      </c>
      <c r="D1547" t="inlineStr">
        <is>
          <t>PR4169 .B8</t>
        </is>
      </c>
      <c r="E1547" t="inlineStr">
        <is>
          <t>0                      PR 4169000B  8</t>
        </is>
      </c>
      <c r="F1547" t="inlineStr">
        <is>
          <t>Charlotte Brontë: a psychosexual study of her novels.</t>
        </is>
      </c>
      <c r="H1547" t="inlineStr">
        <is>
          <t>No</t>
        </is>
      </c>
      <c r="I1547" t="inlineStr">
        <is>
          <t>1</t>
        </is>
      </c>
      <c r="J1547" t="inlineStr">
        <is>
          <t>No</t>
        </is>
      </c>
      <c r="K1547" t="inlineStr">
        <is>
          <t>No</t>
        </is>
      </c>
      <c r="L1547" t="inlineStr">
        <is>
          <t>0</t>
        </is>
      </c>
      <c r="M1547" t="inlineStr">
        <is>
          <t>Burkhart, Charles.</t>
        </is>
      </c>
      <c r="N1547" t="inlineStr">
        <is>
          <t>London, Gollancz, 1973.</t>
        </is>
      </c>
      <c r="O1547" t="inlineStr">
        <is>
          <t>1973</t>
        </is>
      </c>
      <c r="Q1547" t="inlineStr">
        <is>
          <t>eng</t>
        </is>
      </c>
      <c r="R1547" t="inlineStr">
        <is>
          <t>enk</t>
        </is>
      </c>
      <c r="T1547" t="inlineStr">
        <is>
          <t xml:space="preserve">PR </t>
        </is>
      </c>
      <c r="U1547" t="n">
        <v>5</v>
      </c>
      <c r="V1547" t="n">
        <v>5</v>
      </c>
      <c r="W1547" t="inlineStr">
        <is>
          <t>2002-10-21</t>
        </is>
      </c>
      <c r="X1547" t="inlineStr">
        <is>
          <t>2002-10-21</t>
        </is>
      </c>
      <c r="Y1547" t="inlineStr">
        <is>
          <t>1997-06-23</t>
        </is>
      </c>
      <c r="Z1547" t="inlineStr">
        <is>
          <t>1997-06-23</t>
        </is>
      </c>
      <c r="AA1547" t="n">
        <v>438</v>
      </c>
      <c r="AB1547" t="n">
        <v>276</v>
      </c>
      <c r="AC1547" t="n">
        <v>281</v>
      </c>
      <c r="AD1547" t="n">
        <v>2</v>
      </c>
      <c r="AE1547" t="n">
        <v>2</v>
      </c>
      <c r="AF1547" t="n">
        <v>12</v>
      </c>
      <c r="AG1547" t="n">
        <v>12</v>
      </c>
      <c r="AH1547" t="n">
        <v>5</v>
      </c>
      <c r="AI1547" t="n">
        <v>5</v>
      </c>
      <c r="AJ1547" t="n">
        <v>2</v>
      </c>
      <c r="AK1547" t="n">
        <v>2</v>
      </c>
      <c r="AL1547" t="n">
        <v>9</v>
      </c>
      <c r="AM1547" t="n">
        <v>9</v>
      </c>
      <c r="AN1547" t="n">
        <v>1</v>
      </c>
      <c r="AO1547" t="n">
        <v>1</v>
      </c>
      <c r="AP1547" t="n">
        <v>0</v>
      </c>
      <c r="AQ1547" t="n">
        <v>0</v>
      </c>
      <c r="AR1547" t="inlineStr">
        <is>
          <t>No</t>
        </is>
      </c>
      <c r="AS1547" t="inlineStr">
        <is>
          <t>No</t>
        </is>
      </c>
      <c r="AU1547">
        <f>HYPERLINK("https://creighton-primo.hosted.exlibrisgroup.com/primo-explore/search?tab=default_tab&amp;search_scope=EVERYTHING&amp;vid=01CRU&amp;lang=en_US&amp;offset=0&amp;query=any,contains,991003215549702656","Catalog Record")</f>
        <v/>
      </c>
      <c r="AV1547">
        <f>HYPERLINK("http://www.worldcat.org/oclc/741464","WorldCat Record")</f>
        <v/>
      </c>
      <c r="AW1547" t="inlineStr">
        <is>
          <t>291687619:eng</t>
        </is>
      </c>
      <c r="AX1547" t="inlineStr">
        <is>
          <t>741464</t>
        </is>
      </c>
      <c r="AY1547" t="inlineStr">
        <is>
          <t>991003215549702656</t>
        </is>
      </c>
      <c r="AZ1547" t="inlineStr">
        <is>
          <t>991003215549702656</t>
        </is>
      </c>
      <c r="BA1547" t="inlineStr">
        <is>
          <t>2270247320002656</t>
        </is>
      </c>
      <c r="BB1547" t="inlineStr">
        <is>
          <t>BOOK</t>
        </is>
      </c>
      <c r="BD1547" t="inlineStr">
        <is>
          <t>9780575016613</t>
        </is>
      </c>
      <c r="BE1547" t="inlineStr">
        <is>
          <t>32285002827938</t>
        </is>
      </c>
      <c r="BF1547" t="inlineStr">
        <is>
          <t>893317752</t>
        </is>
      </c>
    </row>
    <row r="1548">
      <c r="A1548" t="inlineStr">
        <is>
          <t>No</t>
        </is>
      </c>
      <c r="B1548" t="inlineStr">
        <is>
          <t>CURAL</t>
        </is>
      </c>
      <c r="C1548" t="inlineStr">
        <is>
          <t>SHELVES</t>
        </is>
      </c>
      <c r="D1548" t="inlineStr">
        <is>
          <t>PR4169 .C7</t>
        </is>
      </c>
      <c r="E1548" t="inlineStr">
        <is>
          <t>0                      PR 4169000C  7</t>
        </is>
      </c>
      <c r="F1548" t="inlineStr">
        <is>
          <t>The Brontë novels [by] W. A. Craik.</t>
        </is>
      </c>
      <c r="H1548" t="inlineStr">
        <is>
          <t>No</t>
        </is>
      </c>
      <c r="I1548" t="inlineStr">
        <is>
          <t>1</t>
        </is>
      </c>
      <c r="J1548" t="inlineStr">
        <is>
          <t>No</t>
        </is>
      </c>
      <c r="K1548" t="inlineStr">
        <is>
          <t>No</t>
        </is>
      </c>
      <c r="L1548" t="inlineStr">
        <is>
          <t>0</t>
        </is>
      </c>
      <c r="M1548" t="inlineStr">
        <is>
          <t>Craik, W. A.</t>
        </is>
      </c>
      <c r="N1548" t="inlineStr">
        <is>
          <t>London, Methuen, 1968.</t>
        </is>
      </c>
      <c r="O1548" t="inlineStr">
        <is>
          <t>1968</t>
        </is>
      </c>
      <c r="Q1548" t="inlineStr">
        <is>
          <t>eng</t>
        </is>
      </c>
      <c r="R1548" t="inlineStr">
        <is>
          <t>enk</t>
        </is>
      </c>
      <c r="T1548" t="inlineStr">
        <is>
          <t xml:space="preserve">PR </t>
        </is>
      </c>
      <c r="U1548" t="n">
        <v>1</v>
      </c>
      <c r="V1548" t="n">
        <v>1</v>
      </c>
      <c r="W1548" t="inlineStr">
        <is>
          <t>2004-04-14</t>
        </is>
      </c>
      <c r="X1548" t="inlineStr">
        <is>
          <t>2004-04-14</t>
        </is>
      </c>
      <c r="Y1548" t="inlineStr">
        <is>
          <t>1997-06-23</t>
        </is>
      </c>
      <c r="Z1548" t="inlineStr">
        <is>
          <t>1997-06-23</t>
        </is>
      </c>
      <c r="AA1548" t="n">
        <v>872</v>
      </c>
      <c r="AB1548" t="n">
        <v>671</v>
      </c>
      <c r="AC1548" t="n">
        <v>771</v>
      </c>
      <c r="AD1548" t="n">
        <v>6</v>
      </c>
      <c r="AE1548" t="n">
        <v>6</v>
      </c>
      <c r="AF1548" t="n">
        <v>30</v>
      </c>
      <c r="AG1548" t="n">
        <v>32</v>
      </c>
      <c r="AH1548" t="n">
        <v>14</v>
      </c>
      <c r="AI1548" t="n">
        <v>14</v>
      </c>
      <c r="AJ1548" t="n">
        <v>5</v>
      </c>
      <c r="AK1548" t="n">
        <v>5</v>
      </c>
      <c r="AL1548" t="n">
        <v>15</v>
      </c>
      <c r="AM1548" t="n">
        <v>17</v>
      </c>
      <c r="AN1548" t="n">
        <v>5</v>
      </c>
      <c r="AO1548" t="n">
        <v>5</v>
      </c>
      <c r="AP1548" t="n">
        <v>0</v>
      </c>
      <c r="AQ1548" t="n">
        <v>0</v>
      </c>
      <c r="AR1548" t="inlineStr">
        <is>
          <t>No</t>
        </is>
      </c>
      <c r="AS1548" t="inlineStr">
        <is>
          <t>Yes</t>
        </is>
      </c>
      <c r="AT1548">
        <f>HYPERLINK("http://catalog.hathitrust.org/Record/000582935","HathiTrust Record")</f>
        <v/>
      </c>
      <c r="AU1548">
        <f>HYPERLINK("https://creighton-primo.hosted.exlibrisgroup.com/primo-explore/search?tab=default_tab&amp;search_scope=EVERYTHING&amp;vid=01CRU&amp;lang=en_US&amp;offset=0&amp;query=any,contains,991002287039702656","Catalog Record")</f>
        <v/>
      </c>
      <c r="AV1548">
        <f>HYPERLINK("http://www.worldcat.org/oclc/311771","WorldCat Record")</f>
        <v/>
      </c>
      <c r="AW1548" t="inlineStr">
        <is>
          <t>1281199:eng</t>
        </is>
      </c>
      <c r="AX1548" t="inlineStr">
        <is>
          <t>311771</t>
        </is>
      </c>
      <c r="AY1548" t="inlineStr">
        <is>
          <t>991002287039702656</t>
        </is>
      </c>
      <c r="AZ1548" t="inlineStr">
        <is>
          <t>991002287039702656</t>
        </is>
      </c>
      <c r="BA1548" t="inlineStr">
        <is>
          <t>2272626260002656</t>
        </is>
      </c>
      <c r="BB1548" t="inlineStr">
        <is>
          <t>BOOK</t>
        </is>
      </c>
      <c r="BD1548" t="inlineStr">
        <is>
          <t>9780416112801</t>
        </is>
      </c>
      <c r="BE1548" t="inlineStr">
        <is>
          <t>32285002827946</t>
        </is>
      </c>
      <c r="BF1548" t="inlineStr">
        <is>
          <t>893691442</t>
        </is>
      </c>
    </row>
    <row r="1549">
      <c r="A1549" t="inlineStr">
        <is>
          <t>No</t>
        </is>
      </c>
      <c r="B1549" t="inlineStr">
        <is>
          <t>CURAL</t>
        </is>
      </c>
      <c r="C1549" t="inlineStr">
        <is>
          <t>SHELVES</t>
        </is>
      </c>
      <c r="D1549" t="inlineStr">
        <is>
          <t>PR4169 .D7 1940a</t>
        </is>
      </c>
      <c r="E1549" t="inlineStr">
        <is>
          <t>0                      PR 4169000D  7           1940a</t>
        </is>
      </c>
      <c r="F1549" t="inlineStr">
        <is>
          <t>The sources of "Jane Eyre" / by Florence Swinton Dry.</t>
        </is>
      </c>
      <c r="H1549" t="inlineStr">
        <is>
          <t>No</t>
        </is>
      </c>
      <c r="I1549" t="inlineStr">
        <is>
          <t>1</t>
        </is>
      </c>
      <c r="J1549" t="inlineStr">
        <is>
          <t>No</t>
        </is>
      </c>
      <c r="K1549" t="inlineStr">
        <is>
          <t>No</t>
        </is>
      </c>
      <c r="L1549" t="inlineStr">
        <is>
          <t>0</t>
        </is>
      </c>
      <c r="M1549" t="inlineStr">
        <is>
          <t>Dry, Florence Swinton.</t>
        </is>
      </c>
      <c r="N1549" t="inlineStr">
        <is>
          <t>Cambridge [Eng] : W. Heffer, 1940.</t>
        </is>
      </c>
      <c r="O1549" t="inlineStr">
        <is>
          <t>1940</t>
        </is>
      </c>
      <c r="Q1549" t="inlineStr">
        <is>
          <t>eng</t>
        </is>
      </c>
      <c r="R1549" t="inlineStr">
        <is>
          <t>enk</t>
        </is>
      </c>
      <c r="S1549" t="inlineStr">
        <is>
          <t>Her Brontë sources, v. 2</t>
        </is>
      </c>
      <c r="T1549" t="inlineStr">
        <is>
          <t xml:space="preserve">PR </t>
        </is>
      </c>
      <c r="U1549" t="n">
        <v>1</v>
      </c>
      <c r="V1549" t="n">
        <v>1</v>
      </c>
      <c r="W1549" t="inlineStr">
        <is>
          <t>2004-04-01</t>
        </is>
      </c>
      <c r="X1549" t="inlineStr">
        <is>
          <t>2004-04-01</t>
        </is>
      </c>
      <c r="Y1549" t="inlineStr">
        <is>
          <t>1997-06-23</t>
        </is>
      </c>
      <c r="Z1549" t="inlineStr">
        <is>
          <t>1997-06-23</t>
        </is>
      </c>
      <c r="AA1549" t="n">
        <v>57</v>
      </c>
      <c r="AB1549" t="n">
        <v>47</v>
      </c>
      <c r="AC1549" t="n">
        <v>102</v>
      </c>
      <c r="AD1549" t="n">
        <v>2</v>
      </c>
      <c r="AE1549" t="n">
        <v>3</v>
      </c>
      <c r="AF1549" t="n">
        <v>3</v>
      </c>
      <c r="AG1549" t="n">
        <v>5</v>
      </c>
      <c r="AH1549" t="n">
        <v>1</v>
      </c>
      <c r="AI1549" t="n">
        <v>1</v>
      </c>
      <c r="AJ1549" t="n">
        <v>0</v>
      </c>
      <c r="AK1549" t="n">
        <v>1</v>
      </c>
      <c r="AL1549" t="n">
        <v>1</v>
      </c>
      <c r="AM1549" t="n">
        <v>2</v>
      </c>
      <c r="AN1549" t="n">
        <v>1</v>
      </c>
      <c r="AO1549" t="n">
        <v>2</v>
      </c>
      <c r="AP1549" t="n">
        <v>0</v>
      </c>
      <c r="AQ1549" t="n">
        <v>0</v>
      </c>
      <c r="AR1549" t="inlineStr">
        <is>
          <t>No</t>
        </is>
      </c>
      <c r="AS1549" t="inlineStr">
        <is>
          <t>No</t>
        </is>
      </c>
      <c r="AT1549">
        <f>HYPERLINK("http://catalog.hathitrust.org/Record/000391593","HathiTrust Record")</f>
        <v/>
      </c>
      <c r="AU1549">
        <f>HYPERLINK("https://creighton-primo.hosted.exlibrisgroup.com/primo-explore/search?tab=default_tab&amp;search_scope=EVERYTHING&amp;vid=01CRU&amp;lang=en_US&amp;offset=0&amp;query=any,contains,991004414399702656","Catalog Record")</f>
        <v/>
      </c>
      <c r="AV1549">
        <f>HYPERLINK("http://www.worldcat.org/oclc/3356900","WorldCat Record")</f>
        <v/>
      </c>
      <c r="AW1549" t="inlineStr">
        <is>
          <t>1772854:eng</t>
        </is>
      </c>
      <c r="AX1549" t="inlineStr">
        <is>
          <t>3356900</t>
        </is>
      </c>
      <c r="AY1549" t="inlineStr">
        <is>
          <t>991004414399702656</t>
        </is>
      </c>
      <c r="AZ1549" t="inlineStr">
        <is>
          <t>991004414399702656</t>
        </is>
      </c>
      <c r="BA1549" t="inlineStr">
        <is>
          <t>2260993450002656</t>
        </is>
      </c>
      <c r="BB1549" t="inlineStr">
        <is>
          <t>BOOK</t>
        </is>
      </c>
      <c r="BE1549" t="inlineStr">
        <is>
          <t>32285002827953</t>
        </is>
      </c>
      <c r="BF1549" t="inlineStr">
        <is>
          <t>893687703</t>
        </is>
      </c>
    </row>
    <row r="1550">
      <c r="A1550" t="inlineStr">
        <is>
          <t>No</t>
        </is>
      </c>
      <c r="B1550" t="inlineStr">
        <is>
          <t>CURAL</t>
        </is>
      </c>
      <c r="C1550" t="inlineStr">
        <is>
          <t>SHELVES</t>
        </is>
      </c>
      <c r="D1550" t="inlineStr">
        <is>
          <t>PR4169 .G49 1992</t>
        </is>
      </c>
      <c r="E1550" t="inlineStr">
        <is>
          <t>0                      PR 4169000G  49          1992</t>
        </is>
      </c>
      <c r="F1550" t="inlineStr">
        <is>
          <t>Charlotte Brontë and defensive conduct : the author and the body at risk / Janet Gezari.</t>
        </is>
      </c>
      <c r="H1550" t="inlineStr">
        <is>
          <t>No</t>
        </is>
      </c>
      <c r="I1550" t="inlineStr">
        <is>
          <t>1</t>
        </is>
      </c>
      <c r="J1550" t="inlineStr">
        <is>
          <t>No</t>
        </is>
      </c>
      <c r="K1550" t="inlineStr">
        <is>
          <t>No</t>
        </is>
      </c>
      <c r="L1550" t="inlineStr">
        <is>
          <t>0</t>
        </is>
      </c>
      <c r="M1550" t="inlineStr">
        <is>
          <t>Gezari, Janet.</t>
        </is>
      </c>
      <c r="N1550" t="inlineStr">
        <is>
          <t>Philadelphia : University of Pennsylvania Press, c1992.</t>
        </is>
      </c>
      <c r="O1550" t="inlineStr">
        <is>
          <t>1992</t>
        </is>
      </c>
      <c r="Q1550" t="inlineStr">
        <is>
          <t>eng</t>
        </is>
      </c>
      <c r="R1550" t="inlineStr">
        <is>
          <t>pau</t>
        </is>
      </c>
      <c r="T1550" t="inlineStr">
        <is>
          <t xml:space="preserve">PR </t>
        </is>
      </c>
      <c r="U1550" t="n">
        <v>1</v>
      </c>
      <c r="V1550" t="n">
        <v>1</v>
      </c>
      <c r="W1550" t="inlineStr">
        <is>
          <t>2006-06-28</t>
        </is>
      </c>
      <c r="X1550" t="inlineStr">
        <is>
          <t>2006-06-28</t>
        </is>
      </c>
      <c r="Y1550" t="inlineStr">
        <is>
          <t>1993-07-21</t>
        </is>
      </c>
      <c r="Z1550" t="inlineStr">
        <is>
          <t>1993-07-21</t>
        </is>
      </c>
      <c r="AA1550" t="n">
        <v>592</v>
      </c>
      <c r="AB1550" t="n">
        <v>503</v>
      </c>
      <c r="AC1550" t="n">
        <v>1337</v>
      </c>
      <c r="AD1550" t="n">
        <v>3</v>
      </c>
      <c r="AE1550" t="n">
        <v>5</v>
      </c>
      <c r="AF1550" t="n">
        <v>32</v>
      </c>
      <c r="AG1550" t="n">
        <v>41</v>
      </c>
      <c r="AH1550" t="n">
        <v>14</v>
      </c>
      <c r="AI1550" t="n">
        <v>20</v>
      </c>
      <c r="AJ1550" t="n">
        <v>7</v>
      </c>
      <c r="AK1550" t="n">
        <v>8</v>
      </c>
      <c r="AL1550" t="n">
        <v>19</v>
      </c>
      <c r="AM1550" t="n">
        <v>22</v>
      </c>
      <c r="AN1550" t="n">
        <v>2</v>
      </c>
      <c r="AO1550" t="n">
        <v>3</v>
      </c>
      <c r="AP1550" t="n">
        <v>0</v>
      </c>
      <c r="AQ1550" t="n">
        <v>0</v>
      </c>
      <c r="AR1550" t="inlineStr">
        <is>
          <t>No</t>
        </is>
      </c>
      <c r="AS1550" t="inlineStr">
        <is>
          <t>Yes</t>
        </is>
      </c>
      <c r="AT1550">
        <f>HYPERLINK("http://catalog.hathitrust.org/Record/002610158","HathiTrust Record")</f>
        <v/>
      </c>
      <c r="AU1550">
        <f>HYPERLINK("https://creighton-primo.hosted.exlibrisgroup.com/primo-explore/search?tab=default_tab&amp;search_scope=EVERYTHING&amp;vid=01CRU&amp;lang=en_US&amp;offset=0&amp;query=any,contains,991002046259702656","Catalog Record")</f>
        <v/>
      </c>
      <c r="AV1550">
        <f>HYPERLINK("http://www.worldcat.org/oclc/26128970","WorldCat Record")</f>
        <v/>
      </c>
      <c r="AW1550" t="inlineStr">
        <is>
          <t>864031536:eng</t>
        </is>
      </c>
      <c r="AX1550" t="inlineStr">
        <is>
          <t>26128970</t>
        </is>
      </c>
      <c r="AY1550" t="inlineStr">
        <is>
          <t>991002046259702656</t>
        </is>
      </c>
      <c r="AZ1550" t="inlineStr">
        <is>
          <t>991002046259702656</t>
        </is>
      </c>
      <c r="BA1550" t="inlineStr">
        <is>
          <t>2257185220002656</t>
        </is>
      </c>
      <c r="BB1550" t="inlineStr">
        <is>
          <t>BOOK</t>
        </is>
      </c>
      <c r="BD1550" t="inlineStr">
        <is>
          <t>9780812231625</t>
        </is>
      </c>
      <c r="BE1550" t="inlineStr">
        <is>
          <t>32285001703353</t>
        </is>
      </c>
      <c r="BF1550" t="inlineStr">
        <is>
          <t>893684890</t>
        </is>
      </c>
    </row>
    <row r="1551">
      <c r="A1551" t="inlineStr">
        <is>
          <t>No</t>
        </is>
      </c>
      <c r="B1551" t="inlineStr">
        <is>
          <t>CURAL</t>
        </is>
      </c>
      <c r="C1551" t="inlineStr">
        <is>
          <t>SHELVES</t>
        </is>
      </c>
      <c r="D1551" t="inlineStr">
        <is>
          <t>PR4169 .G7</t>
        </is>
      </c>
      <c r="E1551" t="inlineStr">
        <is>
          <t>0                      PR 4169000G  7</t>
        </is>
      </c>
      <c r="F1551" t="inlineStr">
        <is>
          <t>The Brontës; a collection of critical essays.</t>
        </is>
      </c>
      <c r="H1551" t="inlineStr">
        <is>
          <t>No</t>
        </is>
      </c>
      <c r="I1551" t="inlineStr">
        <is>
          <t>1</t>
        </is>
      </c>
      <c r="J1551" t="inlineStr">
        <is>
          <t>No</t>
        </is>
      </c>
      <c r="K1551" t="inlineStr">
        <is>
          <t>No</t>
        </is>
      </c>
      <c r="L1551" t="inlineStr">
        <is>
          <t>0</t>
        </is>
      </c>
      <c r="M1551" t="inlineStr">
        <is>
          <t>Gregor, Ian, compiler.</t>
        </is>
      </c>
      <c r="N1551" t="inlineStr">
        <is>
          <t>Englewood Cliffs, N.J., Prentice-Hall [1970]</t>
        </is>
      </c>
      <c r="O1551" t="inlineStr">
        <is>
          <t>1970</t>
        </is>
      </c>
      <c r="Q1551" t="inlineStr">
        <is>
          <t>eng</t>
        </is>
      </c>
      <c r="R1551" t="inlineStr">
        <is>
          <t>nju</t>
        </is>
      </c>
      <c r="S1551" t="inlineStr">
        <is>
          <t>A Spectrum book: Twentieth century views</t>
        </is>
      </c>
      <c r="T1551" t="inlineStr">
        <is>
          <t xml:space="preserve">PR </t>
        </is>
      </c>
      <c r="U1551" t="n">
        <v>2</v>
      </c>
      <c r="V1551" t="n">
        <v>2</v>
      </c>
      <c r="W1551" t="inlineStr">
        <is>
          <t>2004-04-29</t>
        </is>
      </c>
      <c r="X1551" t="inlineStr">
        <is>
          <t>2004-04-29</t>
        </is>
      </c>
      <c r="Y1551" t="inlineStr">
        <is>
          <t>1997-06-23</t>
        </is>
      </c>
      <c r="Z1551" t="inlineStr">
        <is>
          <t>1997-06-23</t>
        </is>
      </c>
      <c r="AA1551" t="n">
        <v>1840</v>
      </c>
      <c r="AB1551" t="n">
        <v>1621</v>
      </c>
      <c r="AC1551" t="n">
        <v>1637</v>
      </c>
      <c r="AD1551" t="n">
        <v>14</v>
      </c>
      <c r="AE1551" t="n">
        <v>14</v>
      </c>
      <c r="AF1551" t="n">
        <v>53</v>
      </c>
      <c r="AG1551" t="n">
        <v>55</v>
      </c>
      <c r="AH1551" t="n">
        <v>21</v>
      </c>
      <c r="AI1551" t="n">
        <v>22</v>
      </c>
      <c r="AJ1551" t="n">
        <v>8</v>
      </c>
      <c r="AK1551" t="n">
        <v>9</v>
      </c>
      <c r="AL1551" t="n">
        <v>24</v>
      </c>
      <c r="AM1551" t="n">
        <v>24</v>
      </c>
      <c r="AN1551" t="n">
        <v>11</v>
      </c>
      <c r="AO1551" t="n">
        <v>11</v>
      </c>
      <c r="AP1551" t="n">
        <v>0</v>
      </c>
      <c r="AQ1551" t="n">
        <v>0</v>
      </c>
      <c r="AR1551" t="inlineStr">
        <is>
          <t>No</t>
        </is>
      </c>
      <c r="AS1551" t="inlineStr">
        <is>
          <t>Yes</t>
        </is>
      </c>
      <c r="AT1551">
        <f>HYPERLINK("http://catalog.hathitrust.org/Record/000583111","HathiTrust Record")</f>
        <v/>
      </c>
      <c r="AU1551">
        <f>HYPERLINK("https://creighton-primo.hosted.exlibrisgroup.com/primo-explore/search?tab=default_tab&amp;search_scope=EVERYTHING&amp;vid=01CRU&amp;lang=en_US&amp;offset=0&amp;query=any,contains,991000612789702656","Catalog Record")</f>
        <v/>
      </c>
      <c r="AV1551">
        <f>HYPERLINK("http://www.worldcat.org/oclc/100803","WorldCat Record")</f>
        <v/>
      </c>
      <c r="AW1551" t="inlineStr">
        <is>
          <t>1908959965:eng</t>
        </is>
      </c>
      <c r="AX1551" t="inlineStr">
        <is>
          <t>100803</t>
        </is>
      </c>
      <c r="AY1551" t="inlineStr">
        <is>
          <t>991000612789702656</t>
        </is>
      </c>
      <c r="AZ1551" t="inlineStr">
        <is>
          <t>991000612789702656</t>
        </is>
      </c>
      <c r="BA1551" t="inlineStr">
        <is>
          <t>2258406940002656</t>
        </is>
      </c>
      <c r="BB1551" t="inlineStr">
        <is>
          <t>BOOK</t>
        </is>
      </c>
      <c r="BD1551" t="inlineStr">
        <is>
          <t>9780130838810</t>
        </is>
      </c>
      <c r="BE1551" t="inlineStr">
        <is>
          <t>32285002827961</t>
        </is>
      </c>
      <c r="BF1551" t="inlineStr">
        <is>
          <t>893432116</t>
        </is>
      </c>
    </row>
    <row r="1552">
      <c r="A1552" t="inlineStr">
        <is>
          <t>No</t>
        </is>
      </c>
      <c r="B1552" t="inlineStr">
        <is>
          <t>CURAL</t>
        </is>
      </c>
      <c r="C1552" t="inlineStr">
        <is>
          <t>SHELVES</t>
        </is>
      </c>
      <c r="D1552" t="inlineStr">
        <is>
          <t>PR4169 .K4</t>
        </is>
      </c>
      <c r="E1552" t="inlineStr">
        <is>
          <t>0                      PR 4169000K  4</t>
        </is>
      </c>
      <c r="F1552" t="inlineStr">
        <is>
          <t>Charlotte Brontë's world of death / Robert Keefe.</t>
        </is>
      </c>
      <c r="H1552" t="inlineStr">
        <is>
          <t>No</t>
        </is>
      </c>
      <c r="I1552" t="inlineStr">
        <is>
          <t>1</t>
        </is>
      </c>
      <c r="J1552" t="inlineStr">
        <is>
          <t>No</t>
        </is>
      </c>
      <c r="K1552" t="inlineStr">
        <is>
          <t>No</t>
        </is>
      </c>
      <c r="L1552" t="inlineStr">
        <is>
          <t>0</t>
        </is>
      </c>
      <c r="M1552" t="inlineStr">
        <is>
          <t>Keefe, Robert, 1938-</t>
        </is>
      </c>
      <c r="N1552" t="inlineStr">
        <is>
          <t>Austin : University of Texas Press, c1979.</t>
        </is>
      </c>
      <c r="O1552" t="inlineStr">
        <is>
          <t>1979</t>
        </is>
      </c>
      <c r="Q1552" t="inlineStr">
        <is>
          <t>eng</t>
        </is>
      </c>
      <c r="R1552" t="inlineStr">
        <is>
          <t>txu</t>
        </is>
      </c>
      <c r="T1552" t="inlineStr">
        <is>
          <t xml:space="preserve">PR </t>
        </is>
      </c>
      <c r="U1552" t="n">
        <v>6</v>
      </c>
      <c r="V1552" t="n">
        <v>6</v>
      </c>
      <c r="W1552" t="inlineStr">
        <is>
          <t>2002-10-21</t>
        </is>
      </c>
      <c r="X1552" t="inlineStr">
        <is>
          <t>2002-10-21</t>
        </is>
      </c>
      <c r="Y1552" t="inlineStr">
        <is>
          <t>1991-11-21</t>
        </is>
      </c>
      <c r="Z1552" t="inlineStr">
        <is>
          <t>1991-11-21</t>
        </is>
      </c>
      <c r="AA1552" t="n">
        <v>825</v>
      </c>
      <c r="AB1552" t="n">
        <v>704</v>
      </c>
      <c r="AC1552" t="n">
        <v>716</v>
      </c>
      <c r="AD1552" t="n">
        <v>6</v>
      </c>
      <c r="AE1552" t="n">
        <v>6</v>
      </c>
      <c r="AF1552" t="n">
        <v>27</v>
      </c>
      <c r="AG1552" t="n">
        <v>27</v>
      </c>
      <c r="AH1552" t="n">
        <v>8</v>
      </c>
      <c r="AI1552" t="n">
        <v>8</v>
      </c>
      <c r="AJ1552" t="n">
        <v>7</v>
      </c>
      <c r="AK1552" t="n">
        <v>7</v>
      </c>
      <c r="AL1552" t="n">
        <v>12</v>
      </c>
      <c r="AM1552" t="n">
        <v>12</v>
      </c>
      <c r="AN1552" t="n">
        <v>5</v>
      </c>
      <c r="AO1552" t="n">
        <v>5</v>
      </c>
      <c r="AP1552" t="n">
        <v>0</v>
      </c>
      <c r="AQ1552" t="n">
        <v>0</v>
      </c>
      <c r="AR1552" t="inlineStr">
        <is>
          <t>No</t>
        </is>
      </c>
      <c r="AS1552" t="inlineStr">
        <is>
          <t>Yes</t>
        </is>
      </c>
      <c r="AT1552">
        <f>HYPERLINK("http://catalog.hathitrust.org/Record/000256181","HathiTrust Record")</f>
        <v/>
      </c>
      <c r="AU1552">
        <f>HYPERLINK("https://creighton-primo.hosted.exlibrisgroup.com/primo-explore/search?tab=default_tab&amp;search_scope=EVERYTHING&amp;vid=01CRU&amp;lang=en_US&amp;offset=0&amp;query=any,contains,991004655819702656","Catalog Record")</f>
        <v/>
      </c>
      <c r="AV1552">
        <f>HYPERLINK("http://www.worldcat.org/oclc/4495275","WorldCat Record")</f>
        <v/>
      </c>
      <c r="AW1552" t="inlineStr">
        <is>
          <t>433257:eng</t>
        </is>
      </c>
      <c r="AX1552" t="inlineStr">
        <is>
          <t>4495275</t>
        </is>
      </c>
      <c r="AY1552" t="inlineStr">
        <is>
          <t>991004655819702656</t>
        </is>
      </c>
      <c r="AZ1552" t="inlineStr">
        <is>
          <t>991004655819702656</t>
        </is>
      </c>
      <c r="BA1552" t="inlineStr">
        <is>
          <t>2268005060002656</t>
        </is>
      </c>
      <c r="BB1552" t="inlineStr">
        <is>
          <t>BOOK</t>
        </is>
      </c>
      <c r="BD1552" t="inlineStr">
        <is>
          <t>9780292750432</t>
        </is>
      </c>
      <c r="BE1552" t="inlineStr">
        <is>
          <t>32285000841766</t>
        </is>
      </c>
      <c r="BF1552" t="inlineStr">
        <is>
          <t>893513510</t>
        </is>
      </c>
    </row>
    <row r="1553">
      <c r="A1553" t="inlineStr">
        <is>
          <t>No</t>
        </is>
      </c>
      <c r="B1553" t="inlineStr">
        <is>
          <t>CURAL</t>
        </is>
      </c>
      <c r="C1553" t="inlineStr">
        <is>
          <t>SHELVES</t>
        </is>
      </c>
      <c r="D1553" t="inlineStr">
        <is>
          <t>PR4169 .K6</t>
        </is>
      </c>
      <c r="E1553" t="inlineStr">
        <is>
          <t>0                      PR 4169000K  6</t>
        </is>
      </c>
      <c r="F1553" t="inlineStr">
        <is>
          <t>The art of Charlotte Brontë, by Earl A. Knies.</t>
        </is>
      </c>
      <c r="H1553" t="inlineStr">
        <is>
          <t>No</t>
        </is>
      </c>
      <c r="I1553" t="inlineStr">
        <is>
          <t>1</t>
        </is>
      </c>
      <c r="J1553" t="inlineStr">
        <is>
          <t>No</t>
        </is>
      </c>
      <c r="K1553" t="inlineStr">
        <is>
          <t>No</t>
        </is>
      </c>
      <c r="L1553" t="inlineStr">
        <is>
          <t>0</t>
        </is>
      </c>
      <c r="M1553" t="inlineStr">
        <is>
          <t>Knies, Earl A.</t>
        </is>
      </c>
      <c r="N1553" t="inlineStr">
        <is>
          <t>Athens, Ohio University Press, 1969.</t>
        </is>
      </c>
      <c r="O1553" t="inlineStr">
        <is>
          <t>1969</t>
        </is>
      </c>
      <c r="Q1553" t="inlineStr">
        <is>
          <t>eng</t>
        </is>
      </c>
      <c r="R1553" t="inlineStr">
        <is>
          <t>ohu</t>
        </is>
      </c>
      <c r="T1553" t="inlineStr">
        <is>
          <t xml:space="preserve">PR </t>
        </is>
      </c>
      <c r="U1553" t="n">
        <v>3</v>
      </c>
      <c r="V1553" t="n">
        <v>3</v>
      </c>
      <c r="W1553" t="inlineStr">
        <is>
          <t>2005-04-03</t>
        </is>
      </c>
      <c r="X1553" t="inlineStr">
        <is>
          <t>2005-04-03</t>
        </is>
      </c>
      <c r="Y1553" t="inlineStr">
        <is>
          <t>1997-06-23</t>
        </is>
      </c>
      <c r="Z1553" t="inlineStr">
        <is>
          <t>1997-06-23</t>
        </is>
      </c>
      <c r="AA1553" t="n">
        <v>1064</v>
      </c>
      <c r="AB1553" t="n">
        <v>943</v>
      </c>
      <c r="AC1553" t="n">
        <v>946</v>
      </c>
      <c r="AD1553" t="n">
        <v>10</v>
      </c>
      <c r="AE1553" t="n">
        <v>10</v>
      </c>
      <c r="AF1553" t="n">
        <v>47</v>
      </c>
      <c r="AG1553" t="n">
        <v>47</v>
      </c>
      <c r="AH1553" t="n">
        <v>20</v>
      </c>
      <c r="AI1553" t="n">
        <v>20</v>
      </c>
      <c r="AJ1553" t="n">
        <v>7</v>
      </c>
      <c r="AK1553" t="n">
        <v>7</v>
      </c>
      <c r="AL1553" t="n">
        <v>23</v>
      </c>
      <c r="AM1553" t="n">
        <v>23</v>
      </c>
      <c r="AN1553" t="n">
        <v>9</v>
      </c>
      <c r="AO1553" t="n">
        <v>9</v>
      </c>
      <c r="AP1553" t="n">
        <v>0</v>
      </c>
      <c r="AQ1553" t="n">
        <v>0</v>
      </c>
      <c r="AR1553" t="inlineStr">
        <is>
          <t>No</t>
        </is>
      </c>
      <c r="AS1553" t="inlineStr">
        <is>
          <t>Yes</t>
        </is>
      </c>
      <c r="AT1553">
        <f>HYPERLINK("http://catalog.hathitrust.org/Record/000583134","HathiTrust Record")</f>
        <v/>
      </c>
      <c r="AU1553">
        <f>HYPERLINK("https://creighton-primo.hosted.exlibrisgroup.com/primo-explore/search?tab=default_tab&amp;search_scope=EVERYTHING&amp;vid=01CRU&amp;lang=en_US&amp;offset=0&amp;query=any,contains,991000157839702656","Catalog Record")</f>
        <v/>
      </c>
      <c r="AV1553">
        <f>HYPERLINK("http://www.worldcat.org/oclc/60582","WorldCat Record")</f>
        <v/>
      </c>
      <c r="AW1553" t="inlineStr">
        <is>
          <t>1221543:eng</t>
        </is>
      </c>
      <c r="AX1553" t="inlineStr">
        <is>
          <t>60582</t>
        </is>
      </c>
      <c r="AY1553" t="inlineStr">
        <is>
          <t>991000157839702656</t>
        </is>
      </c>
      <c r="AZ1553" t="inlineStr">
        <is>
          <t>991000157839702656</t>
        </is>
      </c>
      <c r="BA1553" t="inlineStr">
        <is>
          <t>2271710420002656</t>
        </is>
      </c>
      <c r="BB1553" t="inlineStr">
        <is>
          <t>BOOK</t>
        </is>
      </c>
      <c r="BD1553" t="inlineStr">
        <is>
          <t>9780821400524</t>
        </is>
      </c>
      <c r="BE1553" t="inlineStr">
        <is>
          <t>32285002827979</t>
        </is>
      </c>
      <c r="BF1553" t="inlineStr">
        <is>
          <t>893431750</t>
        </is>
      </c>
    </row>
    <row r="1554">
      <c r="A1554" t="inlineStr">
        <is>
          <t>No</t>
        </is>
      </c>
      <c r="B1554" t="inlineStr">
        <is>
          <t>CURAL</t>
        </is>
      </c>
      <c r="C1554" t="inlineStr">
        <is>
          <t>SHELVES</t>
        </is>
      </c>
      <c r="D1554" t="inlineStr">
        <is>
          <t>PR4169 .M3 1966a</t>
        </is>
      </c>
      <c r="E1554" t="inlineStr">
        <is>
          <t>0                      PR 4169000M  3           1966a</t>
        </is>
      </c>
      <c r="F1554" t="inlineStr">
        <is>
          <t>The accents of persuasion; Charlotte Brontë's novels.</t>
        </is>
      </c>
      <c r="H1554" t="inlineStr">
        <is>
          <t>No</t>
        </is>
      </c>
      <c r="I1554" t="inlineStr">
        <is>
          <t>1</t>
        </is>
      </c>
      <c r="J1554" t="inlineStr">
        <is>
          <t>No</t>
        </is>
      </c>
      <c r="K1554" t="inlineStr">
        <is>
          <t>No</t>
        </is>
      </c>
      <c r="L1554" t="inlineStr">
        <is>
          <t>0</t>
        </is>
      </c>
      <c r="M1554" t="inlineStr">
        <is>
          <t>Martin, Robert Bernard.</t>
        </is>
      </c>
      <c r="N1554" t="inlineStr">
        <is>
          <t>New York, Norton [1966]</t>
        </is>
      </c>
      <c r="O1554" t="inlineStr">
        <is>
          <t>1966</t>
        </is>
      </c>
      <c r="Q1554" t="inlineStr">
        <is>
          <t>eng</t>
        </is>
      </c>
      <c r="R1554" t="inlineStr">
        <is>
          <t>nyu</t>
        </is>
      </c>
      <c r="T1554" t="inlineStr">
        <is>
          <t xml:space="preserve">PR </t>
        </is>
      </c>
      <c r="U1554" t="n">
        <v>4</v>
      </c>
      <c r="V1554" t="n">
        <v>4</v>
      </c>
      <c r="W1554" t="inlineStr">
        <is>
          <t>1999-12-06</t>
        </is>
      </c>
      <c r="X1554" t="inlineStr">
        <is>
          <t>1999-12-06</t>
        </is>
      </c>
      <c r="Y1554" t="inlineStr">
        <is>
          <t>1997-06-23</t>
        </is>
      </c>
      <c r="Z1554" t="inlineStr">
        <is>
          <t>1997-06-23</t>
        </is>
      </c>
      <c r="AA1554" t="n">
        <v>516</v>
      </c>
      <c r="AB1554" t="n">
        <v>491</v>
      </c>
      <c r="AC1554" t="n">
        <v>716</v>
      </c>
      <c r="AD1554" t="n">
        <v>3</v>
      </c>
      <c r="AE1554" t="n">
        <v>5</v>
      </c>
      <c r="AF1554" t="n">
        <v>14</v>
      </c>
      <c r="AG1554" t="n">
        <v>30</v>
      </c>
      <c r="AH1554" t="n">
        <v>5</v>
      </c>
      <c r="AI1554" t="n">
        <v>9</v>
      </c>
      <c r="AJ1554" t="n">
        <v>1</v>
      </c>
      <c r="AK1554" t="n">
        <v>7</v>
      </c>
      <c r="AL1554" t="n">
        <v>9</v>
      </c>
      <c r="AM1554" t="n">
        <v>20</v>
      </c>
      <c r="AN1554" t="n">
        <v>2</v>
      </c>
      <c r="AO1554" t="n">
        <v>3</v>
      </c>
      <c r="AP1554" t="n">
        <v>0</v>
      </c>
      <c r="AQ1554" t="n">
        <v>0</v>
      </c>
      <c r="AR1554" t="inlineStr">
        <is>
          <t>No</t>
        </is>
      </c>
      <c r="AS1554" t="inlineStr">
        <is>
          <t>No</t>
        </is>
      </c>
      <c r="AU1554">
        <f>HYPERLINK("https://creighton-primo.hosted.exlibrisgroup.com/primo-explore/search?tab=default_tab&amp;search_scope=EVERYTHING&amp;vid=01CRU&amp;lang=en_US&amp;offset=0&amp;query=any,contains,991002461379702656","Catalog Record")</f>
        <v/>
      </c>
      <c r="AV1554">
        <f>HYPERLINK("http://www.worldcat.org/oclc/355983","WorldCat Record")</f>
        <v/>
      </c>
      <c r="AW1554" t="inlineStr">
        <is>
          <t>1399319:eng</t>
        </is>
      </c>
      <c r="AX1554" t="inlineStr">
        <is>
          <t>355983</t>
        </is>
      </c>
      <c r="AY1554" t="inlineStr">
        <is>
          <t>991002461379702656</t>
        </is>
      </c>
      <c r="AZ1554" t="inlineStr">
        <is>
          <t>991002461379702656</t>
        </is>
      </c>
      <c r="BA1554" t="inlineStr">
        <is>
          <t>2264801810002656</t>
        </is>
      </c>
      <c r="BB1554" t="inlineStr">
        <is>
          <t>BOOK</t>
        </is>
      </c>
      <c r="BE1554" t="inlineStr">
        <is>
          <t>32285002827987</t>
        </is>
      </c>
      <c r="BF1554" t="inlineStr">
        <is>
          <t>893341464</t>
        </is>
      </c>
    </row>
    <row r="1555">
      <c r="A1555" t="inlineStr">
        <is>
          <t>No</t>
        </is>
      </c>
      <c r="B1555" t="inlineStr">
        <is>
          <t>CURAL</t>
        </is>
      </c>
      <c r="C1555" t="inlineStr">
        <is>
          <t>SHELVES</t>
        </is>
      </c>
      <c r="D1555" t="inlineStr">
        <is>
          <t>PR4169 .M34 1984</t>
        </is>
      </c>
      <c r="E1555" t="inlineStr">
        <is>
          <t>0                      PR 4169000M  34          1984</t>
        </is>
      </c>
      <c r="F1555" t="inlineStr">
        <is>
          <t>Charlotte Brontë and sexuality / John Maynard.</t>
        </is>
      </c>
      <c r="H1555" t="inlineStr">
        <is>
          <t>No</t>
        </is>
      </c>
      <c r="I1555" t="inlineStr">
        <is>
          <t>1</t>
        </is>
      </c>
      <c r="J1555" t="inlineStr">
        <is>
          <t>No</t>
        </is>
      </c>
      <c r="K1555" t="inlineStr">
        <is>
          <t>No</t>
        </is>
      </c>
      <c r="L1555" t="inlineStr">
        <is>
          <t>0</t>
        </is>
      </c>
      <c r="M1555" t="inlineStr">
        <is>
          <t>Maynard, John, 1941-</t>
        </is>
      </c>
      <c r="N1555" t="inlineStr">
        <is>
          <t>Cambridge [Cambridgeshire] ; New York : Cambridge University Press, 1984.</t>
        </is>
      </c>
      <c r="O1555" t="inlineStr">
        <is>
          <t>1984</t>
        </is>
      </c>
      <c r="Q1555" t="inlineStr">
        <is>
          <t>eng</t>
        </is>
      </c>
      <c r="R1555" t="inlineStr">
        <is>
          <t>enk</t>
        </is>
      </c>
      <c r="T1555" t="inlineStr">
        <is>
          <t xml:space="preserve">PR </t>
        </is>
      </c>
      <c r="U1555" t="n">
        <v>9</v>
      </c>
      <c r="V1555" t="n">
        <v>9</v>
      </c>
      <c r="W1555" t="inlineStr">
        <is>
          <t>2010-09-08</t>
        </is>
      </c>
      <c r="X1555" t="inlineStr">
        <is>
          <t>2010-09-08</t>
        </is>
      </c>
      <c r="Y1555" t="inlineStr">
        <is>
          <t>1991-11-21</t>
        </is>
      </c>
      <c r="Z1555" t="inlineStr">
        <is>
          <t>1991-11-21</t>
        </is>
      </c>
      <c r="AA1555" t="n">
        <v>652</v>
      </c>
      <c r="AB1555" t="n">
        <v>502</v>
      </c>
      <c r="AC1555" t="n">
        <v>536</v>
      </c>
      <c r="AD1555" t="n">
        <v>4</v>
      </c>
      <c r="AE1555" t="n">
        <v>4</v>
      </c>
      <c r="AF1555" t="n">
        <v>27</v>
      </c>
      <c r="AG1555" t="n">
        <v>29</v>
      </c>
      <c r="AH1555" t="n">
        <v>12</v>
      </c>
      <c r="AI1555" t="n">
        <v>14</v>
      </c>
      <c r="AJ1555" t="n">
        <v>8</v>
      </c>
      <c r="AK1555" t="n">
        <v>8</v>
      </c>
      <c r="AL1555" t="n">
        <v>13</v>
      </c>
      <c r="AM1555" t="n">
        <v>13</v>
      </c>
      <c r="AN1555" t="n">
        <v>3</v>
      </c>
      <c r="AO1555" t="n">
        <v>3</v>
      </c>
      <c r="AP1555" t="n">
        <v>0</v>
      </c>
      <c r="AQ1555" t="n">
        <v>0</v>
      </c>
      <c r="AR1555" t="inlineStr">
        <is>
          <t>No</t>
        </is>
      </c>
      <c r="AS1555" t="inlineStr">
        <is>
          <t>No</t>
        </is>
      </c>
      <c r="AU1555">
        <f>HYPERLINK("https://creighton-primo.hosted.exlibrisgroup.com/primo-explore/search?tab=default_tab&amp;search_scope=EVERYTHING&amp;vid=01CRU&amp;lang=en_US&amp;offset=0&amp;query=any,contains,991000350139702656","Catalog Record")</f>
        <v/>
      </c>
      <c r="AV1555">
        <f>HYPERLINK("http://www.worldcat.org/oclc/10300992","WorldCat Record")</f>
        <v/>
      </c>
      <c r="AW1555" t="inlineStr">
        <is>
          <t>117887662:eng</t>
        </is>
      </c>
      <c r="AX1555" t="inlineStr">
        <is>
          <t>10300992</t>
        </is>
      </c>
      <c r="AY1555" t="inlineStr">
        <is>
          <t>991000350139702656</t>
        </is>
      </c>
      <c r="AZ1555" t="inlineStr">
        <is>
          <t>991000350139702656</t>
        </is>
      </c>
      <c r="BA1555" t="inlineStr">
        <is>
          <t>2269752500002656</t>
        </is>
      </c>
      <c r="BB1555" t="inlineStr">
        <is>
          <t>BOOK</t>
        </is>
      </c>
      <c r="BD1555" t="inlineStr">
        <is>
          <t>9780521261814</t>
        </is>
      </c>
      <c r="BE1555" t="inlineStr">
        <is>
          <t>32285000841774</t>
        </is>
      </c>
      <c r="BF1555" t="inlineStr">
        <is>
          <t>893626276</t>
        </is>
      </c>
    </row>
    <row r="1556">
      <c r="A1556" t="inlineStr">
        <is>
          <t>No</t>
        </is>
      </c>
      <c r="B1556" t="inlineStr">
        <is>
          <t>CURAL</t>
        </is>
      </c>
      <c r="C1556" t="inlineStr">
        <is>
          <t>SHELVES</t>
        </is>
      </c>
      <c r="D1556" t="inlineStr">
        <is>
          <t>PR4172.W73 D25 1983</t>
        </is>
      </c>
      <c r="E1556" t="inlineStr">
        <is>
          <t>0                      PR 4172000W  73                 D  25          1983</t>
        </is>
      </c>
      <c r="F1556" t="inlineStr">
        <is>
          <t>Emily Brontë, the artist as a free woman / Stevie Davies.</t>
        </is>
      </c>
      <c r="H1556" t="inlineStr">
        <is>
          <t>No</t>
        </is>
      </c>
      <c r="I1556" t="inlineStr">
        <is>
          <t>1</t>
        </is>
      </c>
      <c r="J1556" t="inlineStr">
        <is>
          <t>No</t>
        </is>
      </c>
      <c r="K1556" t="inlineStr">
        <is>
          <t>No</t>
        </is>
      </c>
      <c r="L1556" t="inlineStr">
        <is>
          <t>0</t>
        </is>
      </c>
      <c r="M1556" t="inlineStr">
        <is>
          <t>Davies, Stevie.</t>
        </is>
      </c>
      <c r="N1556" t="inlineStr">
        <is>
          <t>Manchester : Carcanet, 1983.</t>
        </is>
      </c>
      <c r="O1556" t="inlineStr">
        <is>
          <t>1983</t>
        </is>
      </c>
      <c r="Q1556" t="inlineStr">
        <is>
          <t>eng</t>
        </is>
      </c>
      <c r="R1556" t="inlineStr">
        <is>
          <t>enk</t>
        </is>
      </c>
      <c r="T1556" t="inlineStr">
        <is>
          <t xml:space="preserve">PR </t>
        </is>
      </c>
      <c r="U1556" t="n">
        <v>9</v>
      </c>
      <c r="V1556" t="n">
        <v>9</v>
      </c>
      <c r="W1556" t="inlineStr">
        <is>
          <t>2004-12-23</t>
        </is>
      </c>
      <c r="X1556" t="inlineStr">
        <is>
          <t>2004-12-23</t>
        </is>
      </c>
      <c r="Y1556" t="inlineStr">
        <is>
          <t>1991-12-09</t>
        </is>
      </c>
      <c r="Z1556" t="inlineStr">
        <is>
          <t>1991-12-09</t>
        </is>
      </c>
      <c r="AA1556" t="n">
        <v>753</v>
      </c>
      <c r="AB1556" t="n">
        <v>610</v>
      </c>
      <c r="AC1556" t="n">
        <v>626</v>
      </c>
      <c r="AD1556" t="n">
        <v>7</v>
      </c>
      <c r="AE1556" t="n">
        <v>7</v>
      </c>
      <c r="AF1556" t="n">
        <v>33</v>
      </c>
      <c r="AG1556" t="n">
        <v>33</v>
      </c>
      <c r="AH1556" t="n">
        <v>14</v>
      </c>
      <c r="AI1556" t="n">
        <v>14</v>
      </c>
      <c r="AJ1556" t="n">
        <v>7</v>
      </c>
      <c r="AK1556" t="n">
        <v>7</v>
      </c>
      <c r="AL1556" t="n">
        <v>13</v>
      </c>
      <c r="AM1556" t="n">
        <v>13</v>
      </c>
      <c r="AN1556" t="n">
        <v>6</v>
      </c>
      <c r="AO1556" t="n">
        <v>6</v>
      </c>
      <c r="AP1556" t="n">
        <v>0</v>
      </c>
      <c r="AQ1556" t="n">
        <v>0</v>
      </c>
      <c r="AR1556" t="inlineStr">
        <is>
          <t>No</t>
        </is>
      </c>
      <c r="AS1556" t="inlineStr">
        <is>
          <t>Yes</t>
        </is>
      </c>
      <c r="AT1556">
        <f>HYPERLINK("http://catalog.hathitrust.org/Record/000246420","HathiTrust Record")</f>
        <v/>
      </c>
      <c r="AU1556">
        <f>HYPERLINK("https://creighton-primo.hosted.exlibrisgroup.com/primo-explore/search?tab=default_tab&amp;search_scope=EVERYTHING&amp;vid=01CRU&amp;lang=en_US&amp;offset=0&amp;query=any,contains,991000310689702656","Catalog Record")</f>
        <v/>
      </c>
      <c r="AV1556">
        <f>HYPERLINK("http://www.worldcat.org/oclc/10096902","WorldCat Record")</f>
        <v/>
      </c>
      <c r="AW1556" t="inlineStr">
        <is>
          <t>3943289505:eng</t>
        </is>
      </c>
      <c r="AX1556" t="inlineStr">
        <is>
          <t>10096902</t>
        </is>
      </c>
      <c r="AY1556" t="inlineStr">
        <is>
          <t>991000310689702656</t>
        </is>
      </c>
      <c r="AZ1556" t="inlineStr">
        <is>
          <t>991000310689702656</t>
        </is>
      </c>
      <c r="BA1556" t="inlineStr">
        <is>
          <t>2265162110002656</t>
        </is>
      </c>
      <c r="BB1556" t="inlineStr">
        <is>
          <t>BOOK</t>
        </is>
      </c>
      <c r="BE1556" t="inlineStr">
        <is>
          <t>32285000873298</t>
        </is>
      </c>
      <c r="BF1556" t="inlineStr">
        <is>
          <t>893508679</t>
        </is>
      </c>
    </row>
    <row r="1557">
      <c r="A1557" t="inlineStr">
        <is>
          <t>No</t>
        </is>
      </c>
      <c r="B1557" t="inlineStr">
        <is>
          <t>CURAL</t>
        </is>
      </c>
      <c r="C1557" t="inlineStr">
        <is>
          <t>SHELVES</t>
        </is>
      </c>
      <c r="D1557" t="inlineStr">
        <is>
          <t>PR4173 .B46 1982</t>
        </is>
      </c>
      <c r="E1557" t="inlineStr">
        <is>
          <t>0                      PR 4173000B  46          1982</t>
        </is>
      </c>
      <c r="F1557" t="inlineStr">
        <is>
          <t>Emily Brontë / by Richard Benvenuto.</t>
        </is>
      </c>
      <c r="H1557" t="inlineStr">
        <is>
          <t>No</t>
        </is>
      </c>
      <c r="I1557" t="inlineStr">
        <is>
          <t>1</t>
        </is>
      </c>
      <c r="J1557" t="inlineStr">
        <is>
          <t>No</t>
        </is>
      </c>
      <c r="K1557" t="inlineStr">
        <is>
          <t>No</t>
        </is>
      </c>
      <c r="L1557" t="inlineStr">
        <is>
          <t>0</t>
        </is>
      </c>
      <c r="M1557" t="inlineStr">
        <is>
          <t>Benvenuto, Richard.</t>
        </is>
      </c>
      <c r="N1557" t="inlineStr">
        <is>
          <t>Boston : Twayne Publishers, c1982.</t>
        </is>
      </c>
      <c r="O1557" t="inlineStr">
        <is>
          <t>1982</t>
        </is>
      </c>
      <c r="Q1557" t="inlineStr">
        <is>
          <t>eng</t>
        </is>
      </c>
      <c r="R1557" t="inlineStr">
        <is>
          <t>mau</t>
        </is>
      </c>
      <c r="S1557" t="inlineStr">
        <is>
          <t>Twayne's English authors series ; TEAS 326</t>
        </is>
      </c>
      <c r="T1557" t="inlineStr">
        <is>
          <t xml:space="preserve">PR </t>
        </is>
      </c>
      <c r="U1557" t="n">
        <v>5</v>
      </c>
      <c r="V1557" t="n">
        <v>5</v>
      </c>
      <c r="W1557" t="inlineStr">
        <is>
          <t>2004-12-23</t>
        </is>
      </c>
      <c r="X1557" t="inlineStr">
        <is>
          <t>2004-12-23</t>
        </is>
      </c>
      <c r="Y1557" t="inlineStr">
        <is>
          <t>1991-11-21</t>
        </is>
      </c>
      <c r="Z1557" t="inlineStr">
        <is>
          <t>1991-11-21</t>
        </is>
      </c>
      <c r="AA1557" t="n">
        <v>1249</v>
      </c>
      <c r="AB1557" t="n">
        <v>1129</v>
      </c>
      <c r="AC1557" t="n">
        <v>1246</v>
      </c>
      <c r="AD1557" t="n">
        <v>6</v>
      </c>
      <c r="AE1557" t="n">
        <v>8</v>
      </c>
      <c r="AF1557" t="n">
        <v>37</v>
      </c>
      <c r="AG1557" t="n">
        <v>41</v>
      </c>
      <c r="AH1557" t="n">
        <v>16</v>
      </c>
      <c r="AI1557" t="n">
        <v>18</v>
      </c>
      <c r="AJ1557" t="n">
        <v>5</v>
      </c>
      <c r="AK1557" t="n">
        <v>5</v>
      </c>
      <c r="AL1557" t="n">
        <v>20</v>
      </c>
      <c r="AM1557" t="n">
        <v>20</v>
      </c>
      <c r="AN1557" t="n">
        <v>5</v>
      </c>
      <c r="AO1557" t="n">
        <v>7</v>
      </c>
      <c r="AP1557" t="n">
        <v>0</v>
      </c>
      <c r="AQ1557" t="n">
        <v>0</v>
      </c>
      <c r="AR1557" t="inlineStr">
        <is>
          <t>No</t>
        </is>
      </c>
      <c r="AS1557" t="inlineStr">
        <is>
          <t>Yes</t>
        </is>
      </c>
      <c r="AT1557">
        <f>HYPERLINK("http://catalog.hathitrust.org/Record/000306115","HathiTrust Record")</f>
        <v/>
      </c>
      <c r="AU1557">
        <f>HYPERLINK("https://creighton-primo.hosted.exlibrisgroup.com/primo-explore/search?tab=default_tab&amp;search_scope=EVERYTHING&amp;vid=01CRU&amp;lang=en_US&amp;offset=0&amp;query=any,contains,991005187179702656","Catalog Record")</f>
        <v/>
      </c>
      <c r="AV1557">
        <f>HYPERLINK("http://www.worldcat.org/oclc/7977051","WorldCat Record")</f>
        <v/>
      </c>
      <c r="AW1557" t="inlineStr">
        <is>
          <t>461582:eng</t>
        </is>
      </c>
      <c r="AX1557" t="inlineStr">
        <is>
          <t>7977051</t>
        </is>
      </c>
      <c r="AY1557" t="inlineStr">
        <is>
          <t>991005187179702656</t>
        </is>
      </c>
      <c r="AZ1557" t="inlineStr">
        <is>
          <t>991005187179702656</t>
        </is>
      </c>
      <c r="BA1557" t="inlineStr">
        <is>
          <t>2272445910002656</t>
        </is>
      </c>
      <c r="BB1557" t="inlineStr">
        <is>
          <t>BOOK</t>
        </is>
      </c>
      <c r="BD1557" t="inlineStr">
        <is>
          <t>9780805768138</t>
        </is>
      </c>
      <c r="BE1557" t="inlineStr">
        <is>
          <t>32285000841808</t>
        </is>
      </c>
      <c r="BF1557" t="inlineStr">
        <is>
          <t>893412462</t>
        </is>
      </c>
    </row>
    <row r="1558">
      <c r="A1558" t="inlineStr">
        <is>
          <t>No</t>
        </is>
      </c>
      <c r="B1558" t="inlineStr">
        <is>
          <t>CURAL</t>
        </is>
      </c>
      <c r="C1558" t="inlineStr">
        <is>
          <t>SHELVES</t>
        </is>
      </c>
      <c r="D1558" t="inlineStr">
        <is>
          <t>PR4173 .C45 1987</t>
        </is>
      </c>
      <c r="E1558" t="inlineStr">
        <is>
          <t>0                      PR 4173000C  45          1987</t>
        </is>
      </c>
      <c r="F1558" t="inlineStr">
        <is>
          <t>A life of Emily Brontë / Edward Chitham.</t>
        </is>
      </c>
      <c r="H1558" t="inlineStr">
        <is>
          <t>No</t>
        </is>
      </c>
      <c r="I1558" t="inlineStr">
        <is>
          <t>1</t>
        </is>
      </c>
      <c r="J1558" t="inlineStr">
        <is>
          <t>No</t>
        </is>
      </c>
      <c r="K1558" t="inlineStr">
        <is>
          <t>No</t>
        </is>
      </c>
      <c r="L1558" t="inlineStr">
        <is>
          <t>0</t>
        </is>
      </c>
      <c r="M1558" t="inlineStr">
        <is>
          <t>Chitham, Edward.</t>
        </is>
      </c>
      <c r="N1558" t="inlineStr">
        <is>
          <t>Oxford [Oxfordshire] ; New York : B. Blackwell, 1987.</t>
        </is>
      </c>
      <c r="O1558" t="inlineStr">
        <is>
          <t>1987</t>
        </is>
      </c>
      <c r="Q1558" t="inlineStr">
        <is>
          <t>eng</t>
        </is>
      </c>
      <c r="R1558" t="inlineStr">
        <is>
          <t>enk</t>
        </is>
      </c>
      <c r="T1558" t="inlineStr">
        <is>
          <t xml:space="preserve">PR </t>
        </is>
      </c>
      <c r="U1558" t="n">
        <v>5</v>
      </c>
      <c r="V1558" t="n">
        <v>5</v>
      </c>
      <c r="W1558" t="inlineStr">
        <is>
          <t>2004-12-23</t>
        </is>
      </c>
      <c r="X1558" t="inlineStr">
        <is>
          <t>2004-12-23</t>
        </is>
      </c>
      <c r="Y1558" t="inlineStr">
        <is>
          <t>1991-11-21</t>
        </is>
      </c>
      <c r="Z1558" t="inlineStr">
        <is>
          <t>1991-11-21</t>
        </is>
      </c>
      <c r="AA1558" t="n">
        <v>925</v>
      </c>
      <c r="AB1558" t="n">
        <v>688</v>
      </c>
      <c r="AC1558" t="n">
        <v>732</v>
      </c>
      <c r="AD1558" t="n">
        <v>4</v>
      </c>
      <c r="AE1558" t="n">
        <v>4</v>
      </c>
      <c r="AF1558" t="n">
        <v>29</v>
      </c>
      <c r="AG1558" t="n">
        <v>29</v>
      </c>
      <c r="AH1558" t="n">
        <v>13</v>
      </c>
      <c r="AI1558" t="n">
        <v>13</v>
      </c>
      <c r="AJ1558" t="n">
        <v>8</v>
      </c>
      <c r="AK1558" t="n">
        <v>8</v>
      </c>
      <c r="AL1558" t="n">
        <v>13</v>
      </c>
      <c r="AM1558" t="n">
        <v>13</v>
      </c>
      <c r="AN1558" t="n">
        <v>3</v>
      </c>
      <c r="AO1558" t="n">
        <v>3</v>
      </c>
      <c r="AP1558" t="n">
        <v>0</v>
      </c>
      <c r="AQ1558" t="n">
        <v>0</v>
      </c>
      <c r="AR1558" t="inlineStr">
        <is>
          <t>No</t>
        </is>
      </c>
      <c r="AS1558" t="inlineStr">
        <is>
          <t>No</t>
        </is>
      </c>
      <c r="AU1558">
        <f>HYPERLINK("https://creighton-primo.hosted.exlibrisgroup.com/primo-explore/search?tab=default_tab&amp;search_scope=EVERYTHING&amp;vid=01CRU&amp;lang=en_US&amp;offset=0&amp;query=any,contains,991001046959702656","Catalog Record")</f>
        <v/>
      </c>
      <c r="AV1558">
        <f>HYPERLINK("http://www.worldcat.org/oclc/15629393","WorldCat Record")</f>
        <v/>
      </c>
      <c r="AW1558" t="inlineStr">
        <is>
          <t>345130:eng</t>
        </is>
      </c>
      <c r="AX1558" t="inlineStr">
        <is>
          <t>15629393</t>
        </is>
      </c>
      <c r="AY1558" t="inlineStr">
        <is>
          <t>991001046959702656</t>
        </is>
      </c>
      <c r="AZ1558" t="inlineStr">
        <is>
          <t>991001046959702656</t>
        </is>
      </c>
      <c r="BA1558" t="inlineStr">
        <is>
          <t>2270032200002656</t>
        </is>
      </c>
      <c r="BB1558" t="inlineStr">
        <is>
          <t>BOOK</t>
        </is>
      </c>
      <c r="BD1558" t="inlineStr">
        <is>
          <t>9780631147510</t>
        </is>
      </c>
      <c r="BE1558" t="inlineStr">
        <is>
          <t>32285000841816</t>
        </is>
      </c>
      <c r="BF1558" t="inlineStr">
        <is>
          <t>893897455</t>
        </is>
      </c>
    </row>
    <row r="1559">
      <c r="A1559" t="inlineStr">
        <is>
          <t>No</t>
        </is>
      </c>
      <c r="B1559" t="inlineStr">
        <is>
          <t>CURAL</t>
        </is>
      </c>
      <c r="C1559" t="inlineStr">
        <is>
          <t>SHELVES</t>
        </is>
      </c>
      <c r="D1559" t="inlineStr">
        <is>
          <t>PR4173 .F7 1990</t>
        </is>
      </c>
      <c r="E1559" t="inlineStr">
        <is>
          <t>0                      PR 4173000F  7           1990</t>
        </is>
      </c>
      <c r="F1559" t="inlineStr">
        <is>
          <t>A chainless soul : a life of Emily Brontë / Katherine Frank.</t>
        </is>
      </c>
      <c r="H1559" t="inlineStr">
        <is>
          <t>No</t>
        </is>
      </c>
      <c r="I1559" t="inlineStr">
        <is>
          <t>1</t>
        </is>
      </c>
      <c r="J1559" t="inlineStr">
        <is>
          <t>No</t>
        </is>
      </c>
      <c r="K1559" t="inlineStr">
        <is>
          <t>No</t>
        </is>
      </c>
      <c r="L1559" t="inlineStr">
        <is>
          <t>0</t>
        </is>
      </c>
      <c r="M1559" t="inlineStr">
        <is>
          <t>Frank, Katherine.</t>
        </is>
      </c>
      <c r="N1559" t="inlineStr">
        <is>
          <t>Boston : Houghton Mufflin, 1990.</t>
        </is>
      </c>
      <c r="O1559" t="inlineStr">
        <is>
          <t>1990</t>
        </is>
      </c>
      <c r="Q1559" t="inlineStr">
        <is>
          <t>eng</t>
        </is>
      </c>
      <c r="R1559" t="inlineStr">
        <is>
          <t>mau</t>
        </is>
      </c>
      <c r="T1559" t="inlineStr">
        <is>
          <t xml:space="preserve">PR </t>
        </is>
      </c>
      <c r="U1559" t="n">
        <v>3</v>
      </c>
      <c r="V1559" t="n">
        <v>3</v>
      </c>
      <c r="W1559" t="inlineStr">
        <is>
          <t>2004-05-03</t>
        </is>
      </c>
      <c r="X1559" t="inlineStr">
        <is>
          <t>2004-05-03</t>
        </is>
      </c>
      <c r="Y1559" t="inlineStr">
        <is>
          <t>1991-02-20</t>
        </is>
      </c>
      <c r="Z1559" t="inlineStr">
        <is>
          <t>1991-02-20</t>
        </is>
      </c>
      <c r="AA1559" t="n">
        <v>1162</v>
      </c>
      <c r="AB1559" t="n">
        <v>1075</v>
      </c>
      <c r="AC1559" t="n">
        <v>1133</v>
      </c>
      <c r="AD1559" t="n">
        <v>12</v>
      </c>
      <c r="AE1559" t="n">
        <v>12</v>
      </c>
      <c r="AF1559" t="n">
        <v>32</v>
      </c>
      <c r="AG1559" t="n">
        <v>35</v>
      </c>
      <c r="AH1559" t="n">
        <v>11</v>
      </c>
      <c r="AI1559" t="n">
        <v>12</v>
      </c>
      <c r="AJ1559" t="n">
        <v>5</v>
      </c>
      <c r="AK1559" t="n">
        <v>7</v>
      </c>
      <c r="AL1559" t="n">
        <v>15</v>
      </c>
      <c r="AM1559" t="n">
        <v>16</v>
      </c>
      <c r="AN1559" t="n">
        <v>8</v>
      </c>
      <c r="AO1559" t="n">
        <v>8</v>
      </c>
      <c r="AP1559" t="n">
        <v>0</v>
      </c>
      <c r="AQ1559" t="n">
        <v>0</v>
      </c>
      <c r="AR1559" t="inlineStr">
        <is>
          <t>No</t>
        </is>
      </c>
      <c r="AS1559" t="inlineStr">
        <is>
          <t>Yes</t>
        </is>
      </c>
      <c r="AT1559">
        <f>HYPERLINK("http://catalog.hathitrust.org/Record/002233625","HathiTrust Record")</f>
        <v/>
      </c>
      <c r="AU1559">
        <f>HYPERLINK("https://creighton-primo.hosted.exlibrisgroup.com/primo-explore/search?tab=default_tab&amp;search_scope=EVERYTHING&amp;vid=01CRU&amp;lang=en_US&amp;offset=0&amp;query=any,contains,991001754309702656","Catalog Record")</f>
        <v/>
      </c>
      <c r="AV1559">
        <f>HYPERLINK("http://www.worldcat.org/oclc/22206550","WorldCat Record")</f>
        <v/>
      </c>
      <c r="AW1559" t="inlineStr">
        <is>
          <t>20758012:eng</t>
        </is>
      </c>
      <c r="AX1559" t="inlineStr">
        <is>
          <t>22206550</t>
        </is>
      </c>
      <c r="AY1559" t="inlineStr">
        <is>
          <t>991001754309702656</t>
        </is>
      </c>
      <c r="AZ1559" t="inlineStr">
        <is>
          <t>991001754309702656</t>
        </is>
      </c>
      <c r="BA1559" t="inlineStr">
        <is>
          <t>2255661840002656</t>
        </is>
      </c>
      <c r="BB1559" t="inlineStr">
        <is>
          <t>BOOK</t>
        </is>
      </c>
      <c r="BD1559" t="inlineStr">
        <is>
          <t>9780395425084</t>
        </is>
      </c>
      <c r="BE1559" t="inlineStr">
        <is>
          <t>32285000490515</t>
        </is>
      </c>
      <c r="BF1559" t="inlineStr">
        <is>
          <t>893232227</t>
        </is>
      </c>
    </row>
    <row r="1560">
      <c r="A1560" t="inlineStr">
        <is>
          <t>No</t>
        </is>
      </c>
      <c r="B1560" t="inlineStr">
        <is>
          <t>CURAL</t>
        </is>
      </c>
      <c r="C1560" t="inlineStr">
        <is>
          <t>SHELVES</t>
        </is>
      </c>
      <c r="D1560" t="inlineStr">
        <is>
          <t>PR4174.B2 G4</t>
        </is>
      </c>
      <c r="E1560" t="inlineStr">
        <is>
          <t>0                      PR 4174000B  2                  G  4</t>
        </is>
      </c>
      <c r="F1560" t="inlineStr">
        <is>
          <t>Branwell Brontë.</t>
        </is>
      </c>
      <c r="H1560" t="inlineStr">
        <is>
          <t>No</t>
        </is>
      </c>
      <c r="I1560" t="inlineStr">
        <is>
          <t>1</t>
        </is>
      </c>
      <c r="J1560" t="inlineStr">
        <is>
          <t>No</t>
        </is>
      </c>
      <c r="K1560" t="inlineStr">
        <is>
          <t>No</t>
        </is>
      </c>
      <c r="L1560" t="inlineStr">
        <is>
          <t>0</t>
        </is>
      </c>
      <c r="M1560" t="inlineStr">
        <is>
          <t>Gérin, Winifred.</t>
        </is>
      </c>
      <c r="N1560" t="inlineStr">
        <is>
          <t>London, New York, T. Nelson [1961]</t>
        </is>
      </c>
      <c r="O1560" t="inlineStr">
        <is>
          <t>1961</t>
        </is>
      </c>
      <c r="Q1560" t="inlineStr">
        <is>
          <t>eng</t>
        </is>
      </c>
      <c r="R1560" t="inlineStr">
        <is>
          <t>enk</t>
        </is>
      </c>
      <c r="T1560" t="inlineStr">
        <is>
          <t xml:space="preserve">PR </t>
        </is>
      </c>
      <c r="U1560" t="n">
        <v>3</v>
      </c>
      <c r="V1560" t="n">
        <v>3</v>
      </c>
      <c r="W1560" t="inlineStr">
        <is>
          <t>2002-10-21</t>
        </is>
      </c>
      <c r="X1560" t="inlineStr">
        <is>
          <t>2002-10-21</t>
        </is>
      </c>
      <c r="Y1560" t="inlineStr">
        <is>
          <t>1997-06-23</t>
        </is>
      </c>
      <c r="Z1560" t="inlineStr">
        <is>
          <t>1997-06-23</t>
        </is>
      </c>
      <c r="AA1560" t="n">
        <v>682</v>
      </c>
      <c r="AB1560" t="n">
        <v>532</v>
      </c>
      <c r="AC1560" t="n">
        <v>575</v>
      </c>
      <c r="AD1560" t="n">
        <v>4</v>
      </c>
      <c r="AE1560" t="n">
        <v>4</v>
      </c>
      <c r="AF1560" t="n">
        <v>24</v>
      </c>
      <c r="AG1560" t="n">
        <v>26</v>
      </c>
      <c r="AH1560" t="n">
        <v>9</v>
      </c>
      <c r="AI1560" t="n">
        <v>10</v>
      </c>
      <c r="AJ1560" t="n">
        <v>5</v>
      </c>
      <c r="AK1560" t="n">
        <v>5</v>
      </c>
      <c r="AL1560" t="n">
        <v>12</v>
      </c>
      <c r="AM1560" t="n">
        <v>13</v>
      </c>
      <c r="AN1560" t="n">
        <v>3</v>
      </c>
      <c r="AO1560" t="n">
        <v>3</v>
      </c>
      <c r="AP1560" t="n">
        <v>0</v>
      </c>
      <c r="AQ1560" t="n">
        <v>0</v>
      </c>
      <c r="AR1560" t="inlineStr">
        <is>
          <t>No</t>
        </is>
      </c>
      <c r="AS1560" t="inlineStr">
        <is>
          <t>Yes</t>
        </is>
      </c>
      <c r="AT1560">
        <f>HYPERLINK("http://catalog.hathitrust.org/Record/000584000","HathiTrust Record")</f>
        <v/>
      </c>
      <c r="AU1560">
        <f>HYPERLINK("https://creighton-primo.hosted.exlibrisgroup.com/primo-explore/search?tab=default_tab&amp;search_scope=EVERYTHING&amp;vid=01CRU&amp;lang=en_US&amp;offset=0&amp;query=any,contains,991002478939702656","Catalog Record")</f>
        <v/>
      </c>
      <c r="AV1560">
        <f>HYPERLINK("http://www.worldcat.org/oclc/359264","WorldCat Record")</f>
        <v/>
      </c>
      <c r="AW1560" t="inlineStr">
        <is>
          <t>1408685:eng</t>
        </is>
      </c>
      <c r="AX1560" t="inlineStr">
        <is>
          <t>359264</t>
        </is>
      </c>
      <c r="AY1560" t="inlineStr">
        <is>
          <t>991002478939702656</t>
        </is>
      </c>
      <c r="AZ1560" t="inlineStr">
        <is>
          <t>991002478939702656</t>
        </is>
      </c>
      <c r="BA1560" t="inlineStr">
        <is>
          <t>2272645470002656</t>
        </is>
      </c>
      <c r="BB1560" t="inlineStr">
        <is>
          <t>BOOK</t>
        </is>
      </c>
      <c r="BE1560" t="inlineStr">
        <is>
          <t>32285002828076</t>
        </is>
      </c>
      <c r="BF1560" t="inlineStr">
        <is>
          <t>893886335</t>
        </is>
      </c>
    </row>
    <row r="1561">
      <c r="A1561" t="inlineStr">
        <is>
          <t>No</t>
        </is>
      </c>
      <c r="B1561" t="inlineStr">
        <is>
          <t>CURAL</t>
        </is>
      </c>
      <c r="C1561" t="inlineStr">
        <is>
          <t>SHELVES</t>
        </is>
      </c>
      <c r="D1561" t="inlineStr">
        <is>
          <t>PR418.I42 M34 2001</t>
        </is>
      </c>
      <c r="E1561" t="inlineStr">
        <is>
          <t>0                      PR 0418000I  42                 M  34          2001</t>
        </is>
      </c>
      <c r="F1561" t="inlineStr">
        <is>
          <t>Sixteenth-century identities / edited by A.J. Piesse.</t>
        </is>
      </c>
      <c r="H1561" t="inlineStr">
        <is>
          <t>No</t>
        </is>
      </c>
      <c r="I1561" t="inlineStr">
        <is>
          <t>1</t>
        </is>
      </c>
      <c r="J1561" t="inlineStr">
        <is>
          <t>No</t>
        </is>
      </c>
      <c r="K1561" t="inlineStr">
        <is>
          <t>No</t>
        </is>
      </c>
      <c r="L1561" t="inlineStr">
        <is>
          <t>0</t>
        </is>
      </c>
      <c r="N1561" t="inlineStr">
        <is>
          <t>Manchester, UK ; New York : Manchester University Press ; New York : Distributed exclusively in the USA by Palgrave, 2001, c2000.</t>
        </is>
      </c>
      <c r="O1561" t="inlineStr">
        <is>
          <t>2001</t>
        </is>
      </c>
      <c r="Q1561" t="inlineStr">
        <is>
          <t>eng</t>
        </is>
      </c>
      <c r="R1561" t="inlineStr">
        <is>
          <t>enk</t>
        </is>
      </c>
      <c r="T1561" t="inlineStr">
        <is>
          <t xml:space="preserve">PR </t>
        </is>
      </c>
      <c r="U1561" t="n">
        <v>1</v>
      </c>
      <c r="V1561" t="n">
        <v>1</v>
      </c>
      <c r="W1561" t="inlineStr">
        <is>
          <t>2001-07-10</t>
        </is>
      </c>
      <c r="X1561" t="inlineStr">
        <is>
          <t>2001-07-10</t>
        </is>
      </c>
      <c r="Y1561" t="inlineStr">
        <is>
          <t>2001-07-10</t>
        </is>
      </c>
      <c r="Z1561" t="inlineStr">
        <is>
          <t>2001-07-10</t>
        </is>
      </c>
      <c r="AA1561" t="n">
        <v>230</v>
      </c>
      <c r="AB1561" t="n">
        <v>161</v>
      </c>
      <c r="AC1561" t="n">
        <v>164</v>
      </c>
      <c r="AD1561" t="n">
        <v>2</v>
      </c>
      <c r="AE1561" t="n">
        <v>2</v>
      </c>
      <c r="AF1561" t="n">
        <v>9</v>
      </c>
      <c r="AG1561" t="n">
        <v>9</v>
      </c>
      <c r="AH1561" t="n">
        <v>1</v>
      </c>
      <c r="AI1561" t="n">
        <v>1</v>
      </c>
      <c r="AJ1561" t="n">
        <v>3</v>
      </c>
      <c r="AK1561" t="n">
        <v>3</v>
      </c>
      <c r="AL1561" t="n">
        <v>6</v>
      </c>
      <c r="AM1561" t="n">
        <v>6</v>
      </c>
      <c r="AN1561" t="n">
        <v>1</v>
      </c>
      <c r="AO1561" t="n">
        <v>1</v>
      </c>
      <c r="AP1561" t="n">
        <v>0</v>
      </c>
      <c r="AQ1561" t="n">
        <v>0</v>
      </c>
      <c r="AR1561" t="inlineStr">
        <is>
          <t>No</t>
        </is>
      </c>
      <c r="AS1561" t="inlineStr">
        <is>
          <t>Yes</t>
        </is>
      </c>
      <c r="AT1561">
        <f>HYPERLINK("http://catalog.hathitrust.org/Record/004173397","HathiTrust Record")</f>
        <v/>
      </c>
      <c r="AU1561">
        <f>HYPERLINK("https://creighton-primo.hosted.exlibrisgroup.com/primo-explore/search?tab=default_tab&amp;search_scope=EVERYTHING&amp;vid=01CRU&amp;lang=en_US&amp;offset=0&amp;query=any,contains,991003514539702656","Catalog Record")</f>
        <v/>
      </c>
      <c r="AV1561">
        <f>HYPERLINK("http://www.worldcat.org/oclc/45890522","WorldCat Record")</f>
        <v/>
      </c>
      <c r="AW1561" t="inlineStr">
        <is>
          <t>35865402:eng</t>
        </is>
      </c>
      <c r="AX1561" t="inlineStr">
        <is>
          <t>45890522</t>
        </is>
      </c>
      <c r="AY1561" t="inlineStr">
        <is>
          <t>991003514539702656</t>
        </is>
      </c>
      <c r="AZ1561" t="inlineStr">
        <is>
          <t>991003514539702656</t>
        </is>
      </c>
      <c r="BA1561" t="inlineStr">
        <is>
          <t>2264631480002656</t>
        </is>
      </c>
      <c r="BB1561" t="inlineStr">
        <is>
          <t>BOOK</t>
        </is>
      </c>
      <c r="BD1561" t="inlineStr">
        <is>
          <t>9780719053832</t>
        </is>
      </c>
      <c r="BE1561" t="inlineStr">
        <is>
          <t>32285004331129</t>
        </is>
      </c>
      <c r="BF1561" t="inlineStr">
        <is>
          <t>893240286</t>
        </is>
      </c>
    </row>
    <row r="1562">
      <c r="A1562" t="inlineStr">
        <is>
          <t>No</t>
        </is>
      </c>
      <c r="B1562" t="inlineStr">
        <is>
          <t>CURAL</t>
        </is>
      </c>
      <c r="C1562" t="inlineStr">
        <is>
          <t>SHELVES</t>
        </is>
      </c>
      <c r="D1562" t="inlineStr">
        <is>
          <t>PR418.N37 W48 1996</t>
        </is>
      </c>
      <c r="E1562" t="inlineStr">
        <is>
          <t>0                      PR 0418000N  37                 W  48          1996</t>
        </is>
      </c>
      <c r="F1562" t="inlineStr">
        <is>
          <t>Natural law in English Renaissance literature / R.S. White.</t>
        </is>
      </c>
      <c r="H1562" t="inlineStr">
        <is>
          <t>No</t>
        </is>
      </c>
      <c r="I1562" t="inlineStr">
        <is>
          <t>1</t>
        </is>
      </c>
      <c r="J1562" t="inlineStr">
        <is>
          <t>No</t>
        </is>
      </c>
      <c r="K1562" t="inlineStr">
        <is>
          <t>No</t>
        </is>
      </c>
      <c r="L1562" t="inlineStr">
        <is>
          <t>0</t>
        </is>
      </c>
      <c r="M1562" t="inlineStr">
        <is>
          <t>White, R. S., 1948-</t>
        </is>
      </c>
      <c r="N1562" t="inlineStr">
        <is>
          <t>Cambridge [England] ; New York : Cambridge University Press, 1996.</t>
        </is>
      </c>
      <c r="O1562" t="inlineStr">
        <is>
          <t>1996</t>
        </is>
      </c>
      <c r="Q1562" t="inlineStr">
        <is>
          <t>eng</t>
        </is>
      </c>
      <c r="R1562" t="inlineStr">
        <is>
          <t>enk</t>
        </is>
      </c>
      <c r="T1562" t="inlineStr">
        <is>
          <t xml:space="preserve">PR </t>
        </is>
      </c>
      <c r="U1562" t="n">
        <v>3</v>
      </c>
      <c r="V1562" t="n">
        <v>3</v>
      </c>
      <c r="W1562" t="inlineStr">
        <is>
          <t>2007-12-02</t>
        </is>
      </c>
      <c r="X1562" t="inlineStr">
        <is>
          <t>2007-12-02</t>
        </is>
      </c>
      <c r="Y1562" t="inlineStr">
        <is>
          <t>2000-12-26</t>
        </is>
      </c>
      <c r="Z1562" t="inlineStr">
        <is>
          <t>2000-12-26</t>
        </is>
      </c>
      <c r="AA1562" t="n">
        <v>530</v>
      </c>
      <c r="AB1562" t="n">
        <v>410</v>
      </c>
      <c r="AC1562" t="n">
        <v>415</v>
      </c>
      <c r="AD1562" t="n">
        <v>4</v>
      </c>
      <c r="AE1562" t="n">
        <v>4</v>
      </c>
      <c r="AF1562" t="n">
        <v>29</v>
      </c>
      <c r="AG1562" t="n">
        <v>29</v>
      </c>
      <c r="AH1562" t="n">
        <v>9</v>
      </c>
      <c r="AI1562" t="n">
        <v>9</v>
      </c>
      <c r="AJ1562" t="n">
        <v>6</v>
      </c>
      <c r="AK1562" t="n">
        <v>6</v>
      </c>
      <c r="AL1562" t="n">
        <v>13</v>
      </c>
      <c r="AM1562" t="n">
        <v>13</v>
      </c>
      <c r="AN1562" t="n">
        <v>3</v>
      </c>
      <c r="AO1562" t="n">
        <v>3</v>
      </c>
      <c r="AP1562" t="n">
        <v>6</v>
      </c>
      <c r="AQ1562" t="n">
        <v>6</v>
      </c>
      <c r="AR1562" t="inlineStr">
        <is>
          <t>No</t>
        </is>
      </c>
      <c r="AS1562" t="inlineStr">
        <is>
          <t>No</t>
        </is>
      </c>
      <c r="AU1562">
        <f>HYPERLINK("https://creighton-primo.hosted.exlibrisgroup.com/primo-explore/search?tab=default_tab&amp;search_scope=EVERYTHING&amp;vid=01CRU&amp;lang=en_US&amp;offset=0&amp;query=any,contains,991003322969702656","Catalog Record")</f>
        <v/>
      </c>
      <c r="AV1562">
        <f>HYPERLINK("http://www.worldcat.org/oclc/34245982","WorldCat Record")</f>
        <v/>
      </c>
      <c r="AW1562" t="inlineStr">
        <is>
          <t>9637411046:eng</t>
        </is>
      </c>
      <c r="AX1562" t="inlineStr">
        <is>
          <t>34245982</t>
        </is>
      </c>
      <c r="AY1562" t="inlineStr">
        <is>
          <t>991003322969702656</t>
        </is>
      </c>
      <c r="AZ1562" t="inlineStr">
        <is>
          <t>991003322969702656</t>
        </is>
      </c>
      <c r="BA1562" t="inlineStr">
        <is>
          <t>2264589440002656</t>
        </is>
      </c>
      <c r="BB1562" t="inlineStr">
        <is>
          <t>BOOK</t>
        </is>
      </c>
      <c r="BD1562" t="inlineStr">
        <is>
          <t>9780521481427</t>
        </is>
      </c>
      <c r="BE1562" t="inlineStr">
        <is>
          <t>32285004278460</t>
        </is>
      </c>
      <c r="BF1562" t="inlineStr">
        <is>
          <t>893604672</t>
        </is>
      </c>
    </row>
    <row r="1563">
      <c r="A1563" t="inlineStr">
        <is>
          <t>No</t>
        </is>
      </c>
      <c r="B1563" t="inlineStr">
        <is>
          <t>CURAL</t>
        </is>
      </c>
      <c r="C1563" t="inlineStr">
        <is>
          <t>SHELVES</t>
        </is>
      </c>
      <c r="D1563" t="inlineStr">
        <is>
          <t>PR418.P65 F6 1989</t>
        </is>
      </c>
      <c r="E1563" t="inlineStr">
        <is>
          <t>0                      PR 0418000P  65                 F  6           1989</t>
        </is>
      </c>
      <c r="F1563" t="inlineStr">
        <is>
          <t>Politics and literature in the reigns of Henry VII and Henry VIII / Alistair Fox.</t>
        </is>
      </c>
      <c r="H1563" t="inlineStr">
        <is>
          <t>No</t>
        </is>
      </c>
      <c r="I1563" t="inlineStr">
        <is>
          <t>1</t>
        </is>
      </c>
      <c r="J1563" t="inlineStr">
        <is>
          <t>No</t>
        </is>
      </c>
      <c r="K1563" t="inlineStr">
        <is>
          <t>No</t>
        </is>
      </c>
      <c r="L1563" t="inlineStr">
        <is>
          <t>0</t>
        </is>
      </c>
      <c r="M1563" t="inlineStr">
        <is>
          <t>Fox, Alistair.</t>
        </is>
      </c>
      <c r="N1563" t="inlineStr">
        <is>
          <t>Oxford, UK ; New York, NY, USA : Blackwell, 1989.</t>
        </is>
      </c>
      <c r="O1563" t="inlineStr">
        <is>
          <t>1989</t>
        </is>
      </c>
      <c r="Q1563" t="inlineStr">
        <is>
          <t>eng</t>
        </is>
      </c>
      <c r="R1563" t="inlineStr">
        <is>
          <t>enk</t>
        </is>
      </c>
      <c r="T1563" t="inlineStr">
        <is>
          <t xml:space="preserve">PR </t>
        </is>
      </c>
      <c r="U1563" t="n">
        <v>1</v>
      </c>
      <c r="V1563" t="n">
        <v>1</v>
      </c>
      <c r="W1563" t="inlineStr">
        <is>
          <t>2001-03-18</t>
        </is>
      </c>
      <c r="X1563" t="inlineStr">
        <is>
          <t>2001-03-18</t>
        </is>
      </c>
      <c r="Y1563" t="inlineStr">
        <is>
          <t>1990-02-02</t>
        </is>
      </c>
      <c r="Z1563" t="inlineStr">
        <is>
          <t>1990-02-02</t>
        </is>
      </c>
      <c r="AA1563" t="n">
        <v>336</v>
      </c>
      <c r="AB1563" t="n">
        <v>213</v>
      </c>
      <c r="AC1563" t="n">
        <v>213</v>
      </c>
      <c r="AD1563" t="n">
        <v>3</v>
      </c>
      <c r="AE1563" t="n">
        <v>3</v>
      </c>
      <c r="AF1563" t="n">
        <v>10</v>
      </c>
      <c r="AG1563" t="n">
        <v>10</v>
      </c>
      <c r="AH1563" t="n">
        <v>2</v>
      </c>
      <c r="AI1563" t="n">
        <v>2</v>
      </c>
      <c r="AJ1563" t="n">
        <v>3</v>
      </c>
      <c r="AK1563" t="n">
        <v>3</v>
      </c>
      <c r="AL1563" t="n">
        <v>6</v>
      </c>
      <c r="AM1563" t="n">
        <v>6</v>
      </c>
      <c r="AN1563" t="n">
        <v>2</v>
      </c>
      <c r="AO1563" t="n">
        <v>2</v>
      </c>
      <c r="AP1563" t="n">
        <v>0</v>
      </c>
      <c r="AQ1563" t="n">
        <v>0</v>
      </c>
      <c r="AR1563" t="inlineStr">
        <is>
          <t>No</t>
        </is>
      </c>
      <c r="AS1563" t="inlineStr">
        <is>
          <t>No</t>
        </is>
      </c>
      <c r="AU1563">
        <f>HYPERLINK("https://creighton-primo.hosted.exlibrisgroup.com/primo-explore/search?tab=default_tab&amp;search_scope=EVERYTHING&amp;vid=01CRU&amp;lang=en_US&amp;offset=0&amp;query=any,contains,991001385939702656","Catalog Record")</f>
        <v/>
      </c>
      <c r="AV1563">
        <f>HYPERLINK("http://www.worldcat.org/oclc/18715811","WorldCat Record")</f>
        <v/>
      </c>
      <c r="AW1563" t="inlineStr">
        <is>
          <t>18356795:eng</t>
        </is>
      </c>
      <c r="AX1563" t="inlineStr">
        <is>
          <t>18715811</t>
        </is>
      </c>
      <c r="AY1563" t="inlineStr">
        <is>
          <t>991001385939702656</t>
        </is>
      </c>
      <c r="AZ1563" t="inlineStr">
        <is>
          <t>991001385939702656</t>
        </is>
      </c>
      <c r="BA1563" t="inlineStr">
        <is>
          <t>2262810160002656</t>
        </is>
      </c>
      <c r="BB1563" t="inlineStr">
        <is>
          <t>BOOK</t>
        </is>
      </c>
      <c r="BD1563" t="inlineStr">
        <is>
          <t>9780631135661</t>
        </is>
      </c>
      <c r="BE1563" t="inlineStr">
        <is>
          <t>32285000036227</t>
        </is>
      </c>
      <c r="BF1563" t="inlineStr">
        <is>
          <t>893596431</t>
        </is>
      </c>
    </row>
    <row r="1564">
      <c r="A1564" t="inlineStr">
        <is>
          <t>No</t>
        </is>
      </c>
      <c r="B1564" t="inlineStr">
        <is>
          <t>CURAL</t>
        </is>
      </c>
      <c r="C1564" t="inlineStr">
        <is>
          <t>SHELVES</t>
        </is>
      </c>
      <c r="D1564" t="inlineStr">
        <is>
          <t>PR418.S74 C48 1988</t>
        </is>
      </c>
      <c r="E1564" t="inlineStr">
        <is>
          <t>0                      PR 0418000S  74                 C  48          1988</t>
        </is>
      </c>
      <c r="F1564" t="inlineStr">
        <is>
          <t>Stoicism in renaissance English literature : an introduction / Audrey Chew.</t>
        </is>
      </c>
      <c r="H1564" t="inlineStr">
        <is>
          <t>No</t>
        </is>
      </c>
      <c r="I1564" t="inlineStr">
        <is>
          <t>1</t>
        </is>
      </c>
      <c r="J1564" t="inlineStr">
        <is>
          <t>No</t>
        </is>
      </c>
      <c r="K1564" t="inlineStr">
        <is>
          <t>No</t>
        </is>
      </c>
      <c r="L1564" t="inlineStr">
        <is>
          <t>0</t>
        </is>
      </c>
      <c r="M1564" t="inlineStr">
        <is>
          <t>Chew, Audrey, 1915-1996.</t>
        </is>
      </c>
      <c r="N1564" t="inlineStr">
        <is>
          <t>New York : P. Lang, c1988.</t>
        </is>
      </c>
      <c r="O1564" t="inlineStr">
        <is>
          <t>1988</t>
        </is>
      </c>
      <c r="Q1564" t="inlineStr">
        <is>
          <t>eng</t>
        </is>
      </c>
      <c r="R1564" t="inlineStr">
        <is>
          <t>nyu</t>
        </is>
      </c>
      <c r="S1564" t="inlineStr">
        <is>
          <t>American university studies. Series IV, English language and literature ; v. 82</t>
        </is>
      </c>
      <c r="T1564" t="inlineStr">
        <is>
          <t xml:space="preserve">PR </t>
        </is>
      </c>
      <c r="U1564" t="n">
        <v>2</v>
      </c>
      <c r="V1564" t="n">
        <v>2</v>
      </c>
      <c r="W1564" t="inlineStr">
        <is>
          <t>1993-11-26</t>
        </is>
      </c>
      <c r="X1564" t="inlineStr">
        <is>
          <t>1993-11-26</t>
        </is>
      </c>
      <c r="Y1564" t="inlineStr">
        <is>
          <t>1990-02-07</t>
        </is>
      </c>
      <c r="Z1564" t="inlineStr">
        <is>
          <t>1990-02-07</t>
        </is>
      </c>
      <c r="AA1564" t="n">
        <v>111</v>
      </c>
      <c r="AB1564" t="n">
        <v>73</v>
      </c>
      <c r="AC1564" t="n">
        <v>73</v>
      </c>
      <c r="AD1564" t="n">
        <v>1</v>
      </c>
      <c r="AE1564" t="n">
        <v>1</v>
      </c>
      <c r="AF1564" t="n">
        <v>4</v>
      </c>
      <c r="AG1564" t="n">
        <v>4</v>
      </c>
      <c r="AH1564" t="n">
        <v>3</v>
      </c>
      <c r="AI1564" t="n">
        <v>3</v>
      </c>
      <c r="AJ1564" t="n">
        <v>0</v>
      </c>
      <c r="AK1564" t="n">
        <v>0</v>
      </c>
      <c r="AL1564" t="n">
        <v>3</v>
      </c>
      <c r="AM1564" t="n">
        <v>3</v>
      </c>
      <c r="AN1564" t="n">
        <v>0</v>
      </c>
      <c r="AO1564" t="n">
        <v>0</v>
      </c>
      <c r="AP1564" t="n">
        <v>0</v>
      </c>
      <c r="AQ1564" t="n">
        <v>0</v>
      </c>
      <c r="AR1564" t="inlineStr">
        <is>
          <t>No</t>
        </is>
      </c>
      <c r="AS1564" t="inlineStr">
        <is>
          <t>No</t>
        </is>
      </c>
      <c r="AU1564">
        <f>HYPERLINK("https://creighton-primo.hosted.exlibrisgroup.com/primo-explore/search?tab=default_tab&amp;search_scope=EVERYTHING&amp;vid=01CRU&amp;lang=en_US&amp;offset=0&amp;query=any,contains,991001244499702656","Catalog Record")</f>
        <v/>
      </c>
      <c r="AV1564">
        <f>HYPERLINK("http://www.worldcat.org/oclc/17648815","WorldCat Record")</f>
        <v/>
      </c>
      <c r="AW1564" t="inlineStr">
        <is>
          <t>16221643:eng</t>
        </is>
      </c>
      <c r="AX1564" t="inlineStr">
        <is>
          <t>17648815</t>
        </is>
      </c>
      <c r="AY1564" t="inlineStr">
        <is>
          <t>991001244499702656</t>
        </is>
      </c>
      <c r="AZ1564" t="inlineStr">
        <is>
          <t>991001244499702656</t>
        </is>
      </c>
      <c r="BA1564" t="inlineStr">
        <is>
          <t>2258713950002656</t>
        </is>
      </c>
      <c r="BB1564" t="inlineStr">
        <is>
          <t>BOOK</t>
        </is>
      </c>
      <c r="BD1564" t="inlineStr">
        <is>
          <t>9780820407302</t>
        </is>
      </c>
      <c r="BE1564" t="inlineStr">
        <is>
          <t>32285000036904</t>
        </is>
      </c>
      <c r="BF1564" t="inlineStr">
        <is>
          <t>893438999</t>
        </is>
      </c>
    </row>
    <row r="1565">
      <c r="A1565" t="inlineStr">
        <is>
          <t>No</t>
        </is>
      </c>
      <c r="B1565" t="inlineStr">
        <is>
          <t>CURAL</t>
        </is>
      </c>
      <c r="C1565" t="inlineStr">
        <is>
          <t>SHELVES</t>
        </is>
      </c>
      <c r="D1565" t="inlineStr">
        <is>
          <t>PR419.P33 L5 1986</t>
        </is>
      </c>
      <c r="E1565" t="inlineStr">
        <is>
          <t>0                      PR 0419000P  33                 L  5           1986</t>
        </is>
      </c>
      <c r="F1565" t="inlineStr">
        <is>
          <t>Changing landscapes : anti-pastoral sentiment in the English Renaissance / Peter Lindenbaum.</t>
        </is>
      </c>
      <c r="H1565" t="inlineStr">
        <is>
          <t>No</t>
        </is>
      </c>
      <c r="I1565" t="inlineStr">
        <is>
          <t>1</t>
        </is>
      </c>
      <c r="J1565" t="inlineStr">
        <is>
          <t>No</t>
        </is>
      </c>
      <c r="K1565" t="inlineStr">
        <is>
          <t>No</t>
        </is>
      </c>
      <c r="L1565" t="inlineStr">
        <is>
          <t>0</t>
        </is>
      </c>
      <c r="M1565" t="inlineStr">
        <is>
          <t>Lindenbaum, Peter.</t>
        </is>
      </c>
      <c r="N1565" t="inlineStr">
        <is>
          <t>Athens, Ga. : University of Georgia Press, c1986.</t>
        </is>
      </c>
      <c r="O1565" t="inlineStr">
        <is>
          <t>1986</t>
        </is>
      </c>
      <c r="Q1565" t="inlineStr">
        <is>
          <t>eng</t>
        </is>
      </c>
      <c r="R1565" t="inlineStr">
        <is>
          <t>gau</t>
        </is>
      </c>
      <c r="T1565" t="inlineStr">
        <is>
          <t xml:space="preserve">PR </t>
        </is>
      </c>
      <c r="U1565" t="n">
        <v>1</v>
      </c>
      <c r="V1565" t="n">
        <v>1</v>
      </c>
      <c r="W1565" t="inlineStr">
        <is>
          <t>2000-09-26</t>
        </is>
      </c>
      <c r="X1565" t="inlineStr">
        <is>
          <t>2000-09-26</t>
        </is>
      </c>
      <c r="Y1565" t="inlineStr">
        <is>
          <t>1991-08-28</t>
        </is>
      </c>
      <c r="Z1565" t="inlineStr">
        <is>
          <t>1991-08-28</t>
        </is>
      </c>
      <c r="AA1565" t="n">
        <v>389</v>
      </c>
      <c r="AB1565" t="n">
        <v>294</v>
      </c>
      <c r="AC1565" t="n">
        <v>299</v>
      </c>
      <c r="AD1565" t="n">
        <v>4</v>
      </c>
      <c r="AE1565" t="n">
        <v>4</v>
      </c>
      <c r="AF1565" t="n">
        <v>17</v>
      </c>
      <c r="AG1565" t="n">
        <v>17</v>
      </c>
      <c r="AH1565" t="n">
        <v>4</v>
      </c>
      <c r="AI1565" t="n">
        <v>4</v>
      </c>
      <c r="AJ1565" t="n">
        <v>4</v>
      </c>
      <c r="AK1565" t="n">
        <v>4</v>
      </c>
      <c r="AL1565" t="n">
        <v>11</v>
      </c>
      <c r="AM1565" t="n">
        <v>11</v>
      </c>
      <c r="AN1565" t="n">
        <v>3</v>
      </c>
      <c r="AO1565" t="n">
        <v>3</v>
      </c>
      <c r="AP1565" t="n">
        <v>0</v>
      </c>
      <c r="AQ1565" t="n">
        <v>0</v>
      </c>
      <c r="AR1565" t="inlineStr">
        <is>
          <t>No</t>
        </is>
      </c>
      <c r="AS1565" t="inlineStr">
        <is>
          <t>No</t>
        </is>
      </c>
      <c r="AU1565">
        <f>HYPERLINK("https://creighton-primo.hosted.exlibrisgroup.com/primo-explore/search?tab=default_tab&amp;search_scope=EVERYTHING&amp;vid=01CRU&amp;lang=en_US&amp;offset=0&amp;query=any,contains,991000733569702656","Catalog Record")</f>
        <v/>
      </c>
      <c r="AV1565">
        <f>HYPERLINK("http://www.worldcat.org/oclc/12751306","WorldCat Record")</f>
        <v/>
      </c>
      <c r="AW1565" t="inlineStr">
        <is>
          <t>289397061:eng</t>
        </is>
      </c>
      <c r="AX1565" t="inlineStr">
        <is>
          <t>12751306</t>
        </is>
      </c>
      <c r="AY1565" t="inlineStr">
        <is>
          <t>991000733569702656</t>
        </is>
      </c>
      <c r="AZ1565" t="inlineStr">
        <is>
          <t>991000733569702656</t>
        </is>
      </c>
      <c r="BA1565" t="inlineStr">
        <is>
          <t>2269672220002656</t>
        </is>
      </c>
      <c r="BB1565" t="inlineStr">
        <is>
          <t>BOOK</t>
        </is>
      </c>
      <c r="BD1565" t="inlineStr">
        <is>
          <t>9780820308357</t>
        </is>
      </c>
      <c r="BE1565" t="inlineStr">
        <is>
          <t>32285000731140</t>
        </is>
      </c>
      <c r="BF1565" t="inlineStr">
        <is>
          <t>893878314</t>
        </is>
      </c>
    </row>
    <row r="1566">
      <c r="A1566" t="inlineStr">
        <is>
          <t>No</t>
        </is>
      </c>
      <c r="B1566" t="inlineStr">
        <is>
          <t>CURAL</t>
        </is>
      </c>
      <c r="C1566" t="inlineStr">
        <is>
          <t>SHELVES</t>
        </is>
      </c>
      <c r="D1566" t="inlineStr">
        <is>
          <t>PR4193 .B6</t>
        </is>
      </c>
      <c r="E1566" t="inlineStr">
        <is>
          <t>0                      PR 4193000B  6</t>
        </is>
      </c>
      <c r="F1566" t="inlineStr">
        <is>
          <t>Elizabeth Barrett Browning, by Louise Schutz Boas.</t>
        </is>
      </c>
      <c r="H1566" t="inlineStr">
        <is>
          <t>No</t>
        </is>
      </c>
      <c r="I1566" t="inlineStr">
        <is>
          <t>1</t>
        </is>
      </c>
      <c r="J1566" t="inlineStr">
        <is>
          <t>No</t>
        </is>
      </c>
      <c r="K1566" t="inlineStr">
        <is>
          <t>No</t>
        </is>
      </c>
      <c r="L1566" t="inlineStr">
        <is>
          <t>0</t>
        </is>
      </c>
      <c r="M1566" t="inlineStr">
        <is>
          <t>Boas, Louise Schutz.</t>
        </is>
      </c>
      <c r="N1566" t="inlineStr">
        <is>
          <t>London, New York [etc.] Longmans, Green and Co., 1930.</t>
        </is>
      </c>
      <c r="O1566" t="inlineStr">
        <is>
          <t>1930</t>
        </is>
      </c>
      <c r="Q1566" t="inlineStr">
        <is>
          <t>eng</t>
        </is>
      </c>
      <c r="R1566" t="inlineStr">
        <is>
          <t>enk</t>
        </is>
      </c>
      <c r="T1566" t="inlineStr">
        <is>
          <t xml:space="preserve">PR </t>
        </is>
      </c>
      <c r="U1566" t="n">
        <v>1</v>
      </c>
      <c r="V1566" t="n">
        <v>1</v>
      </c>
      <c r="W1566" t="inlineStr">
        <is>
          <t>1997-10-20</t>
        </is>
      </c>
      <c r="X1566" t="inlineStr">
        <is>
          <t>1997-10-20</t>
        </is>
      </c>
      <c r="Y1566" t="inlineStr">
        <is>
          <t>1997-06-23</t>
        </is>
      </c>
      <c r="Z1566" t="inlineStr">
        <is>
          <t>1997-06-23</t>
        </is>
      </c>
      <c r="AA1566" t="n">
        <v>339</v>
      </c>
      <c r="AB1566" t="n">
        <v>315</v>
      </c>
      <c r="AC1566" t="n">
        <v>325</v>
      </c>
      <c r="AD1566" t="n">
        <v>3</v>
      </c>
      <c r="AE1566" t="n">
        <v>3</v>
      </c>
      <c r="AF1566" t="n">
        <v>18</v>
      </c>
      <c r="AG1566" t="n">
        <v>18</v>
      </c>
      <c r="AH1566" t="n">
        <v>7</v>
      </c>
      <c r="AI1566" t="n">
        <v>7</v>
      </c>
      <c r="AJ1566" t="n">
        <v>4</v>
      </c>
      <c r="AK1566" t="n">
        <v>4</v>
      </c>
      <c r="AL1566" t="n">
        <v>12</v>
      </c>
      <c r="AM1566" t="n">
        <v>12</v>
      </c>
      <c r="AN1566" t="n">
        <v>1</v>
      </c>
      <c r="AO1566" t="n">
        <v>1</v>
      </c>
      <c r="AP1566" t="n">
        <v>0</v>
      </c>
      <c r="AQ1566" t="n">
        <v>0</v>
      </c>
      <c r="AR1566" t="inlineStr">
        <is>
          <t>No</t>
        </is>
      </c>
      <c r="AS1566" t="inlineStr">
        <is>
          <t>Yes</t>
        </is>
      </c>
      <c r="AT1566">
        <f>HYPERLINK("http://catalog.hathitrust.org/Record/000585526","HathiTrust Record")</f>
        <v/>
      </c>
      <c r="AU1566">
        <f>HYPERLINK("https://creighton-primo.hosted.exlibrisgroup.com/primo-explore/search?tab=default_tab&amp;search_scope=EVERYTHING&amp;vid=01CRU&amp;lang=en_US&amp;offset=0&amp;query=any,contains,991003099959702656","Catalog Record")</f>
        <v/>
      </c>
      <c r="AV1566">
        <f>HYPERLINK("http://www.worldcat.org/oclc/649196","WorldCat Record")</f>
        <v/>
      </c>
      <c r="AW1566" t="inlineStr">
        <is>
          <t>2564888238:eng</t>
        </is>
      </c>
      <c r="AX1566" t="inlineStr">
        <is>
          <t>649196</t>
        </is>
      </c>
      <c r="AY1566" t="inlineStr">
        <is>
          <t>991003099959702656</t>
        </is>
      </c>
      <c r="AZ1566" t="inlineStr">
        <is>
          <t>991003099959702656</t>
        </is>
      </c>
      <c r="BA1566" t="inlineStr">
        <is>
          <t>2259090980002656</t>
        </is>
      </c>
      <c r="BB1566" t="inlineStr">
        <is>
          <t>BOOK</t>
        </is>
      </c>
      <c r="BE1566" t="inlineStr">
        <is>
          <t>32285002828217</t>
        </is>
      </c>
      <c r="BF1566" t="inlineStr">
        <is>
          <t>893505209</t>
        </is>
      </c>
    </row>
    <row r="1567">
      <c r="A1567" t="inlineStr">
        <is>
          <t>No</t>
        </is>
      </c>
      <c r="B1567" t="inlineStr">
        <is>
          <t>CURAL</t>
        </is>
      </c>
      <c r="C1567" t="inlineStr">
        <is>
          <t>SHELVES</t>
        </is>
      </c>
      <c r="D1567" t="inlineStr">
        <is>
          <t>PR4193 .F6 1989</t>
        </is>
      </c>
      <c r="E1567" t="inlineStr">
        <is>
          <t>0                      PR 4193000F  6           1989</t>
        </is>
      </c>
      <c r="F1567" t="inlineStr">
        <is>
          <t>Elizabeth Barrett Browning : a biography / Margaret Forster.</t>
        </is>
      </c>
      <c r="H1567" t="inlineStr">
        <is>
          <t>No</t>
        </is>
      </c>
      <c r="I1567" t="inlineStr">
        <is>
          <t>1</t>
        </is>
      </c>
      <c r="J1567" t="inlineStr">
        <is>
          <t>No</t>
        </is>
      </c>
      <c r="K1567" t="inlineStr">
        <is>
          <t>No</t>
        </is>
      </c>
      <c r="L1567" t="inlineStr">
        <is>
          <t>0</t>
        </is>
      </c>
      <c r="M1567" t="inlineStr">
        <is>
          <t>Forster, Margaret, 1938-2016.</t>
        </is>
      </c>
      <c r="N1567" t="inlineStr">
        <is>
          <t>New York : Doubleday, 1989, c1988.</t>
        </is>
      </c>
      <c r="O1567" t="inlineStr">
        <is>
          <t>1989</t>
        </is>
      </c>
      <c r="P1567" t="inlineStr">
        <is>
          <t>1st ed.</t>
        </is>
      </c>
      <c r="Q1567" t="inlineStr">
        <is>
          <t>eng</t>
        </is>
      </c>
      <c r="R1567" t="inlineStr">
        <is>
          <t>nyu</t>
        </is>
      </c>
      <c r="T1567" t="inlineStr">
        <is>
          <t xml:space="preserve">PR </t>
        </is>
      </c>
      <c r="U1567" t="n">
        <v>5</v>
      </c>
      <c r="V1567" t="n">
        <v>5</v>
      </c>
      <c r="W1567" t="inlineStr">
        <is>
          <t>1998-01-14</t>
        </is>
      </c>
      <c r="X1567" t="inlineStr">
        <is>
          <t>1998-01-14</t>
        </is>
      </c>
      <c r="Y1567" t="inlineStr">
        <is>
          <t>1991-01-11</t>
        </is>
      </c>
      <c r="Z1567" t="inlineStr">
        <is>
          <t>1991-01-11</t>
        </is>
      </c>
      <c r="AA1567" t="n">
        <v>1000</v>
      </c>
      <c r="AB1567" t="n">
        <v>970</v>
      </c>
      <c r="AC1567" t="n">
        <v>1141</v>
      </c>
      <c r="AD1567" t="n">
        <v>7</v>
      </c>
      <c r="AE1567" t="n">
        <v>9</v>
      </c>
      <c r="AF1567" t="n">
        <v>13</v>
      </c>
      <c r="AG1567" t="n">
        <v>23</v>
      </c>
      <c r="AH1567" t="n">
        <v>7</v>
      </c>
      <c r="AI1567" t="n">
        <v>10</v>
      </c>
      <c r="AJ1567" t="n">
        <v>4</v>
      </c>
      <c r="AK1567" t="n">
        <v>7</v>
      </c>
      <c r="AL1567" t="n">
        <v>5</v>
      </c>
      <c r="AM1567" t="n">
        <v>10</v>
      </c>
      <c r="AN1567" t="n">
        <v>0</v>
      </c>
      <c r="AO1567" t="n">
        <v>2</v>
      </c>
      <c r="AP1567" t="n">
        <v>0</v>
      </c>
      <c r="AQ1567" t="n">
        <v>0</v>
      </c>
      <c r="AR1567" t="inlineStr">
        <is>
          <t>No</t>
        </is>
      </c>
      <c r="AS1567" t="inlineStr">
        <is>
          <t>Yes</t>
        </is>
      </c>
      <c r="AT1567">
        <f>HYPERLINK("http://catalog.hathitrust.org/Record/101890207","HathiTrust Record")</f>
        <v/>
      </c>
      <c r="AU1567">
        <f>HYPERLINK("https://creighton-primo.hosted.exlibrisgroup.com/primo-explore/search?tab=default_tab&amp;search_scope=EVERYTHING&amp;vid=01CRU&amp;lang=en_US&amp;offset=0&amp;query=any,contains,991001336939702656","Catalog Record")</f>
        <v/>
      </c>
      <c r="AV1567">
        <f>HYPERLINK("http://www.worldcat.org/oclc/18351947","WorldCat Record")</f>
        <v/>
      </c>
      <c r="AW1567" t="inlineStr">
        <is>
          <t>1881878699:eng</t>
        </is>
      </c>
      <c r="AX1567" t="inlineStr">
        <is>
          <t>18351947</t>
        </is>
      </c>
      <c r="AY1567" t="inlineStr">
        <is>
          <t>991001336939702656</t>
        </is>
      </c>
      <c r="AZ1567" t="inlineStr">
        <is>
          <t>991001336939702656</t>
        </is>
      </c>
      <c r="BA1567" t="inlineStr">
        <is>
          <t>2265711500002656</t>
        </is>
      </c>
      <c r="BB1567" t="inlineStr">
        <is>
          <t>BOOK</t>
        </is>
      </c>
      <c r="BD1567" t="inlineStr">
        <is>
          <t>9780385249591</t>
        </is>
      </c>
      <c r="BE1567" t="inlineStr">
        <is>
          <t>32285000427897</t>
        </is>
      </c>
      <c r="BF1567" t="inlineStr">
        <is>
          <t>893231919</t>
        </is>
      </c>
    </row>
    <row r="1568">
      <c r="A1568" t="inlineStr">
        <is>
          <t>No</t>
        </is>
      </c>
      <c r="B1568" t="inlineStr">
        <is>
          <t>CURAL</t>
        </is>
      </c>
      <c r="C1568" t="inlineStr">
        <is>
          <t>SHELVES</t>
        </is>
      </c>
      <c r="D1568" t="inlineStr">
        <is>
          <t>PR4193 .H4</t>
        </is>
      </c>
      <c r="E1568" t="inlineStr">
        <is>
          <t>0                      PR 4193000H  4</t>
        </is>
      </c>
      <c r="F1568" t="inlineStr">
        <is>
          <t>Elizabeth Barrett Browning, a life.</t>
        </is>
      </c>
      <c r="H1568" t="inlineStr">
        <is>
          <t>No</t>
        </is>
      </c>
      <c r="I1568" t="inlineStr">
        <is>
          <t>1</t>
        </is>
      </c>
      <c r="J1568" t="inlineStr">
        <is>
          <t>No</t>
        </is>
      </c>
      <c r="K1568" t="inlineStr">
        <is>
          <t>No</t>
        </is>
      </c>
      <c r="L1568" t="inlineStr">
        <is>
          <t>0</t>
        </is>
      </c>
      <c r="M1568" t="inlineStr">
        <is>
          <t>Hewlett, Dorothy.</t>
        </is>
      </c>
      <c r="N1568" t="inlineStr">
        <is>
          <t>New York, Knopf, 1952.</t>
        </is>
      </c>
      <c r="O1568" t="inlineStr">
        <is>
          <t>1952</t>
        </is>
      </c>
      <c r="P1568" t="inlineStr">
        <is>
          <t>[1st ed.]</t>
        </is>
      </c>
      <c r="Q1568" t="inlineStr">
        <is>
          <t>eng</t>
        </is>
      </c>
      <c r="R1568" t="inlineStr">
        <is>
          <t>nyu</t>
        </is>
      </c>
      <c r="T1568" t="inlineStr">
        <is>
          <t xml:space="preserve">PR </t>
        </is>
      </c>
      <c r="U1568" t="n">
        <v>2</v>
      </c>
      <c r="V1568" t="n">
        <v>2</v>
      </c>
      <c r="W1568" t="inlineStr">
        <is>
          <t>1997-10-20</t>
        </is>
      </c>
      <c r="X1568" t="inlineStr">
        <is>
          <t>1997-10-20</t>
        </is>
      </c>
      <c r="Y1568" t="inlineStr">
        <is>
          <t>1997-06-23</t>
        </is>
      </c>
      <c r="Z1568" t="inlineStr">
        <is>
          <t>1997-06-23</t>
        </is>
      </c>
      <c r="AA1568" t="n">
        <v>573</v>
      </c>
      <c r="AB1568" t="n">
        <v>557</v>
      </c>
      <c r="AC1568" t="n">
        <v>870</v>
      </c>
      <c r="AD1568" t="n">
        <v>4</v>
      </c>
      <c r="AE1568" t="n">
        <v>7</v>
      </c>
      <c r="AF1568" t="n">
        <v>25</v>
      </c>
      <c r="AG1568" t="n">
        <v>39</v>
      </c>
      <c r="AH1568" t="n">
        <v>13</v>
      </c>
      <c r="AI1568" t="n">
        <v>19</v>
      </c>
      <c r="AJ1568" t="n">
        <v>5</v>
      </c>
      <c r="AK1568" t="n">
        <v>8</v>
      </c>
      <c r="AL1568" t="n">
        <v>15</v>
      </c>
      <c r="AM1568" t="n">
        <v>19</v>
      </c>
      <c r="AN1568" t="n">
        <v>3</v>
      </c>
      <c r="AO1568" t="n">
        <v>5</v>
      </c>
      <c r="AP1568" t="n">
        <v>0</v>
      </c>
      <c r="AQ1568" t="n">
        <v>0</v>
      </c>
      <c r="AR1568" t="inlineStr">
        <is>
          <t>No</t>
        </is>
      </c>
      <c r="AS1568" t="inlineStr">
        <is>
          <t>Yes</t>
        </is>
      </c>
      <c r="AT1568">
        <f>HYPERLINK("http://catalog.hathitrust.org/Record/000475448","HathiTrust Record")</f>
        <v/>
      </c>
      <c r="AU1568">
        <f>HYPERLINK("https://creighton-primo.hosted.exlibrisgroup.com/primo-explore/search?tab=default_tab&amp;search_scope=EVERYTHING&amp;vid=01CRU&amp;lang=en_US&amp;offset=0&amp;query=any,contains,991003107749702656","Catalog Record")</f>
        <v/>
      </c>
      <c r="AV1568">
        <f>HYPERLINK("http://www.worldcat.org/oclc/654972","WorldCat Record")</f>
        <v/>
      </c>
      <c r="AW1568" t="inlineStr">
        <is>
          <t>1345842:eng</t>
        </is>
      </c>
      <c r="AX1568" t="inlineStr">
        <is>
          <t>654972</t>
        </is>
      </c>
      <c r="AY1568" t="inlineStr">
        <is>
          <t>991003107749702656</t>
        </is>
      </c>
      <c r="AZ1568" t="inlineStr">
        <is>
          <t>991003107749702656</t>
        </is>
      </c>
      <c r="BA1568" t="inlineStr">
        <is>
          <t>2262103890002656</t>
        </is>
      </c>
      <c r="BB1568" t="inlineStr">
        <is>
          <t>BOOK</t>
        </is>
      </c>
      <c r="BD1568" t="inlineStr">
        <is>
          <t>9780374938833</t>
        </is>
      </c>
      <c r="BE1568" t="inlineStr">
        <is>
          <t>32285002828233</t>
        </is>
      </c>
      <c r="BF1568" t="inlineStr">
        <is>
          <t>893428457</t>
        </is>
      </c>
    </row>
    <row r="1569">
      <c r="A1569" t="inlineStr">
        <is>
          <t>No</t>
        </is>
      </c>
      <c r="B1569" t="inlineStr">
        <is>
          <t>CURAL</t>
        </is>
      </c>
      <c r="C1569" t="inlineStr">
        <is>
          <t>SHELVES</t>
        </is>
      </c>
      <c r="D1569" t="inlineStr">
        <is>
          <t>PR4193 .M263</t>
        </is>
      </c>
      <c r="E1569" t="inlineStr">
        <is>
          <t>0                      PR 4193000M  263</t>
        </is>
      </c>
      <c r="F1569" t="inlineStr">
        <is>
          <t>Mrs Browning : The story of Elizabeth Barrett / Rosalie Mander.</t>
        </is>
      </c>
      <c r="H1569" t="inlineStr">
        <is>
          <t>No</t>
        </is>
      </c>
      <c r="I1569" t="inlineStr">
        <is>
          <t>1</t>
        </is>
      </c>
      <c r="J1569" t="inlineStr">
        <is>
          <t>No</t>
        </is>
      </c>
      <c r="K1569" t="inlineStr">
        <is>
          <t>No</t>
        </is>
      </c>
      <c r="L1569" t="inlineStr">
        <is>
          <t>0</t>
        </is>
      </c>
      <c r="M1569" t="inlineStr">
        <is>
          <t>Grylls, R. Glynn (Rosalie Glynn), 1905-1988.</t>
        </is>
      </c>
      <c r="N1569" t="inlineStr">
        <is>
          <t>London : Weidenfeld and Nicolson, 1980.</t>
        </is>
      </c>
      <c r="O1569" t="inlineStr">
        <is>
          <t>1980</t>
        </is>
      </c>
      <c r="Q1569" t="inlineStr">
        <is>
          <t>eng</t>
        </is>
      </c>
      <c r="R1569" t="inlineStr">
        <is>
          <t>enk</t>
        </is>
      </c>
      <c r="T1569" t="inlineStr">
        <is>
          <t xml:space="preserve">PR </t>
        </is>
      </c>
      <c r="U1569" t="n">
        <v>1</v>
      </c>
      <c r="V1569" t="n">
        <v>1</v>
      </c>
      <c r="W1569" t="inlineStr">
        <is>
          <t>1997-10-20</t>
        </is>
      </c>
      <c r="X1569" t="inlineStr">
        <is>
          <t>1997-10-20</t>
        </is>
      </c>
      <c r="Y1569" t="inlineStr">
        <is>
          <t>1991-11-21</t>
        </is>
      </c>
      <c r="Z1569" t="inlineStr">
        <is>
          <t>1991-11-21</t>
        </is>
      </c>
      <c r="AA1569" t="n">
        <v>224</v>
      </c>
      <c r="AB1569" t="n">
        <v>147</v>
      </c>
      <c r="AC1569" t="n">
        <v>147</v>
      </c>
      <c r="AD1569" t="n">
        <v>3</v>
      </c>
      <c r="AE1569" t="n">
        <v>3</v>
      </c>
      <c r="AF1569" t="n">
        <v>8</v>
      </c>
      <c r="AG1569" t="n">
        <v>8</v>
      </c>
      <c r="AH1569" t="n">
        <v>1</v>
      </c>
      <c r="AI1569" t="n">
        <v>1</v>
      </c>
      <c r="AJ1569" t="n">
        <v>3</v>
      </c>
      <c r="AK1569" t="n">
        <v>3</v>
      </c>
      <c r="AL1569" t="n">
        <v>5</v>
      </c>
      <c r="AM1569" t="n">
        <v>5</v>
      </c>
      <c r="AN1569" t="n">
        <v>2</v>
      </c>
      <c r="AO1569" t="n">
        <v>2</v>
      </c>
      <c r="AP1569" t="n">
        <v>0</v>
      </c>
      <c r="AQ1569" t="n">
        <v>0</v>
      </c>
      <c r="AR1569" t="inlineStr">
        <is>
          <t>No</t>
        </is>
      </c>
      <c r="AS1569" t="inlineStr">
        <is>
          <t>No</t>
        </is>
      </c>
      <c r="AU1569">
        <f>HYPERLINK("https://creighton-primo.hosted.exlibrisgroup.com/primo-explore/search?tab=default_tab&amp;search_scope=EVERYTHING&amp;vid=01CRU&amp;lang=en_US&amp;offset=0&amp;query=any,contains,991005046529702656","Catalog Record")</f>
        <v/>
      </c>
      <c r="AV1569">
        <f>HYPERLINK("http://www.worldcat.org/oclc/6843275","WorldCat Record")</f>
        <v/>
      </c>
      <c r="AW1569" t="inlineStr">
        <is>
          <t>5585310475:eng</t>
        </is>
      </c>
      <c r="AX1569" t="inlineStr">
        <is>
          <t>6843275</t>
        </is>
      </c>
      <c r="AY1569" t="inlineStr">
        <is>
          <t>991005046529702656</t>
        </is>
      </c>
      <c r="AZ1569" t="inlineStr">
        <is>
          <t>991005046529702656</t>
        </is>
      </c>
      <c r="BA1569" t="inlineStr">
        <is>
          <t>2271666140002656</t>
        </is>
      </c>
      <c r="BB1569" t="inlineStr">
        <is>
          <t>BOOK</t>
        </is>
      </c>
      <c r="BE1569" t="inlineStr">
        <is>
          <t>32285000841931</t>
        </is>
      </c>
      <c r="BF1569" t="inlineStr">
        <is>
          <t>893230137</t>
        </is>
      </c>
    </row>
    <row r="1570">
      <c r="A1570" t="inlineStr">
        <is>
          <t>No</t>
        </is>
      </c>
      <c r="B1570" t="inlineStr">
        <is>
          <t>CURAL</t>
        </is>
      </c>
      <c r="C1570" t="inlineStr">
        <is>
          <t>SHELVES</t>
        </is>
      </c>
      <c r="D1570" t="inlineStr">
        <is>
          <t>PR4193 .T3</t>
        </is>
      </c>
      <c r="E1570" t="inlineStr">
        <is>
          <t>0                      PR 4193000T  3</t>
        </is>
      </c>
      <c r="F1570" t="inlineStr">
        <is>
          <t>The life of Elizabeth Barrett Browning.</t>
        </is>
      </c>
      <c r="H1570" t="inlineStr">
        <is>
          <t>No</t>
        </is>
      </c>
      <c r="I1570" t="inlineStr">
        <is>
          <t>1</t>
        </is>
      </c>
      <c r="J1570" t="inlineStr">
        <is>
          <t>No</t>
        </is>
      </c>
      <c r="K1570" t="inlineStr">
        <is>
          <t>No</t>
        </is>
      </c>
      <c r="L1570" t="inlineStr">
        <is>
          <t>0</t>
        </is>
      </c>
      <c r="M1570" t="inlineStr">
        <is>
          <t>Taplin, Gardner B.</t>
        </is>
      </c>
      <c r="N1570" t="inlineStr">
        <is>
          <t>New Haven : Yale University Press, 1957.</t>
        </is>
      </c>
      <c r="O1570" t="inlineStr">
        <is>
          <t>1957</t>
        </is>
      </c>
      <c r="Q1570" t="inlineStr">
        <is>
          <t>eng</t>
        </is>
      </c>
      <c r="R1570" t="inlineStr">
        <is>
          <t>ctu</t>
        </is>
      </c>
      <c r="T1570" t="inlineStr">
        <is>
          <t xml:space="preserve">PR </t>
        </is>
      </c>
      <c r="U1570" t="n">
        <v>6</v>
      </c>
      <c r="V1570" t="n">
        <v>6</v>
      </c>
      <c r="W1570" t="inlineStr">
        <is>
          <t>1999-09-14</t>
        </is>
      </c>
      <c r="X1570" t="inlineStr">
        <is>
          <t>1999-09-14</t>
        </is>
      </c>
      <c r="Y1570" t="inlineStr">
        <is>
          <t>1993-07-13</t>
        </is>
      </c>
      <c r="Z1570" t="inlineStr">
        <is>
          <t>1993-07-13</t>
        </is>
      </c>
      <c r="AA1570" t="n">
        <v>797</v>
      </c>
      <c r="AB1570" t="n">
        <v>737</v>
      </c>
      <c r="AC1570" t="n">
        <v>873</v>
      </c>
      <c r="AD1570" t="n">
        <v>9</v>
      </c>
      <c r="AE1570" t="n">
        <v>9</v>
      </c>
      <c r="AF1570" t="n">
        <v>38</v>
      </c>
      <c r="AG1570" t="n">
        <v>42</v>
      </c>
      <c r="AH1570" t="n">
        <v>15</v>
      </c>
      <c r="AI1570" t="n">
        <v>16</v>
      </c>
      <c r="AJ1570" t="n">
        <v>8</v>
      </c>
      <c r="AK1570" t="n">
        <v>9</v>
      </c>
      <c r="AL1570" t="n">
        <v>20</v>
      </c>
      <c r="AM1570" t="n">
        <v>22</v>
      </c>
      <c r="AN1570" t="n">
        <v>8</v>
      </c>
      <c r="AO1570" t="n">
        <v>8</v>
      </c>
      <c r="AP1570" t="n">
        <v>0</v>
      </c>
      <c r="AQ1570" t="n">
        <v>0</v>
      </c>
      <c r="AR1570" t="inlineStr">
        <is>
          <t>Yes</t>
        </is>
      </c>
      <c r="AS1570" t="inlineStr">
        <is>
          <t>No</t>
        </is>
      </c>
      <c r="AT1570">
        <f>HYPERLINK("http://catalog.hathitrust.org/Record/000476468","HathiTrust Record")</f>
        <v/>
      </c>
      <c r="AU1570">
        <f>HYPERLINK("https://creighton-primo.hosted.exlibrisgroup.com/primo-explore/search?tab=default_tab&amp;search_scope=EVERYTHING&amp;vid=01CRU&amp;lang=en_US&amp;offset=0&amp;query=any,contains,991002205989702656","Catalog Record")</f>
        <v/>
      </c>
      <c r="AV1570">
        <f>HYPERLINK("http://www.worldcat.org/oclc/285780","WorldCat Record")</f>
        <v/>
      </c>
      <c r="AW1570" t="inlineStr">
        <is>
          <t>1167970:eng</t>
        </is>
      </c>
      <c r="AX1570" t="inlineStr">
        <is>
          <t>285780</t>
        </is>
      </c>
      <c r="AY1570" t="inlineStr">
        <is>
          <t>991002205989702656</t>
        </is>
      </c>
      <c r="AZ1570" t="inlineStr">
        <is>
          <t>991002205989702656</t>
        </is>
      </c>
      <c r="BA1570" t="inlineStr">
        <is>
          <t>2263225640002656</t>
        </is>
      </c>
      <c r="BB1570" t="inlineStr">
        <is>
          <t>BOOK</t>
        </is>
      </c>
      <c r="BE1570" t="inlineStr">
        <is>
          <t>32285001722080</t>
        </is>
      </c>
      <c r="BF1570" t="inlineStr">
        <is>
          <t>893322672</t>
        </is>
      </c>
    </row>
    <row r="1571">
      <c r="A1571" t="inlineStr">
        <is>
          <t>No</t>
        </is>
      </c>
      <c r="B1571" t="inlineStr">
        <is>
          <t>CURAL</t>
        </is>
      </c>
      <c r="C1571" t="inlineStr">
        <is>
          <t>SHELVES</t>
        </is>
      </c>
      <c r="D1571" t="inlineStr">
        <is>
          <t>PR4194 .R3</t>
        </is>
      </c>
      <c r="E1571" t="inlineStr">
        <is>
          <t>0                      PR 4194000R  3</t>
        </is>
      </c>
      <c r="F1571" t="inlineStr">
        <is>
          <t>Elizabeth Barrett Browning / by Virginia L. Radley.</t>
        </is>
      </c>
      <c r="H1571" t="inlineStr">
        <is>
          <t>No</t>
        </is>
      </c>
      <c r="I1571" t="inlineStr">
        <is>
          <t>1</t>
        </is>
      </c>
      <c r="J1571" t="inlineStr">
        <is>
          <t>No</t>
        </is>
      </c>
      <c r="K1571" t="inlineStr">
        <is>
          <t>No</t>
        </is>
      </c>
      <c r="L1571" t="inlineStr">
        <is>
          <t>0</t>
        </is>
      </c>
      <c r="M1571" t="inlineStr">
        <is>
          <t>Radley, Virginia L.</t>
        </is>
      </c>
      <c r="N1571" t="inlineStr">
        <is>
          <t>New York : Twayne Publishers, [1972]</t>
        </is>
      </c>
      <c r="O1571" t="inlineStr">
        <is>
          <t>1972</t>
        </is>
      </c>
      <c r="Q1571" t="inlineStr">
        <is>
          <t>eng</t>
        </is>
      </c>
      <c r="R1571" t="inlineStr">
        <is>
          <t>nyu</t>
        </is>
      </c>
      <c r="S1571" t="inlineStr">
        <is>
          <t>Twayne's English authors series ; TEAS 136</t>
        </is>
      </c>
      <c r="T1571" t="inlineStr">
        <is>
          <t xml:space="preserve">PR </t>
        </is>
      </c>
      <c r="U1571" t="n">
        <v>2</v>
      </c>
      <c r="V1571" t="n">
        <v>2</v>
      </c>
      <c r="W1571" t="inlineStr">
        <is>
          <t>1997-10-20</t>
        </is>
      </c>
      <c r="X1571" t="inlineStr">
        <is>
          <t>1997-10-20</t>
        </is>
      </c>
      <c r="Y1571" t="inlineStr">
        <is>
          <t>1991-11-21</t>
        </is>
      </c>
      <c r="Z1571" t="inlineStr">
        <is>
          <t>1991-11-21</t>
        </is>
      </c>
      <c r="AA1571" t="n">
        <v>1378</v>
      </c>
      <c r="AB1571" t="n">
        <v>1271</v>
      </c>
      <c r="AC1571" t="n">
        <v>1352</v>
      </c>
      <c r="AD1571" t="n">
        <v>8</v>
      </c>
      <c r="AE1571" t="n">
        <v>8</v>
      </c>
      <c r="AF1571" t="n">
        <v>42</v>
      </c>
      <c r="AG1571" t="n">
        <v>43</v>
      </c>
      <c r="AH1571" t="n">
        <v>17</v>
      </c>
      <c r="AI1571" t="n">
        <v>17</v>
      </c>
      <c r="AJ1571" t="n">
        <v>9</v>
      </c>
      <c r="AK1571" t="n">
        <v>9</v>
      </c>
      <c r="AL1571" t="n">
        <v>20</v>
      </c>
      <c r="AM1571" t="n">
        <v>21</v>
      </c>
      <c r="AN1571" t="n">
        <v>6</v>
      </c>
      <c r="AO1571" t="n">
        <v>6</v>
      </c>
      <c r="AP1571" t="n">
        <v>0</v>
      </c>
      <c r="AQ1571" t="n">
        <v>0</v>
      </c>
      <c r="AR1571" t="inlineStr">
        <is>
          <t>No</t>
        </is>
      </c>
      <c r="AS1571" t="inlineStr">
        <is>
          <t>Yes</t>
        </is>
      </c>
      <c r="AT1571">
        <f>HYPERLINK("http://catalog.hathitrust.org/Record/004482676","HathiTrust Record")</f>
        <v/>
      </c>
      <c r="AU1571">
        <f>HYPERLINK("https://creighton-primo.hosted.exlibrisgroup.com/primo-explore/search?tab=default_tab&amp;search_scope=EVERYTHING&amp;vid=01CRU&amp;lang=en_US&amp;offset=0&amp;query=any,contains,991003012819702656","Catalog Record")</f>
        <v/>
      </c>
      <c r="AV1571">
        <f>HYPERLINK("http://www.worldcat.org/oclc/579118","WorldCat Record")</f>
        <v/>
      </c>
      <c r="AW1571" t="inlineStr">
        <is>
          <t>4820453712:eng</t>
        </is>
      </c>
      <c r="AX1571" t="inlineStr">
        <is>
          <t>579118</t>
        </is>
      </c>
      <c r="AY1571" t="inlineStr">
        <is>
          <t>991003012819702656</t>
        </is>
      </c>
      <c r="AZ1571" t="inlineStr">
        <is>
          <t>991003012819702656</t>
        </is>
      </c>
      <c r="BA1571" t="inlineStr">
        <is>
          <t>2255736100002656</t>
        </is>
      </c>
      <c r="BB1571" t="inlineStr">
        <is>
          <t>BOOK</t>
        </is>
      </c>
      <c r="BD1571" t="inlineStr">
        <is>
          <t>9780805710649</t>
        </is>
      </c>
      <c r="BE1571" t="inlineStr">
        <is>
          <t>32285000841949</t>
        </is>
      </c>
      <c r="BF1571" t="inlineStr">
        <is>
          <t>893251912</t>
        </is>
      </c>
    </row>
    <row r="1572">
      <c r="A1572" t="inlineStr">
        <is>
          <t>No</t>
        </is>
      </c>
      <c r="B1572" t="inlineStr">
        <is>
          <t>CURAL</t>
        </is>
      </c>
      <c r="C1572" t="inlineStr">
        <is>
          <t>SHELVES</t>
        </is>
      </c>
      <c r="D1572" t="inlineStr">
        <is>
          <t>PR4200 .F40</t>
        </is>
      </c>
      <c r="E1572" t="inlineStr">
        <is>
          <t>0                      PR 4200000F  40</t>
        </is>
      </c>
      <c r="F1572" t="inlineStr">
        <is>
          <t>The poetical works of Robert Browning, complete from 1833 to 1868, and the shorter poems thereafter.</t>
        </is>
      </c>
      <c r="H1572" t="inlineStr">
        <is>
          <t>No</t>
        </is>
      </c>
      <c r="I1572" t="inlineStr">
        <is>
          <t>1</t>
        </is>
      </c>
      <c r="J1572" t="inlineStr">
        <is>
          <t>No</t>
        </is>
      </c>
      <c r="K1572" t="inlineStr">
        <is>
          <t>No</t>
        </is>
      </c>
      <c r="L1572" t="inlineStr">
        <is>
          <t>0</t>
        </is>
      </c>
      <c r="M1572" t="inlineStr">
        <is>
          <t>Browning, Robert, 1812-1889.</t>
        </is>
      </c>
      <c r="N1572" t="inlineStr">
        <is>
          <t>London, Oxford University Press, H. Milford [1940]</t>
        </is>
      </c>
      <c r="O1572" t="inlineStr">
        <is>
          <t>1940</t>
        </is>
      </c>
      <c r="Q1572" t="inlineStr">
        <is>
          <t>eng</t>
        </is>
      </c>
      <c r="R1572" t="inlineStr">
        <is>
          <t>enk</t>
        </is>
      </c>
      <c r="T1572" t="inlineStr">
        <is>
          <t xml:space="preserve">PR </t>
        </is>
      </c>
      <c r="U1572" t="n">
        <v>1</v>
      </c>
      <c r="V1572" t="n">
        <v>1</v>
      </c>
      <c r="W1572" t="inlineStr">
        <is>
          <t>2009-05-04</t>
        </is>
      </c>
      <c r="X1572" t="inlineStr">
        <is>
          <t>2009-05-04</t>
        </is>
      </c>
      <c r="Y1572" t="inlineStr">
        <is>
          <t>1997-06-23</t>
        </is>
      </c>
      <c r="Z1572" t="inlineStr">
        <is>
          <t>1997-06-23</t>
        </is>
      </c>
      <c r="AA1572" t="n">
        <v>299</v>
      </c>
      <c r="AB1572" t="n">
        <v>230</v>
      </c>
      <c r="AC1572" t="n">
        <v>378</v>
      </c>
      <c r="AD1572" t="n">
        <v>1</v>
      </c>
      <c r="AE1572" t="n">
        <v>1</v>
      </c>
      <c r="AF1572" t="n">
        <v>9</v>
      </c>
      <c r="AG1572" t="n">
        <v>13</v>
      </c>
      <c r="AH1572" t="n">
        <v>3</v>
      </c>
      <c r="AI1572" t="n">
        <v>5</v>
      </c>
      <c r="AJ1572" t="n">
        <v>1</v>
      </c>
      <c r="AK1572" t="n">
        <v>2</v>
      </c>
      <c r="AL1572" t="n">
        <v>6</v>
      </c>
      <c r="AM1572" t="n">
        <v>8</v>
      </c>
      <c r="AN1572" t="n">
        <v>0</v>
      </c>
      <c r="AO1572" t="n">
        <v>0</v>
      </c>
      <c r="AP1572" t="n">
        <v>0</v>
      </c>
      <c r="AQ1572" t="n">
        <v>0</v>
      </c>
      <c r="AR1572" t="inlineStr">
        <is>
          <t>No</t>
        </is>
      </c>
      <c r="AS1572" t="inlineStr">
        <is>
          <t>Yes</t>
        </is>
      </c>
      <c r="AT1572">
        <f>HYPERLINK("http://catalog.hathitrust.org/Record/101863756","HathiTrust Record")</f>
        <v/>
      </c>
      <c r="AU1572">
        <f>HYPERLINK("https://creighton-primo.hosted.exlibrisgroup.com/primo-explore/search?tab=default_tab&amp;search_scope=EVERYTHING&amp;vid=01CRU&amp;lang=en_US&amp;offset=0&amp;query=any,contains,991003738389702656","Catalog Record")</f>
        <v/>
      </c>
      <c r="AV1572">
        <f>HYPERLINK("http://www.worldcat.org/oclc/1398125","WorldCat Record")</f>
        <v/>
      </c>
      <c r="AW1572" t="inlineStr">
        <is>
          <t>133382170:eng</t>
        </is>
      </c>
      <c r="AX1572" t="inlineStr">
        <is>
          <t>1398125</t>
        </is>
      </c>
      <c r="AY1572" t="inlineStr">
        <is>
          <t>991003738389702656</t>
        </is>
      </c>
      <c r="AZ1572" t="inlineStr">
        <is>
          <t>991003738389702656</t>
        </is>
      </c>
      <c r="BA1572" t="inlineStr">
        <is>
          <t>2263281460002656</t>
        </is>
      </c>
      <c r="BB1572" t="inlineStr">
        <is>
          <t>BOOK</t>
        </is>
      </c>
      <c r="BE1572" t="inlineStr">
        <is>
          <t>32285002828381</t>
        </is>
      </c>
      <c r="BF1572" t="inlineStr">
        <is>
          <t>893623842</t>
        </is>
      </c>
    </row>
    <row r="1573">
      <c r="A1573" t="inlineStr">
        <is>
          <t>No</t>
        </is>
      </c>
      <c r="B1573" t="inlineStr">
        <is>
          <t>CURAL</t>
        </is>
      </c>
      <c r="C1573" t="inlineStr">
        <is>
          <t>SHELVES</t>
        </is>
      </c>
      <c r="D1573" t="inlineStr">
        <is>
          <t>PR421 .B7 1983</t>
        </is>
      </c>
      <c r="E1573" t="inlineStr">
        <is>
          <t>0                      PR 0421000B  7           1983</t>
        </is>
      </c>
      <c r="F1573" t="inlineStr">
        <is>
          <t>This stage-play world : English literature and its background, 1580-1625 / Julia Briggs.</t>
        </is>
      </c>
      <c r="H1573" t="inlineStr">
        <is>
          <t>No</t>
        </is>
      </c>
      <c r="I1573" t="inlineStr">
        <is>
          <t>1</t>
        </is>
      </c>
      <c r="J1573" t="inlineStr">
        <is>
          <t>No</t>
        </is>
      </c>
      <c r="K1573" t="inlineStr">
        <is>
          <t>No</t>
        </is>
      </c>
      <c r="L1573" t="inlineStr">
        <is>
          <t>0</t>
        </is>
      </c>
      <c r="M1573" t="inlineStr">
        <is>
          <t>Briggs, Julia.</t>
        </is>
      </c>
      <c r="N1573" t="inlineStr">
        <is>
          <t>Oxford [Oxfordshire] ; New York : Oxford University Press, 1983.</t>
        </is>
      </c>
      <c r="O1573" t="inlineStr">
        <is>
          <t>1983</t>
        </is>
      </c>
      <c r="Q1573" t="inlineStr">
        <is>
          <t>eng</t>
        </is>
      </c>
      <c r="R1573" t="inlineStr">
        <is>
          <t>enk</t>
        </is>
      </c>
      <c r="S1573" t="inlineStr">
        <is>
          <t>OPUS</t>
        </is>
      </c>
      <c r="T1573" t="inlineStr">
        <is>
          <t xml:space="preserve">PR </t>
        </is>
      </c>
      <c r="U1573" t="n">
        <v>4</v>
      </c>
      <c r="V1573" t="n">
        <v>4</v>
      </c>
      <c r="W1573" t="inlineStr">
        <is>
          <t>2005-11-17</t>
        </is>
      </c>
      <c r="X1573" t="inlineStr">
        <is>
          <t>2005-11-17</t>
        </is>
      </c>
      <c r="Y1573" t="inlineStr">
        <is>
          <t>1991-08-28</t>
        </is>
      </c>
      <c r="Z1573" t="inlineStr">
        <is>
          <t>1991-08-28</t>
        </is>
      </c>
      <c r="AA1573" t="n">
        <v>583</v>
      </c>
      <c r="AB1573" t="n">
        <v>419</v>
      </c>
      <c r="AC1573" t="n">
        <v>430</v>
      </c>
      <c r="AD1573" t="n">
        <v>3</v>
      </c>
      <c r="AE1573" t="n">
        <v>3</v>
      </c>
      <c r="AF1573" t="n">
        <v>24</v>
      </c>
      <c r="AG1573" t="n">
        <v>24</v>
      </c>
      <c r="AH1573" t="n">
        <v>9</v>
      </c>
      <c r="AI1573" t="n">
        <v>9</v>
      </c>
      <c r="AJ1573" t="n">
        <v>6</v>
      </c>
      <c r="AK1573" t="n">
        <v>6</v>
      </c>
      <c r="AL1573" t="n">
        <v>14</v>
      </c>
      <c r="AM1573" t="n">
        <v>14</v>
      </c>
      <c r="AN1573" t="n">
        <v>2</v>
      </c>
      <c r="AO1573" t="n">
        <v>2</v>
      </c>
      <c r="AP1573" t="n">
        <v>0</v>
      </c>
      <c r="AQ1573" t="n">
        <v>0</v>
      </c>
      <c r="AR1573" t="inlineStr">
        <is>
          <t>No</t>
        </is>
      </c>
      <c r="AS1573" t="inlineStr">
        <is>
          <t>Yes</t>
        </is>
      </c>
      <c r="AT1573">
        <f>HYPERLINK("http://catalog.hathitrust.org/Record/000116649","HathiTrust Record")</f>
        <v/>
      </c>
      <c r="AU1573">
        <f>HYPERLINK("https://creighton-primo.hosted.exlibrisgroup.com/primo-explore/search?tab=default_tab&amp;search_scope=EVERYTHING&amp;vid=01CRU&amp;lang=en_US&amp;offset=0&amp;query=any,contains,991000124629702656","Catalog Record")</f>
        <v/>
      </c>
      <c r="AV1573">
        <f>HYPERLINK("http://www.worldcat.org/oclc/9082265","WorldCat Record")</f>
        <v/>
      </c>
      <c r="AW1573" t="inlineStr">
        <is>
          <t>20876246:eng</t>
        </is>
      </c>
      <c r="AX1573" t="inlineStr">
        <is>
          <t>9082265</t>
        </is>
      </c>
      <c r="AY1573" t="inlineStr">
        <is>
          <t>991000124629702656</t>
        </is>
      </c>
      <c r="AZ1573" t="inlineStr">
        <is>
          <t>991000124629702656</t>
        </is>
      </c>
      <c r="BA1573" t="inlineStr">
        <is>
          <t>2255882850002656</t>
        </is>
      </c>
      <c r="BB1573" t="inlineStr">
        <is>
          <t>BOOK</t>
        </is>
      </c>
      <c r="BD1573" t="inlineStr">
        <is>
          <t>9780192891341</t>
        </is>
      </c>
      <c r="BE1573" t="inlineStr">
        <is>
          <t>32285000731165</t>
        </is>
      </c>
      <c r="BF1573" t="inlineStr">
        <is>
          <t>893425449</t>
        </is>
      </c>
    </row>
    <row r="1574">
      <c r="A1574" t="inlineStr">
        <is>
          <t>No</t>
        </is>
      </c>
      <c r="B1574" t="inlineStr">
        <is>
          <t>CURAL</t>
        </is>
      </c>
      <c r="C1574" t="inlineStr">
        <is>
          <t>SHELVES</t>
        </is>
      </c>
      <c r="D1574" t="inlineStr">
        <is>
          <t>PR421 .G35 2004</t>
        </is>
      </c>
      <c r="E1574" t="inlineStr">
        <is>
          <t>0                      PR 0421000G  35          2004</t>
        </is>
      </c>
      <c r="F1574" t="inlineStr">
        <is>
          <t>The undergraduate's companion to English Renaissance writers and their web sites / by Steven Kenneth Galbraith.</t>
        </is>
      </c>
      <c r="H1574" t="inlineStr">
        <is>
          <t>No</t>
        </is>
      </c>
      <c r="I1574" t="inlineStr">
        <is>
          <t>1</t>
        </is>
      </c>
      <c r="J1574" t="inlineStr">
        <is>
          <t>No</t>
        </is>
      </c>
      <c r="K1574" t="inlineStr">
        <is>
          <t>No</t>
        </is>
      </c>
      <c r="L1574" t="inlineStr">
        <is>
          <t>0</t>
        </is>
      </c>
      <c r="M1574" t="inlineStr">
        <is>
          <t>Galbraith, Steven K.</t>
        </is>
      </c>
      <c r="N1574" t="inlineStr">
        <is>
          <t>Westport, Conn. : Libraries Unlimited, 2004.</t>
        </is>
      </c>
      <c r="O1574" t="inlineStr">
        <is>
          <t>2004</t>
        </is>
      </c>
      <c r="Q1574" t="inlineStr">
        <is>
          <t>eng</t>
        </is>
      </c>
      <c r="R1574" t="inlineStr">
        <is>
          <t>ctu</t>
        </is>
      </c>
      <c r="S1574" t="inlineStr">
        <is>
          <t>Undergraduate companion series</t>
        </is>
      </c>
      <c r="T1574" t="inlineStr">
        <is>
          <t xml:space="preserve">PR </t>
        </is>
      </c>
      <c r="U1574" t="n">
        <v>1</v>
      </c>
      <c r="V1574" t="n">
        <v>1</v>
      </c>
      <c r="W1574" t="inlineStr">
        <is>
          <t>2004-06-15</t>
        </is>
      </c>
      <c r="X1574" t="inlineStr">
        <is>
          <t>2004-06-15</t>
        </is>
      </c>
      <c r="Y1574" t="inlineStr">
        <is>
          <t>2004-06-15</t>
        </is>
      </c>
      <c r="Z1574" t="inlineStr">
        <is>
          <t>2004-06-15</t>
        </is>
      </c>
      <c r="AA1574" t="n">
        <v>149</v>
      </c>
      <c r="AB1574" t="n">
        <v>131</v>
      </c>
      <c r="AC1574" t="n">
        <v>538</v>
      </c>
      <c r="AD1574" t="n">
        <v>2</v>
      </c>
      <c r="AE1574" t="n">
        <v>5</v>
      </c>
      <c r="AF1574" t="n">
        <v>6</v>
      </c>
      <c r="AG1574" t="n">
        <v>15</v>
      </c>
      <c r="AH1574" t="n">
        <v>2</v>
      </c>
      <c r="AI1574" t="n">
        <v>6</v>
      </c>
      <c r="AJ1574" t="n">
        <v>0</v>
      </c>
      <c r="AK1574" t="n">
        <v>2</v>
      </c>
      <c r="AL1574" t="n">
        <v>3</v>
      </c>
      <c r="AM1574" t="n">
        <v>6</v>
      </c>
      <c r="AN1574" t="n">
        <v>1</v>
      </c>
      <c r="AO1574" t="n">
        <v>4</v>
      </c>
      <c r="AP1574" t="n">
        <v>0</v>
      </c>
      <c r="AQ1574" t="n">
        <v>0</v>
      </c>
      <c r="AR1574" t="inlineStr">
        <is>
          <t>No</t>
        </is>
      </c>
      <c r="AS1574" t="inlineStr">
        <is>
          <t>No</t>
        </is>
      </c>
      <c r="AU1574">
        <f>HYPERLINK("https://creighton-primo.hosted.exlibrisgroup.com/primo-explore/search?tab=default_tab&amp;search_scope=EVERYTHING&amp;vid=01CRU&amp;lang=en_US&amp;offset=0&amp;query=any,contains,991004290309702656","Catalog Record")</f>
        <v/>
      </c>
      <c r="AV1574">
        <f>HYPERLINK("http://www.worldcat.org/oclc/53075715","WorldCat Record")</f>
        <v/>
      </c>
      <c r="AW1574" t="inlineStr">
        <is>
          <t>808810:eng</t>
        </is>
      </c>
      <c r="AX1574" t="inlineStr">
        <is>
          <t>53075715</t>
        </is>
      </c>
      <c r="AY1574" t="inlineStr">
        <is>
          <t>991004290309702656</t>
        </is>
      </c>
      <c r="AZ1574" t="inlineStr">
        <is>
          <t>991004290309702656</t>
        </is>
      </c>
      <c r="BA1574" t="inlineStr">
        <is>
          <t>2269235940002656</t>
        </is>
      </c>
      <c r="BB1574" t="inlineStr">
        <is>
          <t>BOOK</t>
        </is>
      </c>
      <c r="BD1574" t="inlineStr">
        <is>
          <t>9781591581406</t>
        </is>
      </c>
      <c r="BE1574" t="inlineStr">
        <is>
          <t>32285004907670</t>
        </is>
      </c>
      <c r="BF1574" t="inlineStr">
        <is>
          <t>893429889</t>
        </is>
      </c>
    </row>
    <row r="1575">
      <c r="A1575" t="inlineStr">
        <is>
          <t>No</t>
        </is>
      </c>
      <c r="B1575" t="inlineStr">
        <is>
          <t>CURAL</t>
        </is>
      </c>
      <c r="C1575" t="inlineStr">
        <is>
          <t>SHELVES</t>
        </is>
      </c>
      <c r="D1575" t="inlineStr">
        <is>
          <t>PR421 .M27 1995</t>
        </is>
      </c>
      <c r="E1575" t="inlineStr">
        <is>
          <t>0                      PR 0421000M  27          1995</t>
        </is>
      </c>
      <c r="F1575" t="inlineStr">
        <is>
          <t>Literature and culture in early modern London / Lawrence Manley.</t>
        </is>
      </c>
      <c r="H1575" t="inlineStr">
        <is>
          <t>No</t>
        </is>
      </c>
      <c r="I1575" t="inlineStr">
        <is>
          <t>1</t>
        </is>
      </c>
      <c r="J1575" t="inlineStr">
        <is>
          <t>No</t>
        </is>
      </c>
      <c r="K1575" t="inlineStr">
        <is>
          <t>No</t>
        </is>
      </c>
      <c r="L1575" t="inlineStr">
        <is>
          <t>0</t>
        </is>
      </c>
      <c r="M1575" t="inlineStr">
        <is>
          <t>Manley, Lawrence, 1949-</t>
        </is>
      </c>
      <c r="N1575" t="inlineStr">
        <is>
          <t>Cambridge [England] ; New York : Cambridge University Press, 1995.</t>
        </is>
      </c>
      <c r="O1575" t="inlineStr">
        <is>
          <t>1995</t>
        </is>
      </c>
      <c r="Q1575" t="inlineStr">
        <is>
          <t>eng</t>
        </is>
      </c>
      <c r="R1575" t="inlineStr">
        <is>
          <t>enk</t>
        </is>
      </c>
      <c r="T1575" t="inlineStr">
        <is>
          <t xml:space="preserve">PR </t>
        </is>
      </c>
      <c r="U1575" t="n">
        <v>1</v>
      </c>
      <c r="V1575" t="n">
        <v>1</v>
      </c>
      <c r="W1575" t="inlineStr">
        <is>
          <t>2005-04-04</t>
        </is>
      </c>
      <c r="X1575" t="inlineStr">
        <is>
          <t>2005-04-04</t>
        </is>
      </c>
      <c r="Y1575" t="inlineStr">
        <is>
          <t>1996-04-23</t>
        </is>
      </c>
      <c r="Z1575" t="inlineStr">
        <is>
          <t>1996-04-23</t>
        </is>
      </c>
      <c r="AA1575" t="n">
        <v>496</v>
      </c>
      <c r="AB1575" t="n">
        <v>350</v>
      </c>
      <c r="AC1575" t="n">
        <v>358</v>
      </c>
      <c r="AD1575" t="n">
        <v>3</v>
      </c>
      <c r="AE1575" t="n">
        <v>3</v>
      </c>
      <c r="AF1575" t="n">
        <v>17</v>
      </c>
      <c r="AG1575" t="n">
        <v>17</v>
      </c>
      <c r="AH1575" t="n">
        <v>3</v>
      </c>
      <c r="AI1575" t="n">
        <v>3</v>
      </c>
      <c r="AJ1575" t="n">
        <v>6</v>
      </c>
      <c r="AK1575" t="n">
        <v>6</v>
      </c>
      <c r="AL1575" t="n">
        <v>11</v>
      </c>
      <c r="AM1575" t="n">
        <v>11</v>
      </c>
      <c r="AN1575" t="n">
        <v>2</v>
      </c>
      <c r="AO1575" t="n">
        <v>2</v>
      </c>
      <c r="AP1575" t="n">
        <v>0</v>
      </c>
      <c r="AQ1575" t="n">
        <v>0</v>
      </c>
      <c r="AR1575" t="inlineStr">
        <is>
          <t>No</t>
        </is>
      </c>
      <c r="AS1575" t="inlineStr">
        <is>
          <t>No</t>
        </is>
      </c>
      <c r="AU1575">
        <f>HYPERLINK("https://creighton-primo.hosted.exlibrisgroup.com/primo-explore/search?tab=default_tab&amp;search_scope=EVERYTHING&amp;vid=01CRU&amp;lang=en_US&amp;offset=0&amp;query=any,contains,991002285599702656","Catalog Record")</f>
        <v/>
      </c>
      <c r="AV1575">
        <f>HYPERLINK("http://www.worldcat.org/oclc/29635364","WorldCat Record")</f>
        <v/>
      </c>
      <c r="AW1575" t="inlineStr">
        <is>
          <t>31954275:eng</t>
        </is>
      </c>
      <c r="AX1575" t="inlineStr">
        <is>
          <t>29635364</t>
        </is>
      </c>
      <c r="AY1575" t="inlineStr">
        <is>
          <t>991002285599702656</t>
        </is>
      </c>
      <c r="AZ1575" t="inlineStr">
        <is>
          <t>991002285599702656</t>
        </is>
      </c>
      <c r="BA1575" t="inlineStr">
        <is>
          <t>2256741870002656</t>
        </is>
      </c>
      <c r="BB1575" t="inlineStr">
        <is>
          <t>BOOK</t>
        </is>
      </c>
      <c r="BD1575" t="inlineStr">
        <is>
          <t>9780521461610</t>
        </is>
      </c>
      <c r="BE1575" t="inlineStr">
        <is>
          <t>32285002156510</t>
        </is>
      </c>
      <c r="BF1575" t="inlineStr">
        <is>
          <t>893497927</t>
        </is>
      </c>
    </row>
    <row r="1576">
      <c r="A1576" t="inlineStr">
        <is>
          <t>No</t>
        </is>
      </c>
      <c r="B1576" t="inlineStr">
        <is>
          <t>CURAL</t>
        </is>
      </c>
      <c r="C1576" t="inlineStr">
        <is>
          <t>SHELVES</t>
        </is>
      </c>
      <c r="D1576" t="inlineStr">
        <is>
          <t>PR421 .S67 1997</t>
        </is>
      </c>
      <c r="E1576" t="inlineStr">
        <is>
          <t>0                      PR 0421000S  67          1997</t>
        </is>
      </c>
      <c r="F1576" t="inlineStr">
        <is>
          <t>Renaissance talk : ordinary language and the mystique of critical problems / Stanley Stewart.</t>
        </is>
      </c>
      <c r="H1576" t="inlineStr">
        <is>
          <t>No</t>
        </is>
      </c>
      <c r="I1576" t="inlineStr">
        <is>
          <t>1</t>
        </is>
      </c>
      <c r="J1576" t="inlineStr">
        <is>
          <t>No</t>
        </is>
      </c>
      <c r="K1576" t="inlineStr">
        <is>
          <t>No</t>
        </is>
      </c>
      <c r="L1576" t="inlineStr">
        <is>
          <t>0</t>
        </is>
      </c>
      <c r="M1576" t="inlineStr">
        <is>
          <t>Stewart, Stanley, 1931-</t>
        </is>
      </c>
      <c r="N1576" t="inlineStr">
        <is>
          <t>Pittsburgh, Pa. : Duquesne University Press, c1997.</t>
        </is>
      </c>
      <c r="O1576" t="inlineStr">
        <is>
          <t>1997</t>
        </is>
      </c>
      <c r="Q1576" t="inlineStr">
        <is>
          <t>eng</t>
        </is>
      </c>
      <c r="R1576" t="inlineStr">
        <is>
          <t>pau</t>
        </is>
      </c>
      <c r="S1576" t="inlineStr">
        <is>
          <t>Medieval and Renaissance literary studies</t>
        </is>
      </c>
      <c r="T1576" t="inlineStr">
        <is>
          <t xml:space="preserve">PR </t>
        </is>
      </c>
      <c r="U1576" t="n">
        <v>2</v>
      </c>
      <c r="V1576" t="n">
        <v>2</v>
      </c>
      <c r="W1576" t="inlineStr">
        <is>
          <t>2005-04-04</t>
        </is>
      </c>
      <c r="X1576" t="inlineStr">
        <is>
          <t>2005-04-04</t>
        </is>
      </c>
      <c r="Y1576" t="inlineStr">
        <is>
          <t>1999-04-07</t>
        </is>
      </c>
      <c r="Z1576" t="inlineStr">
        <is>
          <t>1999-04-07</t>
        </is>
      </c>
      <c r="AA1576" t="n">
        <v>323</v>
      </c>
      <c r="AB1576" t="n">
        <v>275</v>
      </c>
      <c r="AC1576" t="n">
        <v>282</v>
      </c>
      <c r="AD1576" t="n">
        <v>3</v>
      </c>
      <c r="AE1576" t="n">
        <v>3</v>
      </c>
      <c r="AF1576" t="n">
        <v>18</v>
      </c>
      <c r="AG1576" t="n">
        <v>18</v>
      </c>
      <c r="AH1576" t="n">
        <v>5</v>
      </c>
      <c r="AI1576" t="n">
        <v>5</v>
      </c>
      <c r="AJ1576" t="n">
        <v>4</v>
      </c>
      <c r="AK1576" t="n">
        <v>4</v>
      </c>
      <c r="AL1576" t="n">
        <v>13</v>
      </c>
      <c r="AM1576" t="n">
        <v>13</v>
      </c>
      <c r="AN1576" t="n">
        <v>2</v>
      </c>
      <c r="AO1576" t="n">
        <v>2</v>
      </c>
      <c r="AP1576" t="n">
        <v>0</v>
      </c>
      <c r="AQ1576" t="n">
        <v>0</v>
      </c>
      <c r="AR1576" t="inlineStr">
        <is>
          <t>No</t>
        </is>
      </c>
      <c r="AS1576" t="inlineStr">
        <is>
          <t>Yes</t>
        </is>
      </c>
      <c r="AT1576">
        <f>HYPERLINK("http://catalog.hathitrust.org/Record/003956293","HathiTrust Record")</f>
        <v/>
      </c>
      <c r="AU1576">
        <f>HYPERLINK("https://creighton-primo.hosted.exlibrisgroup.com/primo-explore/search?tab=default_tab&amp;search_scope=EVERYTHING&amp;vid=01CRU&amp;lang=en_US&amp;offset=0&amp;query=any,contains,991002803339702656","Catalog Record")</f>
        <v/>
      </c>
      <c r="AV1576">
        <f>HYPERLINK("http://www.worldcat.org/oclc/36824692","WorldCat Record")</f>
        <v/>
      </c>
      <c r="AW1576" t="inlineStr">
        <is>
          <t>370955234:eng</t>
        </is>
      </c>
      <c r="AX1576" t="inlineStr">
        <is>
          <t>36824692</t>
        </is>
      </c>
      <c r="AY1576" t="inlineStr">
        <is>
          <t>991002803339702656</t>
        </is>
      </c>
      <c r="AZ1576" t="inlineStr">
        <is>
          <t>991002803339702656</t>
        </is>
      </c>
      <c r="BA1576" t="inlineStr">
        <is>
          <t>2270460860002656</t>
        </is>
      </c>
      <c r="BB1576" t="inlineStr">
        <is>
          <t>BOOK</t>
        </is>
      </c>
      <c r="BD1576" t="inlineStr">
        <is>
          <t>9780820702735</t>
        </is>
      </c>
      <c r="BE1576" t="inlineStr">
        <is>
          <t>32285003549366</t>
        </is>
      </c>
      <c r="BF1576" t="inlineStr">
        <is>
          <t>893805059</t>
        </is>
      </c>
    </row>
    <row r="1577">
      <c r="A1577" t="inlineStr">
        <is>
          <t>No</t>
        </is>
      </c>
      <c r="B1577" t="inlineStr">
        <is>
          <t>CURAL</t>
        </is>
      </c>
      <c r="C1577" t="inlineStr">
        <is>
          <t>SHELVES</t>
        </is>
      </c>
      <c r="D1577" t="inlineStr">
        <is>
          <t>PR421 .W7</t>
        </is>
      </c>
      <c r="E1577" t="inlineStr">
        <is>
          <t>0                      PR 0421000W  7</t>
        </is>
      </c>
      <c r="F1577" t="inlineStr">
        <is>
          <t>Middle-class culture in Elizabethan England / by Louis B. Wright.</t>
        </is>
      </c>
      <c r="H1577" t="inlineStr">
        <is>
          <t>No</t>
        </is>
      </c>
      <c r="I1577" t="inlineStr">
        <is>
          <t>1</t>
        </is>
      </c>
      <c r="J1577" t="inlineStr">
        <is>
          <t>No</t>
        </is>
      </c>
      <c r="K1577" t="inlineStr">
        <is>
          <t>No</t>
        </is>
      </c>
      <c r="L1577" t="inlineStr">
        <is>
          <t>0</t>
        </is>
      </c>
      <c r="M1577" t="inlineStr">
        <is>
          <t>Wright, Louis B. (Louis Booker), 1899-1984.</t>
        </is>
      </c>
      <c r="N1577" t="inlineStr">
        <is>
          <t>Chapel Hill : The University of North Carolina Press, 1935.</t>
        </is>
      </c>
      <c r="O1577" t="inlineStr">
        <is>
          <t>1935</t>
        </is>
      </c>
      <c r="Q1577" t="inlineStr">
        <is>
          <t>eng</t>
        </is>
      </c>
      <c r="R1577" t="inlineStr">
        <is>
          <t>ncu</t>
        </is>
      </c>
      <c r="S1577" t="inlineStr">
        <is>
          <t>Huntington Library publications</t>
        </is>
      </c>
      <c r="T1577" t="inlineStr">
        <is>
          <t xml:space="preserve">PR </t>
        </is>
      </c>
      <c r="U1577" t="n">
        <v>7</v>
      </c>
      <c r="V1577" t="n">
        <v>7</v>
      </c>
      <c r="W1577" t="inlineStr">
        <is>
          <t>1993-11-29</t>
        </is>
      </c>
      <c r="X1577" t="inlineStr">
        <is>
          <t>1993-11-29</t>
        </is>
      </c>
      <c r="Y1577" t="inlineStr">
        <is>
          <t>1992-11-16</t>
        </is>
      </c>
      <c r="Z1577" t="inlineStr">
        <is>
          <t>1992-11-16</t>
        </is>
      </c>
      <c r="AA1577" t="n">
        <v>524</v>
      </c>
      <c r="AB1577" t="n">
        <v>451</v>
      </c>
      <c r="AC1577" t="n">
        <v>1115</v>
      </c>
      <c r="AD1577" t="n">
        <v>7</v>
      </c>
      <c r="AE1577" t="n">
        <v>10</v>
      </c>
      <c r="AF1577" t="n">
        <v>25</v>
      </c>
      <c r="AG1577" t="n">
        <v>56</v>
      </c>
      <c r="AH1577" t="n">
        <v>9</v>
      </c>
      <c r="AI1577" t="n">
        <v>26</v>
      </c>
      <c r="AJ1577" t="n">
        <v>4</v>
      </c>
      <c r="AK1577" t="n">
        <v>10</v>
      </c>
      <c r="AL1577" t="n">
        <v>11</v>
      </c>
      <c r="AM1577" t="n">
        <v>25</v>
      </c>
      <c r="AN1577" t="n">
        <v>6</v>
      </c>
      <c r="AO1577" t="n">
        <v>9</v>
      </c>
      <c r="AP1577" t="n">
        <v>0</v>
      </c>
      <c r="AQ1577" t="n">
        <v>0</v>
      </c>
      <c r="AR1577" t="inlineStr">
        <is>
          <t>Yes</t>
        </is>
      </c>
      <c r="AS1577" t="inlineStr">
        <is>
          <t>No</t>
        </is>
      </c>
      <c r="AT1577">
        <f>HYPERLINK("http://catalog.hathitrust.org/Record/000313629","HathiTrust Record")</f>
        <v/>
      </c>
      <c r="AU1577">
        <f>HYPERLINK("https://creighton-primo.hosted.exlibrisgroup.com/primo-explore/search?tab=default_tab&amp;search_scope=EVERYTHING&amp;vid=01CRU&amp;lang=en_US&amp;offset=0&amp;query=any,contains,991001651789702656","Catalog Record")</f>
        <v/>
      </c>
      <c r="AV1577">
        <f>HYPERLINK("http://www.worldcat.org/oclc/233904","WorldCat Record")</f>
        <v/>
      </c>
      <c r="AW1577" t="inlineStr">
        <is>
          <t>69775685:eng</t>
        </is>
      </c>
      <c r="AX1577" t="inlineStr">
        <is>
          <t>233904</t>
        </is>
      </c>
      <c r="AY1577" t="inlineStr">
        <is>
          <t>991001651789702656</t>
        </is>
      </c>
      <c r="AZ1577" t="inlineStr">
        <is>
          <t>991001651789702656</t>
        </is>
      </c>
      <c r="BA1577" t="inlineStr">
        <is>
          <t>2259218260002656</t>
        </is>
      </c>
      <c r="BB1577" t="inlineStr">
        <is>
          <t>BOOK</t>
        </is>
      </c>
      <c r="BE1577" t="inlineStr">
        <is>
          <t>32285001405074</t>
        </is>
      </c>
      <c r="BF1577" t="inlineStr">
        <is>
          <t>893509786</t>
        </is>
      </c>
    </row>
    <row r="1578">
      <c r="A1578" t="inlineStr">
        <is>
          <t>No</t>
        </is>
      </c>
      <c r="B1578" t="inlineStr">
        <is>
          <t>CURAL</t>
        </is>
      </c>
      <c r="C1578" t="inlineStr">
        <is>
          <t>SHELVES</t>
        </is>
      </c>
      <c r="D1578" t="inlineStr">
        <is>
          <t>PR4229 .B6 1897</t>
        </is>
      </c>
      <c r="E1578" t="inlineStr">
        <is>
          <t>0                      PR 4229000B  6           1897</t>
        </is>
      </c>
      <c r="F1578" t="inlineStr">
        <is>
          <t>The Boston Browning society papers : selected to represent the work of the society from 1886-1897.</t>
        </is>
      </c>
      <c r="H1578" t="inlineStr">
        <is>
          <t>No</t>
        </is>
      </c>
      <c r="I1578" t="inlineStr">
        <is>
          <t>1</t>
        </is>
      </c>
      <c r="J1578" t="inlineStr">
        <is>
          <t>No</t>
        </is>
      </c>
      <c r="K1578" t="inlineStr">
        <is>
          <t>No</t>
        </is>
      </c>
      <c r="L1578" t="inlineStr">
        <is>
          <t>0</t>
        </is>
      </c>
      <c r="M1578" t="inlineStr">
        <is>
          <t>Boston Browning Society.</t>
        </is>
      </c>
      <c r="N1578" t="inlineStr">
        <is>
          <t>New York : The Macmillan Company, 1897.</t>
        </is>
      </c>
      <c r="O1578" t="inlineStr">
        <is>
          <t>1897</t>
        </is>
      </c>
      <c r="Q1578" t="inlineStr">
        <is>
          <t>eng</t>
        </is>
      </c>
      <c r="R1578" t="inlineStr">
        <is>
          <t xml:space="preserve">xx </t>
        </is>
      </c>
      <c r="T1578" t="inlineStr">
        <is>
          <t xml:space="preserve">PR </t>
        </is>
      </c>
      <c r="U1578" t="n">
        <v>1</v>
      </c>
      <c r="V1578" t="n">
        <v>1</v>
      </c>
      <c r="W1578" t="inlineStr">
        <is>
          <t>1999-03-18</t>
        </is>
      </c>
      <c r="X1578" t="inlineStr">
        <is>
          <t>1999-03-18</t>
        </is>
      </c>
      <c r="Y1578" t="inlineStr">
        <is>
          <t>1992-02-20</t>
        </is>
      </c>
      <c r="Z1578" t="inlineStr">
        <is>
          <t>1992-02-20</t>
        </is>
      </c>
      <c r="AA1578" t="n">
        <v>184</v>
      </c>
      <c r="AB1578" t="n">
        <v>164</v>
      </c>
      <c r="AC1578" t="n">
        <v>276</v>
      </c>
      <c r="AD1578" t="n">
        <v>4</v>
      </c>
      <c r="AE1578" t="n">
        <v>5</v>
      </c>
      <c r="AF1578" t="n">
        <v>10</v>
      </c>
      <c r="AG1578" t="n">
        <v>14</v>
      </c>
      <c r="AH1578" t="n">
        <v>1</v>
      </c>
      <c r="AI1578" t="n">
        <v>2</v>
      </c>
      <c r="AJ1578" t="n">
        <v>1</v>
      </c>
      <c r="AK1578" t="n">
        <v>2</v>
      </c>
      <c r="AL1578" t="n">
        <v>6</v>
      </c>
      <c r="AM1578" t="n">
        <v>7</v>
      </c>
      <c r="AN1578" t="n">
        <v>3</v>
      </c>
      <c r="AO1578" t="n">
        <v>4</v>
      </c>
      <c r="AP1578" t="n">
        <v>0</v>
      </c>
      <c r="AQ1578" t="n">
        <v>0</v>
      </c>
      <c r="AR1578" t="inlineStr">
        <is>
          <t>Yes</t>
        </is>
      </c>
      <c r="AS1578" t="inlineStr">
        <is>
          <t>No</t>
        </is>
      </c>
      <c r="AT1578">
        <f>HYPERLINK("http://catalog.hathitrust.org/Record/007678425","HathiTrust Record")</f>
        <v/>
      </c>
      <c r="AU1578">
        <f>HYPERLINK("https://creighton-primo.hosted.exlibrisgroup.com/primo-explore/search?tab=default_tab&amp;search_scope=EVERYTHING&amp;vid=01CRU&amp;lang=en_US&amp;offset=0&amp;query=any,contains,991003778679702656","Catalog Record")</f>
        <v/>
      </c>
      <c r="AV1578">
        <f>HYPERLINK("http://www.worldcat.org/oclc/1489659","WorldCat Record")</f>
        <v/>
      </c>
      <c r="AW1578" t="inlineStr">
        <is>
          <t>1646944:eng</t>
        </is>
      </c>
      <c r="AX1578" t="inlineStr">
        <is>
          <t>1489659</t>
        </is>
      </c>
      <c r="AY1578" t="inlineStr">
        <is>
          <t>991003778679702656</t>
        </is>
      </c>
      <c r="AZ1578" t="inlineStr">
        <is>
          <t>991003778679702656</t>
        </is>
      </c>
      <c r="BA1578" t="inlineStr">
        <is>
          <t>2258069690002656</t>
        </is>
      </c>
      <c r="BB1578" t="inlineStr">
        <is>
          <t>BOOK</t>
        </is>
      </c>
      <c r="BE1578" t="inlineStr">
        <is>
          <t>32285000972181</t>
        </is>
      </c>
      <c r="BF1578" t="inlineStr">
        <is>
          <t>893240599</t>
        </is>
      </c>
    </row>
    <row r="1579">
      <c r="A1579" t="inlineStr">
        <is>
          <t>No</t>
        </is>
      </c>
      <c r="B1579" t="inlineStr">
        <is>
          <t>CURAL</t>
        </is>
      </c>
      <c r="C1579" t="inlineStr">
        <is>
          <t>SHELVES</t>
        </is>
      </c>
      <c r="D1579" t="inlineStr">
        <is>
          <t>PR423 .A94 1997</t>
        </is>
      </c>
      <c r="E1579" t="inlineStr">
        <is>
          <t>0                      PR 0423000A  94          1997</t>
        </is>
      </c>
      <c r="F1579" t="inlineStr">
        <is>
          <t>Augustan critical writing / edited with an introduction and notes by David Womersley.</t>
        </is>
      </c>
      <c r="H1579" t="inlineStr">
        <is>
          <t>No</t>
        </is>
      </c>
      <c r="I1579" t="inlineStr">
        <is>
          <t>1</t>
        </is>
      </c>
      <c r="J1579" t="inlineStr">
        <is>
          <t>No</t>
        </is>
      </c>
      <c r="K1579" t="inlineStr">
        <is>
          <t>No</t>
        </is>
      </c>
      <c r="L1579" t="inlineStr">
        <is>
          <t>0</t>
        </is>
      </c>
      <c r="N1579" t="inlineStr">
        <is>
          <t>London, England ; New York : Penguin Books, 1997.</t>
        </is>
      </c>
      <c r="O1579" t="inlineStr">
        <is>
          <t>1997</t>
        </is>
      </c>
      <c r="Q1579" t="inlineStr">
        <is>
          <t>eng</t>
        </is>
      </c>
      <c r="R1579" t="inlineStr">
        <is>
          <t>enk</t>
        </is>
      </c>
      <c r="S1579" t="inlineStr">
        <is>
          <t>Penguin classics</t>
        </is>
      </c>
      <c r="T1579" t="inlineStr">
        <is>
          <t xml:space="preserve">PR </t>
        </is>
      </c>
      <c r="U1579" t="n">
        <v>1</v>
      </c>
      <c r="V1579" t="n">
        <v>1</v>
      </c>
      <c r="W1579" t="inlineStr">
        <is>
          <t>2003-09-03</t>
        </is>
      </c>
      <c r="X1579" t="inlineStr">
        <is>
          <t>2003-09-03</t>
        </is>
      </c>
      <c r="Y1579" t="inlineStr">
        <is>
          <t>2003-09-03</t>
        </is>
      </c>
      <c r="Z1579" t="inlineStr">
        <is>
          <t>2003-09-03</t>
        </is>
      </c>
      <c r="AA1579" t="n">
        <v>152</v>
      </c>
      <c r="AB1579" t="n">
        <v>98</v>
      </c>
      <c r="AC1579" t="n">
        <v>104</v>
      </c>
      <c r="AD1579" t="n">
        <v>1</v>
      </c>
      <c r="AE1579" t="n">
        <v>1</v>
      </c>
      <c r="AF1579" t="n">
        <v>5</v>
      </c>
      <c r="AG1579" t="n">
        <v>5</v>
      </c>
      <c r="AH1579" t="n">
        <v>1</v>
      </c>
      <c r="AI1579" t="n">
        <v>1</v>
      </c>
      <c r="AJ1579" t="n">
        <v>3</v>
      </c>
      <c r="AK1579" t="n">
        <v>3</v>
      </c>
      <c r="AL1579" t="n">
        <v>2</v>
      </c>
      <c r="AM1579" t="n">
        <v>2</v>
      </c>
      <c r="AN1579" t="n">
        <v>0</v>
      </c>
      <c r="AO1579" t="n">
        <v>0</v>
      </c>
      <c r="AP1579" t="n">
        <v>0</v>
      </c>
      <c r="AQ1579" t="n">
        <v>0</v>
      </c>
      <c r="AR1579" t="inlineStr">
        <is>
          <t>No</t>
        </is>
      </c>
      <c r="AS1579" t="inlineStr">
        <is>
          <t>Yes</t>
        </is>
      </c>
      <c r="AT1579">
        <f>HYPERLINK("http://catalog.hathitrust.org/Record/007137444","HathiTrust Record")</f>
        <v/>
      </c>
      <c r="AU1579">
        <f>HYPERLINK("https://creighton-primo.hosted.exlibrisgroup.com/primo-explore/search?tab=default_tab&amp;search_scope=EVERYTHING&amp;vid=01CRU&amp;lang=en_US&amp;offset=0&amp;query=any,contains,991004113369702656","Catalog Record")</f>
        <v/>
      </c>
      <c r="AV1579">
        <f>HYPERLINK("http://www.worldcat.org/oclc/39162447","WorldCat Record")</f>
        <v/>
      </c>
      <c r="AW1579" t="inlineStr">
        <is>
          <t>595012:eng</t>
        </is>
      </c>
      <c r="AX1579" t="inlineStr">
        <is>
          <t>39162447</t>
        </is>
      </c>
      <c r="AY1579" t="inlineStr">
        <is>
          <t>991004113369702656</t>
        </is>
      </c>
      <c r="AZ1579" t="inlineStr">
        <is>
          <t>991004113369702656</t>
        </is>
      </c>
      <c r="BA1579" t="inlineStr">
        <is>
          <t>2269464640002656</t>
        </is>
      </c>
      <c r="BB1579" t="inlineStr">
        <is>
          <t>BOOK</t>
        </is>
      </c>
      <c r="BD1579" t="inlineStr">
        <is>
          <t>9780140433739</t>
        </is>
      </c>
      <c r="BE1579" t="inlineStr">
        <is>
          <t>32285004781265</t>
        </is>
      </c>
      <c r="BF1579" t="inlineStr">
        <is>
          <t>893888307</t>
        </is>
      </c>
    </row>
    <row r="1580">
      <c r="A1580" t="inlineStr">
        <is>
          <t>No</t>
        </is>
      </c>
      <c r="B1580" t="inlineStr">
        <is>
          <t>CURAL</t>
        </is>
      </c>
      <c r="C1580" t="inlineStr">
        <is>
          <t>SHELVES</t>
        </is>
      </c>
      <c r="D1580" t="inlineStr">
        <is>
          <t>PR423 .E5</t>
        </is>
      </c>
      <c r="E1580" t="inlineStr">
        <is>
          <t>0                      PR 0423000E  5</t>
        </is>
      </c>
      <c r="F1580" t="inlineStr">
        <is>
          <t>Elizabethan and Jacobean studies / presented to Frank Percy Wilson in honour of his seventieth birthday.</t>
        </is>
      </c>
      <c r="H1580" t="inlineStr">
        <is>
          <t>No</t>
        </is>
      </c>
      <c r="I1580" t="inlineStr">
        <is>
          <t>1</t>
        </is>
      </c>
      <c r="J1580" t="inlineStr">
        <is>
          <t>No</t>
        </is>
      </c>
      <c r="K1580" t="inlineStr">
        <is>
          <t>No</t>
        </is>
      </c>
      <c r="L1580" t="inlineStr">
        <is>
          <t>0</t>
        </is>
      </c>
      <c r="N1580" t="inlineStr">
        <is>
          <t>Oxford, Clarendon Press, 1959.</t>
        </is>
      </c>
      <c r="O1580" t="inlineStr">
        <is>
          <t>1959</t>
        </is>
      </c>
      <c r="Q1580" t="inlineStr">
        <is>
          <t>eng</t>
        </is>
      </c>
      <c r="R1580" t="inlineStr">
        <is>
          <t>enk</t>
        </is>
      </c>
      <c r="T1580" t="inlineStr">
        <is>
          <t xml:space="preserve">PR </t>
        </is>
      </c>
      <c r="U1580" t="n">
        <v>0</v>
      </c>
      <c r="V1580" t="n">
        <v>0</v>
      </c>
      <c r="W1580" t="inlineStr">
        <is>
          <t>2003-08-01</t>
        </is>
      </c>
      <c r="X1580" t="inlineStr">
        <is>
          <t>2003-08-01</t>
        </is>
      </c>
      <c r="Y1580" t="inlineStr">
        <is>
          <t>1997-08-21</t>
        </is>
      </c>
      <c r="Z1580" t="inlineStr">
        <is>
          <t>1997-08-21</t>
        </is>
      </c>
      <c r="AA1580" t="n">
        <v>471</v>
      </c>
      <c r="AB1580" t="n">
        <v>386</v>
      </c>
      <c r="AC1580" t="n">
        <v>392</v>
      </c>
      <c r="AD1580" t="n">
        <v>6</v>
      </c>
      <c r="AE1580" t="n">
        <v>6</v>
      </c>
      <c r="AF1580" t="n">
        <v>29</v>
      </c>
      <c r="AG1580" t="n">
        <v>29</v>
      </c>
      <c r="AH1580" t="n">
        <v>10</v>
      </c>
      <c r="AI1580" t="n">
        <v>10</v>
      </c>
      <c r="AJ1580" t="n">
        <v>5</v>
      </c>
      <c r="AK1580" t="n">
        <v>5</v>
      </c>
      <c r="AL1580" t="n">
        <v>17</v>
      </c>
      <c r="AM1580" t="n">
        <v>17</v>
      </c>
      <c r="AN1580" t="n">
        <v>5</v>
      </c>
      <c r="AO1580" t="n">
        <v>5</v>
      </c>
      <c r="AP1580" t="n">
        <v>0</v>
      </c>
      <c r="AQ1580" t="n">
        <v>0</v>
      </c>
      <c r="AR1580" t="inlineStr">
        <is>
          <t>No</t>
        </is>
      </c>
      <c r="AS1580" t="inlineStr">
        <is>
          <t>Yes</t>
        </is>
      </c>
      <c r="AT1580">
        <f>HYPERLINK("http://catalog.hathitrust.org/Record/001370793","HathiTrust Record")</f>
        <v/>
      </c>
      <c r="AU1580">
        <f>HYPERLINK("https://creighton-primo.hosted.exlibrisgroup.com/primo-explore/search?tab=default_tab&amp;search_scope=EVERYTHING&amp;vid=01CRU&amp;lang=en_US&amp;offset=0&amp;query=any,contains,991003989259702656","Catalog Record")</f>
        <v/>
      </c>
      <c r="AV1580">
        <f>HYPERLINK("http://www.worldcat.org/oclc/2039423","WorldCat Record")</f>
        <v/>
      </c>
      <c r="AW1580" t="inlineStr">
        <is>
          <t>4926569381:eng</t>
        </is>
      </c>
      <c r="AX1580" t="inlineStr">
        <is>
          <t>2039423</t>
        </is>
      </c>
      <c r="AY1580" t="inlineStr">
        <is>
          <t>991003989259702656</t>
        </is>
      </c>
      <c r="AZ1580" t="inlineStr">
        <is>
          <t>991003989259702656</t>
        </is>
      </c>
      <c r="BA1580" t="inlineStr">
        <is>
          <t>2266271180002656</t>
        </is>
      </c>
      <c r="BB1580" t="inlineStr">
        <is>
          <t>BOOK</t>
        </is>
      </c>
      <c r="BE1580" t="inlineStr">
        <is>
          <t>32285003151270</t>
        </is>
      </c>
      <c r="BF1580" t="inlineStr">
        <is>
          <t>893417082</t>
        </is>
      </c>
    </row>
    <row r="1581">
      <c r="A1581" t="inlineStr">
        <is>
          <t>No</t>
        </is>
      </c>
      <c r="B1581" t="inlineStr">
        <is>
          <t>CURAL</t>
        </is>
      </c>
      <c r="C1581" t="inlineStr">
        <is>
          <t>SHELVES</t>
        </is>
      </c>
      <c r="D1581" t="inlineStr">
        <is>
          <t>PR423 .L58 2001</t>
        </is>
      </c>
      <c r="E1581" t="inlineStr">
        <is>
          <t>0                      PR 0423000L  58          2001</t>
        </is>
      </c>
      <c r="F1581" t="inlineStr">
        <is>
          <t>Literature and censorship in Renaissance England / edited by Andrew Hadfield.</t>
        </is>
      </c>
      <c r="H1581" t="inlineStr">
        <is>
          <t>No</t>
        </is>
      </c>
      <c r="I1581" t="inlineStr">
        <is>
          <t>1</t>
        </is>
      </c>
      <c r="J1581" t="inlineStr">
        <is>
          <t>No</t>
        </is>
      </c>
      <c r="K1581" t="inlineStr">
        <is>
          <t>No</t>
        </is>
      </c>
      <c r="L1581" t="inlineStr">
        <is>
          <t>0</t>
        </is>
      </c>
      <c r="N1581" t="inlineStr">
        <is>
          <t>Houndmills, Basingstoke, Hampshire ; New York, N.Y. : Palgrave, 2001.</t>
        </is>
      </c>
      <c r="O1581" t="inlineStr">
        <is>
          <t>2001</t>
        </is>
      </c>
      <c r="Q1581" t="inlineStr">
        <is>
          <t>eng</t>
        </is>
      </c>
      <c r="R1581" t="inlineStr">
        <is>
          <t>enk</t>
        </is>
      </c>
      <c r="T1581" t="inlineStr">
        <is>
          <t xml:space="preserve">PR </t>
        </is>
      </c>
      <c r="U1581" t="n">
        <v>2</v>
      </c>
      <c r="V1581" t="n">
        <v>2</v>
      </c>
      <c r="W1581" t="inlineStr">
        <is>
          <t>2001-09-05</t>
        </is>
      </c>
      <c r="X1581" t="inlineStr">
        <is>
          <t>2001-09-05</t>
        </is>
      </c>
      <c r="Y1581" t="inlineStr">
        <is>
          <t>2001-09-05</t>
        </is>
      </c>
      <c r="Z1581" t="inlineStr">
        <is>
          <t>2001-09-05</t>
        </is>
      </c>
      <c r="AA1581" t="n">
        <v>299</v>
      </c>
      <c r="AB1581" t="n">
        <v>198</v>
      </c>
      <c r="AC1581" t="n">
        <v>199</v>
      </c>
      <c r="AD1581" t="n">
        <v>2</v>
      </c>
      <c r="AE1581" t="n">
        <v>2</v>
      </c>
      <c r="AF1581" t="n">
        <v>12</v>
      </c>
      <c r="AG1581" t="n">
        <v>12</v>
      </c>
      <c r="AH1581" t="n">
        <v>4</v>
      </c>
      <c r="AI1581" t="n">
        <v>4</v>
      </c>
      <c r="AJ1581" t="n">
        <v>3</v>
      </c>
      <c r="AK1581" t="n">
        <v>3</v>
      </c>
      <c r="AL1581" t="n">
        <v>8</v>
      </c>
      <c r="AM1581" t="n">
        <v>8</v>
      </c>
      <c r="AN1581" t="n">
        <v>1</v>
      </c>
      <c r="AO1581" t="n">
        <v>1</v>
      </c>
      <c r="AP1581" t="n">
        <v>0</v>
      </c>
      <c r="AQ1581" t="n">
        <v>0</v>
      </c>
      <c r="AR1581" t="inlineStr">
        <is>
          <t>No</t>
        </is>
      </c>
      <c r="AS1581" t="inlineStr">
        <is>
          <t>No</t>
        </is>
      </c>
      <c r="AU1581">
        <f>HYPERLINK("https://creighton-primo.hosted.exlibrisgroup.com/primo-explore/search?tab=default_tab&amp;search_scope=EVERYTHING&amp;vid=01CRU&amp;lang=en_US&amp;offset=0&amp;query=any,contains,991003514569702656","Catalog Record")</f>
        <v/>
      </c>
      <c r="AV1581">
        <f>HYPERLINK("http://www.worldcat.org/oclc/45575545","WorldCat Record")</f>
        <v/>
      </c>
      <c r="AW1581" t="inlineStr">
        <is>
          <t>56619681:eng</t>
        </is>
      </c>
      <c r="AX1581" t="inlineStr">
        <is>
          <t>45575545</t>
        </is>
      </c>
      <c r="AY1581" t="inlineStr">
        <is>
          <t>991003514569702656</t>
        </is>
      </c>
      <c r="AZ1581" t="inlineStr">
        <is>
          <t>991003514569702656</t>
        </is>
      </c>
      <c r="BA1581" t="inlineStr">
        <is>
          <t>2270100560002656</t>
        </is>
      </c>
      <c r="BB1581" t="inlineStr">
        <is>
          <t>BOOK</t>
        </is>
      </c>
      <c r="BD1581" t="inlineStr">
        <is>
          <t>9780333794104</t>
        </is>
      </c>
      <c r="BE1581" t="inlineStr">
        <is>
          <t>32285004384854</t>
        </is>
      </c>
      <c r="BF1581" t="inlineStr">
        <is>
          <t>893717743</t>
        </is>
      </c>
    </row>
    <row r="1582">
      <c r="A1582" t="inlineStr">
        <is>
          <t>No</t>
        </is>
      </c>
      <c r="B1582" t="inlineStr">
        <is>
          <t>CURAL</t>
        </is>
      </c>
      <c r="C1582" t="inlineStr">
        <is>
          <t>SHELVES</t>
        </is>
      </c>
      <c r="D1582" t="inlineStr">
        <is>
          <t>PR4231 .B85</t>
        </is>
      </c>
      <c r="E1582" t="inlineStr">
        <is>
          <t>0                      PR 4231000B  85</t>
        </is>
      </c>
      <c r="F1582" t="inlineStr">
        <is>
          <t>Browning the poet : an introductory study.</t>
        </is>
      </c>
      <c r="H1582" t="inlineStr">
        <is>
          <t>No</t>
        </is>
      </c>
      <c r="I1582" t="inlineStr">
        <is>
          <t>1</t>
        </is>
      </c>
      <c r="J1582" t="inlineStr">
        <is>
          <t>No</t>
        </is>
      </c>
      <c r="K1582" t="inlineStr">
        <is>
          <t>No</t>
        </is>
      </c>
      <c r="L1582" t="inlineStr">
        <is>
          <t>0</t>
        </is>
      </c>
      <c r="M1582" t="inlineStr">
        <is>
          <t>Burrows, Leonard.</t>
        </is>
      </c>
      <c r="N1582" t="inlineStr">
        <is>
          <t>[Nedlands, Perth] : University of Western Australia Press, [1969]</t>
        </is>
      </c>
      <c r="O1582" t="inlineStr">
        <is>
          <t>1969</t>
        </is>
      </c>
      <c r="Q1582" t="inlineStr">
        <is>
          <t>eng</t>
        </is>
      </c>
      <c r="R1582" t="inlineStr">
        <is>
          <t xml:space="preserve">at </t>
        </is>
      </c>
      <c r="T1582" t="inlineStr">
        <is>
          <t xml:space="preserve">PR </t>
        </is>
      </c>
      <c r="U1582" t="n">
        <v>6</v>
      </c>
      <c r="V1582" t="n">
        <v>6</v>
      </c>
      <c r="W1582" t="inlineStr">
        <is>
          <t>1997-05-08</t>
        </is>
      </c>
      <c r="X1582" t="inlineStr">
        <is>
          <t>1997-05-08</t>
        </is>
      </c>
      <c r="Y1582" t="inlineStr">
        <is>
          <t>1990-04-18</t>
        </is>
      </c>
      <c r="Z1582" t="inlineStr">
        <is>
          <t>1990-04-18</t>
        </is>
      </c>
      <c r="AA1582" t="n">
        <v>353</v>
      </c>
      <c r="AB1582" t="n">
        <v>271</v>
      </c>
      <c r="AC1582" t="n">
        <v>274</v>
      </c>
      <c r="AD1582" t="n">
        <v>3</v>
      </c>
      <c r="AE1582" t="n">
        <v>3</v>
      </c>
      <c r="AF1582" t="n">
        <v>17</v>
      </c>
      <c r="AG1582" t="n">
        <v>17</v>
      </c>
      <c r="AH1582" t="n">
        <v>8</v>
      </c>
      <c r="AI1582" t="n">
        <v>8</v>
      </c>
      <c r="AJ1582" t="n">
        <v>4</v>
      </c>
      <c r="AK1582" t="n">
        <v>4</v>
      </c>
      <c r="AL1582" t="n">
        <v>7</v>
      </c>
      <c r="AM1582" t="n">
        <v>7</v>
      </c>
      <c r="AN1582" t="n">
        <v>2</v>
      </c>
      <c r="AO1582" t="n">
        <v>2</v>
      </c>
      <c r="AP1582" t="n">
        <v>0</v>
      </c>
      <c r="AQ1582" t="n">
        <v>0</v>
      </c>
      <c r="AR1582" t="inlineStr">
        <is>
          <t>No</t>
        </is>
      </c>
      <c r="AS1582" t="inlineStr">
        <is>
          <t>Yes</t>
        </is>
      </c>
      <c r="AT1582">
        <f>HYPERLINK("http://catalog.hathitrust.org/Record/000475639","HathiTrust Record")</f>
        <v/>
      </c>
      <c r="AU1582">
        <f>HYPERLINK("https://creighton-primo.hosted.exlibrisgroup.com/primo-explore/search?tab=default_tab&amp;search_scope=EVERYTHING&amp;vid=01CRU&amp;lang=en_US&amp;offset=0&amp;query=any,contains,991000044999702656","Catalog Record")</f>
        <v/>
      </c>
      <c r="AV1582">
        <f>HYPERLINK("http://www.worldcat.org/oclc/22096","WorldCat Record")</f>
        <v/>
      </c>
      <c r="AW1582" t="inlineStr">
        <is>
          <t>365450974:eng</t>
        </is>
      </c>
      <c r="AX1582" t="inlineStr">
        <is>
          <t>22096</t>
        </is>
      </c>
      <c r="AY1582" t="inlineStr">
        <is>
          <t>991000044999702656</t>
        </is>
      </c>
      <c r="AZ1582" t="inlineStr">
        <is>
          <t>991000044999702656</t>
        </is>
      </c>
      <c r="BA1582" t="inlineStr">
        <is>
          <t>2268061290002656</t>
        </is>
      </c>
      <c r="BB1582" t="inlineStr">
        <is>
          <t>BOOK</t>
        </is>
      </c>
      <c r="BE1582" t="inlineStr">
        <is>
          <t>32285000116862</t>
        </is>
      </c>
      <c r="BF1582" t="inlineStr">
        <is>
          <t>893871350</t>
        </is>
      </c>
    </row>
    <row r="1583">
      <c r="A1583" t="inlineStr">
        <is>
          <t>No</t>
        </is>
      </c>
      <c r="B1583" t="inlineStr">
        <is>
          <t>CURAL</t>
        </is>
      </c>
      <c r="C1583" t="inlineStr">
        <is>
          <t>SHELVES</t>
        </is>
      </c>
      <c r="D1583" t="inlineStr">
        <is>
          <t>PR4231 .C4</t>
        </is>
      </c>
      <c r="E1583" t="inlineStr">
        <is>
          <t>0                      PR 4231000C  4</t>
        </is>
      </c>
      <c r="F1583" t="inlineStr">
        <is>
          <t>Robert Browning / by Gilbert Keith Chesterton.</t>
        </is>
      </c>
      <c r="H1583" t="inlineStr">
        <is>
          <t>No</t>
        </is>
      </c>
      <c r="I1583" t="inlineStr">
        <is>
          <t>1</t>
        </is>
      </c>
      <c r="J1583" t="inlineStr">
        <is>
          <t>No</t>
        </is>
      </c>
      <c r="K1583" t="inlineStr">
        <is>
          <t>No</t>
        </is>
      </c>
      <c r="L1583" t="inlineStr">
        <is>
          <t>0</t>
        </is>
      </c>
      <c r="M1583" t="inlineStr">
        <is>
          <t>Chesterton, G. K. (Gilbert Keith), 1874-1936.</t>
        </is>
      </c>
      <c r="N1583" t="inlineStr">
        <is>
          <t>New York : Macmillan, 1926.</t>
        </is>
      </c>
      <c r="O1583" t="inlineStr">
        <is>
          <t>1926</t>
        </is>
      </c>
      <c r="Q1583" t="inlineStr">
        <is>
          <t>eng</t>
        </is>
      </c>
      <c r="R1583" t="inlineStr">
        <is>
          <t>nyu</t>
        </is>
      </c>
      <c r="S1583" t="inlineStr">
        <is>
          <t>English men of letters</t>
        </is>
      </c>
      <c r="T1583" t="inlineStr">
        <is>
          <t xml:space="preserve">PR </t>
        </is>
      </c>
      <c r="U1583" t="n">
        <v>1</v>
      </c>
      <c r="V1583" t="n">
        <v>1</v>
      </c>
      <c r="W1583" t="inlineStr">
        <is>
          <t>2002-01-11</t>
        </is>
      </c>
      <c r="X1583" t="inlineStr">
        <is>
          <t>2002-01-11</t>
        </is>
      </c>
      <c r="Y1583" t="inlineStr">
        <is>
          <t>1997-06-25</t>
        </is>
      </c>
      <c r="Z1583" t="inlineStr">
        <is>
          <t>1997-06-25</t>
        </is>
      </c>
      <c r="AA1583" t="n">
        <v>33</v>
      </c>
      <c r="AB1583" t="n">
        <v>31</v>
      </c>
      <c r="AC1583" t="n">
        <v>1275</v>
      </c>
      <c r="AD1583" t="n">
        <v>1</v>
      </c>
      <c r="AE1583" t="n">
        <v>11</v>
      </c>
      <c r="AF1583" t="n">
        <v>3</v>
      </c>
      <c r="AG1583" t="n">
        <v>60</v>
      </c>
      <c r="AH1583" t="n">
        <v>1</v>
      </c>
      <c r="AI1583" t="n">
        <v>27</v>
      </c>
      <c r="AJ1583" t="n">
        <v>1</v>
      </c>
      <c r="AK1583" t="n">
        <v>10</v>
      </c>
      <c r="AL1583" t="n">
        <v>3</v>
      </c>
      <c r="AM1583" t="n">
        <v>28</v>
      </c>
      <c r="AN1583" t="n">
        <v>0</v>
      </c>
      <c r="AO1583" t="n">
        <v>9</v>
      </c>
      <c r="AP1583" t="n">
        <v>0</v>
      </c>
      <c r="AQ1583" t="n">
        <v>0</v>
      </c>
      <c r="AR1583" t="inlineStr">
        <is>
          <t>No</t>
        </is>
      </c>
      <c r="AS1583" t="inlineStr">
        <is>
          <t>No</t>
        </is>
      </c>
      <c r="AU1583">
        <f>HYPERLINK("https://creighton-primo.hosted.exlibrisgroup.com/primo-explore/search?tab=default_tab&amp;search_scope=EVERYTHING&amp;vid=01CRU&amp;lang=en_US&amp;offset=0&amp;query=any,contains,991005006779702656","Catalog Record")</f>
        <v/>
      </c>
      <c r="AV1583">
        <f>HYPERLINK("http://www.worldcat.org/oclc/6577631","WorldCat Record")</f>
        <v/>
      </c>
      <c r="AW1583" t="inlineStr">
        <is>
          <t>3901080171:eng</t>
        </is>
      </c>
      <c r="AX1583" t="inlineStr">
        <is>
          <t>6577631</t>
        </is>
      </c>
      <c r="AY1583" t="inlineStr">
        <is>
          <t>991005006779702656</t>
        </is>
      </c>
      <c r="AZ1583" t="inlineStr">
        <is>
          <t>991005006779702656</t>
        </is>
      </c>
      <c r="BA1583" t="inlineStr">
        <is>
          <t>2263093940002656</t>
        </is>
      </c>
      <c r="BB1583" t="inlineStr">
        <is>
          <t>BOOK</t>
        </is>
      </c>
      <c r="BE1583" t="inlineStr">
        <is>
          <t>32285002831575</t>
        </is>
      </c>
      <c r="BF1583" t="inlineStr">
        <is>
          <t>893260432</t>
        </is>
      </c>
    </row>
    <row r="1584">
      <c r="A1584" t="inlineStr">
        <is>
          <t>No</t>
        </is>
      </c>
      <c r="B1584" t="inlineStr">
        <is>
          <t>CURAL</t>
        </is>
      </c>
      <c r="C1584" t="inlineStr">
        <is>
          <t>SHELVES</t>
        </is>
      </c>
      <c r="D1584" t="inlineStr">
        <is>
          <t>PR4231 .D84</t>
        </is>
      </c>
      <c r="E1584" t="inlineStr">
        <is>
          <t>0                      PR 4231000D  84</t>
        </is>
      </c>
      <c r="F1584" t="inlineStr">
        <is>
          <t>Amphibian : a reconsideration of Browning.</t>
        </is>
      </c>
      <c r="H1584" t="inlineStr">
        <is>
          <t>No</t>
        </is>
      </c>
      <c r="I1584" t="inlineStr">
        <is>
          <t>1</t>
        </is>
      </c>
      <c r="J1584" t="inlineStr">
        <is>
          <t>No</t>
        </is>
      </c>
      <c r="K1584" t="inlineStr">
        <is>
          <t>No</t>
        </is>
      </c>
      <c r="L1584" t="inlineStr">
        <is>
          <t>0</t>
        </is>
      </c>
      <c r="M1584" t="inlineStr">
        <is>
          <t>Duffin, Henry Charles, 1884-1974.</t>
        </is>
      </c>
      <c r="N1584" t="inlineStr">
        <is>
          <t>[London] : Bowes &amp; Bowes, [1956]</t>
        </is>
      </c>
      <c r="O1584" t="inlineStr">
        <is>
          <t>1956</t>
        </is>
      </c>
      <c r="Q1584" t="inlineStr">
        <is>
          <t>eng</t>
        </is>
      </c>
      <c r="R1584" t="inlineStr">
        <is>
          <t>enk</t>
        </is>
      </c>
      <c r="T1584" t="inlineStr">
        <is>
          <t xml:space="preserve">PR </t>
        </is>
      </c>
      <c r="U1584" t="n">
        <v>2</v>
      </c>
      <c r="V1584" t="n">
        <v>2</v>
      </c>
      <c r="W1584" t="inlineStr">
        <is>
          <t>1995-01-23</t>
        </is>
      </c>
      <c r="X1584" t="inlineStr">
        <is>
          <t>1995-01-23</t>
        </is>
      </c>
      <c r="Y1584" t="inlineStr">
        <is>
          <t>1993-06-10</t>
        </is>
      </c>
      <c r="Z1584" t="inlineStr">
        <is>
          <t>1993-06-10</t>
        </is>
      </c>
      <c r="AA1584" t="n">
        <v>501</v>
      </c>
      <c r="AB1584" t="n">
        <v>384</v>
      </c>
      <c r="AC1584" t="n">
        <v>400</v>
      </c>
      <c r="AD1584" t="n">
        <v>5</v>
      </c>
      <c r="AE1584" t="n">
        <v>5</v>
      </c>
      <c r="AF1584" t="n">
        <v>26</v>
      </c>
      <c r="AG1584" t="n">
        <v>26</v>
      </c>
      <c r="AH1584" t="n">
        <v>10</v>
      </c>
      <c r="AI1584" t="n">
        <v>10</v>
      </c>
      <c r="AJ1584" t="n">
        <v>4</v>
      </c>
      <c r="AK1584" t="n">
        <v>4</v>
      </c>
      <c r="AL1584" t="n">
        <v>16</v>
      </c>
      <c r="AM1584" t="n">
        <v>16</v>
      </c>
      <c r="AN1584" t="n">
        <v>4</v>
      </c>
      <c r="AO1584" t="n">
        <v>4</v>
      </c>
      <c r="AP1584" t="n">
        <v>0</v>
      </c>
      <c r="AQ1584" t="n">
        <v>0</v>
      </c>
      <c r="AR1584" t="inlineStr">
        <is>
          <t>No</t>
        </is>
      </c>
      <c r="AS1584" t="inlineStr">
        <is>
          <t>Yes</t>
        </is>
      </c>
      <c r="AT1584">
        <f>HYPERLINK("http://catalog.hathitrust.org/Record/000475693","HathiTrust Record")</f>
        <v/>
      </c>
      <c r="AU1584">
        <f>HYPERLINK("https://creighton-primo.hosted.exlibrisgroup.com/primo-explore/search?tab=default_tab&amp;search_scope=EVERYTHING&amp;vid=01CRU&amp;lang=en_US&amp;offset=0&amp;query=any,contains,991002481929702656","Catalog Record")</f>
        <v/>
      </c>
      <c r="AV1584">
        <f>HYPERLINK("http://www.worldcat.org/oclc/359949","WorldCat Record")</f>
        <v/>
      </c>
      <c r="AW1584" t="inlineStr">
        <is>
          <t>1410380:eng</t>
        </is>
      </c>
      <c r="AX1584" t="inlineStr">
        <is>
          <t>359949</t>
        </is>
      </c>
      <c r="AY1584" t="inlineStr">
        <is>
          <t>991002481929702656</t>
        </is>
      </c>
      <c r="AZ1584" t="inlineStr">
        <is>
          <t>991002481929702656</t>
        </is>
      </c>
      <c r="BA1584" t="inlineStr">
        <is>
          <t>2272519140002656</t>
        </is>
      </c>
      <c r="BB1584" t="inlineStr">
        <is>
          <t>BOOK</t>
        </is>
      </c>
      <c r="BE1584" t="inlineStr">
        <is>
          <t>32285001696599</t>
        </is>
      </c>
      <c r="BF1584" t="inlineStr">
        <is>
          <t>893329139</t>
        </is>
      </c>
    </row>
    <row r="1585">
      <c r="A1585" t="inlineStr">
        <is>
          <t>No</t>
        </is>
      </c>
      <c r="B1585" t="inlineStr">
        <is>
          <t>CURAL</t>
        </is>
      </c>
      <c r="C1585" t="inlineStr">
        <is>
          <t>SHELVES</t>
        </is>
      </c>
      <c r="D1585" t="inlineStr">
        <is>
          <t>PR4231 .T48 1982b</t>
        </is>
      </c>
      <c r="E1585" t="inlineStr">
        <is>
          <t>0                      PR 4231000T  48          1982b</t>
        </is>
      </c>
      <c r="F1585" t="inlineStr">
        <is>
          <t>Robert Browning, a life within life / Donald Thomas.</t>
        </is>
      </c>
      <c r="H1585" t="inlineStr">
        <is>
          <t>No</t>
        </is>
      </c>
      <c r="I1585" t="inlineStr">
        <is>
          <t>1</t>
        </is>
      </c>
      <c r="J1585" t="inlineStr">
        <is>
          <t>No</t>
        </is>
      </c>
      <c r="K1585" t="inlineStr">
        <is>
          <t>No</t>
        </is>
      </c>
      <c r="L1585" t="inlineStr">
        <is>
          <t>0</t>
        </is>
      </c>
      <c r="M1585" t="inlineStr">
        <is>
          <t>Thomas, Donald, 1926-</t>
        </is>
      </c>
      <c r="N1585" t="inlineStr">
        <is>
          <t>London : Weidenfeld and Nicolson, c1982.</t>
        </is>
      </c>
      <c r="O1585" t="inlineStr">
        <is>
          <t>1982</t>
        </is>
      </c>
      <c r="Q1585" t="inlineStr">
        <is>
          <t>eng</t>
        </is>
      </c>
      <c r="R1585" t="inlineStr">
        <is>
          <t>enk</t>
        </is>
      </c>
      <c r="T1585" t="inlineStr">
        <is>
          <t xml:space="preserve">PR </t>
        </is>
      </c>
      <c r="U1585" t="n">
        <v>2</v>
      </c>
      <c r="V1585" t="n">
        <v>2</v>
      </c>
      <c r="W1585" t="inlineStr">
        <is>
          <t>1999-04-14</t>
        </is>
      </c>
      <c r="X1585" t="inlineStr">
        <is>
          <t>1999-04-14</t>
        </is>
      </c>
      <c r="Y1585" t="inlineStr">
        <is>
          <t>1991-11-21</t>
        </is>
      </c>
      <c r="Z1585" t="inlineStr">
        <is>
          <t>1991-11-21</t>
        </is>
      </c>
      <c r="AA1585" t="n">
        <v>275</v>
      </c>
      <c r="AB1585" t="n">
        <v>100</v>
      </c>
      <c r="AC1585" t="n">
        <v>964</v>
      </c>
      <c r="AD1585" t="n">
        <v>2</v>
      </c>
      <c r="AE1585" t="n">
        <v>6</v>
      </c>
      <c r="AF1585" t="n">
        <v>4</v>
      </c>
      <c r="AG1585" t="n">
        <v>30</v>
      </c>
      <c r="AH1585" t="n">
        <v>0</v>
      </c>
      <c r="AI1585" t="n">
        <v>13</v>
      </c>
      <c r="AJ1585" t="n">
        <v>0</v>
      </c>
      <c r="AK1585" t="n">
        <v>8</v>
      </c>
      <c r="AL1585" t="n">
        <v>3</v>
      </c>
      <c r="AM1585" t="n">
        <v>16</v>
      </c>
      <c r="AN1585" t="n">
        <v>1</v>
      </c>
      <c r="AO1585" t="n">
        <v>4</v>
      </c>
      <c r="AP1585" t="n">
        <v>0</v>
      </c>
      <c r="AQ1585" t="n">
        <v>0</v>
      </c>
      <c r="AR1585" t="inlineStr">
        <is>
          <t>No</t>
        </is>
      </c>
      <c r="AS1585" t="inlineStr">
        <is>
          <t>No</t>
        </is>
      </c>
      <c r="AU1585">
        <f>HYPERLINK("https://creighton-primo.hosted.exlibrisgroup.com/primo-explore/search?tab=default_tab&amp;search_scope=EVERYTHING&amp;vid=01CRU&amp;lang=en_US&amp;offset=0&amp;query=any,contains,991000073009702656","Catalog Record")</f>
        <v/>
      </c>
      <c r="AV1585">
        <f>HYPERLINK("http://www.worldcat.org/oclc/8789209","WorldCat Record")</f>
        <v/>
      </c>
      <c r="AW1585" t="inlineStr">
        <is>
          <t>229559357:eng</t>
        </is>
      </c>
      <c r="AX1585" t="inlineStr">
        <is>
          <t>8789209</t>
        </is>
      </c>
      <c r="AY1585" t="inlineStr">
        <is>
          <t>991000073009702656</t>
        </is>
      </c>
      <c r="AZ1585" t="inlineStr">
        <is>
          <t>991000073009702656</t>
        </is>
      </c>
      <c r="BA1585" t="inlineStr">
        <is>
          <t>2265344200002656</t>
        </is>
      </c>
      <c r="BB1585" t="inlineStr">
        <is>
          <t>BOOK</t>
        </is>
      </c>
      <c r="BD1585" t="inlineStr">
        <is>
          <t>9780297780922</t>
        </is>
      </c>
      <c r="BE1585" t="inlineStr">
        <is>
          <t>32285000842418</t>
        </is>
      </c>
      <c r="BF1585" t="inlineStr">
        <is>
          <t>893701807</t>
        </is>
      </c>
    </row>
    <row r="1586">
      <c r="A1586" t="inlineStr">
        <is>
          <t>No</t>
        </is>
      </c>
      <c r="B1586" t="inlineStr">
        <is>
          <t>CURAL</t>
        </is>
      </c>
      <c r="C1586" t="inlineStr">
        <is>
          <t>SHELVES</t>
        </is>
      </c>
      <c r="D1586" t="inlineStr">
        <is>
          <t>PR4231 .T7 1970</t>
        </is>
      </c>
      <c r="E1586" t="inlineStr">
        <is>
          <t>0                      PR 4231000T  7           1970</t>
        </is>
      </c>
      <c r="F1586" t="inlineStr">
        <is>
          <t>Browning's mind and art / [by] Richard D. Altick [and others] Essays edited by Clarence Tracy.</t>
        </is>
      </c>
      <c r="H1586" t="inlineStr">
        <is>
          <t>No</t>
        </is>
      </c>
      <c r="I1586" t="inlineStr">
        <is>
          <t>1</t>
        </is>
      </c>
      <c r="J1586" t="inlineStr">
        <is>
          <t>No</t>
        </is>
      </c>
      <c r="K1586" t="inlineStr">
        <is>
          <t>No</t>
        </is>
      </c>
      <c r="L1586" t="inlineStr">
        <is>
          <t>0</t>
        </is>
      </c>
      <c r="M1586" t="inlineStr">
        <is>
          <t>Tracy, Clarence, 1908-1993 compiler.</t>
        </is>
      </c>
      <c r="N1586" t="inlineStr">
        <is>
          <t>New York : Barnes &amp; Noble, [1970, c1968]</t>
        </is>
      </c>
      <c r="O1586" t="inlineStr">
        <is>
          <t>1970</t>
        </is>
      </c>
      <c r="Q1586" t="inlineStr">
        <is>
          <t>eng</t>
        </is>
      </c>
      <c r="R1586" t="inlineStr">
        <is>
          <t>nyu</t>
        </is>
      </c>
      <c r="S1586" t="inlineStr">
        <is>
          <t>Essays old and new ; 1</t>
        </is>
      </c>
      <c r="T1586" t="inlineStr">
        <is>
          <t xml:space="preserve">PR </t>
        </is>
      </c>
      <c r="U1586" t="n">
        <v>4</v>
      </c>
      <c r="V1586" t="n">
        <v>4</v>
      </c>
      <c r="W1586" t="inlineStr">
        <is>
          <t>1999-04-14</t>
        </is>
      </c>
      <c r="X1586" t="inlineStr">
        <is>
          <t>1999-04-14</t>
        </is>
      </c>
      <c r="Y1586" t="inlineStr">
        <is>
          <t>1990-08-07</t>
        </is>
      </c>
      <c r="Z1586" t="inlineStr">
        <is>
          <t>1990-08-07</t>
        </is>
      </c>
      <c r="AA1586" t="n">
        <v>274</v>
      </c>
      <c r="AB1586" t="n">
        <v>261</v>
      </c>
      <c r="AC1586" t="n">
        <v>267</v>
      </c>
      <c r="AD1586" t="n">
        <v>2</v>
      </c>
      <c r="AE1586" t="n">
        <v>2</v>
      </c>
      <c r="AF1586" t="n">
        <v>11</v>
      </c>
      <c r="AG1586" t="n">
        <v>11</v>
      </c>
      <c r="AH1586" t="n">
        <v>5</v>
      </c>
      <c r="AI1586" t="n">
        <v>5</v>
      </c>
      <c r="AJ1586" t="n">
        <v>3</v>
      </c>
      <c r="AK1586" t="n">
        <v>3</v>
      </c>
      <c r="AL1586" t="n">
        <v>3</v>
      </c>
      <c r="AM1586" t="n">
        <v>3</v>
      </c>
      <c r="AN1586" t="n">
        <v>1</v>
      </c>
      <c r="AO1586" t="n">
        <v>1</v>
      </c>
      <c r="AP1586" t="n">
        <v>0</v>
      </c>
      <c r="AQ1586" t="n">
        <v>0</v>
      </c>
      <c r="AR1586" t="inlineStr">
        <is>
          <t>No</t>
        </is>
      </c>
      <c r="AS1586" t="inlineStr">
        <is>
          <t>Yes</t>
        </is>
      </c>
      <c r="AT1586">
        <f>HYPERLINK("http://catalog.hathitrust.org/Record/004483172","HathiTrust Record")</f>
        <v/>
      </c>
      <c r="AU1586">
        <f>HYPERLINK("https://creighton-primo.hosted.exlibrisgroup.com/primo-explore/search?tab=default_tab&amp;search_scope=EVERYTHING&amp;vid=01CRU&amp;lang=en_US&amp;offset=0&amp;query=any,contains,991000637099702656","Catalog Record")</f>
        <v/>
      </c>
      <c r="AV1586">
        <f>HYPERLINK("http://www.worldcat.org/oclc/108330","WorldCat Record")</f>
        <v/>
      </c>
      <c r="AW1586" t="inlineStr">
        <is>
          <t>5549627022:eng</t>
        </is>
      </c>
      <c r="AX1586" t="inlineStr">
        <is>
          <t>108330</t>
        </is>
      </c>
      <c r="AY1586" t="inlineStr">
        <is>
          <t>991000637099702656</t>
        </is>
      </c>
      <c r="AZ1586" t="inlineStr">
        <is>
          <t>991000637099702656</t>
        </is>
      </c>
      <c r="BA1586" t="inlineStr">
        <is>
          <t>2262449970002656</t>
        </is>
      </c>
      <c r="BB1586" t="inlineStr">
        <is>
          <t>BOOK</t>
        </is>
      </c>
      <c r="BD1586" t="inlineStr">
        <is>
          <t>9780389039815</t>
        </is>
      </c>
      <c r="BE1586" t="inlineStr">
        <is>
          <t>32285000253913</t>
        </is>
      </c>
      <c r="BF1586" t="inlineStr">
        <is>
          <t>893407380</t>
        </is>
      </c>
    </row>
    <row r="1587">
      <c r="A1587" t="inlineStr">
        <is>
          <t>No</t>
        </is>
      </c>
      <c r="B1587" t="inlineStr">
        <is>
          <t>CURAL</t>
        </is>
      </c>
      <c r="C1587" t="inlineStr">
        <is>
          <t>SHELVES</t>
        </is>
      </c>
      <c r="D1587" t="inlineStr">
        <is>
          <t>PR4231 .W28</t>
        </is>
      </c>
      <c r="E1587" t="inlineStr">
        <is>
          <t>0                      PR 4231000W  28</t>
        </is>
      </c>
      <c r="F1587" t="inlineStr">
        <is>
          <t>Robert Browning and his world.</t>
        </is>
      </c>
      <c r="G1587" t="inlineStr">
        <is>
          <t>V.2</t>
        </is>
      </c>
      <c r="H1587" t="inlineStr">
        <is>
          <t>Yes</t>
        </is>
      </c>
      <c r="I1587" t="inlineStr">
        <is>
          <t>1</t>
        </is>
      </c>
      <c r="J1587" t="inlineStr">
        <is>
          <t>No</t>
        </is>
      </c>
      <c r="K1587" t="inlineStr">
        <is>
          <t>No</t>
        </is>
      </c>
      <c r="L1587" t="inlineStr">
        <is>
          <t>0</t>
        </is>
      </c>
      <c r="M1587" t="inlineStr">
        <is>
          <t>Ward, Maisie, 1889-1975.</t>
        </is>
      </c>
      <c r="N1587" t="inlineStr">
        <is>
          <t>New York : Holt, Rinehart and Winston, [1967-69]</t>
        </is>
      </c>
      <c r="O1587" t="inlineStr">
        <is>
          <t>1967</t>
        </is>
      </c>
      <c r="P1587" t="inlineStr">
        <is>
          <t>[1st ed.]</t>
        </is>
      </c>
      <c r="Q1587" t="inlineStr">
        <is>
          <t>eng</t>
        </is>
      </c>
      <c r="R1587" t="inlineStr">
        <is>
          <t>nyu</t>
        </is>
      </c>
      <c r="T1587" t="inlineStr">
        <is>
          <t xml:space="preserve">PR </t>
        </is>
      </c>
      <c r="U1587" t="n">
        <v>1</v>
      </c>
      <c r="V1587" t="n">
        <v>1</v>
      </c>
      <c r="W1587" t="inlineStr">
        <is>
          <t>1997-12-17</t>
        </is>
      </c>
      <c r="X1587" t="inlineStr">
        <is>
          <t>1997-12-17</t>
        </is>
      </c>
      <c r="Y1587" t="inlineStr">
        <is>
          <t>1991-11-21</t>
        </is>
      </c>
      <c r="Z1587" t="inlineStr">
        <is>
          <t>1991-11-21</t>
        </is>
      </c>
      <c r="AA1587" t="n">
        <v>1333</v>
      </c>
      <c r="AB1587" t="n">
        <v>1261</v>
      </c>
      <c r="AC1587" t="n">
        <v>1277</v>
      </c>
      <c r="AD1587" t="n">
        <v>8</v>
      </c>
      <c r="AE1587" t="n">
        <v>8</v>
      </c>
      <c r="AF1587" t="n">
        <v>43</v>
      </c>
      <c r="AG1587" t="n">
        <v>43</v>
      </c>
      <c r="AH1587" t="n">
        <v>17</v>
      </c>
      <c r="AI1587" t="n">
        <v>17</v>
      </c>
      <c r="AJ1587" t="n">
        <v>9</v>
      </c>
      <c r="AK1587" t="n">
        <v>9</v>
      </c>
      <c r="AL1587" t="n">
        <v>23</v>
      </c>
      <c r="AM1587" t="n">
        <v>23</v>
      </c>
      <c r="AN1587" t="n">
        <v>5</v>
      </c>
      <c r="AO1587" t="n">
        <v>5</v>
      </c>
      <c r="AP1587" t="n">
        <v>0</v>
      </c>
      <c r="AQ1587" t="n">
        <v>0</v>
      </c>
      <c r="AR1587" t="inlineStr">
        <is>
          <t>No</t>
        </is>
      </c>
      <c r="AS1587" t="inlineStr">
        <is>
          <t>Yes</t>
        </is>
      </c>
      <c r="AT1587">
        <f>HYPERLINK("http://catalog.hathitrust.org/Record/000476623","HathiTrust Record")</f>
        <v/>
      </c>
      <c r="AU1587">
        <f>HYPERLINK("https://creighton-primo.hosted.exlibrisgroup.com/primo-explore/search?tab=default_tab&amp;search_scope=EVERYTHING&amp;vid=01CRU&amp;lang=en_US&amp;offset=0&amp;query=any,contains,991002476909702656","Catalog Record")</f>
        <v/>
      </c>
      <c r="AV1587">
        <f>HYPERLINK("http://www.worldcat.org/oclc/358940","WorldCat Record")</f>
        <v/>
      </c>
      <c r="AW1587" t="inlineStr">
        <is>
          <t>5612536764:eng</t>
        </is>
      </c>
      <c r="AX1587" t="inlineStr">
        <is>
          <t>358940</t>
        </is>
      </c>
      <c r="AY1587" t="inlineStr">
        <is>
          <t>991002476909702656</t>
        </is>
      </c>
      <c r="AZ1587" t="inlineStr">
        <is>
          <t>991002476909702656</t>
        </is>
      </c>
      <c r="BA1587" t="inlineStr">
        <is>
          <t>2266069510002656</t>
        </is>
      </c>
      <c r="BB1587" t="inlineStr">
        <is>
          <t>BOOK</t>
        </is>
      </c>
      <c r="BE1587" t="inlineStr">
        <is>
          <t>32285000842426</t>
        </is>
      </c>
      <c r="BF1587" t="inlineStr">
        <is>
          <t>893627139</t>
        </is>
      </c>
    </row>
    <row r="1588">
      <c r="A1588" t="inlineStr">
        <is>
          <t>No</t>
        </is>
      </c>
      <c r="B1588" t="inlineStr">
        <is>
          <t>CURAL</t>
        </is>
      </c>
      <c r="C1588" t="inlineStr">
        <is>
          <t>SHELVES</t>
        </is>
      </c>
      <c r="D1588" t="inlineStr">
        <is>
          <t>PR4231 .W28</t>
        </is>
      </c>
      <c r="E1588" t="inlineStr">
        <is>
          <t>0                      PR 4231000W  28</t>
        </is>
      </c>
      <c r="F1588" t="inlineStr">
        <is>
          <t>Robert Browning and his world.</t>
        </is>
      </c>
      <c r="G1588" t="inlineStr">
        <is>
          <t>V.1</t>
        </is>
      </c>
      <c r="H1588" t="inlineStr">
        <is>
          <t>Yes</t>
        </is>
      </c>
      <c r="I1588" t="inlineStr">
        <is>
          <t>1</t>
        </is>
      </c>
      <c r="J1588" t="inlineStr">
        <is>
          <t>No</t>
        </is>
      </c>
      <c r="K1588" t="inlineStr">
        <is>
          <t>No</t>
        </is>
      </c>
      <c r="L1588" t="inlineStr">
        <is>
          <t>0</t>
        </is>
      </c>
      <c r="M1588" t="inlineStr">
        <is>
          <t>Ward, Maisie, 1889-1975.</t>
        </is>
      </c>
      <c r="N1588" t="inlineStr">
        <is>
          <t>New York : Holt, Rinehart and Winston, [1967-69]</t>
        </is>
      </c>
      <c r="O1588" t="inlineStr">
        <is>
          <t>1967</t>
        </is>
      </c>
      <c r="P1588" t="inlineStr">
        <is>
          <t>[1st ed.]</t>
        </is>
      </c>
      <c r="Q1588" t="inlineStr">
        <is>
          <t>eng</t>
        </is>
      </c>
      <c r="R1588" t="inlineStr">
        <is>
          <t>nyu</t>
        </is>
      </c>
      <c r="T1588" t="inlineStr">
        <is>
          <t xml:space="preserve">PR </t>
        </is>
      </c>
      <c r="U1588" t="n">
        <v>0</v>
      </c>
      <c r="V1588" t="n">
        <v>1</v>
      </c>
      <c r="X1588" t="inlineStr">
        <is>
          <t>1997-12-17</t>
        </is>
      </c>
      <c r="Y1588" t="inlineStr">
        <is>
          <t>1990-05-30</t>
        </is>
      </c>
      <c r="Z1588" t="inlineStr">
        <is>
          <t>1991-11-21</t>
        </is>
      </c>
      <c r="AA1588" t="n">
        <v>1333</v>
      </c>
      <c r="AB1588" t="n">
        <v>1261</v>
      </c>
      <c r="AC1588" t="n">
        <v>1277</v>
      </c>
      <c r="AD1588" t="n">
        <v>8</v>
      </c>
      <c r="AE1588" t="n">
        <v>8</v>
      </c>
      <c r="AF1588" t="n">
        <v>43</v>
      </c>
      <c r="AG1588" t="n">
        <v>43</v>
      </c>
      <c r="AH1588" t="n">
        <v>17</v>
      </c>
      <c r="AI1588" t="n">
        <v>17</v>
      </c>
      <c r="AJ1588" t="n">
        <v>9</v>
      </c>
      <c r="AK1588" t="n">
        <v>9</v>
      </c>
      <c r="AL1588" t="n">
        <v>23</v>
      </c>
      <c r="AM1588" t="n">
        <v>23</v>
      </c>
      <c r="AN1588" t="n">
        <v>5</v>
      </c>
      <c r="AO1588" t="n">
        <v>5</v>
      </c>
      <c r="AP1588" t="n">
        <v>0</v>
      </c>
      <c r="AQ1588" t="n">
        <v>0</v>
      </c>
      <c r="AR1588" t="inlineStr">
        <is>
          <t>No</t>
        </is>
      </c>
      <c r="AS1588" t="inlineStr">
        <is>
          <t>Yes</t>
        </is>
      </c>
      <c r="AT1588">
        <f>HYPERLINK("http://catalog.hathitrust.org/Record/000476623","HathiTrust Record")</f>
        <v/>
      </c>
      <c r="AU1588">
        <f>HYPERLINK("https://creighton-primo.hosted.exlibrisgroup.com/primo-explore/search?tab=default_tab&amp;search_scope=EVERYTHING&amp;vid=01CRU&amp;lang=en_US&amp;offset=0&amp;query=any,contains,991002476909702656","Catalog Record")</f>
        <v/>
      </c>
      <c r="AV1588">
        <f>HYPERLINK("http://www.worldcat.org/oclc/358940","WorldCat Record")</f>
        <v/>
      </c>
      <c r="AW1588" t="inlineStr">
        <is>
          <t>5612536764:eng</t>
        </is>
      </c>
      <c r="AX1588" t="inlineStr">
        <is>
          <t>358940</t>
        </is>
      </c>
      <c r="AY1588" t="inlineStr">
        <is>
          <t>991002476909702656</t>
        </is>
      </c>
      <c r="AZ1588" t="inlineStr">
        <is>
          <t>991002476909702656</t>
        </is>
      </c>
      <c r="BA1588" t="inlineStr">
        <is>
          <t>2266069510002656</t>
        </is>
      </c>
      <c r="BB1588" t="inlineStr">
        <is>
          <t>BOOK</t>
        </is>
      </c>
      <c r="BE1588" t="inlineStr">
        <is>
          <t>32285000159649</t>
        </is>
      </c>
      <c r="BF1588" t="inlineStr">
        <is>
          <t>893616177</t>
        </is>
      </c>
    </row>
    <row r="1589">
      <c r="A1589" t="inlineStr">
        <is>
          <t>No</t>
        </is>
      </c>
      <c r="B1589" t="inlineStr">
        <is>
          <t>CURAL</t>
        </is>
      </c>
      <c r="C1589" t="inlineStr">
        <is>
          <t>SHELVES</t>
        </is>
      </c>
      <c r="D1589" t="inlineStr">
        <is>
          <t>PR4232 .K37 1985</t>
        </is>
      </c>
      <c r="E1589" t="inlineStr">
        <is>
          <t>0                      PR 4232000K  37          1985</t>
        </is>
      </c>
      <c r="F1589" t="inlineStr">
        <is>
          <t>The courtship of Robert Browning and Elizabeth Barrett / Daniel Karlin.</t>
        </is>
      </c>
      <c r="H1589" t="inlineStr">
        <is>
          <t>No</t>
        </is>
      </c>
      <c r="I1589" t="inlineStr">
        <is>
          <t>1</t>
        </is>
      </c>
      <c r="J1589" t="inlineStr">
        <is>
          <t>No</t>
        </is>
      </c>
      <c r="K1589" t="inlineStr">
        <is>
          <t>No</t>
        </is>
      </c>
      <c r="L1589" t="inlineStr">
        <is>
          <t>0</t>
        </is>
      </c>
      <c r="M1589" t="inlineStr">
        <is>
          <t>Karlin, Daniel, 1953-</t>
        </is>
      </c>
      <c r="N1589" t="inlineStr">
        <is>
          <t>Oxford [Oxfordshire] : Clarendon Press ; London ; New York : Oxford University Press, 1985.</t>
        </is>
      </c>
      <c r="O1589" t="inlineStr">
        <is>
          <t>1985</t>
        </is>
      </c>
      <c r="Q1589" t="inlineStr">
        <is>
          <t>eng</t>
        </is>
      </c>
      <c r="R1589" t="inlineStr">
        <is>
          <t>enk</t>
        </is>
      </c>
      <c r="T1589" t="inlineStr">
        <is>
          <t xml:space="preserve">PR </t>
        </is>
      </c>
      <c r="U1589" t="n">
        <v>2</v>
      </c>
      <c r="V1589" t="n">
        <v>2</v>
      </c>
      <c r="W1589" t="inlineStr">
        <is>
          <t>1999-09-14</t>
        </is>
      </c>
      <c r="X1589" t="inlineStr">
        <is>
          <t>1999-09-14</t>
        </is>
      </c>
      <c r="Y1589" t="inlineStr">
        <is>
          <t>1991-11-21</t>
        </is>
      </c>
      <c r="Z1589" t="inlineStr">
        <is>
          <t>1991-11-21</t>
        </is>
      </c>
      <c r="AA1589" t="n">
        <v>534</v>
      </c>
      <c r="AB1589" t="n">
        <v>388</v>
      </c>
      <c r="AC1589" t="n">
        <v>458</v>
      </c>
      <c r="AD1589" t="n">
        <v>4</v>
      </c>
      <c r="AE1589" t="n">
        <v>4</v>
      </c>
      <c r="AF1589" t="n">
        <v>18</v>
      </c>
      <c r="AG1589" t="n">
        <v>21</v>
      </c>
      <c r="AH1589" t="n">
        <v>3</v>
      </c>
      <c r="AI1589" t="n">
        <v>5</v>
      </c>
      <c r="AJ1589" t="n">
        <v>6</v>
      </c>
      <c r="AK1589" t="n">
        <v>7</v>
      </c>
      <c r="AL1589" t="n">
        <v>11</v>
      </c>
      <c r="AM1589" t="n">
        <v>12</v>
      </c>
      <c r="AN1589" t="n">
        <v>3</v>
      </c>
      <c r="AO1589" t="n">
        <v>3</v>
      </c>
      <c r="AP1589" t="n">
        <v>0</v>
      </c>
      <c r="AQ1589" t="n">
        <v>0</v>
      </c>
      <c r="AR1589" t="inlineStr">
        <is>
          <t>No</t>
        </is>
      </c>
      <c r="AS1589" t="inlineStr">
        <is>
          <t>Yes</t>
        </is>
      </c>
      <c r="AT1589">
        <f>HYPERLINK("http://catalog.hathitrust.org/Record/000352344","HathiTrust Record")</f>
        <v/>
      </c>
      <c r="AU1589">
        <f>HYPERLINK("https://creighton-primo.hosted.exlibrisgroup.com/primo-explore/search?tab=default_tab&amp;search_scope=EVERYTHING&amp;vid=01CRU&amp;lang=en_US&amp;offset=0&amp;query=any,contains,991000656619702656","Catalog Record")</f>
        <v/>
      </c>
      <c r="AV1589">
        <f>HYPERLINK("http://www.worldcat.org/oclc/12215969","WorldCat Record")</f>
        <v/>
      </c>
      <c r="AW1589" t="inlineStr">
        <is>
          <t>3772356020:eng</t>
        </is>
      </c>
      <c r="AX1589" t="inlineStr">
        <is>
          <t>12215969</t>
        </is>
      </c>
      <c r="AY1589" t="inlineStr">
        <is>
          <t>991000656619702656</t>
        </is>
      </c>
      <c r="AZ1589" t="inlineStr">
        <is>
          <t>991000656619702656</t>
        </is>
      </c>
      <c r="BA1589" t="inlineStr">
        <is>
          <t>2265512160002656</t>
        </is>
      </c>
      <c r="BB1589" t="inlineStr">
        <is>
          <t>BOOK</t>
        </is>
      </c>
      <c r="BD1589" t="inlineStr">
        <is>
          <t>9780198117285</t>
        </is>
      </c>
      <c r="BE1589" t="inlineStr">
        <is>
          <t>32285000842434</t>
        </is>
      </c>
      <c r="BF1589" t="inlineStr">
        <is>
          <t>893708586</t>
        </is>
      </c>
    </row>
    <row r="1590">
      <c r="A1590" t="inlineStr">
        <is>
          <t>No</t>
        </is>
      </c>
      <c r="B1590" t="inlineStr">
        <is>
          <t>CURAL</t>
        </is>
      </c>
      <c r="C1590" t="inlineStr">
        <is>
          <t>SHELVES</t>
        </is>
      </c>
      <c r="D1590" t="inlineStr">
        <is>
          <t>PR4238 .A5 1969</t>
        </is>
      </c>
      <c r="E1590" t="inlineStr">
        <is>
          <t>0                      PR 4238000A  5           1969</t>
        </is>
      </c>
      <c r="F1590" t="inlineStr">
        <is>
          <t>An introduction to the poetry of Robert Browning / by William John Alexander.</t>
        </is>
      </c>
      <c r="H1590" t="inlineStr">
        <is>
          <t>No</t>
        </is>
      </c>
      <c r="I1590" t="inlineStr">
        <is>
          <t>1</t>
        </is>
      </c>
      <c r="J1590" t="inlineStr">
        <is>
          <t>No</t>
        </is>
      </c>
      <c r="K1590" t="inlineStr">
        <is>
          <t>No</t>
        </is>
      </c>
      <c r="L1590" t="inlineStr">
        <is>
          <t>0</t>
        </is>
      </c>
      <c r="M1590" t="inlineStr">
        <is>
          <t>Alexander, William John, 1855-1944.</t>
        </is>
      </c>
      <c r="N1590" t="inlineStr">
        <is>
          <t>[Folcroft, Pa.] : Folcroft Library Editions, [1969]</t>
        </is>
      </c>
      <c r="O1590" t="inlineStr">
        <is>
          <t>1969</t>
        </is>
      </c>
      <c r="Q1590" t="inlineStr">
        <is>
          <t>eng</t>
        </is>
      </c>
      <c r="R1590" t="inlineStr">
        <is>
          <t xml:space="preserve">xx </t>
        </is>
      </c>
      <c r="T1590" t="inlineStr">
        <is>
          <t xml:space="preserve">PR </t>
        </is>
      </c>
      <c r="U1590" t="n">
        <v>2</v>
      </c>
      <c r="V1590" t="n">
        <v>2</v>
      </c>
      <c r="W1590" t="inlineStr">
        <is>
          <t>1995-01-23</t>
        </is>
      </c>
      <c r="X1590" t="inlineStr">
        <is>
          <t>1995-01-23</t>
        </is>
      </c>
      <c r="Y1590" t="inlineStr">
        <is>
          <t>1990-09-06</t>
        </is>
      </c>
      <c r="Z1590" t="inlineStr">
        <is>
          <t>1990-09-06</t>
        </is>
      </c>
      <c r="AA1590" t="n">
        <v>58</v>
      </c>
      <c r="AB1590" t="n">
        <v>54</v>
      </c>
      <c r="AC1590" t="n">
        <v>277</v>
      </c>
      <c r="AD1590" t="n">
        <v>2</v>
      </c>
      <c r="AE1590" t="n">
        <v>6</v>
      </c>
      <c r="AF1590" t="n">
        <v>3</v>
      </c>
      <c r="AG1590" t="n">
        <v>15</v>
      </c>
      <c r="AH1590" t="n">
        <v>0</v>
      </c>
      <c r="AI1590" t="n">
        <v>3</v>
      </c>
      <c r="AJ1590" t="n">
        <v>1</v>
      </c>
      <c r="AK1590" t="n">
        <v>3</v>
      </c>
      <c r="AL1590" t="n">
        <v>1</v>
      </c>
      <c r="AM1590" t="n">
        <v>5</v>
      </c>
      <c r="AN1590" t="n">
        <v>1</v>
      </c>
      <c r="AO1590" t="n">
        <v>5</v>
      </c>
      <c r="AP1590" t="n">
        <v>0</v>
      </c>
      <c r="AQ1590" t="n">
        <v>0</v>
      </c>
      <c r="AR1590" t="inlineStr">
        <is>
          <t>No</t>
        </is>
      </c>
      <c r="AS1590" t="inlineStr">
        <is>
          <t>No</t>
        </is>
      </c>
      <c r="AU1590">
        <f>HYPERLINK("https://creighton-primo.hosted.exlibrisgroup.com/primo-explore/search?tab=default_tab&amp;search_scope=EVERYTHING&amp;vid=01CRU&amp;lang=en_US&amp;offset=0&amp;query=any,contains,991003492769702656","Catalog Record")</f>
        <v/>
      </c>
      <c r="AV1590">
        <f>HYPERLINK("http://www.worldcat.org/oclc/1042803","WorldCat Record")</f>
        <v/>
      </c>
      <c r="AW1590" t="inlineStr">
        <is>
          <t>1885821:eng</t>
        </is>
      </c>
      <c r="AX1590" t="inlineStr">
        <is>
          <t>1042803</t>
        </is>
      </c>
      <c r="AY1590" t="inlineStr">
        <is>
          <t>991003492769702656</t>
        </is>
      </c>
      <c r="AZ1590" t="inlineStr">
        <is>
          <t>991003492769702656</t>
        </is>
      </c>
      <c r="BA1590" t="inlineStr">
        <is>
          <t>2269501380002656</t>
        </is>
      </c>
      <c r="BB1590" t="inlineStr">
        <is>
          <t>BOOK</t>
        </is>
      </c>
      <c r="BD1590" t="inlineStr">
        <is>
          <t>9780841429796</t>
        </is>
      </c>
      <c r="BE1590" t="inlineStr">
        <is>
          <t>32285000284348</t>
        </is>
      </c>
      <c r="BF1590" t="inlineStr">
        <is>
          <t>893318030</t>
        </is>
      </c>
    </row>
    <row r="1591">
      <c r="A1591" t="inlineStr">
        <is>
          <t>No</t>
        </is>
      </c>
      <c r="B1591" t="inlineStr">
        <is>
          <t>CURAL</t>
        </is>
      </c>
      <c r="C1591" t="inlineStr">
        <is>
          <t>SHELVES</t>
        </is>
      </c>
      <c r="D1591" t="inlineStr">
        <is>
          <t>PR4238 .A7</t>
        </is>
      </c>
      <c r="E1591" t="inlineStr">
        <is>
          <t>0                      PR 4238000A  7</t>
        </is>
      </c>
      <c r="F1591" t="inlineStr">
        <is>
          <t>Robert Browning / edited by Isobel Armstrong.</t>
        </is>
      </c>
      <c r="H1591" t="inlineStr">
        <is>
          <t>No</t>
        </is>
      </c>
      <c r="I1591" t="inlineStr">
        <is>
          <t>1</t>
        </is>
      </c>
      <c r="J1591" t="inlineStr">
        <is>
          <t>No</t>
        </is>
      </c>
      <c r="K1591" t="inlineStr">
        <is>
          <t>No</t>
        </is>
      </c>
      <c r="L1591" t="inlineStr">
        <is>
          <t>0</t>
        </is>
      </c>
      <c r="N1591" t="inlineStr">
        <is>
          <t>London : Bell, 1974.</t>
        </is>
      </c>
      <c r="O1591" t="inlineStr">
        <is>
          <t>1974</t>
        </is>
      </c>
      <c r="Q1591" t="inlineStr">
        <is>
          <t>eng</t>
        </is>
      </c>
      <c r="R1591" t="inlineStr">
        <is>
          <t>enk</t>
        </is>
      </c>
      <c r="S1591" t="inlineStr">
        <is>
          <t>Writers and their background</t>
        </is>
      </c>
      <c r="T1591" t="inlineStr">
        <is>
          <t xml:space="preserve">PR </t>
        </is>
      </c>
      <c r="U1591" t="n">
        <v>3</v>
      </c>
      <c r="V1591" t="n">
        <v>3</v>
      </c>
      <c r="W1591" t="inlineStr">
        <is>
          <t>1995-01-23</t>
        </is>
      </c>
      <c r="X1591" t="inlineStr">
        <is>
          <t>1995-01-23</t>
        </is>
      </c>
      <c r="Y1591" t="inlineStr">
        <is>
          <t>1992-07-08</t>
        </is>
      </c>
      <c r="Z1591" t="inlineStr">
        <is>
          <t>1992-07-08</t>
        </is>
      </c>
      <c r="AA1591" t="n">
        <v>301</v>
      </c>
      <c r="AB1591" t="n">
        <v>62</v>
      </c>
      <c r="AC1591" t="n">
        <v>926</v>
      </c>
      <c r="AD1591" t="n">
        <v>1</v>
      </c>
      <c r="AE1591" t="n">
        <v>10</v>
      </c>
      <c r="AF1591" t="n">
        <v>3</v>
      </c>
      <c r="AG1591" t="n">
        <v>41</v>
      </c>
      <c r="AH1591" t="n">
        <v>0</v>
      </c>
      <c r="AI1591" t="n">
        <v>18</v>
      </c>
      <c r="AJ1591" t="n">
        <v>1</v>
      </c>
      <c r="AK1591" t="n">
        <v>7</v>
      </c>
      <c r="AL1591" t="n">
        <v>3</v>
      </c>
      <c r="AM1591" t="n">
        <v>19</v>
      </c>
      <c r="AN1591" t="n">
        <v>0</v>
      </c>
      <c r="AO1591" t="n">
        <v>9</v>
      </c>
      <c r="AP1591" t="n">
        <v>0</v>
      </c>
      <c r="AQ1591" t="n">
        <v>0</v>
      </c>
      <c r="AR1591" t="inlineStr">
        <is>
          <t>No</t>
        </is>
      </c>
      <c r="AS1591" t="inlineStr">
        <is>
          <t>No</t>
        </is>
      </c>
      <c r="AU1591">
        <f>HYPERLINK("https://creighton-primo.hosted.exlibrisgroup.com/primo-explore/search?tab=default_tab&amp;search_scope=EVERYTHING&amp;vid=01CRU&amp;lang=en_US&amp;offset=0&amp;query=any,contains,991003818539702656","Catalog Record")</f>
        <v/>
      </c>
      <c r="AV1591">
        <f>HYPERLINK("http://www.worldcat.org/oclc/1551758","WorldCat Record")</f>
        <v/>
      </c>
      <c r="AW1591" t="inlineStr">
        <is>
          <t>54052606:eng</t>
        </is>
      </c>
      <c r="AX1591" t="inlineStr">
        <is>
          <t>1551758</t>
        </is>
      </c>
      <c r="AY1591" t="inlineStr">
        <is>
          <t>991003818539702656</t>
        </is>
      </c>
      <c r="AZ1591" t="inlineStr">
        <is>
          <t>991003818539702656</t>
        </is>
      </c>
      <c r="BA1591" t="inlineStr">
        <is>
          <t>2265800140002656</t>
        </is>
      </c>
      <c r="BB1591" t="inlineStr">
        <is>
          <t>BOOK</t>
        </is>
      </c>
      <c r="BD1591" t="inlineStr">
        <is>
          <t>9780713517798</t>
        </is>
      </c>
      <c r="BE1591" t="inlineStr">
        <is>
          <t>32285001187300</t>
        </is>
      </c>
      <c r="BF1591" t="inlineStr">
        <is>
          <t>893416834</t>
        </is>
      </c>
    </row>
    <row r="1592">
      <c r="A1592" t="inlineStr">
        <is>
          <t>No</t>
        </is>
      </c>
      <c r="B1592" t="inlineStr">
        <is>
          <t>CURAL</t>
        </is>
      </c>
      <c r="C1592" t="inlineStr">
        <is>
          <t>SHELVES</t>
        </is>
      </c>
      <c r="D1592" t="inlineStr">
        <is>
          <t>PR4238 .B65 1991</t>
        </is>
      </c>
      <c r="E1592" t="inlineStr">
        <is>
          <t>0                      PR 4238000B  65          1991</t>
        </is>
      </c>
      <c r="F1592" t="inlineStr">
        <is>
          <t>Robert Browning / Joseph Bristow.</t>
        </is>
      </c>
      <c r="H1592" t="inlineStr">
        <is>
          <t>No</t>
        </is>
      </c>
      <c r="I1592" t="inlineStr">
        <is>
          <t>1</t>
        </is>
      </c>
      <c r="J1592" t="inlineStr">
        <is>
          <t>No</t>
        </is>
      </c>
      <c r="K1592" t="inlineStr">
        <is>
          <t>No</t>
        </is>
      </c>
      <c r="L1592" t="inlineStr">
        <is>
          <t>0</t>
        </is>
      </c>
      <c r="M1592" t="inlineStr">
        <is>
          <t>Bristow, Joseph.</t>
        </is>
      </c>
      <c r="N1592" t="inlineStr">
        <is>
          <t>New York : St. Martin's Press, 1991.</t>
        </is>
      </c>
      <c r="O1592" t="inlineStr">
        <is>
          <t>1991</t>
        </is>
      </c>
      <c r="Q1592" t="inlineStr">
        <is>
          <t>eng</t>
        </is>
      </c>
      <c r="R1592" t="inlineStr">
        <is>
          <t>nyu</t>
        </is>
      </c>
      <c r="S1592" t="inlineStr">
        <is>
          <t>New readings</t>
        </is>
      </c>
      <c r="T1592" t="inlineStr">
        <is>
          <t xml:space="preserve">PR </t>
        </is>
      </c>
      <c r="U1592" t="n">
        <v>6</v>
      </c>
      <c r="V1592" t="n">
        <v>6</v>
      </c>
      <c r="W1592" t="inlineStr">
        <is>
          <t>1999-10-10</t>
        </is>
      </c>
      <c r="X1592" t="inlineStr">
        <is>
          <t>1999-10-10</t>
        </is>
      </c>
      <c r="Y1592" t="inlineStr">
        <is>
          <t>1992-03-25</t>
        </is>
      </c>
      <c r="Z1592" t="inlineStr">
        <is>
          <t>1992-03-25</t>
        </is>
      </c>
      <c r="AA1592" t="n">
        <v>190</v>
      </c>
      <c r="AB1592" t="n">
        <v>160</v>
      </c>
      <c r="AC1592" t="n">
        <v>194</v>
      </c>
      <c r="AD1592" t="n">
        <v>3</v>
      </c>
      <c r="AE1592" t="n">
        <v>3</v>
      </c>
      <c r="AF1592" t="n">
        <v>16</v>
      </c>
      <c r="AG1592" t="n">
        <v>16</v>
      </c>
      <c r="AH1592" t="n">
        <v>5</v>
      </c>
      <c r="AI1592" t="n">
        <v>5</v>
      </c>
      <c r="AJ1592" t="n">
        <v>4</v>
      </c>
      <c r="AK1592" t="n">
        <v>4</v>
      </c>
      <c r="AL1592" t="n">
        <v>13</v>
      </c>
      <c r="AM1592" t="n">
        <v>13</v>
      </c>
      <c r="AN1592" t="n">
        <v>2</v>
      </c>
      <c r="AO1592" t="n">
        <v>2</v>
      </c>
      <c r="AP1592" t="n">
        <v>0</v>
      </c>
      <c r="AQ1592" t="n">
        <v>0</v>
      </c>
      <c r="AR1592" t="inlineStr">
        <is>
          <t>No</t>
        </is>
      </c>
      <c r="AS1592" t="inlineStr">
        <is>
          <t>No</t>
        </is>
      </c>
      <c r="AU1592">
        <f>HYPERLINK("https://creighton-primo.hosted.exlibrisgroup.com/primo-explore/search?tab=default_tab&amp;search_scope=EVERYTHING&amp;vid=01CRU&amp;lang=en_US&amp;offset=0&amp;query=any,contains,991001913509702656","Catalog Record")</f>
        <v/>
      </c>
      <c r="AV1592">
        <f>HYPERLINK("http://www.worldcat.org/oclc/24173318","WorldCat Record")</f>
        <v/>
      </c>
      <c r="AW1592" t="inlineStr">
        <is>
          <t>26408840:eng</t>
        </is>
      </c>
      <c r="AX1592" t="inlineStr">
        <is>
          <t>24173318</t>
        </is>
      </c>
      <c r="AY1592" t="inlineStr">
        <is>
          <t>991001913509702656</t>
        </is>
      </c>
      <c r="AZ1592" t="inlineStr">
        <is>
          <t>991001913509702656</t>
        </is>
      </c>
      <c r="BA1592" t="inlineStr">
        <is>
          <t>2269078910002656</t>
        </is>
      </c>
      <c r="BB1592" t="inlineStr">
        <is>
          <t>BOOK</t>
        </is>
      </c>
      <c r="BD1592" t="inlineStr">
        <is>
          <t>9780312067748</t>
        </is>
      </c>
      <c r="BE1592" t="inlineStr">
        <is>
          <t>32285001006682</t>
        </is>
      </c>
      <c r="BF1592" t="inlineStr">
        <is>
          <t>893529330</t>
        </is>
      </c>
    </row>
    <row r="1593">
      <c r="A1593" t="inlineStr">
        <is>
          <t>No</t>
        </is>
      </c>
      <c r="B1593" t="inlineStr">
        <is>
          <t>CURAL</t>
        </is>
      </c>
      <c r="C1593" t="inlineStr">
        <is>
          <t>SHELVES</t>
        </is>
      </c>
      <c r="D1593" t="inlineStr">
        <is>
          <t>PR4238 .B7 1902</t>
        </is>
      </c>
      <c r="E1593" t="inlineStr">
        <is>
          <t>0                      PR 4238000B  7           1902</t>
        </is>
      </c>
      <c r="F1593" t="inlineStr">
        <is>
          <t>The poetry of Robert Browning, by Stopford A. Brooke.</t>
        </is>
      </c>
      <c r="H1593" t="inlineStr">
        <is>
          <t>No</t>
        </is>
      </c>
      <c r="I1593" t="inlineStr">
        <is>
          <t>1</t>
        </is>
      </c>
      <c r="J1593" t="inlineStr">
        <is>
          <t>No</t>
        </is>
      </c>
      <c r="K1593" t="inlineStr">
        <is>
          <t>No</t>
        </is>
      </c>
      <c r="L1593" t="inlineStr">
        <is>
          <t>0</t>
        </is>
      </c>
      <c r="M1593" t="inlineStr">
        <is>
          <t>Brooke, Stopford A. (Stopford Augustus), 1832-1916.</t>
        </is>
      </c>
      <c r="N1593" t="inlineStr">
        <is>
          <t>New York, T.Y. Crowell &amp; Co. [1902]</t>
        </is>
      </c>
      <c r="O1593" t="inlineStr">
        <is>
          <t>1902</t>
        </is>
      </c>
      <c r="Q1593" t="inlineStr">
        <is>
          <t>eng</t>
        </is>
      </c>
      <c r="R1593" t="inlineStr">
        <is>
          <t>nyu</t>
        </is>
      </c>
      <c r="T1593" t="inlineStr">
        <is>
          <t xml:space="preserve">PR </t>
        </is>
      </c>
      <c r="U1593" t="n">
        <v>1</v>
      </c>
      <c r="V1593" t="n">
        <v>1</v>
      </c>
      <c r="W1593" t="inlineStr">
        <is>
          <t>1998-02-19</t>
        </is>
      </c>
      <c r="X1593" t="inlineStr">
        <is>
          <t>1998-02-19</t>
        </is>
      </c>
      <c r="Y1593" t="inlineStr">
        <is>
          <t>1997-06-25</t>
        </is>
      </c>
      <c r="Z1593" t="inlineStr">
        <is>
          <t>1997-06-25</t>
        </is>
      </c>
      <c r="AA1593" t="n">
        <v>421</v>
      </c>
      <c r="AB1593" t="n">
        <v>402</v>
      </c>
      <c r="AC1593" t="n">
        <v>1008</v>
      </c>
      <c r="AD1593" t="n">
        <v>6</v>
      </c>
      <c r="AE1593" t="n">
        <v>9</v>
      </c>
      <c r="AF1593" t="n">
        <v>17</v>
      </c>
      <c r="AG1593" t="n">
        <v>50</v>
      </c>
      <c r="AH1593" t="n">
        <v>4</v>
      </c>
      <c r="AI1593" t="n">
        <v>22</v>
      </c>
      <c r="AJ1593" t="n">
        <v>2</v>
      </c>
      <c r="AK1593" t="n">
        <v>7</v>
      </c>
      <c r="AL1593" t="n">
        <v>7</v>
      </c>
      <c r="AM1593" t="n">
        <v>22</v>
      </c>
      <c r="AN1593" t="n">
        <v>5</v>
      </c>
      <c r="AO1593" t="n">
        <v>8</v>
      </c>
      <c r="AP1593" t="n">
        <v>0</v>
      </c>
      <c r="AQ1593" t="n">
        <v>0</v>
      </c>
      <c r="AR1593" t="inlineStr">
        <is>
          <t>Yes</t>
        </is>
      </c>
      <c r="AS1593" t="inlineStr">
        <is>
          <t>No</t>
        </is>
      </c>
      <c r="AT1593">
        <f>HYPERLINK("http://catalog.hathitrust.org/Record/000586100","HathiTrust Record")</f>
        <v/>
      </c>
      <c r="AU1593">
        <f>HYPERLINK("https://creighton-primo.hosted.exlibrisgroup.com/primo-explore/search?tab=default_tab&amp;search_scope=EVERYTHING&amp;vid=01CRU&amp;lang=en_US&amp;offset=0&amp;query=any,contains,991001914099702656","Catalog Record")</f>
        <v/>
      </c>
      <c r="AV1593">
        <f>HYPERLINK("http://www.worldcat.org/oclc/243220","WorldCat Record")</f>
        <v/>
      </c>
      <c r="AW1593" t="inlineStr">
        <is>
          <t>1392170:eng</t>
        </is>
      </c>
      <c r="AX1593" t="inlineStr">
        <is>
          <t>243220</t>
        </is>
      </c>
      <c r="AY1593" t="inlineStr">
        <is>
          <t>991001914099702656</t>
        </is>
      </c>
      <c r="AZ1593" t="inlineStr">
        <is>
          <t>991001914099702656</t>
        </is>
      </c>
      <c r="BA1593" t="inlineStr">
        <is>
          <t>2270685680002656</t>
        </is>
      </c>
      <c r="BB1593" t="inlineStr">
        <is>
          <t>BOOK</t>
        </is>
      </c>
      <c r="BE1593" t="inlineStr">
        <is>
          <t>32285002831807</t>
        </is>
      </c>
      <c r="BF1593" t="inlineStr">
        <is>
          <t>893503806</t>
        </is>
      </c>
    </row>
    <row r="1594">
      <c r="A1594" t="inlineStr">
        <is>
          <t>No</t>
        </is>
      </c>
      <c r="B1594" t="inlineStr">
        <is>
          <t>CURAL</t>
        </is>
      </c>
      <c r="C1594" t="inlineStr">
        <is>
          <t>SHELVES</t>
        </is>
      </c>
      <c r="D1594" t="inlineStr">
        <is>
          <t>PR4238 .H24</t>
        </is>
      </c>
      <c r="E1594" t="inlineStr">
        <is>
          <t>0                      PR 4238000H  24</t>
        </is>
      </c>
      <c r="F1594" t="inlineStr">
        <is>
          <t>Browning's experiments with genre / Donald S. Hair.</t>
        </is>
      </c>
      <c r="H1594" t="inlineStr">
        <is>
          <t>No</t>
        </is>
      </c>
      <c r="I1594" t="inlineStr">
        <is>
          <t>1</t>
        </is>
      </c>
      <c r="J1594" t="inlineStr">
        <is>
          <t>No</t>
        </is>
      </c>
      <c r="K1594" t="inlineStr">
        <is>
          <t>No</t>
        </is>
      </c>
      <c r="L1594" t="inlineStr">
        <is>
          <t>0</t>
        </is>
      </c>
      <c r="M1594" t="inlineStr">
        <is>
          <t>Hair, Donald S. (Donald Sherman), 1937-</t>
        </is>
      </c>
      <c r="N1594" t="inlineStr">
        <is>
          <t>Edinburgh : Oliver and Boyd, 1972.</t>
        </is>
      </c>
      <c r="O1594" t="inlineStr">
        <is>
          <t>1972</t>
        </is>
      </c>
      <c r="Q1594" t="inlineStr">
        <is>
          <t>eng</t>
        </is>
      </c>
      <c r="R1594" t="inlineStr">
        <is>
          <t>stk</t>
        </is>
      </c>
      <c r="T1594" t="inlineStr">
        <is>
          <t xml:space="preserve">PR </t>
        </is>
      </c>
      <c r="U1594" t="n">
        <v>2</v>
      </c>
      <c r="V1594" t="n">
        <v>2</v>
      </c>
      <c r="W1594" t="inlineStr">
        <is>
          <t>1999-04-14</t>
        </is>
      </c>
      <c r="X1594" t="inlineStr">
        <is>
          <t>1999-04-14</t>
        </is>
      </c>
      <c r="Y1594" t="inlineStr">
        <is>
          <t>1990-07-16</t>
        </is>
      </c>
      <c r="Z1594" t="inlineStr">
        <is>
          <t>1990-07-16</t>
        </is>
      </c>
      <c r="AA1594" t="n">
        <v>89</v>
      </c>
      <c r="AB1594" t="n">
        <v>4</v>
      </c>
      <c r="AC1594" t="n">
        <v>918</v>
      </c>
      <c r="AD1594" t="n">
        <v>1</v>
      </c>
      <c r="AE1594" t="n">
        <v>13</v>
      </c>
      <c r="AF1594" t="n">
        <v>1</v>
      </c>
      <c r="AG1594" t="n">
        <v>48</v>
      </c>
      <c r="AH1594" t="n">
        <v>1</v>
      </c>
      <c r="AI1594" t="n">
        <v>17</v>
      </c>
      <c r="AJ1594" t="n">
        <v>0</v>
      </c>
      <c r="AK1594" t="n">
        <v>8</v>
      </c>
      <c r="AL1594" t="n">
        <v>1</v>
      </c>
      <c r="AM1594" t="n">
        <v>20</v>
      </c>
      <c r="AN1594" t="n">
        <v>0</v>
      </c>
      <c r="AO1594" t="n">
        <v>11</v>
      </c>
      <c r="AP1594" t="n">
        <v>0</v>
      </c>
      <c r="AQ1594" t="n">
        <v>1</v>
      </c>
      <c r="AR1594" t="inlineStr">
        <is>
          <t>No</t>
        </is>
      </c>
      <c r="AS1594" t="inlineStr">
        <is>
          <t>No</t>
        </is>
      </c>
      <c r="AU1594">
        <f>HYPERLINK("https://creighton-primo.hosted.exlibrisgroup.com/primo-explore/search?tab=default_tab&amp;search_scope=EVERYTHING&amp;vid=01CRU&amp;lang=en_US&amp;offset=0&amp;query=any,contains,991001094929702656","Catalog Record")</f>
        <v/>
      </c>
      <c r="AV1594">
        <f>HYPERLINK("http://www.worldcat.org/oclc/16228669","WorldCat Record")</f>
        <v/>
      </c>
      <c r="AW1594" t="inlineStr">
        <is>
          <t>1776025:eng</t>
        </is>
      </c>
      <c r="AX1594" t="inlineStr">
        <is>
          <t>16228669</t>
        </is>
      </c>
      <c r="AY1594" t="inlineStr">
        <is>
          <t>991001094929702656</t>
        </is>
      </c>
      <c r="AZ1594" t="inlineStr">
        <is>
          <t>991001094929702656</t>
        </is>
      </c>
      <c r="BA1594" t="inlineStr">
        <is>
          <t>2262725350002656</t>
        </is>
      </c>
      <c r="BB1594" t="inlineStr">
        <is>
          <t>BOOK</t>
        </is>
      </c>
      <c r="BD1594" t="inlineStr">
        <is>
          <t>9780050026809</t>
        </is>
      </c>
      <c r="BE1594" t="inlineStr">
        <is>
          <t>32285000117134</t>
        </is>
      </c>
      <c r="BF1594" t="inlineStr">
        <is>
          <t>893426316</t>
        </is>
      </c>
    </row>
    <row r="1595">
      <c r="A1595" t="inlineStr">
        <is>
          <t>No</t>
        </is>
      </c>
      <c r="B1595" t="inlineStr">
        <is>
          <t>CURAL</t>
        </is>
      </c>
      <c r="C1595" t="inlineStr">
        <is>
          <t>SHELVES</t>
        </is>
      </c>
      <c r="D1595" t="inlineStr">
        <is>
          <t>PR4238 .H6</t>
        </is>
      </c>
      <c r="E1595" t="inlineStr">
        <is>
          <t>0                      PR 4238000H  6</t>
        </is>
      </c>
      <c r="F1595" t="inlineStr">
        <is>
          <t>Browning's characters; a study in poetic techniques.</t>
        </is>
      </c>
      <c r="H1595" t="inlineStr">
        <is>
          <t>No</t>
        </is>
      </c>
      <c r="I1595" t="inlineStr">
        <is>
          <t>1</t>
        </is>
      </c>
      <c r="J1595" t="inlineStr">
        <is>
          <t>No</t>
        </is>
      </c>
      <c r="K1595" t="inlineStr">
        <is>
          <t>No</t>
        </is>
      </c>
      <c r="L1595" t="inlineStr">
        <is>
          <t>0</t>
        </is>
      </c>
      <c r="M1595" t="inlineStr">
        <is>
          <t>Honan, Park.</t>
        </is>
      </c>
      <c r="N1595" t="inlineStr">
        <is>
          <t>New Haven, Yale University Press, 1961.</t>
        </is>
      </c>
      <c r="O1595" t="inlineStr">
        <is>
          <t>1961</t>
        </is>
      </c>
      <c r="Q1595" t="inlineStr">
        <is>
          <t>eng</t>
        </is>
      </c>
      <c r="R1595" t="inlineStr">
        <is>
          <t>ctu</t>
        </is>
      </c>
      <c r="T1595" t="inlineStr">
        <is>
          <t xml:space="preserve">PR </t>
        </is>
      </c>
      <c r="U1595" t="n">
        <v>2</v>
      </c>
      <c r="V1595" t="n">
        <v>2</v>
      </c>
      <c r="W1595" t="inlineStr">
        <is>
          <t>1999-12-16</t>
        </is>
      </c>
      <c r="X1595" t="inlineStr">
        <is>
          <t>1999-12-16</t>
        </is>
      </c>
      <c r="Y1595" t="inlineStr">
        <is>
          <t>1997-06-25</t>
        </is>
      </c>
      <c r="Z1595" t="inlineStr">
        <is>
          <t>1997-06-25</t>
        </is>
      </c>
      <c r="AA1595" t="n">
        <v>637</v>
      </c>
      <c r="AB1595" t="n">
        <v>561</v>
      </c>
      <c r="AC1595" t="n">
        <v>564</v>
      </c>
      <c r="AD1595" t="n">
        <v>6</v>
      </c>
      <c r="AE1595" t="n">
        <v>6</v>
      </c>
      <c r="AF1595" t="n">
        <v>29</v>
      </c>
      <c r="AG1595" t="n">
        <v>29</v>
      </c>
      <c r="AH1595" t="n">
        <v>11</v>
      </c>
      <c r="AI1595" t="n">
        <v>11</v>
      </c>
      <c r="AJ1595" t="n">
        <v>5</v>
      </c>
      <c r="AK1595" t="n">
        <v>5</v>
      </c>
      <c r="AL1595" t="n">
        <v>16</v>
      </c>
      <c r="AM1595" t="n">
        <v>16</v>
      </c>
      <c r="AN1595" t="n">
        <v>5</v>
      </c>
      <c r="AO1595" t="n">
        <v>5</v>
      </c>
      <c r="AP1595" t="n">
        <v>0</v>
      </c>
      <c r="AQ1595" t="n">
        <v>0</v>
      </c>
      <c r="AR1595" t="inlineStr">
        <is>
          <t>No</t>
        </is>
      </c>
      <c r="AS1595" t="inlineStr">
        <is>
          <t>Yes</t>
        </is>
      </c>
      <c r="AT1595">
        <f>HYPERLINK("http://catalog.hathitrust.org/Record/000585764","HathiTrust Record")</f>
        <v/>
      </c>
      <c r="AU1595">
        <f>HYPERLINK("https://creighton-primo.hosted.exlibrisgroup.com/primo-explore/search?tab=default_tab&amp;search_scope=EVERYTHING&amp;vid=01CRU&amp;lang=en_US&amp;offset=0&amp;query=any,contains,991002466999702656","Catalog Record")</f>
        <v/>
      </c>
      <c r="AV1595">
        <f>HYPERLINK("http://www.worldcat.org/oclc/357909","WorldCat Record")</f>
        <v/>
      </c>
      <c r="AW1595" t="inlineStr">
        <is>
          <t>4020568974:eng</t>
        </is>
      </c>
      <c r="AX1595" t="inlineStr">
        <is>
          <t>357909</t>
        </is>
      </c>
      <c r="AY1595" t="inlineStr">
        <is>
          <t>991002466999702656</t>
        </is>
      </c>
      <c r="AZ1595" t="inlineStr">
        <is>
          <t>991002466999702656</t>
        </is>
      </c>
      <c r="BA1595" t="inlineStr">
        <is>
          <t>2265645050002656</t>
        </is>
      </c>
      <c r="BB1595" t="inlineStr">
        <is>
          <t>BOOK</t>
        </is>
      </c>
      <c r="BE1595" t="inlineStr">
        <is>
          <t>32285002831856</t>
        </is>
      </c>
      <c r="BF1595" t="inlineStr">
        <is>
          <t>893779852</t>
        </is>
      </c>
    </row>
    <row r="1596">
      <c r="A1596" t="inlineStr">
        <is>
          <t>No</t>
        </is>
      </c>
      <c r="B1596" t="inlineStr">
        <is>
          <t>CURAL</t>
        </is>
      </c>
      <c r="C1596" t="inlineStr">
        <is>
          <t>SHELVES</t>
        </is>
      </c>
      <c r="D1596" t="inlineStr">
        <is>
          <t>PR4238 .H837 1992</t>
        </is>
      </c>
      <c r="E1596" t="inlineStr">
        <is>
          <t>0                      PR 4238000H  837         1992</t>
        </is>
      </c>
      <c r="F1596" t="inlineStr">
        <is>
          <t>Robert Browning's literary life : from first work to masterpiece / Gertrude Reese Hudson.</t>
        </is>
      </c>
      <c r="H1596" t="inlineStr">
        <is>
          <t>No</t>
        </is>
      </c>
      <c r="I1596" t="inlineStr">
        <is>
          <t>1</t>
        </is>
      </c>
      <c r="J1596" t="inlineStr">
        <is>
          <t>No</t>
        </is>
      </c>
      <c r="K1596" t="inlineStr">
        <is>
          <t>No</t>
        </is>
      </c>
      <c r="L1596" t="inlineStr">
        <is>
          <t>0</t>
        </is>
      </c>
      <c r="M1596" t="inlineStr">
        <is>
          <t>Hudson, Gertrude Reese.</t>
        </is>
      </c>
      <c r="N1596" t="inlineStr">
        <is>
          <t>Austin, Tex. : Eakin Press, c1992.</t>
        </is>
      </c>
      <c r="O1596" t="inlineStr">
        <is>
          <t>1992</t>
        </is>
      </c>
      <c r="P1596" t="inlineStr">
        <is>
          <t>1st ed.</t>
        </is>
      </c>
      <c r="Q1596" t="inlineStr">
        <is>
          <t>eng</t>
        </is>
      </c>
      <c r="R1596" t="inlineStr">
        <is>
          <t>txu</t>
        </is>
      </c>
      <c r="T1596" t="inlineStr">
        <is>
          <t xml:space="preserve">PR </t>
        </is>
      </c>
      <c r="U1596" t="n">
        <v>3</v>
      </c>
      <c r="V1596" t="n">
        <v>3</v>
      </c>
      <c r="W1596" t="inlineStr">
        <is>
          <t>1999-10-13</t>
        </is>
      </c>
      <c r="X1596" t="inlineStr">
        <is>
          <t>1999-10-13</t>
        </is>
      </c>
      <c r="Y1596" t="inlineStr">
        <is>
          <t>1994-10-03</t>
        </is>
      </c>
      <c r="Z1596" t="inlineStr">
        <is>
          <t>1994-10-03</t>
        </is>
      </c>
      <c r="AA1596" t="n">
        <v>311</v>
      </c>
      <c r="AB1596" t="n">
        <v>299</v>
      </c>
      <c r="AC1596" t="n">
        <v>301</v>
      </c>
      <c r="AD1596" t="n">
        <v>4</v>
      </c>
      <c r="AE1596" t="n">
        <v>4</v>
      </c>
      <c r="AF1596" t="n">
        <v>19</v>
      </c>
      <c r="AG1596" t="n">
        <v>19</v>
      </c>
      <c r="AH1596" t="n">
        <v>6</v>
      </c>
      <c r="AI1596" t="n">
        <v>6</v>
      </c>
      <c r="AJ1596" t="n">
        <v>5</v>
      </c>
      <c r="AK1596" t="n">
        <v>5</v>
      </c>
      <c r="AL1596" t="n">
        <v>10</v>
      </c>
      <c r="AM1596" t="n">
        <v>10</v>
      </c>
      <c r="AN1596" t="n">
        <v>2</v>
      </c>
      <c r="AO1596" t="n">
        <v>2</v>
      </c>
      <c r="AP1596" t="n">
        <v>0</v>
      </c>
      <c r="AQ1596" t="n">
        <v>0</v>
      </c>
      <c r="AR1596" t="inlineStr">
        <is>
          <t>No</t>
        </is>
      </c>
      <c r="AS1596" t="inlineStr">
        <is>
          <t>Yes</t>
        </is>
      </c>
      <c r="AT1596">
        <f>HYPERLINK("http://catalog.hathitrust.org/Record/002732255","HathiTrust Record")</f>
        <v/>
      </c>
      <c r="AU1596">
        <f>HYPERLINK("https://creighton-primo.hosted.exlibrisgroup.com/primo-explore/search?tab=default_tab&amp;search_scope=EVERYTHING&amp;vid=01CRU&amp;lang=en_US&amp;offset=0&amp;query=any,contains,991002156909702656","Catalog Record")</f>
        <v/>
      </c>
      <c r="AV1596">
        <f>HYPERLINK("http://www.worldcat.org/oclc/27805376","WorldCat Record")</f>
        <v/>
      </c>
      <c r="AW1596" t="inlineStr">
        <is>
          <t>365316651:eng</t>
        </is>
      </c>
      <c r="AX1596" t="inlineStr">
        <is>
          <t>27805376</t>
        </is>
      </c>
      <c r="AY1596" t="inlineStr">
        <is>
          <t>991002156909702656</t>
        </is>
      </c>
      <c r="AZ1596" t="inlineStr">
        <is>
          <t>991002156909702656</t>
        </is>
      </c>
      <c r="BA1596" t="inlineStr">
        <is>
          <t>2272809240002656</t>
        </is>
      </c>
      <c r="BB1596" t="inlineStr">
        <is>
          <t>BOOK</t>
        </is>
      </c>
      <c r="BD1596" t="inlineStr">
        <is>
          <t>9780890158876</t>
        </is>
      </c>
      <c r="BE1596" t="inlineStr">
        <is>
          <t>32285001868263</t>
        </is>
      </c>
      <c r="BF1596" t="inlineStr">
        <is>
          <t>893609527</t>
        </is>
      </c>
    </row>
    <row r="1597">
      <c r="A1597" t="inlineStr">
        <is>
          <t>No</t>
        </is>
      </c>
      <c r="B1597" t="inlineStr">
        <is>
          <t>CURAL</t>
        </is>
      </c>
      <c r="C1597" t="inlineStr">
        <is>
          <t>SHELVES</t>
        </is>
      </c>
      <c r="D1597" t="inlineStr">
        <is>
          <t>PR4238 .O7 1927</t>
        </is>
      </c>
      <c r="E1597" t="inlineStr">
        <is>
          <t>0                      PR 4238000O  7           1927</t>
        </is>
      </c>
      <c r="F1597" t="inlineStr">
        <is>
          <t>A handbook to the works of Robert Browning / by Mrs. Sutherland Orr.</t>
        </is>
      </c>
      <c r="H1597" t="inlineStr">
        <is>
          <t>No</t>
        </is>
      </c>
      <c r="I1597" t="inlineStr">
        <is>
          <t>1</t>
        </is>
      </c>
      <c r="J1597" t="inlineStr">
        <is>
          <t>No</t>
        </is>
      </c>
      <c r="K1597" t="inlineStr">
        <is>
          <t>No</t>
        </is>
      </c>
      <c r="L1597" t="inlineStr">
        <is>
          <t>0</t>
        </is>
      </c>
      <c r="M1597" t="inlineStr">
        <is>
          <t>Orr, Sutherland, Mrs., 1828-1903.</t>
        </is>
      </c>
      <c r="N1597" t="inlineStr">
        <is>
          <t>London ; New York : G. Bell &amp; sons, c1892, 1927 printing.</t>
        </is>
      </c>
      <c r="O1597" t="inlineStr">
        <is>
          <t>1892</t>
        </is>
      </c>
      <c r="P1597" t="inlineStr">
        <is>
          <t>6th ed., rev.</t>
        </is>
      </c>
      <c r="Q1597" t="inlineStr">
        <is>
          <t>eng</t>
        </is>
      </c>
      <c r="R1597" t="inlineStr">
        <is>
          <t>enk</t>
        </is>
      </c>
      <c r="T1597" t="inlineStr">
        <is>
          <t xml:space="preserve">PR </t>
        </is>
      </c>
      <c r="U1597" t="n">
        <v>5</v>
      </c>
      <c r="V1597" t="n">
        <v>5</v>
      </c>
      <c r="W1597" t="inlineStr">
        <is>
          <t>1995-10-30</t>
        </is>
      </c>
      <c r="X1597" t="inlineStr">
        <is>
          <t>1995-10-30</t>
        </is>
      </c>
      <c r="Y1597" t="inlineStr">
        <is>
          <t>1993-04-07</t>
        </is>
      </c>
      <c r="Z1597" t="inlineStr">
        <is>
          <t>1993-04-07</t>
        </is>
      </c>
      <c r="AA1597" t="n">
        <v>188</v>
      </c>
      <c r="AB1597" t="n">
        <v>152</v>
      </c>
      <c r="AC1597" t="n">
        <v>630</v>
      </c>
      <c r="AD1597" t="n">
        <v>3</v>
      </c>
      <c r="AE1597" t="n">
        <v>8</v>
      </c>
      <c r="AF1597" t="n">
        <v>7</v>
      </c>
      <c r="AG1597" t="n">
        <v>34</v>
      </c>
      <c r="AH1597" t="n">
        <v>4</v>
      </c>
      <c r="AI1597" t="n">
        <v>14</v>
      </c>
      <c r="AJ1597" t="n">
        <v>0</v>
      </c>
      <c r="AK1597" t="n">
        <v>5</v>
      </c>
      <c r="AL1597" t="n">
        <v>2</v>
      </c>
      <c r="AM1597" t="n">
        <v>15</v>
      </c>
      <c r="AN1597" t="n">
        <v>2</v>
      </c>
      <c r="AO1597" t="n">
        <v>6</v>
      </c>
      <c r="AP1597" t="n">
        <v>0</v>
      </c>
      <c r="AQ1597" t="n">
        <v>0</v>
      </c>
      <c r="AR1597" t="inlineStr">
        <is>
          <t>Yes</t>
        </is>
      </c>
      <c r="AS1597" t="inlineStr">
        <is>
          <t>No</t>
        </is>
      </c>
      <c r="AT1597">
        <f>HYPERLINK("http://catalog.hathitrust.org/Record/100325754","HathiTrust Record")</f>
        <v/>
      </c>
      <c r="AU1597">
        <f>HYPERLINK("https://creighton-primo.hosted.exlibrisgroup.com/primo-explore/search?tab=default_tab&amp;search_scope=EVERYTHING&amp;vid=01CRU&amp;lang=en_US&amp;offset=0&amp;query=any,contains,991000593639702656","Catalog Record")</f>
        <v/>
      </c>
      <c r="AV1597">
        <f>HYPERLINK("http://www.worldcat.org/oclc/11793606","WorldCat Record")</f>
        <v/>
      </c>
      <c r="AW1597" t="inlineStr">
        <is>
          <t>1405913:eng</t>
        </is>
      </c>
      <c r="AX1597" t="inlineStr">
        <is>
          <t>11793606</t>
        </is>
      </c>
      <c r="AY1597" t="inlineStr">
        <is>
          <t>991000593639702656</t>
        </is>
      </c>
      <c r="AZ1597" t="inlineStr">
        <is>
          <t>991000593639702656</t>
        </is>
      </c>
      <c r="BA1597" t="inlineStr">
        <is>
          <t>2255876910002656</t>
        </is>
      </c>
      <c r="BB1597" t="inlineStr">
        <is>
          <t>BOOK</t>
        </is>
      </c>
      <c r="BE1597" t="inlineStr">
        <is>
          <t>32285001603728</t>
        </is>
      </c>
      <c r="BF1597" t="inlineStr">
        <is>
          <t>893903082</t>
        </is>
      </c>
    </row>
    <row r="1598">
      <c r="A1598" t="inlineStr">
        <is>
          <t>No</t>
        </is>
      </c>
      <c r="B1598" t="inlineStr">
        <is>
          <t>CURAL</t>
        </is>
      </c>
      <c r="C1598" t="inlineStr">
        <is>
          <t>SHELVES</t>
        </is>
      </c>
      <c r="D1598" t="inlineStr">
        <is>
          <t>PR4239 .S5 1982</t>
        </is>
      </c>
      <c r="E1598" t="inlineStr">
        <is>
          <t>0                      PR 4239000S  5           1982</t>
        </is>
      </c>
      <c r="F1598" t="inlineStr">
        <is>
          <t>Browning and the fictions of identity / E. Warwick Slinn.</t>
        </is>
      </c>
      <c r="H1598" t="inlineStr">
        <is>
          <t>No</t>
        </is>
      </c>
      <c r="I1598" t="inlineStr">
        <is>
          <t>1</t>
        </is>
      </c>
      <c r="J1598" t="inlineStr">
        <is>
          <t>No</t>
        </is>
      </c>
      <c r="K1598" t="inlineStr">
        <is>
          <t>No</t>
        </is>
      </c>
      <c r="L1598" t="inlineStr">
        <is>
          <t>0</t>
        </is>
      </c>
      <c r="M1598" t="inlineStr">
        <is>
          <t>Slinn, E. Warwick, 1943-</t>
        </is>
      </c>
      <c r="N1598" t="inlineStr">
        <is>
          <t>Totowa, N.J. : Barnes &amp; Noble Books, 1982.</t>
        </is>
      </c>
      <c r="O1598" t="inlineStr">
        <is>
          <t>1982</t>
        </is>
      </c>
      <c r="Q1598" t="inlineStr">
        <is>
          <t>eng</t>
        </is>
      </c>
      <c r="R1598" t="inlineStr">
        <is>
          <t>nju</t>
        </is>
      </c>
      <c r="T1598" t="inlineStr">
        <is>
          <t xml:space="preserve">PR </t>
        </is>
      </c>
      <c r="U1598" t="n">
        <v>5</v>
      </c>
      <c r="V1598" t="n">
        <v>5</v>
      </c>
      <c r="W1598" t="inlineStr">
        <is>
          <t>1995-01-23</t>
        </is>
      </c>
      <c r="X1598" t="inlineStr">
        <is>
          <t>1995-01-23</t>
        </is>
      </c>
      <c r="Y1598" t="inlineStr">
        <is>
          <t>1991-11-21</t>
        </is>
      </c>
      <c r="Z1598" t="inlineStr">
        <is>
          <t>1991-11-21</t>
        </is>
      </c>
      <c r="AA1598" t="n">
        <v>276</v>
      </c>
      <c r="AB1598" t="n">
        <v>241</v>
      </c>
      <c r="AC1598" t="n">
        <v>308</v>
      </c>
      <c r="AD1598" t="n">
        <v>1</v>
      </c>
      <c r="AE1598" t="n">
        <v>3</v>
      </c>
      <c r="AF1598" t="n">
        <v>11</v>
      </c>
      <c r="AG1598" t="n">
        <v>15</v>
      </c>
      <c r="AH1598" t="n">
        <v>4</v>
      </c>
      <c r="AI1598" t="n">
        <v>5</v>
      </c>
      <c r="AJ1598" t="n">
        <v>4</v>
      </c>
      <c r="AK1598" t="n">
        <v>5</v>
      </c>
      <c r="AL1598" t="n">
        <v>8</v>
      </c>
      <c r="AM1598" t="n">
        <v>9</v>
      </c>
      <c r="AN1598" t="n">
        <v>0</v>
      </c>
      <c r="AO1598" t="n">
        <v>2</v>
      </c>
      <c r="AP1598" t="n">
        <v>0</v>
      </c>
      <c r="AQ1598" t="n">
        <v>0</v>
      </c>
      <c r="AR1598" t="inlineStr">
        <is>
          <t>No</t>
        </is>
      </c>
      <c r="AS1598" t="inlineStr">
        <is>
          <t>No</t>
        </is>
      </c>
      <c r="AU1598">
        <f>HYPERLINK("https://creighton-primo.hosted.exlibrisgroup.com/primo-explore/search?tab=default_tab&amp;search_scope=EVERYTHING&amp;vid=01CRU&amp;lang=en_US&amp;offset=0&amp;query=any,contains,991005207449702656","Catalog Record")</f>
        <v/>
      </c>
      <c r="AV1598">
        <f>HYPERLINK("http://www.worldcat.org/oclc/8132151","WorldCat Record")</f>
        <v/>
      </c>
      <c r="AW1598" t="inlineStr">
        <is>
          <t>458790:eng</t>
        </is>
      </c>
      <c r="AX1598" t="inlineStr">
        <is>
          <t>8132151</t>
        </is>
      </c>
      <c r="AY1598" t="inlineStr">
        <is>
          <t>991005207449702656</t>
        </is>
      </c>
      <c r="AZ1598" t="inlineStr">
        <is>
          <t>991005207449702656</t>
        </is>
      </c>
      <c r="BA1598" t="inlineStr">
        <is>
          <t>2268020640002656</t>
        </is>
      </c>
      <c r="BB1598" t="inlineStr">
        <is>
          <t>BOOK</t>
        </is>
      </c>
      <c r="BD1598" t="inlineStr">
        <is>
          <t>9780389202738</t>
        </is>
      </c>
      <c r="BE1598" t="inlineStr">
        <is>
          <t>32285000842509</t>
        </is>
      </c>
      <c r="BF1598" t="inlineStr">
        <is>
          <t>893431042</t>
        </is>
      </c>
    </row>
    <row r="1599">
      <c r="A1599" t="inlineStr">
        <is>
          <t>No</t>
        </is>
      </c>
      <c r="B1599" t="inlineStr">
        <is>
          <t>CURAL</t>
        </is>
      </c>
      <c r="C1599" t="inlineStr">
        <is>
          <t>SHELVES</t>
        </is>
      </c>
      <c r="D1599" t="inlineStr">
        <is>
          <t>PR424 .E5 1980</t>
        </is>
      </c>
      <c r="E1599" t="inlineStr">
        <is>
          <t>0                      PR 0424000E  5           1980</t>
        </is>
      </c>
      <c r="F1599" t="inlineStr">
        <is>
          <t>English Renaissance studies presented to Dame Helen Gardner in honour of her seventieth birthday / [edited by John Carey].</t>
        </is>
      </c>
      <c r="H1599" t="inlineStr">
        <is>
          <t>No</t>
        </is>
      </c>
      <c r="I1599" t="inlineStr">
        <is>
          <t>1</t>
        </is>
      </c>
      <c r="J1599" t="inlineStr">
        <is>
          <t>No</t>
        </is>
      </c>
      <c r="K1599" t="inlineStr">
        <is>
          <t>No</t>
        </is>
      </c>
      <c r="L1599" t="inlineStr">
        <is>
          <t>0</t>
        </is>
      </c>
      <c r="N1599" t="inlineStr">
        <is>
          <t>Oxford : Clarendon Press ; New York : Oxford University Press, 1980.</t>
        </is>
      </c>
      <c r="O1599" t="inlineStr">
        <is>
          <t>1980</t>
        </is>
      </c>
      <c r="Q1599" t="inlineStr">
        <is>
          <t>eng</t>
        </is>
      </c>
      <c r="R1599" t="inlineStr">
        <is>
          <t>enk</t>
        </is>
      </c>
      <c r="T1599" t="inlineStr">
        <is>
          <t xml:space="preserve">PR </t>
        </is>
      </c>
      <c r="U1599" t="n">
        <v>1</v>
      </c>
      <c r="V1599" t="n">
        <v>1</v>
      </c>
      <c r="W1599" t="inlineStr">
        <is>
          <t>2001-03-18</t>
        </is>
      </c>
      <c r="X1599" t="inlineStr">
        <is>
          <t>2001-03-18</t>
        </is>
      </c>
      <c r="Y1599" t="inlineStr">
        <is>
          <t>1991-08-28</t>
        </is>
      </c>
      <c r="Z1599" t="inlineStr">
        <is>
          <t>1991-08-28</t>
        </is>
      </c>
      <c r="AA1599" t="n">
        <v>598</v>
      </c>
      <c r="AB1599" t="n">
        <v>444</v>
      </c>
      <c r="AC1599" t="n">
        <v>451</v>
      </c>
      <c r="AD1599" t="n">
        <v>3</v>
      </c>
      <c r="AE1599" t="n">
        <v>3</v>
      </c>
      <c r="AF1599" t="n">
        <v>23</v>
      </c>
      <c r="AG1599" t="n">
        <v>23</v>
      </c>
      <c r="AH1599" t="n">
        <v>10</v>
      </c>
      <c r="AI1599" t="n">
        <v>10</v>
      </c>
      <c r="AJ1599" t="n">
        <v>5</v>
      </c>
      <c r="AK1599" t="n">
        <v>5</v>
      </c>
      <c r="AL1599" t="n">
        <v>13</v>
      </c>
      <c r="AM1599" t="n">
        <v>13</v>
      </c>
      <c r="AN1599" t="n">
        <v>2</v>
      </c>
      <c r="AO1599" t="n">
        <v>2</v>
      </c>
      <c r="AP1599" t="n">
        <v>0</v>
      </c>
      <c r="AQ1599" t="n">
        <v>0</v>
      </c>
      <c r="AR1599" t="inlineStr">
        <is>
          <t>No</t>
        </is>
      </c>
      <c r="AS1599" t="inlineStr">
        <is>
          <t>Yes</t>
        </is>
      </c>
      <c r="AT1599">
        <f>HYPERLINK("http://catalog.hathitrust.org/Record/000042425","HathiTrust Record")</f>
        <v/>
      </c>
      <c r="AU1599">
        <f>HYPERLINK("https://creighton-primo.hosted.exlibrisgroup.com/primo-explore/search?tab=default_tab&amp;search_scope=EVERYTHING&amp;vid=01CRU&amp;lang=en_US&amp;offset=0&amp;query=any,contains,991004839049702656","Catalog Record")</f>
        <v/>
      </c>
      <c r="AV1599">
        <f>HYPERLINK("http://www.worldcat.org/oclc/5492439","WorldCat Record")</f>
        <v/>
      </c>
      <c r="AW1599" t="inlineStr">
        <is>
          <t>365427971:eng</t>
        </is>
      </c>
      <c r="AX1599" t="inlineStr">
        <is>
          <t>5492439</t>
        </is>
      </c>
      <c r="AY1599" t="inlineStr">
        <is>
          <t>991004839049702656</t>
        </is>
      </c>
      <c r="AZ1599" t="inlineStr">
        <is>
          <t>991004839049702656</t>
        </is>
      </c>
      <c r="BA1599" t="inlineStr">
        <is>
          <t>2266936070002656</t>
        </is>
      </c>
      <c r="BB1599" t="inlineStr">
        <is>
          <t>BOOK</t>
        </is>
      </c>
      <c r="BD1599" t="inlineStr">
        <is>
          <t>9780198120933</t>
        </is>
      </c>
      <c r="BE1599" t="inlineStr">
        <is>
          <t>32285000731223</t>
        </is>
      </c>
      <c r="BF1599" t="inlineStr">
        <is>
          <t>893350435</t>
        </is>
      </c>
    </row>
    <row r="1600">
      <c r="A1600" t="inlineStr">
        <is>
          <t>No</t>
        </is>
      </c>
      <c r="B1600" t="inlineStr">
        <is>
          <t>CURAL</t>
        </is>
      </c>
      <c r="C1600" t="inlineStr">
        <is>
          <t>SHELVES</t>
        </is>
      </c>
      <c r="D1600" t="inlineStr">
        <is>
          <t>PR428.A8 M5</t>
        </is>
      </c>
      <c r="E1600" t="inlineStr">
        <is>
          <t>0                      PR 0428000A  8                  M  5</t>
        </is>
      </c>
      <c r="F1600" t="inlineStr">
        <is>
          <t>The professional writer in Elizabethan England; a study of nondramatic literature.</t>
        </is>
      </c>
      <c r="H1600" t="inlineStr">
        <is>
          <t>No</t>
        </is>
      </c>
      <c r="I1600" t="inlineStr">
        <is>
          <t>1</t>
        </is>
      </c>
      <c r="J1600" t="inlineStr">
        <is>
          <t>No</t>
        </is>
      </c>
      <c r="K1600" t="inlineStr">
        <is>
          <t>No</t>
        </is>
      </c>
      <c r="L1600" t="inlineStr">
        <is>
          <t>0</t>
        </is>
      </c>
      <c r="M1600" t="inlineStr">
        <is>
          <t>Miller, Edwin Haviland.</t>
        </is>
      </c>
      <c r="N1600" t="inlineStr">
        <is>
          <t>Cambridge, Harvard University Press, 1959.</t>
        </is>
      </c>
      <c r="O1600" t="inlineStr">
        <is>
          <t>1959</t>
        </is>
      </c>
      <c r="Q1600" t="inlineStr">
        <is>
          <t>eng</t>
        </is>
      </c>
      <c r="R1600" t="inlineStr">
        <is>
          <t>mau</t>
        </is>
      </c>
      <c r="T1600" t="inlineStr">
        <is>
          <t xml:space="preserve">PR </t>
        </is>
      </c>
      <c r="U1600" t="n">
        <v>1</v>
      </c>
      <c r="V1600" t="n">
        <v>1</v>
      </c>
      <c r="W1600" t="inlineStr">
        <is>
          <t>2006-09-17</t>
        </is>
      </c>
      <c r="X1600" t="inlineStr">
        <is>
          <t>2006-09-17</t>
        </is>
      </c>
      <c r="Y1600" t="inlineStr">
        <is>
          <t>1997-08-20</t>
        </is>
      </c>
      <c r="Z1600" t="inlineStr">
        <is>
          <t>1997-08-20</t>
        </is>
      </c>
      <c r="AA1600" t="n">
        <v>693</v>
      </c>
      <c r="AB1600" t="n">
        <v>552</v>
      </c>
      <c r="AC1600" t="n">
        <v>565</v>
      </c>
      <c r="AD1600" t="n">
        <v>4</v>
      </c>
      <c r="AE1600" t="n">
        <v>4</v>
      </c>
      <c r="AF1600" t="n">
        <v>25</v>
      </c>
      <c r="AG1600" t="n">
        <v>26</v>
      </c>
      <c r="AH1600" t="n">
        <v>10</v>
      </c>
      <c r="AI1600" t="n">
        <v>10</v>
      </c>
      <c r="AJ1600" t="n">
        <v>2</v>
      </c>
      <c r="AK1600" t="n">
        <v>3</v>
      </c>
      <c r="AL1600" t="n">
        <v>15</v>
      </c>
      <c r="AM1600" t="n">
        <v>16</v>
      </c>
      <c r="AN1600" t="n">
        <v>3</v>
      </c>
      <c r="AO1600" t="n">
        <v>3</v>
      </c>
      <c r="AP1600" t="n">
        <v>0</v>
      </c>
      <c r="AQ1600" t="n">
        <v>0</v>
      </c>
      <c r="AR1600" t="inlineStr">
        <is>
          <t>No</t>
        </is>
      </c>
      <c r="AS1600" t="inlineStr">
        <is>
          <t>Yes</t>
        </is>
      </c>
      <c r="AT1600">
        <f>HYPERLINK("http://catalog.hathitrust.org/Record/001016331","HathiTrust Record")</f>
        <v/>
      </c>
      <c r="AU1600">
        <f>HYPERLINK("https://creighton-primo.hosted.exlibrisgroup.com/primo-explore/search?tab=default_tab&amp;search_scope=EVERYTHING&amp;vid=01CRU&amp;lang=en_US&amp;offset=0&amp;query=any,contains,991001697349702656","Catalog Record")</f>
        <v/>
      </c>
      <c r="AV1600">
        <f>HYPERLINK("http://www.worldcat.org/oclc/234455","WorldCat Record")</f>
        <v/>
      </c>
      <c r="AW1600" t="inlineStr">
        <is>
          <t>836688182:eng</t>
        </is>
      </c>
      <c r="AX1600" t="inlineStr">
        <is>
          <t>234455</t>
        </is>
      </c>
      <c r="AY1600" t="inlineStr">
        <is>
          <t>991001697349702656</t>
        </is>
      </c>
      <c r="AZ1600" t="inlineStr">
        <is>
          <t>991001697349702656</t>
        </is>
      </c>
      <c r="BA1600" t="inlineStr">
        <is>
          <t>2257443770002656</t>
        </is>
      </c>
      <c r="BB1600" t="inlineStr">
        <is>
          <t>BOOK</t>
        </is>
      </c>
      <c r="BE1600" t="inlineStr">
        <is>
          <t>32285003151296</t>
        </is>
      </c>
      <c r="BF1600" t="inlineStr">
        <is>
          <t>893516414</t>
        </is>
      </c>
    </row>
    <row r="1601">
      <c r="A1601" t="inlineStr">
        <is>
          <t>No</t>
        </is>
      </c>
      <c r="B1601" t="inlineStr">
        <is>
          <t>CURAL</t>
        </is>
      </c>
      <c r="C1601" t="inlineStr">
        <is>
          <t>SHELVES</t>
        </is>
      </c>
      <c r="D1601" t="inlineStr">
        <is>
          <t>PR428.C64 B38 1992</t>
        </is>
      </c>
      <c r="E1601" t="inlineStr">
        <is>
          <t>0                      PR 0428000C  64                 B  38          1992</t>
        </is>
      </c>
      <c r="F1601" t="inlineStr">
        <is>
          <t>The rhetoric of courtship in Elizabethan language and literature / Catherine Bates.</t>
        </is>
      </c>
      <c r="H1601" t="inlineStr">
        <is>
          <t>No</t>
        </is>
      </c>
      <c r="I1601" t="inlineStr">
        <is>
          <t>1</t>
        </is>
      </c>
      <c r="J1601" t="inlineStr">
        <is>
          <t>No</t>
        </is>
      </c>
      <c r="K1601" t="inlineStr">
        <is>
          <t>No</t>
        </is>
      </c>
      <c r="L1601" t="inlineStr">
        <is>
          <t>0</t>
        </is>
      </c>
      <c r="M1601" t="inlineStr">
        <is>
          <t>Bates, Catherine, 1934-</t>
        </is>
      </c>
      <c r="N1601" t="inlineStr">
        <is>
          <t>Cambridge ; New York : Cambridge University Press, 1992.</t>
        </is>
      </c>
      <c r="O1601" t="inlineStr">
        <is>
          <t>1992</t>
        </is>
      </c>
      <c r="Q1601" t="inlineStr">
        <is>
          <t>eng</t>
        </is>
      </c>
      <c r="R1601" t="inlineStr">
        <is>
          <t>enk</t>
        </is>
      </c>
      <c r="T1601" t="inlineStr">
        <is>
          <t xml:space="preserve">PR </t>
        </is>
      </c>
      <c r="U1601" t="n">
        <v>7</v>
      </c>
      <c r="V1601" t="n">
        <v>7</v>
      </c>
      <c r="W1601" t="inlineStr">
        <is>
          <t>2007-02-04</t>
        </is>
      </c>
      <c r="X1601" t="inlineStr">
        <is>
          <t>2007-02-04</t>
        </is>
      </c>
      <c r="Y1601" t="inlineStr">
        <is>
          <t>1993-11-15</t>
        </is>
      </c>
      <c r="Z1601" t="inlineStr">
        <is>
          <t>1993-11-15</t>
        </is>
      </c>
      <c r="AA1601" t="n">
        <v>475</v>
      </c>
      <c r="AB1601" t="n">
        <v>320</v>
      </c>
      <c r="AC1601" t="n">
        <v>333</v>
      </c>
      <c r="AD1601" t="n">
        <v>3</v>
      </c>
      <c r="AE1601" t="n">
        <v>3</v>
      </c>
      <c r="AF1601" t="n">
        <v>16</v>
      </c>
      <c r="AG1601" t="n">
        <v>16</v>
      </c>
      <c r="AH1601" t="n">
        <v>4</v>
      </c>
      <c r="AI1601" t="n">
        <v>4</v>
      </c>
      <c r="AJ1601" t="n">
        <v>4</v>
      </c>
      <c r="AK1601" t="n">
        <v>4</v>
      </c>
      <c r="AL1601" t="n">
        <v>10</v>
      </c>
      <c r="AM1601" t="n">
        <v>10</v>
      </c>
      <c r="AN1601" t="n">
        <v>2</v>
      </c>
      <c r="AO1601" t="n">
        <v>2</v>
      </c>
      <c r="AP1601" t="n">
        <v>0</v>
      </c>
      <c r="AQ1601" t="n">
        <v>0</v>
      </c>
      <c r="AR1601" t="inlineStr">
        <is>
          <t>No</t>
        </is>
      </c>
      <c r="AS1601" t="inlineStr">
        <is>
          <t>No</t>
        </is>
      </c>
      <c r="AU1601">
        <f>HYPERLINK("https://creighton-primo.hosted.exlibrisgroup.com/primo-explore/search?tab=default_tab&amp;search_scope=EVERYTHING&amp;vid=01CRU&amp;lang=en_US&amp;offset=0&amp;query=any,contains,991001930119702656","Catalog Record")</f>
        <v/>
      </c>
      <c r="AV1601">
        <f>HYPERLINK("http://www.worldcat.org/oclc/24376000","WorldCat Record")</f>
        <v/>
      </c>
      <c r="AW1601" t="inlineStr">
        <is>
          <t>26711443:eng</t>
        </is>
      </c>
      <c r="AX1601" t="inlineStr">
        <is>
          <t>24376000</t>
        </is>
      </c>
      <c r="AY1601" t="inlineStr">
        <is>
          <t>991001930119702656</t>
        </is>
      </c>
      <c r="AZ1601" t="inlineStr">
        <is>
          <t>991001930119702656</t>
        </is>
      </c>
      <c r="BA1601" t="inlineStr">
        <is>
          <t>2262635430002656</t>
        </is>
      </c>
      <c r="BB1601" t="inlineStr">
        <is>
          <t>BOOK</t>
        </is>
      </c>
      <c r="BD1601" t="inlineStr">
        <is>
          <t>9780521414807</t>
        </is>
      </c>
      <c r="BE1601" t="inlineStr">
        <is>
          <t>32285001811222</t>
        </is>
      </c>
      <c r="BF1601" t="inlineStr">
        <is>
          <t>893715845</t>
        </is>
      </c>
    </row>
    <row r="1602">
      <c r="A1602" t="inlineStr">
        <is>
          <t>No</t>
        </is>
      </c>
      <c r="B1602" t="inlineStr">
        <is>
          <t>CURAL</t>
        </is>
      </c>
      <c r="C1602" t="inlineStr">
        <is>
          <t>SHELVES</t>
        </is>
      </c>
      <c r="D1602" t="inlineStr">
        <is>
          <t>PR428.F45 E44 2000</t>
        </is>
      </c>
      <c r="E1602" t="inlineStr">
        <is>
          <t>0                      PR 0428000F  45                 E  44          2000</t>
        </is>
      </c>
      <c r="F1602" t="inlineStr">
        <is>
          <t>Showing like a queen : female authority and literary experiment in Spenser, Shakespeare, and Milton / Katherine Eggert.</t>
        </is>
      </c>
      <c r="H1602" t="inlineStr">
        <is>
          <t>No</t>
        </is>
      </c>
      <c r="I1602" t="inlineStr">
        <is>
          <t>1</t>
        </is>
      </c>
      <c r="J1602" t="inlineStr">
        <is>
          <t>No</t>
        </is>
      </c>
      <c r="K1602" t="inlineStr">
        <is>
          <t>No</t>
        </is>
      </c>
      <c r="L1602" t="inlineStr">
        <is>
          <t>0</t>
        </is>
      </c>
      <c r="M1602" t="inlineStr">
        <is>
          <t>Eggert, Katherine.</t>
        </is>
      </c>
      <c r="N1602" t="inlineStr">
        <is>
          <t>Philadelphia : University of Pennsylvania Press, c2000.</t>
        </is>
      </c>
      <c r="O1602" t="inlineStr">
        <is>
          <t>2000</t>
        </is>
      </c>
      <c r="Q1602" t="inlineStr">
        <is>
          <t>eng</t>
        </is>
      </c>
      <c r="R1602" t="inlineStr">
        <is>
          <t>pau</t>
        </is>
      </c>
      <c r="T1602" t="inlineStr">
        <is>
          <t xml:space="preserve">PR </t>
        </is>
      </c>
      <c r="U1602" t="n">
        <v>4</v>
      </c>
      <c r="V1602" t="n">
        <v>4</v>
      </c>
      <c r="W1602" t="inlineStr">
        <is>
          <t>2005-05-01</t>
        </is>
      </c>
      <c r="X1602" t="inlineStr">
        <is>
          <t>2005-05-01</t>
        </is>
      </c>
      <c r="Y1602" t="inlineStr">
        <is>
          <t>2001-10-23</t>
        </is>
      </c>
      <c r="Z1602" t="inlineStr">
        <is>
          <t>2001-10-23</t>
        </is>
      </c>
      <c r="AA1602" t="n">
        <v>493</v>
      </c>
      <c r="AB1602" t="n">
        <v>411</v>
      </c>
      <c r="AC1602" t="n">
        <v>595</v>
      </c>
      <c r="AD1602" t="n">
        <v>4</v>
      </c>
      <c r="AE1602" t="n">
        <v>4</v>
      </c>
      <c r="AF1602" t="n">
        <v>29</v>
      </c>
      <c r="AG1602" t="n">
        <v>34</v>
      </c>
      <c r="AH1602" t="n">
        <v>13</v>
      </c>
      <c r="AI1602" t="n">
        <v>16</v>
      </c>
      <c r="AJ1602" t="n">
        <v>7</v>
      </c>
      <c r="AK1602" t="n">
        <v>8</v>
      </c>
      <c r="AL1602" t="n">
        <v>13</v>
      </c>
      <c r="AM1602" t="n">
        <v>16</v>
      </c>
      <c r="AN1602" t="n">
        <v>3</v>
      </c>
      <c r="AO1602" t="n">
        <v>3</v>
      </c>
      <c r="AP1602" t="n">
        <v>0</v>
      </c>
      <c r="AQ1602" t="n">
        <v>0</v>
      </c>
      <c r="AR1602" t="inlineStr">
        <is>
          <t>No</t>
        </is>
      </c>
      <c r="AS1602" t="inlineStr">
        <is>
          <t>No</t>
        </is>
      </c>
      <c r="AU1602">
        <f>HYPERLINK("https://creighton-primo.hosted.exlibrisgroup.com/primo-explore/search?tab=default_tab&amp;search_scope=EVERYTHING&amp;vid=01CRU&amp;lang=en_US&amp;offset=0&amp;query=any,contains,991003636219702656","Catalog Record")</f>
        <v/>
      </c>
      <c r="AV1602">
        <f>HYPERLINK("http://www.worldcat.org/oclc/42389620","WorldCat Record")</f>
        <v/>
      </c>
      <c r="AW1602" t="inlineStr">
        <is>
          <t>340971732:eng</t>
        </is>
      </c>
      <c r="AX1602" t="inlineStr">
        <is>
          <t>42389620</t>
        </is>
      </c>
      <c r="AY1602" t="inlineStr">
        <is>
          <t>991003636219702656</t>
        </is>
      </c>
      <c r="AZ1602" t="inlineStr">
        <is>
          <t>991003636219702656</t>
        </is>
      </c>
      <c r="BA1602" t="inlineStr">
        <is>
          <t>2268057510002656</t>
        </is>
      </c>
      <c r="BB1602" t="inlineStr">
        <is>
          <t>BOOK</t>
        </is>
      </c>
      <c r="BD1602" t="inlineStr">
        <is>
          <t>9780812235326</t>
        </is>
      </c>
      <c r="BE1602" t="inlineStr">
        <is>
          <t>32285004399472</t>
        </is>
      </c>
      <c r="BF1602" t="inlineStr">
        <is>
          <t>893705446</t>
        </is>
      </c>
    </row>
    <row r="1603">
      <c r="A1603" t="inlineStr">
        <is>
          <t>No</t>
        </is>
      </c>
      <c r="B1603" t="inlineStr">
        <is>
          <t>CURAL</t>
        </is>
      </c>
      <c r="C1603" t="inlineStr">
        <is>
          <t>SHELVES</t>
        </is>
      </c>
      <c r="D1603" t="inlineStr">
        <is>
          <t>PR428.F45 W66 2000</t>
        </is>
      </c>
      <c r="E1603" t="inlineStr">
        <is>
          <t>0                      PR 0428000F  45                 W  66          2000</t>
        </is>
      </c>
      <c r="F1603" t="inlineStr">
        <is>
          <t>Women, writing, and the reproduction of culture in Tudor and Stuart Britain / edited by Mary E. Burke ... [et al.].</t>
        </is>
      </c>
      <c r="H1603" t="inlineStr">
        <is>
          <t>No</t>
        </is>
      </c>
      <c r="I1603" t="inlineStr">
        <is>
          <t>1</t>
        </is>
      </c>
      <c r="J1603" t="inlineStr">
        <is>
          <t>No</t>
        </is>
      </c>
      <c r="K1603" t="inlineStr">
        <is>
          <t>No</t>
        </is>
      </c>
      <c r="L1603" t="inlineStr">
        <is>
          <t>0</t>
        </is>
      </c>
      <c r="N1603" t="inlineStr">
        <is>
          <t>Syracuse, N.Y. : Syracuse University Press, 2000.</t>
        </is>
      </c>
      <c r="O1603" t="inlineStr">
        <is>
          <t>2000</t>
        </is>
      </c>
      <c r="P1603" t="inlineStr">
        <is>
          <t>1st ed.</t>
        </is>
      </c>
      <c r="Q1603" t="inlineStr">
        <is>
          <t>eng</t>
        </is>
      </c>
      <c r="R1603" t="inlineStr">
        <is>
          <t>nyu</t>
        </is>
      </c>
      <c r="T1603" t="inlineStr">
        <is>
          <t xml:space="preserve">PR </t>
        </is>
      </c>
      <c r="U1603" t="n">
        <v>2</v>
      </c>
      <c r="V1603" t="n">
        <v>2</v>
      </c>
      <c r="W1603" t="inlineStr">
        <is>
          <t>2004-11-05</t>
        </is>
      </c>
      <c r="X1603" t="inlineStr">
        <is>
          <t>2004-11-05</t>
        </is>
      </c>
      <c r="Y1603" t="inlineStr">
        <is>
          <t>2001-05-03</t>
        </is>
      </c>
      <c r="Z1603" t="inlineStr">
        <is>
          <t>2001-05-03</t>
        </is>
      </c>
      <c r="AA1603" t="n">
        <v>502</v>
      </c>
      <c r="AB1603" t="n">
        <v>409</v>
      </c>
      <c r="AC1603" t="n">
        <v>1243</v>
      </c>
      <c r="AD1603" t="n">
        <v>4</v>
      </c>
      <c r="AE1603" t="n">
        <v>6</v>
      </c>
      <c r="AF1603" t="n">
        <v>25</v>
      </c>
      <c r="AG1603" t="n">
        <v>36</v>
      </c>
      <c r="AH1603" t="n">
        <v>10</v>
      </c>
      <c r="AI1603" t="n">
        <v>16</v>
      </c>
      <c r="AJ1603" t="n">
        <v>8</v>
      </c>
      <c r="AK1603" t="n">
        <v>11</v>
      </c>
      <c r="AL1603" t="n">
        <v>12</v>
      </c>
      <c r="AM1603" t="n">
        <v>16</v>
      </c>
      <c r="AN1603" t="n">
        <v>3</v>
      </c>
      <c r="AO1603" t="n">
        <v>4</v>
      </c>
      <c r="AP1603" t="n">
        <v>0</v>
      </c>
      <c r="AQ1603" t="n">
        <v>0</v>
      </c>
      <c r="AR1603" t="inlineStr">
        <is>
          <t>No</t>
        </is>
      </c>
      <c r="AS1603" t="inlineStr">
        <is>
          <t>No</t>
        </is>
      </c>
      <c r="AU1603">
        <f>HYPERLINK("https://creighton-primo.hosted.exlibrisgroup.com/primo-explore/search?tab=default_tab&amp;search_scope=EVERYTHING&amp;vid=01CRU&amp;lang=en_US&amp;offset=0&amp;query=any,contains,991003503799702656","Catalog Record")</f>
        <v/>
      </c>
      <c r="AV1603">
        <f>HYPERLINK("http://www.worldcat.org/oclc/41548268","WorldCat Record")</f>
        <v/>
      </c>
      <c r="AW1603" t="inlineStr">
        <is>
          <t>864033233:eng</t>
        </is>
      </c>
      <c r="AX1603" t="inlineStr">
        <is>
          <t>41548268</t>
        </is>
      </c>
      <c r="AY1603" t="inlineStr">
        <is>
          <t>991003503799702656</t>
        </is>
      </c>
      <c r="AZ1603" t="inlineStr">
        <is>
          <t>991003503799702656</t>
        </is>
      </c>
      <c r="BA1603" t="inlineStr">
        <is>
          <t>2257516690002656</t>
        </is>
      </c>
      <c r="BB1603" t="inlineStr">
        <is>
          <t>BOOK</t>
        </is>
      </c>
      <c r="BD1603" t="inlineStr">
        <is>
          <t>9780815628156</t>
        </is>
      </c>
      <c r="BE1603" t="inlineStr">
        <is>
          <t>32285004316138</t>
        </is>
      </c>
      <c r="BF1603" t="inlineStr">
        <is>
          <t>893617399</t>
        </is>
      </c>
    </row>
    <row r="1604">
      <c r="A1604" t="inlineStr">
        <is>
          <t>No</t>
        </is>
      </c>
      <c r="B1604" t="inlineStr">
        <is>
          <t>CURAL</t>
        </is>
      </c>
      <c r="C1604" t="inlineStr">
        <is>
          <t>SHELVES</t>
        </is>
      </c>
      <c r="D1604" t="inlineStr">
        <is>
          <t>PR428.H8 W65 2004</t>
        </is>
      </c>
      <c r="E1604" t="inlineStr">
        <is>
          <t>0                      PR 0428000H  8                  W  65          2004</t>
        </is>
      </c>
      <c r="F1604" t="inlineStr">
        <is>
          <t>Humanism, machinery, and Renaissance literature / Jessica Wolfe.</t>
        </is>
      </c>
      <c r="H1604" t="inlineStr">
        <is>
          <t>No</t>
        </is>
      </c>
      <c r="I1604" t="inlineStr">
        <is>
          <t>1</t>
        </is>
      </c>
      <c r="J1604" t="inlineStr">
        <is>
          <t>No</t>
        </is>
      </c>
      <c r="K1604" t="inlineStr">
        <is>
          <t>No</t>
        </is>
      </c>
      <c r="L1604" t="inlineStr">
        <is>
          <t>0</t>
        </is>
      </c>
      <c r="M1604" t="inlineStr">
        <is>
          <t>Wolfe, Jessica.</t>
        </is>
      </c>
      <c r="N1604" t="inlineStr">
        <is>
          <t>Cambridge ; New York : Cambridge University Press, 2004.</t>
        </is>
      </c>
      <c r="O1604" t="inlineStr">
        <is>
          <t>2004</t>
        </is>
      </c>
      <c r="Q1604" t="inlineStr">
        <is>
          <t>eng</t>
        </is>
      </c>
      <c r="R1604" t="inlineStr">
        <is>
          <t>enk</t>
        </is>
      </c>
      <c r="T1604" t="inlineStr">
        <is>
          <t xml:space="preserve">PR </t>
        </is>
      </c>
      <c r="U1604" t="n">
        <v>2</v>
      </c>
      <c r="V1604" t="n">
        <v>2</v>
      </c>
      <c r="W1604" t="inlineStr">
        <is>
          <t>2006-07-24</t>
        </is>
      </c>
      <c r="X1604" t="inlineStr">
        <is>
          <t>2006-07-24</t>
        </is>
      </c>
      <c r="Y1604" t="inlineStr">
        <is>
          <t>2006-07-24</t>
        </is>
      </c>
      <c r="Z1604" t="inlineStr">
        <is>
          <t>2006-07-24</t>
        </is>
      </c>
      <c r="AA1604" t="n">
        <v>462</v>
      </c>
      <c r="AB1604" t="n">
        <v>360</v>
      </c>
      <c r="AC1604" t="n">
        <v>362</v>
      </c>
      <c r="AD1604" t="n">
        <v>6</v>
      </c>
      <c r="AE1604" t="n">
        <v>6</v>
      </c>
      <c r="AF1604" t="n">
        <v>32</v>
      </c>
      <c r="AG1604" t="n">
        <v>32</v>
      </c>
      <c r="AH1604" t="n">
        <v>14</v>
      </c>
      <c r="AI1604" t="n">
        <v>14</v>
      </c>
      <c r="AJ1604" t="n">
        <v>8</v>
      </c>
      <c r="AK1604" t="n">
        <v>8</v>
      </c>
      <c r="AL1604" t="n">
        <v>14</v>
      </c>
      <c r="AM1604" t="n">
        <v>14</v>
      </c>
      <c r="AN1604" t="n">
        <v>5</v>
      </c>
      <c r="AO1604" t="n">
        <v>5</v>
      </c>
      <c r="AP1604" t="n">
        <v>0</v>
      </c>
      <c r="AQ1604" t="n">
        <v>0</v>
      </c>
      <c r="AR1604" t="inlineStr">
        <is>
          <t>No</t>
        </is>
      </c>
      <c r="AS1604" t="inlineStr">
        <is>
          <t>No</t>
        </is>
      </c>
      <c r="AU1604">
        <f>HYPERLINK("https://creighton-primo.hosted.exlibrisgroup.com/primo-explore/search?tab=default_tab&amp;search_scope=EVERYTHING&amp;vid=01CRU&amp;lang=en_US&amp;offset=0&amp;query=any,contains,991004852599702656","Catalog Record")</f>
        <v/>
      </c>
      <c r="AV1604">
        <f>HYPERLINK("http://www.worldcat.org/oclc/52559181","WorldCat Record")</f>
        <v/>
      </c>
      <c r="AW1604" t="inlineStr">
        <is>
          <t>711505:eng</t>
        </is>
      </c>
      <c r="AX1604" t="inlineStr">
        <is>
          <t>52559181</t>
        </is>
      </c>
      <c r="AY1604" t="inlineStr">
        <is>
          <t>991004852599702656</t>
        </is>
      </c>
      <c r="AZ1604" t="inlineStr">
        <is>
          <t>991004852599702656</t>
        </is>
      </c>
      <c r="BA1604" t="inlineStr">
        <is>
          <t>2272444470002656</t>
        </is>
      </c>
      <c r="BB1604" t="inlineStr">
        <is>
          <t>BOOK</t>
        </is>
      </c>
      <c r="BD1604" t="inlineStr">
        <is>
          <t>9780521831871</t>
        </is>
      </c>
      <c r="BE1604" t="inlineStr">
        <is>
          <t>32285005196919</t>
        </is>
      </c>
      <c r="BF1604" t="inlineStr">
        <is>
          <t>893776515</t>
        </is>
      </c>
    </row>
    <row r="1605">
      <c r="A1605" t="inlineStr">
        <is>
          <t>No</t>
        </is>
      </c>
      <c r="B1605" t="inlineStr">
        <is>
          <t>CURAL</t>
        </is>
      </c>
      <c r="C1605" t="inlineStr">
        <is>
          <t>SHELVES</t>
        </is>
      </c>
      <c r="D1605" t="inlineStr">
        <is>
          <t>PR428.M35 D66 2002</t>
        </is>
      </c>
      <c r="E1605" t="inlineStr">
        <is>
          <t>0                      PR 0428000M  35                 D  66          2002</t>
        </is>
      </c>
      <c r="F1605" t="inlineStr">
        <is>
          <t>Domestic arrangements in early modern England / edited by Kari Boyd McBride.</t>
        </is>
      </c>
      <c r="H1605" t="inlineStr">
        <is>
          <t>No</t>
        </is>
      </c>
      <c r="I1605" t="inlineStr">
        <is>
          <t>1</t>
        </is>
      </c>
      <c r="J1605" t="inlineStr">
        <is>
          <t>No</t>
        </is>
      </c>
      <c r="K1605" t="inlineStr">
        <is>
          <t>No</t>
        </is>
      </c>
      <c r="L1605" t="inlineStr">
        <is>
          <t>0</t>
        </is>
      </c>
      <c r="N1605" t="inlineStr">
        <is>
          <t>Pittsburgh : Duquesne University Press, c2002.</t>
        </is>
      </c>
      <c r="O1605" t="inlineStr">
        <is>
          <t>2002</t>
        </is>
      </c>
      <c r="Q1605" t="inlineStr">
        <is>
          <t>eng</t>
        </is>
      </c>
      <c r="R1605" t="inlineStr">
        <is>
          <t>pau</t>
        </is>
      </c>
      <c r="S1605" t="inlineStr">
        <is>
          <t>Medieval &amp; Renaissance literary studies</t>
        </is>
      </c>
      <c r="T1605" t="inlineStr">
        <is>
          <t xml:space="preserve">PR </t>
        </is>
      </c>
      <c r="U1605" t="n">
        <v>7</v>
      </c>
      <c r="V1605" t="n">
        <v>7</v>
      </c>
      <c r="W1605" t="inlineStr">
        <is>
          <t>2007-02-04</t>
        </is>
      </c>
      <c r="X1605" t="inlineStr">
        <is>
          <t>2007-02-04</t>
        </is>
      </c>
      <c r="Y1605" t="inlineStr">
        <is>
          <t>2003-11-05</t>
        </is>
      </c>
      <c r="Z1605" t="inlineStr">
        <is>
          <t>2003-11-05</t>
        </is>
      </c>
      <c r="AA1605" t="n">
        <v>326</v>
      </c>
      <c r="AB1605" t="n">
        <v>266</v>
      </c>
      <c r="AC1605" t="n">
        <v>267</v>
      </c>
      <c r="AD1605" t="n">
        <v>2</v>
      </c>
      <c r="AE1605" t="n">
        <v>2</v>
      </c>
      <c r="AF1605" t="n">
        <v>14</v>
      </c>
      <c r="AG1605" t="n">
        <v>14</v>
      </c>
      <c r="AH1605" t="n">
        <v>3</v>
      </c>
      <c r="AI1605" t="n">
        <v>3</v>
      </c>
      <c r="AJ1605" t="n">
        <v>5</v>
      </c>
      <c r="AK1605" t="n">
        <v>5</v>
      </c>
      <c r="AL1605" t="n">
        <v>9</v>
      </c>
      <c r="AM1605" t="n">
        <v>9</v>
      </c>
      <c r="AN1605" t="n">
        <v>1</v>
      </c>
      <c r="AO1605" t="n">
        <v>1</v>
      </c>
      <c r="AP1605" t="n">
        <v>0</v>
      </c>
      <c r="AQ1605" t="n">
        <v>0</v>
      </c>
      <c r="AR1605" t="inlineStr">
        <is>
          <t>No</t>
        </is>
      </c>
      <c r="AS1605" t="inlineStr">
        <is>
          <t>Yes</t>
        </is>
      </c>
      <c r="AT1605">
        <f>HYPERLINK("http://catalog.hathitrust.org/Record/004264501","HathiTrust Record")</f>
        <v/>
      </c>
      <c r="AU1605">
        <f>HYPERLINK("https://creighton-primo.hosted.exlibrisgroup.com/primo-explore/search?tab=default_tab&amp;search_scope=EVERYTHING&amp;vid=01CRU&amp;lang=en_US&amp;offset=0&amp;query=any,contains,991004152109702656","Catalog Record")</f>
        <v/>
      </c>
      <c r="AV1605">
        <f>HYPERLINK("http://www.worldcat.org/oclc/48628687","WorldCat Record")</f>
        <v/>
      </c>
      <c r="AW1605" t="inlineStr">
        <is>
          <t>38108042:eng</t>
        </is>
      </c>
      <c r="AX1605" t="inlineStr">
        <is>
          <t>48628687</t>
        </is>
      </c>
      <c r="AY1605" t="inlineStr">
        <is>
          <t>991004152109702656</t>
        </is>
      </c>
      <c r="AZ1605" t="inlineStr">
        <is>
          <t>991004152109702656</t>
        </is>
      </c>
      <c r="BA1605" t="inlineStr">
        <is>
          <t>2260909700002656</t>
        </is>
      </c>
      <c r="BB1605" t="inlineStr">
        <is>
          <t>BOOK</t>
        </is>
      </c>
      <c r="BD1605" t="inlineStr">
        <is>
          <t>9780820703244</t>
        </is>
      </c>
      <c r="BE1605" t="inlineStr">
        <is>
          <t>32285004794037</t>
        </is>
      </c>
      <c r="BF1605" t="inlineStr">
        <is>
          <t>893512871</t>
        </is>
      </c>
    </row>
    <row r="1606">
      <c r="A1606" t="inlineStr">
        <is>
          <t>No</t>
        </is>
      </c>
      <c r="B1606" t="inlineStr">
        <is>
          <t>CURAL</t>
        </is>
      </c>
      <c r="C1606" t="inlineStr">
        <is>
          <t>SHELVES</t>
        </is>
      </c>
      <c r="D1606" t="inlineStr">
        <is>
          <t>PR428.M37 B74 1996</t>
        </is>
      </c>
      <c r="E1606" t="inlineStr">
        <is>
          <t>0                      PR 0428000M  37                 B  74          1996</t>
        </is>
      </c>
      <c r="F1606" t="inlineStr">
        <is>
          <t>Anxious masculinity in early modern England / Mark Breitenberg.</t>
        </is>
      </c>
      <c r="H1606" t="inlineStr">
        <is>
          <t>No</t>
        </is>
      </c>
      <c r="I1606" t="inlineStr">
        <is>
          <t>1</t>
        </is>
      </c>
      <c r="J1606" t="inlineStr">
        <is>
          <t>No</t>
        </is>
      </c>
      <c r="K1606" t="inlineStr">
        <is>
          <t>No</t>
        </is>
      </c>
      <c r="L1606" t="inlineStr">
        <is>
          <t>0</t>
        </is>
      </c>
      <c r="M1606" t="inlineStr">
        <is>
          <t>Breitenberg, Mark.</t>
        </is>
      </c>
      <c r="N1606" t="inlineStr">
        <is>
          <t>Cambridge [England] ; New York : Cambridge University Press, 1996.</t>
        </is>
      </c>
      <c r="O1606" t="inlineStr">
        <is>
          <t>1996</t>
        </is>
      </c>
      <c r="Q1606" t="inlineStr">
        <is>
          <t>eng</t>
        </is>
      </c>
      <c r="R1606" t="inlineStr">
        <is>
          <t>enk</t>
        </is>
      </c>
      <c r="S1606" t="inlineStr">
        <is>
          <t>Cambridge studies in Renaissance literature and culture ; 10</t>
        </is>
      </c>
      <c r="T1606" t="inlineStr">
        <is>
          <t xml:space="preserve">PR </t>
        </is>
      </c>
      <c r="U1606" t="n">
        <v>5</v>
      </c>
      <c r="V1606" t="n">
        <v>5</v>
      </c>
      <c r="W1606" t="inlineStr">
        <is>
          <t>2005-10-26</t>
        </is>
      </c>
      <c r="X1606" t="inlineStr">
        <is>
          <t>2005-10-26</t>
        </is>
      </c>
      <c r="Y1606" t="inlineStr">
        <is>
          <t>1997-05-20</t>
        </is>
      </c>
      <c r="Z1606" t="inlineStr">
        <is>
          <t>1997-05-20</t>
        </is>
      </c>
      <c r="AA1606" t="n">
        <v>473</v>
      </c>
      <c r="AB1606" t="n">
        <v>331</v>
      </c>
      <c r="AC1606" t="n">
        <v>344</v>
      </c>
      <c r="AD1606" t="n">
        <v>4</v>
      </c>
      <c r="AE1606" t="n">
        <v>4</v>
      </c>
      <c r="AF1606" t="n">
        <v>21</v>
      </c>
      <c r="AG1606" t="n">
        <v>21</v>
      </c>
      <c r="AH1606" t="n">
        <v>9</v>
      </c>
      <c r="AI1606" t="n">
        <v>9</v>
      </c>
      <c r="AJ1606" t="n">
        <v>5</v>
      </c>
      <c r="AK1606" t="n">
        <v>5</v>
      </c>
      <c r="AL1606" t="n">
        <v>8</v>
      </c>
      <c r="AM1606" t="n">
        <v>8</v>
      </c>
      <c r="AN1606" t="n">
        <v>3</v>
      </c>
      <c r="AO1606" t="n">
        <v>3</v>
      </c>
      <c r="AP1606" t="n">
        <v>0</v>
      </c>
      <c r="AQ1606" t="n">
        <v>0</v>
      </c>
      <c r="AR1606" t="inlineStr">
        <is>
          <t>No</t>
        </is>
      </c>
      <c r="AS1606" t="inlineStr">
        <is>
          <t>Yes</t>
        </is>
      </c>
      <c r="AT1606">
        <f>HYPERLINK("http://catalog.hathitrust.org/Record/003096088","HathiTrust Record")</f>
        <v/>
      </c>
      <c r="AU1606">
        <f>HYPERLINK("https://creighton-primo.hosted.exlibrisgroup.com/primo-explore/search?tab=default_tab&amp;search_scope=EVERYTHING&amp;vid=01CRU&amp;lang=en_US&amp;offset=0&amp;query=any,contains,991002503819702656","Catalog Record")</f>
        <v/>
      </c>
      <c r="AV1606">
        <f>HYPERLINK("http://www.worldcat.org/oclc/32552413","WorldCat Record")</f>
        <v/>
      </c>
      <c r="AW1606" t="inlineStr">
        <is>
          <t>34088311:eng</t>
        </is>
      </c>
      <c r="AX1606" t="inlineStr">
        <is>
          <t>32552413</t>
        </is>
      </c>
      <c r="AY1606" t="inlineStr">
        <is>
          <t>991002503819702656</t>
        </is>
      </c>
      <c r="AZ1606" t="inlineStr">
        <is>
          <t>991002503819702656</t>
        </is>
      </c>
      <c r="BA1606" t="inlineStr">
        <is>
          <t>2267709120002656</t>
        </is>
      </c>
      <c r="BB1606" t="inlineStr">
        <is>
          <t>BOOK</t>
        </is>
      </c>
      <c r="BD1606" t="inlineStr">
        <is>
          <t>9780521481410</t>
        </is>
      </c>
      <c r="BE1606" t="inlineStr">
        <is>
          <t>32285002609971</t>
        </is>
      </c>
      <c r="BF1606" t="inlineStr">
        <is>
          <t>893440225</t>
        </is>
      </c>
    </row>
    <row r="1607">
      <c r="A1607" t="inlineStr">
        <is>
          <t>No</t>
        </is>
      </c>
      <c r="B1607" t="inlineStr">
        <is>
          <t>CURAL</t>
        </is>
      </c>
      <c r="C1607" t="inlineStr">
        <is>
          <t>SHELVES</t>
        </is>
      </c>
      <c r="D1607" t="inlineStr">
        <is>
          <t>PR428.P37 B74 1988</t>
        </is>
      </c>
      <c r="E1607" t="inlineStr">
        <is>
          <t>0                      PR 0428000P  37                 B  74          1988</t>
        </is>
      </c>
      <c r="F1607" t="inlineStr">
        <is>
          <t>Literary patronage in the English Renaissance : the Pembroke family / Michael Brennan.</t>
        </is>
      </c>
      <c r="H1607" t="inlineStr">
        <is>
          <t>No</t>
        </is>
      </c>
      <c r="I1607" t="inlineStr">
        <is>
          <t>1</t>
        </is>
      </c>
      <c r="J1607" t="inlineStr">
        <is>
          <t>No</t>
        </is>
      </c>
      <c r="K1607" t="inlineStr">
        <is>
          <t>No</t>
        </is>
      </c>
      <c r="L1607" t="inlineStr">
        <is>
          <t>0</t>
        </is>
      </c>
      <c r="M1607" t="inlineStr">
        <is>
          <t>Brennan, Michael G.</t>
        </is>
      </c>
      <c r="N1607" t="inlineStr">
        <is>
          <t>London ; New York : Routledge, 1988.</t>
        </is>
      </c>
      <c r="O1607" t="inlineStr">
        <is>
          <t>1988</t>
        </is>
      </c>
      <c r="Q1607" t="inlineStr">
        <is>
          <t>eng</t>
        </is>
      </c>
      <c r="R1607" t="inlineStr">
        <is>
          <t>enk</t>
        </is>
      </c>
      <c r="T1607" t="inlineStr">
        <is>
          <t xml:space="preserve">PR </t>
        </is>
      </c>
      <c r="U1607" t="n">
        <v>0</v>
      </c>
      <c r="V1607" t="n">
        <v>0</v>
      </c>
      <c r="W1607" t="inlineStr">
        <is>
          <t>2000-11-13</t>
        </is>
      </c>
      <c r="X1607" t="inlineStr">
        <is>
          <t>2000-11-13</t>
        </is>
      </c>
      <c r="Y1607" t="inlineStr">
        <is>
          <t>1990-03-27</t>
        </is>
      </c>
      <c r="Z1607" t="inlineStr">
        <is>
          <t>1990-03-27</t>
        </is>
      </c>
      <c r="AA1607" t="n">
        <v>350</v>
      </c>
      <c r="AB1607" t="n">
        <v>243</v>
      </c>
      <c r="AC1607" t="n">
        <v>245</v>
      </c>
      <c r="AD1607" t="n">
        <v>1</v>
      </c>
      <c r="AE1607" t="n">
        <v>1</v>
      </c>
      <c r="AF1607" t="n">
        <v>14</v>
      </c>
      <c r="AG1607" t="n">
        <v>14</v>
      </c>
      <c r="AH1607" t="n">
        <v>5</v>
      </c>
      <c r="AI1607" t="n">
        <v>5</v>
      </c>
      <c r="AJ1607" t="n">
        <v>6</v>
      </c>
      <c r="AK1607" t="n">
        <v>6</v>
      </c>
      <c r="AL1607" t="n">
        <v>9</v>
      </c>
      <c r="AM1607" t="n">
        <v>9</v>
      </c>
      <c r="AN1607" t="n">
        <v>0</v>
      </c>
      <c r="AO1607" t="n">
        <v>0</v>
      </c>
      <c r="AP1607" t="n">
        <v>0</v>
      </c>
      <c r="AQ1607" t="n">
        <v>0</v>
      </c>
      <c r="AR1607" t="inlineStr">
        <is>
          <t>No</t>
        </is>
      </c>
      <c r="AS1607" t="inlineStr">
        <is>
          <t>Yes</t>
        </is>
      </c>
      <c r="AT1607">
        <f>HYPERLINK("http://catalog.hathitrust.org/Record/000918486","HathiTrust Record")</f>
        <v/>
      </c>
      <c r="AU1607">
        <f>HYPERLINK("https://creighton-primo.hosted.exlibrisgroup.com/primo-explore/search?tab=default_tab&amp;search_scope=EVERYTHING&amp;vid=01CRU&amp;lang=en_US&amp;offset=0&amp;query=any,contains,991001295459702656","Catalog Record")</f>
        <v/>
      </c>
      <c r="AV1607">
        <f>HYPERLINK("http://www.worldcat.org/oclc/18032164","WorldCat Record")</f>
        <v/>
      </c>
      <c r="AW1607" t="inlineStr">
        <is>
          <t>836702325:eng</t>
        </is>
      </c>
      <c r="AX1607" t="inlineStr">
        <is>
          <t>18032164</t>
        </is>
      </c>
      <c r="AY1607" t="inlineStr">
        <is>
          <t>991001295459702656</t>
        </is>
      </c>
      <c r="AZ1607" t="inlineStr">
        <is>
          <t>991001295459702656</t>
        </is>
      </c>
      <c r="BA1607" t="inlineStr">
        <is>
          <t>2268075810002656</t>
        </is>
      </c>
      <c r="BB1607" t="inlineStr">
        <is>
          <t>BOOK</t>
        </is>
      </c>
      <c r="BD1607" t="inlineStr">
        <is>
          <t>9780415003278</t>
        </is>
      </c>
      <c r="BE1607" t="inlineStr">
        <is>
          <t>32285000090653</t>
        </is>
      </c>
      <c r="BF1607" t="inlineStr">
        <is>
          <t>893797467</t>
        </is>
      </c>
    </row>
    <row r="1608">
      <c r="A1608" t="inlineStr">
        <is>
          <t>No</t>
        </is>
      </c>
      <c r="B1608" t="inlineStr">
        <is>
          <t>CURAL</t>
        </is>
      </c>
      <c r="C1608" t="inlineStr">
        <is>
          <t>SHELVES</t>
        </is>
      </c>
      <c r="D1608" t="inlineStr">
        <is>
          <t>PR428.R37 B35 2003</t>
        </is>
      </c>
      <c r="E1608" t="inlineStr">
        <is>
          <t>0                      PR 0428000R  37                 B  35          2003</t>
        </is>
      </c>
      <c r="F1608" t="inlineStr">
        <is>
          <t>Representing rape in the English early modern period / Barbara J. Baines.</t>
        </is>
      </c>
      <c r="H1608" t="inlineStr">
        <is>
          <t>No</t>
        </is>
      </c>
      <c r="I1608" t="inlineStr">
        <is>
          <t>1</t>
        </is>
      </c>
      <c r="J1608" t="inlineStr">
        <is>
          <t>No</t>
        </is>
      </c>
      <c r="K1608" t="inlineStr">
        <is>
          <t>No</t>
        </is>
      </c>
      <c r="L1608" t="inlineStr">
        <is>
          <t>0</t>
        </is>
      </c>
      <c r="M1608" t="inlineStr">
        <is>
          <t>Baines, Barbara J. (Barbara Joan)</t>
        </is>
      </c>
      <c r="N1608" t="inlineStr">
        <is>
          <t>Lewiston, N.Y. : Edwin Mellen Press, c2003.</t>
        </is>
      </c>
      <c r="O1608" t="inlineStr">
        <is>
          <t>2003</t>
        </is>
      </c>
      <c r="Q1608" t="inlineStr">
        <is>
          <t>eng</t>
        </is>
      </c>
      <c r="R1608" t="inlineStr">
        <is>
          <t>enk</t>
        </is>
      </c>
      <c r="S1608" t="inlineStr">
        <is>
          <t>Mellen studies in literature. Jacobean drama ; v. 106</t>
        </is>
      </c>
      <c r="T1608" t="inlineStr">
        <is>
          <t xml:space="preserve">PR </t>
        </is>
      </c>
      <c r="U1608" t="n">
        <v>6</v>
      </c>
      <c r="V1608" t="n">
        <v>6</v>
      </c>
      <c r="W1608" t="inlineStr">
        <is>
          <t>2007-12-02</t>
        </is>
      </c>
      <c r="X1608" t="inlineStr">
        <is>
          <t>2007-12-02</t>
        </is>
      </c>
      <c r="Y1608" t="inlineStr">
        <is>
          <t>2003-11-20</t>
        </is>
      </c>
      <c r="Z1608" t="inlineStr">
        <is>
          <t>2003-11-20</t>
        </is>
      </c>
      <c r="AA1608" t="n">
        <v>206</v>
      </c>
      <c r="AB1608" t="n">
        <v>162</v>
      </c>
      <c r="AC1608" t="n">
        <v>162</v>
      </c>
      <c r="AD1608" t="n">
        <v>2</v>
      </c>
      <c r="AE1608" t="n">
        <v>2</v>
      </c>
      <c r="AF1608" t="n">
        <v>11</v>
      </c>
      <c r="AG1608" t="n">
        <v>11</v>
      </c>
      <c r="AH1608" t="n">
        <v>4</v>
      </c>
      <c r="AI1608" t="n">
        <v>4</v>
      </c>
      <c r="AJ1608" t="n">
        <v>3</v>
      </c>
      <c r="AK1608" t="n">
        <v>3</v>
      </c>
      <c r="AL1608" t="n">
        <v>6</v>
      </c>
      <c r="AM1608" t="n">
        <v>6</v>
      </c>
      <c r="AN1608" t="n">
        <v>1</v>
      </c>
      <c r="AO1608" t="n">
        <v>1</v>
      </c>
      <c r="AP1608" t="n">
        <v>0</v>
      </c>
      <c r="AQ1608" t="n">
        <v>0</v>
      </c>
      <c r="AR1608" t="inlineStr">
        <is>
          <t>No</t>
        </is>
      </c>
      <c r="AS1608" t="inlineStr">
        <is>
          <t>No</t>
        </is>
      </c>
      <c r="AU1608">
        <f>HYPERLINK("https://creighton-primo.hosted.exlibrisgroup.com/primo-explore/search?tab=default_tab&amp;search_scope=EVERYTHING&amp;vid=01CRU&amp;lang=en_US&amp;offset=0&amp;query=any,contains,991004160969702656","Catalog Record")</f>
        <v/>
      </c>
      <c r="AV1608">
        <f>HYPERLINK("http://www.worldcat.org/oclc/50868204","WorldCat Record")</f>
        <v/>
      </c>
      <c r="AW1608" t="inlineStr">
        <is>
          <t>8910129453:eng</t>
        </is>
      </c>
      <c r="AX1608" t="inlineStr">
        <is>
          <t>50868204</t>
        </is>
      </c>
      <c r="AY1608" t="inlineStr">
        <is>
          <t>991004160969702656</t>
        </is>
      </c>
      <c r="AZ1608" t="inlineStr">
        <is>
          <t>991004160969702656</t>
        </is>
      </c>
      <c r="BA1608" t="inlineStr">
        <is>
          <t>2265333220002656</t>
        </is>
      </c>
      <c r="BB1608" t="inlineStr">
        <is>
          <t>BOOK</t>
        </is>
      </c>
      <c r="BD1608" t="inlineStr">
        <is>
          <t>9780773468610</t>
        </is>
      </c>
      <c r="BE1608" t="inlineStr">
        <is>
          <t>32285004840442</t>
        </is>
      </c>
      <c r="BF1608" t="inlineStr">
        <is>
          <t>893532056</t>
        </is>
      </c>
    </row>
    <row r="1609">
      <c r="A1609" t="inlineStr">
        <is>
          <t>No</t>
        </is>
      </c>
      <c r="B1609" t="inlineStr">
        <is>
          <t>CURAL</t>
        </is>
      </c>
      <c r="C1609" t="inlineStr">
        <is>
          <t>SHELVES</t>
        </is>
      </c>
      <c r="D1609" t="inlineStr">
        <is>
          <t>PR428.T73 H33 1998</t>
        </is>
      </c>
      <c r="E1609" t="inlineStr">
        <is>
          <t>0                      PR 0428000T  73                 H  33          1998</t>
        </is>
      </c>
      <c r="F1609" t="inlineStr">
        <is>
          <t>Literature, travel, and colonial writing in the English Renaissance, 1545-1625 / Andrew Hadfield.</t>
        </is>
      </c>
      <c r="H1609" t="inlineStr">
        <is>
          <t>No</t>
        </is>
      </c>
      <c r="I1609" t="inlineStr">
        <is>
          <t>1</t>
        </is>
      </c>
      <c r="J1609" t="inlineStr">
        <is>
          <t>No</t>
        </is>
      </c>
      <c r="K1609" t="inlineStr">
        <is>
          <t>No</t>
        </is>
      </c>
      <c r="L1609" t="inlineStr">
        <is>
          <t>0</t>
        </is>
      </c>
      <c r="M1609" t="inlineStr">
        <is>
          <t>Hadfield, Andrew.</t>
        </is>
      </c>
      <c r="N1609" t="inlineStr">
        <is>
          <t>Oxford [England] : Clarendon Press ; New York : Oxford University Press, 1998.</t>
        </is>
      </c>
      <c r="O1609" t="inlineStr">
        <is>
          <t>1998</t>
        </is>
      </c>
      <c r="Q1609" t="inlineStr">
        <is>
          <t>eng</t>
        </is>
      </c>
      <c r="R1609" t="inlineStr">
        <is>
          <t>enk</t>
        </is>
      </c>
      <c r="T1609" t="inlineStr">
        <is>
          <t xml:space="preserve">PR </t>
        </is>
      </c>
      <c r="U1609" t="n">
        <v>4</v>
      </c>
      <c r="V1609" t="n">
        <v>4</v>
      </c>
      <c r="W1609" t="inlineStr">
        <is>
          <t>2005-04-04</t>
        </is>
      </c>
      <c r="X1609" t="inlineStr">
        <is>
          <t>2005-04-04</t>
        </is>
      </c>
      <c r="Y1609" t="inlineStr">
        <is>
          <t>2001-02-27</t>
        </is>
      </c>
      <c r="Z1609" t="inlineStr">
        <is>
          <t>2001-02-27</t>
        </is>
      </c>
      <c r="AA1609" t="n">
        <v>505</v>
      </c>
      <c r="AB1609" t="n">
        <v>366</v>
      </c>
      <c r="AC1609" t="n">
        <v>712</v>
      </c>
      <c r="AD1609" t="n">
        <v>3</v>
      </c>
      <c r="AE1609" t="n">
        <v>6</v>
      </c>
      <c r="AF1609" t="n">
        <v>19</v>
      </c>
      <c r="AG1609" t="n">
        <v>35</v>
      </c>
      <c r="AH1609" t="n">
        <v>7</v>
      </c>
      <c r="AI1609" t="n">
        <v>12</v>
      </c>
      <c r="AJ1609" t="n">
        <v>6</v>
      </c>
      <c r="AK1609" t="n">
        <v>10</v>
      </c>
      <c r="AL1609" t="n">
        <v>11</v>
      </c>
      <c r="AM1609" t="n">
        <v>16</v>
      </c>
      <c r="AN1609" t="n">
        <v>2</v>
      </c>
      <c r="AO1609" t="n">
        <v>5</v>
      </c>
      <c r="AP1609" t="n">
        <v>0</v>
      </c>
      <c r="AQ1609" t="n">
        <v>1</v>
      </c>
      <c r="AR1609" t="inlineStr">
        <is>
          <t>No</t>
        </is>
      </c>
      <c r="AS1609" t="inlineStr">
        <is>
          <t>Yes</t>
        </is>
      </c>
      <c r="AT1609">
        <f>HYPERLINK("http://catalog.hathitrust.org/Record/004013237","HathiTrust Record")</f>
        <v/>
      </c>
      <c r="AU1609">
        <f>HYPERLINK("https://creighton-primo.hosted.exlibrisgroup.com/primo-explore/search?tab=default_tab&amp;search_scope=EVERYTHING&amp;vid=01CRU&amp;lang=en_US&amp;offset=0&amp;query=any,contains,991003470309702656","Catalog Record")</f>
        <v/>
      </c>
      <c r="AV1609">
        <f>HYPERLINK("http://www.worldcat.org/oclc/39385258","WorldCat Record")</f>
        <v/>
      </c>
      <c r="AW1609" t="inlineStr">
        <is>
          <t>34565801:eng</t>
        </is>
      </c>
      <c r="AX1609" t="inlineStr">
        <is>
          <t>39385258</t>
        </is>
      </c>
      <c r="AY1609" t="inlineStr">
        <is>
          <t>991003470309702656</t>
        </is>
      </c>
      <c r="AZ1609" t="inlineStr">
        <is>
          <t>991003470309702656</t>
        </is>
      </c>
      <c r="BA1609" t="inlineStr">
        <is>
          <t>2266579520002656</t>
        </is>
      </c>
      <c r="BB1609" t="inlineStr">
        <is>
          <t>BOOK</t>
        </is>
      </c>
      <c r="BD1609" t="inlineStr">
        <is>
          <t>9780198184805</t>
        </is>
      </c>
      <c r="BE1609" t="inlineStr">
        <is>
          <t>32285004297742</t>
        </is>
      </c>
      <c r="BF1609" t="inlineStr">
        <is>
          <t>893524835</t>
        </is>
      </c>
    </row>
    <row r="1610">
      <c r="A1610" t="inlineStr">
        <is>
          <t>No</t>
        </is>
      </c>
      <c r="B1610" t="inlineStr">
        <is>
          <t>CURAL</t>
        </is>
      </c>
      <c r="C1610" t="inlineStr">
        <is>
          <t>SHELVES</t>
        </is>
      </c>
      <c r="D1610" t="inlineStr">
        <is>
          <t>PR428.W5 C7 1937a</t>
        </is>
      </c>
      <c r="E1610" t="inlineStr">
        <is>
          <t>0                      PR 0428000W  5                  C  7           1937a</t>
        </is>
      </c>
      <c r="F1610" t="inlineStr">
        <is>
          <t>Wit and rhetoric in the renaissance : the formal basis of Elizabethan prose style / by William G. Crane.</t>
        </is>
      </c>
      <c r="H1610" t="inlineStr">
        <is>
          <t>No</t>
        </is>
      </c>
      <c r="I1610" t="inlineStr">
        <is>
          <t>1</t>
        </is>
      </c>
      <c r="J1610" t="inlineStr">
        <is>
          <t>No</t>
        </is>
      </c>
      <c r="K1610" t="inlineStr">
        <is>
          <t>No</t>
        </is>
      </c>
      <c r="L1610" t="inlineStr">
        <is>
          <t>0</t>
        </is>
      </c>
      <c r="M1610" t="inlineStr">
        <is>
          <t>Crane, William G. (William Garrett), 1897-</t>
        </is>
      </c>
      <c r="N1610" t="inlineStr">
        <is>
          <t>New York : Columbia university press, 1937.</t>
        </is>
      </c>
      <c r="O1610" t="inlineStr">
        <is>
          <t>1937</t>
        </is>
      </c>
      <c r="Q1610" t="inlineStr">
        <is>
          <t>eng</t>
        </is>
      </c>
      <c r="R1610" t="inlineStr">
        <is>
          <t>nyu</t>
        </is>
      </c>
      <c r="S1610" t="inlineStr">
        <is>
          <t>Columbia University studies in English and comparative literature ; no. 129</t>
        </is>
      </c>
      <c r="T1610" t="inlineStr">
        <is>
          <t xml:space="preserve">PR </t>
        </is>
      </c>
      <c r="U1610" t="n">
        <v>2</v>
      </c>
      <c r="V1610" t="n">
        <v>2</v>
      </c>
      <c r="W1610" t="inlineStr">
        <is>
          <t>1998-04-26</t>
        </is>
      </c>
      <c r="X1610" t="inlineStr">
        <is>
          <t>1998-04-26</t>
        </is>
      </c>
      <c r="Y1610" t="inlineStr">
        <is>
          <t>1990-09-20</t>
        </is>
      </c>
      <c r="Z1610" t="inlineStr">
        <is>
          <t>1990-09-20</t>
        </is>
      </c>
      <c r="AA1610" t="n">
        <v>210</v>
      </c>
      <c r="AB1610" t="n">
        <v>192</v>
      </c>
      <c r="AC1610" t="n">
        <v>560</v>
      </c>
      <c r="AD1610" t="n">
        <v>1</v>
      </c>
      <c r="AE1610" t="n">
        <v>4</v>
      </c>
      <c r="AF1610" t="n">
        <v>7</v>
      </c>
      <c r="AG1610" t="n">
        <v>26</v>
      </c>
      <c r="AH1610" t="n">
        <v>1</v>
      </c>
      <c r="AI1610" t="n">
        <v>10</v>
      </c>
      <c r="AJ1610" t="n">
        <v>3</v>
      </c>
      <c r="AK1610" t="n">
        <v>7</v>
      </c>
      <c r="AL1610" t="n">
        <v>5</v>
      </c>
      <c r="AM1610" t="n">
        <v>11</v>
      </c>
      <c r="AN1610" t="n">
        <v>0</v>
      </c>
      <c r="AO1610" t="n">
        <v>3</v>
      </c>
      <c r="AP1610" t="n">
        <v>0</v>
      </c>
      <c r="AQ1610" t="n">
        <v>0</v>
      </c>
      <c r="AR1610" t="inlineStr">
        <is>
          <t>No</t>
        </is>
      </c>
      <c r="AS1610" t="inlineStr">
        <is>
          <t>Yes</t>
        </is>
      </c>
      <c r="AT1610">
        <f>HYPERLINK("http://catalog.hathitrust.org/Record/001907255","HathiTrust Record")</f>
        <v/>
      </c>
      <c r="AU1610">
        <f>HYPERLINK("https://creighton-primo.hosted.exlibrisgroup.com/primo-explore/search?tab=default_tab&amp;search_scope=EVERYTHING&amp;vid=01CRU&amp;lang=en_US&amp;offset=0&amp;query=any,contains,991004048559702656","Catalog Record")</f>
        <v/>
      </c>
      <c r="AV1610">
        <f>HYPERLINK("http://www.worldcat.org/oclc/2206540","WorldCat Record")</f>
        <v/>
      </c>
      <c r="AW1610" t="inlineStr">
        <is>
          <t>3872729:eng</t>
        </is>
      </c>
      <c r="AX1610" t="inlineStr">
        <is>
          <t>2206540</t>
        </is>
      </c>
      <c r="AY1610" t="inlineStr">
        <is>
          <t>991004048559702656</t>
        </is>
      </c>
      <c r="AZ1610" t="inlineStr">
        <is>
          <t>991004048559702656</t>
        </is>
      </c>
      <c r="BA1610" t="inlineStr">
        <is>
          <t>2260975080002656</t>
        </is>
      </c>
      <c r="BB1610" t="inlineStr">
        <is>
          <t>BOOK</t>
        </is>
      </c>
      <c r="BE1610" t="inlineStr">
        <is>
          <t>32285000306265</t>
        </is>
      </c>
      <c r="BF1610" t="inlineStr">
        <is>
          <t>893512741</t>
        </is>
      </c>
    </row>
    <row r="1611">
      <c r="A1611" t="inlineStr">
        <is>
          <t>No</t>
        </is>
      </c>
      <c r="B1611" t="inlineStr">
        <is>
          <t>CURAL</t>
        </is>
      </c>
      <c r="C1611" t="inlineStr">
        <is>
          <t>SHELVES</t>
        </is>
      </c>
      <c r="D1611" t="inlineStr">
        <is>
          <t>PR429.B6 B3</t>
        </is>
      </c>
      <c r="E1611" t="inlineStr">
        <is>
          <t>0                      PR 0429000B  6                  B  3</t>
        </is>
      </c>
      <c r="F1611" t="inlineStr">
        <is>
          <t>Nature's work of art : the human body as image of the world / Leonard Barkan.</t>
        </is>
      </c>
      <c r="H1611" t="inlineStr">
        <is>
          <t>No</t>
        </is>
      </c>
      <c r="I1611" t="inlineStr">
        <is>
          <t>1</t>
        </is>
      </c>
      <c r="J1611" t="inlineStr">
        <is>
          <t>No</t>
        </is>
      </c>
      <c r="K1611" t="inlineStr">
        <is>
          <t>No</t>
        </is>
      </c>
      <c r="L1611" t="inlineStr">
        <is>
          <t>0</t>
        </is>
      </c>
      <c r="M1611" t="inlineStr">
        <is>
          <t>Barkan, Leonard.</t>
        </is>
      </c>
      <c r="N1611" t="inlineStr">
        <is>
          <t>New Haven : Yale University Press, 1975.</t>
        </is>
      </c>
      <c r="O1611" t="inlineStr">
        <is>
          <t>1975</t>
        </is>
      </c>
      <c r="Q1611" t="inlineStr">
        <is>
          <t>eng</t>
        </is>
      </c>
      <c r="R1611" t="inlineStr">
        <is>
          <t>ctu</t>
        </is>
      </c>
      <c r="T1611" t="inlineStr">
        <is>
          <t xml:space="preserve">PR </t>
        </is>
      </c>
      <c r="U1611" t="n">
        <v>1</v>
      </c>
      <c r="V1611" t="n">
        <v>1</v>
      </c>
      <c r="W1611" t="inlineStr">
        <is>
          <t>1993-02-25</t>
        </is>
      </c>
      <c r="X1611" t="inlineStr">
        <is>
          <t>1993-02-25</t>
        </is>
      </c>
      <c r="Y1611" t="inlineStr">
        <is>
          <t>1991-08-28</t>
        </is>
      </c>
      <c r="Z1611" t="inlineStr">
        <is>
          <t>1991-08-28</t>
        </is>
      </c>
      <c r="AA1611" t="n">
        <v>740</v>
      </c>
      <c r="AB1611" t="n">
        <v>619</v>
      </c>
      <c r="AC1611" t="n">
        <v>639</v>
      </c>
      <c r="AD1611" t="n">
        <v>5</v>
      </c>
      <c r="AE1611" t="n">
        <v>6</v>
      </c>
      <c r="AF1611" t="n">
        <v>32</v>
      </c>
      <c r="AG1611" t="n">
        <v>33</v>
      </c>
      <c r="AH1611" t="n">
        <v>13</v>
      </c>
      <c r="AI1611" t="n">
        <v>13</v>
      </c>
      <c r="AJ1611" t="n">
        <v>8</v>
      </c>
      <c r="AK1611" t="n">
        <v>8</v>
      </c>
      <c r="AL1611" t="n">
        <v>18</v>
      </c>
      <c r="AM1611" t="n">
        <v>18</v>
      </c>
      <c r="AN1611" t="n">
        <v>4</v>
      </c>
      <c r="AO1611" t="n">
        <v>5</v>
      </c>
      <c r="AP1611" t="n">
        <v>0</v>
      </c>
      <c r="AQ1611" t="n">
        <v>0</v>
      </c>
      <c r="AR1611" t="inlineStr">
        <is>
          <t>No</t>
        </is>
      </c>
      <c r="AS1611" t="inlineStr">
        <is>
          <t>No</t>
        </is>
      </c>
      <c r="AU1611">
        <f>HYPERLINK("https://creighton-primo.hosted.exlibrisgroup.com/primo-explore/search?tab=default_tab&amp;search_scope=EVERYTHING&amp;vid=01CRU&amp;lang=en_US&amp;offset=0&amp;query=any,contains,991003677399702656","Catalog Record")</f>
        <v/>
      </c>
      <c r="AV1611">
        <f>HYPERLINK("http://www.worldcat.org/oclc/1300212","WorldCat Record")</f>
        <v/>
      </c>
      <c r="AW1611" t="inlineStr">
        <is>
          <t>867372287:eng</t>
        </is>
      </c>
      <c r="AX1611" t="inlineStr">
        <is>
          <t>1300212</t>
        </is>
      </c>
      <c r="AY1611" t="inlineStr">
        <is>
          <t>991003677399702656</t>
        </is>
      </c>
      <c r="AZ1611" t="inlineStr">
        <is>
          <t>991003677399702656</t>
        </is>
      </c>
      <c r="BA1611" t="inlineStr">
        <is>
          <t>2268320930002656</t>
        </is>
      </c>
      <c r="BB1611" t="inlineStr">
        <is>
          <t>BOOK</t>
        </is>
      </c>
      <c r="BD1611" t="inlineStr">
        <is>
          <t>9780300016949</t>
        </is>
      </c>
      <c r="BE1611" t="inlineStr">
        <is>
          <t>32285000731249</t>
        </is>
      </c>
      <c r="BF1611" t="inlineStr">
        <is>
          <t>893717964</t>
        </is>
      </c>
    </row>
    <row r="1612">
      <c r="A1612" t="inlineStr">
        <is>
          <t>No</t>
        </is>
      </c>
      <c r="B1612" t="inlineStr">
        <is>
          <t>CURAL</t>
        </is>
      </c>
      <c r="C1612" t="inlineStr">
        <is>
          <t>SHELVES</t>
        </is>
      </c>
      <c r="D1612" t="inlineStr">
        <is>
          <t>PR431 .B4</t>
        </is>
      </c>
      <c r="E1612" t="inlineStr">
        <is>
          <t>0                      PR 0431000B  4</t>
        </is>
      </c>
      <c r="F1612" t="inlineStr">
        <is>
          <t>An introduction to the metaphysical poets.</t>
        </is>
      </c>
      <c r="H1612" t="inlineStr">
        <is>
          <t>No</t>
        </is>
      </c>
      <c r="I1612" t="inlineStr">
        <is>
          <t>1</t>
        </is>
      </c>
      <c r="J1612" t="inlineStr">
        <is>
          <t>No</t>
        </is>
      </c>
      <c r="K1612" t="inlineStr">
        <is>
          <t>No</t>
        </is>
      </c>
      <c r="L1612" t="inlineStr">
        <is>
          <t>0</t>
        </is>
      </c>
      <c r="M1612" t="inlineStr">
        <is>
          <t>Beer, Patricia.</t>
        </is>
      </c>
      <c r="N1612" t="inlineStr">
        <is>
          <t>Totowa, N.J., Rowman and Littlefield [1972]</t>
        </is>
      </c>
      <c r="O1612" t="inlineStr">
        <is>
          <t>1972</t>
        </is>
      </c>
      <c r="Q1612" t="inlineStr">
        <is>
          <t>eng</t>
        </is>
      </c>
      <c r="R1612" t="inlineStr">
        <is>
          <t>nju</t>
        </is>
      </c>
      <c r="T1612" t="inlineStr">
        <is>
          <t xml:space="preserve">PR </t>
        </is>
      </c>
      <c r="U1612" t="n">
        <v>2</v>
      </c>
      <c r="V1612" t="n">
        <v>2</v>
      </c>
      <c r="W1612" t="inlineStr">
        <is>
          <t>2010-01-24</t>
        </is>
      </c>
      <c r="X1612" t="inlineStr">
        <is>
          <t>2010-01-24</t>
        </is>
      </c>
      <c r="Y1612" t="inlineStr">
        <is>
          <t>1997-08-20</t>
        </is>
      </c>
      <c r="Z1612" t="inlineStr">
        <is>
          <t>1997-08-20</t>
        </is>
      </c>
      <c r="AA1612" t="n">
        <v>454</v>
      </c>
      <c r="AB1612" t="n">
        <v>429</v>
      </c>
      <c r="AC1612" t="n">
        <v>555</v>
      </c>
      <c r="AD1612" t="n">
        <v>4</v>
      </c>
      <c r="AE1612" t="n">
        <v>4</v>
      </c>
      <c r="AF1612" t="n">
        <v>24</v>
      </c>
      <c r="AG1612" t="n">
        <v>29</v>
      </c>
      <c r="AH1612" t="n">
        <v>7</v>
      </c>
      <c r="AI1612" t="n">
        <v>10</v>
      </c>
      <c r="AJ1612" t="n">
        <v>5</v>
      </c>
      <c r="AK1612" t="n">
        <v>6</v>
      </c>
      <c r="AL1612" t="n">
        <v>15</v>
      </c>
      <c r="AM1612" t="n">
        <v>18</v>
      </c>
      <c r="AN1612" t="n">
        <v>3</v>
      </c>
      <c r="AO1612" t="n">
        <v>3</v>
      </c>
      <c r="AP1612" t="n">
        <v>0</v>
      </c>
      <c r="AQ1612" t="n">
        <v>0</v>
      </c>
      <c r="AR1612" t="inlineStr">
        <is>
          <t>No</t>
        </is>
      </c>
      <c r="AS1612" t="inlineStr">
        <is>
          <t>Yes</t>
        </is>
      </c>
      <c r="AT1612">
        <f>HYPERLINK("http://catalog.hathitrust.org/Record/001371362","HathiTrust Record")</f>
        <v/>
      </c>
      <c r="AU1612">
        <f>HYPERLINK("https://creighton-primo.hosted.exlibrisgroup.com/primo-explore/search?tab=default_tab&amp;search_scope=EVERYTHING&amp;vid=01CRU&amp;lang=en_US&amp;offset=0&amp;query=any,contains,991002953349702656","Catalog Record")</f>
        <v/>
      </c>
      <c r="AV1612">
        <f>HYPERLINK("http://www.worldcat.org/oclc/540089","WorldCat Record")</f>
        <v/>
      </c>
      <c r="AW1612" t="inlineStr">
        <is>
          <t>1566184:eng</t>
        </is>
      </c>
      <c r="AX1612" t="inlineStr">
        <is>
          <t>540089</t>
        </is>
      </c>
      <c r="AY1612" t="inlineStr">
        <is>
          <t>991002953349702656</t>
        </is>
      </c>
      <c r="AZ1612" t="inlineStr">
        <is>
          <t>991002953349702656</t>
        </is>
      </c>
      <c r="BA1612" t="inlineStr">
        <is>
          <t>2270240340002656</t>
        </is>
      </c>
      <c r="BB1612" t="inlineStr">
        <is>
          <t>BOOK</t>
        </is>
      </c>
      <c r="BD1612" t="inlineStr">
        <is>
          <t>9780874711349</t>
        </is>
      </c>
      <c r="BE1612" t="inlineStr">
        <is>
          <t>32285003151338</t>
        </is>
      </c>
      <c r="BF1612" t="inlineStr">
        <is>
          <t>893774223</t>
        </is>
      </c>
    </row>
    <row r="1613">
      <c r="A1613" t="inlineStr">
        <is>
          <t>No</t>
        </is>
      </c>
      <c r="B1613" t="inlineStr">
        <is>
          <t>CURAL</t>
        </is>
      </c>
      <c r="C1613" t="inlineStr">
        <is>
          <t>SHELVES</t>
        </is>
      </c>
      <c r="D1613" t="inlineStr">
        <is>
          <t>PR431 .B8 1966</t>
        </is>
      </c>
      <c r="E1613" t="inlineStr">
        <is>
          <t>0                      PR 0431000B  8           1966</t>
        </is>
      </c>
      <c r="F1613" t="inlineStr">
        <is>
          <t>English literature in the earlier seventeenth century, 1600-1660 / by Douglas Bush.</t>
        </is>
      </c>
      <c r="H1613" t="inlineStr">
        <is>
          <t>No</t>
        </is>
      </c>
      <c r="I1613" t="inlineStr">
        <is>
          <t>1</t>
        </is>
      </c>
      <c r="J1613" t="inlineStr">
        <is>
          <t>No</t>
        </is>
      </c>
      <c r="K1613" t="inlineStr">
        <is>
          <t>No</t>
        </is>
      </c>
      <c r="L1613" t="inlineStr">
        <is>
          <t>0</t>
        </is>
      </c>
      <c r="M1613" t="inlineStr">
        <is>
          <t>Bush, Douglas, 1896-1983.</t>
        </is>
      </c>
      <c r="N1613" t="inlineStr">
        <is>
          <t>Oxford : Clarendon Press, 1966, c1962.</t>
        </is>
      </c>
      <c r="O1613" t="inlineStr">
        <is>
          <t>1966</t>
        </is>
      </c>
      <c r="P1613" t="inlineStr">
        <is>
          <t>2d ed., rev. Reprinted with corrections, 1966.</t>
        </is>
      </c>
      <c r="Q1613" t="inlineStr">
        <is>
          <t>eng</t>
        </is>
      </c>
      <c r="R1613" t="inlineStr">
        <is>
          <t>enk</t>
        </is>
      </c>
      <c r="S1613" t="inlineStr">
        <is>
          <t>Oxford history of English literature</t>
        </is>
      </c>
      <c r="T1613" t="inlineStr">
        <is>
          <t xml:space="preserve">PR </t>
        </is>
      </c>
      <c r="U1613" t="n">
        <v>4</v>
      </c>
      <c r="V1613" t="n">
        <v>4</v>
      </c>
      <c r="W1613" t="inlineStr">
        <is>
          <t>2010-01-24</t>
        </is>
      </c>
      <c r="X1613" t="inlineStr">
        <is>
          <t>2010-01-24</t>
        </is>
      </c>
      <c r="Y1613" t="inlineStr">
        <is>
          <t>1991-08-29</t>
        </is>
      </c>
      <c r="Z1613" t="inlineStr">
        <is>
          <t>1991-08-29</t>
        </is>
      </c>
      <c r="AA1613" t="n">
        <v>90</v>
      </c>
      <c r="AB1613" t="n">
        <v>57</v>
      </c>
      <c r="AC1613" t="n">
        <v>1780</v>
      </c>
      <c r="AD1613" t="n">
        <v>2</v>
      </c>
      <c r="AE1613" t="n">
        <v>15</v>
      </c>
      <c r="AF1613" t="n">
        <v>3</v>
      </c>
      <c r="AG1613" t="n">
        <v>61</v>
      </c>
      <c r="AH1613" t="n">
        <v>0</v>
      </c>
      <c r="AI1613" t="n">
        <v>25</v>
      </c>
      <c r="AJ1613" t="n">
        <v>0</v>
      </c>
      <c r="AK1613" t="n">
        <v>10</v>
      </c>
      <c r="AL1613" t="n">
        <v>2</v>
      </c>
      <c r="AM1613" t="n">
        <v>25</v>
      </c>
      <c r="AN1613" t="n">
        <v>1</v>
      </c>
      <c r="AO1613" t="n">
        <v>13</v>
      </c>
      <c r="AP1613" t="n">
        <v>0</v>
      </c>
      <c r="AQ1613" t="n">
        <v>0</v>
      </c>
      <c r="AR1613" t="inlineStr">
        <is>
          <t>No</t>
        </is>
      </c>
      <c r="AS1613" t="inlineStr">
        <is>
          <t>No</t>
        </is>
      </c>
      <c r="AU1613">
        <f>HYPERLINK("https://creighton-primo.hosted.exlibrisgroup.com/primo-explore/search?tab=default_tab&amp;search_scope=EVERYTHING&amp;vid=01CRU&amp;lang=en_US&amp;offset=0&amp;query=any,contains,991000177969702656","Catalog Record")</f>
        <v/>
      </c>
      <c r="AV1613">
        <f>HYPERLINK("http://www.worldcat.org/oclc/9365435","WorldCat Record")</f>
        <v/>
      </c>
      <c r="AW1613" t="inlineStr">
        <is>
          <t>1508027:eng</t>
        </is>
      </c>
      <c r="AX1613" t="inlineStr">
        <is>
          <t>9365435</t>
        </is>
      </c>
      <c r="AY1613" t="inlineStr">
        <is>
          <t>991000177969702656</t>
        </is>
      </c>
      <c r="AZ1613" t="inlineStr">
        <is>
          <t>991000177969702656</t>
        </is>
      </c>
      <c r="BA1613" t="inlineStr">
        <is>
          <t>2255379220002656</t>
        </is>
      </c>
      <c r="BB1613" t="inlineStr">
        <is>
          <t>BOOK</t>
        </is>
      </c>
      <c r="BE1613" t="inlineStr">
        <is>
          <t>32285000731421</t>
        </is>
      </c>
      <c r="BF1613" t="inlineStr">
        <is>
          <t>893224806</t>
        </is>
      </c>
    </row>
    <row r="1614">
      <c r="A1614" t="inlineStr">
        <is>
          <t>No</t>
        </is>
      </c>
      <c r="B1614" t="inlineStr">
        <is>
          <t>CURAL</t>
        </is>
      </c>
      <c r="C1614" t="inlineStr">
        <is>
          <t>SHELVES</t>
        </is>
      </c>
      <c r="D1614" t="inlineStr">
        <is>
          <t>PR431 .G67</t>
        </is>
      </c>
      <c r="E1614" t="inlineStr">
        <is>
          <t>0                      PR 0431000G  67</t>
        </is>
      </c>
      <c r="F1614" t="inlineStr">
        <is>
          <t>Images and ideas in literature of the English Renaissance / Patrick Grant.</t>
        </is>
      </c>
      <c r="H1614" t="inlineStr">
        <is>
          <t>No</t>
        </is>
      </c>
      <c r="I1614" t="inlineStr">
        <is>
          <t>1</t>
        </is>
      </c>
      <c r="J1614" t="inlineStr">
        <is>
          <t>No</t>
        </is>
      </c>
      <c r="K1614" t="inlineStr">
        <is>
          <t>No</t>
        </is>
      </c>
      <c r="L1614" t="inlineStr">
        <is>
          <t>0</t>
        </is>
      </c>
      <c r="M1614" t="inlineStr">
        <is>
          <t>Grant, Patrick, 1941-</t>
        </is>
      </c>
      <c r="N1614" t="inlineStr">
        <is>
          <t>Amherst : University of Massachusetts Press, 1979.</t>
        </is>
      </c>
      <c r="O1614" t="inlineStr">
        <is>
          <t>1979</t>
        </is>
      </c>
      <c r="Q1614" t="inlineStr">
        <is>
          <t>eng</t>
        </is>
      </c>
      <c r="R1614" t="inlineStr">
        <is>
          <t>mau</t>
        </is>
      </c>
      <c r="T1614" t="inlineStr">
        <is>
          <t xml:space="preserve">PR </t>
        </is>
      </c>
      <c r="U1614" t="n">
        <v>5</v>
      </c>
      <c r="V1614" t="n">
        <v>5</v>
      </c>
      <c r="W1614" t="inlineStr">
        <is>
          <t>2001-05-01</t>
        </is>
      </c>
      <c r="X1614" t="inlineStr">
        <is>
          <t>2001-05-01</t>
        </is>
      </c>
      <c r="Y1614" t="inlineStr">
        <is>
          <t>1991-08-29</t>
        </is>
      </c>
      <c r="Z1614" t="inlineStr">
        <is>
          <t>1991-08-29</t>
        </is>
      </c>
      <c r="AA1614" t="n">
        <v>491</v>
      </c>
      <c r="AB1614" t="n">
        <v>464</v>
      </c>
      <c r="AC1614" t="n">
        <v>641</v>
      </c>
      <c r="AD1614" t="n">
        <v>3</v>
      </c>
      <c r="AE1614" t="n">
        <v>5</v>
      </c>
      <c r="AF1614" t="n">
        <v>20</v>
      </c>
      <c r="AG1614" t="n">
        <v>26</v>
      </c>
      <c r="AH1614" t="n">
        <v>5</v>
      </c>
      <c r="AI1614" t="n">
        <v>8</v>
      </c>
      <c r="AJ1614" t="n">
        <v>6</v>
      </c>
      <c r="AK1614" t="n">
        <v>7</v>
      </c>
      <c r="AL1614" t="n">
        <v>11</v>
      </c>
      <c r="AM1614" t="n">
        <v>13</v>
      </c>
      <c r="AN1614" t="n">
        <v>2</v>
      </c>
      <c r="AO1614" t="n">
        <v>4</v>
      </c>
      <c r="AP1614" t="n">
        <v>0</v>
      </c>
      <c r="AQ1614" t="n">
        <v>0</v>
      </c>
      <c r="AR1614" t="inlineStr">
        <is>
          <t>No</t>
        </is>
      </c>
      <c r="AS1614" t="inlineStr">
        <is>
          <t>Yes</t>
        </is>
      </c>
      <c r="AT1614">
        <f>HYPERLINK("http://catalog.hathitrust.org/Record/006213699","HathiTrust Record")</f>
        <v/>
      </c>
      <c r="AU1614">
        <f>HYPERLINK("https://creighton-primo.hosted.exlibrisgroup.com/primo-explore/search?tab=default_tab&amp;search_scope=EVERYTHING&amp;vid=01CRU&amp;lang=en_US&amp;offset=0&amp;query=any,contains,991004578649702656","Catalog Record")</f>
        <v/>
      </c>
      <c r="AV1614">
        <f>HYPERLINK("http://www.worldcat.org/oclc/4055973","WorldCat Record")</f>
        <v/>
      </c>
      <c r="AW1614" t="inlineStr">
        <is>
          <t>118043829:eng</t>
        </is>
      </c>
      <c r="AX1614" t="inlineStr">
        <is>
          <t>4055973</t>
        </is>
      </c>
      <c r="AY1614" t="inlineStr">
        <is>
          <t>991004578649702656</t>
        </is>
      </c>
      <c r="AZ1614" t="inlineStr">
        <is>
          <t>991004578649702656</t>
        </is>
      </c>
      <c r="BA1614" t="inlineStr">
        <is>
          <t>2272169760002656</t>
        </is>
      </c>
      <c r="BB1614" t="inlineStr">
        <is>
          <t>BOOK</t>
        </is>
      </c>
      <c r="BD1614" t="inlineStr">
        <is>
          <t>9780870231636</t>
        </is>
      </c>
      <c r="BE1614" t="inlineStr">
        <is>
          <t>32285000731447</t>
        </is>
      </c>
      <c r="BF1614" t="inlineStr">
        <is>
          <t>893776171</t>
        </is>
      </c>
    </row>
    <row r="1615">
      <c r="A1615" t="inlineStr">
        <is>
          <t>No</t>
        </is>
      </c>
      <c r="B1615" t="inlineStr">
        <is>
          <t>CURAL</t>
        </is>
      </c>
      <c r="C1615" t="inlineStr">
        <is>
          <t>SHELVES</t>
        </is>
      </c>
      <c r="D1615" t="inlineStr">
        <is>
          <t>PR431 .G7</t>
        </is>
      </c>
      <c r="E1615" t="inlineStr">
        <is>
          <t>0                      PR 0431000G  7</t>
        </is>
      </c>
      <c r="F1615" t="inlineStr">
        <is>
          <t>Cross-currents in English literature of the XVIIth century ; or the world, the flesh &amp; the spirit, their actions &amp; reactions being the Messenger Lectures on the evolution of civilization Cornell University 1926-27 / by H. J. C. Grierson.</t>
        </is>
      </c>
      <c r="H1615" t="inlineStr">
        <is>
          <t>No</t>
        </is>
      </c>
      <c r="I1615" t="inlineStr">
        <is>
          <t>1</t>
        </is>
      </c>
      <c r="J1615" t="inlineStr">
        <is>
          <t>No</t>
        </is>
      </c>
      <c r="K1615" t="inlineStr">
        <is>
          <t>No</t>
        </is>
      </c>
      <c r="L1615" t="inlineStr">
        <is>
          <t>0</t>
        </is>
      </c>
      <c r="M1615" t="inlineStr">
        <is>
          <t>Grierson, Herbert John Clifford, Sir, 1866-1960.</t>
        </is>
      </c>
      <c r="N1615" t="inlineStr">
        <is>
          <t>London : Chatto &amp; Windus, 1948.</t>
        </is>
      </c>
      <c r="O1615" t="inlineStr">
        <is>
          <t>1948</t>
        </is>
      </c>
      <c r="Q1615" t="inlineStr">
        <is>
          <t>eng</t>
        </is>
      </c>
      <c r="R1615" t="inlineStr">
        <is>
          <t>enk</t>
        </is>
      </c>
      <c r="T1615" t="inlineStr">
        <is>
          <t xml:space="preserve">PR </t>
        </is>
      </c>
      <c r="U1615" t="n">
        <v>1</v>
      </c>
      <c r="V1615" t="n">
        <v>1</v>
      </c>
      <c r="W1615" t="inlineStr">
        <is>
          <t>2000-12-14</t>
        </is>
      </c>
      <c r="X1615" t="inlineStr">
        <is>
          <t>2000-12-14</t>
        </is>
      </c>
      <c r="Y1615" t="inlineStr">
        <is>
          <t>1995-08-03</t>
        </is>
      </c>
      <c r="Z1615" t="inlineStr">
        <is>
          <t>1995-08-03</t>
        </is>
      </c>
      <c r="AA1615" t="n">
        <v>97</v>
      </c>
      <c r="AB1615" t="n">
        <v>89</v>
      </c>
      <c r="AC1615" t="n">
        <v>153</v>
      </c>
      <c r="AD1615" t="n">
        <v>2</v>
      </c>
      <c r="AE1615" t="n">
        <v>3</v>
      </c>
      <c r="AF1615" t="n">
        <v>12</v>
      </c>
      <c r="AG1615" t="n">
        <v>15</v>
      </c>
      <c r="AH1615" t="n">
        <v>2</v>
      </c>
      <c r="AI1615" t="n">
        <v>3</v>
      </c>
      <c r="AJ1615" t="n">
        <v>4</v>
      </c>
      <c r="AK1615" t="n">
        <v>4</v>
      </c>
      <c r="AL1615" t="n">
        <v>8</v>
      </c>
      <c r="AM1615" t="n">
        <v>10</v>
      </c>
      <c r="AN1615" t="n">
        <v>1</v>
      </c>
      <c r="AO1615" t="n">
        <v>2</v>
      </c>
      <c r="AP1615" t="n">
        <v>0</v>
      </c>
      <c r="AQ1615" t="n">
        <v>0</v>
      </c>
      <c r="AR1615" t="inlineStr">
        <is>
          <t>No</t>
        </is>
      </c>
      <c r="AS1615" t="inlineStr">
        <is>
          <t>Yes</t>
        </is>
      </c>
      <c r="AT1615">
        <f>HYPERLINK("http://catalog.hathitrust.org/Record/001907304","HathiTrust Record")</f>
        <v/>
      </c>
      <c r="AU1615">
        <f>HYPERLINK("https://creighton-primo.hosted.exlibrisgroup.com/primo-explore/search?tab=default_tab&amp;search_scope=EVERYTHING&amp;vid=01CRU&amp;lang=en_US&amp;offset=0&amp;query=any,contains,991004278719702656","Catalog Record")</f>
        <v/>
      </c>
      <c r="AV1615">
        <f>HYPERLINK("http://www.worldcat.org/oclc/2900818","WorldCat Record")</f>
        <v/>
      </c>
      <c r="AW1615" t="inlineStr">
        <is>
          <t>5218417016:eng</t>
        </is>
      </c>
      <c r="AX1615" t="inlineStr">
        <is>
          <t>2900818</t>
        </is>
      </c>
      <c r="AY1615" t="inlineStr">
        <is>
          <t>991004278719702656</t>
        </is>
      </c>
      <c r="AZ1615" t="inlineStr">
        <is>
          <t>991004278719702656</t>
        </is>
      </c>
      <c r="BA1615" t="inlineStr">
        <is>
          <t>2265922230002656</t>
        </is>
      </c>
      <c r="BB1615" t="inlineStr">
        <is>
          <t>BOOK</t>
        </is>
      </c>
      <c r="BE1615" t="inlineStr">
        <is>
          <t>32285002061439</t>
        </is>
      </c>
      <c r="BF1615" t="inlineStr">
        <is>
          <t>893343652</t>
        </is>
      </c>
    </row>
    <row r="1616">
      <c r="A1616" t="inlineStr">
        <is>
          <t>No</t>
        </is>
      </c>
      <c r="B1616" t="inlineStr">
        <is>
          <t>CURAL</t>
        </is>
      </c>
      <c r="C1616" t="inlineStr">
        <is>
          <t>SHELVES</t>
        </is>
      </c>
      <c r="D1616" t="inlineStr">
        <is>
          <t>PR431 .K48 1982</t>
        </is>
      </c>
      <c r="E1616" t="inlineStr">
        <is>
          <t>0                      PR 0431000K  48          1982</t>
        </is>
      </c>
      <c r="F1616" t="inlineStr">
        <is>
          <t>Seventeenth-century English literature / Bruce King.</t>
        </is>
      </c>
      <c r="H1616" t="inlineStr">
        <is>
          <t>No</t>
        </is>
      </c>
      <c r="I1616" t="inlineStr">
        <is>
          <t>1</t>
        </is>
      </c>
      <c r="J1616" t="inlineStr">
        <is>
          <t>No</t>
        </is>
      </c>
      <c r="K1616" t="inlineStr">
        <is>
          <t>No</t>
        </is>
      </c>
      <c r="L1616" t="inlineStr">
        <is>
          <t>0</t>
        </is>
      </c>
      <c r="M1616" t="inlineStr">
        <is>
          <t>King, Bruce, 1933-</t>
        </is>
      </c>
      <c r="N1616" t="inlineStr">
        <is>
          <t>New York : Schocken Books, 1982.</t>
        </is>
      </c>
      <c r="O1616" t="inlineStr">
        <is>
          <t>1982</t>
        </is>
      </c>
      <c r="P1616" t="inlineStr">
        <is>
          <t>1st Amer. ed.</t>
        </is>
      </c>
      <c r="Q1616" t="inlineStr">
        <is>
          <t>eng</t>
        </is>
      </c>
      <c r="R1616" t="inlineStr">
        <is>
          <t>nyu</t>
        </is>
      </c>
      <c r="S1616" t="inlineStr">
        <is>
          <t>History of literature series</t>
        </is>
      </c>
      <c r="T1616" t="inlineStr">
        <is>
          <t xml:space="preserve">PR </t>
        </is>
      </c>
      <c r="U1616" t="n">
        <v>2</v>
      </c>
      <c r="V1616" t="n">
        <v>2</v>
      </c>
      <c r="W1616" t="inlineStr">
        <is>
          <t>2010-01-24</t>
        </is>
      </c>
      <c r="X1616" t="inlineStr">
        <is>
          <t>2010-01-24</t>
        </is>
      </c>
      <c r="Y1616" t="inlineStr">
        <is>
          <t>1991-08-29</t>
        </is>
      </c>
      <c r="Z1616" t="inlineStr">
        <is>
          <t>1991-08-29</t>
        </is>
      </c>
      <c r="AA1616" t="n">
        <v>592</v>
      </c>
      <c r="AB1616" t="n">
        <v>549</v>
      </c>
      <c r="AC1616" t="n">
        <v>585</v>
      </c>
      <c r="AD1616" t="n">
        <v>2</v>
      </c>
      <c r="AE1616" t="n">
        <v>2</v>
      </c>
      <c r="AF1616" t="n">
        <v>17</v>
      </c>
      <c r="AG1616" t="n">
        <v>17</v>
      </c>
      <c r="AH1616" t="n">
        <v>7</v>
      </c>
      <c r="AI1616" t="n">
        <v>7</v>
      </c>
      <c r="AJ1616" t="n">
        <v>5</v>
      </c>
      <c r="AK1616" t="n">
        <v>5</v>
      </c>
      <c r="AL1616" t="n">
        <v>10</v>
      </c>
      <c r="AM1616" t="n">
        <v>10</v>
      </c>
      <c r="AN1616" t="n">
        <v>1</v>
      </c>
      <c r="AO1616" t="n">
        <v>1</v>
      </c>
      <c r="AP1616" t="n">
        <v>0</v>
      </c>
      <c r="AQ1616" t="n">
        <v>0</v>
      </c>
      <c r="AR1616" t="inlineStr">
        <is>
          <t>No</t>
        </is>
      </c>
      <c r="AS1616" t="inlineStr">
        <is>
          <t>Yes</t>
        </is>
      </c>
      <c r="AT1616">
        <f>HYPERLINK("http://catalog.hathitrust.org/Record/000309369","HathiTrust Record")</f>
        <v/>
      </c>
      <c r="AU1616">
        <f>HYPERLINK("https://creighton-primo.hosted.exlibrisgroup.com/primo-explore/search?tab=default_tab&amp;search_scope=EVERYTHING&amp;vid=01CRU&amp;lang=en_US&amp;offset=0&amp;query=any,contains,991005242479702656","Catalog Record")</f>
        <v/>
      </c>
      <c r="AV1616">
        <f>HYPERLINK("http://www.worldcat.org/oclc/8430846","WorldCat Record")</f>
        <v/>
      </c>
      <c r="AW1616" t="inlineStr">
        <is>
          <t>365112621:eng</t>
        </is>
      </c>
      <c r="AX1616" t="inlineStr">
        <is>
          <t>8430846</t>
        </is>
      </c>
      <c r="AY1616" t="inlineStr">
        <is>
          <t>991005242479702656</t>
        </is>
      </c>
      <c r="AZ1616" t="inlineStr">
        <is>
          <t>991005242479702656</t>
        </is>
      </c>
      <c r="BA1616" t="inlineStr">
        <is>
          <t>2261249450002656</t>
        </is>
      </c>
      <c r="BB1616" t="inlineStr">
        <is>
          <t>BOOK</t>
        </is>
      </c>
      <c r="BD1616" t="inlineStr">
        <is>
          <t>9780805238266</t>
        </is>
      </c>
      <c r="BE1616" t="inlineStr">
        <is>
          <t>32285000731454</t>
        </is>
      </c>
      <c r="BF1616" t="inlineStr">
        <is>
          <t>893431109</t>
        </is>
      </c>
    </row>
    <row r="1617">
      <c r="A1617" t="inlineStr">
        <is>
          <t>No</t>
        </is>
      </c>
      <c r="B1617" t="inlineStr">
        <is>
          <t>CURAL</t>
        </is>
      </c>
      <c r="C1617" t="inlineStr">
        <is>
          <t>SHELVES</t>
        </is>
      </c>
      <c r="D1617" t="inlineStr">
        <is>
          <t>PR431 .M34 1981</t>
        </is>
      </c>
      <c r="E1617" t="inlineStr">
        <is>
          <t>0                      PR 0431000M  34          1981</t>
        </is>
      </c>
      <c r="F1617" t="inlineStr">
        <is>
          <t>Liberty and love : English literature and society, 1640-88 / Peter Malekin.</t>
        </is>
      </c>
      <c r="H1617" t="inlineStr">
        <is>
          <t>No</t>
        </is>
      </c>
      <c r="I1617" t="inlineStr">
        <is>
          <t>1</t>
        </is>
      </c>
      <c r="J1617" t="inlineStr">
        <is>
          <t>No</t>
        </is>
      </c>
      <c r="K1617" t="inlineStr">
        <is>
          <t>No</t>
        </is>
      </c>
      <c r="L1617" t="inlineStr">
        <is>
          <t>0</t>
        </is>
      </c>
      <c r="M1617" t="inlineStr">
        <is>
          <t>Malekin, Peter.</t>
        </is>
      </c>
      <c r="N1617" t="inlineStr">
        <is>
          <t>New York : St. Martin's Press, 1981.</t>
        </is>
      </c>
      <c r="O1617" t="inlineStr">
        <is>
          <t>1981</t>
        </is>
      </c>
      <c r="Q1617" t="inlineStr">
        <is>
          <t>eng</t>
        </is>
      </c>
      <c r="R1617" t="inlineStr">
        <is>
          <t>nyu</t>
        </is>
      </c>
      <c r="T1617" t="inlineStr">
        <is>
          <t xml:space="preserve">PR </t>
        </is>
      </c>
      <c r="U1617" t="n">
        <v>2</v>
      </c>
      <c r="V1617" t="n">
        <v>2</v>
      </c>
      <c r="W1617" t="inlineStr">
        <is>
          <t>2002-11-03</t>
        </is>
      </c>
      <c r="X1617" t="inlineStr">
        <is>
          <t>2002-11-03</t>
        </is>
      </c>
      <c r="Y1617" t="inlineStr">
        <is>
          <t>1991-08-29</t>
        </is>
      </c>
      <c r="Z1617" t="inlineStr">
        <is>
          <t>1991-08-29</t>
        </is>
      </c>
      <c r="AA1617" t="n">
        <v>360</v>
      </c>
      <c r="AB1617" t="n">
        <v>339</v>
      </c>
      <c r="AC1617" t="n">
        <v>422</v>
      </c>
      <c r="AD1617" t="n">
        <v>3</v>
      </c>
      <c r="AE1617" t="n">
        <v>4</v>
      </c>
      <c r="AF1617" t="n">
        <v>12</v>
      </c>
      <c r="AG1617" t="n">
        <v>14</v>
      </c>
      <c r="AH1617" t="n">
        <v>4</v>
      </c>
      <c r="AI1617" t="n">
        <v>5</v>
      </c>
      <c r="AJ1617" t="n">
        <v>4</v>
      </c>
      <c r="AK1617" t="n">
        <v>4</v>
      </c>
      <c r="AL1617" t="n">
        <v>7</v>
      </c>
      <c r="AM1617" t="n">
        <v>7</v>
      </c>
      <c r="AN1617" t="n">
        <v>2</v>
      </c>
      <c r="AO1617" t="n">
        <v>3</v>
      </c>
      <c r="AP1617" t="n">
        <v>0</v>
      </c>
      <c r="AQ1617" t="n">
        <v>0</v>
      </c>
      <c r="AR1617" t="inlineStr">
        <is>
          <t>No</t>
        </is>
      </c>
      <c r="AS1617" t="inlineStr">
        <is>
          <t>No</t>
        </is>
      </c>
      <c r="AU1617">
        <f>HYPERLINK("https://creighton-primo.hosted.exlibrisgroup.com/primo-explore/search?tab=default_tab&amp;search_scope=EVERYTHING&amp;vid=01CRU&amp;lang=en_US&amp;offset=0&amp;query=any,contains,991005033459702656","Catalog Record")</f>
        <v/>
      </c>
      <c r="AV1617">
        <f>HYPERLINK("http://www.worldcat.org/oclc/6735522","WorldCat Record")</f>
        <v/>
      </c>
      <c r="AW1617" t="inlineStr">
        <is>
          <t>443041:eng</t>
        </is>
      </c>
      <c r="AX1617" t="inlineStr">
        <is>
          <t>6735522</t>
        </is>
      </c>
      <c r="AY1617" t="inlineStr">
        <is>
          <t>991005033459702656</t>
        </is>
      </c>
      <c r="AZ1617" t="inlineStr">
        <is>
          <t>991005033459702656</t>
        </is>
      </c>
      <c r="BA1617" t="inlineStr">
        <is>
          <t>2267982910002656</t>
        </is>
      </c>
      <c r="BB1617" t="inlineStr">
        <is>
          <t>BOOK</t>
        </is>
      </c>
      <c r="BD1617" t="inlineStr">
        <is>
          <t>9780312483586</t>
        </is>
      </c>
      <c r="BE1617" t="inlineStr">
        <is>
          <t>32285000731462</t>
        </is>
      </c>
      <c r="BF1617" t="inlineStr">
        <is>
          <t>893883236</t>
        </is>
      </c>
    </row>
    <row r="1618">
      <c r="A1618" t="inlineStr">
        <is>
          <t>No</t>
        </is>
      </c>
      <c r="B1618" t="inlineStr">
        <is>
          <t>CURAL</t>
        </is>
      </c>
      <c r="C1618" t="inlineStr">
        <is>
          <t>SHELVES</t>
        </is>
      </c>
      <c r="D1618" t="inlineStr">
        <is>
          <t>PR433 .J6</t>
        </is>
      </c>
      <c r="E1618" t="inlineStr">
        <is>
          <t>0                      PR 0433000J  6</t>
        </is>
      </c>
      <c r="F1618" t="inlineStr">
        <is>
          <t>The seventeenth century : studies in the history of English thought and literature from Bacon to Pope / by Richard Foster Jones and others writing in his honor.</t>
        </is>
      </c>
      <c r="H1618" t="inlineStr">
        <is>
          <t>No</t>
        </is>
      </c>
      <c r="I1618" t="inlineStr">
        <is>
          <t>1</t>
        </is>
      </c>
      <c r="J1618" t="inlineStr">
        <is>
          <t>No</t>
        </is>
      </c>
      <c r="K1618" t="inlineStr">
        <is>
          <t>No</t>
        </is>
      </c>
      <c r="L1618" t="inlineStr">
        <is>
          <t>0</t>
        </is>
      </c>
      <c r="M1618" t="inlineStr">
        <is>
          <t>Jones, Richard Foster, 1886-1965.</t>
        </is>
      </c>
      <c r="N1618" t="inlineStr">
        <is>
          <t>Stanford, Calif. : Stanford University Press, [1951]</t>
        </is>
      </c>
      <c r="O1618" t="inlineStr">
        <is>
          <t>1951</t>
        </is>
      </c>
      <c r="Q1618" t="inlineStr">
        <is>
          <t>eng</t>
        </is>
      </c>
      <c r="R1618" t="inlineStr">
        <is>
          <t>cau</t>
        </is>
      </c>
      <c r="T1618" t="inlineStr">
        <is>
          <t xml:space="preserve">PR </t>
        </is>
      </c>
      <c r="U1618" t="n">
        <v>3</v>
      </c>
      <c r="V1618" t="n">
        <v>3</v>
      </c>
      <c r="W1618" t="inlineStr">
        <is>
          <t>2003-12-07</t>
        </is>
      </c>
      <c r="X1618" t="inlineStr">
        <is>
          <t>2003-12-07</t>
        </is>
      </c>
      <c r="Y1618" t="inlineStr">
        <is>
          <t>1991-02-28</t>
        </is>
      </c>
      <c r="Z1618" t="inlineStr">
        <is>
          <t>1991-02-28</t>
        </is>
      </c>
      <c r="AA1618" t="n">
        <v>831</v>
      </c>
      <c r="AB1618" t="n">
        <v>700</v>
      </c>
      <c r="AC1618" t="n">
        <v>930</v>
      </c>
      <c r="AD1618" t="n">
        <v>7</v>
      </c>
      <c r="AE1618" t="n">
        <v>9</v>
      </c>
      <c r="AF1618" t="n">
        <v>41</v>
      </c>
      <c r="AG1618" t="n">
        <v>51</v>
      </c>
      <c r="AH1618" t="n">
        <v>17</v>
      </c>
      <c r="AI1618" t="n">
        <v>23</v>
      </c>
      <c r="AJ1618" t="n">
        <v>6</v>
      </c>
      <c r="AK1618" t="n">
        <v>8</v>
      </c>
      <c r="AL1618" t="n">
        <v>22</v>
      </c>
      <c r="AM1618" t="n">
        <v>24</v>
      </c>
      <c r="AN1618" t="n">
        <v>6</v>
      </c>
      <c r="AO1618" t="n">
        <v>8</v>
      </c>
      <c r="AP1618" t="n">
        <v>0</v>
      </c>
      <c r="AQ1618" t="n">
        <v>0</v>
      </c>
      <c r="AR1618" t="inlineStr">
        <is>
          <t>No</t>
        </is>
      </c>
      <c r="AS1618" t="inlineStr">
        <is>
          <t>No</t>
        </is>
      </c>
      <c r="AT1618">
        <f>HYPERLINK("http://catalog.hathitrust.org/Record/001369903","HathiTrust Record")</f>
        <v/>
      </c>
      <c r="AU1618">
        <f>HYPERLINK("https://creighton-primo.hosted.exlibrisgroup.com/primo-explore/search?tab=default_tab&amp;search_scope=EVERYTHING&amp;vid=01CRU&amp;lang=en_US&amp;offset=0&amp;query=any,contains,991002442079702656","Catalog Record")</f>
        <v/>
      </c>
      <c r="AV1618">
        <f>HYPERLINK("http://www.worldcat.org/oclc/350388","WorldCat Record")</f>
        <v/>
      </c>
      <c r="AW1618" t="inlineStr">
        <is>
          <t>1383487:eng</t>
        </is>
      </c>
      <c r="AX1618" t="inlineStr">
        <is>
          <t>350388</t>
        </is>
      </c>
      <c r="AY1618" t="inlineStr">
        <is>
          <t>991002442079702656</t>
        </is>
      </c>
      <c r="AZ1618" t="inlineStr">
        <is>
          <t>991002442079702656</t>
        </is>
      </c>
      <c r="BA1618" t="inlineStr">
        <is>
          <t>2268718450002656</t>
        </is>
      </c>
      <c r="BB1618" t="inlineStr">
        <is>
          <t>BOOK</t>
        </is>
      </c>
      <c r="BE1618" t="inlineStr">
        <is>
          <t>32285000494889</t>
        </is>
      </c>
      <c r="BF1618" t="inlineStr">
        <is>
          <t>893257298</t>
        </is>
      </c>
    </row>
    <row r="1619">
      <c r="A1619" t="inlineStr">
        <is>
          <t>No</t>
        </is>
      </c>
      <c r="B1619" t="inlineStr">
        <is>
          <t>CURAL</t>
        </is>
      </c>
      <c r="C1619" t="inlineStr">
        <is>
          <t>SHELVES</t>
        </is>
      </c>
      <c r="D1619" t="inlineStr">
        <is>
          <t>PR433 .P6 1981</t>
        </is>
      </c>
      <c r="E1619" t="inlineStr">
        <is>
          <t>0                      PR 0433000P  6           1981</t>
        </is>
      </c>
      <c r="F1619" t="inlineStr">
        <is>
          <t>Poetry and drama, 1570-1700 : essays in honour of Harold F. Brooks / edited by Antony Coleman and Antony Hammond.</t>
        </is>
      </c>
      <c r="H1619" t="inlineStr">
        <is>
          <t>No</t>
        </is>
      </c>
      <c r="I1619" t="inlineStr">
        <is>
          <t>1</t>
        </is>
      </c>
      <c r="J1619" t="inlineStr">
        <is>
          <t>No</t>
        </is>
      </c>
      <c r="K1619" t="inlineStr">
        <is>
          <t>No</t>
        </is>
      </c>
      <c r="L1619" t="inlineStr">
        <is>
          <t>0</t>
        </is>
      </c>
      <c r="N1619" t="inlineStr">
        <is>
          <t>London ; New York : Methuen, 1981.</t>
        </is>
      </c>
      <c r="O1619" t="inlineStr">
        <is>
          <t>1981</t>
        </is>
      </c>
      <c r="Q1619" t="inlineStr">
        <is>
          <t>eng</t>
        </is>
      </c>
      <c r="R1619" t="inlineStr">
        <is>
          <t>enk</t>
        </is>
      </c>
      <c r="T1619" t="inlineStr">
        <is>
          <t xml:space="preserve">PR </t>
        </is>
      </c>
      <c r="U1619" t="n">
        <v>1</v>
      </c>
      <c r="V1619" t="n">
        <v>1</v>
      </c>
      <c r="W1619" t="inlineStr">
        <is>
          <t>2002-11-20</t>
        </is>
      </c>
      <c r="X1619" t="inlineStr">
        <is>
          <t>2002-11-20</t>
        </is>
      </c>
      <c r="Y1619" t="inlineStr">
        <is>
          <t>2002-11-20</t>
        </is>
      </c>
      <c r="Z1619" t="inlineStr">
        <is>
          <t>2002-11-20</t>
        </is>
      </c>
      <c r="AA1619" t="n">
        <v>355</v>
      </c>
      <c r="AB1619" t="n">
        <v>232</v>
      </c>
      <c r="AC1619" t="n">
        <v>238</v>
      </c>
      <c r="AD1619" t="n">
        <v>3</v>
      </c>
      <c r="AE1619" t="n">
        <v>3</v>
      </c>
      <c r="AF1619" t="n">
        <v>13</v>
      </c>
      <c r="AG1619" t="n">
        <v>13</v>
      </c>
      <c r="AH1619" t="n">
        <v>3</v>
      </c>
      <c r="AI1619" t="n">
        <v>3</v>
      </c>
      <c r="AJ1619" t="n">
        <v>2</v>
      </c>
      <c r="AK1619" t="n">
        <v>2</v>
      </c>
      <c r="AL1619" t="n">
        <v>9</v>
      </c>
      <c r="AM1619" t="n">
        <v>9</v>
      </c>
      <c r="AN1619" t="n">
        <v>2</v>
      </c>
      <c r="AO1619" t="n">
        <v>2</v>
      </c>
      <c r="AP1619" t="n">
        <v>0</v>
      </c>
      <c r="AQ1619" t="n">
        <v>0</v>
      </c>
      <c r="AR1619" t="inlineStr">
        <is>
          <t>No</t>
        </is>
      </c>
      <c r="AS1619" t="inlineStr">
        <is>
          <t>Yes</t>
        </is>
      </c>
      <c r="AT1619">
        <f>HYPERLINK("http://catalog.hathitrust.org/Record/000181505","HathiTrust Record")</f>
        <v/>
      </c>
      <c r="AU1619">
        <f>HYPERLINK("https://creighton-primo.hosted.exlibrisgroup.com/primo-explore/search?tab=default_tab&amp;search_scope=EVERYTHING&amp;vid=01CRU&amp;lang=en_US&amp;offset=0&amp;query=any,contains,991003948199702656","Catalog Record")</f>
        <v/>
      </c>
      <c r="AV1619">
        <f>HYPERLINK("http://www.worldcat.org/oclc/7976662","WorldCat Record")</f>
        <v/>
      </c>
      <c r="AW1619" t="inlineStr">
        <is>
          <t>836680900:eng</t>
        </is>
      </c>
      <c r="AX1619" t="inlineStr">
        <is>
          <t>7976662</t>
        </is>
      </c>
      <c r="AY1619" t="inlineStr">
        <is>
          <t>991003948199702656</t>
        </is>
      </c>
      <c r="AZ1619" t="inlineStr">
        <is>
          <t>991003948199702656</t>
        </is>
      </c>
      <c r="BA1619" t="inlineStr">
        <is>
          <t>2262168430002656</t>
        </is>
      </c>
      <c r="BB1619" t="inlineStr">
        <is>
          <t>BOOK</t>
        </is>
      </c>
      <c r="BD1619" t="inlineStr">
        <is>
          <t>9780416744705</t>
        </is>
      </c>
      <c r="BE1619" t="inlineStr">
        <is>
          <t>32285004665187</t>
        </is>
      </c>
      <c r="BF1619" t="inlineStr">
        <is>
          <t>893687164</t>
        </is>
      </c>
    </row>
    <row r="1620">
      <c r="A1620" t="inlineStr">
        <is>
          <t>No</t>
        </is>
      </c>
      <c r="B1620" t="inlineStr">
        <is>
          <t>CURAL</t>
        </is>
      </c>
      <c r="C1620" t="inlineStr">
        <is>
          <t>SHELVES</t>
        </is>
      </c>
      <c r="D1620" t="inlineStr">
        <is>
          <t>PR4331 .F4 1964</t>
        </is>
      </c>
      <c r="E1620" t="inlineStr">
        <is>
          <t>0                      PR 4331000F  4           1964</t>
        </is>
      </c>
      <c r="F1620" t="inlineStr">
        <is>
          <t>Pride and passion, Robert Burns, 1759-1796, by De Lancey Ferguson.</t>
        </is>
      </c>
      <c r="H1620" t="inlineStr">
        <is>
          <t>No</t>
        </is>
      </c>
      <c r="I1620" t="inlineStr">
        <is>
          <t>1</t>
        </is>
      </c>
      <c r="J1620" t="inlineStr">
        <is>
          <t>No</t>
        </is>
      </c>
      <c r="K1620" t="inlineStr">
        <is>
          <t>No</t>
        </is>
      </c>
      <c r="L1620" t="inlineStr">
        <is>
          <t>0</t>
        </is>
      </c>
      <c r="M1620" t="inlineStr">
        <is>
          <t>Ferguson, J. De Lancey (John De Lancey), 1888-1966.</t>
        </is>
      </c>
      <c r="N1620" t="inlineStr">
        <is>
          <t>New York, Russell &amp; Russell, 1964 [c1939]</t>
        </is>
      </c>
      <c r="O1620" t="inlineStr">
        <is>
          <t>1964</t>
        </is>
      </c>
      <c r="Q1620" t="inlineStr">
        <is>
          <t>eng</t>
        </is>
      </c>
      <c r="R1620" t="inlineStr">
        <is>
          <t>___</t>
        </is>
      </c>
      <c r="T1620" t="inlineStr">
        <is>
          <t xml:space="preserve">PR </t>
        </is>
      </c>
      <c r="U1620" t="n">
        <v>5</v>
      </c>
      <c r="V1620" t="n">
        <v>5</v>
      </c>
      <c r="W1620" t="inlineStr">
        <is>
          <t>1997-07-27</t>
        </is>
      </c>
      <c r="X1620" t="inlineStr">
        <is>
          <t>1997-07-27</t>
        </is>
      </c>
      <c r="Y1620" t="inlineStr">
        <is>
          <t>1991-11-21</t>
        </is>
      </c>
      <c r="Z1620" t="inlineStr">
        <is>
          <t>1991-11-21</t>
        </is>
      </c>
      <c r="AA1620" t="n">
        <v>570</v>
      </c>
      <c r="AB1620" t="n">
        <v>524</v>
      </c>
      <c r="AC1620" t="n">
        <v>723</v>
      </c>
      <c r="AD1620" t="n">
        <v>3</v>
      </c>
      <c r="AE1620" t="n">
        <v>5</v>
      </c>
      <c r="AF1620" t="n">
        <v>21</v>
      </c>
      <c r="AG1620" t="n">
        <v>26</v>
      </c>
      <c r="AH1620" t="n">
        <v>9</v>
      </c>
      <c r="AI1620" t="n">
        <v>10</v>
      </c>
      <c r="AJ1620" t="n">
        <v>3</v>
      </c>
      <c r="AK1620" t="n">
        <v>4</v>
      </c>
      <c r="AL1620" t="n">
        <v>14</v>
      </c>
      <c r="AM1620" t="n">
        <v>15</v>
      </c>
      <c r="AN1620" t="n">
        <v>2</v>
      </c>
      <c r="AO1620" t="n">
        <v>4</v>
      </c>
      <c r="AP1620" t="n">
        <v>0</v>
      </c>
      <c r="AQ1620" t="n">
        <v>0</v>
      </c>
      <c r="AR1620" t="inlineStr">
        <is>
          <t>No</t>
        </is>
      </c>
      <c r="AS1620" t="inlineStr">
        <is>
          <t>No</t>
        </is>
      </c>
      <c r="AU1620">
        <f>HYPERLINK("https://creighton-primo.hosted.exlibrisgroup.com/primo-explore/search?tab=default_tab&amp;search_scope=EVERYTHING&amp;vid=01CRU&amp;lang=en_US&amp;offset=0&amp;query=any,contains,991003525809702656","Catalog Record")</f>
        <v/>
      </c>
      <c r="AV1620">
        <f>HYPERLINK("http://www.worldcat.org/oclc/1088803","WorldCat Record")</f>
        <v/>
      </c>
      <c r="AW1620" t="inlineStr">
        <is>
          <t>422900210:eng</t>
        </is>
      </c>
      <c r="AX1620" t="inlineStr">
        <is>
          <t>1088803</t>
        </is>
      </c>
      <c r="AY1620" t="inlineStr">
        <is>
          <t>991003525809702656</t>
        </is>
      </c>
      <c r="AZ1620" t="inlineStr">
        <is>
          <t>991003525809702656</t>
        </is>
      </c>
      <c r="BA1620" t="inlineStr">
        <is>
          <t>2270084230002656</t>
        </is>
      </c>
      <c r="BB1620" t="inlineStr">
        <is>
          <t>BOOK</t>
        </is>
      </c>
      <c r="BE1620" t="inlineStr">
        <is>
          <t>32285000842582</t>
        </is>
      </c>
      <c r="BF1620" t="inlineStr">
        <is>
          <t>893711448</t>
        </is>
      </c>
    </row>
    <row r="1621">
      <c r="A1621" t="inlineStr">
        <is>
          <t>No</t>
        </is>
      </c>
      <c r="B1621" t="inlineStr">
        <is>
          <t>CURAL</t>
        </is>
      </c>
      <c r="C1621" t="inlineStr">
        <is>
          <t>SHELVES</t>
        </is>
      </c>
      <c r="D1621" t="inlineStr">
        <is>
          <t>PR4331 .L68 1986</t>
        </is>
      </c>
      <c r="E1621" t="inlineStr">
        <is>
          <t>0                      PR 4331000L  68          1986</t>
        </is>
      </c>
      <c r="F1621" t="inlineStr">
        <is>
          <t>Robert Burns / Donald A. Low.</t>
        </is>
      </c>
      <c r="H1621" t="inlineStr">
        <is>
          <t>No</t>
        </is>
      </c>
      <c r="I1621" t="inlineStr">
        <is>
          <t>1</t>
        </is>
      </c>
      <c r="J1621" t="inlineStr">
        <is>
          <t>No</t>
        </is>
      </c>
      <c r="K1621" t="inlineStr">
        <is>
          <t>No</t>
        </is>
      </c>
      <c r="L1621" t="inlineStr">
        <is>
          <t>0</t>
        </is>
      </c>
      <c r="M1621" t="inlineStr">
        <is>
          <t>Low, Donald A.</t>
        </is>
      </c>
      <c r="N1621" t="inlineStr">
        <is>
          <t>Edinburgh : Scottish Academic Press, 1986.</t>
        </is>
      </c>
      <c r="O1621" t="inlineStr">
        <is>
          <t>1986</t>
        </is>
      </c>
      <c r="Q1621" t="inlineStr">
        <is>
          <t>eng</t>
        </is>
      </c>
      <c r="R1621" t="inlineStr">
        <is>
          <t>stk</t>
        </is>
      </c>
      <c r="S1621" t="inlineStr">
        <is>
          <t>Scottish writers ; 8</t>
        </is>
      </c>
      <c r="T1621" t="inlineStr">
        <is>
          <t xml:space="preserve">PR </t>
        </is>
      </c>
      <c r="U1621" t="n">
        <v>7</v>
      </c>
      <c r="V1621" t="n">
        <v>7</v>
      </c>
      <c r="W1621" t="inlineStr">
        <is>
          <t>1996-01-28</t>
        </is>
      </c>
      <c r="X1621" t="inlineStr">
        <is>
          <t>1996-01-28</t>
        </is>
      </c>
      <c r="Y1621" t="inlineStr">
        <is>
          <t>1991-11-21</t>
        </is>
      </c>
      <c r="Z1621" t="inlineStr">
        <is>
          <t>1991-11-21</t>
        </is>
      </c>
      <c r="AA1621" t="n">
        <v>179</v>
      </c>
      <c r="AB1621" t="n">
        <v>111</v>
      </c>
      <c r="AC1621" t="n">
        <v>114</v>
      </c>
      <c r="AD1621" t="n">
        <v>2</v>
      </c>
      <c r="AE1621" t="n">
        <v>2</v>
      </c>
      <c r="AF1621" t="n">
        <v>4</v>
      </c>
      <c r="AG1621" t="n">
        <v>4</v>
      </c>
      <c r="AH1621" t="n">
        <v>1</v>
      </c>
      <c r="AI1621" t="n">
        <v>1</v>
      </c>
      <c r="AJ1621" t="n">
        <v>2</v>
      </c>
      <c r="AK1621" t="n">
        <v>2</v>
      </c>
      <c r="AL1621" t="n">
        <v>2</v>
      </c>
      <c r="AM1621" t="n">
        <v>2</v>
      </c>
      <c r="AN1621" t="n">
        <v>1</v>
      </c>
      <c r="AO1621" t="n">
        <v>1</v>
      </c>
      <c r="AP1621" t="n">
        <v>0</v>
      </c>
      <c r="AQ1621" t="n">
        <v>0</v>
      </c>
      <c r="AR1621" t="inlineStr">
        <is>
          <t>No</t>
        </is>
      </c>
      <c r="AS1621" t="inlineStr">
        <is>
          <t>Yes</t>
        </is>
      </c>
      <c r="AT1621">
        <f>HYPERLINK("http://catalog.hathitrust.org/Record/000856585","HathiTrust Record")</f>
        <v/>
      </c>
      <c r="AU1621">
        <f>HYPERLINK("https://creighton-primo.hosted.exlibrisgroup.com/primo-explore/search?tab=default_tab&amp;search_scope=EVERYTHING&amp;vid=01CRU&amp;lang=en_US&amp;offset=0&amp;query=any,contains,991000909399702656","Catalog Record")</f>
        <v/>
      </c>
      <c r="AV1621">
        <f>HYPERLINK("http://www.worldcat.org/oclc/16950545","WorldCat Record")</f>
        <v/>
      </c>
      <c r="AW1621" t="inlineStr">
        <is>
          <t>836976608:eng</t>
        </is>
      </c>
      <c r="AX1621" t="inlineStr">
        <is>
          <t>16950545</t>
        </is>
      </c>
      <c r="AY1621" t="inlineStr">
        <is>
          <t>991000909399702656</t>
        </is>
      </c>
      <c r="AZ1621" t="inlineStr">
        <is>
          <t>991000909399702656</t>
        </is>
      </c>
      <c r="BA1621" t="inlineStr">
        <is>
          <t>2261689370002656</t>
        </is>
      </c>
      <c r="BB1621" t="inlineStr">
        <is>
          <t>BOOK</t>
        </is>
      </c>
      <c r="BD1621" t="inlineStr">
        <is>
          <t>9780707303680</t>
        </is>
      </c>
      <c r="BE1621" t="inlineStr">
        <is>
          <t>32285000842608</t>
        </is>
      </c>
      <c r="BF1621" t="inlineStr">
        <is>
          <t>893237716</t>
        </is>
      </c>
    </row>
    <row r="1622">
      <c r="A1622" t="inlineStr">
        <is>
          <t>No</t>
        </is>
      </c>
      <c r="B1622" t="inlineStr">
        <is>
          <t>CURAL</t>
        </is>
      </c>
      <c r="C1622" t="inlineStr">
        <is>
          <t>SHELVES</t>
        </is>
      </c>
      <c r="D1622" t="inlineStr">
        <is>
          <t>PR4331 .M32 1992</t>
        </is>
      </c>
      <c r="E1622" t="inlineStr">
        <is>
          <t>0                      PR 4331000M  32          1992</t>
        </is>
      </c>
      <c r="F1622" t="inlineStr">
        <is>
          <t>RB : a biography of Robert Burns / by James Mackay.</t>
        </is>
      </c>
      <c r="H1622" t="inlineStr">
        <is>
          <t>No</t>
        </is>
      </c>
      <c r="I1622" t="inlineStr">
        <is>
          <t>1</t>
        </is>
      </c>
      <c r="J1622" t="inlineStr">
        <is>
          <t>No</t>
        </is>
      </c>
      <c r="K1622" t="inlineStr">
        <is>
          <t>No</t>
        </is>
      </c>
      <c r="L1622" t="inlineStr">
        <is>
          <t>0</t>
        </is>
      </c>
      <c r="M1622" t="inlineStr">
        <is>
          <t>Mackay, James A. (James Alexander), 1936-2007.</t>
        </is>
      </c>
      <c r="N1622" t="inlineStr">
        <is>
          <t>Edinburgh : Mainstream Publ., c1992.</t>
        </is>
      </c>
      <c r="O1622" t="inlineStr">
        <is>
          <t>1992</t>
        </is>
      </c>
      <c r="Q1622" t="inlineStr">
        <is>
          <t>eng</t>
        </is>
      </c>
      <c r="R1622" t="inlineStr">
        <is>
          <t>stk</t>
        </is>
      </c>
      <c r="T1622" t="inlineStr">
        <is>
          <t xml:space="preserve">PR </t>
        </is>
      </c>
      <c r="U1622" t="n">
        <v>4</v>
      </c>
      <c r="V1622" t="n">
        <v>4</v>
      </c>
      <c r="W1622" t="inlineStr">
        <is>
          <t>2001-04-02</t>
        </is>
      </c>
      <c r="X1622" t="inlineStr">
        <is>
          <t>2001-04-02</t>
        </is>
      </c>
      <c r="Y1622" t="inlineStr">
        <is>
          <t>1993-04-21</t>
        </is>
      </c>
      <c r="Z1622" t="inlineStr">
        <is>
          <t>1993-04-21</t>
        </is>
      </c>
      <c r="AA1622" t="n">
        <v>271</v>
      </c>
      <c r="AB1622" t="n">
        <v>230</v>
      </c>
      <c r="AC1622" t="n">
        <v>238</v>
      </c>
      <c r="AD1622" t="n">
        <v>1</v>
      </c>
      <c r="AE1622" t="n">
        <v>1</v>
      </c>
      <c r="AF1622" t="n">
        <v>7</v>
      </c>
      <c r="AG1622" t="n">
        <v>7</v>
      </c>
      <c r="AH1622" t="n">
        <v>2</v>
      </c>
      <c r="AI1622" t="n">
        <v>2</v>
      </c>
      <c r="AJ1622" t="n">
        <v>2</v>
      </c>
      <c r="AK1622" t="n">
        <v>2</v>
      </c>
      <c r="AL1622" t="n">
        <v>6</v>
      </c>
      <c r="AM1622" t="n">
        <v>6</v>
      </c>
      <c r="AN1622" t="n">
        <v>0</v>
      </c>
      <c r="AO1622" t="n">
        <v>0</v>
      </c>
      <c r="AP1622" t="n">
        <v>0</v>
      </c>
      <c r="AQ1622" t="n">
        <v>0</v>
      </c>
      <c r="AR1622" t="inlineStr">
        <is>
          <t>No</t>
        </is>
      </c>
      <c r="AS1622" t="inlineStr">
        <is>
          <t>Yes</t>
        </is>
      </c>
      <c r="AT1622">
        <f>HYPERLINK("http://catalog.hathitrust.org/Record/002595831","HathiTrust Record")</f>
        <v/>
      </c>
      <c r="AU1622">
        <f>HYPERLINK("https://creighton-primo.hosted.exlibrisgroup.com/primo-explore/search?tab=default_tab&amp;search_scope=EVERYTHING&amp;vid=01CRU&amp;lang=en_US&amp;offset=0&amp;query=any,contains,991002114329702656","Catalog Record")</f>
        <v/>
      </c>
      <c r="AV1622">
        <f>HYPERLINK("http://www.worldcat.org/oclc/27093089","WorldCat Record")</f>
        <v/>
      </c>
      <c r="AW1622" t="inlineStr">
        <is>
          <t>3901405970:eng</t>
        </is>
      </c>
      <c r="AX1622" t="inlineStr">
        <is>
          <t>27093089</t>
        </is>
      </c>
      <c r="AY1622" t="inlineStr">
        <is>
          <t>991002114329702656</t>
        </is>
      </c>
      <c r="AZ1622" t="inlineStr">
        <is>
          <t>991002114329702656</t>
        </is>
      </c>
      <c r="BA1622" t="inlineStr">
        <is>
          <t>2269532690002656</t>
        </is>
      </c>
      <c r="BB1622" t="inlineStr">
        <is>
          <t>BOOK</t>
        </is>
      </c>
      <c r="BD1622" t="inlineStr">
        <is>
          <t>9781851584628</t>
        </is>
      </c>
      <c r="BE1622" t="inlineStr">
        <is>
          <t>32285001580314</t>
        </is>
      </c>
      <c r="BF1622" t="inlineStr">
        <is>
          <t>893516913</t>
        </is>
      </c>
    </row>
    <row r="1623">
      <c r="A1623" t="inlineStr">
        <is>
          <t>No</t>
        </is>
      </c>
      <c r="B1623" t="inlineStr">
        <is>
          <t>CURAL</t>
        </is>
      </c>
      <c r="C1623" t="inlineStr">
        <is>
          <t>SHELVES</t>
        </is>
      </c>
      <c r="D1623" t="inlineStr">
        <is>
          <t>PR4331 .M445 1995</t>
        </is>
      </c>
      <c r="E1623" t="inlineStr">
        <is>
          <t>0                      PR 4331000M  445         1995</t>
        </is>
      </c>
      <c r="F1623" t="inlineStr">
        <is>
          <t>Dirt &amp; deity : a life of Robert Burns / Ian McIntyre.</t>
        </is>
      </c>
      <c r="H1623" t="inlineStr">
        <is>
          <t>No</t>
        </is>
      </c>
      <c r="I1623" t="inlineStr">
        <is>
          <t>1</t>
        </is>
      </c>
      <c r="J1623" t="inlineStr">
        <is>
          <t>No</t>
        </is>
      </c>
      <c r="K1623" t="inlineStr">
        <is>
          <t>No</t>
        </is>
      </c>
      <c r="L1623" t="inlineStr">
        <is>
          <t>0</t>
        </is>
      </c>
      <c r="M1623" t="inlineStr">
        <is>
          <t>McIntyre, Ian, 1931-2014.</t>
        </is>
      </c>
      <c r="N1623" t="inlineStr">
        <is>
          <t>London : HarperCollins, 1995.</t>
        </is>
      </c>
      <c r="O1623" t="inlineStr">
        <is>
          <t>1995</t>
        </is>
      </c>
      <c r="Q1623" t="inlineStr">
        <is>
          <t>eng</t>
        </is>
      </c>
      <c r="R1623" t="inlineStr">
        <is>
          <t>enk</t>
        </is>
      </c>
      <c r="T1623" t="inlineStr">
        <is>
          <t xml:space="preserve">PR </t>
        </is>
      </c>
      <c r="U1623" t="n">
        <v>4</v>
      </c>
      <c r="V1623" t="n">
        <v>4</v>
      </c>
      <c r="W1623" t="inlineStr">
        <is>
          <t>2001-04-02</t>
        </is>
      </c>
      <c r="X1623" t="inlineStr">
        <is>
          <t>2001-04-02</t>
        </is>
      </c>
      <c r="Y1623" t="inlineStr">
        <is>
          <t>1996-08-13</t>
        </is>
      </c>
      <c r="Z1623" t="inlineStr">
        <is>
          <t>1996-08-13</t>
        </is>
      </c>
      <c r="AA1623" t="n">
        <v>713</v>
      </c>
      <c r="AB1623" t="n">
        <v>582</v>
      </c>
      <c r="AC1623" t="n">
        <v>610</v>
      </c>
      <c r="AD1623" t="n">
        <v>2</v>
      </c>
      <c r="AE1623" t="n">
        <v>2</v>
      </c>
      <c r="AF1623" t="n">
        <v>22</v>
      </c>
      <c r="AG1623" t="n">
        <v>23</v>
      </c>
      <c r="AH1623" t="n">
        <v>8</v>
      </c>
      <c r="AI1623" t="n">
        <v>8</v>
      </c>
      <c r="AJ1623" t="n">
        <v>8</v>
      </c>
      <c r="AK1623" t="n">
        <v>9</v>
      </c>
      <c r="AL1623" t="n">
        <v>12</v>
      </c>
      <c r="AM1623" t="n">
        <v>12</v>
      </c>
      <c r="AN1623" t="n">
        <v>1</v>
      </c>
      <c r="AO1623" t="n">
        <v>1</v>
      </c>
      <c r="AP1623" t="n">
        <v>0</v>
      </c>
      <c r="AQ1623" t="n">
        <v>0</v>
      </c>
      <c r="AR1623" t="inlineStr">
        <is>
          <t>No</t>
        </is>
      </c>
      <c r="AS1623" t="inlineStr">
        <is>
          <t>Yes</t>
        </is>
      </c>
      <c r="AT1623">
        <f>HYPERLINK("http://catalog.hathitrust.org/Record/003065467","HathiTrust Record")</f>
        <v/>
      </c>
      <c r="AU1623">
        <f>HYPERLINK("https://creighton-primo.hosted.exlibrisgroup.com/primo-explore/search?tab=default_tab&amp;search_scope=EVERYTHING&amp;vid=01CRU&amp;lang=en_US&amp;offset=0&amp;query=any,contains,991002588149702656","Catalog Record")</f>
        <v/>
      </c>
      <c r="AV1623">
        <f>HYPERLINK("http://www.worldcat.org/oclc/33919098","WorldCat Record")</f>
        <v/>
      </c>
      <c r="AW1623" t="inlineStr">
        <is>
          <t>38812799:eng</t>
        </is>
      </c>
      <c r="AX1623" t="inlineStr">
        <is>
          <t>33919098</t>
        </is>
      </c>
      <c r="AY1623" t="inlineStr">
        <is>
          <t>991002588149702656</t>
        </is>
      </c>
      <c r="AZ1623" t="inlineStr">
        <is>
          <t>991002588149702656</t>
        </is>
      </c>
      <c r="BA1623" t="inlineStr">
        <is>
          <t>2270259540002656</t>
        </is>
      </c>
      <c r="BB1623" t="inlineStr">
        <is>
          <t>BOOK</t>
        </is>
      </c>
      <c r="BD1623" t="inlineStr">
        <is>
          <t>9780002159647</t>
        </is>
      </c>
      <c r="BE1623" t="inlineStr">
        <is>
          <t>32285002274644</t>
        </is>
      </c>
      <c r="BF1623" t="inlineStr">
        <is>
          <t>893239245</t>
        </is>
      </c>
    </row>
    <row r="1624">
      <c r="A1624" t="inlineStr">
        <is>
          <t>No</t>
        </is>
      </c>
      <c r="B1624" t="inlineStr">
        <is>
          <t>CURAL</t>
        </is>
      </c>
      <c r="C1624" t="inlineStr">
        <is>
          <t>SHELVES</t>
        </is>
      </c>
      <c r="D1624" t="inlineStr">
        <is>
          <t>PR4338 .B46 1987</t>
        </is>
      </c>
      <c r="E1624" t="inlineStr">
        <is>
          <t>0                      PR 4338000B  46          1987</t>
        </is>
      </c>
      <c r="F1624" t="inlineStr">
        <is>
          <t>Robert Burns / by Raymond Bentman.</t>
        </is>
      </c>
      <c r="H1624" t="inlineStr">
        <is>
          <t>No</t>
        </is>
      </c>
      <c r="I1624" t="inlineStr">
        <is>
          <t>1</t>
        </is>
      </c>
      <c r="J1624" t="inlineStr">
        <is>
          <t>No</t>
        </is>
      </c>
      <c r="K1624" t="inlineStr">
        <is>
          <t>No</t>
        </is>
      </c>
      <c r="L1624" t="inlineStr">
        <is>
          <t>0</t>
        </is>
      </c>
      <c r="M1624" t="inlineStr">
        <is>
          <t>Bentman, Raymond.</t>
        </is>
      </c>
      <c r="N1624" t="inlineStr">
        <is>
          <t>Boston : Twayne Publishers, c1987.</t>
        </is>
      </c>
      <c r="O1624" t="inlineStr">
        <is>
          <t>1987</t>
        </is>
      </c>
      <c r="Q1624" t="inlineStr">
        <is>
          <t>eng</t>
        </is>
      </c>
      <c r="R1624" t="inlineStr">
        <is>
          <t>mau</t>
        </is>
      </c>
      <c r="S1624" t="inlineStr">
        <is>
          <t>Twayne's English authors series ; TEAS 452</t>
        </is>
      </c>
      <c r="T1624" t="inlineStr">
        <is>
          <t xml:space="preserve">PR </t>
        </is>
      </c>
      <c r="U1624" t="n">
        <v>6</v>
      </c>
      <c r="V1624" t="n">
        <v>6</v>
      </c>
      <c r="W1624" t="inlineStr">
        <is>
          <t>2000-03-16</t>
        </is>
      </c>
      <c r="X1624" t="inlineStr">
        <is>
          <t>2000-03-16</t>
        </is>
      </c>
      <c r="Y1624" t="inlineStr">
        <is>
          <t>1991-11-05</t>
        </is>
      </c>
      <c r="Z1624" t="inlineStr">
        <is>
          <t>1991-11-05</t>
        </is>
      </c>
      <c r="AA1624" t="n">
        <v>742</v>
      </c>
      <c r="AB1624" t="n">
        <v>654</v>
      </c>
      <c r="AC1624" t="n">
        <v>756</v>
      </c>
      <c r="AD1624" t="n">
        <v>6</v>
      </c>
      <c r="AE1624" t="n">
        <v>6</v>
      </c>
      <c r="AF1624" t="n">
        <v>26</v>
      </c>
      <c r="AG1624" t="n">
        <v>28</v>
      </c>
      <c r="AH1624" t="n">
        <v>10</v>
      </c>
      <c r="AI1624" t="n">
        <v>11</v>
      </c>
      <c r="AJ1624" t="n">
        <v>4</v>
      </c>
      <c r="AK1624" t="n">
        <v>4</v>
      </c>
      <c r="AL1624" t="n">
        <v>16</v>
      </c>
      <c r="AM1624" t="n">
        <v>17</v>
      </c>
      <c r="AN1624" t="n">
        <v>4</v>
      </c>
      <c r="AO1624" t="n">
        <v>4</v>
      </c>
      <c r="AP1624" t="n">
        <v>0</v>
      </c>
      <c r="AQ1624" t="n">
        <v>0</v>
      </c>
      <c r="AR1624" t="inlineStr">
        <is>
          <t>No</t>
        </is>
      </c>
      <c r="AS1624" t="inlineStr">
        <is>
          <t>Yes</t>
        </is>
      </c>
      <c r="AT1624">
        <f>HYPERLINK("http://catalog.hathitrust.org/Record/000875141","HathiTrust Record")</f>
        <v/>
      </c>
      <c r="AU1624">
        <f>HYPERLINK("https://creighton-primo.hosted.exlibrisgroup.com/primo-explore/search?tab=default_tab&amp;search_scope=EVERYTHING&amp;vid=01CRU&amp;lang=en_US&amp;offset=0&amp;query=any,contains,991001036769702656","Catalog Record")</f>
        <v/>
      </c>
      <c r="AV1624">
        <f>HYPERLINK("http://www.worldcat.org/oclc/15549539","WorldCat Record")</f>
        <v/>
      </c>
      <c r="AW1624" t="inlineStr">
        <is>
          <t>10830600:eng</t>
        </is>
      </c>
      <c r="AX1624" t="inlineStr">
        <is>
          <t>15549539</t>
        </is>
      </c>
      <c r="AY1624" t="inlineStr">
        <is>
          <t>991001036769702656</t>
        </is>
      </c>
      <c r="AZ1624" t="inlineStr">
        <is>
          <t>991001036769702656</t>
        </is>
      </c>
      <c r="BA1624" t="inlineStr">
        <is>
          <t>2266907240002656</t>
        </is>
      </c>
      <c r="BB1624" t="inlineStr">
        <is>
          <t>BOOK</t>
        </is>
      </c>
      <c r="BD1624" t="inlineStr">
        <is>
          <t>9780805769524</t>
        </is>
      </c>
      <c r="BE1624" t="inlineStr">
        <is>
          <t>32285000795822</t>
        </is>
      </c>
      <c r="BF1624" t="inlineStr">
        <is>
          <t>893596130</t>
        </is>
      </c>
    </row>
    <row r="1625">
      <c r="A1625" t="inlineStr">
        <is>
          <t>No</t>
        </is>
      </c>
      <c r="B1625" t="inlineStr">
        <is>
          <t>CURAL</t>
        </is>
      </c>
      <c r="C1625" t="inlineStr">
        <is>
          <t>SHELVES</t>
        </is>
      </c>
      <c r="D1625" t="inlineStr">
        <is>
          <t>PR4349.B52 Z59 1985</t>
        </is>
      </c>
      <c r="E1625" t="inlineStr">
        <is>
          <t>0                      PR 4349000B  52                 Z  59          1985</t>
        </is>
      </c>
      <c r="F1625" t="inlineStr">
        <is>
          <t>Richard F. Burton / by Glenn S. Burne.</t>
        </is>
      </c>
      <c r="H1625" t="inlineStr">
        <is>
          <t>No</t>
        </is>
      </c>
      <c r="I1625" t="inlineStr">
        <is>
          <t>1</t>
        </is>
      </c>
      <c r="J1625" t="inlineStr">
        <is>
          <t>No</t>
        </is>
      </c>
      <c r="K1625" t="inlineStr">
        <is>
          <t>No</t>
        </is>
      </c>
      <c r="L1625" t="inlineStr">
        <is>
          <t>0</t>
        </is>
      </c>
      <c r="M1625" t="inlineStr">
        <is>
          <t>Burne, Glenn S. (Glenn Stephen), 1921-</t>
        </is>
      </c>
      <c r="N1625" t="inlineStr">
        <is>
          <t>Boston : Twayne Publishers, 1985.</t>
        </is>
      </c>
      <c r="O1625" t="inlineStr">
        <is>
          <t>1985</t>
        </is>
      </c>
      <c r="Q1625" t="inlineStr">
        <is>
          <t>eng</t>
        </is>
      </c>
      <c r="R1625" t="inlineStr">
        <is>
          <t>mau</t>
        </is>
      </c>
      <c r="S1625" t="inlineStr">
        <is>
          <t>Twayne's English authors series ; TEAS 412</t>
        </is>
      </c>
      <c r="T1625" t="inlineStr">
        <is>
          <t xml:space="preserve">PR </t>
        </is>
      </c>
      <c r="U1625" t="n">
        <v>2</v>
      </c>
      <c r="V1625" t="n">
        <v>2</v>
      </c>
      <c r="W1625" t="inlineStr">
        <is>
          <t>1995-01-09</t>
        </is>
      </c>
      <c r="X1625" t="inlineStr">
        <is>
          <t>1995-01-09</t>
        </is>
      </c>
      <c r="Y1625" t="inlineStr">
        <is>
          <t>1991-11-05</t>
        </is>
      </c>
      <c r="Z1625" t="inlineStr">
        <is>
          <t>1991-11-05</t>
        </is>
      </c>
      <c r="AA1625" t="n">
        <v>461</v>
      </c>
      <c r="AB1625" t="n">
        <v>400</v>
      </c>
      <c r="AC1625" t="n">
        <v>407</v>
      </c>
      <c r="AD1625" t="n">
        <v>5</v>
      </c>
      <c r="AE1625" t="n">
        <v>5</v>
      </c>
      <c r="AF1625" t="n">
        <v>20</v>
      </c>
      <c r="AG1625" t="n">
        <v>20</v>
      </c>
      <c r="AH1625" t="n">
        <v>5</v>
      </c>
      <c r="AI1625" t="n">
        <v>5</v>
      </c>
      <c r="AJ1625" t="n">
        <v>4</v>
      </c>
      <c r="AK1625" t="n">
        <v>4</v>
      </c>
      <c r="AL1625" t="n">
        <v>13</v>
      </c>
      <c r="AM1625" t="n">
        <v>13</v>
      </c>
      <c r="AN1625" t="n">
        <v>4</v>
      </c>
      <c r="AO1625" t="n">
        <v>4</v>
      </c>
      <c r="AP1625" t="n">
        <v>0</v>
      </c>
      <c r="AQ1625" t="n">
        <v>0</v>
      </c>
      <c r="AR1625" t="inlineStr">
        <is>
          <t>No</t>
        </is>
      </c>
      <c r="AS1625" t="inlineStr">
        <is>
          <t>Yes</t>
        </is>
      </c>
      <c r="AT1625">
        <f>HYPERLINK("http://catalog.hathitrust.org/Record/000422037","HathiTrust Record")</f>
        <v/>
      </c>
      <c r="AU1625">
        <f>HYPERLINK("https://creighton-primo.hosted.exlibrisgroup.com/primo-explore/search?tab=default_tab&amp;search_scope=EVERYTHING&amp;vid=01CRU&amp;lang=en_US&amp;offset=0&amp;query=any,contains,991000629269702656","Catalog Record")</f>
        <v/>
      </c>
      <c r="AV1625">
        <f>HYPERLINK("http://www.worldcat.org/oclc/12051235","WorldCat Record")</f>
        <v/>
      </c>
      <c r="AW1625" t="inlineStr">
        <is>
          <t>4360142:eng</t>
        </is>
      </c>
      <c r="AX1625" t="inlineStr">
        <is>
          <t>12051235</t>
        </is>
      </c>
      <c r="AY1625" t="inlineStr">
        <is>
          <t>991000629269702656</t>
        </is>
      </c>
      <c r="AZ1625" t="inlineStr">
        <is>
          <t>991000629269702656</t>
        </is>
      </c>
      <c r="BA1625" t="inlineStr">
        <is>
          <t>2268620780002656</t>
        </is>
      </c>
      <c r="BB1625" t="inlineStr">
        <is>
          <t>BOOK</t>
        </is>
      </c>
      <c r="BD1625" t="inlineStr">
        <is>
          <t>9780805769036</t>
        </is>
      </c>
      <c r="BE1625" t="inlineStr">
        <is>
          <t>32285000795848</t>
        </is>
      </c>
      <c r="BF1625" t="inlineStr">
        <is>
          <t>893897067</t>
        </is>
      </c>
    </row>
    <row r="1626">
      <c r="A1626" t="inlineStr">
        <is>
          <t>No</t>
        </is>
      </c>
      <c r="B1626" t="inlineStr">
        <is>
          <t>CURAL</t>
        </is>
      </c>
      <c r="C1626" t="inlineStr">
        <is>
          <t>SHELVES</t>
        </is>
      </c>
      <c r="D1626" t="inlineStr">
        <is>
          <t>PR4349.B7 E6 1927</t>
        </is>
      </c>
      <c r="E1626" t="inlineStr">
        <is>
          <t>0                      PR 4349000B  7                  E  6           1927</t>
        </is>
      </c>
      <c r="F1626" t="inlineStr">
        <is>
          <t>Erewhon and Erewhon revisited / by Samuel Butler ; introduction by Lewis Mumford.</t>
        </is>
      </c>
      <c r="H1626" t="inlineStr">
        <is>
          <t>No</t>
        </is>
      </c>
      <c r="I1626" t="inlineStr">
        <is>
          <t>1</t>
        </is>
      </c>
      <c r="J1626" t="inlineStr">
        <is>
          <t>No</t>
        </is>
      </c>
      <c r="K1626" t="inlineStr">
        <is>
          <t>No</t>
        </is>
      </c>
      <c r="L1626" t="inlineStr">
        <is>
          <t>0</t>
        </is>
      </c>
      <c r="M1626" t="inlineStr">
        <is>
          <t>Butler, Samuel, 1835-1902.</t>
        </is>
      </c>
      <c r="N1626" t="inlineStr">
        <is>
          <t>New York : Modern Library 1927.</t>
        </is>
      </c>
      <c r="O1626" t="inlineStr">
        <is>
          <t>1927</t>
        </is>
      </c>
      <c r="Q1626" t="inlineStr">
        <is>
          <t>eng</t>
        </is>
      </c>
      <c r="R1626" t="inlineStr">
        <is>
          <t>nyu</t>
        </is>
      </c>
      <c r="S1626" t="inlineStr">
        <is>
          <t>Modern library of the world's best books</t>
        </is>
      </c>
      <c r="T1626" t="inlineStr">
        <is>
          <t xml:space="preserve">PR </t>
        </is>
      </c>
      <c r="U1626" t="n">
        <v>2</v>
      </c>
      <c r="V1626" t="n">
        <v>2</v>
      </c>
      <c r="W1626" t="inlineStr">
        <is>
          <t>2003-02-28</t>
        </is>
      </c>
      <c r="X1626" t="inlineStr">
        <is>
          <t>2003-02-28</t>
        </is>
      </c>
      <c r="Y1626" t="inlineStr">
        <is>
          <t>1996-05-21</t>
        </is>
      </c>
      <c r="Z1626" t="inlineStr">
        <is>
          <t>1996-05-21</t>
        </is>
      </c>
      <c r="AA1626" t="n">
        <v>551</v>
      </c>
      <c r="AB1626" t="n">
        <v>508</v>
      </c>
      <c r="AC1626" t="n">
        <v>2431</v>
      </c>
      <c r="AD1626" t="n">
        <v>2</v>
      </c>
      <c r="AE1626" t="n">
        <v>28</v>
      </c>
      <c r="AF1626" t="n">
        <v>18</v>
      </c>
      <c r="AG1626" t="n">
        <v>61</v>
      </c>
      <c r="AH1626" t="n">
        <v>9</v>
      </c>
      <c r="AI1626" t="n">
        <v>25</v>
      </c>
      <c r="AJ1626" t="n">
        <v>3</v>
      </c>
      <c r="AK1626" t="n">
        <v>11</v>
      </c>
      <c r="AL1626" t="n">
        <v>8</v>
      </c>
      <c r="AM1626" t="n">
        <v>23</v>
      </c>
      <c r="AN1626" t="n">
        <v>1</v>
      </c>
      <c r="AO1626" t="n">
        <v>15</v>
      </c>
      <c r="AP1626" t="n">
        <v>0</v>
      </c>
      <c r="AQ1626" t="n">
        <v>0</v>
      </c>
      <c r="AR1626" t="inlineStr">
        <is>
          <t>No</t>
        </is>
      </c>
      <c r="AS1626" t="inlineStr">
        <is>
          <t>Yes</t>
        </is>
      </c>
      <c r="AT1626">
        <f>HYPERLINK("http://catalog.hathitrust.org/Record/000587870","HathiTrust Record")</f>
        <v/>
      </c>
      <c r="AU1626">
        <f>HYPERLINK("https://creighton-primo.hosted.exlibrisgroup.com/primo-explore/search?tab=default_tab&amp;search_scope=EVERYTHING&amp;vid=01CRU&amp;lang=en_US&amp;offset=0&amp;query=any,contains,991004842629702656","Catalog Record")</f>
        <v/>
      </c>
      <c r="AV1626">
        <f>HYPERLINK("http://www.worldcat.org/oclc/5516163","WorldCat Record")</f>
        <v/>
      </c>
      <c r="AW1626" t="inlineStr">
        <is>
          <t>3855251867:eng</t>
        </is>
      </c>
      <c r="AX1626" t="inlineStr">
        <is>
          <t>5516163</t>
        </is>
      </c>
      <c r="AY1626" t="inlineStr">
        <is>
          <t>991004842629702656</t>
        </is>
      </c>
      <c r="AZ1626" t="inlineStr">
        <is>
          <t>991004842629702656</t>
        </is>
      </c>
      <c r="BA1626" t="inlineStr">
        <is>
          <t>2272371870002656</t>
        </is>
      </c>
      <c r="BB1626" t="inlineStr">
        <is>
          <t>BOOK</t>
        </is>
      </c>
      <c r="BE1626" t="inlineStr">
        <is>
          <t>32285002175882</t>
        </is>
      </c>
      <c r="BF1626" t="inlineStr">
        <is>
          <t>893619144</t>
        </is>
      </c>
    </row>
    <row r="1627">
      <c r="A1627" t="inlineStr">
        <is>
          <t>No</t>
        </is>
      </c>
      <c r="B1627" t="inlineStr">
        <is>
          <t>CURAL</t>
        </is>
      </c>
      <c r="C1627" t="inlineStr">
        <is>
          <t>SHELVES</t>
        </is>
      </c>
      <c r="D1627" t="inlineStr">
        <is>
          <t>PR4349.B7 Z77 1989</t>
        </is>
      </c>
      <c r="E1627" t="inlineStr">
        <is>
          <t>0                      PR 4349000B  7                  Z  77          1989</t>
        </is>
      </c>
      <c r="F1627" t="inlineStr">
        <is>
          <t>Samuel Butler / by Lee E. Holt.</t>
        </is>
      </c>
      <c r="H1627" t="inlineStr">
        <is>
          <t>No</t>
        </is>
      </c>
      <c r="I1627" t="inlineStr">
        <is>
          <t>1</t>
        </is>
      </c>
      <c r="J1627" t="inlineStr">
        <is>
          <t>No</t>
        </is>
      </c>
      <c r="K1627" t="inlineStr">
        <is>
          <t>No</t>
        </is>
      </c>
      <c r="L1627" t="inlineStr">
        <is>
          <t>0</t>
        </is>
      </c>
      <c r="M1627" t="inlineStr">
        <is>
          <t>Holt, Lee E. (Lee Elbert), 1912-</t>
        </is>
      </c>
      <c r="N1627" t="inlineStr">
        <is>
          <t>Boston : Twayne Publishers, c1989.</t>
        </is>
      </c>
      <c r="O1627" t="inlineStr">
        <is>
          <t>1989</t>
        </is>
      </c>
      <c r="P1627" t="inlineStr">
        <is>
          <t>Revised edition</t>
        </is>
      </c>
      <c r="Q1627" t="inlineStr">
        <is>
          <t>eng</t>
        </is>
      </c>
      <c r="R1627" t="inlineStr">
        <is>
          <t>mau</t>
        </is>
      </c>
      <c r="S1627" t="inlineStr">
        <is>
          <t>Twayne's English authors series ; TEAS 2</t>
        </is>
      </c>
      <c r="T1627" t="inlineStr">
        <is>
          <t xml:space="preserve">PR </t>
        </is>
      </c>
      <c r="U1627" t="n">
        <v>1</v>
      </c>
      <c r="V1627" t="n">
        <v>1</v>
      </c>
      <c r="W1627" t="inlineStr">
        <is>
          <t>1993-11-15</t>
        </is>
      </c>
      <c r="X1627" t="inlineStr">
        <is>
          <t>1993-11-15</t>
        </is>
      </c>
      <c r="Y1627" t="inlineStr">
        <is>
          <t>1991-11-05</t>
        </is>
      </c>
      <c r="Z1627" t="inlineStr">
        <is>
          <t>1991-11-05</t>
        </is>
      </c>
      <c r="AA1627" t="n">
        <v>512</v>
      </c>
      <c r="AB1627" t="n">
        <v>440</v>
      </c>
      <c r="AC1627" t="n">
        <v>1436</v>
      </c>
      <c r="AD1627" t="n">
        <v>5</v>
      </c>
      <c r="AE1627" t="n">
        <v>15</v>
      </c>
      <c r="AF1627" t="n">
        <v>25</v>
      </c>
      <c r="AG1627" t="n">
        <v>60</v>
      </c>
      <c r="AH1627" t="n">
        <v>9</v>
      </c>
      <c r="AI1627" t="n">
        <v>25</v>
      </c>
      <c r="AJ1627" t="n">
        <v>4</v>
      </c>
      <c r="AK1627" t="n">
        <v>10</v>
      </c>
      <c r="AL1627" t="n">
        <v>14</v>
      </c>
      <c r="AM1627" t="n">
        <v>26</v>
      </c>
      <c r="AN1627" t="n">
        <v>4</v>
      </c>
      <c r="AO1627" t="n">
        <v>12</v>
      </c>
      <c r="AP1627" t="n">
        <v>0</v>
      </c>
      <c r="AQ1627" t="n">
        <v>0</v>
      </c>
      <c r="AR1627" t="inlineStr">
        <is>
          <t>No</t>
        </is>
      </c>
      <c r="AS1627" t="inlineStr">
        <is>
          <t>Yes</t>
        </is>
      </c>
      <c r="AT1627">
        <f>HYPERLINK("http://catalog.hathitrust.org/Record/001093339","HathiTrust Record")</f>
        <v/>
      </c>
      <c r="AU1627">
        <f>HYPERLINK("https://creighton-primo.hosted.exlibrisgroup.com/primo-explore/search?tab=default_tab&amp;search_scope=EVERYTHING&amp;vid=01CRU&amp;lang=en_US&amp;offset=0&amp;query=any,contains,991001378349702656","Catalog Record")</f>
        <v/>
      </c>
      <c r="AV1627">
        <f>HYPERLINK("http://www.worldcat.org/oclc/18629519","WorldCat Record")</f>
        <v/>
      </c>
      <c r="AW1627" t="inlineStr">
        <is>
          <t>1409799:eng</t>
        </is>
      </c>
      <c r="AX1627" t="inlineStr">
        <is>
          <t>18629519</t>
        </is>
      </c>
      <c r="AY1627" t="inlineStr">
        <is>
          <t>991001378349702656</t>
        </is>
      </c>
      <c r="AZ1627" t="inlineStr">
        <is>
          <t>991001378349702656</t>
        </is>
      </c>
      <c r="BA1627" t="inlineStr">
        <is>
          <t>2265338850002656</t>
        </is>
      </c>
      <c r="BB1627" t="inlineStr">
        <is>
          <t>BOOK</t>
        </is>
      </c>
      <c r="BD1627" t="inlineStr">
        <is>
          <t>9780805769746</t>
        </is>
      </c>
      <c r="BE1627" t="inlineStr">
        <is>
          <t>32285000795863</t>
        </is>
      </c>
      <c r="BF1627" t="inlineStr">
        <is>
          <t>893346451</t>
        </is>
      </c>
    </row>
    <row r="1628">
      <c r="A1628" t="inlineStr">
        <is>
          <t>No</t>
        </is>
      </c>
      <c r="B1628" t="inlineStr">
        <is>
          <t>CURAL</t>
        </is>
      </c>
      <c r="C1628" t="inlineStr">
        <is>
          <t>SHELVES</t>
        </is>
      </c>
      <c r="D1628" t="inlineStr">
        <is>
          <t>PR4349.B7 Z85 1971</t>
        </is>
      </c>
      <c r="E1628" t="inlineStr">
        <is>
          <t>0                      PR 4349000B  7                  Z  85          1971</t>
        </is>
      </c>
      <c r="F1628" t="inlineStr">
        <is>
          <t>The earnest atheist; a study of Samuel Butler.</t>
        </is>
      </c>
      <c r="H1628" t="inlineStr">
        <is>
          <t>No</t>
        </is>
      </c>
      <c r="I1628" t="inlineStr">
        <is>
          <t>1</t>
        </is>
      </c>
      <c r="J1628" t="inlineStr">
        <is>
          <t>No</t>
        </is>
      </c>
      <c r="K1628" t="inlineStr">
        <is>
          <t>No</t>
        </is>
      </c>
      <c r="L1628" t="inlineStr">
        <is>
          <t>0</t>
        </is>
      </c>
      <c r="M1628" t="inlineStr">
        <is>
          <t>Muggeridge, Malcolm, 1903-1990.</t>
        </is>
      </c>
      <c r="N1628" t="inlineStr">
        <is>
          <t>New York, Haskell House Publishers, 1971.</t>
        </is>
      </c>
      <c r="O1628" t="inlineStr">
        <is>
          <t>1971</t>
        </is>
      </c>
      <c r="Q1628" t="inlineStr">
        <is>
          <t>eng</t>
        </is>
      </c>
      <c r="R1628" t="inlineStr">
        <is>
          <t>nyu</t>
        </is>
      </c>
      <c r="T1628" t="inlineStr">
        <is>
          <t xml:space="preserve">PR </t>
        </is>
      </c>
      <c r="U1628" t="n">
        <v>4</v>
      </c>
      <c r="V1628" t="n">
        <v>4</v>
      </c>
      <c r="W1628" t="inlineStr">
        <is>
          <t>2004-04-28</t>
        </is>
      </c>
      <c r="X1628" t="inlineStr">
        <is>
          <t>2004-04-28</t>
        </is>
      </c>
      <c r="Y1628" t="inlineStr">
        <is>
          <t>1997-06-25</t>
        </is>
      </c>
      <c r="Z1628" t="inlineStr">
        <is>
          <t>1997-06-25</t>
        </is>
      </c>
      <c r="AA1628" t="n">
        <v>137</v>
      </c>
      <c r="AB1628" t="n">
        <v>122</v>
      </c>
      <c r="AC1628" t="n">
        <v>297</v>
      </c>
      <c r="AD1628" t="n">
        <v>2</v>
      </c>
      <c r="AE1628" t="n">
        <v>4</v>
      </c>
      <c r="AF1628" t="n">
        <v>5</v>
      </c>
      <c r="AG1628" t="n">
        <v>19</v>
      </c>
      <c r="AH1628" t="n">
        <v>1</v>
      </c>
      <c r="AI1628" t="n">
        <v>7</v>
      </c>
      <c r="AJ1628" t="n">
        <v>2</v>
      </c>
      <c r="AK1628" t="n">
        <v>3</v>
      </c>
      <c r="AL1628" t="n">
        <v>2</v>
      </c>
      <c r="AM1628" t="n">
        <v>10</v>
      </c>
      <c r="AN1628" t="n">
        <v>1</v>
      </c>
      <c r="AO1628" t="n">
        <v>3</v>
      </c>
      <c r="AP1628" t="n">
        <v>0</v>
      </c>
      <c r="AQ1628" t="n">
        <v>0</v>
      </c>
      <c r="AR1628" t="inlineStr">
        <is>
          <t>No</t>
        </is>
      </c>
      <c r="AS1628" t="inlineStr">
        <is>
          <t>Yes</t>
        </is>
      </c>
      <c r="AT1628">
        <f>HYPERLINK("http://catalog.hathitrust.org/Record/000588108","HathiTrust Record")</f>
        <v/>
      </c>
      <c r="AU1628">
        <f>HYPERLINK("https://creighton-primo.hosted.exlibrisgroup.com/primo-explore/search?tab=default_tab&amp;search_scope=EVERYTHING&amp;vid=01CRU&amp;lang=en_US&amp;offset=0&amp;query=any,contains,991000817199702656","Catalog Record")</f>
        <v/>
      </c>
      <c r="AV1628">
        <f>HYPERLINK("http://www.worldcat.org/oclc/143122","WorldCat Record")</f>
        <v/>
      </c>
      <c r="AW1628" t="inlineStr">
        <is>
          <t>200989892:eng</t>
        </is>
      </c>
      <c r="AX1628" t="inlineStr">
        <is>
          <t>143122</t>
        </is>
      </c>
      <c r="AY1628" t="inlineStr">
        <is>
          <t>991000817199702656</t>
        </is>
      </c>
      <c r="AZ1628" t="inlineStr">
        <is>
          <t>991000817199702656</t>
        </is>
      </c>
      <c r="BA1628" t="inlineStr">
        <is>
          <t>2256597470002656</t>
        </is>
      </c>
      <c r="BB1628" t="inlineStr">
        <is>
          <t>BOOK</t>
        </is>
      </c>
      <c r="BD1628" t="inlineStr">
        <is>
          <t>9780838312421</t>
        </is>
      </c>
      <c r="BE1628" t="inlineStr">
        <is>
          <t>32285002832383</t>
        </is>
      </c>
      <c r="BF1628" t="inlineStr">
        <is>
          <t>893261623</t>
        </is>
      </c>
    </row>
    <row r="1629">
      <c r="A1629" t="inlineStr">
        <is>
          <t>No</t>
        </is>
      </c>
      <c r="B1629" t="inlineStr">
        <is>
          <t>CURAL</t>
        </is>
      </c>
      <c r="C1629" t="inlineStr">
        <is>
          <t>SHELVES</t>
        </is>
      </c>
      <c r="D1629" t="inlineStr">
        <is>
          <t>PR435 .C67 1992</t>
        </is>
      </c>
      <c r="E1629" t="inlineStr">
        <is>
          <t>0                      PR 0435000C  67          1992</t>
        </is>
      </c>
      <c r="F1629" t="inlineStr">
        <is>
          <t>Uncloistered virtue : English political literature, 1640-1660 / Thomas N. Corns.</t>
        </is>
      </c>
      <c r="H1629" t="inlineStr">
        <is>
          <t>No</t>
        </is>
      </c>
      <c r="I1629" t="inlineStr">
        <is>
          <t>1</t>
        </is>
      </c>
      <c r="J1629" t="inlineStr">
        <is>
          <t>No</t>
        </is>
      </c>
      <c r="K1629" t="inlineStr">
        <is>
          <t>No</t>
        </is>
      </c>
      <c r="L1629" t="inlineStr">
        <is>
          <t>0</t>
        </is>
      </c>
      <c r="M1629" t="inlineStr">
        <is>
          <t>Corns, Thomas N.</t>
        </is>
      </c>
      <c r="N1629" t="inlineStr">
        <is>
          <t>Oxford [England] : Clarendon Press ; New York : Oxford University Press, 1992.</t>
        </is>
      </c>
      <c r="O1629" t="inlineStr">
        <is>
          <t>1992</t>
        </is>
      </c>
      <c r="Q1629" t="inlineStr">
        <is>
          <t>eng</t>
        </is>
      </c>
      <c r="R1629" t="inlineStr">
        <is>
          <t>enk</t>
        </is>
      </c>
      <c r="T1629" t="inlineStr">
        <is>
          <t xml:space="preserve">PR </t>
        </is>
      </c>
      <c r="U1629" t="n">
        <v>2</v>
      </c>
      <c r="V1629" t="n">
        <v>2</v>
      </c>
      <c r="W1629" t="inlineStr">
        <is>
          <t>1996-04-20</t>
        </is>
      </c>
      <c r="X1629" t="inlineStr">
        <is>
          <t>1996-04-20</t>
        </is>
      </c>
      <c r="Y1629" t="inlineStr">
        <is>
          <t>1995-03-28</t>
        </is>
      </c>
      <c r="Z1629" t="inlineStr">
        <is>
          <t>1995-03-28</t>
        </is>
      </c>
      <c r="AA1629" t="n">
        <v>439</v>
      </c>
      <c r="AB1629" t="n">
        <v>299</v>
      </c>
      <c r="AC1629" t="n">
        <v>334</v>
      </c>
      <c r="AD1629" t="n">
        <v>4</v>
      </c>
      <c r="AE1629" t="n">
        <v>4</v>
      </c>
      <c r="AF1629" t="n">
        <v>18</v>
      </c>
      <c r="AG1629" t="n">
        <v>19</v>
      </c>
      <c r="AH1629" t="n">
        <v>4</v>
      </c>
      <c r="AI1629" t="n">
        <v>4</v>
      </c>
      <c r="AJ1629" t="n">
        <v>5</v>
      </c>
      <c r="AK1629" t="n">
        <v>6</v>
      </c>
      <c r="AL1629" t="n">
        <v>11</v>
      </c>
      <c r="AM1629" t="n">
        <v>11</v>
      </c>
      <c r="AN1629" t="n">
        <v>3</v>
      </c>
      <c r="AO1629" t="n">
        <v>3</v>
      </c>
      <c r="AP1629" t="n">
        <v>0</v>
      </c>
      <c r="AQ1629" t="n">
        <v>0</v>
      </c>
      <c r="AR1629" t="inlineStr">
        <is>
          <t>No</t>
        </is>
      </c>
      <c r="AS1629" t="inlineStr">
        <is>
          <t>Yes</t>
        </is>
      </c>
      <c r="AT1629">
        <f>HYPERLINK("http://catalog.hathitrust.org/Record/002591642","HathiTrust Record")</f>
        <v/>
      </c>
      <c r="AU1629">
        <f>HYPERLINK("https://creighton-primo.hosted.exlibrisgroup.com/primo-explore/search?tab=default_tab&amp;search_scope=EVERYTHING&amp;vid=01CRU&amp;lang=en_US&amp;offset=0&amp;query=any,contains,991002020459702656","Catalog Record")</f>
        <v/>
      </c>
      <c r="AV1629">
        <f>HYPERLINK("http://www.worldcat.org/oclc/25707456","WorldCat Record")</f>
        <v/>
      </c>
      <c r="AW1629" t="inlineStr">
        <is>
          <t>806739316:eng</t>
        </is>
      </c>
      <c r="AX1629" t="inlineStr">
        <is>
          <t>25707456</t>
        </is>
      </c>
      <c r="AY1629" t="inlineStr">
        <is>
          <t>991002020459702656</t>
        </is>
      </c>
      <c r="AZ1629" t="inlineStr">
        <is>
          <t>991002020459702656</t>
        </is>
      </c>
      <c r="BA1629" t="inlineStr">
        <is>
          <t>2260780160002656</t>
        </is>
      </c>
      <c r="BB1629" t="inlineStr">
        <is>
          <t>BOOK</t>
        </is>
      </c>
      <c r="BD1629" t="inlineStr">
        <is>
          <t>9780198128830</t>
        </is>
      </c>
      <c r="BE1629" t="inlineStr">
        <is>
          <t>32285002004793</t>
        </is>
      </c>
      <c r="BF1629" t="inlineStr">
        <is>
          <t>893503930</t>
        </is>
      </c>
    </row>
    <row r="1630">
      <c r="A1630" t="inlineStr">
        <is>
          <t>No</t>
        </is>
      </c>
      <c r="B1630" t="inlineStr">
        <is>
          <t>CURAL</t>
        </is>
      </c>
      <c r="C1630" t="inlineStr">
        <is>
          <t>SHELVES</t>
        </is>
      </c>
      <c r="D1630" t="inlineStr">
        <is>
          <t>PR4353 .M35 1986</t>
        </is>
      </c>
      <c r="E1630" t="inlineStr">
        <is>
          <t>0                      PR 4353000M  35          1986</t>
        </is>
      </c>
      <c r="F1630" t="inlineStr">
        <is>
          <t>Byron / edited by Jerome J. McGann.</t>
        </is>
      </c>
      <c r="H1630" t="inlineStr">
        <is>
          <t>No</t>
        </is>
      </c>
      <c r="I1630" t="inlineStr">
        <is>
          <t>1</t>
        </is>
      </c>
      <c r="J1630" t="inlineStr">
        <is>
          <t>No</t>
        </is>
      </c>
      <c r="K1630" t="inlineStr">
        <is>
          <t>No</t>
        </is>
      </c>
      <c r="L1630" t="inlineStr">
        <is>
          <t>0</t>
        </is>
      </c>
      <c r="M1630" t="inlineStr">
        <is>
          <t>Byron, George Gordon Byron, Baron, 1788-1824.</t>
        </is>
      </c>
      <c r="N1630" t="inlineStr">
        <is>
          <t>Oxford [Oxfordshire] ; New York : Oxford University Press, 1986.</t>
        </is>
      </c>
      <c r="O1630" t="inlineStr">
        <is>
          <t>1986</t>
        </is>
      </c>
      <c r="Q1630" t="inlineStr">
        <is>
          <t>eng</t>
        </is>
      </c>
      <c r="R1630" t="inlineStr">
        <is>
          <t>enk</t>
        </is>
      </c>
      <c r="S1630" t="inlineStr">
        <is>
          <t>The Oxford authors</t>
        </is>
      </c>
      <c r="T1630" t="inlineStr">
        <is>
          <t xml:space="preserve">PR </t>
        </is>
      </c>
      <c r="U1630" t="n">
        <v>4</v>
      </c>
      <c r="V1630" t="n">
        <v>4</v>
      </c>
      <c r="W1630" t="inlineStr">
        <is>
          <t>1993-11-30</t>
        </is>
      </c>
      <c r="X1630" t="inlineStr">
        <is>
          <t>1993-11-30</t>
        </is>
      </c>
      <c r="Y1630" t="inlineStr">
        <is>
          <t>1990-03-13</t>
        </is>
      </c>
      <c r="Z1630" t="inlineStr">
        <is>
          <t>1990-03-13</t>
        </is>
      </c>
      <c r="AA1630" t="n">
        <v>599</v>
      </c>
      <c r="AB1630" t="n">
        <v>447</v>
      </c>
      <c r="AC1630" t="n">
        <v>552</v>
      </c>
      <c r="AD1630" t="n">
        <v>5</v>
      </c>
      <c r="AE1630" t="n">
        <v>5</v>
      </c>
      <c r="AF1630" t="n">
        <v>27</v>
      </c>
      <c r="AG1630" t="n">
        <v>28</v>
      </c>
      <c r="AH1630" t="n">
        <v>11</v>
      </c>
      <c r="AI1630" t="n">
        <v>11</v>
      </c>
      <c r="AJ1630" t="n">
        <v>6</v>
      </c>
      <c r="AK1630" t="n">
        <v>6</v>
      </c>
      <c r="AL1630" t="n">
        <v>13</v>
      </c>
      <c r="AM1630" t="n">
        <v>14</v>
      </c>
      <c r="AN1630" t="n">
        <v>4</v>
      </c>
      <c r="AO1630" t="n">
        <v>4</v>
      </c>
      <c r="AP1630" t="n">
        <v>0</v>
      </c>
      <c r="AQ1630" t="n">
        <v>0</v>
      </c>
      <c r="AR1630" t="inlineStr">
        <is>
          <t>No</t>
        </is>
      </c>
      <c r="AS1630" t="inlineStr">
        <is>
          <t>Yes</t>
        </is>
      </c>
      <c r="AT1630">
        <f>HYPERLINK("http://catalog.hathitrust.org/Record/000631140","HathiTrust Record")</f>
        <v/>
      </c>
      <c r="AU1630">
        <f>HYPERLINK("https://creighton-primo.hosted.exlibrisgroup.com/primo-explore/search?tab=default_tab&amp;search_scope=EVERYTHING&amp;vid=01CRU&amp;lang=en_US&amp;offset=0&amp;query=any,contains,991000614149702656","Catalog Record")</f>
        <v/>
      </c>
      <c r="AV1630">
        <f>HYPERLINK("http://www.worldcat.org/oclc/11918499","WorldCat Record")</f>
        <v/>
      </c>
      <c r="AW1630" t="inlineStr">
        <is>
          <t>897823324:eng</t>
        </is>
      </c>
      <c r="AX1630" t="inlineStr">
        <is>
          <t>11918499</t>
        </is>
      </c>
      <c r="AY1630" t="inlineStr">
        <is>
          <t>991000614149702656</t>
        </is>
      </c>
      <c r="AZ1630" t="inlineStr">
        <is>
          <t>991000614149702656</t>
        </is>
      </c>
      <c r="BA1630" t="inlineStr">
        <is>
          <t>2259588880002656</t>
        </is>
      </c>
      <c r="BB1630" t="inlineStr">
        <is>
          <t>BOOK</t>
        </is>
      </c>
      <c r="BD1630" t="inlineStr">
        <is>
          <t>9780192813497</t>
        </is>
      </c>
      <c r="BE1630" t="inlineStr">
        <is>
          <t>32285000083252</t>
        </is>
      </c>
      <c r="BF1630" t="inlineStr">
        <is>
          <t>893608107</t>
        </is>
      </c>
    </row>
    <row r="1631">
      <c r="A1631" t="inlineStr">
        <is>
          <t>No</t>
        </is>
      </c>
      <c r="B1631" t="inlineStr">
        <is>
          <t>CURAL</t>
        </is>
      </c>
      <c r="C1631" t="inlineStr">
        <is>
          <t>SHELVES</t>
        </is>
      </c>
      <c r="D1631" t="inlineStr">
        <is>
          <t>PR4356 .S7</t>
        </is>
      </c>
      <c r="E1631" t="inlineStr">
        <is>
          <t>0                      PR 4356000S  7</t>
        </is>
      </c>
      <c r="F1631" t="inlineStr">
        <is>
          <t>Lord Byron's Cain: twelve essays and a text with variants and annotations.</t>
        </is>
      </c>
      <c r="H1631" t="inlineStr">
        <is>
          <t>No</t>
        </is>
      </c>
      <c r="I1631" t="inlineStr">
        <is>
          <t>1</t>
        </is>
      </c>
      <c r="J1631" t="inlineStr">
        <is>
          <t>No</t>
        </is>
      </c>
      <c r="K1631" t="inlineStr">
        <is>
          <t>No</t>
        </is>
      </c>
      <c r="L1631" t="inlineStr">
        <is>
          <t>0</t>
        </is>
      </c>
      <c r="M1631" t="inlineStr">
        <is>
          <t>Steffan, T. G. (Truman Guy) compiler.</t>
        </is>
      </c>
      <c r="N1631" t="inlineStr">
        <is>
          <t>Austin, University of Texas Press [c1968]</t>
        </is>
      </c>
      <c r="O1631" t="inlineStr">
        <is>
          <t>1968</t>
        </is>
      </c>
      <c r="Q1631" t="inlineStr">
        <is>
          <t>eng</t>
        </is>
      </c>
      <c r="R1631" t="inlineStr">
        <is>
          <t>txu</t>
        </is>
      </c>
      <c r="T1631" t="inlineStr">
        <is>
          <t xml:space="preserve">PR </t>
        </is>
      </c>
      <c r="U1631" t="n">
        <v>6</v>
      </c>
      <c r="V1631" t="n">
        <v>6</v>
      </c>
      <c r="W1631" t="inlineStr">
        <is>
          <t>2009-10-06</t>
        </is>
      </c>
      <c r="X1631" t="inlineStr">
        <is>
          <t>2009-10-06</t>
        </is>
      </c>
      <c r="Y1631" t="inlineStr">
        <is>
          <t>1997-06-25</t>
        </is>
      </c>
      <c r="Z1631" t="inlineStr">
        <is>
          <t>1997-06-25</t>
        </is>
      </c>
      <c r="AA1631" t="n">
        <v>823</v>
      </c>
      <c r="AB1631" t="n">
        <v>686</v>
      </c>
      <c r="AC1631" t="n">
        <v>702</v>
      </c>
      <c r="AD1631" t="n">
        <v>6</v>
      </c>
      <c r="AE1631" t="n">
        <v>6</v>
      </c>
      <c r="AF1631" t="n">
        <v>39</v>
      </c>
      <c r="AG1631" t="n">
        <v>39</v>
      </c>
      <c r="AH1631" t="n">
        <v>17</v>
      </c>
      <c r="AI1631" t="n">
        <v>17</v>
      </c>
      <c r="AJ1631" t="n">
        <v>10</v>
      </c>
      <c r="AK1631" t="n">
        <v>10</v>
      </c>
      <c r="AL1631" t="n">
        <v>19</v>
      </c>
      <c r="AM1631" t="n">
        <v>19</v>
      </c>
      <c r="AN1631" t="n">
        <v>5</v>
      </c>
      <c r="AO1631" t="n">
        <v>5</v>
      </c>
      <c r="AP1631" t="n">
        <v>0</v>
      </c>
      <c r="AQ1631" t="n">
        <v>0</v>
      </c>
      <c r="AR1631" t="inlineStr">
        <is>
          <t>No</t>
        </is>
      </c>
      <c r="AS1631" t="inlineStr">
        <is>
          <t>Yes</t>
        </is>
      </c>
      <c r="AT1631">
        <f>HYPERLINK("http://catalog.hathitrust.org/Record/000622008","HathiTrust Record")</f>
        <v/>
      </c>
      <c r="AU1631">
        <f>HYPERLINK("https://creighton-primo.hosted.exlibrisgroup.com/primo-explore/search?tab=default_tab&amp;search_scope=EVERYTHING&amp;vid=01CRU&amp;lang=en_US&amp;offset=0&amp;query=any,contains,991005434799702656","Catalog Record")</f>
        <v/>
      </c>
      <c r="AV1631">
        <f>HYPERLINK("http://www.worldcat.org/oclc/2584","WorldCat Record")</f>
        <v/>
      </c>
      <c r="AW1631" t="inlineStr">
        <is>
          <t>233614481:eng</t>
        </is>
      </c>
      <c r="AX1631" t="inlineStr">
        <is>
          <t>2584</t>
        </is>
      </c>
      <c r="AY1631" t="inlineStr">
        <is>
          <t>991005434799702656</t>
        </is>
      </c>
      <c r="AZ1631" t="inlineStr">
        <is>
          <t>991005434799702656</t>
        </is>
      </c>
      <c r="BA1631" t="inlineStr">
        <is>
          <t>2262643930002656</t>
        </is>
      </c>
      <c r="BB1631" t="inlineStr">
        <is>
          <t>BOOK</t>
        </is>
      </c>
      <c r="BD1631" t="inlineStr">
        <is>
          <t>9780292783881</t>
        </is>
      </c>
      <c r="BE1631" t="inlineStr">
        <is>
          <t>32285002832516</t>
        </is>
      </c>
      <c r="BF1631" t="inlineStr">
        <is>
          <t>893620003</t>
        </is>
      </c>
    </row>
    <row r="1632">
      <c r="A1632" t="inlineStr">
        <is>
          <t>No</t>
        </is>
      </c>
      <c r="B1632" t="inlineStr">
        <is>
          <t>CURAL</t>
        </is>
      </c>
      <c r="C1632" t="inlineStr">
        <is>
          <t>SHELVES</t>
        </is>
      </c>
      <c r="D1632" t="inlineStr">
        <is>
          <t>PR4359 .B43 1985</t>
        </is>
      </c>
      <c r="E1632" t="inlineStr">
        <is>
          <t>0                      PR 4359000B  43          1985</t>
        </is>
      </c>
      <c r="F1632" t="inlineStr">
        <is>
          <t>Byron's Don Juan / Bernard Beatty.</t>
        </is>
      </c>
      <c r="H1632" t="inlineStr">
        <is>
          <t>No</t>
        </is>
      </c>
      <c r="I1632" t="inlineStr">
        <is>
          <t>1</t>
        </is>
      </c>
      <c r="J1632" t="inlineStr">
        <is>
          <t>No</t>
        </is>
      </c>
      <c r="K1632" t="inlineStr">
        <is>
          <t>No</t>
        </is>
      </c>
      <c r="L1632" t="inlineStr">
        <is>
          <t>0</t>
        </is>
      </c>
      <c r="M1632" t="inlineStr">
        <is>
          <t>Beatty, B. G. (Bernard G.)</t>
        </is>
      </c>
      <c r="N1632" t="inlineStr">
        <is>
          <t>Totowa, N.J. : Barnes &amp; Noble Books, 1985.</t>
        </is>
      </c>
      <c r="O1632" t="inlineStr">
        <is>
          <t>1985</t>
        </is>
      </c>
      <c r="Q1632" t="inlineStr">
        <is>
          <t>eng</t>
        </is>
      </c>
      <c r="R1632" t="inlineStr">
        <is>
          <t>nju</t>
        </is>
      </c>
      <c r="T1632" t="inlineStr">
        <is>
          <t xml:space="preserve">PR </t>
        </is>
      </c>
      <c r="U1632" t="n">
        <v>3</v>
      </c>
      <c r="V1632" t="n">
        <v>3</v>
      </c>
      <c r="W1632" t="inlineStr">
        <is>
          <t>1995-04-15</t>
        </is>
      </c>
      <c r="X1632" t="inlineStr">
        <is>
          <t>1995-04-15</t>
        </is>
      </c>
      <c r="Y1632" t="inlineStr">
        <is>
          <t>1991-11-05</t>
        </is>
      </c>
      <c r="Z1632" t="inlineStr">
        <is>
          <t>1991-11-05</t>
        </is>
      </c>
      <c r="AA1632" t="n">
        <v>242</v>
      </c>
      <c r="AB1632" t="n">
        <v>217</v>
      </c>
      <c r="AC1632" t="n">
        <v>310</v>
      </c>
      <c r="AD1632" t="n">
        <v>2</v>
      </c>
      <c r="AE1632" t="n">
        <v>3</v>
      </c>
      <c r="AF1632" t="n">
        <v>14</v>
      </c>
      <c r="AG1632" t="n">
        <v>18</v>
      </c>
      <c r="AH1632" t="n">
        <v>6</v>
      </c>
      <c r="AI1632" t="n">
        <v>6</v>
      </c>
      <c r="AJ1632" t="n">
        <v>4</v>
      </c>
      <c r="AK1632" t="n">
        <v>5</v>
      </c>
      <c r="AL1632" t="n">
        <v>10</v>
      </c>
      <c r="AM1632" t="n">
        <v>13</v>
      </c>
      <c r="AN1632" t="n">
        <v>1</v>
      </c>
      <c r="AO1632" t="n">
        <v>2</v>
      </c>
      <c r="AP1632" t="n">
        <v>0</v>
      </c>
      <c r="AQ1632" t="n">
        <v>0</v>
      </c>
      <c r="AR1632" t="inlineStr">
        <is>
          <t>No</t>
        </is>
      </c>
      <c r="AS1632" t="inlineStr">
        <is>
          <t>Yes</t>
        </is>
      </c>
      <c r="AT1632">
        <f>HYPERLINK("http://catalog.hathitrust.org/Record/007586014","HathiTrust Record")</f>
        <v/>
      </c>
      <c r="AU1632">
        <f>HYPERLINK("https://creighton-primo.hosted.exlibrisgroup.com/primo-explore/search?tab=default_tab&amp;search_scope=EVERYTHING&amp;vid=01CRU&amp;lang=en_US&amp;offset=0&amp;query=any,contains,991000650779702656","Catalog Record")</f>
        <v/>
      </c>
      <c r="AV1632">
        <f>HYPERLINK("http://www.worldcat.org/oclc/12162839","WorldCat Record")</f>
        <v/>
      </c>
      <c r="AW1632" t="inlineStr">
        <is>
          <t>4569286632:eng</t>
        </is>
      </c>
      <c r="AX1632" t="inlineStr">
        <is>
          <t>12162839</t>
        </is>
      </c>
      <c r="AY1632" t="inlineStr">
        <is>
          <t>991000650779702656</t>
        </is>
      </c>
      <c r="AZ1632" t="inlineStr">
        <is>
          <t>991000650779702656</t>
        </is>
      </c>
      <c r="BA1632" t="inlineStr">
        <is>
          <t>2271943160002656</t>
        </is>
      </c>
      <c r="BB1632" t="inlineStr">
        <is>
          <t>BOOK</t>
        </is>
      </c>
      <c r="BD1632" t="inlineStr">
        <is>
          <t>9780389205890</t>
        </is>
      </c>
      <c r="BE1632" t="inlineStr">
        <is>
          <t>32285000795921</t>
        </is>
      </c>
      <c r="BF1632" t="inlineStr">
        <is>
          <t>893528251</t>
        </is>
      </c>
    </row>
    <row r="1633">
      <c r="A1633" t="inlineStr">
        <is>
          <t>No</t>
        </is>
      </c>
      <c r="B1633" t="inlineStr">
        <is>
          <t>CURAL</t>
        </is>
      </c>
      <c r="C1633" t="inlineStr">
        <is>
          <t>SHELVES</t>
        </is>
      </c>
      <c r="D1633" t="inlineStr">
        <is>
          <t>PR4359 .B55</t>
        </is>
      </c>
      <c r="E1633" t="inlineStr">
        <is>
          <t>0                      PR 4359000B  55</t>
        </is>
      </c>
      <c r="F1633" t="inlineStr">
        <is>
          <t>Twentieth century interpretations of Don Juan : a collection of critical essays / edited by Edward E. Bostetter.</t>
        </is>
      </c>
      <c r="H1633" t="inlineStr">
        <is>
          <t>No</t>
        </is>
      </c>
      <c r="I1633" t="inlineStr">
        <is>
          <t>1</t>
        </is>
      </c>
      <c r="J1633" t="inlineStr">
        <is>
          <t>No</t>
        </is>
      </c>
      <c r="K1633" t="inlineStr">
        <is>
          <t>No</t>
        </is>
      </c>
      <c r="L1633" t="inlineStr">
        <is>
          <t>0</t>
        </is>
      </c>
      <c r="M1633" t="inlineStr">
        <is>
          <t>Bostetter, Edward E. (Edward Everett), 1914-1973, compiler.</t>
        </is>
      </c>
      <c r="N1633" t="inlineStr">
        <is>
          <t>Englewood Cliffs, N.J. : Prentice-Hall, [1969]</t>
        </is>
      </c>
      <c r="O1633" t="inlineStr">
        <is>
          <t>1969</t>
        </is>
      </c>
      <c r="Q1633" t="inlineStr">
        <is>
          <t>eng</t>
        </is>
      </c>
      <c r="R1633" t="inlineStr">
        <is>
          <t>nju</t>
        </is>
      </c>
      <c r="S1633" t="inlineStr">
        <is>
          <t>A Spectrum book.</t>
        </is>
      </c>
      <c r="T1633" t="inlineStr">
        <is>
          <t xml:space="preserve">PR </t>
        </is>
      </c>
      <c r="U1633" t="n">
        <v>6</v>
      </c>
      <c r="V1633" t="n">
        <v>6</v>
      </c>
      <c r="W1633" t="inlineStr">
        <is>
          <t>2006-04-30</t>
        </is>
      </c>
      <c r="X1633" t="inlineStr">
        <is>
          <t>2006-04-30</t>
        </is>
      </c>
      <c r="Y1633" t="inlineStr">
        <is>
          <t>1990-10-08</t>
        </is>
      </c>
      <c r="Z1633" t="inlineStr">
        <is>
          <t>1990-10-08</t>
        </is>
      </c>
      <c r="AA1633" t="n">
        <v>1517</v>
      </c>
      <c r="AB1633" t="n">
        <v>1359</v>
      </c>
      <c r="AC1633" t="n">
        <v>1365</v>
      </c>
      <c r="AD1633" t="n">
        <v>15</v>
      </c>
      <c r="AE1633" t="n">
        <v>15</v>
      </c>
      <c r="AF1633" t="n">
        <v>51</v>
      </c>
      <c r="AG1633" t="n">
        <v>51</v>
      </c>
      <c r="AH1633" t="n">
        <v>17</v>
      </c>
      <c r="AI1633" t="n">
        <v>17</v>
      </c>
      <c r="AJ1633" t="n">
        <v>10</v>
      </c>
      <c r="AK1633" t="n">
        <v>10</v>
      </c>
      <c r="AL1633" t="n">
        <v>22</v>
      </c>
      <c r="AM1633" t="n">
        <v>22</v>
      </c>
      <c r="AN1633" t="n">
        <v>13</v>
      </c>
      <c r="AO1633" t="n">
        <v>13</v>
      </c>
      <c r="AP1633" t="n">
        <v>0</v>
      </c>
      <c r="AQ1633" t="n">
        <v>0</v>
      </c>
      <c r="AR1633" t="inlineStr">
        <is>
          <t>No</t>
        </is>
      </c>
      <c r="AS1633" t="inlineStr">
        <is>
          <t>Yes</t>
        </is>
      </c>
      <c r="AT1633">
        <f>HYPERLINK("http://catalog.hathitrust.org/Record/000587630","HathiTrust Record")</f>
        <v/>
      </c>
      <c r="AU1633">
        <f>HYPERLINK("https://creighton-primo.hosted.exlibrisgroup.com/primo-explore/search?tab=default_tab&amp;search_scope=EVERYTHING&amp;vid=01CRU&amp;lang=en_US&amp;offset=0&amp;query=any,contains,991000022709702656","Catalog Record")</f>
        <v/>
      </c>
      <c r="AV1633">
        <f>HYPERLINK("http://www.worldcat.org/oclc/18061","WorldCat Record")</f>
        <v/>
      </c>
      <c r="AW1633" t="inlineStr">
        <is>
          <t>864937543:eng</t>
        </is>
      </c>
      <c r="AX1633" t="inlineStr">
        <is>
          <t>18061</t>
        </is>
      </c>
      <c r="AY1633" t="inlineStr">
        <is>
          <t>991000022709702656</t>
        </is>
      </c>
      <c r="AZ1633" t="inlineStr">
        <is>
          <t>991000022709702656</t>
        </is>
      </c>
      <c r="BA1633" t="inlineStr">
        <is>
          <t>2272506550002656</t>
        </is>
      </c>
      <c r="BB1633" t="inlineStr">
        <is>
          <t>BOOK</t>
        </is>
      </c>
      <c r="BD1633" t="inlineStr">
        <is>
          <t>9780132187015</t>
        </is>
      </c>
      <c r="BE1633" t="inlineStr">
        <is>
          <t>32285000334382</t>
        </is>
      </c>
      <c r="BF1633" t="inlineStr">
        <is>
          <t>893890331</t>
        </is>
      </c>
    </row>
    <row r="1634">
      <c r="A1634" t="inlineStr">
        <is>
          <t>No</t>
        </is>
      </c>
      <c r="B1634" t="inlineStr">
        <is>
          <t>CURAL</t>
        </is>
      </c>
      <c r="C1634" t="inlineStr">
        <is>
          <t>SHELVES</t>
        </is>
      </c>
      <c r="D1634" t="inlineStr">
        <is>
          <t>PR4359 .R5</t>
        </is>
      </c>
      <c r="E1634" t="inlineStr">
        <is>
          <t>0                      PR 4359000R  5</t>
        </is>
      </c>
      <c r="F1634" t="inlineStr">
        <is>
          <t>The style of Don Juan.</t>
        </is>
      </c>
      <c r="H1634" t="inlineStr">
        <is>
          <t>No</t>
        </is>
      </c>
      <c r="I1634" t="inlineStr">
        <is>
          <t>1</t>
        </is>
      </c>
      <c r="J1634" t="inlineStr">
        <is>
          <t>No</t>
        </is>
      </c>
      <c r="K1634" t="inlineStr">
        <is>
          <t>No</t>
        </is>
      </c>
      <c r="L1634" t="inlineStr">
        <is>
          <t>0</t>
        </is>
      </c>
      <c r="M1634" t="inlineStr">
        <is>
          <t>Ridenour, George M.</t>
        </is>
      </c>
      <c r="N1634" t="inlineStr">
        <is>
          <t>New Haven : Yale University Press, 1960.</t>
        </is>
      </c>
      <c r="O1634" t="inlineStr">
        <is>
          <t>1960</t>
        </is>
      </c>
      <c r="Q1634" t="inlineStr">
        <is>
          <t>eng</t>
        </is>
      </c>
      <c r="R1634" t="inlineStr">
        <is>
          <t>ctu</t>
        </is>
      </c>
      <c r="S1634" t="inlineStr">
        <is>
          <t>Yale studies in English, v. 144</t>
        </is>
      </c>
      <c r="T1634" t="inlineStr">
        <is>
          <t xml:space="preserve">PR </t>
        </is>
      </c>
      <c r="U1634" t="n">
        <v>2</v>
      </c>
      <c r="V1634" t="n">
        <v>2</v>
      </c>
      <c r="W1634" t="inlineStr">
        <is>
          <t>2006-04-02</t>
        </is>
      </c>
      <c r="X1634" t="inlineStr">
        <is>
          <t>2006-04-02</t>
        </is>
      </c>
      <c r="Y1634" t="inlineStr">
        <is>
          <t>1990-10-08</t>
        </is>
      </c>
      <c r="Z1634" t="inlineStr">
        <is>
          <t>1990-10-08</t>
        </is>
      </c>
      <c r="AA1634" t="n">
        <v>669</v>
      </c>
      <c r="AB1634" t="n">
        <v>580</v>
      </c>
      <c r="AC1634" t="n">
        <v>748</v>
      </c>
      <c r="AD1634" t="n">
        <v>6</v>
      </c>
      <c r="AE1634" t="n">
        <v>8</v>
      </c>
      <c r="AF1634" t="n">
        <v>35</v>
      </c>
      <c r="AG1634" t="n">
        <v>44</v>
      </c>
      <c r="AH1634" t="n">
        <v>15</v>
      </c>
      <c r="AI1634" t="n">
        <v>19</v>
      </c>
      <c r="AJ1634" t="n">
        <v>8</v>
      </c>
      <c r="AK1634" t="n">
        <v>9</v>
      </c>
      <c r="AL1634" t="n">
        <v>17</v>
      </c>
      <c r="AM1634" t="n">
        <v>20</v>
      </c>
      <c r="AN1634" t="n">
        <v>5</v>
      </c>
      <c r="AO1634" t="n">
        <v>7</v>
      </c>
      <c r="AP1634" t="n">
        <v>0</v>
      </c>
      <c r="AQ1634" t="n">
        <v>0</v>
      </c>
      <c r="AR1634" t="inlineStr">
        <is>
          <t>No</t>
        </is>
      </c>
      <c r="AS1634" t="inlineStr">
        <is>
          <t>No</t>
        </is>
      </c>
      <c r="AU1634">
        <f>HYPERLINK("https://creighton-primo.hosted.exlibrisgroup.com/primo-explore/search?tab=default_tab&amp;search_scope=EVERYTHING&amp;vid=01CRU&amp;lang=en_US&amp;offset=0&amp;query=any,contains,991002480889702656","Catalog Record")</f>
        <v/>
      </c>
      <c r="AV1634">
        <f>HYPERLINK("http://www.worldcat.org/oclc/359722","WorldCat Record")</f>
        <v/>
      </c>
      <c r="AW1634" t="inlineStr">
        <is>
          <t>1128783:eng</t>
        </is>
      </c>
      <c r="AX1634" t="inlineStr">
        <is>
          <t>359722</t>
        </is>
      </c>
      <c r="AY1634" t="inlineStr">
        <is>
          <t>991002480889702656</t>
        </is>
      </c>
      <c r="AZ1634" t="inlineStr">
        <is>
          <t>991002480889702656</t>
        </is>
      </c>
      <c r="BA1634" t="inlineStr">
        <is>
          <t>2272495850002656</t>
        </is>
      </c>
      <c r="BB1634" t="inlineStr">
        <is>
          <t>BOOK</t>
        </is>
      </c>
      <c r="BE1634" t="inlineStr">
        <is>
          <t>32285000334390</t>
        </is>
      </c>
      <c r="BF1634" t="inlineStr">
        <is>
          <t>893316864</t>
        </is>
      </c>
    </row>
    <row r="1635">
      <c r="A1635" t="inlineStr">
        <is>
          <t>No</t>
        </is>
      </c>
      <c r="B1635" t="inlineStr">
        <is>
          <t>CURAL</t>
        </is>
      </c>
      <c r="C1635" t="inlineStr">
        <is>
          <t>SHELVES</t>
        </is>
      </c>
      <c r="D1635" t="inlineStr">
        <is>
          <t>PR4359 .T7</t>
        </is>
      </c>
      <c r="E1635" t="inlineStr">
        <is>
          <t>0                      PR 4359000T  7</t>
        </is>
      </c>
      <c r="F1635" t="inlineStr">
        <is>
          <t>The flowering of Byron's genius; studies in Byron's Don Juan, by Paul Graham Trueblood.</t>
        </is>
      </c>
      <c r="H1635" t="inlineStr">
        <is>
          <t>No</t>
        </is>
      </c>
      <c r="I1635" t="inlineStr">
        <is>
          <t>1</t>
        </is>
      </c>
      <c r="J1635" t="inlineStr">
        <is>
          <t>No</t>
        </is>
      </c>
      <c r="K1635" t="inlineStr">
        <is>
          <t>No</t>
        </is>
      </c>
      <c r="L1635" t="inlineStr">
        <is>
          <t>0</t>
        </is>
      </c>
      <c r="M1635" t="inlineStr">
        <is>
          <t>Trueblood, Paul Graham.</t>
        </is>
      </c>
      <c r="N1635" t="inlineStr">
        <is>
          <t>Stanford University, California, Stanford University Press [1945]</t>
        </is>
      </c>
      <c r="O1635" t="inlineStr">
        <is>
          <t>1945</t>
        </is>
      </c>
      <c r="Q1635" t="inlineStr">
        <is>
          <t>eng</t>
        </is>
      </c>
      <c r="R1635" t="inlineStr">
        <is>
          <t xml:space="preserve">xx </t>
        </is>
      </c>
      <c r="T1635" t="inlineStr">
        <is>
          <t xml:space="preserve">PR </t>
        </is>
      </c>
      <c r="U1635" t="n">
        <v>2</v>
      </c>
      <c r="V1635" t="n">
        <v>2</v>
      </c>
      <c r="W1635" t="inlineStr">
        <is>
          <t>2006-04-02</t>
        </is>
      </c>
      <c r="X1635" t="inlineStr">
        <is>
          <t>2006-04-02</t>
        </is>
      </c>
      <c r="Y1635" t="inlineStr">
        <is>
          <t>1997-06-25</t>
        </is>
      </c>
      <c r="Z1635" t="inlineStr">
        <is>
          <t>1997-06-25</t>
        </is>
      </c>
      <c r="AA1635" t="n">
        <v>238</v>
      </c>
      <c r="AB1635" t="n">
        <v>210</v>
      </c>
      <c r="AC1635" t="n">
        <v>762</v>
      </c>
      <c r="AD1635" t="n">
        <v>3</v>
      </c>
      <c r="AE1635" t="n">
        <v>7</v>
      </c>
      <c r="AF1635" t="n">
        <v>8</v>
      </c>
      <c r="AG1635" t="n">
        <v>36</v>
      </c>
      <c r="AH1635" t="n">
        <v>3</v>
      </c>
      <c r="AI1635" t="n">
        <v>16</v>
      </c>
      <c r="AJ1635" t="n">
        <v>1</v>
      </c>
      <c r="AK1635" t="n">
        <v>6</v>
      </c>
      <c r="AL1635" t="n">
        <v>4</v>
      </c>
      <c r="AM1635" t="n">
        <v>17</v>
      </c>
      <c r="AN1635" t="n">
        <v>2</v>
      </c>
      <c r="AO1635" t="n">
        <v>6</v>
      </c>
      <c r="AP1635" t="n">
        <v>0</v>
      </c>
      <c r="AQ1635" t="n">
        <v>0</v>
      </c>
      <c r="AR1635" t="inlineStr">
        <is>
          <t>No</t>
        </is>
      </c>
      <c r="AS1635" t="inlineStr">
        <is>
          <t>Yes</t>
        </is>
      </c>
      <c r="AT1635">
        <f>HYPERLINK("http://catalog.hathitrust.org/Record/000622010","HathiTrust Record")</f>
        <v/>
      </c>
      <c r="AU1635">
        <f>HYPERLINK("https://creighton-primo.hosted.exlibrisgroup.com/primo-explore/search?tab=default_tab&amp;search_scope=EVERYTHING&amp;vid=01CRU&amp;lang=en_US&amp;offset=0&amp;query=any,contains,991003954219702656","Catalog Record")</f>
        <v/>
      </c>
      <c r="AV1635">
        <f>HYPERLINK("http://www.worldcat.org/oclc/1960671","WorldCat Record")</f>
        <v/>
      </c>
      <c r="AW1635" t="inlineStr">
        <is>
          <t>1404716:eng</t>
        </is>
      </c>
      <c r="AX1635" t="inlineStr">
        <is>
          <t>1960671</t>
        </is>
      </c>
      <c r="AY1635" t="inlineStr">
        <is>
          <t>991003954219702656</t>
        </is>
      </c>
      <c r="AZ1635" t="inlineStr">
        <is>
          <t>991003954219702656</t>
        </is>
      </c>
      <c r="BA1635" t="inlineStr">
        <is>
          <t>2264498600002656</t>
        </is>
      </c>
      <c r="BB1635" t="inlineStr">
        <is>
          <t>BOOK</t>
        </is>
      </c>
      <c r="BE1635" t="inlineStr">
        <is>
          <t>32285002832540</t>
        </is>
      </c>
      <c r="BF1635" t="inlineStr">
        <is>
          <t>893605452</t>
        </is>
      </c>
    </row>
    <row r="1636">
      <c r="A1636" t="inlineStr">
        <is>
          <t>No</t>
        </is>
      </c>
      <c r="B1636" t="inlineStr">
        <is>
          <t>CURAL</t>
        </is>
      </c>
      <c r="C1636" t="inlineStr">
        <is>
          <t>SHELVES</t>
        </is>
      </c>
      <c r="D1636" t="inlineStr">
        <is>
          <t>PR437 .D79 1993</t>
        </is>
      </c>
      <c r="E1636" t="inlineStr">
        <is>
          <t>0                      PR 0437000D  79          1993</t>
        </is>
      </c>
      <c r="F1636" t="inlineStr">
        <is>
          <t>Dryden to Johnson / edited by Roger Lonsdale.</t>
        </is>
      </c>
      <c r="H1636" t="inlineStr">
        <is>
          <t>No</t>
        </is>
      </c>
      <c r="I1636" t="inlineStr">
        <is>
          <t>1</t>
        </is>
      </c>
      <c r="J1636" t="inlineStr">
        <is>
          <t>No</t>
        </is>
      </c>
      <c r="K1636" t="inlineStr">
        <is>
          <t>No</t>
        </is>
      </c>
      <c r="L1636" t="inlineStr">
        <is>
          <t>0</t>
        </is>
      </c>
      <c r="N1636" t="inlineStr">
        <is>
          <t>London ; New York : Penguin Books, 1993.</t>
        </is>
      </c>
      <c r="O1636" t="inlineStr">
        <is>
          <t>1993</t>
        </is>
      </c>
      <c r="Q1636" t="inlineStr">
        <is>
          <t>eng</t>
        </is>
      </c>
      <c r="R1636" t="inlineStr">
        <is>
          <t>enk</t>
        </is>
      </c>
      <c r="S1636" t="inlineStr">
        <is>
          <t>Penguin history of literature ; 4</t>
        </is>
      </c>
      <c r="T1636" t="inlineStr">
        <is>
          <t xml:space="preserve">PR </t>
        </is>
      </c>
      <c r="U1636" t="n">
        <v>1</v>
      </c>
      <c r="V1636" t="n">
        <v>1</v>
      </c>
      <c r="W1636" t="inlineStr">
        <is>
          <t>2005-03-03</t>
        </is>
      </c>
      <c r="X1636" t="inlineStr">
        <is>
          <t>2005-03-03</t>
        </is>
      </c>
      <c r="Y1636" t="inlineStr">
        <is>
          <t>2005-03-03</t>
        </is>
      </c>
      <c r="Z1636" t="inlineStr">
        <is>
          <t>2005-03-03</t>
        </is>
      </c>
      <c r="AA1636" t="n">
        <v>73</v>
      </c>
      <c r="AB1636" t="n">
        <v>31</v>
      </c>
      <c r="AC1636" t="n">
        <v>43</v>
      </c>
      <c r="AD1636" t="n">
        <v>1</v>
      </c>
      <c r="AE1636" t="n">
        <v>1</v>
      </c>
      <c r="AF1636" t="n">
        <v>0</v>
      </c>
      <c r="AG1636" t="n">
        <v>0</v>
      </c>
      <c r="AH1636" t="n">
        <v>0</v>
      </c>
      <c r="AI1636" t="n">
        <v>0</v>
      </c>
      <c r="AJ1636" t="n">
        <v>0</v>
      </c>
      <c r="AK1636" t="n">
        <v>0</v>
      </c>
      <c r="AL1636" t="n">
        <v>0</v>
      </c>
      <c r="AM1636" t="n">
        <v>0</v>
      </c>
      <c r="AN1636" t="n">
        <v>0</v>
      </c>
      <c r="AO1636" t="n">
        <v>0</v>
      </c>
      <c r="AP1636" t="n">
        <v>0</v>
      </c>
      <c r="AQ1636" t="n">
        <v>0</v>
      </c>
      <c r="AR1636" t="inlineStr">
        <is>
          <t>No</t>
        </is>
      </c>
      <c r="AS1636" t="inlineStr">
        <is>
          <t>No</t>
        </is>
      </c>
      <c r="AU1636">
        <f>HYPERLINK("https://creighton-primo.hosted.exlibrisgroup.com/primo-explore/search?tab=default_tab&amp;search_scope=EVERYTHING&amp;vid=01CRU&amp;lang=en_US&amp;offset=0&amp;query=any,contains,991004491859702656","Catalog Record")</f>
        <v/>
      </c>
      <c r="AV1636">
        <f>HYPERLINK("http://www.worldcat.org/oclc/32349722","WorldCat Record")</f>
        <v/>
      </c>
      <c r="AW1636" t="inlineStr">
        <is>
          <t>10596290146:eng</t>
        </is>
      </c>
      <c r="AX1636" t="inlineStr">
        <is>
          <t>32349722</t>
        </is>
      </c>
      <c r="AY1636" t="inlineStr">
        <is>
          <t>991004491859702656</t>
        </is>
      </c>
      <c r="AZ1636" t="inlineStr">
        <is>
          <t>991004491859702656</t>
        </is>
      </c>
      <c r="BA1636" t="inlineStr">
        <is>
          <t>2264279050002656</t>
        </is>
      </c>
      <c r="BB1636" t="inlineStr">
        <is>
          <t>BOOK</t>
        </is>
      </c>
      <c r="BD1636" t="inlineStr">
        <is>
          <t>9780140177541</t>
        </is>
      </c>
      <c r="BE1636" t="inlineStr">
        <is>
          <t>32285005029359</t>
        </is>
      </c>
      <c r="BF1636" t="inlineStr">
        <is>
          <t>893423874</t>
        </is>
      </c>
    </row>
    <row r="1637">
      <c r="A1637" t="inlineStr">
        <is>
          <t>No</t>
        </is>
      </c>
      <c r="B1637" t="inlineStr">
        <is>
          <t>CURAL</t>
        </is>
      </c>
      <c r="C1637" t="inlineStr">
        <is>
          <t>SHELVES</t>
        </is>
      </c>
      <c r="D1637" t="inlineStr">
        <is>
          <t>PR437 .K7 1991</t>
        </is>
      </c>
      <c r="E1637" t="inlineStr">
        <is>
          <t>0                      PR 0437000K  7           1991</t>
        </is>
      </c>
      <c r="F1637" t="inlineStr">
        <is>
          <t>The material word : literate culture in the Restoration and early eighteenth century / Richard W.F. Kroll.</t>
        </is>
      </c>
      <c r="H1637" t="inlineStr">
        <is>
          <t>No</t>
        </is>
      </c>
      <c r="I1637" t="inlineStr">
        <is>
          <t>1</t>
        </is>
      </c>
      <c r="J1637" t="inlineStr">
        <is>
          <t>No</t>
        </is>
      </c>
      <c r="K1637" t="inlineStr">
        <is>
          <t>No</t>
        </is>
      </c>
      <c r="L1637" t="inlineStr">
        <is>
          <t>0</t>
        </is>
      </c>
      <c r="M1637" t="inlineStr">
        <is>
          <t>Kroll, Richard W. F.</t>
        </is>
      </c>
      <c r="N1637" t="inlineStr">
        <is>
          <t>Baltimore : Johns Hopkins University Press, c1991.</t>
        </is>
      </c>
      <c r="O1637" t="inlineStr">
        <is>
          <t>1991</t>
        </is>
      </c>
      <c r="Q1637" t="inlineStr">
        <is>
          <t>eng</t>
        </is>
      </c>
      <c r="R1637" t="inlineStr">
        <is>
          <t>mdu</t>
        </is>
      </c>
      <c r="T1637" t="inlineStr">
        <is>
          <t xml:space="preserve">PR </t>
        </is>
      </c>
      <c r="U1637" t="n">
        <v>2</v>
      </c>
      <c r="V1637" t="n">
        <v>2</v>
      </c>
      <c r="W1637" t="inlineStr">
        <is>
          <t>2004-04-07</t>
        </is>
      </c>
      <c r="X1637" t="inlineStr">
        <is>
          <t>2004-04-07</t>
        </is>
      </c>
      <c r="Y1637" t="inlineStr">
        <is>
          <t>1991-05-31</t>
        </is>
      </c>
      <c r="Z1637" t="inlineStr">
        <is>
          <t>1991-05-31</t>
        </is>
      </c>
      <c r="AA1637" t="n">
        <v>486</v>
      </c>
      <c r="AB1637" t="n">
        <v>378</v>
      </c>
      <c r="AC1637" t="n">
        <v>386</v>
      </c>
      <c r="AD1637" t="n">
        <v>3</v>
      </c>
      <c r="AE1637" t="n">
        <v>3</v>
      </c>
      <c r="AF1637" t="n">
        <v>19</v>
      </c>
      <c r="AG1637" t="n">
        <v>19</v>
      </c>
      <c r="AH1637" t="n">
        <v>6</v>
      </c>
      <c r="AI1637" t="n">
        <v>6</v>
      </c>
      <c r="AJ1637" t="n">
        <v>6</v>
      </c>
      <c r="AK1637" t="n">
        <v>6</v>
      </c>
      <c r="AL1637" t="n">
        <v>12</v>
      </c>
      <c r="AM1637" t="n">
        <v>12</v>
      </c>
      <c r="AN1637" t="n">
        <v>2</v>
      </c>
      <c r="AO1637" t="n">
        <v>2</v>
      </c>
      <c r="AP1637" t="n">
        <v>0</v>
      </c>
      <c r="AQ1637" t="n">
        <v>0</v>
      </c>
      <c r="AR1637" t="inlineStr">
        <is>
          <t>No</t>
        </is>
      </c>
      <c r="AS1637" t="inlineStr">
        <is>
          <t>Yes</t>
        </is>
      </c>
      <c r="AT1637">
        <f>HYPERLINK("http://catalog.hathitrust.org/Record/002430120","HathiTrust Record")</f>
        <v/>
      </c>
      <c r="AU1637">
        <f>HYPERLINK("https://creighton-primo.hosted.exlibrisgroup.com/primo-explore/search?tab=default_tab&amp;search_scope=EVERYTHING&amp;vid=01CRU&amp;lang=en_US&amp;offset=0&amp;query=any,contains,991001644569702656","Catalog Record")</f>
        <v/>
      </c>
      <c r="AV1637">
        <f>HYPERLINK("http://www.worldcat.org/oclc/21041035","WorldCat Record")</f>
        <v/>
      </c>
      <c r="AW1637" t="inlineStr">
        <is>
          <t>29425:eng</t>
        </is>
      </c>
      <c r="AX1637" t="inlineStr">
        <is>
          <t>21041035</t>
        </is>
      </c>
      <c r="AY1637" t="inlineStr">
        <is>
          <t>991001644569702656</t>
        </is>
      </c>
      <c r="AZ1637" t="inlineStr">
        <is>
          <t>991001644569702656</t>
        </is>
      </c>
      <c r="BA1637" t="inlineStr">
        <is>
          <t>2267167350002656</t>
        </is>
      </c>
      <c r="BB1637" t="inlineStr">
        <is>
          <t>BOOK</t>
        </is>
      </c>
      <c r="BD1637" t="inlineStr">
        <is>
          <t>9780801840029</t>
        </is>
      </c>
      <c r="BE1637" t="inlineStr">
        <is>
          <t>32285000591379</t>
        </is>
      </c>
      <c r="BF1637" t="inlineStr">
        <is>
          <t>893596590</t>
        </is>
      </c>
    </row>
    <row r="1638">
      <c r="A1638" t="inlineStr">
        <is>
          <t>No</t>
        </is>
      </c>
      <c r="B1638" t="inlineStr">
        <is>
          <t>CURAL</t>
        </is>
      </c>
      <c r="C1638" t="inlineStr">
        <is>
          <t>SHELVES</t>
        </is>
      </c>
      <c r="D1638" t="inlineStr">
        <is>
          <t>PR437 .L55 1995</t>
        </is>
      </c>
      <c r="E1638" t="inlineStr">
        <is>
          <t>0                      PR 0437000L  55          1995</t>
        </is>
      </c>
      <c r="F1638" t="inlineStr">
        <is>
          <t>Culture and society in the Stuart Restoration : literature, drama, history / edited by Gerald MacLean.</t>
        </is>
      </c>
      <c r="H1638" t="inlineStr">
        <is>
          <t>No</t>
        </is>
      </c>
      <c r="I1638" t="inlineStr">
        <is>
          <t>1</t>
        </is>
      </c>
      <c r="J1638" t="inlineStr">
        <is>
          <t>No</t>
        </is>
      </c>
      <c r="K1638" t="inlineStr">
        <is>
          <t>No</t>
        </is>
      </c>
      <c r="L1638" t="inlineStr">
        <is>
          <t>0</t>
        </is>
      </c>
      <c r="N1638" t="inlineStr">
        <is>
          <t>Cambridge [England] ; New York, N.Y. : Cambridge University Press, 1995.</t>
        </is>
      </c>
      <c r="O1638" t="inlineStr">
        <is>
          <t>1995</t>
        </is>
      </c>
      <c r="Q1638" t="inlineStr">
        <is>
          <t>eng</t>
        </is>
      </c>
      <c r="R1638" t="inlineStr">
        <is>
          <t>enk</t>
        </is>
      </c>
      <c r="T1638" t="inlineStr">
        <is>
          <t xml:space="preserve">PR </t>
        </is>
      </c>
      <c r="U1638" t="n">
        <v>1</v>
      </c>
      <c r="V1638" t="n">
        <v>1</v>
      </c>
      <c r="W1638" t="inlineStr">
        <is>
          <t>2004-10-14</t>
        </is>
      </c>
      <c r="X1638" t="inlineStr">
        <is>
          <t>2004-10-14</t>
        </is>
      </c>
      <c r="Y1638" t="inlineStr">
        <is>
          <t>2004-10-14</t>
        </is>
      </c>
      <c r="Z1638" t="inlineStr">
        <is>
          <t>2004-10-14</t>
        </is>
      </c>
      <c r="AA1638" t="n">
        <v>434</v>
      </c>
      <c r="AB1638" t="n">
        <v>299</v>
      </c>
      <c r="AC1638" t="n">
        <v>311</v>
      </c>
      <c r="AD1638" t="n">
        <v>3</v>
      </c>
      <c r="AE1638" t="n">
        <v>3</v>
      </c>
      <c r="AF1638" t="n">
        <v>22</v>
      </c>
      <c r="AG1638" t="n">
        <v>22</v>
      </c>
      <c r="AH1638" t="n">
        <v>11</v>
      </c>
      <c r="AI1638" t="n">
        <v>11</v>
      </c>
      <c r="AJ1638" t="n">
        <v>5</v>
      </c>
      <c r="AK1638" t="n">
        <v>5</v>
      </c>
      <c r="AL1638" t="n">
        <v>11</v>
      </c>
      <c r="AM1638" t="n">
        <v>11</v>
      </c>
      <c r="AN1638" t="n">
        <v>2</v>
      </c>
      <c r="AO1638" t="n">
        <v>2</v>
      </c>
      <c r="AP1638" t="n">
        <v>0</v>
      </c>
      <c r="AQ1638" t="n">
        <v>0</v>
      </c>
      <c r="AR1638" t="inlineStr">
        <is>
          <t>No</t>
        </is>
      </c>
      <c r="AS1638" t="inlineStr">
        <is>
          <t>No</t>
        </is>
      </c>
      <c r="AU1638">
        <f>HYPERLINK("https://creighton-primo.hosted.exlibrisgroup.com/primo-explore/search?tab=default_tab&amp;search_scope=EVERYTHING&amp;vid=01CRU&amp;lang=en_US&amp;offset=0&amp;query=any,contains,991004398829702656","Catalog Record")</f>
        <v/>
      </c>
      <c r="AV1638">
        <f>HYPERLINK("http://www.worldcat.org/oclc/30671334","WorldCat Record")</f>
        <v/>
      </c>
      <c r="AW1638" t="inlineStr">
        <is>
          <t>896872678:eng</t>
        </is>
      </c>
      <c r="AX1638" t="inlineStr">
        <is>
          <t>30671334</t>
        </is>
      </c>
      <c r="AY1638" t="inlineStr">
        <is>
          <t>991004398829702656</t>
        </is>
      </c>
      <c r="AZ1638" t="inlineStr">
        <is>
          <t>991004398829702656</t>
        </is>
      </c>
      <c r="BA1638" t="inlineStr">
        <is>
          <t>2263197190002656</t>
        </is>
      </c>
      <c r="BB1638" t="inlineStr">
        <is>
          <t>BOOK</t>
        </is>
      </c>
      <c r="BD1638" t="inlineStr">
        <is>
          <t>9780521416054</t>
        </is>
      </c>
      <c r="BE1638" t="inlineStr">
        <is>
          <t>32285005004550</t>
        </is>
      </c>
      <c r="BF1638" t="inlineStr">
        <is>
          <t>893247542</t>
        </is>
      </c>
    </row>
    <row r="1639">
      <c r="A1639" t="inlineStr">
        <is>
          <t>No</t>
        </is>
      </c>
      <c r="B1639" t="inlineStr">
        <is>
          <t>CURAL</t>
        </is>
      </c>
      <c r="C1639" t="inlineStr">
        <is>
          <t>SHELVES</t>
        </is>
      </c>
      <c r="D1639" t="inlineStr">
        <is>
          <t>PR437 .L65</t>
        </is>
      </c>
      <c r="E1639" t="inlineStr">
        <is>
          <t>0                      PR 0437000L  65</t>
        </is>
      </c>
      <c r="F1639" t="inlineStr">
        <is>
          <t>Restoration literature; critical approaches; edited by Harold Love.</t>
        </is>
      </c>
      <c r="H1639" t="inlineStr">
        <is>
          <t>No</t>
        </is>
      </c>
      <c r="I1639" t="inlineStr">
        <is>
          <t>1</t>
        </is>
      </c>
      <c r="J1639" t="inlineStr">
        <is>
          <t>No</t>
        </is>
      </c>
      <c r="K1639" t="inlineStr">
        <is>
          <t>No</t>
        </is>
      </c>
      <c r="L1639" t="inlineStr">
        <is>
          <t>0</t>
        </is>
      </c>
      <c r="M1639" t="inlineStr">
        <is>
          <t>Love, Harold, 1937-2007.</t>
        </is>
      </c>
      <c r="N1639" t="inlineStr">
        <is>
          <t>London, Methuen [1972]</t>
        </is>
      </c>
      <c r="O1639" t="inlineStr">
        <is>
          <t>1972</t>
        </is>
      </c>
      <c r="Q1639" t="inlineStr">
        <is>
          <t>eng</t>
        </is>
      </c>
      <c r="R1639" t="inlineStr">
        <is>
          <t>enk</t>
        </is>
      </c>
      <c r="T1639" t="inlineStr">
        <is>
          <t xml:space="preserve">PR </t>
        </is>
      </c>
      <c r="U1639" t="n">
        <v>2</v>
      </c>
      <c r="V1639" t="n">
        <v>2</v>
      </c>
      <c r="W1639" t="inlineStr">
        <is>
          <t>1998-12-16</t>
        </is>
      </c>
      <c r="X1639" t="inlineStr">
        <is>
          <t>1998-12-16</t>
        </is>
      </c>
      <c r="Y1639" t="inlineStr">
        <is>
          <t>1997-08-20</t>
        </is>
      </c>
      <c r="Z1639" t="inlineStr">
        <is>
          <t>1997-08-20</t>
        </is>
      </c>
      <c r="AA1639" t="n">
        <v>959</v>
      </c>
      <c r="AB1639" t="n">
        <v>740</v>
      </c>
      <c r="AC1639" t="n">
        <v>748</v>
      </c>
      <c r="AD1639" t="n">
        <v>8</v>
      </c>
      <c r="AE1639" t="n">
        <v>8</v>
      </c>
      <c r="AF1639" t="n">
        <v>37</v>
      </c>
      <c r="AG1639" t="n">
        <v>37</v>
      </c>
      <c r="AH1639" t="n">
        <v>11</v>
      </c>
      <c r="AI1639" t="n">
        <v>11</v>
      </c>
      <c r="AJ1639" t="n">
        <v>8</v>
      </c>
      <c r="AK1639" t="n">
        <v>8</v>
      </c>
      <c r="AL1639" t="n">
        <v>20</v>
      </c>
      <c r="AM1639" t="n">
        <v>20</v>
      </c>
      <c r="AN1639" t="n">
        <v>6</v>
      </c>
      <c r="AO1639" t="n">
        <v>6</v>
      </c>
      <c r="AP1639" t="n">
        <v>0</v>
      </c>
      <c r="AQ1639" t="n">
        <v>0</v>
      </c>
      <c r="AR1639" t="inlineStr">
        <is>
          <t>No</t>
        </is>
      </c>
      <c r="AS1639" t="inlineStr">
        <is>
          <t>Yes</t>
        </is>
      </c>
      <c r="AT1639">
        <f>HYPERLINK("http://catalog.hathitrust.org/Record/001016344","HathiTrust Record")</f>
        <v/>
      </c>
      <c r="AU1639">
        <f>HYPERLINK("https://creighton-primo.hosted.exlibrisgroup.com/primo-explore/search?tab=default_tab&amp;search_scope=EVERYTHING&amp;vid=01CRU&amp;lang=en_US&amp;offset=0&amp;query=any,contains,991002757809702656","Catalog Record")</f>
        <v/>
      </c>
      <c r="AV1639">
        <f>HYPERLINK("http://www.worldcat.org/oclc/427026","WorldCat Record")</f>
        <v/>
      </c>
      <c r="AW1639" t="inlineStr">
        <is>
          <t>887890817:eng</t>
        </is>
      </c>
      <c r="AX1639" t="inlineStr">
        <is>
          <t>427026</t>
        </is>
      </c>
      <c r="AY1639" t="inlineStr">
        <is>
          <t>991002757809702656</t>
        </is>
      </c>
      <c r="AZ1639" t="inlineStr">
        <is>
          <t>991002757809702656</t>
        </is>
      </c>
      <c r="BA1639" t="inlineStr">
        <is>
          <t>2265544550002656</t>
        </is>
      </c>
      <c r="BB1639" t="inlineStr">
        <is>
          <t>BOOK</t>
        </is>
      </c>
      <c r="BD1639" t="inlineStr">
        <is>
          <t>9780416662405</t>
        </is>
      </c>
      <c r="BE1639" t="inlineStr">
        <is>
          <t>32285003151478</t>
        </is>
      </c>
      <c r="BF1639" t="inlineStr">
        <is>
          <t>893511155</t>
        </is>
      </c>
    </row>
    <row r="1640">
      <c r="A1640" t="inlineStr">
        <is>
          <t>No</t>
        </is>
      </c>
      <c r="B1640" t="inlineStr">
        <is>
          <t>CURAL</t>
        </is>
      </c>
      <c r="C1640" t="inlineStr">
        <is>
          <t>SHELVES</t>
        </is>
      </c>
      <c r="D1640" t="inlineStr">
        <is>
          <t>PR437 .S35</t>
        </is>
      </c>
      <c r="E1640" t="inlineStr">
        <is>
          <t>0                      PR 0437000S  35</t>
        </is>
      </c>
      <c r="F1640" t="inlineStr">
        <is>
          <t>Essential articles: for the study of English Augustan backgrounds.</t>
        </is>
      </c>
      <c r="H1640" t="inlineStr">
        <is>
          <t>No</t>
        </is>
      </c>
      <c r="I1640" t="inlineStr">
        <is>
          <t>1</t>
        </is>
      </c>
      <c r="J1640" t="inlineStr">
        <is>
          <t>No</t>
        </is>
      </c>
      <c r="K1640" t="inlineStr">
        <is>
          <t>No</t>
        </is>
      </c>
      <c r="L1640" t="inlineStr">
        <is>
          <t>0</t>
        </is>
      </c>
      <c r="M1640" t="inlineStr">
        <is>
          <t>Schilling, Bernard Nicholas editor.</t>
        </is>
      </c>
      <c r="N1640" t="inlineStr">
        <is>
          <t>Hamden, Conn., Archon Books, 1961.</t>
        </is>
      </c>
      <c r="O1640" t="inlineStr">
        <is>
          <t>1961</t>
        </is>
      </c>
      <c r="Q1640" t="inlineStr">
        <is>
          <t>eng</t>
        </is>
      </c>
      <c r="R1640" t="inlineStr">
        <is>
          <t>ctu</t>
        </is>
      </c>
      <c r="T1640" t="inlineStr">
        <is>
          <t xml:space="preserve">PR </t>
        </is>
      </c>
      <c r="U1640" t="n">
        <v>3</v>
      </c>
      <c r="V1640" t="n">
        <v>3</v>
      </c>
      <c r="W1640" t="inlineStr">
        <is>
          <t>2001-04-12</t>
        </is>
      </c>
      <c r="X1640" t="inlineStr">
        <is>
          <t>2001-04-12</t>
        </is>
      </c>
      <c r="Y1640" t="inlineStr">
        <is>
          <t>1997-08-20</t>
        </is>
      </c>
      <c r="Z1640" t="inlineStr">
        <is>
          <t>1997-08-20</t>
        </is>
      </c>
      <c r="AA1640" t="n">
        <v>683</v>
      </c>
      <c r="AB1640" t="n">
        <v>577</v>
      </c>
      <c r="AC1640" t="n">
        <v>585</v>
      </c>
      <c r="AD1640" t="n">
        <v>6</v>
      </c>
      <c r="AE1640" t="n">
        <v>6</v>
      </c>
      <c r="AF1640" t="n">
        <v>30</v>
      </c>
      <c r="AG1640" t="n">
        <v>31</v>
      </c>
      <c r="AH1640" t="n">
        <v>10</v>
      </c>
      <c r="AI1640" t="n">
        <v>11</v>
      </c>
      <c r="AJ1640" t="n">
        <v>4</v>
      </c>
      <c r="AK1640" t="n">
        <v>4</v>
      </c>
      <c r="AL1640" t="n">
        <v>19</v>
      </c>
      <c r="AM1640" t="n">
        <v>20</v>
      </c>
      <c r="AN1640" t="n">
        <v>5</v>
      </c>
      <c r="AO1640" t="n">
        <v>5</v>
      </c>
      <c r="AP1640" t="n">
        <v>0</v>
      </c>
      <c r="AQ1640" t="n">
        <v>0</v>
      </c>
      <c r="AR1640" t="inlineStr">
        <is>
          <t>No</t>
        </is>
      </c>
      <c r="AS1640" t="inlineStr">
        <is>
          <t>No</t>
        </is>
      </c>
      <c r="AT1640">
        <f>HYPERLINK("http://catalog.hathitrust.org/Record/001016345","HathiTrust Record")</f>
        <v/>
      </c>
      <c r="AU1640">
        <f>HYPERLINK("https://creighton-primo.hosted.exlibrisgroup.com/primo-explore/search?tab=default_tab&amp;search_scope=EVERYTHING&amp;vid=01CRU&amp;lang=en_US&amp;offset=0&amp;query=any,contains,991002214589702656","Catalog Record")</f>
        <v/>
      </c>
      <c r="AV1640">
        <f>HYPERLINK("http://www.worldcat.org/oclc/288354","WorldCat Record")</f>
        <v/>
      </c>
      <c r="AW1640" t="inlineStr">
        <is>
          <t>892:eng</t>
        </is>
      </c>
      <c r="AX1640" t="inlineStr">
        <is>
          <t>288354</t>
        </is>
      </c>
      <c r="AY1640" t="inlineStr">
        <is>
          <t>991002214589702656</t>
        </is>
      </c>
      <c r="AZ1640" t="inlineStr">
        <is>
          <t>991002214589702656</t>
        </is>
      </c>
      <c r="BA1640" t="inlineStr">
        <is>
          <t>2264081350002656</t>
        </is>
      </c>
      <c r="BB1640" t="inlineStr">
        <is>
          <t>BOOK</t>
        </is>
      </c>
      <c r="BE1640" t="inlineStr">
        <is>
          <t>32285003151486</t>
        </is>
      </c>
      <c r="BF1640" t="inlineStr">
        <is>
          <t>893244899</t>
        </is>
      </c>
    </row>
    <row r="1641">
      <c r="A1641" t="inlineStr">
        <is>
          <t>No</t>
        </is>
      </c>
      <c r="B1641" t="inlineStr">
        <is>
          <t>CURAL</t>
        </is>
      </c>
      <c r="C1641" t="inlineStr">
        <is>
          <t>SHELVES</t>
        </is>
      </c>
      <c r="D1641" t="inlineStr">
        <is>
          <t>PR4375.T3 B9</t>
        </is>
      </c>
      <c r="E1641" t="inlineStr">
        <is>
          <t>0                      PR 4375000T  3                  B  9</t>
        </is>
      </c>
      <c r="F1641" t="inlineStr">
        <is>
          <t>Byron and the theatre.</t>
        </is>
      </c>
      <c r="H1641" t="inlineStr">
        <is>
          <t>No</t>
        </is>
      </c>
      <c r="I1641" t="inlineStr">
        <is>
          <t>1</t>
        </is>
      </c>
      <c r="J1641" t="inlineStr">
        <is>
          <t>No</t>
        </is>
      </c>
      <c r="K1641" t="inlineStr">
        <is>
          <t>No</t>
        </is>
      </c>
      <c r="L1641" t="inlineStr">
        <is>
          <t>0</t>
        </is>
      </c>
      <c r="M1641" t="inlineStr">
        <is>
          <t>Taborski, Bolesław.</t>
        </is>
      </c>
      <c r="N1641" t="inlineStr">
        <is>
          <t>Salzburg : Inst. f. Engl. Sprache u. Literatur, Univ. Salzburg, 1972.</t>
        </is>
      </c>
      <c r="O1641" t="inlineStr">
        <is>
          <t>1972</t>
        </is>
      </c>
      <c r="Q1641" t="inlineStr">
        <is>
          <t>eng</t>
        </is>
      </c>
      <c r="R1641" t="inlineStr">
        <is>
          <t xml:space="preserve">au </t>
        </is>
      </c>
      <c r="S1641" t="inlineStr">
        <is>
          <t>Poetic drama ; 1</t>
        </is>
      </c>
      <c r="T1641" t="inlineStr">
        <is>
          <t xml:space="preserve">PR </t>
        </is>
      </c>
      <c r="U1641" t="n">
        <v>3</v>
      </c>
      <c r="V1641" t="n">
        <v>3</v>
      </c>
      <c r="W1641" t="inlineStr">
        <is>
          <t>1996-12-08</t>
        </is>
      </c>
      <c r="X1641" t="inlineStr">
        <is>
          <t>1996-12-08</t>
        </is>
      </c>
      <c r="Y1641" t="inlineStr">
        <is>
          <t>1990-03-14</t>
        </is>
      </c>
      <c r="Z1641" t="inlineStr">
        <is>
          <t>1990-03-14</t>
        </is>
      </c>
      <c r="AA1641" t="n">
        <v>248</v>
      </c>
      <c r="AB1641" t="n">
        <v>192</v>
      </c>
      <c r="AC1641" t="n">
        <v>194</v>
      </c>
      <c r="AD1641" t="n">
        <v>2</v>
      </c>
      <c r="AE1641" t="n">
        <v>2</v>
      </c>
      <c r="AF1641" t="n">
        <v>11</v>
      </c>
      <c r="AG1641" t="n">
        <v>11</v>
      </c>
      <c r="AH1641" t="n">
        <v>4</v>
      </c>
      <c r="AI1641" t="n">
        <v>4</v>
      </c>
      <c r="AJ1641" t="n">
        <v>2</v>
      </c>
      <c r="AK1641" t="n">
        <v>2</v>
      </c>
      <c r="AL1641" t="n">
        <v>6</v>
      </c>
      <c r="AM1641" t="n">
        <v>6</v>
      </c>
      <c r="AN1641" t="n">
        <v>1</v>
      </c>
      <c r="AO1641" t="n">
        <v>1</v>
      </c>
      <c r="AP1641" t="n">
        <v>0</v>
      </c>
      <c r="AQ1641" t="n">
        <v>0</v>
      </c>
      <c r="AR1641" t="inlineStr">
        <is>
          <t>No</t>
        </is>
      </c>
      <c r="AS1641" t="inlineStr">
        <is>
          <t>Yes</t>
        </is>
      </c>
      <c r="AT1641">
        <f>HYPERLINK("http://catalog.hathitrust.org/Record/000622943","HathiTrust Record")</f>
        <v/>
      </c>
      <c r="AU1641">
        <f>HYPERLINK("https://creighton-primo.hosted.exlibrisgroup.com/primo-explore/search?tab=default_tab&amp;search_scope=EVERYTHING&amp;vid=01CRU&amp;lang=en_US&amp;offset=0&amp;query=any,contains,991003630679702656","Catalog Record")</f>
        <v/>
      </c>
      <c r="AV1641">
        <f>HYPERLINK("http://www.worldcat.org/oclc/1222749","WorldCat Record")</f>
        <v/>
      </c>
      <c r="AW1641" t="inlineStr">
        <is>
          <t>1842784:eng</t>
        </is>
      </c>
      <c r="AX1641" t="inlineStr">
        <is>
          <t>1222749</t>
        </is>
      </c>
      <c r="AY1641" t="inlineStr">
        <is>
          <t>991003630679702656</t>
        </is>
      </c>
      <c r="AZ1641" t="inlineStr">
        <is>
          <t>991003630679702656</t>
        </is>
      </c>
      <c r="BA1641" t="inlineStr">
        <is>
          <t>2265023750002656</t>
        </is>
      </c>
      <c r="BB1641" t="inlineStr">
        <is>
          <t>BOOK</t>
        </is>
      </c>
      <c r="BE1641" t="inlineStr">
        <is>
          <t>32285000083245</t>
        </is>
      </c>
      <c r="BF1641" t="inlineStr">
        <is>
          <t>893531389</t>
        </is>
      </c>
    </row>
    <row r="1642">
      <c r="A1642" t="inlineStr">
        <is>
          <t>No</t>
        </is>
      </c>
      <c r="B1642" t="inlineStr">
        <is>
          <t>CURAL</t>
        </is>
      </c>
      <c r="C1642" t="inlineStr">
        <is>
          <t>SHELVES</t>
        </is>
      </c>
      <c r="D1642" t="inlineStr">
        <is>
          <t>PR4377.S5 E3</t>
        </is>
      </c>
      <c r="E1642" t="inlineStr">
        <is>
          <t>0                      PR 4377000S  5                  E  3</t>
        </is>
      </c>
      <c r="F1642" t="inlineStr">
        <is>
          <t>Early essays and lectures, by Canon Sheehan.</t>
        </is>
      </c>
      <c r="H1642" t="inlineStr">
        <is>
          <t>No</t>
        </is>
      </c>
      <c r="I1642" t="inlineStr">
        <is>
          <t>1</t>
        </is>
      </c>
      <c r="J1642" t="inlineStr">
        <is>
          <t>No</t>
        </is>
      </c>
      <c r="K1642" t="inlineStr">
        <is>
          <t>No</t>
        </is>
      </c>
      <c r="L1642" t="inlineStr">
        <is>
          <t>0</t>
        </is>
      </c>
      <c r="M1642" t="inlineStr">
        <is>
          <t>Sheehan, Patrick Augustine, 1852-1913.</t>
        </is>
      </c>
      <c r="N1642" t="inlineStr">
        <is>
          <t>London, New York [etc.] Longmans, Green, and co., 1906.</t>
        </is>
      </c>
      <c r="O1642" t="inlineStr">
        <is>
          <t>1906</t>
        </is>
      </c>
      <c r="Q1642" t="inlineStr">
        <is>
          <t>eng</t>
        </is>
      </c>
      <c r="R1642" t="inlineStr">
        <is>
          <t xml:space="preserve">xx </t>
        </is>
      </c>
      <c r="T1642" t="inlineStr">
        <is>
          <t xml:space="preserve">PR </t>
        </is>
      </c>
      <c r="U1642" t="n">
        <v>2</v>
      </c>
      <c r="V1642" t="n">
        <v>2</v>
      </c>
      <c r="W1642" t="inlineStr">
        <is>
          <t>2008-05-24</t>
        </is>
      </c>
      <c r="X1642" t="inlineStr">
        <is>
          <t>2008-05-24</t>
        </is>
      </c>
      <c r="Y1642" t="inlineStr">
        <is>
          <t>1997-06-25</t>
        </is>
      </c>
      <c r="Z1642" t="inlineStr">
        <is>
          <t>1997-06-25</t>
        </is>
      </c>
      <c r="AA1642" t="n">
        <v>81</v>
      </c>
      <c r="AB1642" t="n">
        <v>59</v>
      </c>
      <c r="AC1642" t="n">
        <v>94</v>
      </c>
      <c r="AD1642" t="n">
        <v>1</v>
      </c>
      <c r="AE1642" t="n">
        <v>2</v>
      </c>
      <c r="AF1642" t="n">
        <v>14</v>
      </c>
      <c r="AG1642" t="n">
        <v>19</v>
      </c>
      <c r="AH1642" t="n">
        <v>6</v>
      </c>
      <c r="AI1642" t="n">
        <v>7</v>
      </c>
      <c r="AJ1642" t="n">
        <v>4</v>
      </c>
      <c r="AK1642" t="n">
        <v>5</v>
      </c>
      <c r="AL1642" t="n">
        <v>8</v>
      </c>
      <c r="AM1642" t="n">
        <v>11</v>
      </c>
      <c r="AN1642" t="n">
        <v>0</v>
      </c>
      <c r="AO1642" t="n">
        <v>1</v>
      </c>
      <c r="AP1642" t="n">
        <v>0</v>
      </c>
      <c r="AQ1642" t="n">
        <v>0</v>
      </c>
      <c r="AR1642" t="inlineStr">
        <is>
          <t>Yes</t>
        </is>
      </c>
      <c r="AS1642" t="inlineStr">
        <is>
          <t>No</t>
        </is>
      </c>
      <c r="AT1642">
        <f>HYPERLINK("http://catalog.hathitrust.org/Record/000785288","HathiTrust Record")</f>
        <v/>
      </c>
      <c r="AU1642">
        <f>HYPERLINK("https://creighton-primo.hosted.exlibrisgroup.com/primo-explore/search?tab=default_tab&amp;search_scope=EVERYTHING&amp;vid=01CRU&amp;lang=en_US&amp;offset=0&amp;query=any,contains,991004520909702656","Catalog Record")</f>
        <v/>
      </c>
      <c r="AV1642">
        <f>HYPERLINK("http://www.worldcat.org/oclc/3816758","WorldCat Record")</f>
        <v/>
      </c>
      <c r="AW1642" t="inlineStr">
        <is>
          <t>12722094:eng</t>
        </is>
      </c>
      <c r="AX1642" t="inlineStr">
        <is>
          <t>3816758</t>
        </is>
      </c>
      <c r="AY1642" t="inlineStr">
        <is>
          <t>991004520909702656</t>
        </is>
      </c>
      <c r="AZ1642" t="inlineStr">
        <is>
          <t>991004520909702656</t>
        </is>
      </c>
      <c r="BA1642" t="inlineStr">
        <is>
          <t>2262305810002656</t>
        </is>
      </c>
      <c r="BB1642" t="inlineStr">
        <is>
          <t>BOOK</t>
        </is>
      </c>
      <c r="BE1642" t="inlineStr">
        <is>
          <t>32285002832599</t>
        </is>
      </c>
      <c r="BF1642" t="inlineStr">
        <is>
          <t>893882560</t>
        </is>
      </c>
    </row>
    <row r="1643">
      <c r="A1643" t="inlineStr">
        <is>
          <t>No</t>
        </is>
      </c>
      <c r="B1643" t="inlineStr">
        <is>
          <t>CURAL</t>
        </is>
      </c>
      <c r="C1643" t="inlineStr">
        <is>
          <t>SHELVES</t>
        </is>
      </c>
      <c r="D1643" t="inlineStr">
        <is>
          <t>PR438.A7 B7</t>
        </is>
      </c>
      <c r="E1643" t="inlineStr">
        <is>
          <t>0                      PR 0438000A  7                  B  7</t>
        </is>
      </c>
      <c r="F1643" t="inlineStr">
        <is>
          <t>Arthurian legend in the seventeenth century / by Roberta Florence Brinkley.</t>
        </is>
      </c>
      <c r="H1643" t="inlineStr">
        <is>
          <t>No</t>
        </is>
      </c>
      <c r="I1643" t="inlineStr">
        <is>
          <t>1</t>
        </is>
      </c>
      <c r="J1643" t="inlineStr">
        <is>
          <t>No</t>
        </is>
      </c>
      <c r="K1643" t="inlineStr">
        <is>
          <t>No</t>
        </is>
      </c>
      <c r="L1643" t="inlineStr">
        <is>
          <t>0</t>
        </is>
      </c>
      <c r="M1643" t="inlineStr">
        <is>
          <t>Brinkley, Roberta Florence.</t>
        </is>
      </c>
      <c r="N1643" t="inlineStr">
        <is>
          <t>Baltimore : Johns Hopkins ; London : H. Milford, Oxford University, [c1932]</t>
        </is>
      </c>
      <c r="O1643" t="inlineStr">
        <is>
          <t>1932</t>
        </is>
      </c>
      <c r="Q1643" t="inlineStr">
        <is>
          <t>eng</t>
        </is>
      </c>
      <c r="R1643" t="inlineStr">
        <is>
          <t>mdu</t>
        </is>
      </c>
      <c r="S1643" t="inlineStr">
        <is>
          <t>Johns Hopkins monographs in literary history ; 3</t>
        </is>
      </c>
      <c r="T1643" t="inlineStr">
        <is>
          <t xml:space="preserve">PR </t>
        </is>
      </c>
      <c r="U1643" t="n">
        <v>4</v>
      </c>
      <c r="V1643" t="n">
        <v>4</v>
      </c>
      <c r="W1643" t="inlineStr">
        <is>
          <t>2007-08-27</t>
        </is>
      </c>
      <c r="X1643" t="inlineStr">
        <is>
          <t>2007-08-27</t>
        </is>
      </c>
      <c r="Y1643" t="inlineStr">
        <is>
          <t>1997-08-20</t>
        </is>
      </c>
      <c r="Z1643" t="inlineStr">
        <is>
          <t>1997-08-20</t>
        </is>
      </c>
      <c r="AA1643" t="n">
        <v>267</v>
      </c>
      <c r="AB1643" t="n">
        <v>226</v>
      </c>
      <c r="AC1643" t="n">
        <v>751</v>
      </c>
      <c r="AD1643" t="n">
        <v>2</v>
      </c>
      <c r="AE1643" t="n">
        <v>5</v>
      </c>
      <c r="AF1643" t="n">
        <v>11</v>
      </c>
      <c r="AG1643" t="n">
        <v>42</v>
      </c>
      <c r="AH1643" t="n">
        <v>2</v>
      </c>
      <c r="AI1643" t="n">
        <v>17</v>
      </c>
      <c r="AJ1643" t="n">
        <v>4</v>
      </c>
      <c r="AK1643" t="n">
        <v>10</v>
      </c>
      <c r="AL1643" t="n">
        <v>9</v>
      </c>
      <c r="AM1643" t="n">
        <v>21</v>
      </c>
      <c r="AN1643" t="n">
        <v>1</v>
      </c>
      <c r="AO1643" t="n">
        <v>4</v>
      </c>
      <c r="AP1643" t="n">
        <v>0</v>
      </c>
      <c r="AQ1643" t="n">
        <v>0</v>
      </c>
      <c r="AR1643" t="inlineStr">
        <is>
          <t>No</t>
        </is>
      </c>
      <c r="AS1643" t="inlineStr">
        <is>
          <t>No</t>
        </is>
      </c>
      <c r="AU1643">
        <f>HYPERLINK("https://creighton-primo.hosted.exlibrisgroup.com/primo-explore/search?tab=default_tab&amp;search_scope=EVERYTHING&amp;vid=01CRU&amp;lang=en_US&amp;offset=0&amp;query=any,contains,991005253049702656","Catalog Record")</f>
        <v/>
      </c>
      <c r="AV1643">
        <f>HYPERLINK("http://www.worldcat.org/oclc/8503101","WorldCat Record")</f>
        <v/>
      </c>
      <c r="AW1643" t="inlineStr">
        <is>
          <t>451084:eng</t>
        </is>
      </c>
      <c r="AX1643" t="inlineStr">
        <is>
          <t>8503101</t>
        </is>
      </c>
      <c r="AY1643" t="inlineStr">
        <is>
          <t>991005253049702656</t>
        </is>
      </c>
      <c r="AZ1643" t="inlineStr">
        <is>
          <t>991005253049702656</t>
        </is>
      </c>
      <c r="BA1643" t="inlineStr">
        <is>
          <t>2261758400002656</t>
        </is>
      </c>
      <c r="BB1643" t="inlineStr">
        <is>
          <t>BOOK</t>
        </is>
      </c>
      <c r="BE1643" t="inlineStr">
        <is>
          <t>32285003151536</t>
        </is>
      </c>
      <c r="BF1643" t="inlineStr">
        <is>
          <t>893902371</t>
        </is>
      </c>
    </row>
    <row r="1644">
      <c r="A1644" t="inlineStr">
        <is>
          <t>No</t>
        </is>
      </c>
      <c r="B1644" t="inlineStr">
        <is>
          <t>CURAL</t>
        </is>
      </c>
      <c r="C1644" t="inlineStr">
        <is>
          <t>SHELVES</t>
        </is>
      </c>
      <c r="D1644" t="inlineStr">
        <is>
          <t>PR438.D48 R36 1998</t>
        </is>
      </c>
      <c r="E1644" t="inlineStr">
        <is>
          <t>0                      PR 0438000D  48                 R  36          1998</t>
        </is>
      </c>
      <c r="F1644" t="inlineStr">
        <is>
          <t>Closet devotions / Richard Rambuss.</t>
        </is>
      </c>
      <c r="H1644" t="inlineStr">
        <is>
          <t>No</t>
        </is>
      </c>
      <c r="I1644" t="inlineStr">
        <is>
          <t>1</t>
        </is>
      </c>
      <c r="J1644" t="inlineStr">
        <is>
          <t>No</t>
        </is>
      </c>
      <c r="K1644" t="inlineStr">
        <is>
          <t>No</t>
        </is>
      </c>
      <c r="L1644" t="inlineStr">
        <is>
          <t>0</t>
        </is>
      </c>
      <c r="M1644" t="inlineStr">
        <is>
          <t>Rambuss, Richard.</t>
        </is>
      </c>
      <c r="N1644" t="inlineStr">
        <is>
          <t>Durham [N.C.] : Duke University Press, 1998.</t>
        </is>
      </c>
      <c r="O1644" t="inlineStr">
        <is>
          <t>1998</t>
        </is>
      </c>
      <c r="Q1644" t="inlineStr">
        <is>
          <t>eng</t>
        </is>
      </c>
      <c r="R1644" t="inlineStr">
        <is>
          <t>ncu</t>
        </is>
      </c>
      <c r="S1644" t="inlineStr">
        <is>
          <t>Series Q</t>
        </is>
      </c>
      <c r="T1644" t="inlineStr">
        <is>
          <t xml:space="preserve">PR </t>
        </is>
      </c>
      <c r="U1644" t="n">
        <v>2</v>
      </c>
      <c r="V1644" t="n">
        <v>2</v>
      </c>
      <c r="W1644" t="inlineStr">
        <is>
          <t>2010-01-24</t>
        </is>
      </c>
      <c r="X1644" t="inlineStr">
        <is>
          <t>2010-01-24</t>
        </is>
      </c>
      <c r="Y1644" t="inlineStr">
        <is>
          <t>1999-12-15</t>
        </is>
      </c>
      <c r="Z1644" t="inlineStr">
        <is>
          <t>1999-12-15</t>
        </is>
      </c>
      <c r="AA1644" t="n">
        <v>328</v>
      </c>
      <c r="AB1644" t="n">
        <v>260</v>
      </c>
      <c r="AC1644" t="n">
        <v>270</v>
      </c>
      <c r="AD1644" t="n">
        <v>3</v>
      </c>
      <c r="AE1644" t="n">
        <v>3</v>
      </c>
      <c r="AF1644" t="n">
        <v>14</v>
      </c>
      <c r="AG1644" t="n">
        <v>15</v>
      </c>
      <c r="AH1644" t="n">
        <v>6</v>
      </c>
      <c r="AI1644" t="n">
        <v>6</v>
      </c>
      <c r="AJ1644" t="n">
        <v>2</v>
      </c>
      <c r="AK1644" t="n">
        <v>3</v>
      </c>
      <c r="AL1644" t="n">
        <v>8</v>
      </c>
      <c r="AM1644" t="n">
        <v>8</v>
      </c>
      <c r="AN1644" t="n">
        <v>2</v>
      </c>
      <c r="AO1644" t="n">
        <v>2</v>
      </c>
      <c r="AP1644" t="n">
        <v>0</v>
      </c>
      <c r="AQ1644" t="n">
        <v>0</v>
      </c>
      <c r="AR1644" t="inlineStr">
        <is>
          <t>Yes</t>
        </is>
      </c>
      <c r="AS1644" t="inlineStr">
        <is>
          <t>No</t>
        </is>
      </c>
      <c r="AT1644">
        <f>HYPERLINK("http://catalog.hathitrust.org/Record/003985587","HathiTrust Record")</f>
        <v/>
      </c>
      <c r="AU1644">
        <f>HYPERLINK("https://creighton-primo.hosted.exlibrisgroup.com/primo-explore/search?tab=default_tab&amp;search_scope=EVERYTHING&amp;vid=01CRU&amp;lang=en_US&amp;offset=0&amp;query=any,contains,991002931119702656","Catalog Record")</f>
        <v/>
      </c>
      <c r="AV1644">
        <f>HYPERLINK("http://www.worldcat.org/oclc/38976237","WorldCat Record")</f>
        <v/>
      </c>
      <c r="AW1644" t="inlineStr">
        <is>
          <t>42121543:eng</t>
        </is>
      </c>
      <c r="AX1644" t="inlineStr">
        <is>
          <t>38976237</t>
        </is>
      </c>
      <c r="AY1644" t="inlineStr">
        <is>
          <t>991002931119702656</t>
        </is>
      </c>
      <c r="AZ1644" t="inlineStr">
        <is>
          <t>991002931119702656</t>
        </is>
      </c>
      <c r="BA1644" t="inlineStr">
        <is>
          <t>2263236510002656</t>
        </is>
      </c>
      <c r="BB1644" t="inlineStr">
        <is>
          <t>BOOK</t>
        </is>
      </c>
      <c r="BD1644" t="inlineStr">
        <is>
          <t>9780822321804</t>
        </is>
      </c>
      <c r="BE1644" t="inlineStr">
        <is>
          <t>32285003633111</t>
        </is>
      </c>
      <c r="BF1644" t="inlineStr">
        <is>
          <t>893717108</t>
        </is>
      </c>
    </row>
    <row r="1645">
      <c r="A1645" t="inlineStr">
        <is>
          <t>No</t>
        </is>
      </c>
      <c r="B1645" t="inlineStr">
        <is>
          <t>CURAL</t>
        </is>
      </c>
      <c r="C1645" t="inlineStr">
        <is>
          <t>SHELVES</t>
        </is>
      </c>
      <c r="D1645" t="inlineStr">
        <is>
          <t>PR438.D57 H56 1996</t>
        </is>
      </c>
      <c r="E1645" t="inlineStr">
        <is>
          <t>0                      PR 0438000D  57                 H  56          1996</t>
        </is>
      </c>
      <c r="F1645" t="inlineStr">
        <is>
          <t>God's Englishwomen : seventeenth-century radical sectarian writing and feminist criticism / Hilary Hinds.</t>
        </is>
      </c>
      <c r="H1645" t="inlineStr">
        <is>
          <t>No</t>
        </is>
      </c>
      <c r="I1645" t="inlineStr">
        <is>
          <t>1</t>
        </is>
      </c>
      <c r="J1645" t="inlineStr">
        <is>
          <t>No</t>
        </is>
      </c>
      <c r="K1645" t="inlineStr">
        <is>
          <t>No</t>
        </is>
      </c>
      <c r="L1645" t="inlineStr">
        <is>
          <t>0</t>
        </is>
      </c>
      <c r="M1645" t="inlineStr">
        <is>
          <t>Hinds, Hilary.</t>
        </is>
      </c>
      <c r="N1645" t="inlineStr">
        <is>
          <t>Manchester ; New York : Manchester University Press ; New York : Distributed exclusively in the USA and Canada by St. Martin's Press, 1996.</t>
        </is>
      </c>
      <c r="O1645" t="inlineStr">
        <is>
          <t>1996</t>
        </is>
      </c>
      <c r="Q1645" t="inlineStr">
        <is>
          <t>eng</t>
        </is>
      </c>
      <c r="R1645" t="inlineStr">
        <is>
          <t>enk</t>
        </is>
      </c>
      <c r="T1645" t="inlineStr">
        <is>
          <t xml:space="preserve">PR </t>
        </is>
      </c>
      <c r="U1645" t="n">
        <v>2</v>
      </c>
      <c r="V1645" t="n">
        <v>2</v>
      </c>
      <c r="W1645" t="inlineStr">
        <is>
          <t>2001-09-28</t>
        </is>
      </c>
      <c r="X1645" t="inlineStr">
        <is>
          <t>2001-09-28</t>
        </is>
      </c>
      <c r="Y1645" t="inlineStr">
        <is>
          <t>1997-04-22</t>
        </is>
      </c>
      <c r="Z1645" t="inlineStr">
        <is>
          <t>1997-04-22</t>
        </is>
      </c>
      <c r="AA1645" t="n">
        <v>307</v>
      </c>
      <c r="AB1645" t="n">
        <v>212</v>
      </c>
      <c r="AC1645" t="n">
        <v>212</v>
      </c>
      <c r="AD1645" t="n">
        <v>3</v>
      </c>
      <c r="AE1645" t="n">
        <v>3</v>
      </c>
      <c r="AF1645" t="n">
        <v>12</v>
      </c>
      <c r="AG1645" t="n">
        <v>12</v>
      </c>
      <c r="AH1645" t="n">
        <v>1</v>
      </c>
      <c r="AI1645" t="n">
        <v>1</v>
      </c>
      <c r="AJ1645" t="n">
        <v>5</v>
      </c>
      <c r="AK1645" t="n">
        <v>5</v>
      </c>
      <c r="AL1645" t="n">
        <v>7</v>
      </c>
      <c r="AM1645" t="n">
        <v>7</v>
      </c>
      <c r="AN1645" t="n">
        <v>2</v>
      </c>
      <c r="AO1645" t="n">
        <v>2</v>
      </c>
      <c r="AP1645" t="n">
        <v>0</v>
      </c>
      <c r="AQ1645" t="n">
        <v>0</v>
      </c>
      <c r="AR1645" t="inlineStr">
        <is>
          <t>No</t>
        </is>
      </c>
      <c r="AS1645" t="inlineStr">
        <is>
          <t>No</t>
        </is>
      </c>
      <c r="AU1645">
        <f>HYPERLINK("https://creighton-primo.hosted.exlibrisgroup.com/primo-explore/search?tab=default_tab&amp;search_scope=EVERYTHING&amp;vid=01CRU&amp;lang=en_US&amp;offset=0&amp;query=any,contains,991002555279702656","Catalog Record")</f>
        <v/>
      </c>
      <c r="AV1645">
        <f>HYPERLINK("http://www.worldcat.org/oclc/33209519","WorldCat Record")</f>
        <v/>
      </c>
      <c r="AW1645" t="inlineStr">
        <is>
          <t>334981581:eng</t>
        </is>
      </c>
      <c r="AX1645" t="inlineStr">
        <is>
          <t>33209519</t>
        </is>
      </c>
      <c r="AY1645" t="inlineStr">
        <is>
          <t>991002555279702656</t>
        </is>
      </c>
      <c r="AZ1645" t="inlineStr">
        <is>
          <t>991002555279702656</t>
        </is>
      </c>
      <c r="BA1645" t="inlineStr">
        <is>
          <t>2262260190002656</t>
        </is>
      </c>
      <c r="BB1645" t="inlineStr">
        <is>
          <t>BOOK</t>
        </is>
      </c>
      <c r="BD1645" t="inlineStr">
        <is>
          <t>9780719048869</t>
        </is>
      </c>
      <c r="BE1645" t="inlineStr">
        <is>
          <t>32285002499407</t>
        </is>
      </c>
      <c r="BF1645" t="inlineStr">
        <is>
          <t>893335439</t>
        </is>
      </c>
    </row>
    <row r="1646">
      <c r="A1646" t="inlineStr">
        <is>
          <t>No</t>
        </is>
      </c>
      <c r="B1646" t="inlineStr">
        <is>
          <t>CURAL</t>
        </is>
      </c>
      <c r="C1646" t="inlineStr">
        <is>
          <t>SHELVES</t>
        </is>
      </c>
      <c r="D1646" t="inlineStr">
        <is>
          <t>PR438.P47 G5</t>
        </is>
      </c>
      <c r="E1646" t="inlineStr">
        <is>
          <t>0                      PR 0438000P  47                 G  5</t>
        </is>
      </c>
      <c r="F1646" t="inlineStr">
        <is>
          <t>The curious perspective : literary and pictorial wit in the seventeenth century / Ernest B. Gilman.</t>
        </is>
      </c>
      <c r="H1646" t="inlineStr">
        <is>
          <t>No</t>
        </is>
      </c>
      <c r="I1646" t="inlineStr">
        <is>
          <t>1</t>
        </is>
      </c>
      <c r="J1646" t="inlineStr">
        <is>
          <t>No</t>
        </is>
      </c>
      <c r="K1646" t="inlineStr">
        <is>
          <t>No</t>
        </is>
      </c>
      <c r="L1646" t="inlineStr">
        <is>
          <t>0</t>
        </is>
      </c>
      <c r="M1646" t="inlineStr">
        <is>
          <t>Gilman, Ernest B., 1946-</t>
        </is>
      </c>
      <c r="N1646" t="inlineStr">
        <is>
          <t>New York : Yale University Press, 1978.</t>
        </is>
      </c>
      <c r="O1646" t="inlineStr">
        <is>
          <t>1978</t>
        </is>
      </c>
      <c r="Q1646" t="inlineStr">
        <is>
          <t>eng</t>
        </is>
      </c>
      <c r="R1646" t="inlineStr">
        <is>
          <t>nyu</t>
        </is>
      </c>
      <c r="T1646" t="inlineStr">
        <is>
          <t xml:space="preserve">PR </t>
        </is>
      </c>
      <c r="U1646" t="n">
        <v>1</v>
      </c>
      <c r="V1646" t="n">
        <v>1</v>
      </c>
      <c r="W1646" t="inlineStr">
        <is>
          <t>2002-04-16</t>
        </is>
      </c>
      <c r="X1646" t="inlineStr">
        <is>
          <t>2002-04-16</t>
        </is>
      </c>
      <c r="Y1646" t="inlineStr">
        <is>
          <t>1991-08-29</t>
        </is>
      </c>
      <c r="Z1646" t="inlineStr">
        <is>
          <t>1991-08-29</t>
        </is>
      </c>
      <c r="AA1646" t="n">
        <v>746</v>
      </c>
      <c r="AB1646" t="n">
        <v>604</v>
      </c>
      <c r="AC1646" t="n">
        <v>606</v>
      </c>
      <c r="AD1646" t="n">
        <v>6</v>
      </c>
      <c r="AE1646" t="n">
        <v>6</v>
      </c>
      <c r="AF1646" t="n">
        <v>34</v>
      </c>
      <c r="AG1646" t="n">
        <v>34</v>
      </c>
      <c r="AH1646" t="n">
        <v>14</v>
      </c>
      <c r="AI1646" t="n">
        <v>14</v>
      </c>
      <c r="AJ1646" t="n">
        <v>6</v>
      </c>
      <c r="AK1646" t="n">
        <v>6</v>
      </c>
      <c r="AL1646" t="n">
        <v>16</v>
      </c>
      <c r="AM1646" t="n">
        <v>16</v>
      </c>
      <c r="AN1646" t="n">
        <v>5</v>
      </c>
      <c r="AO1646" t="n">
        <v>5</v>
      </c>
      <c r="AP1646" t="n">
        <v>0</v>
      </c>
      <c r="AQ1646" t="n">
        <v>0</v>
      </c>
      <c r="AR1646" t="inlineStr">
        <is>
          <t>No</t>
        </is>
      </c>
      <c r="AS1646" t="inlineStr">
        <is>
          <t>No</t>
        </is>
      </c>
      <c r="AU1646">
        <f>HYPERLINK("https://creighton-primo.hosted.exlibrisgroup.com/primo-explore/search?tab=default_tab&amp;search_scope=EVERYTHING&amp;vid=01CRU&amp;lang=en_US&amp;offset=0&amp;query=any,contains,991004525439702656","Catalog Record")</f>
        <v/>
      </c>
      <c r="AV1646">
        <f>HYPERLINK("http://www.worldcat.org/oclc/3843332","WorldCat Record")</f>
        <v/>
      </c>
      <c r="AW1646" t="inlineStr">
        <is>
          <t>13293441:eng</t>
        </is>
      </c>
      <c r="AX1646" t="inlineStr">
        <is>
          <t>3843332</t>
        </is>
      </c>
      <c r="AY1646" t="inlineStr">
        <is>
          <t>991004525439702656</t>
        </is>
      </c>
      <c r="AZ1646" t="inlineStr">
        <is>
          <t>991004525439702656</t>
        </is>
      </c>
      <c r="BA1646" t="inlineStr">
        <is>
          <t>2266412950002656</t>
        </is>
      </c>
      <c r="BB1646" t="inlineStr">
        <is>
          <t>BOOK</t>
        </is>
      </c>
      <c r="BD1646" t="inlineStr">
        <is>
          <t>9780300022223</t>
        </is>
      </c>
      <c r="BE1646" t="inlineStr">
        <is>
          <t>32285000731504</t>
        </is>
      </c>
      <c r="BF1646" t="inlineStr">
        <is>
          <t>893337845</t>
        </is>
      </c>
    </row>
    <row r="1647">
      <c r="A1647" t="inlineStr">
        <is>
          <t>No</t>
        </is>
      </c>
      <c r="B1647" t="inlineStr">
        <is>
          <t>CURAL</t>
        </is>
      </c>
      <c r="C1647" t="inlineStr">
        <is>
          <t>SHELVES</t>
        </is>
      </c>
      <c r="D1647" t="inlineStr">
        <is>
          <t>PR438.P65 B7 1993</t>
        </is>
      </c>
      <c r="E1647" t="inlineStr">
        <is>
          <t>0                      PR 0438000P  65                 B  7           1993</t>
        </is>
      </c>
      <c r="F1647" t="inlineStr">
        <is>
          <t>Plots and counterplots : sexual politics and the body politic in English literature, 1660-1730 / Richard Braverman.</t>
        </is>
      </c>
      <c r="H1647" t="inlineStr">
        <is>
          <t>No</t>
        </is>
      </c>
      <c r="I1647" t="inlineStr">
        <is>
          <t>1</t>
        </is>
      </c>
      <c r="J1647" t="inlineStr">
        <is>
          <t>No</t>
        </is>
      </c>
      <c r="K1647" t="inlineStr">
        <is>
          <t>No</t>
        </is>
      </c>
      <c r="L1647" t="inlineStr">
        <is>
          <t>0</t>
        </is>
      </c>
      <c r="M1647" t="inlineStr">
        <is>
          <t>Braverman, Richard Lewis.</t>
        </is>
      </c>
      <c r="N1647" t="inlineStr">
        <is>
          <t>Cambridge [England] ; New York : Cambridge University Press, 1993.</t>
        </is>
      </c>
      <c r="O1647" t="inlineStr">
        <is>
          <t>1993</t>
        </is>
      </c>
      <c r="Q1647" t="inlineStr">
        <is>
          <t>eng</t>
        </is>
      </c>
      <c r="R1647" t="inlineStr">
        <is>
          <t>enk</t>
        </is>
      </c>
      <c r="S1647" t="inlineStr">
        <is>
          <t>Cambridge studies in eighteenth-century English literature and thought ; 18</t>
        </is>
      </c>
      <c r="T1647" t="inlineStr">
        <is>
          <t xml:space="preserve">PR </t>
        </is>
      </c>
      <c r="U1647" t="n">
        <v>1</v>
      </c>
      <c r="V1647" t="n">
        <v>1</v>
      </c>
      <c r="W1647" t="inlineStr">
        <is>
          <t>2005-05-04</t>
        </is>
      </c>
      <c r="X1647" t="inlineStr">
        <is>
          <t>2005-05-04</t>
        </is>
      </c>
      <c r="Y1647" t="inlineStr">
        <is>
          <t>2005-05-04</t>
        </is>
      </c>
      <c r="Z1647" t="inlineStr">
        <is>
          <t>2005-05-04</t>
        </is>
      </c>
      <c r="AA1647" t="n">
        <v>396</v>
      </c>
      <c r="AB1647" t="n">
        <v>277</v>
      </c>
      <c r="AC1647" t="n">
        <v>286</v>
      </c>
      <c r="AD1647" t="n">
        <v>3</v>
      </c>
      <c r="AE1647" t="n">
        <v>3</v>
      </c>
      <c r="AF1647" t="n">
        <v>18</v>
      </c>
      <c r="AG1647" t="n">
        <v>19</v>
      </c>
      <c r="AH1647" t="n">
        <v>6</v>
      </c>
      <c r="AI1647" t="n">
        <v>7</v>
      </c>
      <c r="AJ1647" t="n">
        <v>6</v>
      </c>
      <c r="AK1647" t="n">
        <v>6</v>
      </c>
      <c r="AL1647" t="n">
        <v>11</v>
      </c>
      <c r="AM1647" t="n">
        <v>11</v>
      </c>
      <c r="AN1647" t="n">
        <v>2</v>
      </c>
      <c r="AO1647" t="n">
        <v>2</v>
      </c>
      <c r="AP1647" t="n">
        <v>0</v>
      </c>
      <c r="AQ1647" t="n">
        <v>0</v>
      </c>
      <c r="AR1647" t="inlineStr">
        <is>
          <t>No</t>
        </is>
      </c>
      <c r="AS1647" t="inlineStr">
        <is>
          <t>No</t>
        </is>
      </c>
      <c r="AU1647">
        <f>HYPERLINK("https://creighton-primo.hosted.exlibrisgroup.com/primo-explore/search?tab=default_tab&amp;search_scope=EVERYTHING&amp;vid=01CRU&amp;lang=en_US&amp;offset=0&amp;query=any,contains,991004550019702656","Catalog Record")</f>
        <v/>
      </c>
      <c r="AV1647">
        <f>HYPERLINK("http://www.worldcat.org/oclc/26761345","WorldCat Record")</f>
        <v/>
      </c>
      <c r="AW1647" t="inlineStr">
        <is>
          <t>138723827:eng</t>
        </is>
      </c>
      <c r="AX1647" t="inlineStr">
        <is>
          <t>26761345</t>
        </is>
      </c>
      <c r="AY1647" t="inlineStr">
        <is>
          <t>991004550019702656</t>
        </is>
      </c>
      <c r="AZ1647" t="inlineStr">
        <is>
          <t>991004550019702656</t>
        </is>
      </c>
      <c r="BA1647" t="inlineStr">
        <is>
          <t>2263022860002656</t>
        </is>
      </c>
      <c r="BB1647" t="inlineStr">
        <is>
          <t>BOOK</t>
        </is>
      </c>
      <c r="BD1647" t="inlineStr">
        <is>
          <t>9780521356206</t>
        </is>
      </c>
      <c r="BE1647" t="inlineStr">
        <is>
          <t>32285005035802</t>
        </is>
      </c>
      <c r="BF1647" t="inlineStr">
        <is>
          <t>893694075</t>
        </is>
      </c>
    </row>
    <row r="1648">
      <c r="A1648" t="inlineStr">
        <is>
          <t>No</t>
        </is>
      </c>
      <c r="B1648" t="inlineStr">
        <is>
          <t>CURAL</t>
        </is>
      </c>
      <c r="C1648" t="inlineStr">
        <is>
          <t>SHELVES</t>
        </is>
      </c>
      <c r="D1648" t="inlineStr">
        <is>
          <t>PR438.R45 C45 2007</t>
        </is>
      </c>
      <c r="E1648" t="inlineStr">
        <is>
          <t>0                      PR 0438000R  45                 C  45          2007</t>
        </is>
      </c>
      <c r="F1648" t="inlineStr">
        <is>
          <t>English Renaissance literature and contemporary theory : sublime objects of theology / Paul Cefalu.</t>
        </is>
      </c>
      <c r="H1648" t="inlineStr">
        <is>
          <t>No</t>
        </is>
      </c>
      <c r="I1648" t="inlineStr">
        <is>
          <t>1</t>
        </is>
      </c>
      <c r="J1648" t="inlineStr">
        <is>
          <t>No</t>
        </is>
      </c>
      <c r="K1648" t="inlineStr">
        <is>
          <t>No</t>
        </is>
      </c>
      <c r="L1648" t="inlineStr">
        <is>
          <t>0</t>
        </is>
      </c>
      <c r="M1648" t="inlineStr">
        <is>
          <t>Cefalu, Paul.</t>
        </is>
      </c>
      <c r="N1648" t="inlineStr">
        <is>
          <t>New York : Palgrave Macmillan, 2007.</t>
        </is>
      </c>
      <c r="O1648" t="inlineStr">
        <is>
          <t>2007</t>
        </is>
      </c>
      <c r="P1648" t="inlineStr">
        <is>
          <t>1st ed.</t>
        </is>
      </c>
      <c r="Q1648" t="inlineStr">
        <is>
          <t>eng</t>
        </is>
      </c>
      <c r="R1648" t="inlineStr">
        <is>
          <t>nyu</t>
        </is>
      </c>
      <c r="T1648" t="inlineStr">
        <is>
          <t xml:space="preserve">PR </t>
        </is>
      </c>
      <c r="U1648" t="n">
        <v>2</v>
      </c>
      <c r="V1648" t="n">
        <v>2</v>
      </c>
      <c r="W1648" t="inlineStr">
        <is>
          <t>2010-01-24</t>
        </is>
      </c>
      <c r="X1648" t="inlineStr">
        <is>
          <t>2010-01-24</t>
        </is>
      </c>
      <c r="Y1648" t="inlineStr">
        <is>
          <t>2009-04-01</t>
        </is>
      </c>
      <c r="Z1648" t="inlineStr">
        <is>
          <t>2009-04-01</t>
        </is>
      </c>
      <c r="AA1648" t="n">
        <v>219</v>
      </c>
      <c r="AB1648" t="n">
        <v>166</v>
      </c>
      <c r="AC1648" t="n">
        <v>195</v>
      </c>
      <c r="AD1648" t="n">
        <v>3</v>
      </c>
      <c r="AE1648" t="n">
        <v>3</v>
      </c>
      <c r="AF1648" t="n">
        <v>9</v>
      </c>
      <c r="AG1648" t="n">
        <v>10</v>
      </c>
      <c r="AH1648" t="n">
        <v>1</v>
      </c>
      <c r="AI1648" t="n">
        <v>2</v>
      </c>
      <c r="AJ1648" t="n">
        <v>3</v>
      </c>
      <c r="AK1648" t="n">
        <v>3</v>
      </c>
      <c r="AL1648" t="n">
        <v>5</v>
      </c>
      <c r="AM1648" t="n">
        <v>6</v>
      </c>
      <c r="AN1648" t="n">
        <v>2</v>
      </c>
      <c r="AO1648" t="n">
        <v>2</v>
      </c>
      <c r="AP1648" t="n">
        <v>0</v>
      </c>
      <c r="AQ1648" t="n">
        <v>0</v>
      </c>
      <c r="AR1648" t="inlineStr">
        <is>
          <t>No</t>
        </is>
      </c>
      <c r="AS1648" t="inlineStr">
        <is>
          <t>No</t>
        </is>
      </c>
      <c r="AU1648">
        <f>HYPERLINK("https://creighton-primo.hosted.exlibrisgroup.com/primo-explore/search?tab=default_tab&amp;search_scope=EVERYTHING&amp;vid=01CRU&amp;lang=en_US&amp;offset=0&amp;query=any,contains,991005300409702656","Catalog Record")</f>
        <v/>
      </c>
      <c r="AV1648">
        <f>HYPERLINK("http://www.worldcat.org/oclc/81252833","WorldCat Record")</f>
        <v/>
      </c>
      <c r="AW1648" t="inlineStr">
        <is>
          <t>795572212:eng</t>
        </is>
      </c>
      <c r="AX1648" t="inlineStr">
        <is>
          <t>81252833</t>
        </is>
      </c>
      <c r="AY1648" t="inlineStr">
        <is>
          <t>991005300409702656</t>
        </is>
      </c>
      <c r="AZ1648" t="inlineStr">
        <is>
          <t>991005300409702656</t>
        </is>
      </c>
      <c r="BA1648" t="inlineStr">
        <is>
          <t>2255045470002656</t>
        </is>
      </c>
      <c r="BB1648" t="inlineStr">
        <is>
          <t>BOOK</t>
        </is>
      </c>
      <c r="BD1648" t="inlineStr">
        <is>
          <t>9781403976697</t>
        </is>
      </c>
      <c r="BE1648" t="inlineStr">
        <is>
          <t>32285005512362</t>
        </is>
      </c>
      <c r="BF1648" t="inlineStr">
        <is>
          <t>893783378</t>
        </is>
      </c>
    </row>
    <row r="1649">
      <c r="A1649" t="inlineStr">
        <is>
          <t>No</t>
        </is>
      </c>
      <c r="B1649" t="inlineStr">
        <is>
          <t>CURAL</t>
        </is>
      </c>
      <c r="C1649" t="inlineStr">
        <is>
          <t>SHELVES</t>
        </is>
      </c>
      <c r="D1649" t="inlineStr">
        <is>
          <t>PR438.R45 R58 1996</t>
        </is>
      </c>
      <c r="E1649" t="inlineStr">
        <is>
          <t>0                      PR 0438000R  45                 R  58          1996</t>
        </is>
      </c>
      <c r="F1649" t="inlineStr">
        <is>
          <t>Reconstructing literature in an ideological age : a biblical poetics and literary studies from Milton to Burke / Daniel E. Ritchie.</t>
        </is>
      </c>
      <c r="H1649" t="inlineStr">
        <is>
          <t>No</t>
        </is>
      </c>
      <c r="I1649" t="inlineStr">
        <is>
          <t>1</t>
        </is>
      </c>
      <c r="J1649" t="inlineStr">
        <is>
          <t>No</t>
        </is>
      </c>
      <c r="K1649" t="inlineStr">
        <is>
          <t>No</t>
        </is>
      </c>
      <c r="L1649" t="inlineStr">
        <is>
          <t>0</t>
        </is>
      </c>
      <c r="M1649" t="inlineStr">
        <is>
          <t>Ritchie, Daniel E.</t>
        </is>
      </c>
      <c r="N1649" t="inlineStr">
        <is>
          <t>Grand Rapids, MI : W.B. Eerdmans Pub. Co., c1996.</t>
        </is>
      </c>
      <c r="O1649" t="inlineStr">
        <is>
          <t>1996</t>
        </is>
      </c>
      <c r="Q1649" t="inlineStr">
        <is>
          <t>eng</t>
        </is>
      </c>
      <c r="R1649" t="inlineStr">
        <is>
          <t>miu</t>
        </is>
      </c>
      <c r="T1649" t="inlineStr">
        <is>
          <t xml:space="preserve">PR </t>
        </is>
      </c>
      <c r="U1649" t="n">
        <v>2</v>
      </c>
      <c r="V1649" t="n">
        <v>2</v>
      </c>
      <c r="W1649" t="inlineStr">
        <is>
          <t>2003-12-05</t>
        </is>
      </c>
      <c r="X1649" t="inlineStr">
        <is>
          <t>2003-12-05</t>
        </is>
      </c>
      <c r="Y1649" t="inlineStr">
        <is>
          <t>1997-05-04</t>
        </is>
      </c>
      <c r="Z1649" t="inlineStr">
        <is>
          <t>1997-05-04</t>
        </is>
      </c>
      <c r="AA1649" t="n">
        <v>373</v>
      </c>
      <c r="AB1649" t="n">
        <v>322</v>
      </c>
      <c r="AC1649" t="n">
        <v>324</v>
      </c>
      <c r="AD1649" t="n">
        <v>3</v>
      </c>
      <c r="AE1649" t="n">
        <v>3</v>
      </c>
      <c r="AF1649" t="n">
        <v>15</v>
      </c>
      <c r="AG1649" t="n">
        <v>15</v>
      </c>
      <c r="AH1649" t="n">
        <v>6</v>
      </c>
      <c r="AI1649" t="n">
        <v>6</v>
      </c>
      <c r="AJ1649" t="n">
        <v>2</v>
      </c>
      <c r="AK1649" t="n">
        <v>2</v>
      </c>
      <c r="AL1649" t="n">
        <v>8</v>
      </c>
      <c r="AM1649" t="n">
        <v>8</v>
      </c>
      <c r="AN1649" t="n">
        <v>2</v>
      </c>
      <c r="AO1649" t="n">
        <v>2</v>
      </c>
      <c r="AP1649" t="n">
        <v>0</v>
      </c>
      <c r="AQ1649" t="n">
        <v>0</v>
      </c>
      <c r="AR1649" t="inlineStr">
        <is>
          <t>No</t>
        </is>
      </c>
      <c r="AS1649" t="inlineStr">
        <is>
          <t>Yes</t>
        </is>
      </c>
      <c r="AT1649">
        <f>HYPERLINK("http://catalog.hathitrust.org/Record/003062508","HathiTrust Record")</f>
        <v/>
      </c>
      <c r="AU1649">
        <f>HYPERLINK("https://creighton-primo.hosted.exlibrisgroup.com/primo-explore/search?tab=default_tab&amp;search_scope=EVERYTHING&amp;vid=01CRU&amp;lang=en_US&amp;offset=0&amp;query=any,contains,991002586059702656","Catalog Record")</f>
        <v/>
      </c>
      <c r="AV1649">
        <f>HYPERLINK("http://www.worldcat.org/oclc/33897562","WorldCat Record")</f>
        <v/>
      </c>
      <c r="AW1649" t="inlineStr">
        <is>
          <t>473796479:eng</t>
        </is>
      </c>
      <c r="AX1649" t="inlineStr">
        <is>
          <t>33897562</t>
        </is>
      </c>
      <c r="AY1649" t="inlineStr">
        <is>
          <t>991002586059702656</t>
        </is>
      </c>
      <c r="AZ1649" t="inlineStr">
        <is>
          <t>991002586059702656</t>
        </is>
      </c>
      <c r="BA1649" t="inlineStr">
        <is>
          <t>2270924320002656</t>
        </is>
      </c>
      <c r="BB1649" t="inlineStr">
        <is>
          <t>BOOK</t>
        </is>
      </c>
      <c r="BD1649" t="inlineStr">
        <is>
          <t>9780802841407</t>
        </is>
      </c>
      <c r="BE1649" t="inlineStr">
        <is>
          <t>32285002543006</t>
        </is>
      </c>
      <c r="BF1649" t="inlineStr">
        <is>
          <t>893597632</t>
        </is>
      </c>
    </row>
    <row r="1650">
      <c r="A1650" t="inlineStr">
        <is>
          <t>No</t>
        </is>
      </c>
      <c r="B1650" t="inlineStr">
        <is>
          <t>CURAL</t>
        </is>
      </c>
      <c r="C1650" t="inlineStr">
        <is>
          <t>SHELVES</t>
        </is>
      </c>
      <c r="D1650" t="inlineStr">
        <is>
          <t>PR438.S35 M37 1997</t>
        </is>
      </c>
      <c r="E1650" t="inlineStr">
        <is>
          <t>0                      PR 0438000S  35                 M  37          1997</t>
        </is>
      </c>
      <c r="F1650" t="inlineStr">
        <is>
          <t>Narrative and meaning in early modern England : Browne's skull and other histories / Howard Marchitello.</t>
        </is>
      </c>
      <c r="H1650" t="inlineStr">
        <is>
          <t>No</t>
        </is>
      </c>
      <c r="I1650" t="inlineStr">
        <is>
          <t>1</t>
        </is>
      </c>
      <c r="J1650" t="inlineStr">
        <is>
          <t>No</t>
        </is>
      </c>
      <c r="K1650" t="inlineStr">
        <is>
          <t>No</t>
        </is>
      </c>
      <c r="L1650" t="inlineStr">
        <is>
          <t>0</t>
        </is>
      </c>
      <c r="M1650" t="inlineStr">
        <is>
          <t>Marchitello, Howard.</t>
        </is>
      </c>
      <c r="N1650" t="inlineStr">
        <is>
          <t>Cambridge ; New York : Cambridge University Press, 1997.</t>
        </is>
      </c>
      <c r="O1650" t="inlineStr">
        <is>
          <t>1997</t>
        </is>
      </c>
      <c r="Q1650" t="inlineStr">
        <is>
          <t>eng</t>
        </is>
      </c>
      <c r="R1650" t="inlineStr">
        <is>
          <t>enk</t>
        </is>
      </c>
      <c r="S1650" t="inlineStr">
        <is>
          <t>Cambridge studies in Renaissance literature and culture ; 20</t>
        </is>
      </c>
      <c r="T1650" t="inlineStr">
        <is>
          <t xml:space="preserve">PR </t>
        </is>
      </c>
      <c r="U1650" t="n">
        <v>2</v>
      </c>
      <c r="V1650" t="n">
        <v>2</v>
      </c>
      <c r="W1650" t="inlineStr">
        <is>
          <t>2000-12-26</t>
        </is>
      </c>
      <c r="X1650" t="inlineStr">
        <is>
          <t>2000-12-26</t>
        </is>
      </c>
      <c r="Y1650" t="inlineStr">
        <is>
          <t>2000-12-26</t>
        </is>
      </c>
      <c r="Z1650" t="inlineStr">
        <is>
          <t>2000-12-26</t>
        </is>
      </c>
      <c r="AA1650" t="n">
        <v>337</v>
      </c>
      <c r="AB1650" t="n">
        <v>234</v>
      </c>
      <c r="AC1650" t="n">
        <v>236</v>
      </c>
      <c r="AD1650" t="n">
        <v>2</v>
      </c>
      <c r="AE1650" t="n">
        <v>2</v>
      </c>
      <c r="AF1650" t="n">
        <v>13</v>
      </c>
      <c r="AG1650" t="n">
        <v>13</v>
      </c>
      <c r="AH1650" t="n">
        <v>4</v>
      </c>
      <c r="AI1650" t="n">
        <v>4</v>
      </c>
      <c r="AJ1650" t="n">
        <v>3</v>
      </c>
      <c r="AK1650" t="n">
        <v>3</v>
      </c>
      <c r="AL1650" t="n">
        <v>8</v>
      </c>
      <c r="AM1650" t="n">
        <v>8</v>
      </c>
      <c r="AN1650" t="n">
        <v>1</v>
      </c>
      <c r="AO1650" t="n">
        <v>1</v>
      </c>
      <c r="AP1650" t="n">
        <v>0</v>
      </c>
      <c r="AQ1650" t="n">
        <v>0</v>
      </c>
      <c r="AR1650" t="inlineStr">
        <is>
          <t>No</t>
        </is>
      </c>
      <c r="AS1650" t="inlineStr">
        <is>
          <t>No</t>
        </is>
      </c>
      <c r="AU1650">
        <f>HYPERLINK("https://creighton-primo.hosted.exlibrisgroup.com/primo-explore/search?tab=default_tab&amp;search_scope=EVERYTHING&amp;vid=01CRU&amp;lang=en_US&amp;offset=0&amp;query=any,contains,991003323939702656","Catalog Record")</f>
        <v/>
      </c>
      <c r="AV1650">
        <f>HYPERLINK("http://www.worldcat.org/oclc/36023991","WorldCat Record")</f>
        <v/>
      </c>
      <c r="AW1650" t="inlineStr">
        <is>
          <t>335805692:eng</t>
        </is>
      </c>
      <c r="AX1650" t="inlineStr">
        <is>
          <t>36023991</t>
        </is>
      </c>
      <c r="AY1650" t="inlineStr">
        <is>
          <t>991003323939702656</t>
        </is>
      </c>
      <c r="AZ1650" t="inlineStr">
        <is>
          <t>991003323939702656</t>
        </is>
      </c>
      <c r="BA1650" t="inlineStr">
        <is>
          <t>2256282610002656</t>
        </is>
      </c>
      <c r="BB1650" t="inlineStr">
        <is>
          <t>BOOK</t>
        </is>
      </c>
      <c r="BD1650" t="inlineStr">
        <is>
          <t>9780521580250</t>
        </is>
      </c>
      <c r="BE1650" t="inlineStr">
        <is>
          <t>32285004278452</t>
        </is>
      </c>
      <c r="BF1650" t="inlineStr">
        <is>
          <t>893705121</t>
        </is>
      </c>
    </row>
    <row r="1651">
      <c r="A1651" t="inlineStr">
        <is>
          <t>No</t>
        </is>
      </c>
      <c r="B1651" t="inlineStr">
        <is>
          <t>CURAL</t>
        </is>
      </c>
      <c r="C1651" t="inlineStr">
        <is>
          <t>SHELVES</t>
        </is>
      </c>
      <c r="D1651" t="inlineStr">
        <is>
          <t>PR438.S45 L69 2003</t>
        </is>
      </c>
      <c r="E1651" t="inlineStr">
        <is>
          <t>0                      PR 0438000S  45                 L  69          2003</t>
        </is>
      </c>
      <c r="F1651" t="inlineStr">
        <is>
          <t>Aspects of subjectivity : society and individuality from the Middle Ages to Shakespeare and Milton / by Anthony Low.</t>
        </is>
      </c>
      <c r="H1651" t="inlineStr">
        <is>
          <t>No</t>
        </is>
      </c>
      <c r="I1651" t="inlineStr">
        <is>
          <t>1</t>
        </is>
      </c>
      <c r="J1651" t="inlineStr">
        <is>
          <t>No</t>
        </is>
      </c>
      <c r="K1651" t="inlineStr">
        <is>
          <t>No</t>
        </is>
      </c>
      <c r="L1651" t="inlineStr">
        <is>
          <t>0</t>
        </is>
      </c>
      <c r="M1651" t="inlineStr">
        <is>
          <t>Low, Anthony, 1935-</t>
        </is>
      </c>
      <c r="N1651" t="inlineStr">
        <is>
          <t>Pittsburgh, Pa. : Duquesne University Press, c2003.</t>
        </is>
      </c>
      <c r="O1651" t="inlineStr">
        <is>
          <t>2003</t>
        </is>
      </c>
      <c r="Q1651" t="inlineStr">
        <is>
          <t>eng</t>
        </is>
      </c>
      <c r="R1651" t="inlineStr">
        <is>
          <t>pau</t>
        </is>
      </c>
      <c r="S1651" t="inlineStr">
        <is>
          <t>Medieval &amp; Renaissance literary studies</t>
        </is>
      </c>
      <c r="T1651" t="inlineStr">
        <is>
          <t xml:space="preserve">PR </t>
        </is>
      </c>
      <c r="U1651" t="n">
        <v>5</v>
      </c>
      <c r="V1651" t="n">
        <v>5</v>
      </c>
      <c r="W1651" t="inlineStr">
        <is>
          <t>2006-09-20</t>
        </is>
      </c>
      <c r="X1651" t="inlineStr">
        <is>
          <t>2006-09-20</t>
        </is>
      </c>
      <c r="Y1651" t="inlineStr">
        <is>
          <t>2005-03-22</t>
        </is>
      </c>
      <c r="Z1651" t="inlineStr">
        <is>
          <t>2005-03-22</t>
        </is>
      </c>
      <c r="AA1651" t="n">
        <v>425</v>
      </c>
      <c r="AB1651" t="n">
        <v>355</v>
      </c>
      <c r="AC1651" t="n">
        <v>357</v>
      </c>
      <c r="AD1651" t="n">
        <v>2</v>
      </c>
      <c r="AE1651" t="n">
        <v>2</v>
      </c>
      <c r="AF1651" t="n">
        <v>21</v>
      </c>
      <c r="AG1651" t="n">
        <v>21</v>
      </c>
      <c r="AH1651" t="n">
        <v>9</v>
      </c>
      <c r="AI1651" t="n">
        <v>9</v>
      </c>
      <c r="AJ1651" t="n">
        <v>6</v>
      </c>
      <c r="AK1651" t="n">
        <v>6</v>
      </c>
      <c r="AL1651" t="n">
        <v>12</v>
      </c>
      <c r="AM1651" t="n">
        <v>12</v>
      </c>
      <c r="AN1651" t="n">
        <v>1</v>
      </c>
      <c r="AO1651" t="n">
        <v>1</v>
      </c>
      <c r="AP1651" t="n">
        <v>0</v>
      </c>
      <c r="AQ1651" t="n">
        <v>0</v>
      </c>
      <c r="AR1651" t="inlineStr">
        <is>
          <t>No</t>
        </is>
      </c>
      <c r="AS1651" t="inlineStr">
        <is>
          <t>Yes</t>
        </is>
      </c>
      <c r="AT1651">
        <f>HYPERLINK("http://catalog.hathitrust.org/Record/004324782","HathiTrust Record")</f>
        <v/>
      </c>
      <c r="AU1651">
        <f>HYPERLINK("https://creighton-primo.hosted.exlibrisgroup.com/primo-explore/search?tab=default_tab&amp;search_scope=EVERYTHING&amp;vid=01CRU&amp;lang=en_US&amp;offset=0&amp;query=any,contains,991004407829702656","Catalog Record")</f>
        <v/>
      </c>
      <c r="AV1651">
        <f>HYPERLINK("http://www.worldcat.org/oclc/50761075","WorldCat Record")</f>
        <v/>
      </c>
      <c r="AW1651" t="inlineStr">
        <is>
          <t>366815917:eng</t>
        </is>
      </c>
      <c r="AX1651" t="inlineStr">
        <is>
          <t>50761075</t>
        </is>
      </c>
      <c r="AY1651" t="inlineStr">
        <is>
          <t>991004407829702656</t>
        </is>
      </c>
      <c r="AZ1651" t="inlineStr">
        <is>
          <t>991004407829702656</t>
        </is>
      </c>
      <c r="BA1651" t="inlineStr">
        <is>
          <t>2264712600002656</t>
        </is>
      </c>
      <c r="BB1651" t="inlineStr">
        <is>
          <t>BOOK</t>
        </is>
      </c>
      <c r="BD1651" t="inlineStr">
        <is>
          <t>9780820703374</t>
        </is>
      </c>
      <c r="BE1651" t="inlineStr">
        <is>
          <t>32285005044234</t>
        </is>
      </c>
      <c r="BF1651" t="inlineStr">
        <is>
          <t>893446190</t>
        </is>
      </c>
    </row>
    <row r="1652">
      <c r="A1652" t="inlineStr">
        <is>
          <t>No</t>
        </is>
      </c>
      <c r="B1652" t="inlineStr">
        <is>
          <t>CURAL</t>
        </is>
      </c>
      <c r="C1652" t="inlineStr">
        <is>
          <t>SHELVES</t>
        </is>
      </c>
      <c r="D1652" t="inlineStr">
        <is>
          <t>PR438.S63 E94 1999</t>
        </is>
      </c>
      <c r="E1652" t="inlineStr">
        <is>
          <t>0                      PR 0438000S  63                 E  94          1999</t>
        </is>
      </c>
      <c r="F1652" t="inlineStr">
        <is>
          <t>Social authorship and the advent of print / Margaret J.M. Ezell.</t>
        </is>
      </c>
      <c r="H1652" t="inlineStr">
        <is>
          <t>No</t>
        </is>
      </c>
      <c r="I1652" t="inlineStr">
        <is>
          <t>1</t>
        </is>
      </c>
      <c r="J1652" t="inlineStr">
        <is>
          <t>No</t>
        </is>
      </c>
      <c r="K1652" t="inlineStr">
        <is>
          <t>No</t>
        </is>
      </c>
      <c r="L1652" t="inlineStr">
        <is>
          <t>0</t>
        </is>
      </c>
      <c r="M1652" t="inlineStr">
        <is>
          <t>Ezell, Margaret J. M.</t>
        </is>
      </c>
      <c r="N1652" t="inlineStr">
        <is>
          <t>Baltimore : Johns Hopkins University Press, 1999.</t>
        </is>
      </c>
      <c r="O1652" t="inlineStr">
        <is>
          <t>1999</t>
        </is>
      </c>
      <c r="Q1652" t="inlineStr">
        <is>
          <t>eng</t>
        </is>
      </c>
      <c r="R1652" t="inlineStr">
        <is>
          <t>mdu</t>
        </is>
      </c>
      <c r="T1652" t="inlineStr">
        <is>
          <t xml:space="preserve">PR </t>
        </is>
      </c>
      <c r="U1652" t="n">
        <v>6</v>
      </c>
      <c r="V1652" t="n">
        <v>6</v>
      </c>
      <c r="W1652" t="inlineStr">
        <is>
          <t>2002-08-27</t>
        </is>
      </c>
      <c r="X1652" t="inlineStr">
        <is>
          <t>2002-08-27</t>
        </is>
      </c>
      <c r="Y1652" t="inlineStr">
        <is>
          <t>2000-07-20</t>
        </is>
      </c>
      <c r="Z1652" t="inlineStr">
        <is>
          <t>2000-07-20</t>
        </is>
      </c>
      <c r="AA1652" t="n">
        <v>421</v>
      </c>
      <c r="AB1652" t="n">
        <v>336</v>
      </c>
      <c r="AC1652" t="n">
        <v>347</v>
      </c>
      <c r="AD1652" t="n">
        <v>3</v>
      </c>
      <c r="AE1652" t="n">
        <v>3</v>
      </c>
      <c r="AF1652" t="n">
        <v>19</v>
      </c>
      <c r="AG1652" t="n">
        <v>20</v>
      </c>
      <c r="AH1652" t="n">
        <v>9</v>
      </c>
      <c r="AI1652" t="n">
        <v>9</v>
      </c>
      <c r="AJ1652" t="n">
        <v>5</v>
      </c>
      <c r="AK1652" t="n">
        <v>6</v>
      </c>
      <c r="AL1652" t="n">
        <v>8</v>
      </c>
      <c r="AM1652" t="n">
        <v>8</v>
      </c>
      <c r="AN1652" t="n">
        <v>2</v>
      </c>
      <c r="AO1652" t="n">
        <v>2</v>
      </c>
      <c r="AP1652" t="n">
        <v>0</v>
      </c>
      <c r="AQ1652" t="n">
        <v>0</v>
      </c>
      <c r="AR1652" t="inlineStr">
        <is>
          <t>No</t>
        </is>
      </c>
      <c r="AS1652" t="inlineStr">
        <is>
          <t>Yes</t>
        </is>
      </c>
      <c r="AT1652">
        <f>HYPERLINK("http://catalog.hathitrust.org/Record/004052322","HathiTrust Record")</f>
        <v/>
      </c>
      <c r="AU1652">
        <f>HYPERLINK("https://creighton-primo.hosted.exlibrisgroup.com/primo-explore/search?tab=default_tab&amp;search_scope=EVERYTHING&amp;vid=01CRU&amp;lang=en_US&amp;offset=0&amp;query=any,contains,991003210159702656","Catalog Record")</f>
        <v/>
      </c>
      <c r="AV1652">
        <f>HYPERLINK("http://www.worldcat.org/oclc/40200297","WorldCat Record")</f>
        <v/>
      </c>
      <c r="AW1652" t="inlineStr">
        <is>
          <t>780759:eng</t>
        </is>
      </c>
      <c r="AX1652" t="inlineStr">
        <is>
          <t>40200297</t>
        </is>
      </c>
      <c r="AY1652" t="inlineStr">
        <is>
          <t>991003210159702656</t>
        </is>
      </c>
      <c r="AZ1652" t="inlineStr">
        <is>
          <t>991003210159702656</t>
        </is>
      </c>
      <c r="BA1652" t="inlineStr">
        <is>
          <t>2267227750002656</t>
        </is>
      </c>
      <c r="BB1652" t="inlineStr">
        <is>
          <t>BOOK</t>
        </is>
      </c>
      <c r="BD1652" t="inlineStr">
        <is>
          <t>9780801861390</t>
        </is>
      </c>
      <c r="BE1652" t="inlineStr">
        <is>
          <t>32285003712444</t>
        </is>
      </c>
      <c r="BF1652" t="inlineStr">
        <is>
          <t>893342326</t>
        </is>
      </c>
    </row>
    <row r="1653">
      <c r="A1653" t="inlineStr">
        <is>
          <t>No</t>
        </is>
      </c>
      <c r="B1653" t="inlineStr">
        <is>
          <t>CURAL</t>
        </is>
      </c>
      <c r="C1653" t="inlineStr">
        <is>
          <t>SHELVES</t>
        </is>
      </c>
      <c r="D1653" t="inlineStr">
        <is>
          <t>PR438.S63 P37 1989</t>
        </is>
      </c>
      <c r="E1653" t="inlineStr">
        <is>
          <t>0                      PR 0438000S  63                 P  37          1989</t>
        </is>
      </c>
      <c r="F1653" t="inlineStr">
        <is>
          <t>The seventeenth century : the intellectual and cultural context of English literature, 1603-1700 / Graham Parry.</t>
        </is>
      </c>
      <c r="H1653" t="inlineStr">
        <is>
          <t>No</t>
        </is>
      </c>
      <c r="I1653" t="inlineStr">
        <is>
          <t>1</t>
        </is>
      </c>
      <c r="J1653" t="inlineStr">
        <is>
          <t>No</t>
        </is>
      </c>
      <c r="K1653" t="inlineStr">
        <is>
          <t>No</t>
        </is>
      </c>
      <c r="L1653" t="inlineStr">
        <is>
          <t>0</t>
        </is>
      </c>
      <c r="M1653" t="inlineStr">
        <is>
          <t>Parry, Graham.</t>
        </is>
      </c>
      <c r="N1653" t="inlineStr">
        <is>
          <t>London ; New York : Longman, 1989.</t>
        </is>
      </c>
      <c r="O1653" t="inlineStr">
        <is>
          <t>1989</t>
        </is>
      </c>
      <c r="Q1653" t="inlineStr">
        <is>
          <t>eng</t>
        </is>
      </c>
      <c r="R1653" t="inlineStr">
        <is>
          <t>enk</t>
        </is>
      </c>
      <c r="S1653" t="inlineStr">
        <is>
          <t>Longman literature in English series</t>
        </is>
      </c>
      <c r="T1653" t="inlineStr">
        <is>
          <t xml:space="preserve">PR </t>
        </is>
      </c>
      <c r="U1653" t="n">
        <v>4</v>
      </c>
      <c r="V1653" t="n">
        <v>4</v>
      </c>
      <c r="W1653" t="inlineStr">
        <is>
          <t>1997-09-08</t>
        </is>
      </c>
      <c r="X1653" t="inlineStr">
        <is>
          <t>1997-09-08</t>
        </is>
      </c>
      <c r="Y1653" t="inlineStr">
        <is>
          <t>1989-11-16</t>
        </is>
      </c>
      <c r="Z1653" t="inlineStr">
        <is>
          <t>1989-11-16</t>
        </is>
      </c>
      <c r="AA1653" t="n">
        <v>588</v>
      </c>
      <c r="AB1653" t="n">
        <v>368</v>
      </c>
      <c r="AC1653" t="n">
        <v>394</v>
      </c>
      <c r="AD1653" t="n">
        <v>2</v>
      </c>
      <c r="AE1653" t="n">
        <v>2</v>
      </c>
      <c r="AF1653" t="n">
        <v>18</v>
      </c>
      <c r="AG1653" t="n">
        <v>18</v>
      </c>
      <c r="AH1653" t="n">
        <v>7</v>
      </c>
      <c r="AI1653" t="n">
        <v>7</v>
      </c>
      <c r="AJ1653" t="n">
        <v>7</v>
      </c>
      <c r="AK1653" t="n">
        <v>7</v>
      </c>
      <c r="AL1653" t="n">
        <v>11</v>
      </c>
      <c r="AM1653" t="n">
        <v>11</v>
      </c>
      <c r="AN1653" t="n">
        <v>1</v>
      </c>
      <c r="AO1653" t="n">
        <v>1</v>
      </c>
      <c r="AP1653" t="n">
        <v>0</v>
      </c>
      <c r="AQ1653" t="n">
        <v>0</v>
      </c>
      <c r="AR1653" t="inlineStr">
        <is>
          <t>No</t>
        </is>
      </c>
      <c r="AS1653" t="inlineStr">
        <is>
          <t>No</t>
        </is>
      </c>
      <c r="AU1653">
        <f>HYPERLINK("https://creighton-primo.hosted.exlibrisgroup.com/primo-explore/search?tab=default_tab&amp;search_scope=EVERYTHING&amp;vid=01CRU&amp;lang=en_US&amp;offset=0&amp;query=any,contains,991001210639702656","Catalog Record")</f>
        <v/>
      </c>
      <c r="AV1653">
        <f>HYPERLINK("http://www.worldcat.org/oclc/17384961","WorldCat Record")</f>
        <v/>
      </c>
      <c r="AW1653" t="inlineStr">
        <is>
          <t>15960684:eng</t>
        </is>
      </c>
      <c r="AX1653" t="inlineStr">
        <is>
          <t>17384961</t>
        </is>
      </c>
      <c r="AY1653" t="inlineStr">
        <is>
          <t>991001210639702656</t>
        </is>
      </c>
      <c r="AZ1653" t="inlineStr">
        <is>
          <t>991001210639702656</t>
        </is>
      </c>
      <c r="BA1653" t="inlineStr">
        <is>
          <t>2269588350002656</t>
        </is>
      </c>
      <c r="BB1653" t="inlineStr">
        <is>
          <t>BOOK</t>
        </is>
      </c>
      <c r="BD1653" t="inlineStr">
        <is>
          <t>9780582493766</t>
        </is>
      </c>
      <c r="BE1653" t="inlineStr">
        <is>
          <t>32285000012996</t>
        </is>
      </c>
      <c r="BF1653" t="inlineStr">
        <is>
          <t>893225695</t>
        </is>
      </c>
    </row>
    <row r="1654">
      <c r="A1654" t="inlineStr">
        <is>
          <t>No</t>
        </is>
      </c>
      <c r="B1654" t="inlineStr">
        <is>
          <t>CURAL</t>
        </is>
      </c>
      <c r="C1654" t="inlineStr">
        <is>
          <t>SHELVES</t>
        </is>
      </c>
      <c r="D1654" t="inlineStr">
        <is>
          <t>PR4381 .D6 1969</t>
        </is>
      </c>
      <c r="E1654" t="inlineStr">
        <is>
          <t>0                      PR 4381000D  6           1969</t>
        </is>
      </c>
      <c r="F1654" t="inlineStr">
        <is>
          <t>Byron / [by] Francis M. Doherty.</t>
        </is>
      </c>
      <c r="H1654" t="inlineStr">
        <is>
          <t>No</t>
        </is>
      </c>
      <c r="I1654" t="inlineStr">
        <is>
          <t>1</t>
        </is>
      </c>
      <c r="J1654" t="inlineStr">
        <is>
          <t>No</t>
        </is>
      </c>
      <c r="K1654" t="inlineStr">
        <is>
          <t>No</t>
        </is>
      </c>
      <c r="L1654" t="inlineStr">
        <is>
          <t>0</t>
        </is>
      </c>
      <c r="M1654" t="inlineStr">
        <is>
          <t>Doherty, Francis (Francis Michael Joseph)</t>
        </is>
      </c>
      <c r="N1654" t="inlineStr">
        <is>
          <t>New York : Arco, [1969]</t>
        </is>
      </c>
      <c r="O1654" t="inlineStr">
        <is>
          <t>1969</t>
        </is>
      </c>
      <c r="Q1654" t="inlineStr">
        <is>
          <t>eng</t>
        </is>
      </c>
      <c r="R1654" t="inlineStr">
        <is>
          <t>nyu</t>
        </is>
      </c>
      <c r="S1654" t="inlineStr">
        <is>
          <t>Arco literary critiques</t>
        </is>
      </c>
      <c r="T1654" t="inlineStr">
        <is>
          <t xml:space="preserve">PR </t>
        </is>
      </c>
      <c r="U1654" t="n">
        <v>5</v>
      </c>
      <c r="V1654" t="n">
        <v>5</v>
      </c>
      <c r="W1654" t="inlineStr">
        <is>
          <t>1996-09-30</t>
        </is>
      </c>
      <c r="X1654" t="inlineStr">
        <is>
          <t>1996-09-30</t>
        </is>
      </c>
      <c r="Y1654" t="inlineStr">
        <is>
          <t>1992-03-10</t>
        </is>
      </c>
      <c r="Z1654" t="inlineStr">
        <is>
          <t>1992-03-10</t>
        </is>
      </c>
      <c r="AA1654" t="n">
        <v>570</v>
      </c>
      <c r="AB1654" t="n">
        <v>556</v>
      </c>
      <c r="AC1654" t="n">
        <v>643</v>
      </c>
      <c r="AD1654" t="n">
        <v>2</v>
      </c>
      <c r="AE1654" t="n">
        <v>3</v>
      </c>
      <c r="AF1654" t="n">
        <v>9</v>
      </c>
      <c r="AG1654" t="n">
        <v>16</v>
      </c>
      <c r="AH1654" t="n">
        <v>5</v>
      </c>
      <c r="AI1654" t="n">
        <v>8</v>
      </c>
      <c r="AJ1654" t="n">
        <v>2</v>
      </c>
      <c r="AK1654" t="n">
        <v>4</v>
      </c>
      <c r="AL1654" t="n">
        <v>3</v>
      </c>
      <c r="AM1654" t="n">
        <v>8</v>
      </c>
      <c r="AN1654" t="n">
        <v>1</v>
      </c>
      <c r="AO1654" t="n">
        <v>2</v>
      </c>
      <c r="AP1654" t="n">
        <v>0</v>
      </c>
      <c r="AQ1654" t="n">
        <v>0</v>
      </c>
      <c r="AR1654" t="inlineStr">
        <is>
          <t>No</t>
        </is>
      </c>
      <c r="AS1654" t="inlineStr">
        <is>
          <t>No</t>
        </is>
      </c>
      <c r="AU1654">
        <f>HYPERLINK("https://creighton-primo.hosted.exlibrisgroup.com/primo-explore/search?tab=default_tab&amp;search_scope=EVERYTHING&amp;vid=01CRU&amp;lang=en_US&amp;offset=0&amp;query=any,contains,991000066699702656","Catalog Record")</f>
        <v/>
      </c>
      <c r="AV1654">
        <f>HYPERLINK("http://www.worldcat.org/oclc/27186","WorldCat Record")</f>
        <v/>
      </c>
      <c r="AW1654" t="inlineStr">
        <is>
          <t>1167407:eng</t>
        </is>
      </c>
      <c r="AX1654" t="inlineStr">
        <is>
          <t>27186</t>
        </is>
      </c>
      <c r="AY1654" t="inlineStr">
        <is>
          <t>991000066699702656</t>
        </is>
      </c>
      <c r="AZ1654" t="inlineStr">
        <is>
          <t>991000066699702656</t>
        </is>
      </c>
      <c r="BA1654" t="inlineStr">
        <is>
          <t>2262721420002656</t>
        </is>
      </c>
      <c r="BB1654" t="inlineStr">
        <is>
          <t>BOOK</t>
        </is>
      </c>
      <c r="BD1654" t="inlineStr">
        <is>
          <t>9780668019422</t>
        </is>
      </c>
      <c r="BE1654" t="inlineStr">
        <is>
          <t>32285000994052</t>
        </is>
      </c>
      <c r="BF1654" t="inlineStr">
        <is>
          <t>893261350</t>
        </is>
      </c>
    </row>
    <row r="1655">
      <c r="A1655" t="inlineStr">
        <is>
          <t>No</t>
        </is>
      </c>
      <c r="B1655" t="inlineStr">
        <is>
          <t>CURAL</t>
        </is>
      </c>
      <c r="C1655" t="inlineStr">
        <is>
          <t>SHELVES</t>
        </is>
      </c>
      <c r="D1655" t="inlineStr">
        <is>
          <t>PR4381 .J84 1972</t>
        </is>
      </c>
      <c r="E1655" t="inlineStr">
        <is>
          <t>0                      PR 4381000J  84          1972</t>
        </is>
      </c>
      <c r="F1655" t="inlineStr">
        <is>
          <t>Byron / by John D. Jump.</t>
        </is>
      </c>
      <c r="H1655" t="inlineStr">
        <is>
          <t>No</t>
        </is>
      </c>
      <c r="I1655" t="inlineStr">
        <is>
          <t>1</t>
        </is>
      </c>
      <c r="J1655" t="inlineStr">
        <is>
          <t>No</t>
        </is>
      </c>
      <c r="K1655" t="inlineStr">
        <is>
          <t>No</t>
        </is>
      </c>
      <c r="L1655" t="inlineStr">
        <is>
          <t>0</t>
        </is>
      </c>
      <c r="M1655" t="inlineStr">
        <is>
          <t>Jump, John D. (John Davies), 1913-1976.</t>
        </is>
      </c>
      <c r="N1655" t="inlineStr">
        <is>
          <t>London ; Boston : Routledge and Kegan Paul, 1972.</t>
        </is>
      </c>
      <c r="O1655" t="inlineStr">
        <is>
          <t>1972</t>
        </is>
      </c>
      <c r="Q1655" t="inlineStr">
        <is>
          <t>eng</t>
        </is>
      </c>
      <c r="R1655" t="inlineStr">
        <is>
          <t>enk</t>
        </is>
      </c>
      <c r="S1655" t="inlineStr">
        <is>
          <t>Routledge author guides</t>
        </is>
      </c>
      <c r="T1655" t="inlineStr">
        <is>
          <t xml:space="preserve">PR </t>
        </is>
      </c>
      <c r="U1655" t="n">
        <v>2</v>
      </c>
      <c r="V1655" t="n">
        <v>2</v>
      </c>
      <c r="W1655" t="inlineStr">
        <is>
          <t>1991-12-13</t>
        </is>
      </c>
      <c r="X1655" t="inlineStr">
        <is>
          <t>1991-12-13</t>
        </is>
      </c>
      <c r="Y1655" t="inlineStr">
        <is>
          <t>1990-10-08</t>
        </is>
      </c>
      <c r="Z1655" t="inlineStr">
        <is>
          <t>1990-10-08</t>
        </is>
      </c>
      <c r="AA1655" t="n">
        <v>792</v>
      </c>
      <c r="AB1655" t="n">
        <v>564</v>
      </c>
      <c r="AC1655" t="n">
        <v>590</v>
      </c>
      <c r="AD1655" t="n">
        <v>4</v>
      </c>
      <c r="AE1655" t="n">
        <v>4</v>
      </c>
      <c r="AF1655" t="n">
        <v>25</v>
      </c>
      <c r="AG1655" t="n">
        <v>25</v>
      </c>
      <c r="AH1655" t="n">
        <v>8</v>
      </c>
      <c r="AI1655" t="n">
        <v>8</v>
      </c>
      <c r="AJ1655" t="n">
        <v>7</v>
      </c>
      <c r="AK1655" t="n">
        <v>7</v>
      </c>
      <c r="AL1655" t="n">
        <v>17</v>
      </c>
      <c r="AM1655" t="n">
        <v>17</v>
      </c>
      <c r="AN1655" t="n">
        <v>3</v>
      </c>
      <c r="AO1655" t="n">
        <v>3</v>
      </c>
      <c r="AP1655" t="n">
        <v>0</v>
      </c>
      <c r="AQ1655" t="n">
        <v>0</v>
      </c>
      <c r="AR1655" t="inlineStr">
        <is>
          <t>No</t>
        </is>
      </c>
      <c r="AS1655" t="inlineStr">
        <is>
          <t>Yes</t>
        </is>
      </c>
      <c r="AT1655">
        <f>HYPERLINK("http://catalog.hathitrust.org/Record/000373664","HathiTrust Record")</f>
        <v/>
      </c>
      <c r="AU1655">
        <f>HYPERLINK("https://creighton-primo.hosted.exlibrisgroup.com/primo-explore/search?tab=default_tab&amp;search_scope=EVERYTHING&amp;vid=01CRU&amp;lang=en_US&amp;offset=0&amp;query=any,contains,991003033219702656","Catalog Record")</f>
        <v/>
      </c>
      <c r="AV1655">
        <f>HYPERLINK("http://www.worldcat.org/oclc/595712","WorldCat Record")</f>
        <v/>
      </c>
      <c r="AW1655" t="inlineStr">
        <is>
          <t>919068892:eng</t>
        </is>
      </c>
      <c r="AX1655" t="inlineStr">
        <is>
          <t>595712</t>
        </is>
      </c>
      <c r="AY1655" t="inlineStr">
        <is>
          <t>991003033219702656</t>
        </is>
      </c>
      <c r="AZ1655" t="inlineStr">
        <is>
          <t>991003033219702656</t>
        </is>
      </c>
      <c r="BA1655" t="inlineStr">
        <is>
          <t>2272275860002656</t>
        </is>
      </c>
      <c r="BB1655" t="inlineStr">
        <is>
          <t>BOOK</t>
        </is>
      </c>
      <c r="BD1655" t="inlineStr">
        <is>
          <t>9780710073341</t>
        </is>
      </c>
      <c r="BE1655" t="inlineStr">
        <is>
          <t>32285000334424</t>
        </is>
      </c>
      <c r="BF1655" t="inlineStr">
        <is>
          <t>893518084</t>
        </is>
      </c>
    </row>
    <row r="1656">
      <c r="A1656" t="inlineStr">
        <is>
          <t>No</t>
        </is>
      </c>
      <c r="B1656" t="inlineStr">
        <is>
          <t>CURAL</t>
        </is>
      </c>
      <c r="C1656" t="inlineStr">
        <is>
          <t>SHELVES</t>
        </is>
      </c>
      <c r="D1656" t="inlineStr">
        <is>
          <t>PR4381 .M332 1968</t>
        </is>
      </c>
      <c r="E1656" t="inlineStr">
        <is>
          <t>0                      PR 4381000M  332         1968</t>
        </is>
      </c>
      <c r="F1656" t="inlineStr">
        <is>
          <t>Byrons̓ poetry : a critical introduction / Leslie A. Marchand.</t>
        </is>
      </c>
      <c r="H1656" t="inlineStr">
        <is>
          <t>No</t>
        </is>
      </c>
      <c r="I1656" t="inlineStr">
        <is>
          <t>1</t>
        </is>
      </c>
      <c r="J1656" t="inlineStr">
        <is>
          <t>No</t>
        </is>
      </c>
      <c r="K1656" t="inlineStr">
        <is>
          <t>No</t>
        </is>
      </c>
      <c r="L1656" t="inlineStr">
        <is>
          <t>0</t>
        </is>
      </c>
      <c r="M1656" t="inlineStr">
        <is>
          <t>Marchand, Leslie A., 1900-1999.</t>
        </is>
      </c>
      <c r="N1656" t="inlineStr">
        <is>
          <t>Cambridge : Harvard University Press, 1968, c1965.</t>
        </is>
      </c>
      <c r="O1656" t="inlineStr">
        <is>
          <t>1968</t>
        </is>
      </c>
      <c r="Q1656" t="inlineStr">
        <is>
          <t>eng</t>
        </is>
      </c>
      <c r="R1656" t="inlineStr">
        <is>
          <t>mau</t>
        </is>
      </c>
      <c r="S1656" t="inlineStr">
        <is>
          <t>Riverside studies in literature</t>
        </is>
      </c>
      <c r="T1656" t="inlineStr">
        <is>
          <t xml:space="preserve">PR </t>
        </is>
      </c>
      <c r="U1656" t="n">
        <v>5</v>
      </c>
      <c r="V1656" t="n">
        <v>5</v>
      </c>
      <c r="W1656" t="inlineStr">
        <is>
          <t>1995-04-15</t>
        </is>
      </c>
      <c r="X1656" t="inlineStr">
        <is>
          <t>1995-04-15</t>
        </is>
      </c>
      <c r="Y1656" t="inlineStr">
        <is>
          <t>1990-10-08</t>
        </is>
      </c>
      <c r="Z1656" t="inlineStr">
        <is>
          <t>1990-10-08</t>
        </is>
      </c>
      <c r="AA1656" t="n">
        <v>255</v>
      </c>
      <c r="AB1656" t="n">
        <v>224</v>
      </c>
      <c r="AC1656" t="n">
        <v>1041</v>
      </c>
      <c r="AD1656" t="n">
        <v>2</v>
      </c>
      <c r="AE1656" t="n">
        <v>12</v>
      </c>
      <c r="AF1656" t="n">
        <v>7</v>
      </c>
      <c r="AG1656" t="n">
        <v>49</v>
      </c>
      <c r="AH1656" t="n">
        <v>4</v>
      </c>
      <c r="AI1656" t="n">
        <v>19</v>
      </c>
      <c r="AJ1656" t="n">
        <v>0</v>
      </c>
      <c r="AK1656" t="n">
        <v>8</v>
      </c>
      <c r="AL1656" t="n">
        <v>3</v>
      </c>
      <c r="AM1656" t="n">
        <v>21</v>
      </c>
      <c r="AN1656" t="n">
        <v>1</v>
      </c>
      <c r="AO1656" t="n">
        <v>11</v>
      </c>
      <c r="AP1656" t="n">
        <v>0</v>
      </c>
      <c r="AQ1656" t="n">
        <v>0</v>
      </c>
      <c r="AR1656" t="inlineStr">
        <is>
          <t>No</t>
        </is>
      </c>
      <c r="AS1656" t="inlineStr">
        <is>
          <t>Yes</t>
        </is>
      </c>
      <c r="AT1656">
        <f>HYPERLINK("http://catalog.hathitrust.org/Record/007129266","HathiTrust Record")</f>
        <v/>
      </c>
      <c r="AU1656">
        <f>HYPERLINK("https://creighton-primo.hosted.exlibrisgroup.com/primo-explore/search?tab=default_tab&amp;search_scope=EVERYTHING&amp;vid=01CRU&amp;lang=en_US&amp;offset=0&amp;query=any,contains,991004988989702656","Catalog Record")</f>
        <v/>
      </c>
      <c r="AV1656">
        <f>HYPERLINK("http://www.worldcat.org/oclc/6484575","WorldCat Record")</f>
        <v/>
      </c>
      <c r="AW1656" t="inlineStr">
        <is>
          <t>553463307:eng</t>
        </is>
      </c>
      <c r="AX1656" t="inlineStr">
        <is>
          <t>6484575</t>
        </is>
      </c>
      <c r="AY1656" t="inlineStr">
        <is>
          <t>991004988989702656</t>
        </is>
      </c>
      <c r="AZ1656" t="inlineStr">
        <is>
          <t>991004988989702656</t>
        </is>
      </c>
      <c r="BA1656" t="inlineStr">
        <is>
          <t>2272703620002656</t>
        </is>
      </c>
      <c r="BB1656" t="inlineStr">
        <is>
          <t>BOOK</t>
        </is>
      </c>
      <c r="BE1656" t="inlineStr">
        <is>
          <t>32285000334432</t>
        </is>
      </c>
      <c r="BF1656" t="inlineStr">
        <is>
          <t>893707089</t>
        </is>
      </c>
    </row>
    <row r="1657">
      <c r="A1657" t="inlineStr">
        <is>
          <t>No</t>
        </is>
      </c>
      <c r="B1657" t="inlineStr">
        <is>
          <t>CURAL</t>
        </is>
      </c>
      <c r="C1657" t="inlineStr">
        <is>
          <t>SHELVES</t>
        </is>
      </c>
      <c r="D1657" t="inlineStr">
        <is>
          <t>PR4381 .P3 1969</t>
        </is>
      </c>
      <c r="E1657" t="inlineStr">
        <is>
          <t>0                      PR 4381000P  3           1969</t>
        </is>
      </c>
      <c r="F1657" t="inlineStr">
        <is>
          <t>Byron and his world.</t>
        </is>
      </c>
      <c r="H1657" t="inlineStr">
        <is>
          <t>No</t>
        </is>
      </c>
      <c r="I1657" t="inlineStr">
        <is>
          <t>1</t>
        </is>
      </c>
      <c r="J1657" t="inlineStr">
        <is>
          <t>No</t>
        </is>
      </c>
      <c r="K1657" t="inlineStr">
        <is>
          <t>No</t>
        </is>
      </c>
      <c r="L1657" t="inlineStr">
        <is>
          <t>0</t>
        </is>
      </c>
      <c r="M1657" t="inlineStr">
        <is>
          <t>Parker, Derek.</t>
        </is>
      </c>
      <c r="N1657" t="inlineStr">
        <is>
          <t>New York : Viking Press, [1969, c1968]</t>
        </is>
      </c>
      <c r="O1657" t="inlineStr">
        <is>
          <t>1969</t>
        </is>
      </c>
      <c r="Q1657" t="inlineStr">
        <is>
          <t>eng</t>
        </is>
      </c>
      <c r="R1657" t="inlineStr">
        <is>
          <t>nyu</t>
        </is>
      </c>
      <c r="S1657" t="inlineStr">
        <is>
          <t>A Studio book</t>
        </is>
      </c>
      <c r="T1657" t="inlineStr">
        <is>
          <t xml:space="preserve">PR </t>
        </is>
      </c>
      <c r="U1657" t="n">
        <v>2</v>
      </c>
      <c r="V1657" t="n">
        <v>2</v>
      </c>
      <c r="W1657" t="inlineStr">
        <is>
          <t>2003-03-24</t>
        </is>
      </c>
      <c r="X1657" t="inlineStr">
        <is>
          <t>2003-03-24</t>
        </is>
      </c>
      <c r="Y1657" t="inlineStr">
        <is>
          <t>1993-03-02</t>
        </is>
      </c>
      <c r="Z1657" t="inlineStr">
        <is>
          <t>1993-03-02</t>
        </is>
      </c>
      <c r="AA1657" t="n">
        <v>446</v>
      </c>
      <c r="AB1657" t="n">
        <v>428</v>
      </c>
      <c r="AC1657" t="n">
        <v>483</v>
      </c>
      <c r="AD1657" t="n">
        <v>3</v>
      </c>
      <c r="AE1657" t="n">
        <v>3</v>
      </c>
      <c r="AF1657" t="n">
        <v>13</v>
      </c>
      <c r="AG1657" t="n">
        <v>15</v>
      </c>
      <c r="AH1657" t="n">
        <v>4</v>
      </c>
      <c r="AI1657" t="n">
        <v>4</v>
      </c>
      <c r="AJ1657" t="n">
        <v>2</v>
      </c>
      <c r="AK1657" t="n">
        <v>3</v>
      </c>
      <c r="AL1657" t="n">
        <v>7</v>
      </c>
      <c r="AM1657" t="n">
        <v>9</v>
      </c>
      <c r="AN1657" t="n">
        <v>2</v>
      </c>
      <c r="AO1657" t="n">
        <v>2</v>
      </c>
      <c r="AP1657" t="n">
        <v>0</v>
      </c>
      <c r="AQ1657" t="n">
        <v>0</v>
      </c>
      <c r="AR1657" t="inlineStr">
        <is>
          <t>No</t>
        </is>
      </c>
      <c r="AS1657" t="inlineStr">
        <is>
          <t>No</t>
        </is>
      </c>
      <c r="AU1657">
        <f>HYPERLINK("https://creighton-primo.hosted.exlibrisgroup.com/primo-explore/search?tab=default_tab&amp;search_scope=EVERYTHING&amp;vid=01CRU&amp;lang=en_US&amp;offset=0&amp;query=any,contains,991001292619702656","Catalog Record")</f>
        <v/>
      </c>
      <c r="AV1657">
        <f>HYPERLINK("http://www.worldcat.org/oclc/218396","WorldCat Record")</f>
        <v/>
      </c>
      <c r="AW1657" t="inlineStr">
        <is>
          <t>11783570:eng</t>
        </is>
      </c>
      <c r="AX1657" t="inlineStr">
        <is>
          <t>218396</t>
        </is>
      </c>
      <c r="AY1657" t="inlineStr">
        <is>
          <t>991001292619702656</t>
        </is>
      </c>
      <c r="AZ1657" t="inlineStr">
        <is>
          <t>991001292619702656</t>
        </is>
      </c>
      <c r="BA1657" t="inlineStr">
        <is>
          <t>2258651750002656</t>
        </is>
      </c>
      <c r="BB1657" t="inlineStr">
        <is>
          <t>BOOK</t>
        </is>
      </c>
      <c r="BE1657" t="inlineStr">
        <is>
          <t>32285001541852</t>
        </is>
      </c>
      <c r="BF1657" t="inlineStr">
        <is>
          <t>893250138</t>
        </is>
      </c>
    </row>
    <row r="1658">
      <c r="A1658" t="inlineStr">
        <is>
          <t>No</t>
        </is>
      </c>
      <c r="B1658" t="inlineStr">
        <is>
          <t>CURAL</t>
        </is>
      </c>
      <c r="C1658" t="inlineStr">
        <is>
          <t>SHELVES</t>
        </is>
      </c>
      <c r="D1658" t="inlineStr">
        <is>
          <t>PR4381 .R37 1982</t>
        </is>
      </c>
      <c r="E1658" t="inlineStr">
        <is>
          <t>0                      PR 4381000R  37          1982</t>
        </is>
      </c>
      <c r="F1658" t="inlineStr">
        <is>
          <t>Byron / Frederic Raphael.</t>
        </is>
      </c>
      <c r="H1658" t="inlineStr">
        <is>
          <t>No</t>
        </is>
      </c>
      <c r="I1658" t="inlineStr">
        <is>
          <t>1</t>
        </is>
      </c>
      <c r="J1658" t="inlineStr">
        <is>
          <t>No</t>
        </is>
      </c>
      <c r="K1658" t="inlineStr">
        <is>
          <t>No</t>
        </is>
      </c>
      <c r="L1658" t="inlineStr">
        <is>
          <t>0</t>
        </is>
      </c>
      <c r="M1658" t="inlineStr">
        <is>
          <t>Raphael, Frederic, 1931-</t>
        </is>
      </c>
      <c r="N1658" t="inlineStr">
        <is>
          <t>New York : Thames and Hudson, 1982.</t>
        </is>
      </c>
      <c r="O1658" t="inlineStr">
        <is>
          <t>1982</t>
        </is>
      </c>
      <c r="Q1658" t="inlineStr">
        <is>
          <t>eng</t>
        </is>
      </c>
      <c r="R1658" t="inlineStr">
        <is>
          <t>nyu</t>
        </is>
      </c>
      <c r="T1658" t="inlineStr">
        <is>
          <t xml:space="preserve">PR </t>
        </is>
      </c>
      <c r="U1658" t="n">
        <v>5</v>
      </c>
      <c r="V1658" t="n">
        <v>5</v>
      </c>
      <c r="W1658" t="inlineStr">
        <is>
          <t>1995-10-22</t>
        </is>
      </c>
      <c r="X1658" t="inlineStr">
        <is>
          <t>1995-10-22</t>
        </is>
      </c>
      <c r="Y1658" t="inlineStr">
        <is>
          <t>1991-11-05</t>
        </is>
      </c>
      <c r="Z1658" t="inlineStr">
        <is>
          <t>1991-11-05</t>
        </is>
      </c>
      <c r="AA1658" t="n">
        <v>328</v>
      </c>
      <c r="AB1658" t="n">
        <v>268</v>
      </c>
      <c r="AC1658" t="n">
        <v>355</v>
      </c>
      <c r="AD1658" t="n">
        <v>1</v>
      </c>
      <c r="AE1658" t="n">
        <v>3</v>
      </c>
      <c r="AF1658" t="n">
        <v>4</v>
      </c>
      <c r="AG1658" t="n">
        <v>9</v>
      </c>
      <c r="AH1658" t="n">
        <v>1</v>
      </c>
      <c r="AI1658" t="n">
        <v>1</v>
      </c>
      <c r="AJ1658" t="n">
        <v>1</v>
      </c>
      <c r="AK1658" t="n">
        <v>2</v>
      </c>
      <c r="AL1658" t="n">
        <v>3</v>
      </c>
      <c r="AM1658" t="n">
        <v>6</v>
      </c>
      <c r="AN1658" t="n">
        <v>0</v>
      </c>
      <c r="AO1658" t="n">
        <v>2</v>
      </c>
      <c r="AP1658" t="n">
        <v>0</v>
      </c>
      <c r="AQ1658" t="n">
        <v>0</v>
      </c>
      <c r="AR1658" t="inlineStr">
        <is>
          <t>No</t>
        </is>
      </c>
      <c r="AS1658" t="inlineStr">
        <is>
          <t>No</t>
        </is>
      </c>
      <c r="AU1658">
        <f>HYPERLINK("https://creighton-primo.hosted.exlibrisgroup.com/primo-explore/search?tab=default_tab&amp;search_scope=EVERYTHING&amp;vid=01CRU&amp;lang=en_US&amp;offset=0&amp;query=any,contains,991000077819702656","Catalog Record")</f>
        <v/>
      </c>
      <c r="AV1658">
        <f>HYPERLINK("http://www.worldcat.org/oclc/8820104","WorldCat Record")</f>
        <v/>
      </c>
      <c r="AW1658" t="inlineStr">
        <is>
          <t>3943450925:eng</t>
        </is>
      </c>
      <c r="AX1658" t="inlineStr">
        <is>
          <t>8820104</t>
        </is>
      </c>
      <c r="AY1658" t="inlineStr">
        <is>
          <t>991000077819702656</t>
        </is>
      </c>
      <c r="AZ1658" t="inlineStr">
        <is>
          <t>991000077819702656</t>
        </is>
      </c>
      <c r="BA1658" t="inlineStr">
        <is>
          <t>2266097480002656</t>
        </is>
      </c>
      <c r="BB1658" t="inlineStr">
        <is>
          <t>BOOK</t>
        </is>
      </c>
      <c r="BD1658" t="inlineStr">
        <is>
          <t>9780500012789</t>
        </is>
      </c>
      <c r="BE1658" t="inlineStr">
        <is>
          <t>32285000796077</t>
        </is>
      </c>
      <c r="BF1658" t="inlineStr">
        <is>
          <t>893502205</t>
        </is>
      </c>
    </row>
    <row r="1659">
      <c r="A1659" t="inlineStr">
        <is>
          <t>No</t>
        </is>
      </c>
      <c r="B1659" t="inlineStr">
        <is>
          <t>CURAL</t>
        </is>
      </c>
      <c r="C1659" t="inlineStr">
        <is>
          <t>SHELVES</t>
        </is>
      </c>
      <c r="D1659" t="inlineStr">
        <is>
          <t>PR4381 .T7 1977</t>
        </is>
      </c>
      <c r="E1659" t="inlineStr">
        <is>
          <t>0                      PR 4381000T  7           1977</t>
        </is>
      </c>
      <c r="F1659" t="inlineStr">
        <is>
          <t>Lord Byron / Paul G. Trueblood.</t>
        </is>
      </c>
      <c r="H1659" t="inlineStr">
        <is>
          <t>No</t>
        </is>
      </c>
      <c r="I1659" t="inlineStr">
        <is>
          <t>1</t>
        </is>
      </c>
      <c r="J1659" t="inlineStr">
        <is>
          <t>No</t>
        </is>
      </c>
      <c r="K1659" t="inlineStr">
        <is>
          <t>No</t>
        </is>
      </c>
      <c r="L1659" t="inlineStr">
        <is>
          <t>0</t>
        </is>
      </c>
      <c r="M1659" t="inlineStr">
        <is>
          <t>Trueblood, Paul Graham.</t>
        </is>
      </c>
      <c r="N1659" t="inlineStr">
        <is>
          <t>Boston : Twayne Publishers, c1977.</t>
        </is>
      </c>
      <c r="O1659" t="inlineStr">
        <is>
          <t>1977</t>
        </is>
      </c>
      <c r="P1659" t="inlineStr">
        <is>
          <t>2d ed.</t>
        </is>
      </c>
      <c r="Q1659" t="inlineStr">
        <is>
          <t>eng</t>
        </is>
      </c>
      <c r="R1659" t="inlineStr">
        <is>
          <t>mau</t>
        </is>
      </c>
      <c r="S1659" t="inlineStr">
        <is>
          <t>Twayne's English authors series ; TEAS 78</t>
        </is>
      </c>
      <c r="T1659" t="inlineStr">
        <is>
          <t xml:space="preserve">PR </t>
        </is>
      </c>
      <c r="U1659" t="n">
        <v>3</v>
      </c>
      <c r="V1659" t="n">
        <v>3</v>
      </c>
      <c r="W1659" t="inlineStr">
        <is>
          <t>1996-11-15</t>
        </is>
      </c>
      <c r="X1659" t="inlineStr">
        <is>
          <t>1996-11-15</t>
        </is>
      </c>
      <c r="Y1659" t="inlineStr">
        <is>
          <t>1991-08-02</t>
        </is>
      </c>
      <c r="Z1659" t="inlineStr">
        <is>
          <t>1991-08-02</t>
        </is>
      </c>
      <c r="AA1659" t="n">
        <v>1021</v>
      </c>
      <c r="AB1659" t="n">
        <v>935</v>
      </c>
      <c r="AC1659" t="n">
        <v>1529</v>
      </c>
      <c r="AD1659" t="n">
        <v>6</v>
      </c>
      <c r="AE1659" t="n">
        <v>11</v>
      </c>
      <c r="AF1659" t="n">
        <v>32</v>
      </c>
      <c r="AG1659" t="n">
        <v>51</v>
      </c>
      <c r="AH1659" t="n">
        <v>17</v>
      </c>
      <c r="AI1659" t="n">
        <v>24</v>
      </c>
      <c r="AJ1659" t="n">
        <v>7</v>
      </c>
      <c r="AK1659" t="n">
        <v>10</v>
      </c>
      <c r="AL1659" t="n">
        <v>12</v>
      </c>
      <c r="AM1659" t="n">
        <v>21</v>
      </c>
      <c r="AN1659" t="n">
        <v>5</v>
      </c>
      <c r="AO1659" t="n">
        <v>9</v>
      </c>
      <c r="AP1659" t="n">
        <v>0</v>
      </c>
      <c r="AQ1659" t="n">
        <v>0</v>
      </c>
      <c r="AR1659" t="inlineStr">
        <is>
          <t>No</t>
        </is>
      </c>
      <c r="AS1659" t="inlineStr">
        <is>
          <t>Yes</t>
        </is>
      </c>
      <c r="AT1659">
        <f>HYPERLINK("http://catalog.hathitrust.org/Record/000294888","HathiTrust Record")</f>
        <v/>
      </c>
      <c r="AU1659">
        <f>HYPERLINK("https://creighton-primo.hosted.exlibrisgroup.com/primo-explore/search?tab=default_tab&amp;search_scope=EVERYTHING&amp;vid=01CRU&amp;lang=en_US&amp;offset=0&amp;query=any,contains,991004375249702656","Catalog Record")</f>
        <v/>
      </c>
      <c r="AV1659">
        <f>HYPERLINK("http://www.worldcat.org/oclc/3204535","WorldCat Record")</f>
        <v/>
      </c>
      <c r="AW1659" t="inlineStr">
        <is>
          <t>2044307069:eng</t>
        </is>
      </c>
      <c r="AX1659" t="inlineStr">
        <is>
          <t>3204535</t>
        </is>
      </c>
      <c r="AY1659" t="inlineStr">
        <is>
          <t>991004375249702656</t>
        </is>
      </c>
      <c r="AZ1659" t="inlineStr">
        <is>
          <t>991004375249702656</t>
        </is>
      </c>
      <c r="BA1659" t="inlineStr">
        <is>
          <t>2269435480002656</t>
        </is>
      </c>
      <c r="BB1659" t="inlineStr">
        <is>
          <t>BOOK</t>
        </is>
      </c>
      <c r="BD1659" t="inlineStr">
        <is>
          <t>9780805766943</t>
        </is>
      </c>
      <c r="BE1659" t="inlineStr">
        <is>
          <t>32285000680578</t>
        </is>
      </c>
      <c r="BF1659" t="inlineStr">
        <is>
          <t>893325310</t>
        </is>
      </c>
    </row>
    <row r="1660">
      <c r="A1660" t="inlineStr">
        <is>
          <t>No</t>
        </is>
      </c>
      <c r="B1660" t="inlineStr">
        <is>
          <t>CURAL</t>
        </is>
      </c>
      <c r="C1660" t="inlineStr">
        <is>
          <t>SHELVES</t>
        </is>
      </c>
      <c r="D1660" t="inlineStr">
        <is>
          <t>PR4381 .W4</t>
        </is>
      </c>
      <c r="E1660" t="inlineStr">
        <is>
          <t>0                      PR 4381000W  4</t>
        </is>
      </c>
      <c r="F1660" t="inlineStr">
        <is>
          <t>Byron : a collection of critical essays.</t>
        </is>
      </c>
      <c r="H1660" t="inlineStr">
        <is>
          <t>No</t>
        </is>
      </c>
      <c r="I1660" t="inlineStr">
        <is>
          <t>1</t>
        </is>
      </c>
      <c r="J1660" t="inlineStr">
        <is>
          <t>No</t>
        </is>
      </c>
      <c r="K1660" t="inlineStr">
        <is>
          <t>No</t>
        </is>
      </c>
      <c r="L1660" t="inlineStr">
        <is>
          <t>0</t>
        </is>
      </c>
      <c r="M1660" t="inlineStr">
        <is>
          <t>West, Paul, 1930-2015, editor.</t>
        </is>
      </c>
      <c r="N1660" t="inlineStr">
        <is>
          <t>Englewood Cliffs, N.J. : Prentice-Hall, [1963]</t>
        </is>
      </c>
      <c r="O1660" t="inlineStr">
        <is>
          <t>1963</t>
        </is>
      </c>
      <c r="Q1660" t="inlineStr">
        <is>
          <t>eng</t>
        </is>
      </c>
      <c r="R1660" t="inlineStr">
        <is>
          <t>nju</t>
        </is>
      </c>
      <c r="S1660" t="inlineStr">
        <is>
          <t>A Spectrum book.</t>
        </is>
      </c>
      <c r="T1660" t="inlineStr">
        <is>
          <t xml:space="preserve">PR </t>
        </is>
      </c>
      <c r="U1660" t="n">
        <v>4</v>
      </c>
      <c r="V1660" t="n">
        <v>4</v>
      </c>
      <c r="W1660" t="inlineStr">
        <is>
          <t>1996-12-08</t>
        </is>
      </c>
      <c r="X1660" t="inlineStr">
        <is>
          <t>1996-12-08</t>
        </is>
      </c>
      <c r="Y1660" t="inlineStr">
        <is>
          <t>1990-10-08</t>
        </is>
      </c>
      <c r="Z1660" t="inlineStr">
        <is>
          <t>1990-10-08</t>
        </is>
      </c>
      <c r="AA1660" t="n">
        <v>2042</v>
      </c>
      <c r="AB1660" t="n">
        <v>1780</v>
      </c>
      <c r="AC1660" t="n">
        <v>1787</v>
      </c>
      <c r="AD1660" t="n">
        <v>17</v>
      </c>
      <c r="AE1660" t="n">
        <v>17</v>
      </c>
      <c r="AF1660" t="n">
        <v>58</v>
      </c>
      <c r="AG1660" t="n">
        <v>58</v>
      </c>
      <c r="AH1660" t="n">
        <v>25</v>
      </c>
      <c r="AI1660" t="n">
        <v>25</v>
      </c>
      <c r="AJ1660" t="n">
        <v>9</v>
      </c>
      <c r="AK1660" t="n">
        <v>9</v>
      </c>
      <c r="AL1660" t="n">
        <v>25</v>
      </c>
      <c r="AM1660" t="n">
        <v>25</v>
      </c>
      <c r="AN1660" t="n">
        <v>12</v>
      </c>
      <c r="AO1660" t="n">
        <v>12</v>
      </c>
      <c r="AP1660" t="n">
        <v>0</v>
      </c>
      <c r="AQ1660" t="n">
        <v>0</v>
      </c>
      <c r="AR1660" t="inlineStr">
        <is>
          <t>No</t>
        </is>
      </c>
      <c r="AS1660" t="inlineStr">
        <is>
          <t>No</t>
        </is>
      </c>
      <c r="AT1660">
        <f>HYPERLINK("http://catalog.hathitrust.org/Record/000622064","HathiTrust Record")</f>
        <v/>
      </c>
      <c r="AU1660">
        <f>HYPERLINK("https://creighton-primo.hosted.exlibrisgroup.com/primo-explore/search?tab=default_tab&amp;search_scope=EVERYTHING&amp;vid=01CRU&amp;lang=en_US&amp;offset=0&amp;query=any,contains,991003593699702656","Catalog Record")</f>
        <v/>
      </c>
      <c r="AV1660">
        <f>HYPERLINK("http://www.worldcat.org/oclc/1175450","WorldCat Record")</f>
        <v/>
      </c>
      <c r="AW1660" t="inlineStr">
        <is>
          <t>10200586370:eng</t>
        </is>
      </c>
      <c r="AX1660" t="inlineStr">
        <is>
          <t>1175450</t>
        </is>
      </c>
      <c r="AY1660" t="inlineStr">
        <is>
          <t>991003593699702656</t>
        </is>
      </c>
      <c r="AZ1660" t="inlineStr">
        <is>
          <t>991003593699702656</t>
        </is>
      </c>
      <c r="BA1660" t="inlineStr">
        <is>
          <t>2271837960002656</t>
        </is>
      </c>
      <c r="BB1660" t="inlineStr">
        <is>
          <t>BOOK</t>
        </is>
      </c>
      <c r="BE1660" t="inlineStr">
        <is>
          <t>32285000334440</t>
        </is>
      </c>
      <c r="BF1660" t="inlineStr">
        <is>
          <t>893505740</t>
        </is>
      </c>
    </row>
    <row r="1661">
      <c r="A1661" t="inlineStr">
        <is>
          <t>No</t>
        </is>
      </c>
      <c r="B1661" t="inlineStr">
        <is>
          <t>CURAL</t>
        </is>
      </c>
      <c r="C1661" t="inlineStr">
        <is>
          <t>SHELVES</t>
        </is>
      </c>
      <c r="D1661" t="inlineStr">
        <is>
          <t>PR4382 .M6</t>
        </is>
      </c>
      <c r="E1661" t="inlineStr">
        <is>
          <t>0                      PR 4382000M  6</t>
        </is>
      </c>
      <c r="F1661" t="inlineStr">
        <is>
          <t>Ada, countess of Lovelace : Byron's legitimate daughter.</t>
        </is>
      </c>
      <c r="H1661" t="inlineStr">
        <is>
          <t>No</t>
        </is>
      </c>
      <c r="I1661" t="inlineStr">
        <is>
          <t>1</t>
        </is>
      </c>
      <c r="J1661" t="inlineStr">
        <is>
          <t>No</t>
        </is>
      </c>
      <c r="K1661" t="inlineStr">
        <is>
          <t>No</t>
        </is>
      </c>
      <c r="L1661" t="inlineStr">
        <is>
          <t>0</t>
        </is>
      </c>
      <c r="M1661" t="inlineStr">
        <is>
          <t>Moore, Doris Langley, 1902-1989.</t>
        </is>
      </c>
      <c r="N1661" t="inlineStr">
        <is>
          <t>London : J. Murray, c1977.</t>
        </is>
      </c>
      <c r="O1661" t="inlineStr">
        <is>
          <t>1977</t>
        </is>
      </c>
      <c r="Q1661" t="inlineStr">
        <is>
          <t>eng</t>
        </is>
      </c>
      <c r="R1661" t="inlineStr">
        <is>
          <t xml:space="preserve">xx </t>
        </is>
      </c>
      <c r="T1661" t="inlineStr">
        <is>
          <t xml:space="preserve">PR </t>
        </is>
      </c>
      <c r="U1661" t="n">
        <v>1</v>
      </c>
      <c r="V1661" t="n">
        <v>1</v>
      </c>
      <c r="W1661" t="inlineStr">
        <is>
          <t>1993-10-11</t>
        </is>
      </c>
      <c r="X1661" t="inlineStr">
        <is>
          <t>1993-10-11</t>
        </is>
      </c>
      <c r="Y1661" t="inlineStr">
        <is>
          <t>1992-06-10</t>
        </is>
      </c>
      <c r="Z1661" t="inlineStr">
        <is>
          <t>1992-06-10</t>
        </is>
      </c>
      <c r="AA1661" t="n">
        <v>249</v>
      </c>
      <c r="AB1661" t="n">
        <v>129</v>
      </c>
      <c r="AC1661" t="n">
        <v>506</v>
      </c>
      <c r="AD1661" t="n">
        <v>3</v>
      </c>
      <c r="AE1661" t="n">
        <v>5</v>
      </c>
      <c r="AF1661" t="n">
        <v>7</v>
      </c>
      <c r="AG1661" t="n">
        <v>21</v>
      </c>
      <c r="AH1661" t="n">
        <v>1</v>
      </c>
      <c r="AI1661" t="n">
        <v>6</v>
      </c>
      <c r="AJ1661" t="n">
        <v>2</v>
      </c>
      <c r="AK1661" t="n">
        <v>6</v>
      </c>
      <c r="AL1661" t="n">
        <v>4</v>
      </c>
      <c r="AM1661" t="n">
        <v>10</v>
      </c>
      <c r="AN1661" t="n">
        <v>2</v>
      </c>
      <c r="AO1661" t="n">
        <v>4</v>
      </c>
      <c r="AP1661" t="n">
        <v>0</v>
      </c>
      <c r="AQ1661" t="n">
        <v>0</v>
      </c>
      <c r="AR1661" t="inlineStr">
        <is>
          <t>No</t>
        </is>
      </c>
      <c r="AS1661" t="inlineStr">
        <is>
          <t>No</t>
        </is>
      </c>
      <c r="AU1661">
        <f>HYPERLINK("https://creighton-primo.hosted.exlibrisgroup.com/primo-explore/search?tab=default_tab&amp;search_scope=EVERYTHING&amp;vid=01CRU&amp;lang=en_US&amp;offset=0&amp;query=any,contains,991004432139702656","Catalog Record")</f>
        <v/>
      </c>
      <c r="AV1661">
        <f>HYPERLINK("http://www.worldcat.org/oclc/4075740","WorldCat Record")</f>
        <v/>
      </c>
      <c r="AW1661" t="inlineStr">
        <is>
          <t>889602822:eng</t>
        </is>
      </c>
      <c r="AX1661" t="inlineStr">
        <is>
          <t>4075740</t>
        </is>
      </c>
      <c r="AY1661" t="inlineStr">
        <is>
          <t>991004432139702656</t>
        </is>
      </c>
      <c r="AZ1661" t="inlineStr">
        <is>
          <t>991004432139702656</t>
        </is>
      </c>
      <c r="BA1661" t="inlineStr">
        <is>
          <t>2260339430002656</t>
        </is>
      </c>
      <c r="BB1661" t="inlineStr">
        <is>
          <t>BOOK</t>
        </is>
      </c>
      <c r="BD1661" t="inlineStr">
        <is>
          <t>9780719533846</t>
        </is>
      </c>
      <c r="BE1661" t="inlineStr">
        <is>
          <t>32285001075976</t>
        </is>
      </c>
      <c r="BF1661" t="inlineStr">
        <is>
          <t>893337725</t>
        </is>
      </c>
    </row>
    <row r="1662">
      <c r="A1662" t="inlineStr">
        <is>
          <t>No</t>
        </is>
      </c>
      <c r="B1662" t="inlineStr">
        <is>
          <t>CURAL</t>
        </is>
      </c>
      <c r="C1662" t="inlineStr">
        <is>
          <t>SHELVES</t>
        </is>
      </c>
      <c r="D1662" t="inlineStr">
        <is>
          <t>PR4383 .B83 1968b</t>
        </is>
      </c>
      <c r="E1662" t="inlineStr">
        <is>
          <t>0                      PR 4383000B  83          1968b</t>
        </is>
      </c>
      <c r="F1662" t="inlineStr">
        <is>
          <t>Byron and Shelley : the history of a friendship.</t>
        </is>
      </c>
      <c r="H1662" t="inlineStr">
        <is>
          <t>No</t>
        </is>
      </c>
      <c r="I1662" t="inlineStr">
        <is>
          <t>1</t>
        </is>
      </c>
      <c r="J1662" t="inlineStr">
        <is>
          <t>No</t>
        </is>
      </c>
      <c r="K1662" t="inlineStr">
        <is>
          <t>No</t>
        </is>
      </c>
      <c r="L1662" t="inlineStr">
        <is>
          <t>0</t>
        </is>
      </c>
      <c r="M1662" t="inlineStr">
        <is>
          <t>Buxton, John.</t>
        </is>
      </c>
      <c r="N1662" t="inlineStr">
        <is>
          <t>New York : Harcourt, Brace &amp; World, [1968]</t>
        </is>
      </c>
      <c r="O1662" t="inlineStr">
        <is>
          <t>1968</t>
        </is>
      </c>
      <c r="P1662" t="inlineStr">
        <is>
          <t>[1st American ed.]</t>
        </is>
      </c>
      <c r="Q1662" t="inlineStr">
        <is>
          <t>eng</t>
        </is>
      </c>
      <c r="R1662" t="inlineStr">
        <is>
          <t>nyu</t>
        </is>
      </c>
      <c r="T1662" t="inlineStr">
        <is>
          <t xml:space="preserve">PR </t>
        </is>
      </c>
      <c r="U1662" t="n">
        <v>2</v>
      </c>
      <c r="V1662" t="n">
        <v>2</v>
      </c>
      <c r="W1662" t="inlineStr">
        <is>
          <t>1999-10-22</t>
        </is>
      </c>
      <c r="X1662" t="inlineStr">
        <is>
          <t>1999-10-22</t>
        </is>
      </c>
      <c r="Y1662" t="inlineStr">
        <is>
          <t>1990-10-08</t>
        </is>
      </c>
      <c r="Z1662" t="inlineStr">
        <is>
          <t>1990-10-08</t>
        </is>
      </c>
      <c r="AA1662" t="n">
        <v>616</v>
      </c>
      <c r="AB1662" t="n">
        <v>599</v>
      </c>
      <c r="AC1662" t="n">
        <v>691</v>
      </c>
      <c r="AD1662" t="n">
        <v>7</v>
      </c>
      <c r="AE1662" t="n">
        <v>8</v>
      </c>
      <c r="AF1662" t="n">
        <v>28</v>
      </c>
      <c r="AG1662" t="n">
        <v>32</v>
      </c>
      <c r="AH1662" t="n">
        <v>12</v>
      </c>
      <c r="AI1662" t="n">
        <v>12</v>
      </c>
      <c r="AJ1662" t="n">
        <v>6</v>
      </c>
      <c r="AK1662" t="n">
        <v>7</v>
      </c>
      <c r="AL1662" t="n">
        <v>11</v>
      </c>
      <c r="AM1662" t="n">
        <v>14</v>
      </c>
      <c r="AN1662" t="n">
        <v>5</v>
      </c>
      <c r="AO1662" t="n">
        <v>6</v>
      </c>
      <c r="AP1662" t="n">
        <v>0</v>
      </c>
      <c r="AQ1662" t="n">
        <v>0</v>
      </c>
      <c r="AR1662" t="inlineStr">
        <is>
          <t>No</t>
        </is>
      </c>
      <c r="AS1662" t="inlineStr">
        <is>
          <t>Yes</t>
        </is>
      </c>
      <c r="AT1662">
        <f>HYPERLINK("http://catalog.hathitrust.org/Record/003511794","HathiTrust Record")</f>
        <v/>
      </c>
      <c r="AU1662">
        <f>HYPERLINK("https://creighton-primo.hosted.exlibrisgroup.com/primo-explore/search?tab=default_tab&amp;search_scope=EVERYTHING&amp;vid=01CRU&amp;lang=en_US&amp;offset=0&amp;query=any,contains,991002791259702656","Catalog Record")</f>
        <v/>
      </c>
      <c r="AV1662">
        <f>HYPERLINK("http://www.worldcat.org/oclc/443413","WorldCat Record")</f>
        <v/>
      </c>
      <c r="AW1662" t="inlineStr">
        <is>
          <t>1574738:eng</t>
        </is>
      </c>
      <c r="AX1662" t="inlineStr">
        <is>
          <t>443413</t>
        </is>
      </c>
      <c r="AY1662" t="inlineStr">
        <is>
          <t>991002791259702656</t>
        </is>
      </c>
      <c r="AZ1662" t="inlineStr">
        <is>
          <t>991002791259702656</t>
        </is>
      </c>
      <c r="BA1662" t="inlineStr">
        <is>
          <t>2264308190002656</t>
        </is>
      </c>
      <c r="BB1662" t="inlineStr">
        <is>
          <t>BOOK</t>
        </is>
      </c>
      <c r="BE1662" t="inlineStr">
        <is>
          <t>32285000334457</t>
        </is>
      </c>
      <c r="BF1662" t="inlineStr">
        <is>
          <t>893874019</t>
        </is>
      </c>
    </row>
    <row r="1663">
      <c r="A1663" t="inlineStr">
        <is>
          <t>No</t>
        </is>
      </c>
      <c r="B1663" t="inlineStr">
        <is>
          <t>CURAL</t>
        </is>
      </c>
      <c r="C1663" t="inlineStr">
        <is>
          <t>SHELVES</t>
        </is>
      </c>
      <c r="D1663" t="inlineStr">
        <is>
          <t>PR4387 .P34 1988b</t>
        </is>
      </c>
      <c r="E1663" t="inlineStr">
        <is>
          <t>0                      PR 4387000P  34          1988b</t>
        </is>
      </c>
      <c r="F1663" t="inlineStr">
        <is>
          <t>A Byron chronology / Norman Page.</t>
        </is>
      </c>
      <c r="H1663" t="inlineStr">
        <is>
          <t>No</t>
        </is>
      </c>
      <c r="I1663" t="inlineStr">
        <is>
          <t>1</t>
        </is>
      </c>
      <c r="J1663" t="inlineStr">
        <is>
          <t>No</t>
        </is>
      </c>
      <c r="K1663" t="inlineStr">
        <is>
          <t>No</t>
        </is>
      </c>
      <c r="L1663" t="inlineStr">
        <is>
          <t>0</t>
        </is>
      </c>
      <c r="M1663" t="inlineStr">
        <is>
          <t>Page, Norman.</t>
        </is>
      </c>
      <c r="N1663" t="inlineStr">
        <is>
          <t>Basingstoke : Macmillan, 1988.</t>
        </is>
      </c>
      <c r="O1663" t="inlineStr">
        <is>
          <t>1988</t>
        </is>
      </c>
      <c r="Q1663" t="inlineStr">
        <is>
          <t>eng</t>
        </is>
      </c>
      <c r="R1663" t="inlineStr">
        <is>
          <t>enk</t>
        </is>
      </c>
      <c r="S1663" t="inlineStr">
        <is>
          <t>Macmillan author chronologies</t>
        </is>
      </c>
      <c r="T1663" t="inlineStr">
        <is>
          <t xml:space="preserve">PR </t>
        </is>
      </c>
      <c r="U1663" t="n">
        <v>2</v>
      </c>
      <c r="V1663" t="n">
        <v>2</v>
      </c>
      <c r="W1663" t="inlineStr">
        <is>
          <t>1993-02-05</t>
        </is>
      </c>
      <c r="X1663" t="inlineStr">
        <is>
          <t>1993-02-05</t>
        </is>
      </c>
      <c r="Y1663" t="inlineStr">
        <is>
          <t>1991-11-05</t>
        </is>
      </c>
      <c r="Z1663" t="inlineStr">
        <is>
          <t>1991-11-05</t>
        </is>
      </c>
      <c r="AA1663" t="n">
        <v>117</v>
      </c>
      <c r="AB1663" t="n">
        <v>43</v>
      </c>
      <c r="AC1663" t="n">
        <v>304</v>
      </c>
      <c r="AD1663" t="n">
        <v>2</v>
      </c>
      <c r="AE1663" t="n">
        <v>3</v>
      </c>
      <c r="AF1663" t="n">
        <v>2</v>
      </c>
      <c r="AG1663" t="n">
        <v>16</v>
      </c>
      <c r="AH1663" t="n">
        <v>0</v>
      </c>
      <c r="AI1663" t="n">
        <v>5</v>
      </c>
      <c r="AJ1663" t="n">
        <v>1</v>
      </c>
      <c r="AK1663" t="n">
        <v>2</v>
      </c>
      <c r="AL1663" t="n">
        <v>1</v>
      </c>
      <c r="AM1663" t="n">
        <v>11</v>
      </c>
      <c r="AN1663" t="n">
        <v>1</v>
      </c>
      <c r="AO1663" t="n">
        <v>2</v>
      </c>
      <c r="AP1663" t="n">
        <v>0</v>
      </c>
      <c r="AQ1663" t="n">
        <v>0</v>
      </c>
      <c r="AR1663" t="inlineStr">
        <is>
          <t>No</t>
        </is>
      </c>
      <c r="AS1663" t="inlineStr">
        <is>
          <t>No</t>
        </is>
      </c>
      <c r="AU1663">
        <f>HYPERLINK("https://creighton-primo.hosted.exlibrisgroup.com/primo-explore/search?tab=default_tab&amp;search_scope=EVERYTHING&amp;vid=01CRU&amp;lang=en_US&amp;offset=0&amp;query=any,contains,991001043439702656","Catalog Record")</f>
        <v/>
      </c>
      <c r="AV1663">
        <f>HYPERLINK("http://www.worldcat.org/oclc/24142785","WorldCat Record")</f>
        <v/>
      </c>
      <c r="AW1663" t="inlineStr">
        <is>
          <t>13182134:eng</t>
        </is>
      </c>
      <c r="AX1663" t="inlineStr">
        <is>
          <t>24142785</t>
        </is>
      </c>
      <c r="AY1663" t="inlineStr">
        <is>
          <t>991001043439702656</t>
        </is>
      </c>
      <c r="AZ1663" t="inlineStr">
        <is>
          <t>991001043439702656</t>
        </is>
      </c>
      <c r="BA1663" t="inlineStr">
        <is>
          <t>2255226110002656</t>
        </is>
      </c>
      <c r="BB1663" t="inlineStr">
        <is>
          <t>BOOK</t>
        </is>
      </c>
      <c r="BD1663" t="inlineStr">
        <is>
          <t>9780333399125</t>
        </is>
      </c>
      <c r="BE1663" t="inlineStr">
        <is>
          <t>32285000796085</t>
        </is>
      </c>
      <c r="BF1663" t="inlineStr">
        <is>
          <t>893808922</t>
        </is>
      </c>
    </row>
    <row r="1664">
      <c r="A1664" t="inlineStr">
        <is>
          <t>No</t>
        </is>
      </c>
      <c r="B1664" t="inlineStr">
        <is>
          <t>CURAL</t>
        </is>
      </c>
      <c r="C1664" t="inlineStr">
        <is>
          <t>SHELVES</t>
        </is>
      </c>
      <c r="D1664" t="inlineStr">
        <is>
          <t>PR4388 .C5 1964</t>
        </is>
      </c>
      <c r="E1664" t="inlineStr">
        <is>
          <t>0                      PR 4388000C  5           1964</t>
        </is>
      </c>
      <c r="F1664" t="inlineStr">
        <is>
          <t>The dramas of Lord Byron : a critical study.</t>
        </is>
      </c>
      <c r="H1664" t="inlineStr">
        <is>
          <t>No</t>
        </is>
      </c>
      <c r="I1664" t="inlineStr">
        <is>
          <t>1</t>
        </is>
      </c>
      <c r="J1664" t="inlineStr">
        <is>
          <t>No</t>
        </is>
      </c>
      <c r="K1664" t="inlineStr">
        <is>
          <t>No</t>
        </is>
      </c>
      <c r="L1664" t="inlineStr">
        <is>
          <t>0</t>
        </is>
      </c>
      <c r="M1664" t="inlineStr">
        <is>
          <t>Chew, Samuel C. (Samuel Claggett), 1888-1960.</t>
        </is>
      </c>
      <c r="N1664" t="inlineStr">
        <is>
          <t>New York : Russell &amp; Russell, 1964.</t>
        </is>
      </c>
      <c r="O1664" t="inlineStr">
        <is>
          <t>1964</t>
        </is>
      </c>
      <c r="Q1664" t="inlineStr">
        <is>
          <t>eng</t>
        </is>
      </c>
      <c r="R1664" t="inlineStr">
        <is>
          <t>nyu</t>
        </is>
      </c>
      <c r="T1664" t="inlineStr">
        <is>
          <t xml:space="preserve">PR </t>
        </is>
      </c>
      <c r="U1664" t="n">
        <v>7</v>
      </c>
      <c r="V1664" t="n">
        <v>7</v>
      </c>
      <c r="W1664" t="inlineStr">
        <is>
          <t>1997-04-13</t>
        </is>
      </c>
      <c r="X1664" t="inlineStr">
        <is>
          <t>1997-04-13</t>
        </is>
      </c>
      <c r="Y1664" t="inlineStr">
        <is>
          <t>1990-03-14</t>
        </is>
      </c>
      <c r="Z1664" t="inlineStr">
        <is>
          <t>1990-03-14</t>
        </is>
      </c>
      <c r="AA1664" t="n">
        <v>587</v>
      </c>
      <c r="AB1664" t="n">
        <v>526</v>
      </c>
      <c r="AC1664" t="n">
        <v>534</v>
      </c>
      <c r="AD1664" t="n">
        <v>7</v>
      </c>
      <c r="AE1664" t="n">
        <v>7</v>
      </c>
      <c r="AF1664" t="n">
        <v>31</v>
      </c>
      <c r="AG1664" t="n">
        <v>31</v>
      </c>
      <c r="AH1664" t="n">
        <v>15</v>
      </c>
      <c r="AI1664" t="n">
        <v>15</v>
      </c>
      <c r="AJ1664" t="n">
        <v>4</v>
      </c>
      <c r="AK1664" t="n">
        <v>4</v>
      </c>
      <c r="AL1664" t="n">
        <v>15</v>
      </c>
      <c r="AM1664" t="n">
        <v>15</v>
      </c>
      <c r="AN1664" t="n">
        <v>6</v>
      </c>
      <c r="AO1664" t="n">
        <v>6</v>
      </c>
      <c r="AP1664" t="n">
        <v>0</v>
      </c>
      <c r="AQ1664" t="n">
        <v>0</v>
      </c>
      <c r="AR1664" t="inlineStr">
        <is>
          <t>No</t>
        </is>
      </c>
      <c r="AS1664" t="inlineStr">
        <is>
          <t>Yes</t>
        </is>
      </c>
      <c r="AT1664">
        <f>HYPERLINK("http://catalog.hathitrust.org/Record/000588634","HathiTrust Record")</f>
        <v/>
      </c>
      <c r="AU1664">
        <f>HYPERLINK("https://creighton-primo.hosted.exlibrisgroup.com/primo-explore/search?tab=default_tab&amp;search_scope=EVERYTHING&amp;vid=01CRU&amp;lang=en_US&amp;offset=0&amp;query=any,contains,991002468649702656","Catalog Record")</f>
        <v/>
      </c>
      <c r="AV1664">
        <f>HYPERLINK("http://www.worldcat.org/oclc/358215","WorldCat Record")</f>
        <v/>
      </c>
      <c r="AW1664" t="inlineStr">
        <is>
          <t>9846073673:eng</t>
        </is>
      </c>
      <c r="AX1664" t="inlineStr">
        <is>
          <t>358215</t>
        </is>
      </c>
      <c r="AY1664" t="inlineStr">
        <is>
          <t>991002468649702656</t>
        </is>
      </c>
      <c r="AZ1664" t="inlineStr">
        <is>
          <t>991002468649702656</t>
        </is>
      </c>
      <c r="BA1664" t="inlineStr">
        <is>
          <t>2266138480002656</t>
        </is>
      </c>
      <c r="BB1664" t="inlineStr">
        <is>
          <t>BOOK</t>
        </is>
      </c>
      <c r="BE1664" t="inlineStr">
        <is>
          <t>32285000083237</t>
        </is>
      </c>
      <c r="BF1664" t="inlineStr">
        <is>
          <t>893616167</t>
        </is>
      </c>
    </row>
    <row r="1665">
      <c r="A1665" t="inlineStr">
        <is>
          <t>No</t>
        </is>
      </c>
      <c r="B1665" t="inlineStr">
        <is>
          <t>CURAL</t>
        </is>
      </c>
      <c r="C1665" t="inlineStr">
        <is>
          <t>SHELVES</t>
        </is>
      </c>
      <c r="D1665" t="inlineStr">
        <is>
          <t>PR4388 .C54 1993</t>
        </is>
      </c>
      <c r="E1665" t="inlineStr">
        <is>
          <t>0                      PR 4388000C  54          1993</t>
        </is>
      </c>
      <c r="F1665" t="inlineStr">
        <is>
          <t>Lord Byron's strength : romantic writing and commercial society / Jerome Christensen.</t>
        </is>
      </c>
      <c r="H1665" t="inlineStr">
        <is>
          <t>No</t>
        </is>
      </c>
      <c r="I1665" t="inlineStr">
        <is>
          <t>1</t>
        </is>
      </c>
      <c r="J1665" t="inlineStr">
        <is>
          <t>No</t>
        </is>
      </c>
      <c r="K1665" t="inlineStr">
        <is>
          <t>No</t>
        </is>
      </c>
      <c r="L1665" t="inlineStr">
        <is>
          <t>0</t>
        </is>
      </c>
      <c r="M1665" t="inlineStr">
        <is>
          <t>Christensen, Jerome, 1948-</t>
        </is>
      </c>
      <c r="N1665" t="inlineStr">
        <is>
          <t>Baltimore : Johns Hopkins University Press, c1993.</t>
        </is>
      </c>
      <c r="O1665" t="inlineStr">
        <is>
          <t>1993</t>
        </is>
      </c>
      <c r="Q1665" t="inlineStr">
        <is>
          <t>eng</t>
        </is>
      </c>
      <c r="R1665" t="inlineStr">
        <is>
          <t>mdu</t>
        </is>
      </c>
      <c r="T1665" t="inlineStr">
        <is>
          <t xml:space="preserve">PR </t>
        </is>
      </c>
      <c r="U1665" t="n">
        <v>2</v>
      </c>
      <c r="V1665" t="n">
        <v>2</v>
      </c>
      <c r="W1665" t="inlineStr">
        <is>
          <t>2003-03-24</t>
        </is>
      </c>
      <c r="X1665" t="inlineStr">
        <is>
          <t>2003-03-24</t>
        </is>
      </c>
      <c r="Y1665" t="inlineStr">
        <is>
          <t>2002-05-13</t>
        </is>
      </c>
      <c r="Z1665" t="inlineStr">
        <is>
          <t>2002-05-13</t>
        </is>
      </c>
      <c r="AA1665" t="n">
        <v>552</v>
      </c>
      <c r="AB1665" t="n">
        <v>423</v>
      </c>
      <c r="AC1665" t="n">
        <v>434</v>
      </c>
      <c r="AD1665" t="n">
        <v>4</v>
      </c>
      <c r="AE1665" t="n">
        <v>4</v>
      </c>
      <c r="AF1665" t="n">
        <v>23</v>
      </c>
      <c r="AG1665" t="n">
        <v>24</v>
      </c>
      <c r="AH1665" t="n">
        <v>7</v>
      </c>
      <c r="AI1665" t="n">
        <v>8</v>
      </c>
      <c r="AJ1665" t="n">
        <v>6</v>
      </c>
      <c r="AK1665" t="n">
        <v>6</v>
      </c>
      <c r="AL1665" t="n">
        <v>14</v>
      </c>
      <c r="AM1665" t="n">
        <v>15</v>
      </c>
      <c r="AN1665" t="n">
        <v>3</v>
      </c>
      <c r="AO1665" t="n">
        <v>3</v>
      </c>
      <c r="AP1665" t="n">
        <v>0</v>
      </c>
      <c r="AQ1665" t="n">
        <v>0</v>
      </c>
      <c r="AR1665" t="inlineStr">
        <is>
          <t>No</t>
        </is>
      </c>
      <c r="AS1665" t="inlineStr">
        <is>
          <t>Yes</t>
        </is>
      </c>
      <c r="AT1665">
        <f>HYPERLINK("http://catalog.hathitrust.org/Record/002609853","HathiTrust Record")</f>
        <v/>
      </c>
      <c r="AU1665">
        <f>HYPERLINK("https://creighton-primo.hosted.exlibrisgroup.com/primo-explore/search?tab=default_tab&amp;search_scope=EVERYTHING&amp;vid=01CRU&amp;lang=en_US&amp;offset=0&amp;query=any,contains,991003774699702656","Catalog Record")</f>
        <v/>
      </c>
      <c r="AV1665">
        <f>HYPERLINK("http://www.worldcat.org/oclc/25164442","WorldCat Record")</f>
        <v/>
      </c>
      <c r="AW1665" t="inlineStr">
        <is>
          <t>196905905:eng</t>
        </is>
      </c>
      <c r="AX1665" t="inlineStr">
        <is>
          <t>25164442</t>
        </is>
      </c>
      <c r="AY1665" t="inlineStr">
        <is>
          <t>991003774699702656</t>
        </is>
      </c>
      <c r="AZ1665" t="inlineStr">
        <is>
          <t>991003774699702656</t>
        </is>
      </c>
      <c r="BA1665" t="inlineStr">
        <is>
          <t>2256957060002656</t>
        </is>
      </c>
      <c r="BB1665" t="inlineStr">
        <is>
          <t>BOOK</t>
        </is>
      </c>
      <c r="BD1665" t="inlineStr">
        <is>
          <t>9780801843556</t>
        </is>
      </c>
      <c r="BE1665" t="inlineStr">
        <is>
          <t>32285004487772</t>
        </is>
      </c>
      <c r="BF1665" t="inlineStr">
        <is>
          <t>893868844</t>
        </is>
      </c>
    </row>
    <row r="1666">
      <c r="A1666" t="inlineStr">
        <is>
          <t>No</t>
        </is>
      </c>
      <c r="B1666" t="inlineStr">
        <is>
          <t>CURAL</t>
        </is>
      </c>
      <c r="C1666" t="inlineStr">
        <is>
          <t>SHELVES</t>
        </is>
      </c>
      <c r="D1666" t="inlineStr">
        <is>
          <t>PR4388 .G65 1998</t>
        </is>
      </c>
      <c r="E1666" t="inlineStr">
        <is>
          <t>0                      PR 4388000G  65          1998</t>
        </is>
      </c>
      <c r="F1666" t="inlineStr">
        <is>
          <t>Lord Byron / Peter W. Graham.</t>
        </is>
      </c>
      <c r="H1666" t="inlineStr">
        <is>
          <t>No</t>
        </is>
      </c>
      <c r="I1666" t="inlineStr">
        <is>
          <t>1</t>
        </is>
      </c>
      <c r="J1666" t="inlineStr">
        <is>
          <t>No</t>
        </is>
      </c>
      <c r="K1666" t="inlineStr">
        <is>
          <t>No</t>
        </is>
      </c>
      <c r="L1666" t="inlineStr">
        <is>
          <t>0</t>
        </is>
      </c>
      <c r="M1666" t="inlineStr">
        <is>
          <t>Graham, Peter W., 1951-</t>
        </is>
      </c>
      <c r="N1666" t="inlineStr">
        <is>
          <t>New York : Twayne Publishers, 1998.</t>
        </is>
      </c>
      <c r="O1666" t="inlineStr">
        <is>
          <t>1998</t>
        </is>
      </c>
      <c r="Q1666" t="inlineStr">
        <is>
          <t>eng</t>
        </is>
      </c>
      <c r="R1666" t="inlineStr">
        <is>
          <t>nyu</t>
        </is>
      </c>
      <c r="S1666" t="inlineStr">
        <is>
          <t>Twayne's English authors series ; TEAS 549</t>
        </is>
      </c>
      <c r="T1666" t="inlineStr">
        <is>
          <t xml:space="preserve">PR </t>
        </is>
      </c>
      <c r="U1666" t="n">
        <v>2</v>
      </c>
      <c r="V1666" t="n">
        <v>2</v>
      </c>
      <c r="W1666" t="inlineStr">
        <is>
          <t>2008-02-06</t>
        </is>
      </c>
      <c r="X1666" t="inlineStr">
        <is>
          <t>2008-02-06</t>
        </is>
      </c>
      <c r="Y1666" t="inlineStr">
        <is>
          <t>1998-07-09</t>
        </is>
      </c>
      <c r="Z1666" t="inlineStr">
        <is>
          <t>1998-07-09</t>
        </is>
      </c>
      <c r="AA1666" t="n">
        <v>845</v>
      </c>
      <c r="AB1666" t="n">
        <v>765</v>
      </c>
      <c r="AC1666" t="n">
        <v>889</v>
      </c>
      <c r="AD1666" t="n">
        <v>5</v>
      </c>
      <c r="AE1666" t="n">
        <v>7</v>
      </c>
      <c r="AF1666" t="n">
        <v>35</v>
      </c>
      <c r="AG1666" t="n">
        <v>38</v>
      </c>
      <c r="AH1666" t="n">
        <v>17</v>
      </c>
      <c r="AI1666" t="n">
        <v>17</v>
      </c>
      <c r="AJ1666" t="n">
        <v>5</v>
      </c>
      <c r="AK1666" t="n">
        <v>5</v>
      </c>
      <c r="AL1666" t="n">
        <v>18</v>
      </c>
      <c r="AM1666" t="n">
        <v>19</v>
      </c>
      <c r="AN1666" t="n">
        <v>4</v>
      </c>
      <c r="AO1666" t="n">
        <v>6</v>
      </c>
      <c r="AP1666" t="n">
        <v>0</v>
      </c>
      <c r="AQ1666" t="n">
        <v>0</v>
      </c>
      <c r="AR1666" t="inlineStr">
        <is>
          <t>No</t>
        </is>
      </c>
      <c r="AS1666" t="inlineStr">
        <is>
          <t>Yes</t>
        </is>
      </c>
      <c r="AT1666">
        <f>HYPERLINK("http://catalog.hathitrust.org/Record/003291860","HathiTrust Record")</f>
        <v/>
      </c>
      <c r="AU1666">
        <f>HYPERLINK("https://creighton-primo.hosted.exlibrisgroup.com/primo-explore/search?tab=default_tab&amp;search_scope=EVERYTHING&amp;vid=01CRU&amp;lang=en_US&amp;offset=0&amp;query=any,contains,991002914069702656","Catalog Record")</f>
        <v/>
      </c>
      <c r="AV1666">
        <f>HYPERLINK("http://www.worldcat.org/oclc/38535951","WorldCat Record")</f>
        <v/>
      </c>
      <c r="AW1666" t="inlineStr">
        <is>
          <t>3901314181:eng</t>
        </is>
      </c>
      <c r="AX1666" t="inlineStr">
        <is>
          <t>38535951</t>
        </is>
      </c>
      <c r="AY1666" t="inlineStr">
        <is>
          <t>991002914069702656</t>
        </is>
      </c>
      <c r="AZ1666" t="inlineStr">
        <is>
          <t>991002914069702656</t>
        </is>
      </c>
      <c r="BA1666" t="inlineStr">
        <is>
          <t>2263178910002656</t>
        </is>
      </c>
      <c r="BB1666" t="inlineStr">
        <is>
          <t>BOOK</t>
        </is>
      </c>
      <c r="BD1666" t="inlineStr">
        <is>
          <t>9780805770650</t>
        </is>
      </c>
      <c r="BE1666" t="inlineStr">
        <is>
          <t>32285003431185</t>
        </is>
      </c>
      <c r="BF1666" t="inlineStr">
        <is>
          <t>893904147</t>
        </is>
      </c>
    </row>
    <row r="1667">
      <c r="A1667" t="inlineStr">
        <is>
          <t>No</t>
        </is>
      </c>
      <c r="B1667" t="inlineStr">
        <is>
          <t>CURAL</t>
        </is>
      </c>
      <c r="C1667" t="inlineStr">
        <is>
          <t>SHELVES</t>
        </is>
      </c>
      <c r="D1667" t="inlineStr">
        <is>
          <t>PR4388 .R8 1961a</t>
        </is>
      </c>
      <c r="E1667" t="inlineStr">
        <is>
          <t>0                      PR 4388000R  8           1961a</t>
        </is>
      </c>
      <c r="F1667" t="inlineStr">
        <is>
          <t>Byron, a critical study.</t>
        </is>
      </c>
      <c r="H1667" t="inlineStr">
        <is>
          <t>No</t>
        </is>
      </c>
      <c r="I1667" t="inlineStr">
        <is>
          <t>1</t>
        </is>
      </c>
      <c r="J1667" t="inlineStr">
        <is>
          <t>No</t>
        </is>
      </c>
      <c r="K1667" t="inlineStr">
        <is>
          <t>No</t>
        </is>
      </c>
      <c r="L1667" t="inlineStr">
        <is>
          <t>0</t>
        </is>
      </c>
      <c r="M1667" t="inlineStr">
        <is>
          <t>Rutherford, Andrew, 1958-</t>
        </is>
      </c>
      <c r="N1667" t="inlineStr">
        <is>
          <t>Edinburgh : Oliver and Boyd, 1961.</t>
        </is>
      </c>
      <c r="O1667" t="inlineStr">
        <is>
          <t>1961</t>
        </is>
      </c>
      <c r="Q1667" t="inlineStr">
        <is>
          <t>eng</t>
        </is>
      </c>
      <c r="R1667" t="inlineStr">
        <is>
          <t>stk</t>
        </is>
      </c>
      <c r="T1667" t="inlineStr">
        <is>
          <t xml:space="preserve">PR </t>
        </is>
      </c>
      <c r="U1667" t="n">
        <v>17</v>
      </c>
      <c r="V1667" t="n">
        <v>17</v>
      </c>
      <c r="W1667" t="inlineStr">
        <is>
          <t>1998-04-15</t>
        </is>
      </c>
      <c r="X1667" t="inlineStr">
        <is>
          <t>1998-04-15</t>
        </is>
      </c>
      <c r="Y1667" t="inlineStr">
        <is>
          <t>1990-10-08</t>
        </is>
      </c>
      <c r="Z1667" t="inlineStr">
        <is>
          <t>1990-10-08</t>
        </is>
      </c>
      <c r="AA1667" t="n">
        <v>197</v>
      </c>
      <c r="AB1667" t="n">
        <v>72</v>
      </c>
      <c r="AC1667" t="n">
        <v>1024</v>
      </c>
      <c r="AD1667" t="n">
        <v>1</v>
      </c>
      <c r="AE1667" t="n">
        <v>9</v>
      </c>
      <c r="AF1667" t="n">
        <v>5</v>
      </c>
      <c r="AG1667" t="n">
        <v>51</v>
      </c>
      <c r="AH1667" t="n">
        <v>3</v>
      </c>
      <c r="AI1667" t="n">
        <v>23</v>
      </c>
      <c r="AJ1667" t="n">
        <v>1</v>
      </c>
      <c r="AK1667" t="n">
        <v>8</v>
      </c>
      <c r="AL1667" t="n">
        <v>5</v>
      </c>
      <c r="AM1667" t="n">
        <v>25</v>
      </c>
      <c r="AN1667" t="n">
        <v>0</v>
      </c>
      <c r="AO1667" t="n">
        <v>8</v>
      </c>
      <c r="AP1667" t="n">
        <v>0</v>
      </c>
      <c r="AQ1667" t="n">
        <v>0</v>
      </c>
      <c r="AR1667" t="inlineStr">
        <is>
          <t>No</t>
        </is>
      </c>
      <c r="AS1667" t="inlineStr">
        <is>
          <t>Yes</t>
        </is>
      </c>
      <c r="AT1667">
        <f>HYPERLINK("http://catalog.hathitrust.org/Record/000622144","HathiTrust Record")</f>
        <v/>
      </c>
      <c r="AU1667">
        <f>HYPERLINK("https://creighton-primo.hosted.exlibrisgroup.com/primo-explore/search?tab=default_tab&amp;search_scope=EVERYTHING&amp;vid=01CRU&amp;lang=en_US&amp;offset=0&amp;query=any,contains,991004630989702656","Catalog Record")</f>
        <v/>
      </c>
      <c r="AV1667">
        <f>HYPERLINK("http://www.worldcat.org/oclc/4370167","WorldCat Record")</f>
        <v/>
      </c>
      <c r="AW1667" t="inlineStr">
        <is>
          <t>1909109268:eng</t>
        </is>
      </c>
      <c r="AX1667" t="inlineStr">
        <is>
          <t>4370167</t>
        </is>
      </c>
      <c r="AY1667" t="inlineStr">
        <is>
          <t>991004630989702656</t>
        </is>
      </c>
      <c r="AZ1667" t="inlineStr">
        <is>
          <t>991004630989702656</t>
        </is>
      </c>
      <c r="BA1667" t="inlineStr">
        <is>
          <t>2261821420002656</t>
        </is>
      </c>
      <c r="BB1667" t="inlineStr">
        <is>
          <t>BOOK</t>
        </is>
      </c>
      <c r="BE1667" t="inlineStr">
        <is>
          <t>32285000334473</t>
        </is>
      </c>
      <c r="BF1667" t="inlineStr">
        <is>
          <t>893532618</t>
        </is>
      </c>
    </row>
    <row r="1668">
      <c r="A1668" t="inlineStr">
        <is>
          <t>No</t>
        </is>
      </c>
      <c r="B1668" t="inlineStr">
        <is>
          <t>CURAL</t>
        </is>
      </c>
      <c r="C1668" t="inlineStr">
        <is>
          <t>SHELVES</t>
        </is>
      </c>
      <c r="D1668" t="inlineStr">
        <is>
          <t>PR4392.D7 C67 1988</t>
        </is>
      </c>
      <c r="E1668" t="inlineStr">
        <is>
          <t>0                      PR 4392000D  7                  C  67          1988</t>
        </is>
      </c>
      <c r="F1668" t="inlineStr">
        <is>
          <t>Byron and tragedy / Martyn Corbett. Foreword by Anne Barton.</t>
        </is>
      </c>
      <c r="H1668" t="inlineStr">
        <is>
          <t>No</t>
        </is>
      </c>
      <c r="I1668" t="inlineStr">
        <is>
          <t>1</t>
        </is>
      </c>
      <c r="J1668" t="inlineStr">
        <is>
          <t>No</t>
        </is>
      </c>
      <c r="K1668" t="inlineStr">
        <is>
          <t>No</t>
        </is>
      </c>
      <c r="L1668" t="inlineStr">
        <is>
          <t>0</t>
        </is>
      </c>
      <c r="M1668" t="inlineStr">
        <is>
          <t>Corbett, Martyn.</t>
        </is>
      </c>
      <c r="N1668" t="inlineStr">
        <is>
          <t>New York : St. Martin's Press, 1988.</t>
        </is>
      </c>
      <c r="O1668" t="inlineStr">
        <is>
          <t>1988</t>
        </is>
      </c>
      <c r="Q1668" t="inlineStr">
        <is>
          <t>eng</t>
        </is>
      </c>
      <c r="R1668" t="inlineStr">
        <is>
          <t>nyu</t>
        </is>
      </c>
      <c r="T1668" t="inlineStr">
        <is>
          <t xml:space="preserve">PR </t>
        </is>
      </c>
      <c r="U1668" t="n">
        <v>5</v>
      </c>
      <c r="V1668" t="n">
        <v>5</v>
      </c>
      <c r="W1668" t="inlineStr">
        <is>
          <t>1997-04-13</t>
        </is>
      </c>
      <c r="X1668" t="inlineStr">
        <is>
          <t>1997-04-13</t>
        </is>
      </c>
      <c r="Y1668" t="inlineStr">
        <is>
          <t>1990-03-13</t>
        </is>
      </c>
      <c r="Z1668" t="inlineStr">
        <is>
          <t>1990-03-13</t>
        </is>
      </c>
      <c r="AA1668" t="n">
        <v>197</v>
      </c>
      <c r="AB1668" t="n">
        <v>163</v>
      </c>
      <c r="AC1668" t="n">
        <v>224</v>
      </c>
      <c r="AD1668" t="n">
        <v>1</v>
      </c>
      <c r="AE1668" t="n">
        <v>3</v>
      </c>
      <c r="AF1668" t="n">
        <v>7</v>
      </c>
      <c r="AG1668" t="n">
        <v>12</v>
      </c>
      <c r="AH1668" t="n">
        <v>3</v>
      </c>
      <c r="AI1668" t="n">
        <v>3</v>
      </c>
      <c r="AJ1668" t="n">
        <v>3</v>
      </c>
      <c r="AK1668" t="n">
        <v>5</v>
      </c>
      <c r="AL1668" t="n">
        <v>4</v>
      </c>
      <c r="AM1668" t="n">
        <v>7</v>
      </c>
      <c r="AN1668" t="n">
        <v>0</v>
      </c>
      <c r="AO1668" t="n">
        <v>2</v>
      </c>
      <c r="AP1668" t="n">
        <v>0</v>
      </c>
      <c r="AQ1668" t="n">
        <v>0</v>
      </c>
      <c r="AR1668" t="inlineStr">
        <is>
          <t>No</t>
        </is>
      </c>
      <c r="AS1668" t="inlineStr">
        <is>
          <t>No</t>
        </is>
      </c>
      <c r="AU1668">
        <f>HYPERLINK("https://creighton-primo.hosted.exlibrisgroup.com/primo-explore/search?tab=default_tab&amp;search_scope=EVERYTHING&amp;vid=01CRU&amp;lang=en_US&amp;offset=0&amp;query=any,contains,991001100499702656","Catalog Record")</f>
        <v/>
      </c>
      <c r="AV1668">
        <f>HYPERLINK("http://www.worldcat.org/oclc/16352348","WorldCat Record")</f>
        <v/>
      </c>
      <c r="AW1668" t="inlineStr">
        <is>
          <t>10032115:eng</t>
        </is>
      </c>
      <c r="AX1668" t="inlineStr">
        <is>
          <t>16352348</t>
        </is>
      </c>
      <c r="AY1668" t="inlineStr">
        <is>
          <t>991001100499702656</t>
        </is>
      </c>
      <c r="AZ1668" t="inlineStr">
        <is>
          <t>991001100499702656</t>
        </is>
      </c>
      <c r="BA1668" t="inlineStr">
        <is>
          <t>2270151710002656</t>
        </is>
      </c>
      <c r="BB1668" t="inlineStr">
        <is>
          <t>BOOK</t>
        </is>
      </c>
      <c r="BD1668" t="inlineStr">
        <is>
          <t>9780312013387</t>
        </is>
      </c>
      <c r="BE1668" t="inlineStr">
        <is>
          <t>32285000083229</t>
        </is>
      </c>
      <c r="BF1668" t="inlineStr">
        <is>
          <t>893803341</t>
        </is>
      </c>
    </row>
    <row r="1669">
      <c r="A1669" t="inlineStr">
        <is>
          <t>No</t>
        </is>
      </c>
      <c r="B1669" t="inlineStr">
        <is>
          <t>CURAL</t>
        </is>
      </c>
      <c r="C1669" t="inlineStr">
        <is>
          <t>SHELVES</t>
        </is>
      </c>
      <c r="D1669" t="inlineStr">
        <is>
          <t>PR4392.P64 B9 1981</t>
        </is>
      </c>
      <c r="E1669" t="inlineStr">
        <is>
          <t>0                      PR 4392000P  64                 B  9           1981</t>
        </is>
      </c>
      <c r="F1669" t="inlineStr">
        <is>
          <t>Byron's political and cultural influence in nineteenth-century Europe : a symposium / edited by Paul Graham Trueblood.</t>
        </is>
      </c>
      <c r="H1669" t="inlineStr">
        <is>
          <t>No</t>
        </is>
      </c>
      <c r="I1669" t="inlineStr">
        <is>
          <t>1</t>
        </is>
      </c>
      <c r="J1669" t="inlineStr">
        <is>
          <t>No</t>
        </is>
      </c>
      <c r="K1669" t="inlineStr">
        <is>
          <t>No</t>
        </is>
      </c>
      <c r="L1669" t="inlineStr">
        <is>
          <t>0</t>
        </is>
      </c>
      <c r="N1669" t="inlineStr">
        <is>
          <t>Atlantic Highlands, N.J. : Humanities Press, 1981.</t>
        </is>
      </c>
      <c r="O1669" t="inlineStr">
        <is>
          <t>1981</t>
        </is>
      </c>
      <c r="Q1669" t="inlineStr">
        <is>
          <t>eng</t>
        </is>
      </c>
      <c r="R1669" t="inlineStr">
        <is>
          <t>nju</t>
        </is>
      </c>
      <c r="T1669" t="inlineStr">
        <is>
          <t xml:space="preserve">PR </t>
        </is>
      </c>
      <c r="U1669" t="n">
        <v>1</v>
      </c>
      <c r="V1669" t="n">
        <v>1</v>
      </c>
      <c r="W1669" t="inlineStr">
        <is>
          <t>1996-11-19</t>
        </is>
      </c>
      <c r="X1669" t="inlineStr">
        <is>
          <t>1996-11-19</t>
        </is>
      </c>
      <c r="Y1669" t="inlineStr">
        <is>
          <t>1991-11-05</t>
        </is>
      </c>
      <c r="Z1669" t="inlineStr">
        <is>
          <t>1991-11-05</t>
        </is>
      </c>
      <c r="AA1669" t="n">
        <v>277</v>
      </c>
      <c r="AB1669" t="n">
        <v>245</v>
      </c>
      <c r="AC1669" t="n">
        <v>293</v>
      </c>
      <c r="AD1669" t="n">
        <v>4</v>
      </c>
      <c r="AE1669" t="n">
        <v>4</v>
      </c>
      <c r="AF1669" t="n">
        <v>14</v>
      </c>
      <c r="AG1669" t="n">
        <v>16</v>
      </c>
      <c r="AH1669" t="n">
        <v>5</v>
      </c>
      <c r="AI1669" t="n">
        <v>6</v>
      </c>
      <c r="AJ1669" t="n">
        <v>3</v>
      </c>
      <c r="AK1669" t="n">
        <v>4</v>
      </c>
      <c r="AL1669" t="n">
        <v>7</v>
      </c>
      <c r="AM1669" t="n">
        <v>8</v>
      </c>
      <c r="AN1669" t="n">
        <v>3</v>
      </c>
      <c r="AO1669" t="n">
        <v>3</v>
      </c>
      <c r="AP1669" t="n">
        <v>0</v>
      </c>
      <c r="AQ1669" t="n">
        <v>0</v>
      </c>
      <c r="AR1669" t="inlineStr">
        <is>
          <t>No</t>
        </is>
      </c>
      <c r="AS1669" t="inlineStr">
        <is>
          <t>Yes</t>
        </is>
      </c>
      <c r="AT1669">
        <f>HYPERLINK("http://catalog.hathitrust.org/Record/009494077","HathiTrust Record")</f>
        <v/>
      </c>
      <c r="AU1669">
        <f>HYPERLINK("https://creighton-primo.hosted.exlibrisgroup.com/primo-explore/search?tab=default_tab&amp;search_scope=EVERYTHING&amp;vid=01CRU&amp;lang=en_US&amp;offset=0&amp;query=any,contains,991005027299702656","Catalog Record")</f>
        <v/>
      </c>
      <c r="AV1669">
        <f>HYPERLINK("http://www.worldcat.org/oclc/6707281","WorldCat Record")</f>
        <v/>
      </c>
      <c r="AW1669" t="inlineStr">
        <is>
          <t>54400487:eng</t>
        </is>
      </c>
      <c r="AX1669" t="inlineStr">
        <is>
          <t>6707281</t>
        </is>
      </c>
      <c r="AY1669" t="inlineStr">
        <is>
          <t>991005027299702656</t>
        </is>
      </c>
      <c r="AZ1669" t="inlineStr">
        <is>
          <t>991005027299702656</t>
        </is>
      </c>
      <c r="BA1669" t="inlineStr">
        <is>
          <t>2257728670002656</t>
        </is>
      </c>
      <c r="BB1669" t="inlineStr">
        <is>
          <t>BOOK</t>
        </is>
      </c>
      <c r="BD1669" t="inlineStr">
        <is>
          <t>9780391021648</t>
        </is>
      </c>
      <c r="BE1669" t="inlineStr">
        <is>
          <t>32285000796143</t>
        </is>
      </c>
      <c r="BF1669" t="inlineStr">
        <is>
          <t>893600505</t>
        </is>
      </c>
    </row>
    <row r="1670">
      <c r="A1670" t="inlineStr">
        <is>
          <t>No</t>
        </is>
      </c>
      <c r="B1670" t="inlineStr">
        <is>
          <t>CURAL</t>
        </is>
      </c>
      <c r="C1670" t="inlineStr">
        <is>
          <t>SHELVES</t>
        </is>
      </c>
      <c r="D1670" t="inlineStr">
        <is>
          <t>PR441 .B38 1996</t>
        </is>
      </c>
      <c r="E1670" t="inlineStr">
        <is>
          <t>0                      PR 0441000B  38          1996</t>
        </is>
      </c>
      <c r="F1670" t="inlineStr">
        <is>
          <t>Making the modern reader : cultural mediation in early modern literary anthologies / Barbara M. Benedict.</t>
        </is>
      </c>
      <c r="H1670" t="inlineStr">
        <is>
          <t>No</t>
        </is>
      </c>
      <c r="I1670" t="inlineStr">
        <is>
          <t>1</t>
        </is>
      </c>
      <c r="J1670" t="inlineStr">
        <is>
          <t>No</t>
        </is>
      </c>
      <c r="K1670" t="inlineStr">
        <is>
          <t>No</t>
        </is>
      </c>
      <c r="L1670" t="inlineStr">
        <is>
          <t>0</t>
        </is>
      </c>
      <c r="M1670" t="inlineStr">
        <is>
          <t>Benedict, Barbara M.</t>
        </is>
      </c>
      <c r="N1670" t="inlineStr">
        <is>
          <t>Princeton, N.J. : Princeton University Press, c1996.</t>
        </is>
      </c>
      <c r="O1670" t="inlineStr">
        <is>
          <t>1996</t>
        </is>
      </c>
      <c r="Q1670" t="inlineStr">
        <is>
          <t>eng</t>
        </is>
      </c>
      <c r="R1670" t="inlineStr">
        <is>
          <t>nju</t>
        </is>
      </c>
      <c r="T1670" t="inlineStr">
        <is>
          <t xml:space="preserve">PR </t>
        </is>
      </c>
      <c r="U1670" t="n">
        <v>1</v>
      </c>
      <c r="V1670" t="n">
        <v>1</v>
      </c>
      <c r="W1670" t="inlineStr">
        <is>
          <t>2006-11-16</t>
        </is>
      </c>
      <c r="X1670" t="inlineStr">
        <is>
          <t>2006-11-16</t>
        </is>
      </c>
      <c r="Y1670" t="inlineStr">
        <is>
          <t>2006-11-16</t>
        </is>
      </c>
      <c r="Z1670" t="inlineStr">
        <is>
          <t>2006-11-16</t>
        </is>
      </c>
      <c r="AA1670" t="n">
        <v>376</v>
      </c>
      <c r="AB1670" t="n">
        <v>294</v>
      </c>
      <c r="AC1670" t="n">
        <v>488</v>
      </c>
      <c r="AD1670" t="n">
        <v>3</v>
      </c>
      <c r="AE1670" t="n">
        <v>3</v>
      </c>
      <c r="AF1670" t="n">
        <v>19</v>
      </c>
      <c r="AG1670" t="n">
        <v>26</v>
      </c>
      <c r="AH1670" t="n">
        <v>5</v>
      </c>
      <c r="AI1670" t="n">
        <v>10</v>
      </c>
      <c r="AJ1670" t="n">
        <v>8</v>
      </c>
      <c r="AK1670" t="n">
        <v>10</v>
      </c>
      <c r="AL1670" t="n">
        <v>10</v>
      </c>
      <c r="AM1670" t="n">
        <v>12</v>
      </c>
      <c r="AN1670" t="n">
        <v>2</v>
      </c>
      <c r="AO1670" t="n">
        <v>2</v>
      </c>
      <c r="AP1670" t="n">
        <v>0</v>
      </c>
      <c r="AQ1670" t="n">
        <v>0</v>
      </c>
      <c r="AR1670" t="inlineStr">
        <is>
          <t>No</t>
        </is>
      </c>
      <c r="AS1670" t="inlineStr">
        <is>
          <t>No</t>
        </is>
      </c>
      <c r="AU1670">
        <f>HYPERLINK("https://creighton-primo.hosted.exlibrisgroup.com/primo-explore/search?tab=default_tab&amp;search_scope=EVERYTHING&amp;vid=01CRU&amp;lang=en_US&amp;offset=0&amp;query=any,contains,991004983869702656","Catalog Record")</f>
        <v/>
      </c>
      <c r="AV1670">
        <f>HYPERLINK("http://www.worldcat.org/oclc/33983643","WorldCat Record")</f>
        <v/>
      </c>
      <c r="AW1670" t="inlineStr">
        <is>
          <t>891668:eng</t>
        </is>
      </c>
      <c r="AX1670" t="inlineStr">
        <is>
          <t>33983643</t>
        </is>
      </c>
      <c r="AY1670" t="inlineStr">
        <is>
          <t>991004983869702656</t>
        </is>
      </c>
      <c r="AZ1670" t="inlineStr">
        <is>
          <t>991004983869702656</t>
        </is>
      </c>
      <c r="BA1670" t="inlineStr">
        <is>
          <t>2262002220002656</t>
        </is>
      </c>
      <c r="BB1670" t="inlineStr">
        <is>
          <t>BOOK</t>
        </is>
      </c>
      <c r="BD1670" t="inlineStr">
        <is>
          <t>9780691025780</t>
        </is>
      </c>
      <c r="BE1670" t="inlineStr">
        <is>
          <t>32285005260046</t>
        </is>
      </c>
      <c r="BF1670" t="inlineStr">
        <is>
          <t>893619290</t>
        </is>
      </c>
    </row>
    <row r="1671">
      <c r="A1671" t="inlineStr">
        <is>
          <t>No</t>
        </is>
      </c>
      <c r="B1671" t="inlineStr">
        <is>
          <t>CURAL</t>
        </is>
      </c>
      <c r="C1671" t="inlineStr">
        <is>
          <t>SHELVES</t>
        </is>
      </c>
      <c r="D1671" t="inlineStr">
        <is>
          <t>PR441 .C66 2000</t>
        </is>
      </c>
      <c r="E1671" t="inlineStr">
        <is>
          <t>0                      PR 0441000C  66          2000</t>
        </is>
      </c>
      <c r="F1671" t="inlineStr">
        <is>
          <t>A companion to literature from Milton to Blake / edited by David Womersley.</t>
        </is>
      </c>
      <c r="H1671" t="inlineStr">
        <is>
          <t>No</t>
        </is>
      </c>
      <c r="I1671" t="inlineStr">
        <is>
          <t>1</t>
        </is>
      </c>
      <c r="J1671" t="inlineStr">
        <is>
          <t>No</t>
        </is>
      </c>
      <c r="K1671" t="inlineStr">
        <is>
          <t>No</t>
        </is>
      </c>
      <c r="L1671" t="inlineStr">
        <is>
          <t>0</t>
        </is>
      </c>
      <c r="N1671" t="inlineStr">
        <is>
          <t>Oxford, UK ; Malden, Mass. : Blackwell Publishers, 2000.</t>
        </is>
      </c>
      <c r="O1671" t="inlineStr">
        <is>
          <t>2000</t>
        </is>
      </c>
      <c r="Q1671" t="inlineStr">
        <is>
          <t>eng</t>
        </is>
      </c>
      <c r="R1671" t="inlineStr">
        <is>
          <t>enk</t>
        </is>
      </c>
      <c r="S1671" t="inlineStr">
        <is>
          <t>Blackwell companions to literature and culture ; 7</t>
        </is>
      </c>
      <c r="T1671" t="inlineStr">
        <is>
          <t xml:space="preserve">PR </t>
        </is>
      </c>
      <c r="U1671" t="n">
        <v>1</v>
      </c>
      <c r="V1671" t="n">
        <v>1</v>
      </c>
      <c r="W1671" t="inlineStr">
        <is>
          <t>2003-11-13</t>
        </is>
      </c>
      <c r="X1671" t="inlineStr">
        <is>
          <t>2003-11-13</t>
        </is>
      </c>
      <c r="Y1671" t="inlineStr">
        <is>
          <t>2003-10-03</t>
        </is>
      </c>
      <c r="Z1671" t="inlineStr">
        <is>
          <t>2003-10-03</t>
        </is>
      </c>
      <c r="AA1671" t="n">
        <v>394</v>
      </c>
      <c r="AB1671" t="n">
        <v>289</v>
      </c>
      <c r="AC1671" t="n">
        <v>321</v>
      </c>
      <c r="AD1671" t="n">
        <v>2</v>
      </c>
      <c r="AE1671" t="n">
        <v>2</v>
      </c>
      <c r="AF1671" t="n">
        <v>14</v>
      </c>
      <c r="AG1671" t="n">
        <v>14</v>
      </c>
      <c r="AH1671" t="n">
        <v>4</v>
      </c>
      <c r="AI1671" t="n">
        <v>4</v>
      </c>
      <c r="AJ1671" t="n">
        <v>4</v>
      </c>
      <c r="AK1671" t="n">
        <v>4</v>
      </c>
      <c r="AL1671" t="n">
        <v>9</v>
      </c>
      <c r="AM1671" t="n">
        <v>9</v>
      </c>
      <c r="AN1671" t="n">
        <v>1</v>
      </c>
      <c r="AO1671" t="n">
        <v>1</v>
      </c>
      <c r="AP1671" t="n">
        <v>0</v>
      </c>
      <c r="AQ1671" t="n">
        <v>0</v>
      </c>
      <c r="AR1671" t="inlineStr">
        <is>
          <t>No</t>
        </is>
      </c>
      <c r="AS1671" t="inlineStr">
        <is>
          <t>No</t>
        </is>
      </c>
      <c r="AU1671">
        <f>HYPERLINK("https://creighton-primo.hosted.exlibrisgroup.com/primo-explore/search?tab=default_tab&amp;search_scope=EVERYTHING&amp;vid=01CRU&amp;lang=en_US&amp;offset=0&amp;query=any,contains,991004150899702656","Catalog Record")</f>
        <v/>
      </c>
      <c r="AV1671">
        <f>HYPERLINK("http://www.worldcat.org/oclc/44018976","WorldCat Record")</f>
        <v/>
      </c>
      <c r="AW1671" t="inlineStr">
        <is>
          <t>47791:eng</t>
        </is>
      </c>
      <c r="AX1671" t="inlineStr">
        <is>
          <t>44018976</t>
        </is>
      </c>
      <c r="AY1671" t="inlineStr">
        <is>
          <t>991004150899702656</t>
        </is>
      </c>
      <c r="AZ1671" t="inlineStr">
        <is>
          <t>991004150899702656</t>
        </is>
      </c>
      <c r="BA1671" t="inlineStr">
        <is>
          <t>2263153810002656</t>
        </is>
      </c>
      <c r="BB1671" t="inlineStr">
        <is>
          <t>BOOK</t>
        </is>
      </c>
      <c r="BD1671" t="inlineStr">
        <is>
          <t>9780631212850</t>
        </is>
      </c>
      <c r="BE1671" t="inlineStr">
        <is>
          <t>32285004797915</t>
        </is>
      </c>
      <c r="BF1671" t="inlineStr">
        <is>
          <t>893693587</t>
        </is>
      </c>
    </row>
    <row r="1672">
      <c r="A1672" t="inlineStr">
        <is>
          <t>No</t>
        </is>
      </c>
      <c r="B1672" t="inlineStr">
        <is>
          <t>CURAL</t>
        </is>
      </c>
      <c r="C1672" t="inlineStr">
        <is>
          <t>SHELVES</t>
        </is>
      </c>
      <c r="D1672" t="inlineStr">
        <is>
          <t>PR441 .E47</t>
        </is>
      </c>
      <c r="E1672" t="inlineStr">
        <is>
          <t>0                      PR 0441000E  47</t>
        </is>
      </c>
      <c r="F1672" t="inlineStr">
        <is>
          <t>The Eighteenth century / edited by Pat Rogers.</t>
        </is>
      </c>
      <c r="H1672" t="inlineStr">
        <is>
          <t>No</t>
        </is>
      </c>
      <c r="I1672" t="inlineStr">
        <is>
          <t>1</t>
        </is>
      </c>
      <c r="J1672" t="inlineStr">
        <is>
          <t>No</t>
        </is>
      </c>
      <c r="K1672" t="inlineStr">
        <is>
          <t>No</t>
        </is>
      </c>
      <c r="L1672" t="inlineStr">
        <is>
          <t>0</t>
        </is>
      </c>
      <c r="N1672" t="inlineStr">
        <is>
          <t>New York : Holmes &amp; Meier Publishers, 1978.</t>
        </is>
      </c>
      <c r="O1672" t="inlineStr">
        <is>
          <t>1978</t>
        </is>
      </c>
      <c r="Q1672" t="inlineStr">
        <is>
          <t>eng</t>
        </is>
      </c>
      <c r="R1672" t="inlineStr">
        <is>
          <t>nyu</t>
        </is>
      </c>
      <c r="S1672" t="inlineStr">
        <is>
          <t>The Context of English literature</t>
        </is>
      </c>
      <c r="T1672" t="inlineStr">
        <is>
          <t xml:space="preserve">PR </t>
        </is>
      </c>
      <c r="U1672" t="n">
        <v>21</v>
      </c>
      <c r="V1672" t="n">
        <v>21</v>
      </c>
      <c r="W1672" t="inlineStr">
        <is>
          <t>2004-09-07</t>
        </is>
      </c>
      <c r="X1672" t="inlineStr">
        <is>
          <t>2004-09-07</t>
        </is>
      </c>
      <c r="Y1672" t="inlineStr">
        <is>
          <t>1991-08-29</t>
        </is>
      </c>
      <c r="Z1672" t="inlineStr">
        <is>
          <t>1991-08-29</t>
        </is>
      </c>
      <c r="AA1672" t="n">
        <v>650</v>
      </c>
      <c r="AB1672" t="n">
        <v>588</v>
      </c>
      <c r="AC1672" t="n">
        <v>645</v>
      </c>
      <c r="AD1672" t="n">
        <v>4</v>
      </c>
      <c r="AE1672" t="n">
        <v>5</v>
      </c>
      <c r="AF1672" t="n">
        <v>24</v>
      </c>
      <c r="AG1672" t="n">
        <v>28</v>
      </c>
      <c r="AH1672" t="n">
        <v>7</v>
      </c>
      <c r="AI1672" t="n">
        <v>8</v>
      </c>
      <c r="AJ1672" t="n">
        <v>9</v>
      </c>
      <c r="AK1672" t="n">
        <v>10</v>
      </c>
      <c r="AL1672" t="n">
        <v>12</v>
      </c>
      <c r="AM1672" t="n">
        <v>14</v>
      </c>
      <c r="AN1672" t="n">
        <v>3</v>
      </c>
      <c r="AO1672" t="n">
        <v>4</v>
      </c>
      <c r="AP1672" t="n">
        <v>0</v>
      </c>
      <c r="AQ1672" t="n">
        <v>0</v>
      </c>
      <c r="AR1672" t="inlineStr">
        <is>
          <t>No</t>
        </is>
      </c>
      <c r="AS1672" t="inlineStr">
        <is>
          <t>Yes</t>
        </is>
      </c>
      <c r="AT1672">
        <f>HYPERLINK("http://catalog.hathitrust.org/Record/000178913","HathiTrust Record")</f>
        <v/>
      </c>
      <c r="AU1672">
        <f>HYPERLINK("https://creighton-primo.hosted.exlibrisgroup.com/primo-explore/search?tab=default_tab&amp;search_scope=EVERYTHING&amp;vid=01CRU&amp;lang=en_US&amp;offset=0&amp;query=any,contains,991004583989702656","Catalog Record")</f>
        <v/>
      </c>
      <c r="AV1672">
        <f>HYPERLINK("http://www.worldcat.org/oclc/4076542","WorldCat Record")</f>
        <v/>
      </c>
      <c r="AW1672" t="inlineStr">
        <is>
          <t>155201715:eng</t>
        </is>
      </c>
      <c r="AX1672" t="inlineStr">
        <is>
          <t>4076542</t>
        </is>
      </c>
      <c r="AY1672" t="inlineStr">
        <is>
          <t>991004583989702656</t>
        </is>
      </c>
      <c r="AZ1672" t="inlineStr">
        <is>
          <t>991004583989702656</t>
        </is>
      </c>
      <c r="BA1672" t="inlineStr">
        <is>
          <t>2262932460002656</t>
        </is>
      </c>
      <c r="BB1672" t="inlineStr">
        <is>
          <t>BOOK</t>
        </is>
      </c>
      <c r="BD1672" t="inlineStr">
        <is>
          <t>9780841904217</t>
        </is>
      </c>
      <c r="BE1672" t="inlineStr">
        <is>
          <t>32285000731553</t>
        </is>
      </c>
      <c r="BF1672" t="inlineStr">
        <is>
          <t>893331794</t>
        </is>
      </c>
    </row>
    <row r="1673">
      <c r="A1673" t="inlineStr">
        <is>
          <t>No</t>
        </is>
      </c>
      <c r="B1673" t="inlineStr">
        <is>
          <t>CURAL</t>
        </is>
      </c>
      <c r="C1673" t="inlineStr">
        <is>
          <t>SHELVES</t>
        </is>
      </c>
      <c r="D1673" t="inlineStr">
        <is>
          <t>PR441 .P7 1965</t>
        </is>
      </c>
      <c r="E1673" t="inlineStr">
        <is>
          <t>0                      PR 0441000P  7           1965</t>
        </is>
      </c>
      <c r="F1673" t="inlineStr">
        <is>
          <t>To the palace of wisdom : studies in order and energy from Dryden to Blake / by Martin Price.</t>
        </is>
      </c>
      <c r="H1673" t="inlineStr">
        <is>
          <t>No</t>
        </is>
      </c>
      <c r="I1673" t="inlineStr">
        <is>
          <t>1</t>
        </is>
      </c>
      <c r="J1673" t="inlineStr">
        <is>
          <t>No</t>
        </is>
      </c>
      <c r="K1673" t="inlineStr">
        <is>
          <t>No</t>
        </is>
      </c>
      <c r="L1673" t="inlineStr">
        <is>
          <t>0</t>
        </is>
      </c>
      <c r="M1673" t="inlineStr">
        <is>
          <t>Price, Martin, 1920-2010.</t>
        </is>
      </c>
      <c r="N1673" t="inlineStr">
        <is>
          <t>Garden City, N.Y. : Doubleday, 1965, c1964.</t>
        </is>
      </c>
      <c r="O1673" t="inlineStr">
        <is>
          <t>1965</t>
        </is>
      </c>
      <c r="P1673" t="inlineStr">
        <is>
          <t>Anchor books ed.</t>
        </is>
      </c>
      <c r="Q1673" t="inlineStr">
        <is>
          <t>eng</t>
        </is>
      </c>
      <c r="R1673" t="inlineStr">
        <is>
          <t>nyu</t>
        </is>
      </c>
      <c r="S1673" t="inlineStr">
        <is>
          <t>Anchor Books</t>
        </is>
      </c>
      <c r="T1673" t="inlineStr">
        <is>
          <t xml:space="preserve">PR </t>
        </is>
      </c>
      <c r="U1673" t="n">
        <v>1</v>
      </c>
      <c r="V1673" t="n">
        <v>1</v>
      </c>
      <c r="W1673" t="inlineStr">
        <is>
          <t>2004-12-15</t>
        </is>
      </c>
      <c r="X1673" t="inlineStr">
        <is>
          <t>2004-12-15</t>
        </is>
      </c>
      <c r="Y1673" t="inlineStr">
        <is>
          <t>2004-12-15</t>
        </is>
      </c>
      <c r="Z1673" t="inlineStr">
        <is>
          <t>2004-12-15</t>
        </is>
      </c>
      <c r="AA1673" t="n">
        <v>66</v>
      </c>
      <c r="AB1673" t="n">
        <v>59</v>
      </c>
      <c r="AC1673" t="n">
        <v>807</v>
      </c>
      <c r="AD1673" t="n">
        <v>2</v>
      </c>
      <c r="AE1673" t="n">
        <v>7</v>
      </c>
      <c r="AF1673" t="n">
        <v>3</v>
      </c>
      <c r="AG1673" t="n">
        <v>35</v>
      </c>
      <c r="AH1673" t="n">
        <v>2</v>
      </c>
      <c r="AI1673" t="n">
        <v>10</v>
      </c>
      <c r="AJ1673" t="n">
        <v>1</v>
      </c>
      <c r="AK1673" t="n">
        <v>9</v>
      </c>
      <c r="AL1673" t="n">
        <v>0</v>
      </c>
      <c r="AM1673" t="n">
        <v>18</v>
      </c>
      <c r="AN1673" t="n">
        <v>0</v>
      </c>
      <c r="AO1673" t="n">
        <v>5</v>
      </c>
      <c r="AP1673" t="n">
        <v>0</v>
      </c>
      <c r="AQ1673" t="n">
        <v>0</v>
      </c>
      <c r="AR1673" t="inlineStr">
        <is>
          <t>No</t>
        </is>
      </c>
      <c r="AS1673" t="inlineStr">
        <is>
          <t>No</t>
        </is>
      </c>
      <c r="AU1673">
        <f>HYPERLINK("https://creighton-primo.hosted.exlibrisgroup.com/primo-explore/search?tab=default_tab&amp;search_scope=EVERYTHING&amp;vid=01CRU&amp;lang=en_US&amp;offset=0&amp;query=any,contains,991004438919702656","Catalog Record")</f>
        <v/>
      </c>
      <c r="AV1673">
        <f>HYPERLINK("http://www.worldcat.org/oclc/2630778","WorldCat Record")</f>
        <v/>
      </c>
      <c r="AW1673" t="inlineStr">
        <is>
          <t>1332282:eng</t>
        </is>
      </c>
      <c r="AX1673" t="inlineStr">
        <is>
          <t>2630778</t>
        </is>
      </c>
      <c r="AY1673" t="inlineStr">
        <is>
          <t>991004438919702656</t>
        </is>
      </c>
      <c r="AZ1673" t="inlineStr">
        <is>
          <t>991004438919702656</t>
        </is>
      </c>
      <c r="BA1673" t="inlineStr">
        <is>
          <t>2255682700002656</t>
        </is>
      </c>
      <c r="BB1673" t="inlineStr">
        <is>
          <t>BOOK</t>
        </is>
      </c>
      <c r="BE1673" t="inlineStr">
        <is>
          <t>32285005017396</t>
        </is>
      </c>
      <c r="BF1673" t="inlineStr">
        <is>
          <t>893526100</t>
        </is>
      </c>
    </row>
    <row r="1674">
      <c r="A1674" t="inlineStr">
        <is>
          <t>No</t>
        </is>
      </c>
      <c r="B1674" t="inlineStr">
        <is>
          <t>CURAL</t>
        </is>
      </c>
      <c r="C1674" t="inlineStr">
        <is>
          <t>SHELVES</t>
        </is>
      </c>
      <c r="D1674" t="inlineStr">
        <is>
          <t>PR441 .R6</t>
        </is>
      </c>
      <c r="E1674" t="inlineStr">
        <is>
          <t>0                      PR 0441000R  6</t>
        </is>
      </c>
      <c r="F1674" t="inlineStr">
        <is>
          <t>The Augustan vision / Pat Rogers.</t>
        </is>
      </c>
      <c r="H1674" t="inlineStr">
        <is>
          <t>No</t>
        </is>
      </c>
      <c r="I1674" t="inlineStr">
        <is>
          <t>1</t>
        </is>
      </c>
      <c r="J1674" t="inlineStr">
        <is>
          <t>No</t>
        </is>
      </c>
      <c r="K1674" t="inlineStr">
        <is>
          <t>No</t>
        </is>
      </c>
      <c r="L1674" t="inlineStr">
        <is>
          <t>0</t>
        </is>
      </c>
      <c r="M1674" t="inlineStr">
        <is>
          <t>Rogers, Pat, 1938-</t>
        </is>
      </c>
      <c r="N1674" t="inlineStr">
        <is>
          <t>New York : Barnes &amp; Noble Books, 1974.</t>
        </is>
      </c>
      <c r="O1674" t="inlineStr">
        <is>
          <t>1974</t>
        </is>
      </c>
      <c r="Q1674" t="inlineStr">
        <is>
          <t>eng</t>
        </is>
      </c>
      <c r="R1674" t="inlineStr">
        <is>
          <t>nyu</t>
        </is>
      </c>
      <c r="T1674" t="inlineStr">
        <is>
          <t xml:space="preserve">PR </t>
        </is>
      </c>
      <c r="U1674" t="n">
        <v>1</v>
      </c>
      <c r="V1674" t="n">
        <v>1</v>
      </c>
      <c r="W1674" t="inlineStr">
        <is>
          <t>2001-04-12</t>
        </is>
      </c>
      <c r="X1674" t="inlineStr">
        <is>
          <t>2001-04-12</t>
        </is>
      </c>
      <c r="Y1674" t="inlineStr">
        <is>
          <t>1997-08-21</t>
        </is>
      </c>
      <c r="Z1674" t="inlineStr">
        <is>
          <t>1997-08-21</t>
        </is>
      </c>
      <c r="AA1674" t="n">
        <v>310</v>
      </c>
      <c r="AB1674" t="n">
        <v>288</v>
      </c>
      <c r="AC1674" t="n">
        <v>332</v>
      </c>
      <c r="AD1674" t="n">
        <v>3</v>
      </c>
      <c r="AE1674" t="n">
        <v>3</v>
      </c>
      <c r="AF1674" t="n">
        <v>16</v>
      </c>
      <c r="AG1674" t="n">
        <v>16</v>
      </c>
      <c r="AH1674" t="n">
        <v>5</v>
      </c>
      <c r="AI1674" t="n">
        <v>5</v>
      </c>
      <c r="AJ1674" t="n">
        <v>5</v>
      </c>
      <c r="AK1674" t="n">
        <v>5</v>
      </c>
      <c r="AL1674" t="n">
        <v>9</v>
      </c>
      <c r="AM1674" t="n">
        <v>9</v>
      </c>
      <c r="AN1674" t="n">
        <v>2</v>
      </c>
      <c r="AO1674" t="n">
        <v>2</v>
      </c>
      <c r="AP1674" t="n">
        <v>0</v>
      </c>
      <c r="AQ1674" t="n">
        <v>0</v>
      </c>
      <c r="AR1674" t="inlineStr">
        <is>
          <t>No</t>
        </is>
      </c>
      <c r="AS1674" t="inlineStr">
        <is>
          <t>No</t>
        </is>
      </c>
      <c r="AU1674">
        <f>HYPERLINK("https://creighton-primo.hosted.exlibrisgroup.com/primo-explore/search?tab=default_tab&amp;search_scope=EVERYTHING&amp;vid=01CRU&amp;lang=en_US&amp;offset=0&amp;query=any,contains,991003619379702656","Catalog Record")</f>
        <v/>
      </c>
      <c r="AV1674">
        <f>HYPERLINK("http://www.worldcat.org/oclc/1205934","WorldCat Record")</f>
        <v/>
      </c>
      <c r="AW1674" t="inlineStr">
        <is>
          <t>478661:eng</t>
        </is>
      </c>
      <c r="AX1674" t="inlineStr">
        <is>
          <t>1205934</t>
        </is>
      </c>
      <c r="AY1674" t="inlineStr">
        <is>
          <t>991003619379702656</t>
        </is>
      </c>
      <c r="AZ1674" t="inlineStr">
        <is>
          <t>991003619379702656</t>
        </is>
      </c>
      <c r="BA1674" t="inlineStr">
        <is>
          <t>2269770790002656</t>
        </is>
      </c>
      <c r="BB1674" t="inlineStr">
        <is>
          <t>BOOK</t>
        </is>
      </c>
      <c r="BD1674" t="inlineStr">
        <is>
          <t>9780064959575</t>
        </is>
      </c>
      <c r="BE1674" t="inlineStr">
        <is>
          <t>32285003151643</t>
        </is>
      </c>
      <c r="BF1674" t="inlineStr">
        <is>
          <t>893781201</t>
        </is>
      </c>
    </row>
    <row r="1675">
      <c r="A1675" t="inlineStr">
        <is>
          <t>No</t>
        </is>
      </c>
      <c r="B1675" t="inlineStr">
        <is>
          <t>CURAL</t>
        </is>
      </c>
      <c r="C1675" t="inlineStr">
        <is>
          <t>SHELVES</t>
        </is>
      </c>
      <c r="D1675" t="inlineStr">
        <is>
          <t>PR441 .S33 1986</t>
        </is>
      </c>
      <c r="E1675" t="inlineStr">
        <is>
          <t>0                      PR 0441000S  33          1986</t>
        </is>
      </c>
      <c r="F1675" t="inlineStr">
        <is>
          <t>The eighteenth century--the intellectual and cultural context of English literature, 1700-1789 / James Sambrook.</t>
        </is>
      </c>
      <c r="H1675" t="inlineStr">
        <is>
          <t>No</t>
        </is>
      </c>
      <c r="I1675" t="inlineStr">
        <is>
          <t>1</t>
        </is>
      </c>
      <c r="J1675" t="inlineStr">
        <is>
          <t>No</t>
        </is>
      </c>
      <c r="K1675" t="inlineStr">
        <is>
          <t>No</t>
        </is>
      </c>
      <c r="L1675" t="inlineStr">
        <is>
          <t>0</t>
        </is>
      </c>
      <c r="M1675" t="inlineStr">
        <is>
          <t>Sambrook, James.</t>
        </is>
      </c>
      <c r="N1675" t="inlineStr">
        <is>
          <t>London ; New York : Longman, 1986.</t>
        </is>
      </c>
      <c r="O1675" t="inlineStr">
        <is>
          <t>1986</t>
        </is>
      </c>
      <c r="Q1675" t="inlineStr">
        <is>
          <t>eng</t>
        </is>
      </c>
      <c r="R1675" t="inlineStr">
        <is>
          <t>enk</t>
        </is>
      </c>
      <c r="S1675" t="inlineStr">
        <is>
          <t>Longman literature in English series</t>
        </is>
      </c>
      <c r="T1675" t="inlineStr">
        <is>
          <t xml:space="preserve">PR </t>
        </is>
      </c>
      <c r="U1675" t="n">
        <v>15</v>
      </c>
      <c r="V1675" t="n">
        <v>15</v>
      </c>
      <c r="W1675" t="inlineStr">
        <is>
          <t>2004-09-07</t>
        </is>
      </c>
      <c r="X1675" t="inlineStr">
        <is>
          <t>2004-09-07</t>
        </is>
      </c>
      <c r="Y1675" t="inlineStr">
        <is>
          <t>1991-08-29</t>
        </is>
      </c>
      <c r="Z1675" t="inlineStr">
        <is>
          <t>1991-08-29</t>
        </is>
      </c>
      <c r="AA1675" t="n">
        <v>715</v>
      </c>
      <c r="AB1675" t="n">
        <v>532</v>
      </c>
      <c r="AC1675" t="n">
        <v>659</v>
      </c>
      <c r="AD1675" t="n">
        <v>5</v>
      </c>
      <c r="AE1675" t="n">
        <v>6</v>
      </c>
      <c r="AF1675" t="n">
        <v>27</v>
      </c>
      <c r="AG1675" t="n">
        <v>36</v>
      </c>
      <c r="AH1675" t="n">
        <v>11</v>
      </c>
      <c r="AI1675" t="n">
        <v>17</v>
      </c>
      <c r="AJ1675" t="n">
        <v>6</v>
      </c>
      <c r="AK1675" t="n">
        <v>7</v>
      </c>
      <c r="AL1675" t="n">
        <v>13</v>
      </c>
      <c r="AM1675" t="n">
        <v>17</v>
      </c>
      <c r="AN1675" t="n">
        <v>4</v>
      </c>
      <c r="AO1675" t="n">
        <v>5</v>
      </c>
      <c r="AP1675" t="n">
        <v>0</v>
      </c>
      <c r="AQ1675" t="n">
        <v>0</v>
      </c>
      <c r="AR1675" t="inlineStr">
        <is>
          <t>No</t>
        </is>
      </c>
      <c r="AS1675" t="inlineStr">
        <is>
          <t>Yes</t>
        </is>
      </c>
      <c r="AT1675">
        <f>HYPERLINK("http://catalog.hathitrust.org/Record/000669455","HathiTrust Record")</f>
        <v/>
      </c>
      <c r="AU1675">
        <f>HYPERLINK("https://creighton-primo.hosted.exlibrisgroup.com/primo-explore/search?tab=default_tab&amp;search_scope=EVERYTHING&amp;vid=01CRU&amp;lang=en_US&amp;offset=0&amp;query=any,contains,991000558039702656","Catalog Record")</f>
        <v/>
      </c>
      <c r="AV1675">
        <f>HYPERLINK("http://www.worldcat.org/oclc/11573457","WorldCat Record")</f>
        <v/>
      </c>
      <c r="AW1675" t="inlineStr">
        <is>
          <t>287274811:eng</t>
        </is>
      </c>
      <c r="AX1675" t="inlineStr">
        <is>
          <t>11573457</t>
        </is>
      </c>
      <c r="AY1675" t="inlineStr">
        <is>
          <t>991000558039702656</t>
        </is>
      </c>
      <c r="AZ1675" t="inlineStr">
        <is>
          <t>991000558039702656</t>
        </is>
      </c>
      <c r="BA1675" t="inlineStr">
        <is>
          <t>2263028280002656</t>
        </is>
      </c>
      <c r="BB1675" t="inlineStr">
        <is>
          <t>BOOK</t>
        </is>
      </c>
      <c r="BD1675" t="inlineStr">
        <is>
          <t>9780582493056</t>
        </is>
      </c>
      <c r="BE1675" t="inlineStr">
        <is>
          <t>32285000731579</t>
        </is>
      </c>
      <c r="BF1675" t="inlineStr">
        <is>
          <t>893683535</t>
        </is>
      </c>
    </row>
    <row r="1676">
      <c r="A1676" t="inlineStr">
        <is>
          <t>No</t>
        </is>
      </c>
      <c r="B1676" t="inlineStr">
        <is>
          <t>CURAL</t>
        </is>
      </c>
      <c r="C1676" t="inlineStr">
        <is>
          <t>SHELVES</t>
        </is>
      </c>
      <c r="D1676" t="inlineStr">
        <is>
          <t>PR4417 .S9 1983</t>
        </is>
      </c>
      <c r="E1676" t="inlineStr">
        <is>
          <t>0                      PR 4417000S  9           1983</t>
        </is>
      </c>
      <c r="F1676" t="inlineStr">
        <is>
          <t>William Carleton / by Eileen A. Sullivan.</t>
        </is>
      </c>
      <c r="H1676" t="inlineStr">
        <is>
          <t>No</t>
        </is>
      </c>
      <c r="I1676" t="inlineStr">
        <is>
          <t>1</t>
        </is>
      </c>
      <c r="J1676" t="inlineStr">
        <is>
          <t>No</t>
        </is>
      </c>
      <c r="K1676" t="inlineStr">
        <is>
          <t>No</t>
        </is>
      </c>
      <c r="L1676" t="inlineStr">
        <is>
          <t>0</t>
        </is>
      </c>
      <c r="M1676" t="inlineStr">
        <is>
          <t>Sullivan, Eileen A.</t>
        </is>
      </c>
      <c r="N1676" t="inlineStr">
        <is>
          <t>Boston : Twayne Publishers, c1983.</t>
        </is>
      </c>
      <c r="O1676" t="inlineStr">
        <is>
          <t>1983</t>
        </is>
      </c>
      <c r="Q1676" t="inlineStr">
        <is>
          <t>eng</t>
        </is>
      </c>
      <c r="R1676" t="inlineStr">
        <is>
          <t>mau</t>
        </is>
      </c>
      <c r="S1676" t="inlineStr">
        <is>
          <t>Twayne's English authors series ; TEAS 376</t>
        </is>
      </c>
      <c r="T1676" t="inlineStr">
        <is>
          <t xml:space="preserve">PR </t>
        </is>
      </c>
      <c r="U1676" t="n">
        <v>9</v>
      </c>
      <c r="V1676" t="n">
        <v>9</v>
      </c>
      <c r="W1676" t="inlineStr">
        <is>
          <t>2000-03-01</t>
        </is>
      </c>
      <c r="X1676" t="inlineStr">
        <is>
          <t>2000-03-01</t>
        </is>
      </c>
      <c r="Y1676" t="inlineStr">
        <is>
          <t>1991-11-05</t>
        </is>
      </c>
      <c r="Z1676" t="inlineStr">
        <is>
          <t>1991-11-05</t>
        </is>
      </c>
      <c r="AA1676" t="n">
        <v>403</v>
      </c>
      <c r="AB1676" t="n">
        <v>350</v>
      </c>
      <c r="AC1676" t="n">
        <v>357</v>
      </c>
      <c r="AD1676" t="n">
        <v>5</v>
      </c>
      <c r="AE1676" t="n">
        <v>5</v>
      </c>
      <c r="AF1676" t="n">
        <v>19</v>
      </c>
      <c r="AG1676" t="n">
        <v>19</v>
      </c>
      <c r="AH1676" t="n">
        <v>6</v>
      </c>
      <c r="AI1676" t="n">
        <v>6</v>
      </c>
      <c r="AJ1676" t="n">
        <v>4</v>
      </c>
      <c r="AK1676" t="n">
        <v>4</v>
      </c>
      <c r="AL1676" t="n">
        <v>12</v>
      </c>
      <c r="AM1676" t="n">
        <v>12</v>
      </c>
      <c r="AN1676" t="n">
        <v>4</v>
      </c>
      <c r="AO1676" t="n">
        <v>4</v>
      </c>
      <c r="AP1676" t="n">
        <v>0</v>
      </c>
      <c r="AQ1676" t="n">
        <v>0</v>
      </c>
      <c r="AR1676" t="inlineStr">
        <is>
          <t>No</t>
        </is>
      </c>
      <c r="AS1676" t="inlineStr">
        <is>
          <t>Yes</t>
        </is>
      </c>
      <c r="AT1676">
        <f>HYPERLINK("http://catalog.hathitrust.org/Record/000160364","HathiTrust Record")</f>
        <v/>
      </c>
      <c r="AU1676">
        <f>HYPERLINK("https://creighton-primo.hosted.exlibrisgroup.com/primo-explore/search?tab=default_tab&amp;search_scope=EVERYTHING&amp;vid=01CRU&amp;lang=en_US&amp;offset=0&amp;query=any,contains,991000233599702656","Catalog Record")</f>
        <v/>
      </c>
      <c r="AV1676">
        <f>HYPERLINK("http://www.worldcat.org/oclc/9645657","WorldCat Record")</f>
        <v/>
      </c>
      <c r="AW1676" t="inlineStr">
        <is>
          <t>43729257:eng</t>
        </is>
      </c>
      <c r="AX1676" t="inlineStr">
        <is>
          <t>9645657</t>
        </is>
      </c>
      <c r="AY1676" t="inlineStr">
        <is>
          <t>991000233599702656</t>
        </is>
      </c>
      <c r="AZ1676" t="inlineStr">
        <is>
          <t>991000233599702656</t>
        </is>
      </c>
      <c r="BA1676" t="inlineStr">
        <is>
          <t>2269607230002656</t>
        </is>
      </c>
      <c r="BB1676" t="inlineStr">
        <is>
          <t>BOOK</t>
        </is>
      </c>
      <c r="BD1676" t="inlineStr">
        <is>
          <t>9780805768626</t>
        </is>
      </c>
      <c r="BE1676" t="inlineStr">
        <is>
          <t>32285000796341</t>
        </is>
      </c>
      <c r="BF1676" t="inlineStr">
        <is>
          <t>893314792</t>
        </is>
      </c>
    </row>
    <row r="1677">
      <c r="A1677" t="inlineStr">
        <is>
          <t>No</t>
        </is>
      </c>
      <c r="B1677" t="inlineStr">
        <is>
          <t>CURAL</t>
        </is>
      </c>
      <c r="C1677" t="inlineStr">
        <is>
          <t>SHELVES</t>
        </is>
      </c>
      <c r="D1677" t="inlineStr">
        <is>
          <t>PR4417 .W6</t>
        </is>
      </c>
      <c r="E1677" t="inlineStr">
        <is>
          <t>0                      PR 4417000W  6</t>
        </is>
      </c>
      <c r="F1677" t="inlineStr">
        <is>
          <t>William Carleton, Irish peasant novelist : a preface to his fiction / Robert Lee Wolff.</t>
        </is>
      </c>
      <c r="H1677" t="inlineStr">
        <is>
          <t>No</t>
        </is>
      </c>
      <c r="I1677" t="inlineStr">
        <is>
          <t>1</t>
        </is>
      </c>
      <c r="J1677" t="inlineStr">
        <is>
          <t>No</t>
        </is>
      </c>
      <c r="K1677" t="inlineStr">
        <is>
          <t>No</t>
        </is>
      </c>
      <c r="L1677" t="inlineStr">
        <is>
          <t>0</t>
        </is>
      </c>
      <c r="M1677" t="inlineStr">
        <is>
          <t>Wolff, Robert Lee.</t>
        </is>
      </c>
      <c r="N1677" t="inlineStr">
        <is>
          <t>New York : Garland Pub., 1980.</t>
        </is>
      </c>
      <c r="O1677" t="inlineStr">
        <is>
          <t>1980</t>
        </is>
      </c>
      <c r="Q1677" t="inlineStr">
        <is>
          <t>eng</t>
        </is>
      </c>
      <c r="R1677" t="inlineStr">
        <is>
          <t>nyu</t>
        </is>
      </c>
      <c r="T1677" t="inlineStr">
        <is>
          <t xml:space="preserve">PR </t>
        </is>
      </c>
      <c r="U1677" t="n">
        <v>10</v>
      </c>
      <c r="V1677" t="n">
        <v>10</v>
      </c>
      <c r="W1677" t="inlineStr">
        <is>
          <t>2000-03-01</t>
        </is>
      </c>
      <c r="X1677" t="inlineStr">
        <is>
          <t>2000-03-01</t>
        </is>
      </c>
      <c r="Y1677" t="inlineStr">
        <is>
          <t>1991-11-05</t>
        </is>
      </c>
      <c r="Z1677" t="inlineStr">
        <is>
          <t>1991-11-05</t>
        </is>
      </c>
      <c r="AA1677" t="n">
        <v>198</v>
      </c>
      <c r="AB1677" t="n">
        <v>158</v>
      </c>
      <c r="AC1677" t="n">
        <v>170</v>
      </c>
      <c r="AD1677" t="n">
        <v>3</v>
      </c>
      <c r="AE1677" t="n">
        <v>3</v>
      </c>
      <c r="AF1677" t="n">
        <v>10</v>
      </c>
      <c r="AG1677" t="n">
        <v>10</v>
      </c>
      <c r="AH1677" t="n">
        <v>3</v>
      </c>
      <c r="AI1677" t="n">
        <v>3</v>
      </c>
      <c r="AJ1677" t="n">
        <v>4</v>
      </c>
      <c r="AK1677" t="n">
        <v>4</v>
      </c>
      <c r="AL1677" t="n">
        <v>4</v>
      </c>
      <c r="AM1677" t="n">
        <v>4</v>
      </c>
      <c r="AN1677" t="n">
        <v>2</v>
      </c>
      <c r="AO1677" t="n">
        <v>2</v>
      </c>
      <c r="AP1677" t="n">
        <v>0</v>
      </c>
      <c r="AQ1677" t="n">
        <v>0</v>
      </c>
      <c r="AR1677" t="inlineStr">
        <is>
          <t>No</t>
        </is>
      </c>
      <c r="AS1677" t="inlineStr">
        <is>
          <t>Yes</t>
        </is>
      </c>
      <c r="AT1677">
        <f>HYPERLINK("http://catalog.hathitrust.org/Record/000265258","HathiTrust Record")</f>
        <v/>
      </c>
      <c r="AU1677">
        <f>HYPERLINK("https://creighton-primo.hosted.exlibrisgroup.com/primo-explore/search?tab=default_tab&amp;search_scope=EVERYTHING&amp;vid=01CRU&amp;lang=en_US&amp;offset=0&amp;query=any,contains,991004721469702656","Catalog Record")</f>
        <v/>
      </c>
      <c r="AV1677">
        <f>HYPERLINK("http://www.worldcat.org/oclc/4804625","WorldCat Record")</f>
        <v/>
      </c>
      <c r="AW1677" t="inlineStr">
        <is>
          <t>375256988:eng</t>
        </is>
      </c>
      <c r="AX1677" t="inlineStr">
        <is>
          <t>4804625</t>
        </is>
      </c>
      <c r="AY1677" t="inlineStr">
        <is>
          <t>991004721469702656</t>
        </is>
      </c>
      <c r="AZ1677" t="inlineStr">
        <is>
          <t>991004721469702656</t>
        </is>
      </c>
      <c r="BA1677" t="inlineStr">
        <is>
          <t>2270223360002656</t>
        </is>
      </c>
      <c r="BB1677" t="inlineStr">
        <is>
          <t>BOOK</t>
        </is>
      </c>
      <c r="BD1677" t="inlineStr">
        <is>
          <t>9780824035273</t>
        </is>
      </c>
      <c r="BE1677" t="inlineStr">
        <is>
          <t>32285000796358</t>
        </is>
      </c>
      <c r="BF1677" t="inlineStr">
        <is>
          <t>893500885</t>
        </is>
      </c>
    </row>
    <row r="1678">
      <c r="A1678" t="inlineStr">
        <is>
          <t>No</t>
        </is>
      </c>
      <c r="B1678" t="inlineStr">
        <is>
          <t>CURAL</t>
        </is>
      </c>
      <c r="C1678" t="inlineStr">
        <is>
          <t>SHELVES</t>
        </is>
      </c>
      <c r="D1678" t="inlineStr">
        <is>
          <t>PR442 .A3 1980</t>
        </is>
      </c>
      <c r="E1678" t="inlineStr">
        <is>
          <t>0                      PR 0442000A  3           1980</t>
        </is>
      </c>
      <c r="F1678" t="inlineStr">
        <is>
          <t>Addison and Steele, the critical heritage / edited by Edward A. Bloom and Lillian D. Bloom.</t>
        </is>
      </c>
      <c r="H1678" t="inlineStr">
        <is>
          <t>No</t>
        </is>
      </c>
      <c r="I1678" t="inlineStr">
        <is>
          <t>1</t>
        </is>
      </c>
      <c r="J1678" t="inlineStr">
        <is>
          <t>No</t>
        </is>
      </c>
      <c r="K1678" t="inlineStr">
        <is>
          <t>No</t>
        </is>
      </c>
      <c r="L1678" t="inlineStr">
        <is>
          <t>0</t>
        </is>
      </c>
      <c r="N1678" t="inlineStr">
        <is>
          <t>London ; Boston : Routledge &amp; K. Paul, 1980.</t>
        </is>
      </c>
      <c r="O1678" t="inlineStr">
        <is>
          <t>1980</t>
        </is>
      </c>
      <c r="Q1678" t="inlineStr">
        <is>
          <t>eng</t>
        </is>
      </c>
      <c r="R1678" t="inlineStr">
        <is>
          <t>enk</t>
        </is>
      </c>
      <c r="S1678" t="inlineStr">
        <is>
          <t>Critical heritage series</t>
        </is>
      </c>
      <c r="T1678" t="inlineStr">
        <is>
          <t xml:space="preserve">PR </t>
        </is>
      </c>
      <c r="U1678" t="n">
        <v>1</v>
      </c>
      <c r="V1678" t="n">
        <v>1</v>
      </c>
      <c r="W1678" t="inlineStr">
        <is>
          <t>2006-11-16</t>
        </is>
      </c>
      <c r="X1678" t="inlineStr">
        <is>
          <t>2006-11-16</t>
        </is>
      </c>
      <c r="Y1678" t="inlineStr">
        <is>
          <t>2006-11-16</t>
        </is>
      </c>
      <c r="Z1678" t="inlineStr">
        <is>
          <t>2006-11-16</t>
        </is>
      </c>
      <c r="AA1678" t="n">
        <v>619</v>
      </c>
      <c r="AB1678" t="n">
        <v>436</v>
      </c>
      <c r="AC1678" t="n">
        <v>444</v>
      </c>
      <c r="AD1678" t="n">
        <v>3</v>
      </c>
      <c r="AE1678" t="n">
        <v>3</v>
      </c>
      <c r="AF1678" t="n">
        <v>21</v>
      </c>
      <c r="AG1678" t="n">
        <v>21</v>
      </c>
      <c r="AH1678" t="n">
        <v>6</v>
      </c>
      <c r="AI1678" t="n">
        <v>6</v>
      </c>
      <c r="AJ1678" t="n">
        <v>7</v>
      </c>
      <c r="AK1678" t="n">
        <v>7</v>
      </c>
      <c r="AL1678" t="n">
        <v>10</v>
      </c>
      <c r="AM1678" t="n">
        <v>10</v>
      </c>
      <c r="AN1678" t="n">
        <v>2</v>
      </c>
      <c r="AO1678" t="n">
        <v>2</v>
      </c>
      <c r="AP1678" t="n">
        <v>0</v>
      </c>
      <c r="AQ1678" t="n">
        <v>0</v>
      </c>
      <c r="AR1678" t="inlineStr">
        <is>
          <t>No</t>
        </is>
      </c>
      <c r="AS1678" t="inlineStr">
        <is>
          <t>Yes</t>
        </is>
      </c>
      <c r="AT1678">
        <f>HYPERLINK("http://catalog.hathitrust.org/Record/000694071","HathiTrust Record")</f>
        <v/>
      </c>
      <c r="AU1678">
        <f>HYPERLINK("https://creighton-primo.hosted.exlibrisgroup.com/primo-explore/search?tab=default_tab&amp;search_scope=EVERYTHING&amp;vid=01CRU&amp;lang=en_US&amp;offset=0&amp;query=any,contains,991004983989702656","Catalog Record")</f>
        <v/>
      </c>
      <c r="AV1678">
        <f>HYPERLINK("http://www.worldcat.org/oclc/6762541","WorldCat Record")</f>
        <v/>
      </c>
      <c r="AW1678" t="inlineStr">
        <is>
          <t>3856216791:eng</t>
        </is>
      </c>
      <c r="AX1678" t="inlineStr">
        <is>
          <t>6762541</t>
        </is>
      </c>
      <c r="AY1678" t="inlineStr">
        <is>
          <t>991004983989702656</t>
        </is>
      </c>
      <c r="AZ1678" t="inlineStr">
        <is>
          <t>991004983989702656</t>
        </is>
      </c>
      <c r="BA1678" t="inlineStr">
        <is>
          <t>2262855380002656</t>
        </is>
      </c>
      <c r="BB1678" t="inlineStr">
        <is>
          <t>BOOK</t>
        </is>
      </c>
      <c r="BD1678" t="inlineStr">
        <is>
          <t>9780710003751</t>
        </is>
      </c>
      <c r="BE1678" t="inlineStr">
        <is>
          <t>32285005260244</t>
        </is>
      </c>
      <c r="BF1678" t="inlineStr">
        <is>
          <t>893338341</t>
        </is>
      </c>
    </row>
    <row r="1679">
      <c r="A1679" t="inlineStr">
        <is>
          <t>No</t>
        </is>
      </c>
      <c r="B1679" t="inlineStr">
        <is>
          <t>CURAL</t>
        </is>
      </c>
      <c r="C1679" t="inlineStr">
        <is>
          <t>SHELVES</t>
        </is>
      </c>
      <c r="D1679" t="inlineStr">
        <is>
          <t>PR442 .B57 1982</t>
        </is>
      </c>
      <c r="E1679" t="inlineStr">
        <is>
          <t>0                      PR 0442000B  57          1982</t>
        </is>
      </c>
      <c r="F1679" t="inlineStr">
        <is>
          <t>Books and their readers in eighteenth-century England / edited by Isabel Rivers.</t>
        </is>
      </c>
      <c r="H1679" t="inlineStr">
        <is>
          <t>No</t>
        </is>
      </c>
      <c r="I1679" t="inlineStr">
        <is>
          <t>1</t>
        </is>
      </c>
      <c r="J1679" t="inlineStr">
        <is>
          <t>No</t>
        </is>
      </c>
      <c r="K1679" t="inlineStr">
        <is>
          <t>No</t>
        </is>
      </c>
      <c r="L1679" t="inlineStr">
        <is>
          <t>0</t>
        </is>
      </c>
      <c r="N1679" t="inlineStr">
        <is>
          <t>[Leicester, Leicestershire] : Leicester University Press ; New York : St. Martin's Press, 1982.</t>
        </is>
      </c>
      <c r="O1679" t="inlineStr">
        <is>
          <t>1982</t>
        </is>
      </c>
      <c r="Q1679" t="inlineStr">
        <is>
          <t>eng</t>
        </is>
      </c>
      <c r="R1679" t="inlineStr">
        <is>
          <t>enk</t>
        </is>
      </c>
      <c r="T1679" t="inlineStr">
        <is>
          <t xml:space="preserve">PR </t>
        </is>
      </c>
      <c r="U1679" t="n">
        <v>13</v>
      </c>
      <c r="V1679" t="n">
        <v>13</v>
      </c>
      <c r="W1679" t="inlineStr">
        <is>
          <t>2004-09-07</t>
        </is>
      </c>
      <c r="X1679" t="inlineStr">
        <is>
          <t>2004-09-07</t>
        </is>
      </c>
      <c r="Y1679" t="inlineStr">
        <is>
          <t>1991-08-29</t>
        </is>
      </c>
      <c r="Z1679" t="inlineStr">
        <is>
          <t>1991-08-29</t>
        </is>
      </c>
      <c r="AA1679" t="n">
        <v>626</v>
      </c>
      <c r="AB1679" t="n">
        <v>490</v>
      </c>
      <c r="AC1679" t="n">
        <v>500</v>
      </c>
      <c r="AD1679" t="n">
        <v>3</v>
      </c>
      <c r="AE1679" t="n">
        <v>3</v>
      </c>
      <c r="AF1679" t="n">
        <v>19</v>
      </c>
      <c r="AG1679" t="n">
        <v>19</v>
      </c>
      <c r="AH1679" t="n">
        <v>9</v>
      </c>
      <c r="AI1679" t="n">
        <v>9</v>
      </c>
      <c r="AJ1679" t="n">
        <v>4</v>
      </c>
      <c r="AK1679" t="n">
        <v>4</v>
      </c>
      <c r="AL1679" t="n">
        <v>10</v>
      </c>
      <c r="AM1679" t="n">
        <v>10</v>
      </c>
      <c r="AN1679" t="n">
        <v>2</v>
      </c>
      <c r="AO1679" t="n">
        <v>2</v>
      </c>
      <c r="AP1679" t="n">
        <v>0</v>
      </c>
      <c r="AQ1679" t="n">
        <v>0</v>
      </c>
      <c r="AR1679" t="inlineStr">
        <is>
          <t>No</t>
        </is>
      </c>
      <c r="AS1679" t="inlineStr">
        <is>
          <t>No</t>
        </is>
      </c>
      <c r="AU1679">
        <f>HYPERLINK("https://creighton-primo.hosted.exlibrisgroup.com/primo-explore/search?tab=default_tab&amp;search_scope=EVERYTHING&amp;vid=01CRU&amp;lang=en_US&amp;offset=0&amp;query=any,contains,991005397499702656","Catalog Record")</f>
        <v/>
      </c>
      <c r="AV1679">
        <f>HYPERLINK("http://www.worldcat.org/oclc/8552837","WorldCat Record")</f>
        <v/>
      </c>
      <c r="AW1679" t="inlineStr">
        <is>
          <t>5454187853:eng</t>
        </is>
      </c>
      <c r="AX1679" t="inlineStr">
        <is>
          <t>8552837</t>
        </is>
      </c>
      <c r="AY1679" t="inlineStr">
        <is>
          <t>991005397499702656</t>
        </is>
      </c>
      <c r="AZ1679" t="inlineStr">
        <is>
          <t>991005397499702656</t>
        </is>
      </c>
      <c r="BA1679" t="inlineStr">
        <is>
          <t>2257591980002656</t>
        </is>
      </c>
      <c r="BB1679" t="inlineStr">
        <is>
          <t>BOOK</t>
        </is>
      </c>
      <c r="BD1679" t="inlineStr">
        <is>
          <t>9780312092481</t>
        </is>
      </c>
      <c r="BE1679" t="inlineStr">
        <is>
          <t>32285000731595</t>
        </is>
      </c>
      <c r="BF1679" t="inlineStr">
        <is>
          <t>893707851</t>
        </is>
      </c>
    </row>
    <row r="1680">
      <c r="A1680" t="inlineStr">
        <is>
          <t>No</t>
        </is>
      </c>
      <c r="B1680" t="inlineStr">
        <is>
          <t>CURAL</t>
        </is>
      </c>
      <c r="C1680" t="inlineStr">
        <is>
          <t>SHELVES</t>
        </is>
      </c>
      <c r="D1680" t="inlineStr">
        <is>
          <t>PR442 .B7</t>
        </is>
      </c>
      <c r="E1680" t="inlineStr">
        <is>
          <t>0                      PR 0442000B  7</t>
        </is>
      </c>
      <c r="F1680" t="inlineStr">
        <is>
          <t>Facets of the Enlightenment; studies in English literature and its contexts.</t>
        </is>
      </c>
      <c r="H1680" t="inlineStr">
        <is>
          <t>No</t>
        </is>
      </c>
      <c r="I1680" t="inlineStr">
        <is>
          <t>1</t>
        </is>
      </c>
      <c r="J1680" t="inlineStr">
        <is>
          <t>No</t>
        </is>
      </c>
      <c r="K1680" t="inlineStr">
        <is>
          <t>No</t>
        </is>
      </c>
      <c r="L1680" t="inlineStr">
        <is>
          <t>0</t>
        </is>
      </c>
      <c r="M1680" t="inlineStr">
        <is>
          <t>Bronson, Bertrand Harris, 1902-1986.</t>
        </is>
      </c>
      <c r="N1680" t="inlineStr">
        <is>
          <t>Berkeley, University of California Press, 1968.</t>
        </is>
      </c>
      <c r="O1680" t="inlineStr">
        <is>
          <t>1968</t>
        </is>
      </c>
      <c r="Q1680" t="inlineStr">
        <is>
          <t>eng</t>
        </is>
      </c>
      <c r="R1680" t="inlineStr">
        <is>
          <t>cau</t>
        </is>
      </c>
      <c r="T1680" t="inlineStr">
        <is>
          <t xml:space="preserve">PR </t>
        </is>
      </c>
      <c r="U1680" t="n">
        <v>2</v>
      </c>
      <c r="V1680" t="n">
        <v>2</v>
      </c>
      <c r="W1680" t="inlineStr">
        <is>
          <t>2002-03-27</t>
        </is>
      </c>
      <c r="X1680" t="inlineStr">
        <is>
          <t>2002-03-27</t>
        </is>
      </c>
      <c r="Y1680" t="inlineStr">
        <is>
          <t>1997-08-21</t>
        </is>
      </c>
      <c r="Z1680" t="inlineStr">
        <is>
          <t>1997-08-21</t>
        </is>
      </c>
      <c r="AA1680" t="n">
        <v>864</v>
      </c>
      <c r="AB1680" t="n">
        <v>751</v>
      </c>
      <c r="AC1680" t="n">
        <v>773</v>
      </c>
      <c r="AD1680" t="n">
        <v>9</v>
      </c>
      <c r="AE1680" t="n">
        <v>9</v>
      </c>
      <c r="AF1680" t="n">
        <v>39</v>
      </c>
      <c r="AG1680" t="n">
        <v>39</v>
      </c>
      <c r="AH1680" t="n">
        <v>16</v>
      </c>
      <c r="AI1680" t="n">
        <v>16</v>
      </c>
      <c r="AJ1680" t="n">
        <v>7</v>
      </c>
      <c r="AK1680" t="n">
        <v>7</v>
      </c>
      <c r="AL1680" t="n">
        <v>19</v>
      </c>
      <c r="AM1680" t="n">
        <v>19</v>
      </c>
      <c r="AN1680" t="n">
        <v>7</v>
      </c>
      <c r="AO1680" t="n">
        <v>7</v>
      </c>
      <c r="AP1680" t="n">
        <v>0</v>
      </c>
      <c r="AQ1680" t="n">
        <v>0</v>
      </c>
      <c r="AR1680" t="inlineStr">
        <is>
          <t>No</t>
        </is>
      </c>
      <c r="AS1680" t="inlineStr">
        <is>
          <t>Yes</t>
        </is>
      </c>
      <c r="AT1680">
        <f>HYPERLINK("http://catalog.hathitrust.org/Record/001016356","HathiTrust Record")</f>
        <v/>
      </c>
      <c r="AU1680">
        <f>HYPERLINK("https://creighton-primo.hosted.exlibrisgroup.com/primo-explore/search?tab=default_tab&amp;search_scope=EVERYTHING&amp;vid=01CRU&amp;lang=en_US&amp;offset=0&amp;query=any,contains,991003008819702656","Catalog Record")</f>
        <v/>
      </c>
      <c r="AV1680">
        <f>HYPERLINK("http://www.worldcat.org/oclc/576291","WorldCat Record")</f>
        <v/>
      </c>
      <c r="AW1680" t="inlineStr">
        <is>
          <t>890213290:eng</t>
        </is>
      </c>
      <c r="AX1680" t="inlineStr">
        <is>
          <t>576291</t>
        </is>
      </c>
      <c r="AY1680" t="inlineStr">
        <is>
          <t>991003008819702656</t>
        </is>
      </c>
      <c r="AZ1680" t="inlineStr">
        <is>
          <t>991003008819702656</t>
        </is>
      </c>
      <c r="BA1680" t="inlineStr">
        <is>
          <t>2257357380002656</t>
        </is>
      </c>
      <c r="BB1680" t="inlineStr">
        <is>
          <t>BOOK</t>
        </is>
      </c>
      <c r="BE1680" t="inlineStr">
        <is>
          <t>32285003151676</t>
        </is>
      </c>
      <c r="BF1680" t="inlineStr">
        <is>
          <t>893799284</t>
        </is>
      </c>
    </row>
    <row r="1681">
      <c r="A1681" t="inlineStr">
        <is>
          <t>No</t>
        </is>
      </c>
      <c r="B1681" t="inlineStr">
        <is>
          <t>CURAL</t>
        </is>
      </c>
      <c r="C1681" t="inlineStr">
        <is>
          <t>SHELVES</t>
        </is>
      </c>
      <c r="D1681" t="inlineStr">
        <is>
          <t>PR442 .C3</t>
        </is>
      </c>
      <c r="E1681" t="inlineStr">
        <is>
          <t>0                      PR 0442000C  3</t>
        </is>
      </c>
      <c r="F1681" t="inlineStr">
        <is>
          <t>Restoration and eighteenth-century literature : essays in honor of Alan Dugald McKillop.</t>
        </is>
      </c>
      <c r="H1681" t="inlineStr">
        <is>
          <t>No</t>
        </is>
      </c>
      <c r="I1681" t="inlineStr">
        <is>
          <t>1</t>
        </is>
      </c>
      <c r="J1681" t="inlineStr">
        <is>
          <t>No</t>
        </is>
      </c>
      <c r="K1681" t="inlineStr">
        <is>
          <t>No</t>
        </is>
      </c>
      <c r="L1681" t="inlineStr">
        <is>
          <t>0</t>
        </is>
      </c>
      <c r="M1681" t="inlineStr">
        <is>
          <t>Camden, Carroll, 1903-, editor.</t>
        </is>
      </c>
      <c r="N1681" t="inlineStr">
        <is>
          <t>[Chicago] : Published for William Marsh Rice University by the University of Chicago Press, [1963]</t>
        </is>
      </c>
      <c r="O1681" t="inlineStr">
        <is>
          <t>1963</t>
        </is>
      </c>
      <c r="Q1681" t="inlineStr">
        <is>
          <t>eng</t>
        </is>
      </c>
      <c r="R1681" t="inlineStr">
        <is>
          <t>ilu</t>
        </is>
      </c>
      <c r="S1681" t="inlineStr">
        <is>
          <t>Rice University semicentennial publications</t>
        </is>
      </c>
      <c r="T1681" t="inlineStr">
        <is>
          <t xml:space="preserve">PR </t>
        </is>
      </c>
      <c r="U1681" t="n">
        <v>5</v>
      </c>
      <c r="V1681" t="n">
        <v>5</v>
      </c>
      <c r="W1681" t="inlineStr">
        <is>
          <t>1995-04-27</t>
        </is>
      </c>
      <c r="X1681" t="inlineStr">
        <is>
          <t>1995-04-27</t>
        </is>
      </c>
      <c r="Y1681" t="inlineStr">
        <is>
          <t>1994-12-29</t>
        </is>
      </c>
      <c r="Z1681" t="inlineStr">
        <is>
          <t>1994-12-29</t>
        </is>
      </c>
      <c r="AA1681" t="n">
        <v>1010</v>
      </c>
      <c r="AB1681" t="n">
        <v>885</v>
      </c>
      <c r="AC1681" t="n">
        <v>897</v>
      </c>
      <c r="AD1681" t="n">
        <v>9</v>
      </c>
      <c r="AE1681" t="n">
        <v>9</v>
      </c>
      <c r="AF1681" t="n">
        <v>39</v>
      </c>
      <c r="AG1681" t="n">
        <v>39</v>
      </c>
      <c r="AH1681" t="n">
        <v>12</v>
      </c>
      <c r="AI1681" t="n">
        <v>12</v>
      </c>
      <c r="AJ1681" t="n">
        <v>10</v>
      </c>
      <c r="AK1681" t="n">
        <v>10</v>
      </c>
      <c r="AL1681" t="n">
        <v>19</v>
      </c>
      <c r="AM1681" t="n">
        <v>19</v>
      </c>
      <c r="AN1681" t="n">
        <v>8</v>
      </c>
      <c r="AO1681" t="n">
        <v>8</v>
      </c>
      <c r="AP1681" t="n">
        <v>0</v>
      </c>
      <c r="AQ1681" t="n">
        <v>0</v>
      </c>
      <c r="AR1681" t="inlineStr">
        <is>
          <t>No</t>
        </is>
      </c>
      <c r="AS1681" t="inlineStr">
        <is>
          <t>No</t>
        </is>
      </c>
      <c r="AU1681">
        <f>HYPERLINK("https://creighton-primo.hosted.exlibrisgroup.com/primo-explore/search?tab=default_tab&amp;search_scope=EVERYTHING&amp;vid=01CRU&amp;lang=en_US&amp;offset=0&amp;query=any,contains,991002437339702656","Catalog Record")</f>
        <v/>
      </c>
      <c r="AV1681">
        <f>HYPERLINK("http://www.worldcat.org/oclc/349167","WorldCat Record")</f>
        <v/>
      </c>
      <c r="AW1681" t="inlineStr">
        <is>
          <t>375687151:eng</t>
        </is>
      </c>
      <c r="AX1681" t="inlineStr">
        <is>
          <t>349167</t>
        </is>
      </c>
      <c r="AY1681" t="inlineStr">
        <is>
          <t>991002437339702656</t>
        </is>
      </c>
      <c r="AZ1681" t="inlineStr">
        <is>
          <t>991002437339702656</t>
        </is>
      </c>
      <c r="BA1681" t="inlineStr">
        <is>
          <t>2267447400002656</t>
        </is>
      </c>
      <c r="BB1681" t="inlineStr">
        <is>
          <t>BOOK</t>
        </is>
      </c>
      <c r="BE1681" t="inlineStr">
        <is>
          <t>32285001985646</t>
        </is>
      </c>
      <c r="BF1681" t="inlineStr">
        <is>
          <t>893873518</t>
        </is>
      </c>
    </row>
    <row r="1682">
      <c r="A1682" t="inlineStr">
        <is>
          <t>No</t>
        </is>
      </c>
      <c r="B1682" t="inlineStr">
        <is>
          <t>CURAL</t>
        </is>
      </c>
      <c r="C1682" t="inlineStr">
        <is>
          <t>SHELVES</t>
        </is>
      </c>
      <c r="D1682" t="inlineStr">
        <is>
          <t>PR442 .C47</t>
        </is>
      </c>
      <c r="E1682" t="inlineStr">
        <is>
          <t>0                      PR 0442000C  47</t>
        </is>
      </c>
      <c r="F1682" t="inlineStr">
        <is>
          <t>Quick springs of sense : studies in the eighteenth century / edited by Larry S. Champion.</t>
        </is>
      </c>
      <c r="H1682" t="inlineStr">
        <is>
          <t>No</t>
        </is>
      </c>
      <c r="I1682" t="inlineStr">
        <is>
          <t>1</t>
        </is>
      </c>
      <c r="J1682" t="inlineStr">
        <is>
          <t>No</t>
        </is>
      </c>
      <c r="K1682" t="inlineStr">
        <is>
          <t>No</t>
        </is>
      </c>
      <c r="L1682" t="inlineStr">
        <is>
          <t>0</t>
        </is>
      </c>
      <c r="M1682" t="inlineStr">
        <is>
          <t>Champion, Larry S.</t>
        </is>
      </c>
      <c r="N1682" t="inlineStr">
        <is>
          <t>Athens : University of Georgia Press, [1974]</t>
        </is>
      </c>
      <c r="O1682" t="inlineStr">
        <is>
          <t>1974</t>
        </is>
      </c>
      <c r="Q1682" t="inlineStr">
        <is>
          <t>eng</t>
        </is>
      </c>
      <c r="R1682" t="inlineStr">
        <is>
          <t>gau</t>
        </is>
      </c>
      <c r="T1682" t="inlineStr">
        <is>
          <t xml:space="preserve">PR </t>
        </is>
      </c>
      <c r="U1682" t="n">
        <v>4</v>
      </c>
      <c r="V1682" t="n">
        <v>4</v>
      </c>
      <c r="W1682" t="inlineStr">
        <is>
          <t>2006-11-06</t>
        </is>
      </c>
      <c r="X1682" t="inlineStr">
        <is>
          <t>2006-11-06</t>
        </is>
      </c>
      <c r="Y1682" t="inlineStr">
        <is>
          <t>1994-12-29</t>
        </is>
      </c>
      <c r="Z1682" t="inlineStr">
        <is>
          <t>1994-12-29</t>
        </is>
      </c>
      <c r="AA1682" t="n">
        <v>876</v>
      </c>
      <c r="AB1682" t="n">
        <v>765</v>
      </c>
      <c r="AC1682" t="n">
        <v>770</v>
      </c>
      <c r="AD1682" t="n">
        <v>8</v>
      </c>
      <c r="AE1682" t="n">
        <v>8</v>
      </c>
      <c r="AF1682" t="n">
        <v>40</v>
      </c>
      <c r="AG1682" t="n">
        <v>40</v>
      </c>
      <c r="AH1682" t="n">
        <v>14</v>
      </c>
      <c r="AI1682" t="n">
        <v>14</v>
      </c>
      <c r="AJ1682" t="n">
        <v>9</v>
      </c>
      <c r="AK1682" t="n">
        <v>9</v>
      </c>
      <c r="AL1682" t="n">
        <v>19</v>
      </c>
      <c r="AM1682" t="n">
        <v>19</v>
      </c>
      <c r="AN1682" t="n">
        <v>7</v>
      </c>
      <c r="AO1682" t="n">
        <v>7</v>
      </c>
      <c r="AP1682" t="n">
        <v>0</v>
      </c>
      <c r="AQ1682" t="n">
        <v>0</v>
      </c>
      <c r="AR1682" t="inlineStr">
        <is>
          <t>No</t>
        </is>
      </c>
      <c r="AS1682" t="inlineStr">
        <is>
          <t>No</t>
        </is>
      </c>
      <c r="AU1682">
        <f>HYPERLINK("https://creighton-primo.hosted.exlibrisgroup.com/primo-explore/search?tab=default_tab&amp;search_scope=EVERYTHING&amp;vid=01CRU&amp;lang=en_US&amp;offset=0&amp;query=any,contains,991003402369702656","Catalog Record")</f>
        <v/>
      </c>
      <c r="AV1682">
        <f>HYPERLINK("http://www.worldcat.org/oclc/941352","WorldCat Record")</f>
        <v/>
      </c>
      <c r="AW1682" t="inlineStr">
        <is>
          <t>1900815:eng</t>
        </is>
      </c>
      <c r="AX1682" t="inlineStr">
        <is>
          <t>941352</t>
        </is>
      </c>
      <c r="AY1682" t="inlineStr">
        <is>
          <t>991003402369702656</t>
        </is>
      </c>
      <c r="AZ1682" t="inlineStr">
        <is>
          <t>991003402369702656</t>
        </is>
      </c>
      <c r="BA1682" t="inlineStr">
        <is>
          <t>2261130940002656</t>
        </is>
      </c>
      <c r="BB1682" t="inlineStr">
        <is>
          <t>BOOK</t>
        </is>
      </c>
      <c r="BD1682" t="inlineStr">
        <is>
          <t>9780820303130</t>
        </is>
      </c>
      <c r="BE1682" t="inlineStr">
        <is>
          <t>32285001985653</t>
        </is>
      </c>
      <c r="BF1682" t="inlineStr">
        <is>
          <t>893505547</t>
        </is>
      </c>
    </row>
    <row r="1683">
      <c r="A1683" t="inlineStr">
        <is>
          <t>No</t>
        </is>
      </c>
      <c r="B1683" t="inlineStr">
        <is>
          <t>CURAL</t>
        </is>
      </c>
      <c r="C1683" t="inlineStr">
        <is>
          <t>SHELVES</t>
        </is>
      </c>
      <c r="D1683" t="inlineStr">
        <is>
          <t>PR442 .E37</t>
        </is>
      </c>
      <c r="E1683" t="inlineStr">
        <is>
          <t>0                      PR 0442000E  37</t>
        </is>
      </c>
      <c r="F1683" t="inlineStr">
        <is>
          <t>Acts of implication : suggestion and covert meaning in the works of Dryden, Swift, Pope, and Austen / Irvin Ehrenpreis.</t>
        </is>
      </c>
      <c r="H1683" t="inlineStr">
        <is>
          <t>No</t>
        </is>
      </c>
      <c r="I1683" t="inlineStr">
        <is>
          <t>1</t>
        </is>
      </c>
      <c r="J1683" t="inlineStr">
        <is>
          <t>No</t>
        </is>
      </c>
      <c r="K1683" t="inlineStr">
        <is>
          <t>No</t>
        </is>
      </c>
      <c r="L1683" t="inlineStr">
        <is>
          <t>0</t>
        </is>
      </c>
      <c r="M1683" t="inlineStr">
        <is>
          <t>Ehrenpreis, Irvin, 1920-1985.</t>
        </is>
      </c>
      <c r="N1683" t="inlineStr">
        <is>
          <t>Berkeley : University of California Press, c1980.</t>
        </is>
      </c>
      <c r="O1683" t="inlineStr">
        <is>
          <t>1980</t>
        </is>
      </c>
      <c r="Q1683" t="inlineStr">
        <is>
          <t>eng</t>
        </is>
      </c>
      <c r="R1683" t="inlineStr">
        <is>
          <t>cau</t>
        </is>
      </c>
      <c r="S1683" t="inlineStr">
        <is>
          <t>The Beckman lectures ; 1978</t>
        </is>
      </c>
      <c r="T1683" t="inlineStr">
        <is>
          <t xml:space="preserve">PR </t>
        </is>
      </c>
      <c r="U1683" t="n">
        <v>3</v>
      </c>
      <c r="V1683" t="n">
        <v>3</v>
      </c>
      <c r="W1683" t="inlineStr">
        <is>
          <t>2000-11-15</t>
        </is>
      </c>
      <c r="X1683" t="inlineStr">
        <is>
          <t>2000-11-15</t>
        </is>
      </c>
      <c r="Y1683" t="inlineStr">
        <is>
          <t>1990-08-01</t>
        </is>
      </c>
      <c r="Z1683" t="inlineStr">
        <is>
          <t>1990-08-01</t>
        </is>
      </c>
      <c r="AA1683" t="n">
        <v>754</v>
      </c>
      <c r="AB1683" t="n">
        <v>623</v>
      </c>
      <c r="AC1683" t="n">
        <v>1196</v>
      </c>
      <c r="AD1683" t="n">
        <v>5</v>
      </c>
      <c r="AE1683" t="n">
        <v>5</v>
      </c>
      <c r="AF1683" t="n">
        <v>32</v>
      </c>
      <c r="AG1683" t="n">
        <v>36</v>
      </c>
      <c r="AH1683" t="n">
        <v>12</v>
      </c>
      <c r="AI1683" t="n">
        <v>16</v>
      </c>
      <c r="AJ1683" t="n">
        <v>6</v>
      </c>
      <c r="AK1683" t="n">
        <v>6</v>
      </c>
      <c r="AL1683" t="n">
        <v>19</v>
      </c>
      <c r="AM1683" t="n">
        <v>19</v>
      </c>
      <c r="AN1683" t="n">
        <v>4</v>
      </c>
      <c r="AO1683" t="n">
        <v>4</v>
      </c>
      <c r="AP1683" t="n">
        <v>0</v>
      </c>
      <c r="AQ1683" t="n">
        <v>0</v>
      </c>
      <c r="AR1683" t="inlineStr">
        <is>
          <t>No</t>
        </is>
      </c>
      <c r="AS1683" t="inlineStr">
        <is>
          <t>No</t>
        </is>
      </c>
      <c r="AU1683">
        <f>HYPERLINK("https://creighton-primo.hosted.exlibrisgroup.com/primo-explore/search?tab=default_tab&amp;search_scope=EVERYTHING&amp;vid=01CRU&amp;lang=en_US&amp;offset=0&amp;query=any,contains,991005110499702656","Catalog Record")</f>
        <v/>
      </c>
      <c r="AV1683">
        <f>HYPERLINK("http://www.worldcat.org/oclc/7342371","WorldCat Record")</f>
        <v/>
      </c>
      <c r="AW1683" t="inlineStr">
        <is>
          <t>864057626:eng</t>
        </is>
      </c>
      <c r="AX1683" t="inlineStr">
        <is>
          <t>7342371</t>
        </is>
      </c>
      <c r="AY1683" t="inlineStr">
        <is>
          <t>991005110499702656</t>
        </is>
      </c>
      <c r="AZ1683" t="inlineStr">
        <is>
          <t>991005110499702656</t>
        </is>
      </c>
      <c r="BA1683" t="inlineStr">
        <is>
          <t>2258116930002656</t>
        </is>
      </c>
      <c r="BB1683" t="inlineStr">
        <is>
          <t>BOOK</t>
        </is>
      </c>
      <c r="BD1683" t="inlineStr">
        <is>
          <t>9780520040472</t>
        </is>
      </c>
      <c r="BE1683" t="inlineStr">
        <is>
          <t>32285000262096</t>
        </is>
      </c>
      <c r="BF1683" t="inlineStr">
        <is>
          <t>893807834</t>
        </is>
      </c>
    </row>
    <row r="1684">
      <c r="A1684" t="inlineStr">
        <is>
          <t>No</t>
        </is>
      </c>
      <c r="B1684" t="inlineStr">
        <is>
          <t>CURAL</t>
        </is>
      </c>
      <c r="C1684" t="inlineStr">
        <is>
          <t>SHELVES</t>
        </is>
      </c>
      <c r="D1684" t="inlineStr">
        <is>
          <t>PR442 .E5</t>
        </is>
      </c>
      <c r="E1684" t="inlineStr">
        <is>
          <t>0                      PR 0442000E  5</t>
        </is>
      </c>
      <c r="F1684" t="inlineStr">
        <is>
          <t>English writers of the eighteenth century / edited by John H. Middendorf.</t>
        </is>
      </c>
      <c r="H1684" t="inlineStr">
        <is>
          <t>No</t>
        </is>
      </c>
      <c r="I1684" t="inlineStr">
        <is>
          <t>1</t>
        </is>
      </c>
      <c r="J1684" t="inlineStr">
        <is>
          <t>No</t>
        </is>
      </c>
      <c r="K1684" t="inlineStr">
        <is>
          <t>No</t>
        </is>
      </c>
      <c r="L1684" t="inlineStr">
        <is>
          <t>0</t>
        </is>
      </c>
      <c r="N1684" t="inlineStr">
        <is>
          <t>New York : Columbia University Press, 1971.</t>
        </is>
      </c>
      <c r="O1684" t="inlineStr">
        <is>
          <t>1971</t>
        </is>
      </c>
      <c r="Q1684" t="inlineStr">
        <is>
          <t>eng</t>
        </is>
      </c>
      <c r="R1684" t="inlineStr">
        <is>
          <t>nyu</t>
        </is>
      </c>
      <c r="T1684" t="inlineStr">
        <is>
          <t xml:space="preserve">PR </t>
        </is>
      </c>
      <c r="U1684" t="n">
        <v>2</v>
      </c>
      <c r="V1684" t="n">
        <v>2</v>
      </c>
      <c r="W1684" t="inlineStr">
        <is>
          <t>2009-01-12</t>
        </is>
      </c>
      <c r="X1684" t="inlineStr">
        <is>
          <t>2009-01-12</t>
        </is>
      </c>
      <c r="Y1684" t="inlineStr">
        <is>
          <t>1991-08-29</t>
        </is>
      </c>
      <c r="Z1684" t="inlineStr">
        <is>
          <t>1991-08-29</t>
        </is>
      </c>
      <c r="AA1684" t="n">
        <v>960</v>
      </c>
      <c r="AB1684" t="n">
        <v>824</v>
      </c>
      <c r="AC1684" t="n">
        <v>831</v>
      </c>
      <c r="AD1684" t="n">
        <v>9</v>
      </c>
      <c r="AE1684" t="n">
        <v>9</v>
      </c>
      <c r="AF1684" t="n">
        <v>36</v>
      </c>
      <c r="AG1684" t="n">
        <v>36</v>
      </c>
      <c r="AH1684" t="n">
        <v>12</v>
      </c>
      <c r="AI1684" t="n">
        <v>12</v>
      </c>
      <c r="AJ1684" t="n">
        <v>6</v>
      </c>
      <c r="AK1684" t="n">
        <v>6</v>
      </c>
      <c r="AL1684" t="n">
        <v>18</v>
      </c>
      <c r="AM1684" t="n">
        <v>18</v>
      </c>
      <c r="AN1684" t="n">
        <v>8</v>
      </c>
      <c r="AO1684" t="n">
        <v>8</v>
      </c>
      <c r="AP1684" t="n">
        <v>0</v>
      </c>
      <c r="AQ1684" t="n">
        <v>0</v>
      </c>
      <c r="AR1684" t="inlineStr">
        <is>
          <t>No</t>
        </is>
      </c>
      <c r="AS1684" t="inlineStr">
        <is>
          <t>No</t>
        </is>
      </c>
      <c r="AU1684">
        <f>HYPERLINK("https://creighton-primo.hosted.exlibrisgroup.com/primo-explore/search?tab=default_tab&amp;search_scope=EVERYTHING&amp;vid=01CRU&amp;lang=en_US&amp;offset=0&amp;query=any,contains,991001268739702656","Catalog Record")</f>
        <v/>
      </c>
      <c r="AV1684">
        <f>HYPERLINK("http://www.worldcat.org/oclc/210595","WorldCat Record")</f>
        <v/>
      </c>
      <c r="AW1684" t="inlineStr">
        <is>
          <t>1284407:eng</t>
        </is>
      </c>
      <c r="AX1684" t="inlineStr">
        <is>
          <t>210595</t>
        </is>
      </c>
      <c r="AY1684" t="inlineStr">
        <is>
          <t>991001268739702656</t>
        </is>
      </c>
      <c r="AZ1684" t="inlineStr">
        <is>
          <t>991001268739702656</t>
        </is>
      </c>
      <c r="BA1684" t="inlineStr">
        <is>
          <t>2261952100002656</t>
        </is>
      </c>
      <c r="BB1684" t="inlineStr">
        <is>
          <t>BOOK</t>
        </is>
      </c>
      <c r="BD1684" t="inlineStr">
        <is>
          <t>9780231035163</t>
        </is>
      </c>
      <c r="BE1684" t="inlineStr">
        <is>
          <t>32285000731611</t>
        </is>
      </c>
      <c r="BF1684" t="inlineStr">
        <is>
          <t>893784982</t>
        </is>
      </c>
    </row>
    <row r="1685">
      <c r="A1685" t="inlineStr">
        <is>
          <t>No</t>
        </is>
      </c>
      <c r="B1685" t="inlineStr">
        <is>
          <t>CURAL</t>
        </is>
      </c>
      <c r="C1685" t="inlineStr">
        <is>
          <t>SHELVES</t>
        </is>
      </c>
      <c r="D1685" t="inlineStr">
        <is>
          <t>PR442 .E8 1963</t>
        </is>
      </c>
      <c r="E1685" t="inlineStr">
        <is>
          <t>0                      PR 0442000E  8           1963</t>
        </is>
      </c>
      <c r="F1685" t="inlineStr">
        <is>
          <t>Essays on the eighteenth century, presented to David Nichol Smith in honour of his seventieth birthday.</t>
        </is>
      </c>
      <c r="H1685" t="inlineStr">
        <is>
          <t>No</t>
        </is>
      </c>
      <c r="I1685" t="inlineStr">
        <is>
          <t>1</t>
        </is>
      </c>
      <c r="J1685" t="inlineStr">
        <is>
          <t>No</t>
        </is>
      </c>
      <c r="K1685" t="inlineStr">
        <is>
          <t>No</t>
        </is>
      </c>
      <c r="L1685" t="inlineStr">
        <is>
          <t>0</t>
        </is>
      </c>
      <c r="N1685" t="inlineStr">
        <is>
          <t>New York, Russell &amp; Russell, 1963.</t>
        </is>
      </c>
      <c r="O1685" t="inlineStr">
        <is>
          <t>1963</t>
        </is>
      </c>
      <c r="Q1685" t="inlineStr">
        <is>
          <t>eng</t>
        </is>
      </c>
      <c r="R1685" t="inlineStr">
        <is>
          <t>nyu</t>
        </is>
      </c>
      <c r="T1685" t="inlineStr">
        <is>
          <t xml:space="preserve">PR </t>
        </is>
      </c>
      <c r="U1685" t="n">
        <v>2</v>
      </c>
      <c r="V1685" t="n">
        <v>2</v>
      </c>
      <c r="W1685" t="inlineStr">
        <is>
          <t>1997-12-01</t>
        </is>
      </c>
      <c r="X1685" t="inlineStr">
        <is>
          <t>1997-12-01</t>
        </is>
      </c>
      <c r="Y1685" t="inlineStr">
        <is>
          <t>1997-08-21</t>
        </is>
      </c>
      <c r="Z1685" t="inlineStr">
        <is>
          <t>1997-08-21</t>
        </is>
      </c>
      <c r="AA1685" t="n">
        <v>385</v>
      </c>
      <c r="AB1685" t="n">
        <v>348</v>
      </c>
      <c r="AC1685" t="n">
        <v>355</v>
      </c>
      <c r="AD1685" t="n">
        <v>3</v>
      </c>
      <c r="AE1685" t="n">
        <v>3</v>
      </c>
      <c r="AF1685" t="n">
        <v>20</v>
      </c>
      <c r="AG1685" t="n">
        <v>20</v>
      </c>
      <c r="AH1685" t="n">
        <v>9</v>
      </c>
      <c r="AI1685" t="n">
        <v>9</v>
      </c>
      <c r="AJ1685" t="n">
        <v>2</v>
      </c>
      <c r="AK1685" t="n">
        <v>2</v>
      </c>
      <c r="AL1685" t="n">
        <v>10</v>
      </c>
      <c r="AM1685" t="n">
        <v>10</v>
      </c>
      <c r="AN1685" t="n">
        <v>2</v>
      </c>
      <c r="AO1685" t="n">
        <v>2</v>
      </c>
      <c r="AP1685" t="n">
        <v>0</v>
      </c>
      <c r="AQ1685" t="n">
        <v>0</v>
      </c>
      <c r="AR1685" t="inlineStr">
        <is>
          <t>No</t>
        </is>
      </c>
      <c r="AS1685" t="inlineStr">
        <is>
          <t>Yes</t>
        </is>
      </c>
      <c r="AT1685">
        <f>HYPERLINK("http://catalog.hathitrust.org/Record/001370809","HathiTrust Record")</f>
        <v/>
      </c>
      <c r="AU1685">
        <f>HYPERLINK("https://creighton-primo.hosted.exlibrisgroup.com/primo-explore/search?tab=default_tab&amp;search_scope=EVERYTHING&amp;vid=01CRU&amp;lang=en_US&amp;offset=0&amp;query=any,contains,991002443909702656","Catalog Record")</f>
        <v/>
      </c>
      <c r="AV1685">
        <f>HYPERLINK("http://www.worldcat.org/oclc/350980","WorldCat Record")</f>
        <v/>
      </c>
      <c r="AW1685" t="inlineStr">
        <is>
          <t>5612239892:eng</t>
        </is>
      </c>
      <c r="AX1685" t="inlineStr">
        <is>
          <t>350980</t>
        </is>
      </c>
      <c r="AY1685" t="inlineStr">
        <is>
          <t>991002443909702656</t>
        </is>
      </c>
      <c r="AZ1685" t="inlineStr">
        <is>
          <t>991002443909702656</t>
        </is>
      </c>
      <c r="BA1685" t="inlineStr">
        <is>
          <t>2266515330002656</t>
        </is>
      </c>
      <c r="BB1685" t="inlineStr">
        <is>
          <t>BOOK</t>
        </is>
      </c>
      <c r="BE1685" t="inlineStr">
        <is>
          <t>32285003151718</t>
        </is>
      </c>
      <c r="BF1685" t="inlineStr">
        <is>
          <t>893316816</t>
        </is>
      </c>
    </row>
    <row r="1686">
      <c r="A1686" t="inlineStr">
        <is>
          <t>No</t>
        </is>
      </c>
      <c r="B1686" t="inlineStr">
        <is>
          <t>CURAL</t>
        </is>
      </c>
      <c r="C1686" t="inlineStr">
        <is>
          <t>SHELVES</t>
        </is>
      </c>
      <c r="D1686" t="inlineStr">
        <is>
          <t>PR442 .H34 1989</t>
        </is>
      </c>
      <c r="E1686" t="inlineStr">
        <is>
          <t>0                      PR 0442000H  34          1989</t>
        </is>
      </c>
      <c r="F1686" t="inlineStr">
        <is>
          <t>Eros and vision : the restoration to romanticism / Jean H. Hagstrum.</t>
        </is>
      </c>
      <c r="H1686" t="inlineStr">
        <is>
          <t>No</t>
        </is>
      </c>
      <c r="I1686" t="inlineStr">
        <is>
          <t>1</t>
        </is>
      </c>
      <c r="J1686" t="inlineStr">
        <is>
          <t>No</t>
        </is>
      </c>
      <c r="K1686" t="inlineStr">
        <is>
          <t>No</t>
        </is>
      </c>
      <c r="L1686" t="inlineStr">
        <is>
          <t>0</t>
        </is>
      </c>
      <c r="M1686" t="inlineStr">
        <is>
          <t>Hagstrum, Jean H.</t>
        </is>
      </c>
      <c r="N1686" t="inlineStr">
        <is>
          <t>Evanston, IL : Northwestern University Press, c1989.</t>
        </is>
      </c>
      <c r="O1686" t="inlineStr">
        <is>
          <t>1989</t>
        </is>
      </c>
      <c r="Q1686" t="inlineStr">
        <is>
          <t>eng</t>
        </is>
      </c>
      <c r="R1686" t="inlineStr">
        <is>
          <t>ilu</t>
        </is>
      </c>
      <c r="T1686" t="inlineStr">
        <is>
          <t xml:space="preserve">PR </t>
        </is>
      </c>
      <c r="U1686" t="n">
        <v>1</v>
      </c>
      <c r="V1686" t="n">
        <v>1</v>
      </c>
      <c r="W1686" t="inlineStr">
        <is>
          <t>2007-01-18</t>
        </is>
      </c>
      <c r="X1686" t="inlineStr">
        <is>
          <t>2007-01-18</t>
        </is>
      </c>
      <c r="Y1686" t="inlineStr">
        <is>
          <t>2007-01-18</t>
        </is>
      </c>
      <c r="Z1686" t="inlineStr">
        <is>
          <t>2007-01-18</t>
        </is>
      </c>
      <c r="AA1686" t="n">
        <v>377</v>
      </c>
      <c r="AB1686" t="n">
        <v>286</v>
      </c>
      <c r="AC1686" t="n">
        <v>287</v>
      </c>
      <c r="AD1686" t="n">
        <v>3</v>
      </c>
      <c r="AE1686" t="n">
        <v>3</v>
      </c>
      <c r="AF1686" t="n">
        <v>12</v>
      </c>
      <c r="AG1686" t="n">
        <v>12</v>
      </c>
      <c r="AH1686" t="n">
        <v>1</v>
      </c>
      <c r="AI1686" t="n">
        <v>1</v>
      </c>
      <c r="AJ1686" t="n">
        <v>4</v>
      </c>
      <c r="AK1686" t="n">
        <v>4</v>
      </c>
      <c r="AL1686" t="n">
        <v>8</v>
      </c>
      <c r="AM1686" t="n">
        <v>8</v>
      </c>
      <c r="AN1686" t="n">
        <v>2</v>
      </c>
      <c r="AO1686" t="n">
        <v>2</v>
      </c>
      <c r="AP1686" t="n">
        <v>0</v>
      </c>
      <c r="AQ1686" t="n">
        <v>0</v>
      </c>
      <c r="AR1686" t="inlineStr">
        <is>
          <t>No</t>
        </is>
      </c>
      <c r="AS1686" t="inlineStr">
        <is>
          <t>No</t>
        </is>
      </c>
      <c r="AU1686">
        <f>HYPERLINK("https://creighton-primo.hosted.exlibrisgroup.com/primo-explore/search?tab=default_tab&amp;search_scope=EVERYTHING&amp;vid=01CRU&amp;lang=en_US&amp;offset=0&amp;query=any,contains,991005019279702656","Catalog Record")</f>
        <v/>
      </c>
      <c r="AV1686">
        <f>HYPERLINK("http://www.worldcat.org/oclc/18961638","WorldCat Record")</f>
        <v/>
      </c>
      <c r="AW1686" t="inlineStr">
        <is>
          <t>254570130:eng</t>
        </is>
      </c>
      <c r="AX1686" t="inlineStr">
        <is>
          <t>18961638</t>
        </is>
      </c>
      <c r="AY1686" t="inlineStr">
        <is>
          <t>991005019279702656</t>
        </is>
      </c>
      <c r="AZ1686" t="inlineStr">
        <is>
          <t>991005019279702656</t>
        </is>
      </c>
      <c r="BA1686" t="inlineStr">
        <is>
          <t>2262033920002656</t>
        </is>
      </c>
      <c r="BB1686" t="inlineStr">
        <is>
          <t>BOOK</t>
        </is>
      </c>
      <c r="BD1686" t="inlineStr">
        <is>
          <t>9780810108288</t>
        </is>
      </c>
      <c r="BE1686" t="inlineStr">
        <is>
          <t>32285005271928</t>
        </is>
      </c>
      <c r="BF1686" t="inlineStr">
        <is>
          <t>893344522</t>
        </is>
      </c>
    </row>
    <row r="1687">
      <c r="A1687" t="inlineStr">
        <is>
          <t>No</t>
        </is>
      </c>
      <c r="B1687" t="inlineStr">
        <is>
          <t>CURAL</t>
        </is>
      </c>
      <c r="C1687" t="inlineStr">
        <is>
          <t>SHELVES</t>
        </is>
      </c>
      <c r="D1687" t="inlineStr">
        <is>
          <t>PR442 .M57 1988</t>
        </is>
      </c>
      <c r="E1687" t="inlineStr">
        <is>
          <t>0                      PR 0442000M  57          1988</t>
        </is>
      </c>
      <c r="F1687" t="inlineStr">
        <is>
          <t>Modern essays on eighteenth-century literature / edited by Leopold Damrosch, Jr.</t>
        </is>
      </c>
      <c r="H1687" t="inlineStr">
        <is>
          <t>No</t>
        </is>
      </c>
      <c r="I1687" t="inlineStr">
        <is>
          <t>1</t>
        </is>
      </c>
      <c r="J1687" t="inlineStr">
        <is>
          <t>No</t>
        </is>
      </c>
      <c r="K1687" t="inlineStr">
        <is>
          <t>No</t>
        </is>
      </c>
      <c r="L1687" t="inlineStr">
        <is>
          <t>0</t>
        </is>
      </c>
      <c r="N1687" t="inlineStr">
        <is>
          <t>New York : Oxford University Press, 1988.</t>
        </is>
      </c>
      <c r="O1687" t="inlineStr">
        <is>
          <t>1988</t>
        </is>
      </c>
      <c r="Q1687" t="inlineStr">
        <is>
          <t>eng</t>
        </is>
      </c>
      <c r="R1687" t="inlineStr">
        <is>
          <t>nyu</t>
        </is>
      </c>
      <c r="T1687" t="inlineStr">
        <is>
          <t xml:space="preserve">PR </t>
        </is>
      </c>
      <c r="U1687" t="n">
        <v>19</v>
      </c>
      <c r="V1687" t="n">
        <v>19</v>
      </c>
      <c r="W1687" t="inlineStr">
        <is>
          <t>1996-10-10</t>
        </is>
      </c>
      <c r="X1687" t="inlineStr">
        <is>
          <t>1996-10-10</t>
        </is>
      </c>
      <c r="Y1687" t="inlineStr">
        <is>
          <t>1991-08-29</t>
        </is>
      </c>
      <c r="Z1687" t="inlineStr">
        <is>
          <t>1991-08-29</t>
        </is>
      </c>
      <c r="AA1687" t="n">
        <v>614</v>
      </c>
      <c r="AB1687" t="n">
        <v>490</v>
      </c>
      <c r="AC1687" t="n">
        <v>498</v>
      </c>
      <c r="AD1687" t="n">
        <v>2</v>
      </c>
      <c r="AE1687" t="n">
        <v>2</v>
      </c>
      <c r="AF1687" t="n">
        <v>26</v>
      </c>
      <c r="AG1687" t="n">
        <v>26</v>
      </c>
      <c r="AH1687" t="n">
        <v>10</v>
      </c>
      <c r="AI1687" t="n">
        <v>10</v>
      </c>
      <c r="AJ1687" t="n">
        <v>7</v>
      </c>
      <c r="AK1687" t="n">
        <v>7</v>
      </c>
      <c r="AL1687" t="n">
        <v>15</v>
      </c>
      <c r="AM1687" t="n">
        <v>15</v>
      </c>
      <c r="AN1687" t="n">
        <v>1</v>
      </c>
      <c r="AO1687" t="n">
        <v>1</v>
      </c>
      <c r="AP1687" t="n">
        <v>0</v>
      </c>
      <c r="AQ1687" t="n">
        <v>0</v>
      </c>
      <c r="AR1687" t="inlineStr">
        <is>
          <t>No</t>
        </is>
      </c>
      <c r="AS1687" t="inlineStr">
        <is>
          <t>Yes</t>
        </is>
      </c>
      <c r="AT1687">
        <f>HYPERLINK("http://catalog.hathitrust.org/Record/000910835","HathiTrust Record")</f>
        <v/>
      </c>
      <c r="AU1687">
        <f>HYPERLINK("https://creighton-primo.hosted.exlibrisgroup.com/primo-explore/search?tab=default_tab&amp;search_scope=EVERYTHING&amp;vid=01CRU&amp;lang=en_US&amp;offset=0&amp;query=any,contains,991001020659702656","Catalog Record")</f>
        <v/>
      </c>
      <c r="AV1687">
        <f>HYPERLINK("http://www.worldcat.org/oclc/15366800","WorldCat Record")</f>
        <v/>
      </c>
      <c r="AW1687" t="inlineStr">
        <is>
          <t>10104028:eng</t>
        </is>
      </c>
      <c r="AX1687" t="inlineStr">
        <is>
          <t>15366800</t>
        </is>
      </c>
      <c r="AY1687" t="inlineStr">
        <is>
          <t>991001020659702656</t>
        </is>
      </c>
      <c r="AZ1687" t="inlineStr">
        <is>
          <t>991001020659702656</t>
        </is>
      </c>
      <c r="BA1687" t="inlineStr">
        <is>
          <t>2261839560002656</t>
        </is>
      </c>
      <c r="BB1687" t="inlineStr">
        <is>
          <t>BOOK</t>
        </is>
      </c>
      <c r="BD1687" t="inlineStr">
        <is>
          <t>9780195049244</t>
        </is>
      </c>
      <c r="BE1687" t="inlineStr">
        <is>
          <t>32285000731645</t>
        </is>
      </c>
      <c r="BF1687" t="inlineStr">
        <is>
          <t>893333984</t>
        </is>
      </c>
    </row>
    <row r="1688">
      <c r="A1688" t="inlineStr">
        <is>
          <t>No</t>
        </is>
      </c>
      <c r="B1688" t="inlineStr">
        <is>
          <t>CURAL</t>
        </is>
      </c>
      <c r="C1688" t="inlineStr">
        <is>
          <t>SHELVES</t>
        </is>
      </c>
      <c r="D1688" t="inlineStr">
        <is>
          <t>PR442 .R36 1985</t>
        </is>
      </c>
      <c r="E1688" t="inlineStr">
        <is>
          <t>0                      PR 0442000R  36          1985</t>
        </is>
      </c>
      <c r="F1688" t="inlineStr">
        <is>
          <t>Order from confusion sprung : studies in eighteenth-century literature from Swift to Cowper / Claude Rawson.</t>
        </is>
      </c>
      <c r="H1688" t="inlineStr">
        <is>
          <t>No</t>
        </is>
      </c>
      <c r="I1688" t="inlineStr">
        <is>
          <t>1</t>
        </is>
      </c>
      <c r="J1688" t="inlineStr">
        <is>
          <t>No</t>
        </is>
      </c>
      <c r="K1688" t="inlineStr">
        <is>
          <t>No</t>
        </is>
      </c>
      <c r="L1688" t="inlineStr">
        <is>
          <t>0</t>
        </is>
      </c>
      <c r="M1688" t="inlineStr">
        <is>
          <t>Rawson, Claude Julien.</t>
        </is>
      </c>
      <c r="N1688" t="inlineStr">
        <is>
          <t>London ; Boston : Allen &amp; Unwin, 1985.</t>
        </is>
      </c>
      <c r="O1688" t="inlineStr">
        <is>
          <t>1985</t>
        </is>
      </c>
      <c r="Q1688" t="inlineStr">
        <is>
          <t>eng</t>
        </is>
      </c>
      <c r="R1688" t="inlineStr">
        <is>
          <t>enk</t>
        </is>
      </c>
      <c r="T1688" t="inlineStr">
        <is>
          <t xml:space="preserve">PR </t>
        </is>
      </c>
      <c r="U1688" t="n">
        <v>1</v>
      </c>
      <c r="V1688" t="n">
        <v>1</v>
      </c>
      <c r="W1688" t="inlineStr">
        <is>
          <t>2005-10-05</t>
        </is>
      </c>
      <c r="X1688" t="inlineStr">
        <is>
          <t>2005-10-05</t>
        </is>
      </c>
      <c r="Y1688" t="inlineStr">
        <is>
          <t>2005-10-05</t>
        </is>
      </c>
      <c r="Z1688" t="inlineStr">
        <is>
          <t>2005-10-05</t>
        </is>
      </c>
      <c r="AA1688" t="n">
        <v>399</v>
      </c>
      <c r="AB1688" t="n">
        <v>276</v>
      </c>
      <c r="AC1688" t="n">
        <v>324</v>
      </c>
      <c r="AD1688" t="n">
        <v>4</v>
      </c>
      <c r="AE1688" t="n">
        <v>6</v>
      </c>
      <c r="AF1688" t="n">
        <v>17</v>
      </c>
      <c r="AG1688" t="n">
        <v>20</v>
      </c>
      <c r="AH1688" t="n">
        <v>3</v>
      </c>
      <c r="AI1688" t="n">
        <v>5</v>
      </c>
      <c r="AJ1688" t="n">
        <v>6</v>
      </c>
      <c r="AK1688" t="n">
        <v>6</v>
      </c>
      <c r="AL1688" t="n">
        <v>12</v>
      </c>
      <c r="AM1688" t="n">
        <v>14</v>
      </c>
      <c r="AN1688" t="n">
        <v>3</v>
      </c>
      <c r="AO1688" t="n">
        <v>4</v>
      </c>
      <c r="AP1688" t="n">
        <v>0</v>
      </c>
      <c r="AQ1688" t="n">
        <v>0</v>
      </c>
      <c r="AR1688" t="inlineStr">
        <is>
          <t>No</t>
        </is>
      </c>
      <c r="AS1688" t="inlineStr">
        <is>
          <t>No</t>
        </is>
      </c>
      <c r="AU1688">
        <f>HYPERLINK("https://creighton-primo.hosted.exlibrisgroup.com/primo-explore/search?tab=default_tab&amp;search_scope=EVERYTHING&amp;vid=01CRU&amp;lang=en_US&amp;offset=0&amp;query=any,contains,991004673459702656","Catalog Record")</f>
        <v/>
      </c>
      <c r="AV1688">
        <f>HYPERLINK("http://www.worldcat.org/oclc/11044774","WorldCat Record")</f>
        <v/>
      </c>
      <c r="AW1688" t="inlineStr">
        <is>
          <t>836674276:eng</t>
        </is>
      </c>
      <c r="AX1688" t="inlineStr">
        <is>
          <t>11044774</t>
        </is>
      </c>
      <c r="AY1688" t="inlineStr">
        <is>
          <t>991004673459702656</t>
        </is>
      </c>
      <c r="AZ1688" t="inlineStr">
        <is>
          <t>991004673459702656</t>
        </is>
      </c>
      <c r="BA1688" t="inlineStr">
        <is>
          <t>2261202960002656</t>
        </is>
      </c>
      <c r="BB1688" t="inlineStr">
        <is>
          <t>BOOK</t>
        </is>
      </c>
      <c r="BD1688" t="inlineStr">
        <is>
          <t>9780048000194</t>
        </is>
      </c>
      <c r="BE1688" t="inlineStr">
        <is>
          <t>32285005087654</t>
        </is>
      </c>
      <c r="BF1688" t="inlineStr">
        <is>
          <t>893436582</t>
        </is>
      </c>
    </row>
    <row r="1689">
      <c r="A1689" t="inlineStr">
        <is>
          <t>No</t>
        </is>
      </c>
      <c r="B1689" t="inlineStr">
        <is>
          <t>CURAL</t>
        </is>
      </c>
      <c r="C1689" t="inlineStr">
        <is>
          <t>SHELVES</t>
        </is>
      </c>
      <c r="D1689" t="inlineStr">
        <is>
          <t>PR442 .R38 1992</t>
        </is>
      </c>
      <c r="E1689" t="inlineStr">
        <is>
          <t>0                      PR 0442000R  38          1992</t>
        </is>
      </c>
      <c r="F1689" t="inlineStr">
        <is>
          <t>Reader entrapment in eighteenth-century literature / edited by Carl R. Kropf.</t>
        </is>
      </c>
      <c r="H1689" t="inlineStr">
        <is>
          <t>No</t>
        </is>
      </c>
      <c r="I1689" t="inlineStr">
        <is>
          <t>1</t>
        </is>
      </c>
      <c r="J1689" t="inlineStr">
        <is>
          <t>No</t>
        </is>
      </c>
      <c r="K1689" t="inlineStr">
        <is>
          <t>No</t>
        </is>
      </c>
      <c r="L1689" t="inlineStr">
        <is>
          <t>0</t>
        </is>
      </c>
      <c r="N1689" t="inlineStr">
        <is>
          <t>New York : AMS Press, c1992.</t>
        </is>
      </c>
      <c r="O1689" t="inlineStr">
        <is>
          <t>1992</t>
        </is>
      </c>
      <c r="Q1689" t="inlineStr">
        <is>
          <t>eng</t>
        </is>
      </c>
      <c r="R1689" t="inlineStr">
        <is>
          <t>nyu</t>
        </is>
      </c>
      <c r="S1689" t="inlineStr">
        <is>
          <t>Georgia State literary studies, 0884-8696 ; no. 8</t>
        </is>
      </c>
      <c r="T1689" t="inlineStr">
        <is>
          <t xml:space="preserve">PR </t>
        </is>
      </c>
      <c r="U1689" t="n">
        <v>2</v>
      </c>
      <c r="V1689" t="n">
        <v>2</v>
      </c>
      <c r="W1689" t="inlineStr">
        <is>
          <t>2000-11-21</t>
        </is>
      </c>
      <c r="X1689" t="inlineStr">
        <is>
          <t>2000-11-21</t>
        </is>
      </c>
      <c r="Y1689" t="inlineStr">
        <is>
          <t>1993-10-19</t>
        </is>
      </c>
      <c r="Z1689" t="inlineStr">
        <is>
          <t>1993-10-19</t>
        </is>
      </c>
      <c r="AA1689" t="n">
        <v>240</v>
      </c>
      <c r="AB1689" t="n">
        <v>181</v>
      </c>
      <c r="AC1689" t="n">
        <v>202</v>
      </c>
      <c r="AD1689" t="n">
        <v>2</v>
      </c>
      <c r="AE1689" t="n">
        <v>2</v>
      </c>
      <c r="AF1689" t="n">
        <v>8</v>
      </c>
      <c r="AG1689" t="n">
        <v>8</v>
      </c>
      <c r="AH1689" t="n">
        <v>2</v>
      </c>
      <c r="AI1689" t="n">
        <v>2</v>
      </c>
      <c r="AJ1689" t="n">
        <v>2</v>
      </c>
      <c r="AK1689" t="n">
        <v>2</v>
      </c>
      <c r="AL1689" t="n">
        <v>4</v>
      </c>
      <c r="AM1689" t="n">
        <v>4</v>
      </c>
      <c r="AN1689" t="n">
        <v>1</v>
      </c>
      <c r="AO1689" t="n">
        <v>1</v>
      </c>
      <c r="AP1689" t="n">
        <v>0</v>
      </c>
      <c r="AQ1689" t="n">
        <v>0</v>
      </c>
      <c r="AR1689" t="inlineStr">
        <is>
          <t>No</t>
        </is>
      </c>
      <c r="AS1689" t="inlineStr">
        <is>
          <t>Yes</t>
        </is>
      </c>
      <c r="AT1689">
        <f>HYPERLINK("http://catalog.hathitrust.org/Record/002574720","HathiTrust Record")</f>
        <v/>
      </c>
      <c r="AU1689">
        <f>HYPERLINK("https://creighton-primo.hosted.exlibrisgroup.com/primo-explore/search?tab=default_tab&amp;search_scope=EVERYTHING&amp;vid=01CRU&amp;lang=en_US&amp;offset=0&amp;query=any,contains,991001878949702656","Catalog Record")</f>
        <v/>
      </c>
      <c r="AV1689">
        <f>HYPERLINK("http://www.worldcat.org/oclc/23694107","WorldCat Record")</f>
        <v/>
      </c>
      <c r="AW1689" t="inlineStr">
        <is>
          <t>54662126:eng</t>
        </is>
      </c>
      <c r="AX1689" t="inlineStr">
        <is>
          <t>23694107</t>
        </is>
      </c>
      <c r="AY1689" t="inlineStr">
        <is>
          <t>991001878949702656</t>
        </is>
      </c>
      <c r="AZ1689" t="inlineStr">
        <is>
          <t>991001878949702656</t>
        </is>
      </c>
      <c r="BA1689" t="inlineStr">
        <is>
          <t>2260778680002656</t>
        </is>
      </c>
      <c r="BB1689" t="inlineStr">
        <is>
          <t>BOOK</t>
        </is>
      </c>
      <c r="BD1689" t="inlineStr">
        <is>
          <t>9780404632083</t>
        </is>
      </c>
      <c r="BE1689" t="inlineStr">
        <is>
          <t>32285001787513</t>
        </is>
      </c>
      <c r="BF1689" t="inlineStr">
        <is>
          <t>893250571</t>
        </is>
      </c>
    </row>
    <row r="1690">
      <c r="A1690" t="inlineStr">
        <is>
          <t>No</t>
        </is>
      </c>
      <c r="B1690" t="inlineStr">
        <is>
          <t>CURAL</t>
        </is>
      </c>
      <c r="C1690" t="inlineStr">
        <is>
          <t>SHELVES</t>
        </is>
      </c>
      <c r="D1690" t="inlineStr">
        <is>
          <t>PR442 .W5 1971</t>
        </is>
      </c>
      <c r="E1690" t="inlineStr">
        <is>
          <t>0                      PR 0442000W  5           1971</t>
        </is>
      </c>
      <c r="F1690" t="inlineStr">
        <is>
          <t>Backgrounds to eighteenth-century literature / Kathleen Williams.</t>
        </is>
      </c>
      <c r="H1690" t="inlineStr">
        <is>
          <t>No</t>
        </is>
      </c>
      <c r="I1690" t="inlineStr">
        <is>
          <t>1</t>
        </is>
      </c>
      <c r="J1690" t="inlineStr">
        <is>
          <t>No</t>
        </is>
      </c>
      <c r="K1690" t="inlineStr">
        <is>
          <t>No</t>
        </is>
      </c>
      <c r="L1690" t="inlineStr">
        <is>
          <t>0</t>
        </is>
      </c>
      <c r="M1690" t="inlineStr">
        <is>
          <t>Williams, Kathleen, -1974.</t>
        </is>
      </c>
      <c r="N1690" t="inlineStr">
        <is>
          <t>Scranton : Chandler Pub. Co., [1971]</t>
        </is>
      </c>
      <c r="O1690" t="inlineStr">
        <is>
          <t>1971</t>
        </is>
      </c>
      <c r="Q1690" t="inlineStr">
        <is>
          <t>eng</t>
        </is>
      </c>
      <c r="R1690" t="inlineStr">
        <is>
          <t>pau</t>
        </is>
      </c>
      <c r="S1690" t="inlineStr">
        <is>
          <t>Chandler publications in backgrounds to literature</t>
        </is>
      </c>
      <c r="T1690" t="inlineStr">
        <is>
          <t xml:space="preserve">PR </t>
        </is>
      </c>
      <c r="U1690" t="n">
        <v>2</v>
      </c>
      <c r="V1690" t="n">
        <v>2</v>
      </c>
      <c r="W1690" t="inlineStr">
        <is>
          <t>2005-10-01</t>
        </is>
      </c>
      <c r="X1690" t="inlineStr">
        <is>
          <t>2005-10-01</t>
        </is>
      </c>
      <c r="Y1690" t="inlineStr">
        <is>
          <t>2004-12-14</t>
        </is>
      </c>
      <c r="Z1690" t="inlineStr">
        <is>
          <t>2004-12-14</t>
        </is>
      </c>
      <c r="AA1690" t="n">
        <v>301</v>
      </c>
      <c r="AB1690" t="n">
        <v>233</v>
      </c>
      <c r="AC1690" t="n">
        <v>238</v>
      </c>
      <c r="AD1690" t="n">
        <v>5</v>
      </c>
      <c r="AE1690" t="n">
        <v>5</v>
      </c>
      <c r="AF1690" t="n">
        <v>10</v>
      </c>
      <c r="AG1690" t="n">
        <v>10</v>
      </c>
      <c r="AH1690" t="n">
        <v>3</v>
      </c>
      <c r="AI1690" t="n">
        <v>3</v>
      </c>
      <c r="AJ1690" t="n">
        <v>0</v>
      </c>
      <c r="AK1690" t="n">
        <v>0</v>
      </c>
      <c r="AL1690" t="n">
        <v>5</v>
      </c>
      <c r="AM1690" t="n">
        <v>5</v>
      </c>
      <c r="AN1690" t="n">
        <v>4</v>
      </c>
      <c r="AO1690" t="n">
        <v>4</v>
      </c>
      <c r="AP1690" t="n">
        <v>0</v>
      </c>
      <c r="AQ1690" t="n">
        <v>0</v>
      </c>
      <c r="AR1690" t="inlineStr">
        <is>
          <t>No</t>
        </is>
      </c>
      <c r="AS1690" t="inlineStr">
        <is>
          <t>Yes</t>
        </is>
      </c>
      <c r="AT1690">
        <f>HYPERLINK("http://catalog.hathitrust.org/Record/010072888","HathiTrust Record")</f>
        <v/>
      </c>
      <c r="AU1690">
        <f>HYPERLINK("https://creighton-primo.hosted.exlibrisgroup.com/primo-explore/search?tab=default_tab&amp;search_scope=EVERYTHING&amp;vid=01CRU&amp;lang=en_US&amp;offset=0&amp;query=any,contains,991004437819702656","Catalog Record")</f>
        <v/>
      </c>
      <c r="AV1690">
        <f>HYPERLINK("http://www.worldcat.org/oclc/147504","WorldCat Record")</f>
        <v/>
      </c>
      <c r="AW1690" t="inlineStr">
        <is>
          <t>908548740:eng</t>
        </is>
      </c>
      <c r="AX1690" t="inlineStr">
        <is>
          <t>147504</t>
        </is>
      </c>
      <c r="AY1690" t="inlineStr">
        <is>
          <t>991004437819702656</t>
        </is>
      </c>
      <c r="AZ1690" t="inlineStr">
        <is>
          <t>991004437819702656</t>
        </is>
      </c>
      <c r="BA1690" t="inlineStr">
        <is>
          <t>2258907570002656</t>
        </is>
      </c>
      <c r="BB1690" t="inlineStr">
        <is>
          <t>BOOK</t>
        </is>
      </c>
      <c r="BD1690" t="inlineStr">
        <is>
          <t>9780810204034</t>
        </is>
      </c>
      <c r="BE1690" t="inlineStr">
        <is>
          <t>32285005017354</t>
        </is>
      </c>
      <c r="BF1690" t="inlineStr">
        <is>
          <t>893319227</t>
        </is>
      </c>
    </row>
    <row r="1691">
      <c r="A1691" t="inlineStr">
        <is>
          <t>No</t>
        </is>
      </c>
      <c r="B1691" t="inlineStr">
        <is>
          <t>CURAL</t>
        </is>
      </c>
      <c r="C1691" t="inlineStr">
        <is>
          <t>SHELVES</t>
        </is>
      </c>
      <c r="D1691" t="inlineStr">
        <is>
          <t>PR4429 .B7</t>
        </is>
      </c>
      <c r="E1691" t="inlineStr">
        <is>
          <t>0                      PR 4429000B  7</t>
        </is>
      </c>
      <c r="F1691" t="inlineStr">
        <is>
          <t>The rhetorical form of Carlyle's Sartor resartus [by] Gerry H. Brookes.</t>
        </is>
      </c>
      <c r="H1691" t="inlineStr">
        <is>
          <t>No</t>
        </is>
      </c>
      <c r="I1691" t="inlineStr">
        <is>
          <t>1</t>
        </is>
      </c>
      <c r="J1691" t="inlineStr">
        <is>
          <t>No</t>
        </is>
      </c>
      <c r="K1691" t="inlineStr">
        <is>
          <t>No</t>
        </is>
      </c>
      <c r="L1691" t="inlineStr">
        <is>
          <t>0</t>
        </is>
      </c>
      <c r="M1691" t="inlineStr">
        <is>
          <t>Brookes, Gerry H.</t>
        </is>
      </c>
      <c r="N1691" t="inlineStr">
        <is>
          <t>Berkeley, University of California Press [1972]</t>
        </is>
      </c>
      <c r="O1691" t="inlineStr">
        <is>
          <t>1972</t>
        </is>
      </c>
      <c r="Q1691" t="inlineStr">
        <is>
          <t>eng</t>
        </is>
      </c>
      <c r="R1691" t="inlineStr">
        <is>
          <t>cau</t>
        </is>
      </c>
      <c r="T1691" t="inlineStr">
        <is>
          <t xml:space="preserve">PR </t>
        </is>
      </c>
      <c r="U1691" t="n">
        <v>5</v>
      </c>
      <c r="V1691" t="n">
        <v>5</v>
      </c>
      <c r="W1691" t="inlineStr">
        <is>
          <t>1999-09-05</t>
        </is>
      </c>
      <c r="X1691" t="inlineStr">
        <is>
          <t>1999-09-05</t>
        </is>
      </c>
      <c r="Y1691" t="inlineStr">
        <is>
          <t>1997-06-25</t>
        </is>
      </c>
      <c r="Z1691" t="inlineStr">
        <is>
          <t>1997-06-25</t>
        </is>
      </c>
      <c r="AA1691" t="n">
        <v>564</v>
      </c>
      <c r="AB1691" t="n">
        <v>443</v>
      </c>
      <c r="AC1691" t="n">
        <v>449</v>
      </c>
      <c r="AD1691" t="n">
        <v>4</v>
      </c>
      <c r="AE1691" t="n">
        <v>4</v>
      </c>
      <c r="AF1691" t="n">
        <v>22</v>
      </c>
      <c r="AG1691" t="n">
        <v>22</v>
      </c>
      <c r="AH1691" t="n">
        <v>7</v>
      </c>
      <c r="AI1691" t="n">
        <v>7</v>
      </c>
      <c r="AJ1691" t="n">
        <v>5</v>
      </c>
      <c r="AK1691" t="n">
        <v>5</v>
      </c>
      <c r="AL1691" t="n">
        <v>11</v>
      </c>
      <c r="AM1691" t="n">
        <v>11</v>
      </c>
      <c r="AN1691" t="n">
        <v>3</v>
      </c>
      <c r="AO1691" t="n">
        <v>3</v>
      </c>
      <c r="AP1691" t="n">
        <v>0</v>
      </c>
      <c r="AQ1691" t="n">
        <v>0</v>
      </c>
      <c r="AR1691" t="inlineStr">
        <is>
          <t>No</t>
        </is>
      </c>
      <c r="AS1691" t="inlineStr">
        <is>
          <t>No</t>
        </is>
      </c>
      <c r="AU1691">
        <f>HYPERLINK("https://creighton-primo.hosted.exlibrisgroup.com/primo-explore/search?tab=default_tab&amp;search_scope=EVERYTHING&amp;vid=01CRU&amp;lang=en_US&amp;offset=0&amp;query=any,contains,991002884859702656","Catalog Record")</f>
        <v/>
      </c>
      <c r="AV1691">
        <f>HYPERLINK("http://www.worldcat.org/oclc/507933","WorldCat Record")</f>
        <v/>
      </c>
      <c r="AW1691" t="inlineStr">
        <is>
          <t>1458410:eng</t>
        </is>
      </c>
      <c r="AX1691" t="inlineStr">
        <is>
          <t>507933</t>
        </is>
      </c>
      <c r="AY1691" t="inlineStr">
        <is>
          <t>991002884859702656</t>
        </is>
      </c>
      <c r="AZ1691" t="inlineStr">
        <is>
          <t>991002884859702656</t>
        </is>
      </c>
      <c r="BA1691" t="inlineStr">
        <is>
          <t>2260306380002656</t>
        </is>
      </c>
      <c r="BB1691" t="inlineStr">
        <is>
          <t>BOOK</t>
        </is>
      </c>
      <c r="BD1691" t="inlineStr">
        <is>
          <t>9780520022133</t>
        </is>
      </c>
      <c r="BE1691" t="inlineStr">
        <is>
          <t>32285002835477</t>
        </is>
      </c>
      <c r="BF1691" t="inlineStr">
        <is>
          <t>893610421</t>
        </is>
      </c>
    </row>
    <row r="1692">
      <c r="A1692" t="inlineStr">
        <is>
          <t>No</t>
        </is>
      </c>
      <c r="B1692" t="inlineStr">
        <is>
          <t>CURAL</t>
        </is>
      </c>
      <c r="C1692" t="inlineStr">
        <is>
          <t>SHELVES</t>
        </is>
      </c>
      <c r="D1692" t="inlineStr">
        <is>
          <t>PR443 .R4</t>
        </is>
      </c>
      <c r="E1692" t="inlineStr">
        <is>
          <t>0                      PR 0443000R  4</t>
        </is>
      </c>
      <c r="F1692" t="inlineStr">
        <is>
          <t>Portraits : character sketches of Oliver Goldsmith, Samuel Johnson, and David Garrick, together with other manuscripts of Reynolds discovered among the Boswell papers and now first published / prepared for the press with introductions and notes by Frederick W. Hilles.</t>
        </is>
      </c>
      <c r="H1692" t="inlineStr">
        <is>
          <t>No</t>
        </is>
      </c>
      <c r="I1692" t="inlineStr">
        <is>
          <t>1</t>
        </is>
      </c>
      <c r="J1692" t="inlineStr">
        <is>
          <t>No</t>
        </is>
      </c>
      <c r="K1692" t="inlineStr">
        <is>
          <t>No</t>
        </is>
      </c>
      <c r="L1692" t="inlineStr">
        <is>
          <t>0</t>
        </is>
      </c>
      <c r="M1692" t="inlineStr">
        <is>
          <t>Reynolds, Joshua, Sir, 1723-1792.</t>
        </is>
      </c>
      <c r="N1692" t="inlineStr">
        <is>
          <t>New York, McGraw-Hill [1952]</t>
        </is>
      </c>
      <c r="O1692" t="inlineStr">
        <is>
          <t>1952</t>
        </is>
      </c>
      <c r="P1692" t="inlineStr">
        <is>
          <t>[1st ed.]</t>
        </is>
      </c>
      <c r="Q1692" t="inlineStr">
        <is>
          <t>eng</t>
        </is>
      </c>
      <c r="R1692" t="inlineStr">
        <is>
          <t>nyu</t>
        </is>
      </c>
      <c r="S1692" t="inlineStr">
        <is>
          <t>The Yale editions of the private papers of James Boswell</t>
        </is>
      </c>
      <c r="T1692" t="inlineStr">
        <is>
          <t xml:space="preserve">PR </t>
        </is>
      </c>
      <c r="U1692" t="n">
        <v>3</v>
      </c>
      <c r="V1692" t="n">
        <v>3</v>
      </c>
      <c r="W1692" t="inlineStr">
        <is>
          <t>1997-09-24</t>
        </is>
      </c>
      <c r="X1692" t="inlineStr">
        <is>
          <t>1997-09-24</t>
        </is>
      </c>
      <c r="Y1692" t="inlineStr">
        <is>
          <t>1997-08-22</t>
        </is>
      </c>
      <c r="Z1692" t="inlineStr">
        <is>
          <t>1997-08-22</t>
        </is>
      </c>
      <c r="AA1692" t="n">
        <v>529</v>
      </c>
      <c r="AB1692" t="n">
        <v>509</v>
      </c>
      <c r="AC1692" t="n">
        <v>517</v>
      </c>
      <c r="AD1692" t="n">
        <v>4</v>
      </c>
      <c r="AE1692" t="n">
        <v>4</v>
      </c>
      <c r="AF1692" t="n">
        <v>15</v>
      </c>
      <c r="AG1692" t="n">
        <v>15</v>
      </c>
      <c r="AH1692" t="n">
        <v>6</v>
      </c>
      <c r="AI1692" t="n">
        <v>6</v>
      </c>
      <c r="AJ1692" t="n">
        <v>3</v>
      </c>
      <c r="AK1692" t="n">
        <v>3</v>
      </c>
      <c r="AL1692" t="n">
        <v>7</v>
      </c>
      <c r="AM1692" t="n">
        <v>7</v>
      </c>
      <c r="AN1692" t="n">
        <v>2</v>
      </c>
      <c r="AO1692" t="n">
        <v>2</v>
      </c>
      <c r="AP1692" t="n">
        <v>0</v>
      </c>
      <c r="AQ1692" t="n">
        <v>0</v>
      </c>
      <c r="AR1692" t="inlineStr">
        <is>
          <t>No</t>
        </is>
      </c>
      <c r="AS1692" t="inlineStr">
        <is>
          <t>Yes</t>
        </is>
      </c>
      <c r="AT1692">
        <f>HYPERLINK("http://catalog.hathitrust.org/Record/001019436","HathiTrust Record")</f>
        <v/>
      </c>
      <c r="AU1692">
        <f>HYPERLINK("https://creighton-primo.hosted.exlibrisgroup.com/primo-explore/search?tab=default_tab&amp;search_scope=EVERYTHING&amp;vid=01CRU&amp;lang=en_US&amp;offset=0&amp;query=any,contains,991003782439702656","Catalog Record")</f>
        <v/>
      </c>
      <c r="AV1692">
        <f>HYPERLINK("http://www.worldcat.org/oclc/1496353","WorldCat Record")</f>
        <v/>
      </c>
      <c r="AW1692" t="inlineStr">
        <is>
          <t>3855530492:eng</t>
        </is>
      </c>
      <c r="AX1692" t="inlineStr">
        <is>
          <t>1496353</t>
        </is>
      </c>
      <c r="AY1692" t="inlineStr">
        <is>
          <t>991003782439702656</t>
        </is>
      </c>
      <c r="AZ1692" t="inlineStr">
        <is>
          <t>991003782439702656</t>
        </is>
      </c>
      <c r="BA1692" t="inlineStr">
        <is>
          <t>2270120090002656</t>
        </is>
      </c>
      <c r="BB1692" t="inlineStr">
        <is>
          <t>BOOK</t>
        </is>
      </c>
      <c r="BE1692" t="inlineStr">
        <is>
          <t>32285003151809</t>
        </is>
      </c>
      <c r="BF1692" t="inlineStr">
        <is>
          <t>893699411</t>
        </is>
      </c>
    </row>
    <row r="1693">
      <c r="A1693" t="inlineStr">
        <is>
          <t>No</t>
        </is>
      </c>
      <c r="B1693" t="inlineStr">
        <is>
          <t>CURAL</t>
        </is>
      </c>
      <c r="C1693" t="inlineStr">
        <is>
          <t>SHELVES</t>
        </is>
      </c>
      <c r="D1693" t="inlineStr">
        <is>
          <t>PR4433 .F742 1978</t>
        </is>
      </c>
      <c r="E1693" t="inlineStr">
        <is>
          <t>0                      PR 4433000F  742         1978</t>
        </is>
      </c>
      <c r="F1693" t="inlineStr">
        <is>
          <t>Froude's Life of Carlyle / abridged and edited by John Clubbe.</t>
        </is>
      </c>
      <c r="H1693" t="inlineStr">
        <is>
          <t>No</t>
        </is>
      </c>
      <c r="I1693" t="inlineStr">
        <is>
          <t>1</t>
        </is>
      </c>
      <c r="J1693" t="inlineStr">
        <is>
          <t>No</t>
        </is>
      </c>
      <c r="K1693" t="inlineStr">
        <is>
          <t>No</t>
        </is>
      </c>
      <c r="L1693" t="inlineStr">
        <is>
          <t>0</t>
        </is>
      </c>
      <c r="M1693" t="inlineStr">
        <is>
          <t>Froude, James Anthony, 1818-1894.</t>
        </is>
      </c>
      <c r="N1693" t="inlineStr">
        <is>
          <t>Columbus : Ohio State University Press, [1978]</t>
        </is>
      </c>
      <c r="O1693" t="inlineStr">
        <is>
          <t>1978</t>
        </is>
      </c>
      <c r="Q1693" t="inlineStr">
        <is>
          <t>eng</t>
        </is>
      </c>
      <c r="R1693" t="inlineStr">
        <is>
          <t>ohu</t>
        </is>
      </c>
      <c r="T1693" t="inlineStr">
        <is>
          <t xml:space="preserve">PR </t>
        </is>
      </c>
      <c r="U1693" t="n">
        <v>6</v>
      </c>
      <c r="V1693" t="n">
        <v>6</v>
      </c>
      <c r="W1693" t="inlineStr">
        <is>
          <t>1996-02-05</t>
        </is>
      </c>
      <c r="X1693" t="inlineStr">
        <is>
          <t>1996-02-05</t>
        </is>
      </c>
      <c r="Y1693" t="inlineStr">
        <is>
          <t>1991-11-05</t>
        </is>
      </c>
      <c r="Z1693" t="inlineStr">
        <is>
          <t>1991-11-05</t>
        </is>
      </c>
      <c r="AA1693" t="n">
        <v>468</v>
      </c>
      <c r="AB1693" t="n">
        <v>428</v>
      </c>
      <c r="AC1693" t="n">
        <v>464</v>
      </c>
      <c r="AD1693" t="n">
        <v>4</v>
      </c>
      <c r="AE1693" t="n">
        <v>4</v>
      </c>
      <c r="AF1693" t="n">
        <v>18</v>
      </c>
      <c r="AG1693" t="n">
        <v>18</v>
      </c>
      <c r="AH1693" t="n">
        <v>7</v>
      </c>
      <c r="AI1693" t="n">
        <v>7</v>
      </c>
      <c r="AJ1693" t="n">
        <v>6</v>
      </c>
      <c r="AK1693" t="n">
        <v>6</v>
      </c>
      <c r="AL1693" t="n">
        <v>6</v>
      </c>
      <c r="AM1693" t="n">
        <v>6</v>
      </c>
      <c r="AN1693" t="n">
        <v>3</v>
      </c>
      <c r="AO1693" t="n">
        <v>3</v>
      </c>
      <c r="AP1693" t="n">
        <v>0</v>
      </c>
      <c r="AQ1693" t="n">
        <v>0</v>
      </c>
      <c r="AR1693" t="inlineStr">
        <is>
          <t>No</t>
        </is>
      </c>
      <c r="AS1693" t="inlineStr">
        <is>
          <t>Yes</t>
        </is>
      </c>
      <c r="AT1693">
        <f>HYPERLINK("http://catalog.hathitrust.org/Record/000176651","HathiTrust Record")</f>
        <v/>
      </c>
      <c r="AU1693">
        <f>HYPERLINK("https://creighton-primo.hosted.exlibrisgroup.com/primo-explore/search?tab=default_tab&amp;search_scope=EVERYTHING&amp;vid=01CRU&amp;lang=en_US&amp;offset=0&amp;query=any,contains,991004565199702656","Catalog Record")</f>
        <v/>
      </c>
      <c r="AV1693">
        <f>HYPERLINK("http://www.worldcat.org/oclc/4004324","WorldCat Record")</f>
        <v/>
      </c>
      <c r="AW1693" t="inlineStr">
        <is>
          <t>3520593:eng</t>
        </is>
      </c>
      <c r="AX1693" t="inlineStr">
        <is>
          <t>4004324</t>
        </is>
      </c>
      <c r="AY1693" t="inlineStr">
        <is>
          <t>991004565199702656</t>
        </is>
      </c>
      <c r="AZ1693" t="inlineStr">
        <is>
          <t>991004565199702656</t>
        </is>
      </c>
      <c r="BA1693" t="inlineStr">
        <is>
          <t>2264922460002656</t>
        </is>
      </c>
      <c r="BB1693" t="inlineStr">
        <is>
          <t>BOOK</t>
        </is>
      </c>
      <c r="BD1693" t="inlineStr">
        <is>
          <t>9780814202746</t>
        </is>
      </c>
      <c r="BE1693" t="inlineStr">
        <is>
          <t>32285000796374</t>
        </is>
      </c>
      <c r="BF1693" t="inlineStr">
        <is>
          <t>893500738</t>
        </is>
      </c>
    </row>
    <row r="1694">
      <c r="A1694" t="inlineStr">
        <is>
          <t>No</t>
        </is>
      </c>
      <c r="B1694" t="inlineStr">
        <is>
          <t>CURAL</t>
        </is>
      </c>
      <c r="C1694" t="inlineStr">
        <is>
          <t>SHELVES</t>
        </is>
      </c>
      <c r="D1694" t="inlineStr">
        <is>
          <t>PR4433 .H44 1995</t>
        </is>
      </c>
      <c r="E1694" t="inlineStr">
        <is>
          <t>0                      PR 4433000H  44          1995</t>
        </is>
      </c>
      <c r="F1694" t="inlineStr">
        <is>
          <t>Moral desperado : a life of Thomas Carlyle / Simon Heffer.</t>
        </is>
      </c>
      <c r="H1694" t="inlineStr">
        <is>
          <t>No</t>
        </is>
      </c>
      <c r="I1694" t="inlineStr">
        <is>
          <t>1</t>
        </is>
      </c>
      <c r="J1694" t="inlineStr">
        <is>
          <t>No</t>
        </is>
      </c>
      <c r="K1694" t="inlineStr">
        <is>
          <t>No</t>
        </is>
      </c>
      <c r="L1694" t="inlineStr">
        <is>
          <t>0</t>
        </is>
      </c>
      <c r="M1694" t="inlineStr">
        <is>
          <t>Heffer, Simon.</t>
        </is>
      </c>
      <c r="N1694" t="inlineStr">
        <is>
          <t>London : Weidenfeld and Nicolson, c1995.</t>
        </is>
      </c>
      <c r="O1694" t="inlineStr">
        <is>
          <t>1995</t>
        </is>
      </c>
      <c r="Q1694" t="inlineStr">
        <is>
          <t>eng</t>
        </is>
      </c>
      <c r="R1694" t="inlineStr">
        <is>
          <t>enk</t>
        </is>
      </c>
      <c r="T1694" t="inlineStr">
        <is>
          <t xml:space="preserve">PR </t>
        </is>
      </c>
      <c r="U1694" t="n">
        <v>7</v>
      </c>
      <c r="V1694" t="n">
        <v>7</v>
      </c>
      <c r="W1694" t="inlineStr">
        <is>
          <t>2005-12-14</t>
        </is>
      </c>
      <c r="X1694" t="inlineStr">
        <is>
          <t>2005-12-14</t>
        </is>
      </c>
      <c r="Y1694" t="inlineStr">
        <is>
          <t>1997-04-30</t>
        </is>
      </c>
      <c r="Z1694" t="inlineStr">
        <is>
          <t>1997-04-30</t>
        </is>
      </c>
      <c r="AA1694" t="n">
        <v>550</v>
      </c>
      <c r="AB1694" t="n">
        <v>397</v>
      </c>
      <c r="AC1694" t="n">
        <v>414</v>
      </c>
      <c r="AD1694" t="n">
        <v>3</v>
      </c>
      <c r="AE1694" t="n">
        <v>3</v>
      </c>
      <c r="AF1694" t="n">
        <v>26</v>
      </c>
      <c r="AG1694" t="n">
        <v>26</v>
      </c>
      <c r="AH1694" t="n">
        <v>11</v>
      </c>
      <c r="AI1694" t="n">
        <v>11</v>
      </c>
      <c r="AJ1694" t="n">
        <v>7</v>
      </c>
      <c r="AK1694" t="n">
        <v>7</v>
      </c>
      <c r="AL1694" t="n">
        <v>14</v>
      </c>
      <c r="AM1694" t="n">
        <v>14</v>
      </c>
      <c r="AN1694" t="n">
        <v>2</v>
      </c>
      <c r="AO1694" t="n">
        <v>2</v>
      </c>
      <c r="AP1694" t="n">
        <v>0</v>
      </c>
      <c r="AQ1694" t="n">
        <v>0</v>
      </c>
      <c r="AR1694" t="inlineStr">
        <is>
          <t>No</t>
        </is>
      </c>
      <c r="AS1694" t="inlineStr">
        <is>
          <t>No</t>
        </is>
      </c>
      <c r="AU1694">
        <f>HYPERLINK("https://creighton-primo.hosted.exlibrisgroup.com/primo-explore/search?tab=default_tab&amp;search_scope=EVERYTHING&amp;vid=01CRU&amp;lang=en_US&amp;offset=0&amp;query=any,contains,991002487589702656","Catalog Record")</f>
        <v/>
      </c>
      <c r="AV1694">
        <f>HYPERLINK("http://www.worldcat.org/oclc/32375053","WorldCat Record")</f>
        <v/>
      </c>
      <c r="AW1694" t="inlineStr">
        <is>
          <t>836907737:eng</t>
        </is>
      </c>
      <c r="AX1694" t="inlineStr">
        <is>
          <t>32375053</t>
        </is>
      </c>
      <c r="AY1694" t="inlineStr">
        <is>
          <t>991002487589702656</t>
        </is>
      </c>
      <c r="AZ1694" t="inlineStr">
        <is>
          <t>991002487589702656</t>
        </is>
      </c>
      <c r="BA1694" t="inlineStr">
        <is>
          <t>2257625860002656</t>
        </is>
      </c>
      <c r="BB1694" t="inlineStr">
        <is>
          <t>BOOK</t>
        </is>
      </c>
      <c r="BD1694" t="inlineStr">
        <is>
          <t>9780297815648</t>
        </is>
      </c>
      <c r="BE1694" t="inlineStr">
        <is>
          <t>32285002542834</t>
        </is>
      </c>
      <c r="BF1694" t="inlineStr">
        <is>
          <t>893779870</t>
        </is>
      </c>
    </row>
    <row r="1695">
      <c r="A1695" t="inlineStr">
        <is>
          <t>No</t>
        </is>
      </c>
      <c r="B1695" t="inlineStr">
        <is>
          <t>CURAL</t>
        </is>
      </c>
      <c r="C1695" t="inlineStr">
        <is>
          <t>SHELVES</t>
        </is>
      </c>
      <c r="D1695" t="inlineStr">
        <is>
          <t>PR4433 .K3 1983</t>
        </is>
      </c>
      <c r="E1695" t="inlineStr">
        <is>
          <t>0                      PR 4433000K  3           1983</t>
        </is>
      </c>
      <c r="F1695" t="inlineStr">
        <is>
          <t>Thomas Carlyle : a biography / Fred Kaplan.</t>
        </is>
      </c>
      <c r="H1695" t="inlineStr">
        <is>
          <t>No</t>
        </is>
      </c>
      <c r="I1695" t="inlineStr">
        <is>
          <t>1</t>
        </is>
      </c>
      <c r="J1695" t="inlineStr">
        <is>
          <t>No</t>
        </is>
      </c>
      <c r="K1695" t="inlineStr">
        <is>
          <t>No</t>
        </is>
      </c>
      <c r="L1695" t="inlineStr">
        <is>
          <t>0</t>
        </is>
      </c>
      <c r="M1695" t="inlineStr">
        <is>
          <t>Kaplan, Fred, 1937-</t>
        </is>
      </c>
      <c r="N1695" t="inlineStr">
        <is>
          <t>Ithaca, N.Y. : Cornell University Press, 1983.</t>
        </is>
      </c>
      <c r="O1695" t="inlineStr">
        <is>
          <t>1983</t>
        </is>
      </c>
      <c r="Q1695" t="inlineStr">
        <is>
          <t>eng</t>
        </is>
      </c>
      <c r="R1695" t="inlineStr">
        <is>
          <t>nyu</t>
        </is>
      </c>
      <c r="T1695" t="inlineStr">
        <is>
          <t xml:space="preserve">PR </t>
        </is>
      </c>
      <c r="U1695" t="n">
        <v>8</v>
      </c>
      <c r="V1695" t="n">
        <v>8</v>
      </c>
      <c r="W1695" t="inlineStr">
        <is>
          <t>2006-05-04</t>
        </is>
      </c>
      <c r="X1695" t="inlineStr">
        <is>
          <t>2006-05-04</t>
        </is>
      </c>
      <c r="Y1695" t="inlineStr">
        <is>
          <t>1990-02-08</t>
        </is>
      </c>
      <c r="Z1695" t="inlineStr">
        <is>
          <t>1990-02-08</t>
        </is>
      </c>
      <c r="AA1695" t="n">
        <v>1025</v>
      </c>
      <c r="AB1695" t="n">
        <v>921</v>
      </c>
      <c r="AC1695" t="n">
        <v>1159</v>
      </c>
      <c r="AD1695" t="n">
        <v>10</v>
      </c>
      <c r="AE1695" t="n">
        <v>12</v>
      </c>
      <c r="AF1695" t="n">
        <v>50</v>
      </c>
      <c r="AG1695" t="n">
        <v>57</v>
      </c>
      <c r="AH1695" t="n">
        <v>20</v>
      </c>
      <c r="AI1695" t="n">
        <v>23</v>
      </c>
      <c r="AJ1695" t="n">
        <v>11</v>
      </c>
      <c r="AK1695" t="n">
        <v>11</v>
      </c>
      <c r="AL1695" t="n">
        <v>24</v>
      </c>
      <c r="AM1695" t="n">
        <v>26</v>
      </c>
      <c r="AN1695" t="n">
        <v>9</v>
      </c>
      <c r="AO1695" t="n">
        <v>11</v>
      </c>
      <c r="AP1695" t="n">
        <v>0</v>
      </c>
      <c r="AQ1695" t="n">
        <v>0</v>
      </c>
      <c r="AR1695" t="inlineStr">
        <is>
          <t>No</t>
        </is>
      </c>
      <c r="AS1695" t="inlineStr">
        <is>
          <t>Yes</t>
        </is>
      </c>
      <c r="AT1695">
        <f>HYPERLINK("http://catalog.hathitrust.org/Record/000116844","HathiTrust Record")</f>
        <v/>
      </c>
      <c r="AU1695">
        <f>HYPERLINK("https://creighton-primo.hosted.exlibrisgroup.com/primo-explore/search?tab=default_tab&amp;search_scope=EVERYTHING&amp;vid=01CRU&amp;lang=en_US&amp;offset=0&amp;query=any,contains,991000190029702656","Catalog Record")</f>
        <v/>
      </c>
      <c r="AV1695">
        <f>HYPERLINK("http://www.worldcat.org/oclc/9412014","WorldCat Record")</f>
        <v/>
      </c>
      <c r="AW1695" t="inlineStr">
        <is>
          <t>319964710:eng</t>
        </is>
      </c>
      <c r="AX1695" t="inlineStr">
        <is>
          <t>9412014</t>
        </is>
      </c>
      <c r="AY1695" t="inlineStr">
        <is>
          <t>991000190029702656</t>
        </is>
      </c>
      <c r="AZ1695" t="inlineStr">
        <is>
          <t>991000190029702656</t>
        </is>
      </c>
      <c r="BA1695" t="inlineStr">
        <is>
          <t>2261489240002656</t>
        </is>
      </c>
      <c r="BB1695" t="inlineStr">
        <is>
          <t>BOOK</t>
        </is>
      </c>
      <c r="BD1695" t="inlineStr">
        <is>
          <t>9780801415081</t>
        </is>
      </c>
      <c r="BE1695" t="inlineStr">
        <is>
          <t>32285000034073</t>
        </is>
      </c>
      <c r="BF1695" t="inlineStr">
        <is>
          <t>893589259</t>
        </is>
      </c>
    </row>
    <row r="1696">
      <c r="A1696" t="inlineStr">
        <is>
          <t>No</t>
        </is>
      </c>
      <c r="B1696" t="inlineStr">
        <is>
          <t>CURAL</t>
        </is>
      </c>
      <c r="C1696" t="inlineStr">
        <is>
          <t>SHELVES</t>
        </is>
      </c>
      <c r="D1696" t="inlineStr">
        <is>
          <t>PR4433 .R3</t>
        </is>
      </c>
      <c r="E1696" t="inlineStr">
        <is>
          <t>0                      PR 4433000R  3</t>
        </is>
      </c>
      <c r="F1696" t="inlineStr">
        <is>
          <t>Guide to Carlyle / by Augustus Ralli.</t>
        </is>
      </c>
      <c r="G1696" t="inlineStr">
        <is>
          <t>V.1</t>
        </is>
      </c>
      <c r="H1696" t="inlineStr">
        <is>
          <t>Yes</t>
        </is>
      </c>
      <c r="I1696" t="inlineStr">
        <is>
          <t>1</t>
        </is>
      </c>
      <c r="J1696" t="inlineStr">
        <is>
          <t>No</t>
        </is>
      </c>
      <c r="K1696" t="inlineStr">
        <is>
          <t>No</t>
        </is>
      </c>
      <c r="L1696" t="inlineStr">
        <is>
          <t>0</t>
        </is>
      </c>
      <c r="M1696" t="inlineStr">
        <is>
          <t>Ralli, Augustus, 1875-</t>
        </is>
      </c>
      <c r="N1696" t="inlineStr">
        <is>
          <t>London : G. Allen &amp; Unwin ltd., [1920]</t>
        </is>
      </c>
      <c r="O1696" t="inlineStr">
        <is>
          <t>1920</t>
        </is>
      </c>
      <c r="Q1696" t="inlineStr">
        <is>
          <t>eng</t>
        </is>
      </c>
      <c r="R1696" t="inlineStr">
        <is>
          <t>enk</t>
        </is>
      </c>
      <c r="T1696" t="inlineStr">
        <is>
          <t xml:space="preserve">PR </t>
        </is>
      </c>
      <c r="U1696" t="n">
        <v>3</v>
      </c>
      <c r="V1696" t="n">
        <v>7</v>
      </c>
      <c r="W1696" t="inlineStr">
        <is>
          <t>1995-10-22</t>
        </is>
      </c>
      <c r="X1696" t="inlineStr">
        <is>
          <t>1997-09-10</t>
        </is>
      </c>
      <c r="Y1696" t="inlineStr">
        <is>
          <t>1993-05-18</t>
        </is>
      </c>
      <c r="Z1696" t="inlineStr">
        <is>
          <t>1993-05-18</t>
        </is>
      </c>
      <c r="AA1696" t="n">
        <v>346</v>
      </c>
      <c r="AB1696" t="n">
        <v>304</v>
      </c>
      <c r="AC1696" t="n">
        <v>318</v>
      </c>
      <c r="AD1696" t="n">
        <v>4</v>
      </c>
      <c r="AE1696" t="n">
        <v>4</v>
      </c>
      <c r="AF1696" t="n">
        <v>19</v>
      </c>
      <c r="AG1696" t="n">
        <v>19</v>
      </c>
      <c r="AH1696" t="n">
        <v>7</v>
      </c>
      <c r="AI1696" t="n">
        <v>7</v>
      </c>
      <c r="AJ1696" t="n">
        <v>4</v>
      </c>
      <c r="AK1696" t="n">
        <v>4</v>
      </c>
      <c r="AL1696" t="n">
        <v>9</v>
      </c>
      <c r="AM1696" t="n">
        <v>9</v>
      </c>
      <c r="AN1696" t="n">
        <v>3</v>
      </c>
      <c r="AO1696" t="n">
        <v>3</v>
      </c>
      <c r="AP1696" t="n">
        <v>0</v>
      </c>
      <c r="AQ1696" t="n">
        <v>0</v>
      </c>
      <c r="AR1696" t="inlineStr">
        <is>
          <t>Yes</t>
        </is>
      </c>
      <c r="AS1696" t="inlineStr">
        <is>
          <t>No</t>
        </is>
      </c>
      <c r="AT1696">
        <f>HYPERLINK("http://catalog.hathitrust.org/Record/000625167","HathiTrust Record")</f>
        <v/>
      </c>
      <c r="AU1696">
        <f>HYPERLINK("https://creighton-primo.hosted.exlibrisgroup.com/primo-explore/search?tab=default_tab&amp;search_scope=EVERYTHING&amp;vid=01CRU&amp;lang=en_US&amp;offset=0&amp;query=any,contains,991002468179702656","Catalog Record")</f>
        <v/>
      </c>
      <c r="AV1696">
        <f>HYPERLINK("http://www.worldcat.org/oclc/358118","WorldCat Record")</f>
        <v/>
      </c>
      <c r="AW1696" t="inlineStr">
        <is>
          <t>10278524540:eng</t>
        </is>
      </c>
      <c r="AX1696" t="inlineStr">
        <is>
          <t>358118</t>
        </is>
      </c>
      <c r="AY1696" t="inlineStr">
        <is>
          <t>991002468179702656</t>
        </is>
      </c>
      <c r="AZ1696" t="inlineStr">
        <is>
          <t>991002468179702656</t>
        </is>
      </c>
      <c r="BA1696" t="inlineStr">
        <is>
          <t>2265988960002656</t>
        </is>
      </c>
      <c r="BB1696" t="inlineStr">
        <is>
          <t>BOOK</t>
        </is>
      </c>
      <c r="BE1696" t="inlineStr">
        <is>
          <t>32285001658425</t>
        </is>
      </c>
      <c r="BF1696" t="inlineStr">
        <is>
          <t>893498139</t>
        </is>
      </c>
    </row>
    <row r="1697">
      <c r="A1697" t="inlineStr">
        <is>
          <t>No</t>
        </is>
      </c>
      <c r="B1697" t="inlineStr">
        <is>
          <t>CURAL</t>
        </is>
      </c>
      <c r="C1697" t="inlineStr">
        <is>
          <t>SHELVES</t>
        </is>
      </c>
      <c r="D1697" t="inlineStr">
        <is>
          <t>PR4433 .R3</t>
        </is>
      </c>
      <c r="E1697" t="inlineStr">
        <is>
          <t>0                      PR 4433000R  3</t>
        </is>
      </c>
      <c r="F1697" t="inlineStr">
        <is>
          <t>Guide to Carlyle / by Augustus Ralli.</t>
        </is>
      </c>
      <c r="G1697" t="inlineStr">
        <is>
          <t>V.2</t>
        </is>
      </c>
      <c r="H1697" t="inlineStr">
        <is>
          <t>Yes</t>
        </is>
      </c>
      <c r="I1697" t="inlineStr">
        <is>
          <t>1</t>
        </is>
      </c>
      <c r="J1697" t="inlineStr">
        <is>
          <t>No</t>
        </is>
      </c>
      <c r="K1697" t="inlineStr">
        <is>
          <t>No</t>
        </is>
      </c>
      <c r="L1697" t="inlineStr">
        <is>
          <t>0</t>
        </is>
      </c>
      <c r="M1697" t="inlineStr">
        <is>
          <t>Ralli, Augustus, 1875-</t>
        </is>
      </c>
      <c r="N1697" t="inlineStr">
        <is>
          <t>London : G. Allen &amp; Unwin ltd., [1920]</t>
        </is>
      </c>
      <c r="O1697" t="inlineStr">
        <is>
          <t>1920</t>
        </is>
      </c>
      <c r="Q1697" t="inlineStr">
        <is>
          <t>eng</t>
        </is>
      </c>
      <c r="R1697" t="inlineStr">
        <is>
          <t>enk</t>
        </is>
      </c>
      <c r="T1697" t="inlineStr">
        <is>
          <t xml:space="preserve">PR </t>
        </is>
      </c>
      <c r="U1697" t="n">
        <v>4</v>
      </c>
      <c r="V1697" t="n">
        <v>7</v>
      </c>
      <c r="W1697" t="inlineStr">
        <is>
          <t>1997-09-10</t>
        </is>
      </c>
      <c r="X1697" t="inlineStr">
        <is>
          <t>1997-09-10</t>
        </is>
      </c>
      <c r="Y1697" t="inlineStr">
        <is>
          <t>1993-05-18</t>
        </is>
      </c>
      <c r="Z1697" t="inlineStr">
        <is>
          <t>1993-05-18</t>
        </is>
      </c>
      <c r="AA1697" t="n">
        <v>346</v>
      </c>
      <c r="AB1697" t="n">
        <v>304</v>
      </c>
      <c r="AC1697" t="n">
        <v>318</v>
      </c>
      <c r="AD1697" t="n">
        <v>4</v>
      </c>
      <c r="AE1697" t="n">
        <v>4</v>
      </c>
      <c r="AF1697" t="n">
        <v>19</v>
      </c>
      <c r="AG1697" t="n">
        <v>19</v>
      </c>
      <c r="AH1697" t="n">
        <v>7</v>
      </c>
      <c r="AI1697" t="n">
        <v>7</v>
      </c>
      <c r="AJ1697" t="n">
        <v>4</v>
      </c>
      <c r="AK1697" t="n">
        <v>4</v>
      </c>
      <c r="AL1697" t="n">
        <v>9</v>
      </c>
      <c r="AM1697" t="n">
        <v>9</v>
      </c>
      <c r="AN1697" t="n">
        <v>3</v>
      </c>
      <c r="AO1697" t="n">
        <v>3</v>
      </c>
      <c r="AP1697" t="n">
        <v>0</v>
      </c>
      <c r="AQ1697" t="n">
        <v>0</v>
      </c>
      <c r="AR1697" t="inlineStr">
        <is>
          <t>Yes</t>
        </is>
      </c>
      <c r="AS1697" t="inlineStr">
        <is>
          <t>No</t>
        </is>
      </c>
      <c r="AT1697">
        <f>HYPERLINK("http://catalog.hathitrust.org/Record/000625167","HathiTrust Record")</f>
        <v/>
      </c>
      <c r="AU1697">
        <f>HYPERLINK("https://creighton-primo.hosted.exlibrisgroup.com/primo-explore/search?tab=default_tab&amp;search_scope=EVERYTHING&amp;vid=01CRU&amp;lang=en_US&amp;offset=0&amp;query=any,contains,991002468179702656","Catalog Record")</f>
        <v/>
      </c>
      <c r="AV1697">
        <f>HYPERLINK("http://www.worldcat.org/oclc/358118","WorldCat Record")</f>
        <v/>
      </c>
      <c r="AW1697" t="inlineStr">
        <is>
          <t>10278524540:eng</t>
        </is>
      </c>
      <c r="AX1697" t="inlineStr">
        <is>
          <t>358118</t>
        </is>
      </c>
      <c r="AY1697" t="inlineStr">
        <is>
          <t>991002468179702656</t>
        </is>
      </c>
      <c r="AZ1697" t="inlineStr">
        <is>
          <t>991002468179702656</t>
        </is>
      </c>
      <c r="BA1697" t="inlineStr">
        <is>
          <t>2265988960002656</t>
        </is>
      </c>
      <c r="BB1697" t="inlineStr">
        <is>
          <t>BOOK</t>
        </is>
      </c>
      <c r="BE1697" t="inlineStr">
        <is>
          <t>32285001658433</t>
        </is>
      </c>
      <c r="BF1697" t="inlineStr">
        <is>
          <t>893535020</t>
        </is>
      </c>
    </row>
    <row r="1698">
      <c r="A1698" t="inlineStr">
        <is>
          <t>No</t>
        </is>
      </c>
      <c r="B1698" t="inlineStr">
        <is>
          <t>CURAL</t>
        </is>
      </c>
      <c r="C1698" t="inlineStr">
        <is>
          <t>SHELVES</t>
        </is>
      </c>
      <c r="D1698" t="inlineStr">
        <is>
          <t>PR4433 .S35</t>
        </is>
      </c>
      <c r="E1698" t="inlineStr">
        <is>
          <t>0                      PR 4433000S  35</t>
        </is>
      </c>
      <c r="F1698" t="inlineStr">
        <is>
          <t>Carlyle's friendships and other studies / Charles Richard Sanders.</t>
        </is>
      </c>
      <c r="H1698" t="inlineStr">
        <is>
          <t>No</t>
        </is>
      </c>
      <c r="I1698" t="inlineStr">
        <is>
          <t>1</t>
        </is>
      </c>
      <c r="J1698" t="inlineStr">
        <is>
          <t>No</t>
        </is>
      </c>
      <c r="K1698" t="inlineStr">
        <is>
          <t>No</t>
        </is>
      </c>
      <c r="L1698" t="inlineStr">
        <is>
          <t>0</t>
        </is>
      </c>
      <c r="M1698" t="inlineStr">
        <is>
          <t>Sanders, Charles Richard, 1904-</t>
        </is>
      </c>
      <c r="N1698" t="inlineStr">
        <is>
          <t>Durham, N.C. : Duke University Press, 1977.</t>
        </is>
      </c>
      <c r="O1698" t="inlineStr">
        <is>
          <t>1977</t>
        </is>
      </c>
      <c r="Q1698" t="inlineStr">
        <is>
          <t>eng</t>
        </is>
      </c>
      <c r="R1698" t="inlineStr">
        <is>
          <t>ncu</t>
        </is>
      </c>
      <c r="T1698" t="inlineStr">
        <is>
          <t xml:space="preserve">PR </t>
        </is>
      </c>
      <c r="U1698" t="n">
        <v>3</v>
      </c>
      <c r="V1698" t="n">
        <v>3</v>
      </c>
      <c r="W1698" t="inlineStr">
        <is>
          <t>2005-12-14</t>
        </is>
      </c>
      <c r="X1698" t="inlineStr">
        <is>
          <t>2005-12-14</t>
        </is>
      </c>
      <c r="Y1698" t="inlineStr">
        <is>
          <t>1997-06-25</t>
        </is>
      </c>
      <c r="Z1698" t="inlineStr">
        <is>
          <t>1997-06-25</t>
        </is>
      </c>
      <c r="AA1698" t="n">
        <v>598</v>
      </c>
      <c r="AB1698" t="n">
        <v>500</v>
      </c>
      <c r="AC1698" t="n">
        <v>506</v>
      </c>
      <c r="AD1698" t="n">
        <v>4</v>
      </c>
      <c r="AE1698" t="n">
        <v>4</v>
      </c>
      <c r="AF1698" t="n">
        <v>24</v>
      </c>
      <c r="AG1698" t="n">
        <v>24</v>
      </c>
      <c r="AH1698" t="n">
        <v>6</v>
      </c>
      <c r="AI1698" t="n">
        <v>6</v>
      </c>
      <c r="AJ1698" t="n">
        <v>8</v>
      </c>
      <c r="AK1698" t="n">
        <v>8</v>
      </c>
      <c r="AL1698" t="n">
        <v>13</v>
      </c>
      <c r="AM1698" t="n">
        <v>13</v>
      </c>
      <c r="AN1698" t="n">
        <v>3</v>
      </c>
      <c r="AO1698" t="n">
        <v>3</v>
      </c>
      <c r="AP1698" t="n">
        <v>0</v>
      </c>
      <c r="AQ1698" t="n">
        <v>0</v>
      </c>
      <c r="AR1698" t="inlineStr">
        <is>
          <t>No</t>
        </is>
      </c>
      <c r="AS1698" t="inlineStr">
        <is>
          <t>Yes</t>
        </is>
      </c>
      <c r="AT1698">
        <f>HYPERLINK("http://catalog.hathitrust.org/Record/000753222","HathiTrust Record")</f>
        <v/>
      </c>
      <c r="AU1698">
        <f>HYPERLINK("https://creighton-primo.hosted.exlibrisgroup.com/primo-explore/search?tab=default_tab&amp;search_scope=EVERYTHING&amp;vid=01CRU&amp;lang=en_US&amp;offset=0&amp;query=any,contains,991004440269702656","Catalog Record")</f>
        <v/>
      </c>
      <c r="AV1698">
        <f>HYPERLINK("http://www.worldcat.org/oclc/3458655","WorldCat Record")</f>
        <v/>
      </c>
      <c r="AW1698" t="inlineStr">
        <is>
          <t>9986286:eng</t>
        </is>
      </c>
      <c r="AX1698" t="inlineStr">
        <is>
          <t>3458655</t>
        </is>
      </c>
      <c r="AY1698" t="inlineStr">
        <is>
          <t>991004440269702656</t>
        </is>
      </c>
      <c r="AZ1698" t="inlineStr">
        <is>
          <t>991004440269702656</t>
        </is>
      </c>
      <c r="BA1698" t="inlineStr">
        <is>
          <t>2258712930002656</t>
        </is>
      </c>
      <c r="BB1698" t="inlineStr">
        <is>
          <t>BOOK</t>
        </is>
      </c>
      <c r="BD1698" t="inlineStr">
        <is>
          <t>9780822303893</t>
        </is>
      </c>
      <c r="BE1698" t="inlineStr">
        <is>
          <t>32285002835733</t>
        </is>
      </c>
      <c r="BF1698" t="inlineStr">
        <is>
          <t>893259732</t>
        </is>
      </c>
    </row>
    <row r="1699">
      <c r="A1699" t="inlineStr">
        <is>
          <t>No</t>
        </is>
      </c>
      <c r="B1699" t="inlineStr">
        <is>
          <t>CURAL</t>
        </is>
      </c>
      <c r="C1699" t="inlineStr">
        <is>
          <t>SHELVES</t>
        </is>
      </c>
      <c r="D1699" t="inlineStr">
        <is>
          <t>PR4433 .S83 1952a</t>
        </is>
      </c>
      <c r="E1699" t="inlineStr">
        <is>
          <t>0                      PR 4433000S  83          1952a</t>
        </is>
      </c>
      <c r="F1699" t="inlineStr">
        <is>
          <t>Thomas Carlyle : the life and ideas of a prophet.</t>
        </is>
      </c>
      <c r="H1699" t="inlineStr">
        <is>
          <t>No</t>
        </is>
      </c>
      <c r="I1699" t="inlineStr">
        <is>
          <t>1</t>
        </is>
      </c>
      <c r="J1699" t="inlineStr">
        <is>
          <t>No</t>
        </is>
      </c>
      <c r="K1699" t="inlineStr">
        <is>
          <t>No</t>
        </is>
      </c>
      <c r="L1699" t="inlineStr">
        <is>
          <t>0</t>
        </is>
      </c>
      <c r="M1699" t="inlineStr">
        <is>
          <t>Symons, Julian, 1912-1994.</t>
        </is>
      </c>
      <c r="N1699" t="inlineStr">
        <is>
          <t>New York : Oxford University Press, 1952.</t>
        </is>
      </c>
      <c r="O1699" t="inlineStr">
        <is>
          <t>1952</t>
        </is>
      </c>
      <c r="Q1699" t="inlineStr">
        <is>
          <t>eng</t>
        </is>
      </c>
      <c r="R1699" t="inlineStr">
        <is>
          <t xml:space="preserve">xx </t>
        </is>
      </c>
      <c r="T1699" t="inlineStr">
        <is>
          <t xml:space="preserve">PR </t>
        </is>
      </c>
      <c r="U1699" t="n">
        <v>2</v>
      </c>
      <c r="V1699" t="n">
        <v>2</v>
      </c>
      <c r="W1699" t="inlineStr">
        <is>
          <t>1994-10-07</t>
        </is>
      </c>
      <c r="X1699" t="inlineStr">
        <is>
          <t>1994-10-07</t>
        </is>
      </c>
      <c r="Y1699" t="inlineStr">
        <is>
          <t>1993-05-18</t>
        </is>
      </c>
      <c r="Z1699" t="inlineStr">
        <is>
          <t>1993-05-18</t>
        </is>
      </c>
      <c r="AA1699" t="n">
        <v>318</v>
      </c>
      <c r="AB1699" t="n">
        <v>303</v>
      </c>
      <c r="AC1699" t="n">
        <v>638</v>
      </c>
      <c r="AD1699" t="n">
        <v>4</v>
      </c>
      <c r="AE1699" t="n">
        <v>7</v>
      </c>
      <c r="AF1699" t="n">
        <v>18</v>
      </c>
      <c r="AG1699" t="n">
        <v>35</v>
      </c>
      <c r="AH1699" t="n">
        <v>7</v>
      </c>
      <c r="AI1699" t="n">
        <v>11</v>
      </c>
      <c r="AJ1699" t="n">
        <v>3</v>
      </c>
      <c r="AK1699" t="n">
        <v>8</v>
      </c>
      <c r="AL1699" t="n">
        <v>9</v>
      </c>
      <c r="AM1699" t="n">
        <v>18</v>
      </c>
      <c r="AN1699" t="n">
        <v>3</v>
      </c>
      <c r="AO1699" t="n">
        <v>6</v>
      </c>
      <c r="AP1699" t="n">
        <v>0</v>
      </c>
      <c r="AQ1699" t="n">
        <v>0</v>
      </c>
      <c r="AR1699" t="inlineStr">
        <is>
          <t>No</t>
        </is>
      </c>
      <c r="AS1699" t="inlineStr">
        <is>
          <t>No</t>
        </is>
      </c>
      <c r="AU1699">
        <f>HYPERLINK("https://creighton-primo.hosted.exlibrisgroup.com/primo-explore/search?tab=default_tab&amp;search_scope=EVERYTHING&amp;vid=01CRU&amp;lang=en_US&amp;offset=0&amp;query=any,contains,991002393179702656","Catalog Record")</f>
        <v/>
      </c>
      <c r="AV1699">
        <f>HYPERLINK("http://www.worldcat.org/oclc/333224","WorldCat Record")</f>
        <v/>
      </c>
      <c r="AW1699" t="inlineStr">
        <is>
          <t>1310684:eng</t>
        </is>
      </c>
      <c r="AX1699" t="inlineStr">
        <is>
          <t>333224</t>
        </is>
      </c>
      <c r="AY1699" t="inlineStr">
        <is>
          <t>991002393179702656</t>
        </is>
      </c>
      <c r="AZ1699" t="inlineStr">
        <is>
          <t>991002393179702656</t>
        </is>
      </c>
      <c r="BA1699" t="inlineStr">
        <is>
          <t>2257935770002656</t>
        </is>
      </c>
      <c r="BB1699" t="inlineStr">
        <is>
          <t>BOOK</t>
        </is>
      </c>
      <c r="BE1699" t="inlineStr">
        <is>
          <t>32285001658417</t>
        </is>
      </c>
      <c r="BF1699" t="inlineStr">
        <is>
          <t>893427546</t>
        </is>
      </c>
    </row>
    <row r="1700">
      <c r="A1700" t="inlineStr">
        <is>
          <t>No</t>
        </is>
      </c>
      <c r="B1700" t="inlineStr">
        <is>
          <t>CURAL</t>
        </is>
      </c>
      <c r="C1700" t="inlineStr">
        <is>
          <t>SHELVES</t>
        </is>
      </c>
      <c r="D1700" t="inlineStr">
        <is>
          <t>PR4434 .C28</t>
        </is>
      </c>
      <c r="E1700" t="inlineStr">
        <is>
          <t>0                      PR 4434000C  28</t>
        </is>
      </c>
      <c r="F1700" t="inlineStr">
        <is>
          <t>Carlyle and his contemporaries : essays in honor of Charles Richard Sanders / edited by John Clubbe.</t>
        </is>
      </c>
      <c r="H1700" t="inlineStr">
        <is>
          <t>No</t>
        </is>
      </c>
      <c r="I1700" t="inlineStr">
        <is>
          <t>1</t>
        </is>
      </c>
      <c r="J1700" t="inlineStr">
        <is>
          <t>No</t>
        </is>
      </c>
      <c r="K1700" t="inlineStr">
        <is>
          <t>No</t>
        </is>
      </c>
      <c r="L1700" t="inlineStr">
        <is>
          <t>0</t>
        </is>
      </c>
      <c r="N1700" t="inlineStr">
        <is>
          <t>Durham, N.C. : Duke University Press, 1976.</t>
        </is>
      </c>
      <c r="O1700" t="inlineStr">
        <is>
          <t>1976</t>
        </is>
      </c>
      <c r="Q1700" t="inlineStr">
        <is>
          <t>eng</t>
        </is>
      </c>
      <c r="R1700" t="inlineStr">
        <is>
          <t>ncu</t>
        </is>
      </c>
      <c r="T1700" t="inlineStr">
        <is>
          <t xml:space="preserve">PR </t>
        </is>
      </c>
      <c r="U1700" t="n">
        <v>3</v>
      </c>
      <c r="V1700" t="n">
        <v>3</v>
      </c>
      <c r="W1700" t="inlineStr">
        <is>
          <t>1999-08-31</t>
        </is>
      </c>
      <c r="X1700" t="inlineStr">
        <is>
          <t>1999-08-31</t>
        </is>
      </c>
      <c r="Y1700" t="inlineStr">
        <is>
          <t>1997-06-25</t>
        </is>
      </c>
      <c r="Z1700" t="inlineStr">
        <is>
          <t>1997-06-25</t>
        </is>
      </c>
      <c r="AA1700" t="n">
        <v>707</v>
      </c>
      <c r="AB1700" t="n">
        <v>570</v>
      </c>
      <c r="AC1700" t="n">
        <v>577</v>
      </c>
      <c r="AD1700" t="n">
        <v>5</v>
      </c>
      <c r="AE1700" t="n">
        <v>5</v>
      </c>
      <c r="AF1700" t="n">
        <v>31</v>
      </c>
      <c r="AG1700" t="n">
        <v>31</v>
      </c>
      <c r="AH1700" t="n">
        <v>11</v>
      </c>
      <c r="AI1700" t="n">
        <v>11</v>
      </c>
      <c r="AJ1700" t="n">
        <v>10</v>
      </c>
      <c r="AK1700" t="n">
        <v>10</v>
      </c>
      <c r="AL1700" t="n">
        <v>14</v>
      </c>
      <c r="AM1700" t="n">
        <v>14</v>
      </c>
      <c r="AN1700" t="n">
        <v>4</v>
      </c>
      <c r="AO1700" t="n">
        <v>4</v>
      </c>
      <c r="AP1700" t="n">
        <v>0</v>
      </c>
      <c r="AQ1700" t="n">
        <v>0</v>
      </c>
      <c r="AR1700" t="inlineStr">
        <is>
          <t>No</t>
        </is>
      </c>
      <c r="AS1700" t="inlineStr">
        <is>
          <t>Yes</t>
        </is>
      </c>
      <c r="AT1700">
        <f>HYPERLINK("http://catalog.hathitrust.org/Record/000705611","HathiTrust Record")</f>
        <v/>
      </c>
      <c r="AU1700">
        <f>HYPERLINK("https://creighton-primo.hosted.exlibrisgroup.com/primo-explore/search?tab=default_tab&amp;search_scope=EVERYTHING&amp;vid=01CRU&amp;lang=en_US&amp;offset=0&amp;query=any,contains,991004089089702656","Catalog Record")</f>
        <v/>
      </c>
      <c r="AV1700">
        <f>HYPERLINK("http://www.worldcat.org/oclc/2339926","WorldCat Record")</f>
        <v/>
      </c>
      <c r="AW1700" t="inlineStr">
        <is>
          <t>889408265:eng</t>
        </is>
      </c>
      <c r="AX1700" t="inlineStr">
        <is>
          <t>2339926</t>
        </is>
      </c>
      <c r="AY1700" t="inlineStr">
        <is>
          <t>991004089089702656</t>
        </is>
      </c>
      <c r="AZ1700" t="inlineStr">
        <is>
          <t>991004089089702656</t>
        </is>
      </c>
      <c r="BA1700" t="inlineStr">
        <is>
          <t>2259168610002656</t>
        </is>
      </c>
      <c r="BB1700" t="inlineStr">
        <is>
          <t>BOOK</t>
        </is>
      </c>
      <c r="BD1700" t="inlineStr">
        <is>
          <t>9780822303404</t>
        </is>
      </c>
      <c r="BE1700" t="inlineStr">
        <is>
          <t>32285002835816</t>
        </is>
      </c>
      <c r="BF1700" t="inlineStr">
        <is>
          <t>893775605</t>
        </is>
      </c>
    </row>
    <row r="1701">
      <c r="A1701" t="inlineStr">
        <is>
          <t>No</t>
        </is>
      </c>
      <c r="B1701" t="inlineStr">
        <is>
          <t>CURAL</t>
        </is>
      </c>
      <c r="C1701" t="inlineStr">
        <is>
          <t>SHELVES</t>
        </is>
      </c>
      <c r="D1701" t="inlineStr">
        <is>
          <t>PR4434 .H3</t>
        </is>
      </c>
      <c r="E1701" t="inlineStr">
        <is>
          <t>0                      PR 4434000H  3</t>
        </is>
      </c>
      <c r="F1701" t="inlineStr">
        <is>
          <t>Carlyle and German thought: 1819-1834, by Charles Frederick Harrold.</t>
        </is>
      </c>
      <c r="H1701" t="inlineStr">
        <is>
          <t>No</t>
        </is>
      </c>
      <c r="I1701" t="inlineStr">
        <is>
          <t>1</t>
        </is>
      </c>
      <c r="J1701" t="inlineStr">
        <is>
          <t>No</t>
        </is>
      </c>
      <c r="K1701" t="inlineStr">
        <is>
          <t>No</t>
        </is>
      </c>
      <c r="L1701" t="inlineStr">
        <is>
          <t>0</t>
        </is>
      </c>
      <c r="M1701" t="inlineStr">
        <is>
          <t>Harrold, Charles Frederick, 1897-1948.</t>
        </is>
      </c>
      <c r="N1701" t="inlineStr">
        <is>
          <t>New Haven, Yale university press; London, H. Milford, Oxford university press, 1934.</t>
        </is>
      </c>
      <c r="O1701" t="inlineStr">
        <is>
          <t>1934</t>
        </is>
      </c>
      <c r="Q1701" t="inlineStr">
        <is>
          <t>eng</t>
        </is>
      </c>
      <c r="R1701" t="inlineStr">
        <is>
          <t xml:space="preserve">xx </t>
        </is>
      </c>
      <c r="S1701" t="inlineStr">
        <is>
          <t>Yale studies in English ; LXXXII</t>
        </is>
      </c>
      <c r="T1701" t="inlineStr">
        <is>
          <t xml:space="preserve">PR </t>
        </is>
      </c>
      <c r="U1701" t="n">
        <v>2</v>
      </c>
      <c r="V1701" t="n">
        <v>2</v>
      </c>
      <c r="W1701" t="inlineStr">
        <is>
          <t>2003-12-14</t>
        </is>
      </c>
      <c r="X1701" t="inlineStr">
        <is>
          <t>2003-12-14</t>
        </is>
      </c>
      <c r="Y1701" t="inlineStr">
        <is>
          <t>1997-06-25</t>
        </is>
      </c>
      <c r="Z1701" t="inlineStr">
        <is>
          <t>1997-06-25</t>
        </is>
      </c>
      <c r="AA1701" t="n">
        <v>228</v>
      </c>
      <c r="AB1701" t="n">
        <v>187</v>
      </c>
      <c r="AC1701" t="n">
        <v>587</v>
      </c>
      <c r="AD1701" t="n">
        <v>2</v>
      </c>
      <c r="AE1701" t="n">
        <v>5</v>
      </c>
      <c r="AF1701" t="n">
        <v>10</v>
      </c>
      <c r="AG1701" t="n">
        <v>37</v>
      </c>
      <c r="AH1701" t="n">
        <v>4</v>
      </c>
      <c r="AI1701" t="n">
        <v>16</v>
      </c>
      <c r="AJ1701" t="n">
        <v>4</v>
      </c>
      <c r="AK1701" t="n">
        <v>9</v>
      </c>
      <c r="AL1701" t="n">
        <v>5</v>
      </c>
      <c r="AM1701" t="n">
        <v>18</v>
      </c>
      <c r="AN1701" t="n">
        <v>1</v>
      </c>
      <c r="AO1701" t="n">
        <v>4</v>
      </c>
      <c r="AP1701" t="n">
        <v>0</v>
      </c>
      <c r="AQ1701" t="n">
        <v>0</v>
      </c>
      <c r="AR1701" t="inlineStr">
        <is>
          <t>No</t>
        </is>
      </c>
      <c r="AS1701" t="inlineStr">
        <is>
          <t>No</t>
        </is>
      </c>
      <c r="AT1701">
        <f>HYPERLINK("http://catalog.hathitrust.org/Record/000625063","HathiTrust Record")</f>
        <v/>
      </c>
      <c r="AU1701">
        <f>HYPERLINK("https://creighton-primo.hosted.exlibrisgroup.com/primo-explore/search?tab=default_tab&amp;search_scope=EVERYTHING&amp;vid=01CRU&amp;lang=en_US&amp;offset=0&amp;query=any,contains,991003672599702656","Catalog Record")</f>
        <v/>
      </c>
      <c r="AV1701">
        <f>HYPERLINK("http://www.worldcat.org/oclc/1290362","WorldCat Record")</f>
        <v/>
      </c>
      <c r="AW1701" t="inlineStr">
        <is>
          <t>1353178:eng</t>
        </is>
      </c>
      <c r="AX1701" t="inlineStr">
        <is>
          <t>1290362</t>
        </is>
      </c>
      <c r="AY1701" t="inlineStr">
        <is>
          <t>991003672599702656</t>
        </is>
      </c>
      <c r="AZ1701" t="inlineStr">
        <is>
          <t>991003672599702656</t>
        </is>
      </c>
      <c r="BA1701" t="inlineStr">
        <is>
          <t>2256602670002656</t>
        </is>
      </c>
      <c r="BB1701" t="inlineStr">
        <is>
          <t>BOOK</t>
        </is>
      </c>
      <c r="BE1701" t="inlineStr">
        <is>
          <t>32285002835824</t>
        </is>
      </c>
      <c r="BF1701" t="inlineStr">
        <is>
          <t>893445773</t>
        </is>
      </c>
    </row>
    <row r="1702">
      <c r="A1702" t="inlineStr">
        <is>
          <t>No</t>
        </is>
      </c>
      <c r="B1702" t="inlineStr">
        <is>
          <t>CURAL</t>
        </is>
      </c>
      <c r="C1702" t="inlineStr">
        <is>
          <t>SHELVES</t>
        </is>
      </c>
      <c r="D1702" t="inlineStr">
        <is>
          <t>PR4434 .L4</t>
        </is>
      </c>
      <c r="E1702" t="inlineStr">
        <is>
          <t>0                      PR 4434000L  4</t>
        </is>
      </c>
      <c r="F1702" t="inlineStr">
        <is>
          <t>Carlyle / A.L. Le Quesne.</t>
        </is>
      </c>
      <c r="H1702" t="inlineStr">
        <is>
          <t>No</t>
        </is>
      </c>
      <c r="I1702" t="inlineStr">
        <is>
          <t>1</t>
        </is>
      </c>
      <c r="J1702" t="inlineStr">
        <is>
          <t>No</t>
        </is>
      </c>
      <c r="K1702" t="inlineStr">
        <is>
          <t>No</t>
        </is>
      </c>
      <c r="L1702" t="inlineStr">
        <is>
          <t>0</t>
        </is>
      </c>
      <c r="M1702" t="inlineStr">
        <is>
          <t>La Quesne, A. Laurence.</t>
        </is>
      </c>
      <c r="N1702" t="inlineStr">
        <is>
          <t>Oxford : Oxford University Press, 1982.</t>
        </is>
      </c>
      <c r="O1702" t="inlineStr">
        <is>
          <t>1982</t>
        </is>
      </c>
      <c r="Q1702" t="inlineStr">
        <is>
          <t>eng</t>
        </is>
      </c>
      <c r="R1702" t="inlineStr">
        <is>
          <t>enk</t>
        </is>
      </c>
      <c r="S1702" t="inlineStr">
        <is>
          <t>Past masters</t>
        </is>
      </c>
      <c r="T1702" t="inlineStr">
        <is>
          <t xml:space="preserve">PR </t>
        </is>
      </c>
      <c r="U1702" t="n">
        <v>6</v>
      </c>
      <c r="V1702" t="n">
        <v>6</v>
      </c>
      <c r="W1702" t="inlineStr">
        <is>
          <t>2003-12-14</t>
        </is>
      </c>
      <c r="X1702" t="inlineStr">
        <is>
          <t>2003-12-14</t>
        </is>
      </c>
      <c r="Y1702" t="inlineStr">
        <is>
          <t>1991-11-05</t>
        </is>
      </c>
      <c r="Z1702" t="inlineStr">
        <is>
          <t>1991-11-05</t>
        </is>
      </c>
      <c r="AA1702" t="n">
        <v>546</v>
      </c>
      <c r="AB1702" t="n">
        <v>404</v>
      </c>
      <c r="AC1702" t="n">
        <v>411</v>
      </c>
      <c r="AD1702" t="n">
        <v>4</v>
      </c>
      <c r="AE1702" t="n">
        <v>4</v>
      </c>
      <c r="AF1702" t="n">
        <v>21</v>
      </c>
      <c r="AG1702" t="n">
        <v>22</v>
      </c>
      <c r="AH1702" t="n">
        <v>7</v>
      </c>
      <c r="AI1702" t="n">
        <v>8</v>
      </c>
      <c r="AJ1702" t="n">
        <v>7</v>
      </c>
      <c r="AK1702" t="n">
        <v>7</v>
      </c>
      <c r="AL1702" t="n">
        <v>10</v>
      </c>
      <c r="AM1702" t="n">
        <v>11</v>
      </c>
      <c r="AN1702" t="n">
        <v>2</v>
      </c>
      <c r="AO1702" t="n">
        <v>2</v>
      </c>
      <c r="AP1702" t="n">
        <v>0</v>
      </c>
      <c r="AQ1702" t="n">
        <v>0</v>
      </c>
      <c r="AR1702" t="inlineStr">
        <is>
          <t>No</t>
        </is>
      </c>
      <c r="AS1702" t="inlineStr">
        <is>
          <t>No</t>
        </is>
      </c>
      <c r="AU1702">
        <f>HYPERLINK("https://creighton-primo.hosted.exlibrisgroup.com/primo-explore/search?tab=default_tab&amp;search_scope=EVERYTHING&amp;vid=01CRU&amp;lang=en_US&amp;offset=0&amp;query=any,contains,991000039919702656","Catalog Record")</f>
        <v/>
      </c>
      <c r="AV1702">
        <f>HYPERLINK("http://www.worldcat.org/oclc/8639476","WorldCat Record")</f>
        <v/>
      </c>
      <c r="AW1702" t="inlineStr">
        <is>
          <t>33378775:eng</t>
        </is>
      </c>
      <c r="AX1702" t="inlineStr">
        <is>
          <t>8639476</t>
        </is>
      </c>
      <c r="AY1702" t="inlineStr">
        <is>
          <t>991000039919702656</t>
        </is>
      </c>
      <c r="AZ1702" t="inlineStr">
        <is>
          <t>991000039919702656</t>
        </is>
      </c>
      <c r="BA1702" t="inlineStr">
        <is>
          <t>2261491100002656</t>
        </is>
      </c>
      <c r="BB1702" t="inlineStr">
        <is>
          <t>BOOK</t>
        </is>
      </c>
      <c r="BD1702" t="inlineStr">
        <is>
          <t>9780192875631</t>
        </is>
      </c>
      <c r="BE1702" t="inlineStr">
        <is>
          <t>32285000796382</t>
        </is>
      </c>
      <c r="BF1702" t="inlineStr">
        <is>
          <t>893444166</t>
        </is>
      </c>
    </row>
    <row r="1703">
      <c r="A1703" t="inlineStr">
        <is>
          <t>No</t>
        </is>
      </c>
      <c r="B1703" t="inlineStr">
        <is>
          <t>CURAL</t>
        </is>
      </c>
      <c r="C1703" t="inlineStr">
        <is>
          <t>SHELVES</t>
        </is>
      </c>
      <c r="D1703" t="inlineStr">
        <is>
          <t>PR4437.S6 R6 1969</t>
        </is>
      </c>
      <c r="E1703" t="inlineStr">
        <is>
          <t>0                      PR 4437000S  6                  R  6           1969</t>
        </is>
      </c>
      <c r="F1703" t="inlineStr">
        <is>
          <t>The social philosophy of Carlyle and Ruskin.</t>
        </is>
      </c>
      <c r="H1703" t="inlineStr">
        <is>
          <t>No</t>
        </is>
      </c>
      <c r="I1703" t="inlineStr">
        <is>
          <t>1</t>
        </is>
      </c>
      <c r="J1703" t="inlineStr">
        <is>
          <t>No</t>
        </is>
      </c>
      <c r="K1703" t="inlineStr">
        <is>
          <t>No</t>
        </is>
      </c>
      <c r="L1703" t="inlineStr">
        <is>
          <t>0</t>
        </is>
      </c>
      <c r="M1703" t="inlineStr">
        <is>
          <t>Roe, Frederick William, 1874-</t>
        </is>
      </c>
      <c r="N1703" t="inlineStr">
        <is>
          <t>Port Washington, N.Y., Kennikat Press [1969]</t>
        </is>
      </c>
      <c r="O1703" t="inlineStr">
        <is>
          <t>1969</t>
        </is>
      </c>
      <c r="Q1703" t="inlineStr">
        <is>
          <t>eng</t>
        </is>
      </c>
      <c r="R1703" t="inlineStr">
        <is>
          <t>nyu</t>
        </is>
      </c>
      <c r="T1703" t="inlineStr">
        <is>
          <t xml:space="preserve">PR </t>
        </is>
      </c>
      <c r="U1703" t="n">
        <v>1</v>
      </c>
      <c r="V1703" t="n">
        <v>1</v>
      </c>
      <c r="W1703" t="inlineStr">
        <is>
          <t>2005-12-14</t>
        </is>
      </c>
      <c r="X1703" t="inlineStr">
        <is>
          <t>2005-12-14</t>
        </is>
      </c>
      <c r="Y1703" t="inlineStr">
        <is>
          <t>1997-06-25</t>
        </is>
      </c>
      <c r="Z1703" t="inlineStr">
        <is>
          <t>1997-06-25</t>
        </is>
      </c>
      <c r="AA1703" t="n">
        <v>221</v>
      </c>
      <c r="AB1703" t="n">
        <v>195</v>
      </c>
      <c r="AC1703" t="n">
        <v>582</v>
      </c>
      <c r="AD1703" t="n">
        <v>2</v>
      </c>
      <c r="AE1703" t="n">
        <v>4</v>
      </c>
      <c r="AF1703" t="n">
        <v>5</v>
      </c>
      <c r="AG1703" t="n">
        <v>28</v>
      </c>
      <c r="AH1703" t="n">
        <v>2</v>
      </c>
      <c r="AI1703" t="n">
        <v>9</v>
      </c>
      <c r="AJ1703" t="n">
        <v>1</v>
      </c>
      <c r="AK1703" t="n">
        <v>8</v>
      </c>
      <c r="AL1703" t="n">
        <v>3</v>
      </c>
      <c r="AM1703" t="n">
        <v>16</v>
      </c>
      <c r="AN1703" t="n">
        <v>1</v>
      </c>
      <c r="AO1703" t="n">
        <v>3</v>
      </c>
      <c r="AP1703" t="n">
        <v>0</v>
      </c>
      <c r="AQ1703" t="n">
        <v>0</v>
      </c>
      <c r="AR1703" t="inlineStr">
        <is>
          <t>No</t>
        </is>
      </c>
      <c r="AS1703" t="inlineStr">
        <is>
          <t>Yes</t>
        </is>
      </c>
      <c r="AT1703">
        <f>HYPERLINK("http://catalog.hathitrust.org/Record/007120008","HathiTrust Record")</f>
        <v/>
      </c>
      <c r="AU1703">
        <f>HYPERLINK("https://creighton-primo.hosted.exlibrisgroup.com/primo-explore/search?tab=default_tab&amp;search_scope=EVERYTHING&amp;vid=01CRU&amp;lang=en_US&amp;offset=0&amp;query=any,contains,991000074559702656","Catalog Record")</f>
        <v/>
      </c>
      <c r="AV1703">
        <f>HYPERLINK("http://www.worldcat.org/oclc/29497","WorldCat Record")</f>
        <v/>
      </c>
      <c r="AW1703" t="inlineStr">
        <is>
          <t>1175646:eng</t>
        </is>
      </c>
      <c r="AX1703" t="inlineStr">
        <is>
          <t>29497</t>
        </is>
      </c>
      <c r="AY1703" t="inlineStr">
        <is>
          <t>991000074559702656</t>
        </is>
      </c>
      <c r="AZ1703" t="inlineStr">
        <is>
          <t>991000074559702656</t>
        </is>
      </c>
      <c r="BA1703" t="inlineStr">
        <is>
          <t>2266352880002656</t>
        </is>
      </c>
      <c r="BB1703" t="inlineStr">
        <is>
          <t>BOOK</t>
        </is>
      </c>
      <c r="BD1703" t="inlineStr">
        <is>
          <t>9780804606820</t>
        </is>
      </c>
      <c r="BE1703" t="inlineStr">
        <is>
          <t>32285002835931</t>
        </is>
      </c>
      <c r="BF1703" t="inlineStr">
        <is>
          <t>893802476</t>
        </is>
      </c>
    </row>
    <row r="1704">
      <c r="A1704" t="inlineStr">
        <is>
          <t>No</t>
        </is>
      </c>
      <c r="B1704" t="inlineStr">
        <is>
          <t>CURAL</t>
        </is>
      </c>
      <c r="C1704" t="inlineStr">
        <is>
          <t>SHELVES</t>
        </is>
      </c>
      <c r="D1704" t="inlineStr">
        <is>
          <t>PR445 .B35</t>
        </is>
      </c>
      <c r="E1704" t="inlineStr">
        <is>
          <t>0                      PR 0445000B  35</t>
        </is>
      </c>
      <c r="F1704" t="inlineStr">
        <is>
          <t>The providence of wit : aspects of form in Augustan literature and the arts / Martin C. Ballestin.</t>
        </is>
      </c>
      <c r="H1704" t="inlineStr">
        <is>
          <t>No</t>
        </is>
      </c>
      <c r="I1704" t="inlineStr">
        <is>
          <t>1</t>
        </is>
      </c>
      <c r="J1704" t="inlineStr">
        <is>
          <t>No</t>
        </is>
      </c>
      <c r="K1704" t="inlineStr">
        <is>
          <t>No</t>
        </is>
      </c>
      <c r="L1704" t="inlineStr">
        <is>
          <t>0</t>
        </is>
      </c>
      <c r="M1704" t="inlineStr">
        <is>
          <t>Battestin, Martin C.</t>
        </is>
      </c>
      <c r="N1704" t="inlineStr">
        <is>
          <t>Oxford : Clarendon Press, 1974.</t>
        </is>
      </c>
      <c r="O1704" t="inlineStr">
        <is>
          <t>1974</t>
        </is>
      </c>
      <c r="Q1704" t="inlineStr">
        <is>
          <t>eng</t>
        </is>
      </c>
      <c r="R1704" t="inlineStr">
        <is>
          <t>enk</t>
        </is>
      </c>
      <c r="T1704" t="inlineStr">
        <is>
          <t xml:space="preserve">PR </t>
        </is>
      </c>
      <c r="U1704" t="n">
        <v>4</v>
      </c>
      <c r="V1704" t="n">
        <v>4</v>
      </c>
      <c r="W1704" t="inlineStr">
        <is>
          <t>2010-03-25</t>
        </is>
      </c>
      <c r="X1704" t="inlineStr">
        <is>
          <t>2010-03-25</t>
        </is>
      </c>
      <c r="Y1704" t="inlineStr">
        <is>
          <t>1991-08-29</t>
        </is>
      </c>
      <c r="Z1704" t="inlineStr">
        <is>
          <t>1991-08-29</t>
        </is>
      </c>
      <c r="AA1704" t="n">
        <v>730</v>
      </c>
      <c r="AB1704" t="n">
        <v>549</v>
      </c>
      <c r="AC1704" t="n">
        <v>603</v>
      </c>
      <c r="AD1704" t="n">
        <v>4</v>
      </c>
      <c r="AE1704" t="n">
        <v>4</v>
      </c>
      <c r="AF1704" t="n">
        <v>30</v>
      </c>
      <c r="AG1704" t="n">
        <v>32</v>
      </c>
      <c r="AH1704" t="n">
        <v>11</v>
      </c>
      <c r="AI1704" t="n">
        <v>12</v>
      </c>
      <c r="AJ1704" t="n">
        <v>8</v>
      </c>
      <c r="AK1704" t="n">
        <v>9</v>
      </c>
      <c r="AL1704" t="n">
        <v>17</v>
      </c>
      <c r="AM1704" t="n">
        <v>18</v>
      </c>
      <c r="AN1704" t="n">
        <v>3</v>
      </c>
      <c r="AO1704" t="n">
        <v>3</v>
      </c>
      <c r="AP1704" t="n">
        <v>0</v>
      </c>
      <c r="AQ1704" t="n">
        <v>0</v>
      </c>
      <c r="AR1704" t="inlineStr">
        <is>
          <t>No</t>
        </is>
      </c>
      <c r="AS1704" t="inlineStr">
        <is>
          <t>Yes</t>
        </is>
      </c>
      <c r="AT1704">
        <f>HYPERLINK("http://catalog.hathitrust.org/Record/001370633","HathiTrust Record")</f>
        <v/>
      </c>
      <c r="AU1704">
        <f>HYPERLINK("https://creighton-primo.hosted.exlibrisgroup.com/primo-explore/search?tab=default_tab&amp;search_scope=EVERYTHING&amp;vid=01CRU&amp;lang=en_US&amp;offset=0&amp;query=any,contains,991003605479702656","Catalog Record")</f>
        <v/>
      </c>
      <c r="AV1704">
        <f>HYPERLINK("http://www.worldcat.org/oclc/1185059","WorldCat Record")</f>
        <v/>
      </c>
      <c r="AW1704" t="inlineStr">
        <is>
          <t>415729:eng</t>
        </is>
      </c>
      <c r="AX1704" t="inlineStr">
        <is>
          <t>1185059</t>
        </is>
      </c>
      <c r="AY1704" t="inlineStr">
        <is>
          <t>991003605479702656</t>
        </is>
      </c>
      <c r="AZ1704" t="inlineStr">
        <is>
          <t>991003605479702656</t>
        </is>
      </c>
      <c r="BA1704" t="inlineStr">
        <is>
          <t>2268649900002656</t>
        </is>
      </c>
      <c r="BB1704" t="inlineStr">
        <is>
          <t>BOOK</t>
        </is>
      </c>
      <c r="BD1704" t="inlineStr">
        <is>
          <t>9780198120520</t>
        </is>
      </c>
      <c r="BE1704" t="inlineStr">
        <is>
          <t>32285000731678</t>
        </is>
      </c>
      <c r="BF1704" t="inlineStr">
        <is>
          <t>893592678</t>
        </is>
      </c>
    </row>
    <row r="1705">
      <c r="A1705" t="inlineStr">
        <is>
          <t>No</t>
        </is>
      </c>
      <c r="B1705" t="inlineStr">
        <is>
          <t>CURAL</t>
        </is>
      </c>
      <c r="C1705" t="inlineStr">
        <is>
          <t>SHELVES</t>
        </is>
      </c>
      <c r="D1705" t="inlineStr">
        <is>
          <t>PR445 .B88</t>
        </is>
      </c>
      <c r="E1705" t="inlineStr">
        <is>
          <t>0                      PR 0445000B  88</t>
        </is>
      </c>
      <c r="F1705" t="inlineStr">
        <is>
          <t>The Grecian taste : literature in the age of neo-classicism, 1740-1820 / John Buxton.</t>
        </is>
      </c>
      <c r="H1705" t="inlineStr">
        <is>
          <t>No</t>
        </is>
      </c>
      <c r="I1705" t="inlineStr">
        <is>
          <t>1</t>
        </is>
      </c>
      <c r="J1705" t="inlineStr">
        <is>
          <t>No</t>
        </is>
      </c>
      <c r="K1705" t="inlineStr">
        <is>
          <t>No</t>
        </is>
      </c>
      <c r="L1705" t="inlineStr">
        <is>
          <t>0</t>
        </is>
      </c>
      <c r="M1705" t="inlineStr">
        <is>
          <t>Buxton, John.</t>
        </is>
      </c>
      <c r="N1705" t="inlineStr">
        <is>
          <t>New York : Barnes &amp; Noble, c1978.</t>
        </is>
      </c>
      <c r="O1705" t="inlineStr">
        <is>
          <t>1978</t>
        </is>
      </c>
      <c r="Q1705" t="inlineStr">
        <is>
          <t>eng</t>
        </is>
      </c>
      <c r="R1705" t="inlineStr">
        <is>
          <t>nyu</t>
        </is>
      </c>
      <c r="T1705" t="inlineStr">
        <is>
          <t xml:space="preserve">PR </t>
        </is>
      </c>
      <c r="U1705" t="n">
        <v>4</v>
      </c>
      <c r="V1705" t="n">
        <v>4</v>
      </c>
      <c r="W1705" t="inlineStr">
        <is>
          <t>2004-08-03</t>
        </is>
      </c>
      <c r="X1705" t="inlineStr">
        <is>
          <t>2004-08-03</t>
        </is>
      </c>
      <c r="Y1705" t="inlineStr">
        <is>
          <t>1991-08-29</t>
        </is>
      </c>
      <c r="Z1705" t="inlineStr">
        <is>
          <t>1991-08-29</t>
        </is>
      </c>
      <c r="AA1705" t="n">
        <v>298</v>
      </c>
      <c r="AB1705" t="n">
        <v>265</v>
      </c>
      <c r="AC1705" t="n">
        <v>319</v>
      </c>
      <c r="AD1705" t="n">
        <v>1</v>
      </c>
      <c r="AE1705" t="n">
        <v>3</v>
      </c>
      <c r="AF1705" t="n">
        <v>21</v>
      </c>
      <c r="AG1705" t="n">
        <v>25</v>
      </c>
      <c r="AH1705" t="n">
        <v>8</v>
      </c>
      <c r="AI1705" t="n">
        <v>8</v>
      </c>
      <c r="AJ1705" t="n">
        <v>7</v>
      </c>
      <c r="AK1705" t="n">
        <v>7</v>
      </c>
      <c r="AL1705" t="n">
        <v>13</v>
      </c>
      <c r="AM1705" t="n">
        <v>15</v>
      </c>
      <c r="AN1705" t="n">
        <v>0</v>
      </c>
      <c r="AO1705" t="n">
        <v>2</v>
      </c>
      <c r="AP1705" t="n">
        <v>0</v>
      </c>
      <c r="AQ1705" t="n">
        <v>0</v>
      </c>
      <c r="AR1705" t="inlineStr">
        <is>
          <t>No</t>
        </is>
      </c>
      <c r="AS1705" t="inlineStr">
        <is>
          <t>No</t>
        </is>
      </c>
      <c r="AU1705">
        <f>HYPERLINK("https://creighton-primo.hosted.exlibrisgroup.com/primo-explore/search?tab=default_tab&amp;search_scope=EVERYTHING&amp;vid=01CRU&amp;lang=en_US&amp;offset=0&amp;query=any,contains,991004480599702656","Catalog Record")</f>
        <v/>
      </c>
      <c r="AV1705">
        <f>HYPERLINK("http://www.worldcat.org/oclc/3627302","WorldCat Record")</f>
        <v/>
      </c>
      <c r="AW1705" t="inlineStr">
        <is>
          <t>889859593:eng</t>
        </is>
      </c>
      <c r="AX1705" t="inlineStr">
        <is>
          <t>3627302</t>
        </is>
      </c>
      <c r="AY1705" t="inlineStr">
        <is>
          <t>991004480599702656</t>
        </is>
      </c>
      <c r="AZ1705" t="inlineStr">
        <is>
          <t>991004480599702656</t>
        </is>
      </c>
      <c r="BA1705" t="inlineStr">
        <is>
          <t>2269321740002656</t>
        </is>
      </c>
      <c r="BB1705" t="inlineStr">
        <is>
          <t>BOOK</t>
        </is>
      </c>
      <c r="BD1705" t="inlineStr">
        <is>
          <t>9780064908450</t>
        </is>
      </c>
      <c r="BE1705" t="inlineStr">
        <is>
          <t>32285000731686</t>
        </is>
      </c>
      <c r="BF1705" t="inlineStr">
        <is>
          <t>893423858</t>
        </is>
      </c>
    </row>
    <row r="1706">
      <c r="A1706" t="inlineStr">
        <is>
          <t>No</t>
        </is>
      </c>
      <c r="B1706" t="inlineStr">
        <is>
          <t>CURAL</t>
        </is>
      </c>
      <c r="C1706" t="inlineStr">
        <is>
          <t>SHELVES</t>
        </is>
      </c>
      <c r="D1706" t="inlineStr">
        <is>
          <t>PR445 .E5 1982</t>
        </is>
      </c>
      <c r="E1706" t="inlineStr">
        <is>
          <t>0                      PR 0445000E  5           1982</t>
        </is>
      </c>
      <c r="F1706" t="inlineStr">
        <is>
          <t>English romantic Hellenism, 1700-1824 / [edited by] Timothy Webb.</t>
        </is>
      </c>
      <c r="H1706" t="inlineStr">
        <is>
          <t>No</t>
        </is>
      </c>
      <c r="I1706" t="inlineStr">
        <is>
          <t>1</t>
        </is>
      </c>
      <c r="J1706" t="inlineStr">
        <is>
          <t>No</t>
        </is>
      </c>
      <c r="K1706" t="inlineStr">
        <is>
          <t>No</t>
        </is>
      </c>
      <c r="L1706" t="inlineStr">
        <is>
          <t>0</t>
        </is>
      </c>
      <c r="N1706" t="inlineStr">
        <is>
          <t>Manchester : Manchester University Press ; New York : Barnes &amp; Noble, 1982.</t>
        </is>
      </c>
      <c r="O1706" t="inlineStr">
        <is>
          <t>1982</t>
        </is>
      </c>
      <c r="Q1706" t="inlineStr">
        <is>
          <t>eng</t>
        </is>
      </c>
      <c r="R1706" t="inlineStr">
        <is>
          <t>enk</t>
        </is>
      </c>
      <c r="S1706" t="inlineStr">
        <is>
          <t>Literature in context</t>
        </is>
      </c>
      <c r="T1706" t="inlineStr">
        <is>
          <t xml:space="preserve">PR </t>
        </is>
      </c>
      <c r="U1706" t="n">
        <v>5</v>
      </c>
      <c r="V1706" t="n">
        <v>5</v>
      </c>
      <c r="W1706" t="inlineStr">
        <is>
          <t>1999-03-18</t>
        </is>
      </c>
      <c r="X1706" t="inlineStr">
        <is>
          <t>1999-03-18</t>
        </is>
      </c>
      <c r="Y1706" t="inlineStr">
        <is>
          <t>1991-08-29</t>
        </is>
      </c>
      <c r="Z1706" t="inlineStr">
        <is>
          <t>1991-08-29</t>
        </is>
      </c>
      <c r="AA1706" t="n">
        <v>365</v>
      </c>
      <c r="AB1706" t="n">
        <v>261</v>
      </c>
      <c r="AC1706" t="n">
        <v>265</v>
      </c>
      <c r="AD1706" t="n">
        <v>2</v>
      </c>
      <c r="AE1706" t="n">
        <v>2</v>
      </c>
      <c r="AF1706" t="n">
        <v>9</v>
      </c>
      <c r="AG1706" t="n">
        <v>9</v>
      </c>
      <c r="AH1706" t="n">
        <v>0</v>
      </c>
      <c r="AI1706" t="n">
        <v>0</v>
      </c>
      <c r="AJ1706" t="n">
        <v>2</v>
      </c>
      <c r="AK1706" t="n">
        <v>2</v>
      </c>
      <c r="AL1706" t="n">
        <v>8</v>
      </c>
      <c r="AM1706" t="n">
        <v>8</v>
      </c>
      <c r="AN1706" t="n">
        <v>1</v>
      </c>
      <c r="AO1706" t="n">
        <v>1</v>
      </c>
      <c r="AP1706" t="n">
        <v>0</v>
      </c>
      <c r="AQ1706" t="n">
        <v>0</v>
      </c>
      <c r="AR1706" t="inlineStr">
        <is>
          <t>No</t>
        </is>
      </c>
      <c r="AS1706" t="inlineStr">
        <is>
          <t>No</t>
        </is>
      </c>
      <c r="AU1706">
        <f>HYPERLINK("https://creighton-primo.hosted.exlibrisgroup.com/primo-explore/search?tab=default_tab&amp;search_scope=EVERYTHING&amp;vid=01CRU&amp;lang=en_US&amp;offset=0&amp;query=any,contains,991000100289702656","Catalog Record")</f>
        <v/>
      </c>
      <c r="AV1706">
        <f>HYPERLINK("http://www.worldcat.org/oclc/7653009","WorldCat Record")</f>
        <v/>
      </c>
      <c r="AW1706" t="inlineStr">
        <is>
          <t>458527:eng</t>
        </is>
      </c>
      <c r="AX1706" t="inlineStr">
        <is>
          <t>7653009</t>
        </is>
      </c>
      <c r="AY1706" t="inlineStr">
        <is>
          <t>991000100289702656</t>
        </is>
      </c>
      <c r="AZ1706" t="inlineStr">
        <is>
          <t>991000100289702656</t>
        </is>
      </c>
      <c r="BA1706" t="inlineStr">
        <is>
          <t>2271853900002656</t>
        </is>
      </c>
      <c r="BB1706" t="inlineStr">
        <is>
          <t>BOOK</t>
        </is>
      </c>
      <c r="BD1706" t="inlineStr">
        <is>
          <t>9780389200291</t>
        </is>
      </c>
      <c r="BE1706" t="inlineStr">
        <is>
          <t>32285000731694</t>
        </is>
      </c>
      <c r="BF1706" t="inlineStr">
        <is>
          <t>893249085</t>
        </is>
      </c>
    </row>
    <row r="1707">
      <c r="A1707" t="inlineStr">
        <is>
          <t>No</t>
        </is>
      </c>
      <c r="B1707" t="inlineStr">
        <is>
          <t>CURAL</t>
        </is>
      </c>
      <c r="C1707" t="inlineStr">
        <is>
          <t>SHELVES</t>
        </is>
      </c>
      <c r="D1707" t="inlineStr">
        <is>
          <t>PR445 .H3</t>
        </is>
      </c>
      <c r="E1707" t="inlineStr">
        <is>
          <t>0                      PR 0445000H  3</t>
        </is>
      </c>
      <c r="F1707" t="inlineStr">
        <is>
          <t>The sister arts; the tradition of literary pictorialism and English poetry from Dryden to Gray.</t>
        </is>
      </c>
      <c r="H1707" t="inlineStr">
        <is>
          <t>No</t>
        </is>
      </c>
      <c r="I1707" t="inlineStr">
        <is>
          <t>1</t>
        </is>
      </c>
      <c r="J1707" t="inlineStr">
        <is>
          <t>No</t>
        </is>
      </c>
      <c r="K1707" t="inlineStr">
        <is>
          <t>No</t>
        </is>
      </c>
      <c r="L1707" t="inlineStr">
        <is>
          <t>0</t>
        </is>
      </c>
      <c r="M1707" t="inlineStr">
        <is>
          <t>Hagstrum, Jean H.</t>
        </is>
      </c>
      <c r="N1707" t="inlineStr">
        <is>
          <t>[Chicago] University of Chicago Press [1958]</t>
        </is>
      </c>
      <c r="O1707" t="inlineStr">
        <is>
          <t>1958</t>
        </is>
      </c>
      <c r="Q1707" t="inlineStr">
        <is>
          <t>eng</t>
        </is>
      </c>
      <c r="R1707" t="inlineStr">
        <is>
          <t>ilu</t>
        </is>
      </c>
      <c r="T1707" t="inlineStr">
        <is>
          <t xml:space="preserve">PR </t>
        </is>
      </c>
      <c r="U1707" t="n">
        <v>1</v>
      </c>
      <c r="V1707" t="n">
        <v>1</v>
      </c>
      <c r="W1707" t="inlineStr">
        <is>
          <t>2002-09-17</t>
        </is>
      </c>
      <c r="X1707" t="inlineStr">
        <is>
          <t>2002-09-17</t>
        </is>
      </c>
      <c r="Y1707" t="inlineStr">
        <is>
          <t>1997-08-21</t>
        </is>
      </c>
      <c r="Z1707" t="inlineStr">
        <is>
          <t>1997-08-21</t>
        </is>
      </c>
      <c r="AA1707" t="n">
        <v>942</v>
      </c>
      <c r="AB1707" t="n">
        <v>815</v>
      </c>
      <c r="AC1707" t="n">
        <v>900</v>
      </c>
      <c r="AD1707" t="n">
        <v>6</v>
      </c>
      <c r="AE1707" t="n">
        <v>6</v>
      </c>
      <c r="AF1707" t="n">
        <v>40</v>
      </c>
      <c r="AG1707" t="n">
        <v>45</v>
      </c>
      <c r="AH1707" t="n">
        <v>16</v>
      </c>
      <c r="AI1707" t="n">
        <v>20</v>
      </c>
      <c r="AJ1707" t="n">
        <v>11</v>
      </c>
      <c r="AK1707" t="n">
        <v>11</v>
      </c>
      <c r="AL1707" t="n">
        <v>19</v>
      </c>
      <c r="AM1707" t="n">
        <v>22</v>
      </c>
      <c r="AN1707" t="n">
        <v>5</v>
      </c>
      <c r="AO1707" t="n">
        <v>5</v>
      </c>
      <c r="AP1707" t="n">
        <v>0</v>
      </c>
      <c r="AQ1707" t="n">
        <v>0</v>
      </c>
      <c r="AR1707" t="inlineStr">
        <is>
          <t>No</t>
        </is>
      </c>
      <c r="AS1707" t="inlineStr">
        <is>
          <t>Yes</t>
        </is>
      </c>
      <c r="AT1707">
        <f>HYPERLINK("http://catalog.hathitrust.org/Record/000404633","HathiTrust Record")</f>
        <v/>
      </c>
      <c r="AU1707">
        <f>HYPERLINK("https://creighton-primo.hosted.exlibrisgroup.com/primo-explore/search?tab=default_tab&amp;search_scope=EVERYTHING&amp;vid=01CRU&amp;lang=en_US&amp;offset=0&amp;query=any,contains,991001909289702656","Catalog Record")</f>
        <v/>
      </c>
      <c r="AV1707">
        <f>HYPERLINK("http://www.worldcat.org/oclc/241838","WorldCat Record")</f>
        <v/>
      </c>
      <c r="AW1707" t="inlineStr">
        <is>
          <t>1388256:eng</t>
        </is>
      </c>
      <c r="AX1707" t="inlineStr">
        <is>
          <t>241838</t>
        </is>
      </c>
      <c r="AY1707" t="inlineStr">
        <is>
          <t>991001909289702656</t>
        </is>
      </c>
      <c r="AZ1707" t="inlineStr">
        <is>
          <t>991001909289702656</t>
        </is>
      </c>
      <c r="BA1707" t="inlineStr">
        <is>
          <t>2271719150002656</t>
        </is>
      </c>
      <c r="BB1707" t="inlineStr">
        <is>
          <t>BOOK</t>
        </is>
      </c>
      <c r="BE1707" t="inlineStr">
        <is>
          <t>32285003151817</t>
        </is>
      </c>
      <c r="BF1707" t="inlineStr">
        <is>
          <t>893420733</t>
        </is>
      </c>
    </row>
    <row r="1708">
      <c r="A1708" t="inlineStr">
        <is>
          <t>No</t>
        </is>
      </c>
      <c r="B1708" t="inlineStr">
        <is>
          <t>CURAL</t>
        </is>
      </c>
      <c r="C1708" t="inlineStr">
        <is>
          <t>SHELVES</t>
        </is>
      </c>
      <c r="D1708" t="inlineStr">
        <is>
          <t>PR4453.C4 Z588 1982</t>
        </is>
      </c>
      <c r="E1708" t="inlineStr">
        <is>
          <t>0                      PR 4453000C  4                  Z  588         1982</t>
        </is>
      </c>
      <c r="F1708" t="inlineStr">
        <is>
          <t>The outline of sanity : a biography of G.K. Chesterton / by Alzina Stone Dale.</t>
        </is>
      </c>
      <c r="H1708" t="inlineStr">
        <is>
          <t>No</t>
        </is>
      </c>
      <c r="I1708" t="inlineStr">
        <is>
          <t>1</t>
        </is>
      </c>
      <c r="J1708" t="inlineStr">
        <is>
          <t>No</t>
        </is>
      </c>
      <c r="K1708" t="inlineStr">
        <is>
          <t>No</t>
        </is>
      </c>
      <c r="L1708" t="inlineStr">
        <is>
          <t>0</t>
        </is>
      </c>
      <c r="M1708" t="inlineStr">
        <is>
          <t>Dale, Alzina Stone, 1931-</t>
        </is>
      </c>
      <c r="N1708" t="inlineStr">
        <is>
          <t>Grand Rapids, Mich. : Eerdmans, c1982, 1983 printing.</t>
        </is>
      </c>
      <c r="O1708" t="inlineStr">
        <is>
          <t>1982</t>
        </is>
      </c>
      <c r="Q1708" t="inlineStr">
        <is>
          <t>eng</t>
        </is>
      </c>
      <c r="R1708" t="inlineStr">
        <is>
          <t>miu</t>
        </is>
      </c>
      <c r="T1708" t="inlineStr">
        <is>
          <t xml:space="preserve">PR </t>
        </is>
      </c>
      <c r="U1708" t="n">
        <v>4</v>
      </c>
      <c r="V1708" t="n">
        <v>4</v>
      </c>
      <c r="W1708" t="inlineStr">
        <is>
          <t>1997-10-07</t>
        </is>
      </c>
      <c r="X1708" t="inlineStr">
        <is>
          <t>1997-10-07</t>
        </is>
      </c>
      <c r="Y1708" t="inlineStr">
        <is>
          <t>1990-06-01</t>
        </is>
      </c>
      <c r="Z1708" t="inlineStr">
        <is>
          <t>1990-06-01</t>
        </is>
      </c>
      <c r="AA1708" t="n">
        <v>1083</v>
      </c>
      <c r="AB1708" t="n">
        <v>933</v>
      </c>
      <c r="AC1708" t="n">
        <v>941</v>
      </c>
      <c r="AD1708" t="n">
        <v>8</v>
      </c>
      <c r="AE1708" t="n">
        <v>8</v>
      </c>
      <c r="AF1708" t="n">
        <v>45</v>
      </c>
      <c r="AG1708" t="n">
        <v>45</v>
      </c>
      <c r="AH1708" t="n">
        <v>19</v>
      </c>
      <c r="AI1708" t="n">
        <v>19</v>
      </c>
      <c r="AJ1708" t="n">
        <v>10</v>
      </c>
      <c r="AK1708" t="n">
        <v>10</v>
      </c>
      <c r="AL1708" t="n">
        <v>24</v>
      </c>
      <c r="AM1708" t="n">
        <v>24</v>
      </c>
      <c r="AN1708" t="n">
        <v>6</v>
      </c>
      <c r="AO1708" t="n">
        <v>6</v>
      </c>
      <c r="AP1708" t="n">
        <v>0</v>
      </c>
      <c r="AQ1708" t="n">
        <v>0</v>
      </c>
      <c r="AR1708" t="inlineStr">
        <is>
          <t>No</t>
        </is>
      </c>
      <c r="AS1708" t="inlineStr">
        <is>
          <t>Yes</t>
        </is>
      </c>
      <c r="AT1708">
        <f>HYPERLINK("http://catalog.hathitrust.org/Record/000310755","HathiTrust Record")</f>
        <v/>
      </c>
      <c r="AU1708">
        <f>HYPERLINK("https://creighton-primo.hosted.exlibrisgroup.com/primo-explore/search?tab=default_tab&amp;search_scope=EVERYTHING&amp;vid=01CRU&amp;lang=en_US&amp;offset=0&amp;query=any,contains,991000029049702656","Catalog Record")</f>
        <v/>
      </c>
      <c r="AV1708">
        <f>HYPERLINK("http://www.worldcat.org/oclc/8590743","WorldCat Record")</f>
        <v/>
      </c>
      <c r="AW1708" t="inlineStr">
        <is>
          <t>4927726637:eng</t>
        </is>
      </c>
      <c r="AX1708" t="inlineStr">
        <is>
          <t>8590743</t>
        </is>
      </c>
      <c r="AY1708" t="inlineStr">
        <is>
          <t>991000029049702656</t>
        </is>
      </c>
      <c r="AZ1708" t="inlineStr">
        <is>
          <t>991000029049702656</t>
        </is>
      </c>
      <c r="BA1708" t="inlineStr">
        <is>
          <t>2272019530002656</t>
        </is>
      </c>
      <c r="BB1708" t="inlineStr">
        <is>
          <t>BOOK</t>
        </is>
      </c>
      <c r="BD1708" t="inlineStr">
        <is>
          <t>9780802835505</t>
        </is>
      </c>
      <c r="BE1708" t="inlineStr">
        <is>
          <t>32285000169895</t>
        </is>
      </c>
      <c r="BF1708" t="inlineStr">
        <is>
          <t>893613812</t>
        </is>
      </c>
    </row>
    <row r="1709">
      <c r="A1709" t="inlineStr">
        <is>
          <t>No</t>
        </is>
      </c>
      <c r="B1709" t="inlineStr">
        <is>
          <t>CURAL</t>
        </is>
      </c>
      <c r="C1709" t="inlineStr">
        <is>
          <t>SHELVES</t>
        </is>
      </c>
      <c r="D1709" t="inlineStr">
        <is>
          <t>PR4453.C4 Z646</t>
        </is>
      </c>
      <c r="E1709" t="inlineStr">
        <is>
          <t>0                      PR 4453000C  4                  Z  646</t>
        </is>
      </c>
      <c r="F1709" t="inlineStr">
        <is>
          <t>G. K. Chesterton : a centenary appraisal / edited by John Sullivan.</t>
        </is>
      </c>
      <c r="H1709" t="inlineStr">
        <is>
          <t>No</t>
        </is>
      </c>
      <c r="I1709" t="inlineStr">
        <is>
          <t>1</t>
        </is>
      </c>
      <c r="J1709" t="inlineStr">
        <is>
          <t>No</t>
        </is>
      </c>
      <c r="K1709" t="inlineStr">
        <is>
          <t>No</t>
        </is>
      </c>
      <c r="L1709" t="inlineStr">
        <is>
          <t>0</t>
        </is>
      </c>
      <c r="N1709" t="inlineStr">
        <is>
          <t>London, Elek, 1974.</t>
        </is>
      </c>
      <c r="O1709" t="inlineStr">
        <is>
          <t>1974</t>
        </is>
      </c>
      <c r="Q1709" t="inlineStr">
        <is>
          <t>eng</t>
        </is>
      </c>
      <c r="R1709" t="inlineStr">
        <is>
          <t>enk</t>
        </is>
      </c>
      <c r="T1709" t="inlineStr">
        <is>
          <t xml:space="preserve">PR </t>
        </is>
      </c>
      <c r="U1709" t="n">
        <v>3</v>
      </c>
      <c r="V1709" t="n">
        <v>3</v>
      </c>
      <c r="W1709" t="inlineStr">
        <is>
          <t>1999-08-04</t>
        </is>
      </c>
      <c r="X1709" t="inlineStr">
        <is>
          <t>1999-08-04</t>
        </is>
      </c>
      <c r="Y1709" t="inlineStr">
        <is>
          <t>1998-02-09</t>
        </is>
      </c>
      <c r="Z1709" t="inlineStr">
        <is>
          <t>1998-02-09</t>
        </is>
      </c>
      <c r="AA1709" t="n">
        <v>266</v>
      </c>
      <c r="AB1709" t="n">
        <v>101</v>
      </c>
      <c r="AC1709" t="n">
        <v>462</v>
      </c>
      <c r="AD1709" t="n">
        <v>1</v>
      </c>
      <c r="AE1709" t="n">
        <v>3</v>
      </c>
      <c r="AF1709" t="n">
        <v>6</v>
      </c>
      <c r="AG1709" t="n">
        <v>25</v>
      </c>
      <c r="AH1709" t="n">
        <v>2</v>
      </c>
      <c r="AI1709" t="n">
        <v>7</v>
      </c>
      <c r="AJ1709" t="n">
        <v>0</v>
      </c>
      <c r="AK1709" t="n">
        <v>8</v>
      </c>
      <c r="AL1709" t="n">
        <v>6</v>
      </c>
      <c r="AM1709" t="n">
        <v>18</v>
      </c>
      <c r="AN1709" t="n">
        <v>0</v>
      </c>
      <c r="AO1709" t="n">
        <v>1</v>
      </c>
      <c r="AP1709" t="n">
        <v>0</v>
      </c>
      <c r="AQ1709" t="n">
        <v>0</v>
      </c>
      <c r="AR1709" t="inlineStr">
        <is>
          <t>No</t>
        </is>
      </c>
      <c r="AS1709" t="inlineStr">
        <is>
          <t>Yes</t>
        </is>
      </c>
      <c r="AT1709">
        <f>HYPERLINK("http://catalog.hathitrust.org/Record/000627456","HathiTrust Record")</f>
        <v/>
      </c>
      <c r="AU1709">
        <f>HYPERLINK("https://creighton-primo.hosted.exlibrisgroup.com/primo-explore/search?tab=default_tab&amp;search_scope=EVERYTHING&amp;vid=01CRU&amp;lang=en_US&amp;offset=0&amp;query=any,contains,991003528509702656","Catalog Record")</f>
        <v/>
      </c>
      <c r="AV1709">
        <f>HYPERLINK("http://www.worldcat.org/oclc/1092078","WorldCat Record")</f>
        <v/>
      </c>
      <c r="AW1709" t="inlineStr">
        <is>
          <t>3943635905:eng</t>
        </is>
      </c>
      <c r="AX1709" t="inlineStr">
        <is>
          <t>1092078</t>
        </is>
      </c>
      <c r="AY1709" t="inlineStr">
        <is>
          <t>991003528509702656</t>
        </is>
      </c>
      <c r="AZ1709" t="inlineStr">
        <is>
          <t>991003528509702656</t>
        </is>
      </c>
      <c r="BA1709" t="inlineStr">
        <is>
          <t>2266439710002656</t>
        </is>
      </c>
      <c r="BB1709" t="inlineStr">
        <is>
          <t>BOOK</t>
        </is>
      </c>
      <c r="BD1709" t="inlineStr">
        <is>
          <t>9780236176281</t>
        </is>
      </c>
      <c r="BE1709" t="inlineStr">
        <is>
          <t>32285003342408</t>
        </is>
      </c>
      <c r="BF1709" t="inlineStr">
        <is>
          <t>893262792</t>
        </is>
      </c>
    </row>
    <row r="1710">
      <c r="A1710" t="inlineStr">
        <is>
          <t>No</t>
        </is>
      </c>
      <c r="B1710" t="inlineStr">
        <is>
          <t>CURAL</t>
        </is>
      </c>
      <c r="C1710" t="inlineStr">
        <is>
          <t>SHELVES</t>
        </is>
      </c>
      <c r="D1710" t="inlineStr">
        <is>
          <t>PR4453.C4 Z64625 1987</t>
        </is>
      </c>
      <c r="E1710" t="inlineStr">
        <is>
          <t>0                      PR 4453000C  4                  Z  64625       1987</t>
        </is>
      </c>
      <c r="F1710" t="inlineStr">
        <is>
          <t>G.K. Chesterton : a half century of views / edited by D.J. Conlon.</t>
        </is>
      </c>
      <c r="H1710" t="inlineStr">
        <is>
          <t>No</t>
        </is>
      </c>
      <c r="I1710" t="inlineStr">
        <is>
          <t>1</t>
        </is>
      </c>
      <c r="J1710" t="inlineStr">
        <is>
          <t>No</t>
        </is>
      </c>
      <c r="K1710" t="inlineStr">
        <is>
          <t>No</t>
        </is>
      </c>
      <c r="L1710" t="inlineStr">
        <is>
          <t>0</t>
        </is>
      </c>
      <c r="N1710" t="inlineStr">
        <is>
          <t>Oxford ; New York : Oxford University Press, 1987.</t>
        </is>
      </c>
      <c r="O1710" t="inlineStr">
        <is>
          <t>1987</t>
        </is>
      </c>
      <c r="Q1710" t="inlineStr">
        <is>
          <t>eng</t>
        </is>
      </c>
      <c r="R1710" t="inlineStr">
        <is>
          <t>enk</t>
        </is>
      </c>
      <c r="T1710" t="inlineStr">
        <is>
          <t xml:space="preserve">PR </t>
        </is>
      </c>
      <c r="U1710" t="n">
        <v>1</v>
      </c>
      <c r="V1710" t="n">
        <v>1</v>
      </c>
      <c r="W1710" t="inlineStr">
        <is>
          <t>2003-02-10</t>
        </is>
      </c>
      <c r="X1710" t="inlineStr">
        <is>
          <t>2003-02-10</t>
        </is>
      </c>
      <c r="Y1710" t="inlineStr">
        <is>
          <t>1991-11-05</t>
        </is>
      </c>
      <c r="Z1710" t="inlineStr">
        <is>
          <t>1991-11-05</t>
        </is>
      </c>
      <c r="AA1710" t="n">
        <v>472</v>
      </c>
      <c r="AB1710" t="n">
        <v>347</v>
      </c>
      <c r="AC1710" t="n">
        <v>354</v>
      </c>
      <c r="AD1710" t="n">
        <v>4</v>
      </c>
      <c r="AE1710" t="n">
        <v>4</v>
      </c>
      <c r="AF1710" t="n">
        <v>26</v>
      </c>
      <c r="AG1710" t="n">
        <v>26</v>
      </c>
      <c r="AH1710" t="n">
        <v>10</v>
      </c>
      <c r="AI1710" t="n">
        <v>10</v>
      </c>
      <c r="AJ1710" t="n">
        <v>9</v>
      </c>
      <c r="AK1710" t="n">
        <v>9</v>
      </c>
      <c r="AL1710" t="n">
        <v>16</v>
      </c>
      <c r="AM1710" t="n">
        <v>16</v>
      </c>
      <c r="AN1710" t="n">
        <v>2</v>
      </c>
      <c r="AO1710" t="n">
        <v>2</v>
      </c>
      <c r="AP1710" t="n">
        <v>0</v>
      </c>
      <c r="AQ1710" t="n">
        <v>0</v>
      </c>
      <c r="AR1710" t="inlineStr">
        <is>
          <t>No</t>
        </is>
      </c>
      <c r="AS1710" t="inlineStr">
        <is>
          <t>Yes</t>
        </is>
      </c>
      <c r="AT1710">
        <f>HYPERLINK("http://catalog.hathitrust.org/Record/000816711","HathiTrust Record")</f>
        <v/>
      </c>
      <c r="AU1710">
        <f>HYPERLINK("https://creighton-primo.hosted.exlibrisgroup.com/primo-explore/search?tab=default_tab&amp;search_scope=EVERYTHING&amp;vid=01CRU&amp;lang=en_US&amp;offset=0&amp;query=any,contains,991000848299702656","Catalog Record")</f>
        <v/>
      </c>
      <c r="AV1710">
        <f>HYPERLINK("http://www.worldcat.org/oclc/13580475","WorldCat Record")</f>
        <v/>
      </c>
      <c r="AW1710" t="inlineStr">
        <is>
          <t>807525647:eng</t>
        </is>
      </c>
      <c r="AX1710" t="inlineStr">
        <is>
          <t>13580475</t>
        </is>
      </c>
      <c r="AY1710" t="inlineStr">
        <is>
          <t>991000848299702656</t>
        </is>
      </c>
      <c r="AZ1710" t="inlineStr">
        <is>
          <t>991000848299702656</t>
        </is>
      </c>
      <c r="BA1710" t="inlineStr">
        <is>
          <t>2257844170002656</t>
        </is>
      </c>
      <c r="BB1710" t="inlineStr">
        <is>
          <t>BOOK</t>
        </is>
      </c>
      <c r="BD1710" t="inlineStr">
        <is>
          <t>9780192122605</t>
        </is>
      </c>
      <c r="BE1710" t="inlineStr">
        <is>
          <t>32285000796473</t>
        </is>
      </c>
      <c r="BF1710" t="inlineStr">
        <is>
          <t>893509167</t>
        </is>
      </c>
    </row>
    <row r="1711">
      <c r="A1711" t="inlineStr">
        <is>
          <t>No</t>
        </is>
      </c>
      <c r="B1711" t="inlineStr">
        <is>
          <t>CURAL</t>
        </is>
      </c>
      <c r="C1711" t="inlineStr">
        <is>
          <t>SHELVES</t>
        </is>
      </c>
      <c r="D1711" t="inlineStr">
        <is>
          <t>PR4453.C4 Z66</t>
        </is>
      </c>
      <c r="E1711" t="inlineStr">
        <is>
          <t>0                      PR 4453000C  4                  Z  66</t>
        </is>
      </c>
      <c r="F1711" t="inlineStr">
        <is>
          <t>Paradox in Chesterton; introd. by Herbert Marshall McLuhan.</t>
        </is>
      </c>
      <c r="H1711" t="inlineStr">
        <is>
          <t>No</t>
        </is>
      </c>
      <c r="I1711" t="inlineStr">
        <is>
          <t>1</t>
        </is>
      </c>
      <c r="J1711" t="inlineStr">
        <is>
          <t>No</t>
        </is>
      </c>
      <c r="K1711" t="inlineStr">
        <is>
          <t>No</t>
        </is>
      </c>
      <c r="L1711" t="inlineStr">
        <is>
          <t>0</t>
        </is>
      </c>
      <c r="M1711" t="inlineStr">
        <is>
          <t>Kenner, Hugh.</t>
        </is>
      </c>
      <c r="N1711" t="inlineStr">
        <is>
          <t>New York, Sheed &amp; Ward, 1947.</t>
        </is>
      </c>
      <c r="O1711" t="inlineStr">
        <is>
          <t>1947</t>
        </is>
      </c>
      <c r="Q1711" t="inlineStr">
        <is>
          <t>eng</t>
        </is>
      </c>
      <c r="R1711" t="inlineStr">
        <is>
          <t>nyu</t>
        </is>
      </c>
      <c r="T1711" t="inlineStr">
        <is>
          <t xml:space="preserve">PR </t>
        </is>
      </c>
      <c r="U1711" t="n">
        <v>2</v>
      </c>
      <c r="V1711" t="n">
        <v>2</v>
      </c>
      <c r="W1711" t="inlineStr">
        <is>
          <t>2005-03-14</t>
        </is>
      </c>
      <c r="X1711" t="inlineStr">
        <is>
          <t>2005-03-14</t>
        </is>
      </c>
      <c r="Y1711" t="inlineStr">
        <is>
          <t>1997-06-30</t>
        </is>
      </c>
      <c r="Z1711" t="inlineStr">
        <is>
          <t>1997-06-30</t>
        </is>
      </c>
      <c r="AA1711" t="n">
        <v>297</v>
      </c>
      <c r="AB1711" t="n">
        <v>273</v>
      </c>
      <c r="AC1711" t="n">
        <v>357</v>
      </c>
      <c r="AD1711" t="n">
        <v>2</v>
      </c>
      <c r="AE1711" t="n">
        <v>3</v>
      </c>
      <c r="AF1711" t="n">
        <v>34</v>
      </c>
      <c r="AG1711" t="n">
        <v>37</v>
      </c>
      <c r="AH1711" t="n">
        <v>11</v>
      </c>
      <c r="AI1711" t="n">
        <v>13</v>
      </c>
      <c r="AJ1711" t="n">
        <v>9</v>
      </c>
      <c r="AK1711" t="n">
        <v>9</v>
      </c>
      <c r="AL1711" t="n">
        <v>22</v>
      </c>
      <c r="AM1711" t="n">
        <v>24</v>
      </c>
      <c r="AN1711" t="n">
        <v>1</v>
      </c>
      <c r="AO1711" t="n">
        <v>2</v>
      </c>
      <c r="AP1711" t="n">
        <v>0</v>
      </c>
      <c r="AQ1711" t="n">
        <v>0</v>
      </c>
      <c r="AR1711" t="inlineStr">
        <is>
          <t>No</t>
        </is>
      </c>
      <c r="AS1711" t="inlineStr">
        <is>
          <t>No</t>
        </is>
      </c>
      <c r="AT1711">
        <f>HYPERLINK("http://catalog.hathitrust.org/Record/000627423","HathiTrust Record")</f>
        <v/>
      </c>
      <c r="AU1711">
        <f>HYPERLINK("https://creighton-primo.hosted.exlibrisgroup.com/primo-explore/search?tab=default_tab&amp;search_scope=EVERYTHING&amp;vid=01CRU&amp;lang=en_US&amp;offset=0&amp;query=any,contains,991003479899702656","Catalog Record")</f>
        <v/>
      </c>
      <c r="AV1711">
        <f>HYPERLINK("http://www.worldcat.org/oclc/1026681","WorldCat Record")</f>
        <v/>
      </c>
      <c r="AW1711" t="inlineStr">
        <is>
          <t>1961112:eng</t>
        </is>
      </c>
      <c r="AX1711" t="inlineStr">
        <is>
          <t>1026681</t>
        </is>
      </c>
      <c r="AY1711" t="inlineStr">
        <is>
          <t>991003479899702656</t>
        </is>
      </c>
      <c r="AZ1711" t="inlineStr">
        <is>
          <t>991003479899702656</t>
        </is>
      </c>
      <c r="BA1711" t="inlineStr">
        <is>
          <t>2257072840002656</t>
        </is>
      </c>
      <c r="BB1711" t="inlineStr">
        <is>
          <t>BOOK</t>
        </is>
      </c>
      <c r="BE1711" t="inlineStr">
        <is>
          <t>32285002836269</t>
        </is>
      </c>
      <c r="BF1711" t="inlineStr">
        <is>
          <t>893511984</t>
        </is>
      </c>
    </row>
    <row r="1712">
      <c r="A1712" t="inlineStr">
        <is>
          <t>No</t>
        </is>
      </c>
      <c r="B1712" t="inlineStr">
        <is>
          <t>CURAL</t>
        </is>
      </c>
      <c r="C1712" t="inlineStr">
        <is>
          <t>SHELVES</t>
        </is>
      </c>
      <c r="D1712" t="inlineStr">
        <is>
          <t>PR4453.C4 Z842</t>
        </is>
      </c>
      <c r="E1712" t="inlineStr">
        <is>
          <t>0                      PR 4453000C  4                  Z  842</t>
        </is>
      </c>
      <c r="F1712" t="inlineStr">
        <is>
          <t>Return to Chesterton.</t>
        </is>
      </c>
      <c r="H1712" t="inlineStr">
        <is>
          <t>No</t>
        </is>
      </c>
      <c r="I1712" t="inlineStr">
        <is>
          <t>1</t>
        </is>
      </c>
      <c r="J1712" t="inlineStr">
        <is>
          <t>No</t>
        </is>
      </c>
      <c r="K1712" t="inlineStr">
        <is>
          <t>No</t>
        </is>
      </c>
      <c r="L1712" t="inlineStr">
        <is>
          <t>0</t>
        </is>
      </c>
      <c r="M1712" t="inlineStr">
        <is>
          <t>Ward, Maisie, 1889-1975.</t>
        </is>
      </c>
      <c r="N1712" t="inlineStr">
        <is>
          <t>New York, Sheed and Ward, 1952.</t>
        </is>
      </c>
      <c r="O1712" t="inlineStr">
        <is>
          <t>1952</t>
        </is>
      </c>
      <c r="Q1712" t="inlineStr">
        <is>
          <t>eng</t>
        </is>
      </c>
      <c r="R1712" t="inlineStr">
        <is>
          <t>nyu</t>
        </is>
      </c>
      <c r="T1712" t="inlineStr">
        <is>
          <t xml:space="preserve">PR </t>
        </is>
      </c>
      <c r="U1712" t="n">
        <v>1</v>
      </c>
      <c r="V1712" t="n">
        <v>1</v>
      </c>
      <c r="W1712" t="inlineStr">
        <is>
          <t>2008-09-21</t>
        </is>
      </c>
      <c r="X1712" t="inlineStr">
        <is>
          <t>2008-09-21</t>
        </is>
      </c>
      <c r="Y1712" t="inlineStr">
        <is>
          <t>1997-06-30</t>
        </is>
      </c>
      <c r="Z1712" t="inlineStr">
        <is>
          <t>1997-06-30</t>
        </is>
      </c>
      <c r="AA1712" t="n">
        <v>332</v>
      </c>
      <c r="AB1712" t="n">
        <v>300</v>
      </c>
      <c r="AC1712" t="n">
        <v>383</v>
      </c>
      <c r="AD1712" t="n">
        <v>2</v>
      </c>
      <c r="AE1712" t="n">
        <v>3</v>
      </c>
      <c r="AF1712" t="n">
        <v>31</v>
      </c>
      <c r="AG1712" t="n">
        <v>37</v>
      </c>
      <c r="AH1712" t="n">
        <v>13</v>
      </c>
      <c r="AI1712" t="n">
        <v>15</v>
      </c>
      <c r="AJ1712" t="n">
        <v>7</v>
      </c>
      <c r="AK1712" t="n">
        <v>9</v>
      </c>
      <c r="AL1712" t="n">
        <v>22</v>
      </c>
      <c r="AM1712" t="n">
        <v>25</v>
      </c>
      <c r="AN1712" t="n">
        <v>0</v>
      </c>
      <c r="AO1712" t="n">
        <v>1</v>
      </c>
      <c r="AP1712" t="n">
        <v>0</v>
      </c>
      <c r="AQ1712" t="n">
        <v>0</v>
      </c>
      <c r="AR1712" t="inlineStr">
        <is>
          <t>No</t>
        </is>
      </c>
      <c r="AS1712" t="inlineStr">
        <is>
          <t>No</t>
        </is>
      </c>
      <c r="AT1712">
        <f>HYPERLINK("http://catalog.hathitrust.org/Record/000627491","HathiTrust Record")</f>
        <v/>
      </c>
      <c r="AU1712">
        <f>HYPERLINK("https://creighton-primo.hosted.exlibrisgroup.com/primo-explore/search?tab=default_tab&amp;search_scope=EVERYTHING&amp;vid=01CRU&amp;lang=en_US&amp;offset=0&amp;query=any,contains,991003776489702656","Catalog Record")</f>
        <v/>
      </c>
      <c r="AV1712">
        <f>HYPERLINK("http://www.worldcat.org/oclc/1484605","WorldCat Record")</f>
        <v/>
      </c>
      <c r="AW1712" t="inlineStr">
        <is>
          <t>398689142:eng</t>
        </is>
      </c>
      <c r="AX1712" t="inlineStr">
        <is>
          <t>1484605</t>
        </is>
      </c>
      <c r="AY1712" t="inlineStr">
        <is>
          <t>991003776489702656</t>
        </is>
      </c>
      <c r="AZ1712" t="inlineStr">
        <is>
          <t>991003776489702656</t>
        </is>
      </c>
      <c r="BA1712" t="inlineStr">
        <is>
          <t>2272254130002656</t>
        </is>
      </c>
      <c r="BB1712" t="inlineStr">
        <is>
          <t>BOOK</t>
        </is>
      </c>
      <c r="BE1712" t="inlineStr">
        <is>
          <t>32285002836293</t>
        </is>
      </c>
      <c r="BF1712" t="inlineStr">
        <is>
          <t>893445857</t>
        </is>
      </c>
    </row>
    <row r="1713">
      <c r="A1713" t="inlineStr">
        <is>
          <t>No</t>
        </is>
      </c>
      <c r="B1713" t="inlineStr">
        <is>
          <t>CURAL</t>
        </is>
      </c>
      <c r="C1713" t="inlineStr">
        <is>
          <t>SHELVES</t>
        </is>
      </c>
      <c r="D1713" t="inlineStr">
        <is>
          <t>PR4453.C6 Z89 1982</t>
        </is>
      </c>
      <c r="E1713" t="inlineStr">
        <is>
          <t>0                      PR 4453000C  6                  Z  89          1982</t>
        </is>
      </c>
      <c r="F1713" t="inlineStr">
        <is>
          <t>A right to song : the life of John Clare / Edward Storey ; photographs by John Baguley.</t>
        </is>
      </c>
      <c r="H1713" t="inlineStr">
        <is>
          <t>No</t>
        </is>
      </c>
      <c r="I1713" t="inlineStr">
        <is>
          <t>1</t>
        </is>
      </c>
      <c r="J1713" t="inlineStr">
        <is>
          <t>No</t>
        </is>
      </c>
      <c r="K1713" t="inlineStr">
        <is>
          <t>No</t>
        </is>
      </c>
      <c r="L1713" t="inlineStr">
        <is>
          <t>0</t>
        </is>
      </c>
      <c r="M1713" t="inlineStr">
        <is>
          <t>Storey, Edward.</t>
        </is>
      </c>
      <c r="N1713" t="inlineStr">
        <is>
          <t>London : Methuen, 1982.</t>
        </is>
      </c>
      <c r="O1713" t="inlineStr">
        <is>
          <t>1982</t>
        </is>
      </c>
      <c r="Q1713" t="inlineStr">
        <is>
          <t>eng</t>
        </is>
      </c>
      <c r="R1713" t="inlineStr">
        <is>
          <t>enk</t>
        </is>
      </c>
      <c r="T1713" t="inlineStr">
        <is>
          <t xml:space="preserve">PR </t>
        </is>
      </c>
      <c r="U1713" t="n">
        <v>3</v>
      </c>
      <c r="V1713" t="n">
        <v>3</v>
      </c>
      <c r="W1713" t="inlineStr">
        <is>
          <t>2006-03-21</t>
        </is>
      </c>
      <c r="X1713" t="inlineStr">
        <is>
          <t>2006-03-21</t>
        </is>
      </c>
      <c r="Y1713" t="inlineStr">
        <is>
          <t>1991-11-05</t>
        </is>
      </c>
      <c r="Z1713" t="inlineStr">
        <is>
          <t>1991-11-05</t>
        </is>
      </c>
      <c r="AA1713" t="n">
        <v>537</v>
      </c>
      <c r="AB1713" t="n">
        <v>364</v>
      </c>
      <c r="AC1713" t="n">
        <v>366</v>
      </c>
      <c r="AD1713" t="n">
        <v>3</v>
      </c>
      <c r="AE1713" t="n">
        <v>3</v>
      </c>
      <c r="AF1713" t="n">
        <v>17</v>
      </c>
      <c r="AG1713" t="n">
        <v>17</v>
      </c>
      <c r="AH1713" t="n">
        <v>5</v>
      </c>
      <c r="AI1713" t="n">
        <v>5</v>
      </c>
      <c r="AJ1713" t="n">
        <v>7</v>
      </c>
      <c r="AK1713" t="n">
        <v>7</v>
      </c>
      <c r="AL1713" t="n">
        <v>9</v>
      </c>
      <c r="AM1713" t="n">
        <v>9</v>
      </c>
      <c r="AN1713" t="n">
        <v>2</v>
      </c>
      <c r="AO1713" t="n">
        <v>2</v>
      </c>
      <c r="AP1713" t="n">
        <v>0</v>
      </c>
      <c r="AQ1713" t="n">
        <v>0</v>
      </c>
      <c r="AR1713" t="inlineStr">
        <is>
          <t>No</t>
        </is>
      </c>
      <c r="AS1713" t="inlineStr">
        <is>
          <t>Yes</t>
        </is>
      </c>
      <c r="AT1713">
        <f>HYPERLINK("http://catalog.hathitrust.org/Record/000229309","HathiTrust Record")</f>
        <v/>
      </c>
      <c r="AU1713">
        <f>HYPERLINK("https://creighton-primo.hosted.exlibrisgroup.com/primo-explore/search?tab=default_tab&amp;search_scope=EVERYTHING&amp;vid=01CRU&amp;lang=en_US&amp;offset=0&amp;query=any,contains,991000173899702656","Catalog Record")</f>
        <v/>
      </c>
      <c r="AV1713">
        <f>HYPERLINK("http://www.worldcat.org/oclc/9325961","WorldCat Record")</f>
        <v/>
      </c>
      <c r="AW1713" t="inlineStr">
        <is>
          <t>309030433:eng</t>
        </is>
      </c>
      <c r="AX1713" t="inlineStr">
        <is>
          <t>9325961</t>
        </is>
      </c>
      <c r="AY1713" t="inlineStr">
        <is>
          <t>991000173899702656</t>
        </is>
      </c>
      <c r="AZ1713" t="inlineStr">
        <is>
          <t>991000173899702656</t>
        </is>
      </c>
      <c r="BA1713" t="inlineStr">
        <is>
          <t>2267466900002656</t>
        </is>
      </c>
      <c r="BB1713" t="inlineStr">
        <is>
          <t>BOOK</t>
        </is>
      </c>
      <c r="BD1713" t="inlineStr">
        <is>
          <t>9780413399403</t>
        </is>
      </c>
      <c r="BE1713" t="inlineStr">
        <is>
          <t>32285000796515</t>
        </is>
      </c>
      <c r="BF1713" t="inlineStr">
        <is>
          <t>893802567</t>
        </is>
      </c>
    </row>
    <row r="1714">
      <c r="A1714" t="inlineStr">
        <is>
          <t>No</t>
        </is>
      </c>
      <c r="B1714" t="inlineStr">
        <is>
          <t>CURAL</t>
        </is>
      </c>
      <c r="C1714" t="inlineStr">
        <is>
          <t>SHELVES</t>
        </is>
      </c>
      <c r="D1714" t="inlineStr">
        <is>
          <t>PR447 .B37 1971</t>
        </is>
      </c>
      <c r="E1714" t="inlineStr">
        <is>
          <t>0                      PR 0447000B  37          1971</t>
        </is>
      </c>
      <c r="F1714" t="inlineStr">
        <is>
          <t>Light from heaven : love in British romantic literature / Frederick L. Beaty.</t>
        </is>
      </c>
      <c r="H1714" t="inlineStr">
        <is>
          <t>No</t>
        </is>
      </c>
      <c r="I1714" t="inlineStr">
        <is>
          <t>1</t>
        </is>
      </c>
      <c r="J1714" t="inlineStr">
        <is>
          <t>No</t>
        </is>
      </c>
      <c r="K1714" t="inlineStr">
        <is>
          <t>No</t>
        </is>
      </c>
      <c r="L1714" t="inlineStr">
        <is>
          <t>0</t>
        </is>
      </c>
      <c r="M1714" t="inlineStr">
        <is>
          <t>Beaty, Frederick L., 1926-</t>
        </is>
      </c>
      <c r="N1714" t="inlineStr">
        <is>
          <t>DeKalb : Northern Illinois University Press, 1971.</t>
        </is>
      </c>
      <c r="O1714" t="inlineStr">
        <is>
          <t>1971</t>
        </is>
      </c>
      <c r="Q1714" t="inlineStr">
        <is>
          <t>eng</t>
        </is>
      </c>
      <c r="R1714" t="inlineStr">
        <is>
          <t>ilu</t>
        </is>
      </c>
      <c r="T1714" t="inlineStr">
        <is>
          <t xml:space="preserve">PR </t>
        </is>
      </c>
      <c r="U1714" t="n">
        <v>3</v>
      </c>
      <c r="V1714" t="n">
        <v>3</v>
      </c>
      <c r="W1714" t="inlineStr">
        <is>
          <t>1996-11-26</t>
        </is>
      </c>
      <c r="X1714" t="inlineStr">
        <is>
          <t>1996-11-26</t>
        </is>
      </c>
      <c r="Y1714" t="inlineStr">
        <is>
          <t>1991-08-29</t>
        </is>
      </c>
      <c r="Z1714" t="inlineStr">
        <is>
          <t>1991-08-29</t>
        </is>
      </c>
      <c r="AA1714" t="n">
        <v>871</v>
      </c>
      <c r="AB1714" t="n">
        <v>772</v>
      </c>
      <c r="AC1714" t="n">
        <v>781</v>
      </c>
      <c r="AD1714" t="n">
        <v>9</v>
      </c>
      <c r="AE1714" t="n">
        <v>9</v>
      </c>
      <c r="AF1714" t="n">
        <v>39</v>
      </c>
      <c r="AG1714" t="n">
        <v>39</v>
      </c>
      <c r="AH1714" t="n">
        <v>13</v>
      </c>
      <c r="AI1714" t="n">
        <v>13</v>
      </c>
      <c r="AJ1714" t="n">
        <v>8</v>
      </c>
      <c r="AK1714" t="n">
        <v>8</v>
      </c>
      <c r="AL1714" t="n">
        <v>20</v>
      </c>
      <c r="AM1714" t="n">
        <v>20</v>
      </c>
      <c r="AN1714" t="n">
        <v>8</v>
      </c>
      <c r="AO1714" t="n">
        <v>8</v>
      </c>
      <c r="AP1714" t="n">
        <v>0</v>
      </c>
      <c r="AQ1714" t="n">
        <v>0</v>
      </c>
      <c r="AR1714" t="inlineStr">
        <is>
          <t>No</t>
        </is>
      </c>
      <c r="AS1714" t="inlineStr">
        <is>
          <t>Yes</t>
        </is>
      </c>
      <c r="AT1714">
        <f>HYPERLINK("http://catalog.hathitrust.org/Record/001016364","HathiTrust Record")</f>
        <v/>
      </c>
      <c r="AU1714">
        <f>HYPERLINK("https://creighton-primo.hosted.exlibrisgroup.com/primo-explore/search?tab=default_tab&amp;search_scope=EVERYTHING&amp;vid=01CRU&amp;lang=en_US&amp;offset=0&amp;query=any,contains,991001216689702656","Catalog Record")</f>
        <v/>
      </c>
      <c r="AV1714">
        <f>HYPERLINK("http://www.worldcat.org/oclc/194617","WorldCat Record")</f>
        <v/>
      </c>
      <c r="AW1714" t="inlineStr">
        <is>
          <t>146919312:eng</t>
        </is>
      </c>
      <c r="AX1714" t="inlineStr">
        <is>
          <t>194617</t>
        </is>
      </c>
      <c r="AY1714" t="inlineStr">
        <is>
          <t>991001216689702656</t>
        </is>
      </c>
      <c r="AZ1714" t="inlineStr">
        <is>
          <t>991001216689702656</t>
        </is>
      </c>
      <c r="BA1714" t="inlineStr">
        <is>
          <t>2269260120002656</t>
        </is>
      </c>
      <c r="BB1714" t="inlineStr">
        <is>
          <t>BOOK</t>
        </is>
      </c>
      <c r="BD1714" t="inlineStr">
        <is>
          <t>9780875800288</t>
        </is>
      </c>
      <c r="BE1714" t="inlineStr">
        <is>
          <t>32285000731728</t>
        </is>
      </c>
      <c r="BF1714" t="inlineStr">
        <is>
          <t>893602432</t>
        </is>
      </c>
    </row>
    <row r="1715">
      <c r="A1715" t="inlineStr">
        <is>
          <t>No</t>
        </is>
      </c>
      <c r="B1715" t="inlineStr">
        <is>
          <t>CURAL</t>
        </is>
      </c>
      <c r="C1715" t="inlineStr">
        <is>
          <t>SHELVES</t>
        </is>
      </c>
      <c r="D1715" t="inlineStr">
        <is>
          <t>PR447 .B5 1966</t>
        </is>
      </c>
      <c r="E1715" t="inlineStr">
        <is>
          <t>0                      PR 0447000B  5           1966</t>
        </is>
      </c>
      <c r="F1715" t="inlineStr">
        <is>
          <t>A history of English romanticism in the nineteenth century, by Henry A. Beers.</t>
        </is>
      </c>
      <c r="H1715" t="inlineStr">
        <is>
          <t>No</t>
        </is>
      </c>
      <c r="I1715" t="inlineStr">
        <is>
          <t>1</t>
        </is>
      </c>
      <c r="J1715" t="inlineStr">
        <is>
          <t>No</t>
        </is>
      </c>
      <c r="K1715" t="inlineStr">
        <is>
          <t>No</t>
        </is>
      </c>
      <c r="L1715" t="inlineStr">
        <is>
          <t>0</t>
        </is>
      </c>
      <c r="M1715" t="inlineStr">
        <is>
          <t>Beers, Henry A. (Henry Augustin), 1847-1926.</t>
        </is>
      </c>
      <c r="N1715" t="inlineStr">
        <is>
          <t>New York, Gordian Press, 1966.</t>
        </is>
      </c>
      <c r="O1715" t="inlineStr">
        <is>
          <t>1966</t>
        </is>
      </c>
      <c r="Q1715" t="inlineStr">
        <is>
          <t>eng</t>
        </is>
      </c>
      <c r="R1715" t="inlineStr">
        <is>
          <t>nyu</t>
        </is>
      </c>
      <c r="T1715" t="inlineStr">
        <is>
          <t xml:space="preserve">PR </t>
        </is>
      </c>
      <c r="U1715" t="n">
        <v>2</v>
      </c>
      <c r="V1715" t="n">
        <v>2</v>
      </c>
      <c r="W1715" t="inlineStr">
        <is>
          <t>2003-02-09</t>
        </is>
      </c>
      <c r="X1715" t="inlineStr">
        <is>
          <t>2003-02-09</t>
        </is>
      </c>
      <c r="Y1715" t="inlineStr">
        <is>
          <t>1997-08-21</t>
        </is>
      </c>
      <c r="Z1715" t="inlineStr">
        <is>
          <t>1997-08-21</t>
        </is>
      </c>
      <c r="AA1715" t="n">
        <v>362</v>
      </c>
      <c r="AB1715" t="n">
        <v>320</v>
      </c>
      <c r="AC1715" t="n">
        <v>1018</v>
      </c>
      <c r="AD1715" t="n">
        <v>1</v>
      </c>
      <c r="AE1715" t="n">
        <v>9</v>
      </c>
      <c r="AF1715" t="n">
        <v>9</v>
      </c>
      <c r="AG1715" t="n">
        <v>50</v>
      </c>
      <c r="AH1715" t="n">
        <v>5</v>
      </c>
      <c r="AI1715" t="n">
        <v>23</v>
      </c>
      <c r="AJ1715" t="n">
        <v>0</v>
      </c>
      <c r="AK1715" t="n">
        <v>9</v>
      </c>
      <c r="AL1715" t="n">
        <v>6</v>
      </c>
      <c r="AM1715" t="n">
        <v>20</v>
      </c>
      <c r="AN1715" t="n">
        <v>0</v>
      </c>
      <c r="AO1715" t="n">
        <v>8</v>
      </c>
      <c r="AP1715" t="n">
        <v>0</v>
      </c>
      <c r="AQ1715" t="n">
        <v>0</v>
      </c>
      <c r="AR1715" t="inlineStr">
        <is>
          <t>No</t>
        </is>
      </c>
      <c r="AS1715" t="inlineStr">
        <is>
          <t>Yes</t>
        </is>
      </c>
      <c r="AT1715">
        <f>HYPERLINK("http://catalog.hathitrust.org/Record/001370639","HathiTrust Record")</f>
        <v/>
      </c>
      <c r="AU1715">
        <f>HYPERLINK("https://creighton-primo.hosted.exlibrisgroup.com/primo-explore/search?tab=default_tab&amp;search_scope=EVERYTHING&amp;vid=01CRU&amp;lang=en_US&amp;offset=0&amp;query=any,contains,991001092739702656","Catalog Record")</f>
        <v/>
      </c>
      <c r="AV1715">
        <f>HYPERLINK("http://www.worldcat.org/oclc/181770","WorldCat Record")</f>
        <v/>
      </c>
      <c r="AW1715" t="inlineStr">
        <is>
          <t>1324844:eng</t>
        </is>
      </c>
      <c r="AX1715" t="inlineStr">
        <is>
          <t>181770</t>
        </is>
      </c>
      <c r="AY1715" t="inlineStr">
        <is>
          <t>991001092739702656</t>
        </is>
      </c>
      <c r="AZ1715" t="inlineStr">
        <is>
          <t>991001092739702656</t>
        </is>
      </c>
      <c r="BA1715" t="inlineStr">
        <is>
          <t>2272547500002656</t>
        </is>
      </c>
      <c r="BB1715" t="inlineStr">
        <is>
          <t>BOOK</t>
        </is>
      </c>
      <c r="BE1715" t="inlineStr">
        <is>
          <t>32285003151866</t>
        </is>
      </c>
      <c r="BF1715" t="inlineStr">
        <is>
          <t>893444579</t>
        </is>
      </c>
    </row>
    <row r="1716">
      <c r="A1716" t="inlineStr">
        <is>
          <t>No</t>
        </is>
      </c>
      <c r="B1716" t="inlineStr">
        <is>
          <t>CURAL</t>
        </is>
      </c>
      <c r="C1716" t="inlineStr">
        <is>
          <t>SHELVES</t>
        </is>
      </c>
      <c r="D1716" t="inlineStr">
        <is>
          <t>PR447 .B6</t>
        </is>
      </c>
      <c r="E1716" t="inlineStr">
        <is>
          <t>0                      PR 0447000B  6</t>
        </is>
      </c>
      <c r="F1716" t="inlineStr">
        <is>
          <t>The ringers in the tower : studies in romantic tradition.</t>
        </is>
      </c>
      <c r="H1716" t="inlineStr">
        <is>
          <t>No</t>
        </is>
      </c>
      <c r="I1716" t="inlineStr">
        <is>
          <t>1</t>
        </is>
      </c>
      <c r="J1716" t="inlineStr">
        <is>
          <t>No</t>
        </is>
      </c>
      <c r="K1716" t="inlineStr">
        <is>
          <t>No</t>
        </is>
      </c>
      <c r="L1716" t="inlineStr">
        <is>
          <t>0</t>
        </is>
      </c>
      <c r="M1716" t="inlineStr">
        <is>
          <t>Bloom, Harold.</t>
        </is>
      </c>
      <c r="N1716" t="inlineStr">
        <is>
          <t>Chicago : University of Chicago Press, [1971]</t>
        </is>
      </c>
      <c r="O1716" t="inlineStr">
        <is>
          <t>1971</t>
        </is>
      </c>
      <c r="Q1716" t="inlineStr">
        <is>
          <t>eng</t>
        </is>
      </c>
      <c r="R1716" t="inlineStr">
        <is>
          <t>ilu</t>
        </is>
      </c>
      <c r="T1716" t="inlineStr">
        <is>
          <t xml:space="preserve">PR </t>
        </is>
      </c>
      <c r="U1716" t="n">
        <v>1</v>
      </c>
      <c r="V1716" t="n">
        <v>1</v>
      </c>
      <c r="W1716" t="inlineStr">
        <is>
          <t>2004-02-15</t>
        </is>
      </c>
      <c r="X1716" t="inlineStr">
        <is>
          <t>2004-02-15</t>
        </is>
      </c>
      <c r="Y1716" t="inlineStr">
        <is>
          <t>1991-08-29</t>
        </is>
      </c>
      <c r="Z1716" t="inlineStr">
        <is>
          <t>1991-08-29</t>
        </is>
      </c>
      <c r="AA1716" t="n">
        <v>1032</v>
      </c>
      <c r="AB1716" t="n">
        <v>846</v>
      </c>
      <c r="AC1716" t="n">
        <v>858</v>
      </c>
      <c r="AD1716" t="n">
        <v>7</v>
      </c>
      <c r="AE1716" t="n">
        <v>7</v>
      </c>
      <c r="AF1716" t="n">
        <v>41</v>
      </c>
      <c r="AG1716" t="n">
        <v>41</v>
      </c>
      <c r="AH1716" t="n">
        <v>16</v>
      </c>
      <c r="AI1716" t="n">
        <v>16</v>
      </c>
      <c r="AJ1716" t="n">
        <v>10</v>
      </c>
      <c r="AK1716" t="n">
        <v>10</v>
      </c>
      <c r="AL1716" t="n">
        <v>21</v>
      </c>
      <c r="AM1716" t="n">
        <v>21</v>
      </c>
      <c r="AN1716" t="n">
        <v>6</v>
      </c>
      <c r="AO1716" t="n">
        <v>6</v>
      </c>
      <c r="AP1716" t="n">
        <v>0</v>
      </c>
      <c r="AQ1716" t="n">
        <v>0</v>
      </c>
      <c r="AR1716" t="inlineStr">
        <is>
          <t>No</t>
        </is>
      </c>
      <c r="AS1716" t="inlineStr">
        <is>
          <t>Yes</t>
        </is>
      </c>
      <c r="AT1716">
        <f>HYPERLINK("http://catalog.hathitrust.org/Record/000003114","HathiTrust Record")</f>
        <v/>
      </c>
      <c r="AU1716">
        <f>HYPERLINK("https://creighton-primo.hosted.exlibrisgroup.com/primo-explore/search?tab=default_tab&amp;search_scope=EVERYTHING&amp;vid=01CRU&amp;lang=en_US&amp;offset=0&amp;query=any,contains,991001273799702656","Catalog Record")</f>
        <v/>
      </c>
      <c r="AV1716">
        <f>HYPERLINK("http://www.worldcat.org/oclc/213307","WorldCat Record")</f>
        <v/>
      </c>
      <c r="AW1716" t="inlineStr">
        <is>
          <t>1294536:eng</t>
        </is>
      </c>
      <c r="AX1716" t="inlineStr">
        <is>
          <t>213307</t>
        </is>
      </c>
      <c r="AY1716" t="inlineStr">
        <is>
          <t>991001273799702656</t>
        </is>
      </c>
      <c r="AZ1716" t="inlineStr">
        <is>
          <t>991001273799702656</t>
        </is>
      </c>
      <c r="BA1716" t="inlineStr">
        <is>
          <t>2255305120002656</t>
        </is>
      </c>
      <c r="BB1716" t="inlineStr">
        <is>
          <t>BOOK</t>
        </is>
      </c>
      <c r="BD1716" t="inlineStr">
        <is>
          <t>9780226060484</t>
        </is>
      </c>
      <c r="BE1716" t="inlineStr">
        <is>
          <t>32285000731736</t>
        </is>
      </c>
      <c r="BF1716" t="inlineStr">
        <is>
          <t>893626641</t>
        </is>
      </c>
    </row>
    <row r="1717">
      <c r="A1717" t="inlineStr">
        <is>
          <t>No</t>
        </is>
      </c>
      <c r="B1717" t="inlineStr">
        <is>
          <t>CURAL</t>
        </is>
      </c>
      <c r="C1717" t="inlineStr">
        <is>
          <t>SHELVES</t>
        </is>
      </c>
      <c r="D1717" t="inlineStr">
        <is>
          <t>PR447 .C6 1972</t>
        </is>
      </c>
      <c r="E1717" t="inlineStr">
        <is>
          <t>0                      PR 0447000C  6           1972</t>
        </is>
      </c>
      <c r="F1717" t="inlineStr">
        <is>
          <t>The liberal movement in English literature / London, J. Murray, 1885.</t>
        </is>
      </c>
      <c r="H1717" t="inlineStr">
        <is>
          <t>No</t>
        </is>
      </c>
      <c r="I1717" t="inlineStr">
        <is>
          <t>1</t>
        </is>
      </c>
      <c r="J1717" t="inlineStr">
        <is>
          <t>No</t>
        </is>
      </c>
      <c r="K1717" t="inlineStr">
        <is>
          <t>No</t>
        </is>
      </c>
      <c r="L1717" t="inlineStr">
        <is>
          <t>0</t>
        </is>
      </c>
      <c r="M1717" t="inlineStr">
        <is>
          <t>Courthope, William John, 1842-1917.</t>
        </is>
      </c>
      <c r="N1717" t="inlineStr">
        <is>
          <t>[New York : AMS Press, 1972]</t>
        </is>
      </c>
      <c r="O1717" t="inlineStr">
        <is>
          <t>1972</t>
        </is>
      </c>
      <c r="Q1717" t="inlineStr">
        <is>
          <t>eng</t>
        </is>
      </c>
      <c r="R1717" t="inlineStr">
        <is>
          <t>nyu</t>
        </is>
      </c>
      <c r="T1717" t="inlineStr">
        <is>
          <t xml:space="preserve">PR </t>
        </is>
      </c>
      <c r="U1717" t="n">
        <v>1</v>
      </c>
      <c r="V1717" t="n">
        <v>1</v>
      </c>
      <c r="W1717" t="inlineStr">
        <is>
          <t>2002-10-14</t>
        </is>
      </c>
      <c r="X1717" t="inlineStr">
        <is>
          <t>2002-10-14</t>
        </is>
      </c>
      <c r="Y1717" t="inlineStr">
        <is>
          <t>1991-08-29</t>
        </is>
      </c>
      <c r="Z1717" t="inlineStr">
        <is>
          <t>1991-08-29</t>
        </is>
      </c>
      <c r="AA1717" t="n">
        <v>79</v>
      </c>
      <c r="AB1717" t="n">
        <v>67</v>
      </c>
      <c r="AC1717" t="n">
        <v>245</v>
      </c>
      <c r="AD1717" t="n">
        <v>1</v>
      </c>
      <c r="AE1717" t="n">
        <v>3</v>
      </c>
      <c r="AF1717" t="n">
        <v>2</v>
      </c>
      <c r="AG1717" t="n">
        <v>8</v>
      </c>
      <c r="AH1717" t="n">
        <v>0</v>
      </c>
      <c r="AI1717" t="n">
        <v>0</v>
      </c>
      <c r="AJ1717" t="n">
        <v>1</v>
      </c>
      <c r="AK1717" t="n">
        <v>4</v>
      </c>
      <c r="AL1717" t="n">
        <v>1</v>
      </c>
      <c r="AM1717" t="n">
        <v>3</v>
      </c>
      <c r="AN1717" t="n">
        <v>0</v>
      </c>
      <c r="AO1717" t="n">
        <v>2</v>
      </c>
      <c r="AP1717" t="n">
        <v>0</v>
      </c>
      <c r="AQ1717" t="n">
        <v>0</v>
      </c>
      <c r="AR1717" t="inlineStr">
        <is>
          <t>Yes</t>
        </is>
      </c>
      <c r="AS1717" t="inlineStr">
        <is>
          <t>No</t>
        </is>
      </c>
      <c r="AT1717">
        <f>HYPERLINK("http://catalog.hathitrust.org/Record/102140516","HathiTrust Record")</f>
        <v/>
      </c>
      <c r="AU1717">
        <f>HYPERLINK("https://creighton-primo.hosted.exlibrisgroup.com/primo-explore/search?tab=default_tab&amp;search_scope=EVERYTHING&amp;vid=01CRU&amp;lang=en_US&amp;offset=0&amp;query=any,contains,991002108309702656","Catalog Record")</f>
        <v/>
      </c>
      <c r="AV1717">
        <f>HYPERLINK("http://www.worldcat.org/oclc/266949","WorldCat Record")</f>
        <v/>
      </c>
      <c r="AW1717" t="inlineStr">
        <is>
          <t>1386537:eng</t>
        </is>
      </c>
      <c r="AX1717" t="inlineStr">
        <is>
          <t>266949</t>
        </is>
      </c>
      <c r="AY1717" t="inlineStr">
        <is>
          <t>991002108309702656</t>
        </is>
      </c>
      <c r="AZ1717" t="inlineStr">
        <is>
          <t>991002108309702656</t>
        </is>
      </c>
      <c r="BA1717" t="inlineStr">
        <is>
          <t>2269081900002656</t>
        </is>
      </c>
      <c r="BB1717" t="inlineStr">
        <is>
          <t>BOOK</t>
        </is>
      </c>
      <c r="BD1717" t="inlineStr">
        <is>
          <t>9780404017842</t>
        </is>
      </c>
      <c r="BE1717" t="inlineStr">
        <is>
          <t>32285000731744</t>
        </is>
      </c>
      <c r="BF1717" t="inlineStr">
        <is>
          <t>893523206</t>
        </is>
      </c>
    </row>
    <row r="1718">
      <c r="A1718" t="inlineStr">
        <is>
          <t>No</t>
        </is>
      </c>
      <c r="B1718" t="inlineStr">
        <is>
          <t>CURAL</t>
        </is>
      </c>
      <c r="C1718" t="inlineStr">
        <is>
          <t>SHELVES</t>
        </is>
      </c>
      <c r="D1718" t="inlineStr">
        <is>
          <t>PR447 .F7</t>
        </is>
      </c>
      <c r="E1718" t="inlineStr">
        <is>
          <t>0                      PR 0447000F  7</t>
        </is>
      </c>
      <c r="F1718" t="inlineStr">
        <is>
          <t>A study of English romanticism.</t>
        </is>
      </c>
      <c r="H1718" t="inlineStr">
        <is>
          <t>No</t>
        </is>
      </c>
      <c r="I1718" t="inlineStr">
        <is>
          <t>1</t>
        </is>
      </c>
      <c r="J1718" t="inlineStr">
        <is>
          <t>No</t>
        </is>
      </c>
      <c r="K1718" t="inlineStr">
        <is>
          <t>No</t>
        </is>
      </c>
      <c r="L1718" t="inlineStr">
        <is>
          <t>0</t>
        </is>
      </c>
      <c r="M1718" t="inlineStr">
        <is>
          <t>Frye, Northrop.</t>
        </is>
      </c>
      <c r="N1718" t="inlineStr">
        <is>
          <t>New York : Random House, [1968]</t>
        </is>
      </c>
      <c r="O1718" t="inlineStr">
        <is>
          <t>1968</t>
        </is>
      </c>
      <c r="Q1718" t="inlineStr">
        <is>
          <t>eng</t>
        </is>
      </c>
      <c r="R1718" t="inlineStr">
        <is>
          <t>nyu</t>
        </is>
      </c>
      <c r="S1718" t="inlineStr">
        <is>
          <t>Studies in language and literature, SLL21</t>
        </is>
      </c>
      <c r="T1718" t="inlineStr">
        <is>
          <t xml:space="preserve">PR </t>
        </is>
      </c>
      <c r="U1718" t="n">
        <v>3</v>
      </c>
      <c r="V1718" t="n">
        <v>3</v>
      </c>
      <c r="W1718" t="inlineStr">
        <is>
          <t>2003-02-09</t>
        </is>
      </c>
      <c r="X1718" t="inlineStr">
        <is>
          <t>2003-02-09</t>
        </is>
      </c>
      <c r="Y1718" t="inlineStr">
        <is>
          <t>1993-07-01</t>
        </is>
      </c>
      <c r="Z1718" t="inlineStr">
        <is>
          <t>1993-07-01</t>
        </is>
      </c>
      <c r="AA1718" t="n">
        <v>695</v>
      </c>
      <c r="AB1718" t="n">
        <v>571</v>
      </c>
      <c r="AC1718" t="n">
        <v>698</v>
      </c>
      <c r="AD1718" t="n">
        <v>6</v>
      </c>
      <c r="AE1718" t="n">
        <v>7</v>
      </c>
      <c r="AF1718" t="n">
        <v>35</v>
      </c>
      <c r="AG1718" t="n">
        <v>42</v>
      </c>
      <c r="AH1718" t="n">
        <v>13</v>
      </c>
      <c r="AI1718" t="n">
        <v>16</v>
      </c>
      <c r="AJ1718" t="n">
        <v>6</v>
      </c>
      <c r="AK1718" t="n">
        <v>7</v>
      </c>
      <c r="AL1718" t="n">
        <v>21</v>
      </c>
      <c r="AM1718" t="n">
        <v>24</v>
      </c>
      <c r="AN1718" t="n">
        <v>5</v>
      </c>
      <c r="AO1718" t="n">
        <v>6</v>
      </c>
      <c r="AP1718" t="n">
        <v>0</v>
      </c>
      <c r="AQ1718" t="n">
        <v>0</v>
      </c>
      <c r="AR1718" t="inlineStr">
        <is>
          <t>No</t>
        </is>
      </c>
      <c r="AS1718" t="inlineStr">
        <is>
          <t>No</t>
        </is>
      </c>
      <c r="AU1718">
        <f>HYPERLINK("https://creighton-primo.hosted.exlibrisgroup.com/primo-explore/search?tab=default_tab&amp;search_scope=EVERYTHING&amp;vid=01CRU&amp;lang=en_US&amp;offset=0&amp;query=any,contains,991002784149702656","Catalog Record")</f>
        <v/>
      </c>
      <c r="AV1718">
        <f>HYPERLINK("http://www.worldcat.org/oclc/441134","WorldCat Record")</f>
        <v/>
      </c>
      <c r="AW1718" t="inlineStr">
        <is>
          <t>355851408:eng</t>
        </is>
      </c>
      <c r="AX1718" t="inlineStr">
        <is>
          <t>441134</t>
        </is>
      </c>
      <c r="AY1718" t="inlineStr">
        <is>
          <t>991002784149702656</t>
        </is>
      </c>
      <c r="AZ1718" t="inlineStr">
        <is>
          <t>991002784149702656</t>
        </is>
      </c>
      <c r="BA1718" t="inlineStr">
        <is>
          <t>2257172730002656</t>
        </is>
      </c>
      <c r="BB1718" t="inlineStr">
        <is>
          <t>BOOK</t>
        </is>
      </c>
      <c r="BE1718" t="inlineStr">
        <is>
          <t>32285001699452</t>
        </is>
      </c>
      <c r="BF1718" t="inlineStr">
        <is>
          <t>893892996</t>
        </is>
      </c>
    </row>
    <row r="1719">
      <c r="A1719" t="inlineStr">
        <is>
          <t>No</t>
        </is>
      </c>
      <c r="B1719" t="inlineStr">
        <is>
          <t>CURAL</t>
        </is>
      </c>
      <c r="C1719" t="inlineStr">
        <is>
          <t>SHELVES</t>
        </is>
      </c>
      <c r="D1719" t="inlineStr">
        <is>
          <t>PR447 .K7</t>
        </is>
      </c>
      <c r="E1719" t="inlineStr">
        <is>
          <t>0                      PR 0447000K  7</t>
        </is>
      </c>
      <c r="F1719" t="inlineStr">
        <is>
          <t>Backgrounds to British romantic literature.</t>
        </is>
      </c>
      <c r="H1719" t="inlineStr">
        <is>
          <t>No</t>
        </is>
      </c>
      <c r="I1719" t="inlineStr">
        <is>
          <t>1</t>
        </is>
      </c>
      <c r="J1719" t="inlineStr">
        <is>
          <t>No</t>
        </is>
      </c>
      <c r="K1719" t="inlineStr">
        <is>
          <t>No</t>
        </is>
      </c>
      <c r="L1719" t="inlineStr">
        <is>
          <t>0</t>
        </is>
      </c>
      <c r="M1719" t="inlineStr">
        <is>
          <t>Kroeber, Karl, 1926-2009, compiler.</t>
        </is>
      </c>
      <c r="N1719" t="inlineStr">
        <is>
          <t>San Francisco : Chandler Pub. Co., [1968]</t>
        </is>
      </c>
      <c r="O1719" t="inlineStr">
        <is>
          <t>1968</t>
        </is>
      </c>
      <c r="Q1719" t="inlineStr">
        <is>
          <t>eng</t>
        </is>
      </c>
      <c r="R1719" t="inlineStr">
        <is>
          <t>cau</t>
        </is>
      </c>
      <c r="S1719" t="inlineStr">
        <is>
          <t>Chandler publications in backgrounds to literature</t>
        </is>
      </c>
      <c r="T1719" t="inlineStr">
        <is>
          <t xml:space="preserve">PR </t>
        </is>
      </c>
      <c r="U1719" t="n">
        <v>3</v>
      </c>
      <c r="V1719" t="n">
        <v>3</v>
      </c>
      <c r="W1719" t="inlineStr">
        <is>
          <t>2004-12-01</t>
        </is>
      </c>
      <c r="X1719" t="inlineStr">
        <is>
          <t>2004-12-01</t>
        </is>
      </c>
      <c r="Y1719" t="inlineStr">
        <is>
          <t>1994-04-06</t>
        </is>
      </c>
      <c r="Z1719" t="inlineStr">
        <is>
          <t>1994-04-06</t>
        </is>
      </c>
      <c r="AA1719" t="n">
        <v>265</v>
      </c>
      <c r="AB1719" t="n">
        <v>234</v>
      </c>
      <c r="AC1719" t="n">
        <v>251</v>
      </c>
      <c r="AD1719" t="n">
        <v>2</v>
      </c>
      <c r="AE1719" t="n">
        <v>2</v>
      </c>
      <c r="AF1719" t="n">
        <v>15</v>
      </c>
      <c r="AG1719" t="n">
        <v>17</v>
      </c>
      <c r="AH1719" t="n">
        <v>9</v>
      </c>
      <c r="AI1719" t="n">
        <v>10</v>
      </c>
      <c r="AJ1719" t="n">
        <v>1</v>
      </c>
      <c r="AK1719" t="n">
        <v>2</v>
      </c>
      <c r="AL1719" t="n">
        <v>6</v>
      </c>
      <c r="AM1719" t="n">
        <v>6</v>
      </c>
      <c r="AN1719" t="n">
        <v>1</v>
      </c>
      <c r="AO1719" t="n">
        <v>1</v>
      </c>
      <c r="AP1719" t="n">
        <v>0</v>
      </c>
      <c r="AQ1719" t="n">
        <v>0</v>
      </c>
      <c r="AR1719" t="inlineStr">
        <is>
          <t>No</t>
        </is>
      </c>
      <c r="AS1719" t="inlineStr">
        <is>
          <t>Yes</t>
        </is>
      </c>
      <c r="AT1719">
        <f>HYPERLINK("http://catalog.hathitrust.org/Record/006959433","HathiTrust Record")</f>
        <v/>
      </c>
      <c r="AU1719">
        <f>HYPERLINK("https://creighton-primo.hosted.exlibrisgroup.com/primo-explore/search?tab=default_tab&amp;search_scope=EVERYTHING&amp;vid=01CRU&amp;lang=en_US&amp;offset=0&amp;query=any,contains,991005432609702656","Catalog Record")</f>
        <v/>
      </c>
      <c r="AV1719">
        <f>HYPERLINK("http://www.worldcat.org/oclc/1194","WorldCat Record")</f>
        <v/>
      </c>
      <c r="AW1719" t="inlineStr">
        <is>
          <t>502912790:eng</t>
        </is>
      </c>
      <c r="AX1719" t="inlineStr">
        <is>
          <t>1194</t>
        </is>
      </c>
      <c r="AY1719" t="inlineStr">
        <is>
          <t>991005432609702656</t>
        </is>
      </c>
      <c r="AZ1719" t="inlineStr">
        <is>
          <t>991005432609702656</t>
        </is>
      </c>
      <c r="BA1719" t="inlineStr">
        <is>
          <t>2271509850002656</t>
        </is>
      </c>
      <c r="BB1719" t="inlineStr">
        <is>
          <t>BOOK</t>
        </is>
      </c>
      <c r="BE1719" t="inlineStr">
        <is>
          <t>32285001874097</t>
        </is>
      </c>
      <c r="BF1719" t="inlineStr">
        <is>
          <t>893783688</t>
        </is>
      </c>
    </row>
    <row r="1720">
      <c r="A1720" t="inlineStr">
        <is>
          <t>No</t>
        </is>
      </c>
      <c r="B1720" t="inlineStr">
        <is>
          <t>CURAL</t>
        </is>
      </c>
      <c r="C1720" t="inlineStr">
        <is>
          <t>SHELVES</t>
        </is>
      </c>
      <c r="D1720" t="inlineStr">
        <is>
          <t>PR447 .P6 1968</t>
        </is>
      </c>
      <c r="E1720" t="inlineStr">
        <is>
          <t>0                      PR 0447000P  6           1968</t>
        </is>
      </c>
      <c r="F1720" t="inlineStr">
        <is>
          <t>The beginnings of the English romantic movement : a study in eighteenth century literature.</t>
        </is>
      </c>
      <c r="H1720" t="inlineStr">
        <is>
          <t>No</t>
        </is>
      </c>
      <c r="I1720" t="inlineStr">
        <is>
          <t>1</t>
        </is>
      </c>
      <c r="J1720" t="inlineStr">
        <is>
          <t>No</t>
        </is>
      </c>
      <c r="K1720" t="inlineStr">
        <is>
          <t>No</t>
        </is>
      </c>
      <c r="L1720" t="inlineStr">
        <is>
          <t>0</t>
        </is>
      </c>
      <c r="M1720" t="inlineStr">
        <is>
          <t>Phelps, William Lyon, 1865-1943.</t>
        </is>
      </c>
      <c r="N1720" t="inlineStr">
        <is>
          <t>New York : Gordian Press, 1968.</t>
        </is>
      </c>
      <c r="O1720" t="inlineStr">
        <is>
          <t>1968</t>
        </is>
      </c>
      <c r="Q1720" t="inlineStr">
        <is>
          <t>eng</t>
        </is>
      </c>
      <c r="R1720" t="inlineStr">
        <is>
          <t>nyu</t>
        </is>
      </c>
      <c r="T1720" t="inlineStr">
        <is>
          <t xml:space="preserve">PR </t>
        </is>
      </c>
      <c r="U1720" t="n">
        <v>7</v>
      </c>
      <c r="V1720" t="n">
        <v>7</v>
      </c>
      <c r="W1720" t="inlineStr">
        <is>
          <t>1999-02-14</t>
        </is>
      </c>
      <c r="X1720" t="inlineStr">
        <is>
          <t>1999-02-14</t>
        </is>
      </c>
      <c r="Y1720" t="inlineStr">
        <is>
          <t>1994-04-06</t>
        </is>
      </c>
      <c r="Z1720" t="inlineStr">
        <is>
          <t>1994-04-06</t>
        </is>
      </c>
      <c r="AA1720" t="n">
        <v>219</v>
      </c>
      <c r="AB1720" t="n">
        <v>191</v>
      </c>
      <c r="AC1720" t="n">
        <v>703</v>
      </c>
      <c r="AD1720" t="n">
        <v>2</v>
      </c>
      <c r="AE1720" t="n">
        <v>7</v>
      </c>
      <c r="AF1720" t="n">
        <v>14</v>
      </c>
      <c r="AG1720" t="n">
        <v>40</v>
      </c>
      <c r="AH1720" t="n">
        <v>4</v>
      </c>
      <c r="AI1720" t="n">
        <v>15</v>
      </c>
      <c r="AJ1720" t="n">
        <v>4</v>
      </c>
      <c r="AK1720" t="n">
        <v>6</v>
      </c>
      <c r="AL1720" t="n">
        <v>7</v>
      </c>
      <c r="AM1720" t="n">
        <v>21</v>
      </c>
      <c r="AN1720" t="n">
        <v>1</v>
      </c>
      <c r="AO1720" t="n">
        <v>6</v>
      </c>
      <c r="AP1720" t="n">
        <v>0</v>
      </c>
      <c r="AQ1720" t="n">
        <v>0</v>
      </c>
      <c r="AR1720" t="inlineStr">
        <is>
          <t>No</t>
        </is>
      </c>
      <c r="AS1720" t="inlineStr">
        <is>
          <t>Yes</t>
        </is>
      </c>
      <c r="AT1720">
        <f>HYPERLINK("http://catalog.hathitrust.org/Record/001016370","HathiTrust Record")</f>
        <v/>
      </c>
      <c r="AU1720">
        <f>HYPERLINK("https://creighton-primo.hosted.exlibrisgroup.com/primo-explore/search?tab=default_tab&amp;search_scope=EVERYTHING&amp;vid=01CRU&amp;lang=en_US&amp;offset=0&amp;query=any,contains,991002439729702656","Catalog Record")</f>
        <v/>
      </c>
      <c r="AV1720">
        <f>HYPERLINK("http://www.worldcat.org/oclc/349773","WorldCat Record")</f>
        <v/>
      </c>
      <c r="AW1720" t="inlineStr">
        <is>
          <t>1510557:eng</t>
        </is>
      </c>
      <c r="AX1720" t="inlineStr">
        <is>
          <t>349773</t>
        </is>
      </c>
      <c r="AY1720" t="inlineStr">
        <is>
          <t>991002439729702656</t>
        </is>
      </c>
      <c r="AZ1720" t="inlineStr">
        <is>
          <t>991002439729702656</t>
        </is>
      </c>
      <c r="BA1720" t="inlineStr">
        <is>
          <t>2267153580002656</t>
        </is>
      </c>
      <c r="BB1720" t="inlineStr">
        <is>
          <t>BOOK</t>
        </is>
      </c>
      <c r="BE1720" t="inlineStr">
        <is>
          <t>32285001874089</t>
        </is>
      </c>
      <c r="BF1720" t="inlineStr">
        <is>
          <t>893523616</t>
        </is>
      </c>
    </row>
    <row r="1721">
      <c r="A1721" t="inlineStr">
        <is>
          <t>No</t>
        </is>
      </c>
      <c r="B1721" t="inlineStr">
        <is>
          <t>CURAL</t>
        </is>
      </c>
      <c r="C1721" t="inlineStr">
        <is>
          <t>SHELVES</t>
        </is>
      </c>
      <c r="D1721" t="inlineStr">
        <is>
          <t>PR447 .P65</t>
        </is>
      </c>
      <c r="E1721" t="inlineStr">
        <is>
          <t>0                      PR 0447000P  65</t>
        </is>
      </c>
      <c r="F1721" t="inlineStr">
        <is>
          <t>Currents and eddies in the English romantic generation, by Frederick E. Pierce.</t>
        </is>
      </c>
      <c r="H1721" t="inlineStr">
        <is>
          <t>No</t>
        </is>
      </c>
      <c r="I1721" t="inlineStr">
        <is>
          <t>1</t>
        </is>
      </c>
      <c r="J1721" t="inlineStr">
        <is>
          <t>No</t>
        </is>
      </c>
      <c r="K1721" t="inlineStr">
        <is>
          <t>No</t>
        </is>
      </c>
      <c r="L1721" t="inlineStr">
        <is>
          <t>0</t>
        </is>
      </c>
      <c r="M1721" t="inlineStr">
        <is>
          <t>Pierce, F. E. (Frederick Erastus), 1878-1935.</t>
        </is>
      </c>
      <c r="N1721" t="inlineStr">
        <is>
          <t>New Haven, Yale university press; [etc., etc.] 1918.</t>
        </is>
      </c>
      <c r="O1721" t="inlineStr">
        <is>
          <t>1918</t>
        </is>
      </c>
      <c r="Q1721" t="inlineStr">
        <is>
          <t>eng</t>
        </is>
      </c>
      <c r="R1721" t="inlineStr">
        <is>
          <t>ctu</t>
        </is>
      </c>
      <c r="T1721" t="inlineStr">
        <is>
          <t xml:space="preserve">PR </t>
        </is>
      </c>
      <c r="U1721" t="n">
        <v>2</v>
      </c>
      <c r="V1721" t="n">
        <v>2</v>
      </c>
      <c r="W1721" t="inlineStr">
        <is>
          <t>2001-03-20</t>
        </is>
      </c>
      <c r="X1721" t="inlineStr">
        <is>
          <t>2001-03-20</t>
        </is>
      </c>
      <c r="Y1721" t="inlineStr">
        <is>
          <t>1997-08-21</t>
        </is>
      </c>
      <c r="Z1721" t="inlineStr">
        <is>
          <t>1997-08-21</t>
        </is>
      </c>
      <c r="AA1721" t="n">
        <v>287</v>
      </c>
      <c r="AB1721" t="n">
        <v>236</v>
      </c>
      <c r="AC1721" t="n">
        <v>361</v>
      </c>
      <c r="AD1721" t="n">
        <v>2</v>
      </c>
      <c r="AE1721" t="n">
        <v>3</v>
      </c>
      <c r="AF1721" t="n">
        <v>14</v>
      </c>
      <c r="AG1721" t="n">
        <v>21</v>
      </c>
      <c r="AH1721" t="n">
        <v>2</v>
      </c>
      <c r="AI1721" t="n">
        <v>5</v>
      </c>
      <c r="AJ1721" t="n">
        <v>2</v>
      </c>
      <c r="AK1721" t="n">
        <v>5</v>
      </c>
      <c r="AL1721" t="n">
        <v>10</v>
      </c>
      <c r="AM1721" t="n">
        <v>13</v>
      </c>
      <c r="AN1721" t="n">
        <v>1</v>
      </c>
      <c r="AO1721" t="n">
        <v>2</v>
      </c>
      <c r="AP1721" t="n">
        <v>0</v>
      </c>
      <c r="AQ1721" t="n">
        <v>0</v>
      </c>
      <c r="AR1721" t="inlineStr">
        <is>
          <t>Yes</t>
        </is>
      </c>
      <c r="AS1721" t="inlineStr">
        <is>
          <t>No</t>
        </is>
      </c>
      <c r="AT1721">
        <f>HYPERLINK("http://catalog.hathitrust.org/Record/001371102","HathiTrust Record")</f>
        <v/>
      </c>
      <c r="AU1721">
        <f>HYPERLINK("https://creighton-primo.hosted.exlibrisgroup.com/primo-explore/search?tab=default_tab&amp;search_scope=EVERYTHING&amp;vid=01CRU&amp;lang=en_US&amp;offset=0&amp;query=any,contains,991004221129702656","Catalog Record")</f>
        <v/>
      </c>
      <c r="AV1721">
        <f>HYPERLINK("http://www.worldcat.org/oclc/2712850","WorldCat Record")</f>
        <v/>
      </c>
      <c r="AW1721" t="inlineStr">
        <is>
          <t>1422576:eng</t>
        </is>
      </c>
      <c r="AX1721" t="inlineStr">
        <is>
          <t>2712850</t>
        </is>
      </c>
      <c r="AY1721" t="inlineStr">
        <is>
          <t>991004221129702656</t>
        </is>
      </c>
      <c r="AZ1721" t="inlineStr">
        <is>
          <t>991004221129702656</t>
        </is>
      </c>
      <c r="BA1721" t="inlineStr">
        <is>
          <t>2267425650002656</t>
        </is>
      </c>
      <c r="BB1721" t="inlineStr">
        <is>
          <t>BOOK</t>
        </is>
      </c>
      <c r="BE1721" t="inlineStr">
        <is>
          <t>32285003151916</t>
        </is>
      </c>
      <c r="BF1721" t="inlineStr">
        <is>
          <t>893712296</t>
        </is>
      </c>
    </row>
    <row r="1722">
      <c r="A1722" t="inlineStr">
        <is>
          <t>No</t>
        </is>
      </c>
      <c r="B1722" t="inlineStr">
        <is>
          <t>CURAL</t>
        </is>
      </c>
      <c r="C1722" t="inlineStr">
        <is>
          <t>SHELVES</t>
        </is>
      </c>
      <c r="D1722" t="inlineStr">
        <is>
          <t>PR447 .Q4</t>
        </is>
      </c>
      <c r="E1722" t="inlineStr">
        <is>
          <t>0                      PR 0447000Q  4</t>
        </is>
      </c>
      <c r="F1722" t="inlineStr">
        <is>
          <t>Romantic England : writing and painting, 1717-1851.</t>
        </is>
      </c>
      <c r="H1722" t="inlineStr">
        <is>
          <t>No</t>
        </is>
      </c>
      <c r="I1722" t="inlineStr">
        <is>
          <t>1</t>
        </is>
      </c>
      <c r="J1722" t="inlineStr">
        <is>
          <t>No</t>
        </is>
      </c>
      <c r="K1722" t="inlineStr">
        <is>
          <t>No</t>
        </is>
      </c>
      <c r="L1722" t="inlineStr">
        <is>
          <t>0</t>
        </is>
      </c>
      <c r="M1722" t="inlineStr">
        <is>
          <t>Quennell, Peter, 1905-1993.</t>
        </is>
      </c>
      <c r="N1722" t="inlineStr">
        <is>
          <t>New York] : Macmillan, [1970]</t>
        </is>
      </c>
      <c r="O1722" t="inlineStr">
        <is>
          <t>1970</t>
        </is>
      </c>
      <c r="P1722" t="inlineStr">
        <is>
          <t>[1st American ed.</t>
        </is>
      </c>
      <c r="Q1722" t="inlineStr">
        <is>
          <t>eng</t>
        </is>
      </c>
      <c r="R1722" t="inlineStr">
        <is>
          <t>nyu</t>
        </is>
      </c>
      <c r="T1722" t="inlineStr">
        <is>
          <t xml:space="preserve">PR </t>
        </is>
      </c>
      <c r="U1722" t="n">
        <v>1</v>
      </c>
      <c r="V1722" t="n">
        <v>1</v>
      </c>
      <c r="W1722" t="inlineStr">
        <is>
          <t>1992-02-26</t>
        </is>
      </c>
      <c r="X1722" t="inlineStr">
        <is>
          <t>1992-02-26</t>
        </is>
      </c>
      <c r="Y1722" t="inlineStr">
        <is>
          <t>1991-08-29</t>
        </is>
      </c>
      <c r="Z1722" t="inlineStr">
        <is>
          <t>1991-08-29</t>
        </is>
      </c>
      <c r="AA1722" t="n">
        <v>554</v>
      </c>
      <c r="AB1722" t="n">
        <v>523</v>
      </c>
      <c r="AC1722" t="n">
        <v>614</v>
      </c>
      <c r="AD1722" t="n">
        <v>6</v>
      </c>
      <c r="AE1722" t="n">
        <v>8</v>
      </c>
      <c r="AF1722" t="n">
        <v>24</v>
      </c>
      <c r="AG1722" t="n">
        <v>27</v>
      </c>
      <c r="AH1722" t="n">
        <v>7</v>
      </c>
      <c r="AI1722" t="n">
        <v>7</v>
      </c>
      <c r="AJ1722" t="n">
        <v>8</v>
      </c>
      <c r="AK1722" t="n">
        <v>8</v>
      </c>
      <c r="AL1722" t="n">
        <v>9</v>
      </c>
      <c r="AM1722" t="n">
        <v>10</v>
      </c>
      <c r="AN1722" t="n">
        <v>5</v>
      </c>
      <c r="AO1722" t="n">
        <v>7</v>
      </c>
      <c r="AP1722" t="n">
        <v>0</v>
      </c>
      <c r="AQ1722" t="n">
        <v>0</v>
      </c>
      <c r="AR1722" t="inlineStr">
        <is>
          <t>No</t>
        </is>
      </c>
      <c r="AS1722" t="inlineStr">
        <is>
          <t>No</t>
        </is>
      </c>
      <c r="AU1722">
        <f>HYPERLINK("https://creighton-primo.hosted.exlibrisgroup.com/primo-explore/search?tab=default_tab&amp;search_scope=EVERYTHING&amp;vid=01CRU&amp;lang=en_US&amp;offset=0&amp;query=any,contains,991000564199702656","Catalog Record")</f>
        <v/>
      </c>
      <c r="AV1722">
        <f>HYPERLINK("http://www.worldcat.org/oclc/93805","WorldCat Record")</f>
        <v/>
      </c>
      <c r="AW1722" t="inlineStr">
        <is>
          <t>1287578:eng</t>
        </is>
      </c>
      <c r="AX1722" t="inlineStr">
        <is>
          <t>93805</t>
        </is>
      </c>
      <c r="AY1722" t="inlineStr">
        <is>
          <t>991000564199702656</t>
        </is>
      </c>
      <c r="AZ1722" t="inlineStr">
        <is>
          <t>991000564199702656</t>
        </is>
      </c>
      <c r="BA1722" t="inlineStr">
        <is>
          <t>2265632010002656</t>
        </is>
      </c>
      <c r="BB1722" t="inlineStr">
        <is>
          <t>BOOK</t>
        </is>
      </c>
      <c r="BE1722" t="inlineStr">
        <is>
          <t>32285000731769</t>
        </is>
      </c>
      <c r="BF1722" t="inlineStr">
        <is>
          <t>893521795</t>
        </is>
      </c>
    </row>
    <row r="1723">
      <c r="A1723" t="inlineStr">
        <is>
          <t>No</t>
        </is>
      </c>
      <c r="B1723" t="inlineStr">
        <is>
          <t>CURAL</t>
        </is>
      </c>
      <c r="C1723" t="inlineStr">
        <is>
          <t>SHELVES</t>
        </is>
      </c>
      <c r="D1723" t="inlineStr">
        <is>
          <t>PR447 .T56 1997</t>
        </is>
      </c>
      <c r="E1723" t="inlineStr">
        <is>
          <t>0                      PR 0447000T  56          1997</t>
        </is>
      </c>
      <c r="F1723" t="inlineStr">
        <is>
          <t>The romantics : England in a revolutionary age / E.P. Thompson.</t>
        </is>
      </c>
      <c r="H1723" t="inlineStr">
        <is>
          <t>No</t>
        </is>
      </c>
      <c r="I1723" t="inlineStr">
        <is>
          <t>1</t>
        </is>
      </c>
      <c r="J1723" t="inlineStr">
        <is>
          <t>No</t>
        </is>
      </c>
      <c r="K1723" t="inlineStr">
        <is>
          <t>No</t>
        </is>
      </c>
      <c r="L1723" t="inlineStr">
        <is>
          <t>0</t>
        </is>
      </c>
      <c r="M1723" t="inlineStr">
        <is>
          <t>Thompson, E. P. (Edward Palmer), 1924-1993.</t>
        </is>
      </c>
      <c r="N1723" t="inlineStr">
        <is>
          <t>New York : New Press : Distributed by W.W. Norton, c1997.</t>
        </is>
      </c>
      <c r="O1723" t="inlineStr">
        <is>
          <t>1997</t>
        </is>
      </c>
      <c r="Q1723" t="inlineStr">
        <is>
          <t>eng</t>
        </is>
      </c>
      <c r="R1723" t="inlineStr">
        <is>
          <t>nyu</t>
        </is>
      </c>
      <c r="T1723" t="inlineStr">
        <is>
          <t xml:space="preserve">PR </t>
        </is>
      </c>
      <c r="U1723" t="n">
        <v>7</v>
      </c>
      <c r="V1723" t="n">
        <v>7</v>
      </c>
      <c r="W1723" t="inlineStr">
        <is>
          <t>2003-03-01</t>
        </is>
      </c>
      <c r="X1723" t="inlineStr">
        <is>
          <t>2003-03-01</t>
        </is>
      </c>
      <c r="Y1723" t="inlineStr">
        <is>
          <t>1998-05-28</t>
        </is>
      </c>
      <c r="Z1723" t="inlineStr">
        <is>
          <t>1998-05-28</t>
        </is>
      </c>
      <c r="AA1723" t="n">
        <v>623</v>
      </c>
      <c r="AB1723" t="n">
        <v>531</v>
      </c>
      <c r="AC1723" t="n">
        <v>556</v>
      </c>
      <c r="AD1723" t="n">
        <v>4</v>
      </c>
      <c r="AE1723" t="n">
        <v>4</v>
      </c>
      <c r="AF1723" t="n">
        <v>20</v>
      </c>
      <c r="AG1723" t="n">
        <v>21</v>
      </c>
      <c r="AH1723" t="n">
        <v>9</v>
      </c>
      <c r="AI1723" t="n">
        <v>9</v>
      </c>
      <c r="AJ1723" t="n">
        <v>5</v>
      </c>
      <c r="AK1723" t="n">
        <v>6</v>
      </c>
      <c r="AL1723" t="n">
        <v>7</v>
      </c>
      <c r="AM1723" t="n">
        <v>8</v>
      </c>
      <c r="AN1723" t="n">
        <v>3</v>
      </c>
      <c r="AO1723" t="n">
        <v>3</v>
      </c>
      <c r="AP1723" t="n">
        <v>0</v>
      </c>
      <c r="AQ1723" t="n">
        <v>0</v>
      </c>
      <c r="AR1723" t="inlineStr">
        <is>
          <t>No</t>
        </is>
      </c>
      <c r="AS1723" t="inlineStr">
        <is>
          <t>No</t>
        </is>
      </c>
      <c r="AU1723">
        <f>HYPERLINK("https://creighton-primo.hosted.exlibrisgroup.com/primo-explore/search?tab=default_tab&amp;search_scope=EVERYTHING&amp;vid=01CRU&amp;lang=en_US&amp;offset=0&amp;query=any,contains,991002831609702656","Catalog Record")</f>
        <v/>
      </c>
      <c r="AV1723">
        <f>HYPERLINK("http://www.worldcat.org/oclc/37292820","WorldCat Record")</f>
        <v/>
      </c>
      <c r="AW1723" t="inlineStr">
        <is>
          <t>840054067:eng</t>
        </is>
      </c>
      <c r="AX1723" t="inlineStr">
        <is>
          <t>37292820</t>
        </is>
      </c>
      <c r="AY1723" t="inlineStr">
        <is>
          <t>991002831609702656</t>
        </is>
      </c>
      <c r="AZ1723" t="inlineStr">
        <is>
          <t>991002831609702656</t>
        </is>
      </c>
      <c r="BA1723" t="inlineStr">
        <is>
          <t>2266973580002656</t>
        </is>
      </c>
      <c r="BB1723" t="inlineStr">
        <is>
          <t>BOOK</t>
        </is>
      </c>
      <c r="BD1723" t="inlineStr">
        <is>
          <t>9781565843608</t>
        </is>
      </c>
      <c r="BE1723" t="inlineStr">
        <is>
          <t>32285003412474</t>
        </is>
      </c>
      <c r="BF1723" t="inlineStr">
        <is>
          <t>893716969</t>
        </is>
      </c>
    </row>
    <row r="1724">
      <c r="A1724" t="inlineStr">
        <is>
          <t>No</t>
        </is>
      </c>
      <c r="B1724" t="inlineStr">
        <is>
          <t>CURAL</t>
        </is>
      </c>
      <c r="C1724" t="inlineStr">
        <is>
          <t>SHELVES</t>
        </is>
      </c>
      <c r="D1724" t="inlineStr">
        <is>
          <t>PR4476 .M29 1992</t>
        </is>
      </c>
      <c r="E1724" t="inlineStr">
        <is>
          <t>0                      PR 4476000M  29          1992</t>
        </is>
      </c>
      <c r="F1724" t="inlineStr">
        <is>
          <t>Coleridge &amp; Wordsworth in the West Country / Tom Mayberry ; with a foreword by the Lord Coleridge.</t>
        </is>
      </c>
      <c r="H1724" t="inlineStr">
        <is>
          <t>No</t>
        </is>
      </c>
      <c r="I1724" t="inlineStr">
        <is>
          <t>1</t>
        </is>
      </c>
      <c r="J1724" t="inlineStr">
        <is>
          <t>No</t>
        </is>
      </c>
      <c r="K1724" t="inlineStr">
        <is>
          <t>No</t>
        </is>
      </c>
      <c r="L1724" t="inlineStr">
        <is>
          <t>0</t>
        </is>
      </c>
      <c r="M1724" t="inlineStr">
        <is>
          <t>Mayberry, Tom.</t>
        </is>
      </c>
      <c r="N1724" t="inlineStr">
        <is>
          <t>Stroud, Gloucestershire ; Wolfeboro Falls, NH : Alan Sutton, 1992.</t>
        </is>
      </c>
      <c r="O1724" t="inlineStr">
        <is>
          <t>1992</t>
        </is>
      </c>
      <c r="Q1724" t="inlineStr">
        <is>
          <t>eng</t>
        </is>
      </c>
      <c r="R1724" t="inlineStr">
        <is>
          <t>enk</t>
        </is>
      </c>
      <c r="T1724" t="inlineStr">
        <is>
          <t xml:space="preserve">PR </t>
        </is>
      </c>
      <c r="U1724" t="n">
        <v>5</v>
      </c>
      <c r="V1724" t="n">
        <v>5</v>
      </c>
      <c r="W1724" t="inlineStr">
        <is>
          <t>2005-02-15</t>
        </is>
      </c>
      <c r="X1724" t="inlineStr">
        <is>
          <t>2005-02-15</t>
        </is>
      </c>
      <c r="Y1724" t="inlineStr">
        <is>
          <t>1993-03-24</t>
        </is>
      </c>
      <c r="Z1724" t="inlineStr">
        <is>
          <t>1993-03-24</t>
        </is>
      </c>
      <c r="AA1724" t="n">
        <v>129</v>
      </c>
      <c r="AB1724" t="n">
        <v>73</v>
      </c>
      <c r="AC1724" t="n">
        <v>86</v>
      </c>
      <c r="AD1724" t="n">
        <v>1</v>
      </c>
      <c r="AE1724" t="n">
        <v>2</v>
      </c>
      <c r="AF1724" t="n">
        <v>2</v>
      </c>
      <c r="AG1724" t="n">
        <v>4</v>
      </c>
      <c r="AH1724" t="n">
        <v>0</v>
      </c>
      <c r="AI1724" t="n">
        <v>0</v>
      </c>
      <c r="AJ1724" t="n">
        <v>1</v>
      </c>
      <c r="AK1724" t="n">
        <v>1</v>
      </c>
      <c r="AL1724" t="n">
        <v>2</v>
      </c>
      <c r="AM1724" t="n">
        <v>3</v>
      </c>
      <c r="AN1724" t="n">
        <v>0</v>
      </c>
      <c r="AO1724" t="n">
        <v>1</v>
      </c>
      <c r="AP1724" t="n">
        <v>0</v>
      </c>
      <c r="AQ1724" t="n">
        <v>0</v>
      </c>
      <c r="AR1724" t="inlineStr">
        <is>
          <t>No</t>
        </is>
      </c>
      <c r="AS1724" t="inlineStr">
        <is>
          <t>Yes</t>
        </is>
      </c>
      <c r="AT1724">
        <f>HYPERLINK("http://catalog.hathitrust.org/Record/002570974","HathiTrust Record")</f>
        <v/>
      </c>
      <c r="AU1724">
        <f>HYPERLINK("https://creighton-primo.hosted.exlibrisgroup.com/primo-explore/search?tab=default_tab&amp;search_scope=EVERYTHING&amp;vid=01CRU&amp;lang=en_US&amp;offset=0&amp;query=any,contains,991001955539702656","Catalog Record")</f>
        <v/>
      </c>
      <c r="AV1724">
        <f>HYPERLINK("http://www.worldcat.org/oclc/28027085","WorldCat Record")</f>
        <v/>
      </c>
      <c r="AW1724" t="inlineStr">
        <is>
          <t>30488697:eng</t>
        </is>
      </c>
      <c r="AX1724" t="inlineStr">
        <is>
          <t>28027085</t>
        </is>
      </c>
      <c r="AY1724" t="inlineStr">
        <is>
          <t>991001955539702656</t>
        </is>
      </c>
      <c r="AZ1724" t="inlineStr">
        <is>
          <t>991001955539702656</t>
        </is>
      </c>
      <c r="BA1724" t="inlineStr">
        <is>
          <t>2255453050002656</t>
        </is>
      </c>
      <c r="BB1724" t="inlineStr">
        <is>
          <t>BOOK</t>
        </is>
      </c>
      <c r="BD1724" t="inlineStr">
        <is>
          <t>9780862998967</t>
        </is>
      </c>
      <c r="BE1724" t="inlineStr">
        <is>
          <t>32285001498509</t>
        </is>
      </c>
      <c r="BF1724" t="inlineStr">
        <is>
          <t>893596878</t>
        </is>
      </c>
    </row>
    <row r="1725">
      <c r="A1725" t="inlineStr">
        <is>
          <t>No</t>
        </is>
      </c>
      <c r="B1725" t="inlineStr">
        <is>
          <t>CURAL</t>
        </is>
      </c>
      <c r="C1725" t="inlineStr">
        <is>
          <t>SHELVES</t>
        </is>
      </c>
      <c r="D1725" t="inlineStr">
        <is>
          <t>PR4476 .W34 1983</t>
        </is>
      </c>
      <c r="E1725" t="inlineStr">
        <is>
          <t>0                      PR 4476000W  34          1983</t>
        </is>
      </c>
      <c r="F1725" t="inlineStr">
        <is>
          <t>The design of Biographia literaria / Catherine Miles Wallace.</t>
        </is>
      </c>
      <c r="H1725" t="inlineStr">
        <is>
          <t>No</t>
        </is>
      </c>
      <c r="I1725" t="inlineStr">
        <is>
          <t>1</t>
        </is>
      </c>
      <c r="J1725" t="inlineStr">
        <is>
          <t>No</t>
        </is>
      </c>
      <c r="K1725" t="inlineStr">
        <is>
          <t>No</t>
        </is>
      </c>
      <c r="L1725" t="inlineStr">
        <is>
          <t>0</t>
        </is>
      </c>
      <c r="M1725" t="inlineStr">
        <is>
          <t>Wallace, Catherine Miles.</t>
        </is>
      </c>
      <c r="N1725" t="inlineStr">
        <is>
          <t>London ; Boston : Allen &amp; Unwin, 1983.</t>
        </is>
      </c>
      <c r="O1725" t="inlineStr">
        <is>
          <t>1983</t>
        </is>
      </c>
      <c r="Q1725" t="inlineStr">
        <is>
          <t>eng</t>
        </is>
      </c>
      <c r="R1725" t="inlineStr">
        <is>
          <t>enk</t>
        </is>
      </c>
      <c r="T1725" t="inlineStr">
        <is>
          <t xml:space="preserve">PR </t>
        </is>
      </c>
      <c r="U1725" t="n">
        <v>8</v>
      </c>
      <c r="V1725" t="n">
        <v>8</v>
      </c>
      <c r="W1725" t="inlineStr">
        <is>
          <t>2003-10-17</t>
        </is>
      </c>
      <c r="X1725" t="inlineStr">
        <is>
          <t>2003-10-17</t>
        </is>
      </c>
      <c r="Y1725" t="inlineStr">
        <is>
          <t>1991-11-05</t>
        </is>
      </c>
      <c r="Z1725" t="inlineStr">
        <is>
          <t>1991-11-05</t>
        </is>
      </c>
      <c r="AA1725" t="n">
        <v>374</v>
      </c>
      <c r="AB1725" t="n">
        <v>230</v>
      </c>
      <c r="AC1725" t="n">
        <v>254</v>
      </c>
      <c r="AD1725" t="n">
        <v>2</v>
      </c>
      <c r="AE1725" t="n">
        <v>2</v>
      </c>
      <c r="AF1725" t="n">
        <v>13</v>
      </c>
      <c r="AG1725" t="n">
        <v>13</v>
      </c>
      <c r="AH1725" t="n">
        <v>4</v>
      </c>
      <c r="AI1725" t="n">
        <v>4</v>
      </c>
      <c r="AJ1725" t="n">
        <v>3</v>
      </c>
      <c r="AK1725" t="n">
        <v>3</v>
      </c>
      <c r="AL1725" t="n">
        <v>10</v>
      </c>
      <c r="AM1725" t="n">
        <v>10</v>
      </c>
      <c r="AN1725" t="n">
        <v>1</v>
      </c>
      <c r="AO1725" t="n">
        <v>1</v>
      </c>
      <c r="AP1725" t="n">
        <v>0</v>
      </c>
      <c r="AQ1725" t="n">
        <v>0</v>
      </c>
      <c r="AR1725" t="inlineStr">
        <is>
          <t>No</t>
        </is>
      </c>
      <c r="AS1725" t="inlineStr">
        <is>
          <t>No</t>
        </is>
      </c>
      <c r="AU1725">
        <f>HYPERLINK("https://creighton-primo.hosted.exlibrisgroup.com/primo-explore/search?tab=default_tab&amp;search_scope=EVERYTHING&amp;vid=01CRU&amp;lang=en_US&amp;offset=0&amp;query=any,contains,991000105019702656","Catalog Record")</f>
        <v/>
      </c>
      <c r="AV1725">
        <f>HYPERLINK("http://www.worldcat.org/oclc/8975212","WorldCat Record")</f>
        <v/>
      </c>
      <c r="AW1725" t="inlineStr">
        <is>
          <t>42731817:eng</t>
        </is>
      </c>
      <c r="AX1725" t="inlineStr">
        <is>
          <t>8975212</t>
        </is>
      </c>
      <c r="AY1725" t="inlineStr">
        <is>
          <t>991000105019702656</t>
        </is>
      </c>
      <c r="AZ1725" t="inlineStr">
        <is>
          <t>991000105019702656</t>
        </is>
      </c>
      <c r="BA1725" t="inlineStr">
        <is>
          <t>2255900460002656</t>
        </is>
      </c>
      <c r="BB1725" t="inlineStr">
        <is>
          <t>BOOK</t>
        </is>
      </c>
      <c r="BD1725" t="inlineStr">
        <is>
          <t>9780048000163</t>
        </is>
      </c>
      <c r="BE1725" t="inlineStr">
        <is>
          <t>32285000796556</t>
        </is>
      </c>
      <c r="BF1725" t="inlineStr">
        <is>
          <t>893695597</t>
        </is>
      </c>
    </row>
    <row r="1726">
      <c r="A1726" t="inlineStr">
        <is>
          <t>No</t>
        </is>
      </c>
      <c r="B1726" t="inlineStr">
        <is>
          <t>CURAL</t>
        </is>
      </c>
      <c r="C1726" t="inlineStr">
        <is>
          <t>SHELVES</t>
        </is>
      </c>
      <c r="D1726" t="inlineStr">
        <is>
          <t>PR4479 .B6</t>
        </is>
      </c>
      <c r="E1726" t="inlineStr">
        <is>
          <t>0                      PR 4479000B  6</t>
        </is>
      </c>
      <c r="F1726" t="inlineStr">
        <is>
          <t>Twentieth century interpretations of The rime of the ancient mariner : a collection of critical essays / edited by James D. Boulger.</t>
        </is>
      </c>
      <c r="H1726" t="inlineStr">
        <is>
          <t>No</t>
        </is>
      </c>
      <c r="I1726" t="inlineStr">
        <is>
          <t>1</t>
        </is>
      </c>
      <c r="J1726" t="inlineStr">
        <is>
          <t>No</t>
        </is>
      </c>
      <c r="K1726" t="inlineStr">
        <is>
          <t>No</t>
        </is>
      </c>
      <c r="L1726" t="inlineStr">
        <is>
          <t>0</t>
        </is>
      </c>
      <c r="M1726" t="inlineStr">
        <is>
          <t>Boulger, James D., compiler.</t>
        </is>
      </c>
      <c r="N1726" t="inlineStr">
        <is>
          <t>Englewood Cliffs, N.J. : Prentice-Hall, [1969]</t>
        </is>
      </c>
      <c r="O1726" t="inlineStr">
        <is>
          <t>1969</t>
        </is>
      </c>
      <c r="Q1726" t="inlineStr">
        <is>
          <t>eng</t>
        </is>
      </c>
      <c r="R1726" t="inlineStr">
        <is>
          <t>nju</t>
        </is>
      </c>
      <c r="S1726" t="inlineStr">
        <is>
          <t>A Spectrum book.</t>
        </is>
      </c>
      <c r="T1726" t="inlineStr">
        <is>
          <t xml:space="preserve">PR </t>
        </is>
      </c>
      <c r="U1726" t="n">
        <v>10</v>
      </c>
      <c r="V1726" t="n">
        <v>10</v>
      </c>
      <c r="W1726" t="inlineStr">
        <is>
          <t>2008-11-18</t>
        </is>
      </c>
      <c r="X1726" t="inlineStr">
        <is>
          <t>2008-11-18</t>
        </is>
      </c>
      <c r="Y1726" t="inlineStr">
        <is>
          <t>1990-09-06</t>
        </is>
      </c>
      <c r="Z1726" t="inlineStr">
        <is>
          <t>1990-09-06</t>
        </is>
      </c>
      <c r="AA1726" t="n">
        <v>1561</v>
      </c>
      <c r="AB1726" t="n">
        <v>1395</v>
      </c>
      <c r="AC1726" t="n">
        <v>1400</v>
      </c>
      <c r="AD1726" t="n">
        <v>14</v>
      </c>
      <c r="AE1726" t="n">
        <v>14</v>
      </c>
      <c r="AF1726" t="n">
        <v>49</v>
      </c>
      <c r="AG1726" t="n">
        <v>49</v>
      </c>
      <c r="AH1726" t="n">
        <v>20</v>
      </c>
      <c r="AI1726" t="n">
        <v>20</v>
      </c>
      <c r="AJ1726" t="n">
        <v>9</v>
      </c>
      <c r="AK1726" t="n">
        <v>9</v>
      </c>
      <c r="AL1726" t="n">
        <v>20</v>
      </c>
      <c r="AM1726" t="n">
        <v>20</v>
      </c>
      <c r="AN1726" t="n">
        <v>11</v>
      </c>
      <c r="AO1726" t="n">
        <v>11</v>
      </c>
      <c r="AP1726" t="n">
        <v>0</v>
      </c>
      <c r="AQ1726" t="n">
        <v>0</v>
      </c>
      <c r="AR1726" t="inlineStr">
        <is>
          <t>No</t>
        </is>
      </c>
      <c r="AS1726" t="inlineStr">
        <is>
          <t>No</t>
        </is>
      </c>
      <c r="AU1726">
        <f>HYPERLINK("https://creighton-primo.hosted.exlibrisgroup.com/primo-explore/search?tab=default_tab&amp;search_scope=EVERYTHING&amp;vid=01CRU&amp;lang=en_US&amp;offset=0&amp;query=any,contains,991005437399702656","Catalog Record")</f>
        <v/>
      </c>
      <c r="AV1726">
        <f>HYPERLINK("http://www.worldcat.org/oclc/5311","WorldCat Record")</f>
        <v/>
      </c>
      <c r="AW1726" t="inlineStr">
        <is>
          <t>906998864:eng</t>
        </is>
      </c>
      <c r="AX1726" t="inlineStr">
        <is>
          <t>5311</t>
        </is>
      </c>
      <c r="AY1726" t="inlineStr">
        <is>
          <t>991005437399702656</t>
        </is>
      </c>
      <c r="AZ1726" t="inlineStr">
        <is>
          <t>991005437399702656</t>
        </is>
      </c>
      <c r="BA1726" t="inlineStr">
        <is>
          <t>2264533310002656</t>
        </is>
      </c>
      <c r="BB1726" t="inlineStr">
        <is>
          <t>BOOK</t>
        </is>
      </c>
      <c r="BE1726" t="inlineStr">
        <is>
          <t>32285000300755</t>
        </is>
      </c>
      <c r="BF1726" t="inlineStr">
        <is>
          <t>893707928</t>
        </is>
      </c>
    </row>
    <row r="1727">
      <c r="A1727" t="inlineStr">
        <is>
          <t>No</t>
        </is>
      </c>
      <c r="B1727" t="inlineStr">
        <is>
          <t>CURAL</t>
        </is>
      </c>
      <c r="C1727" t="inlineStr">
        <is>
          <t>SHELVES</t>
        </is>
      </c>
      <c r="D1727" t="inlineStr">
        <is>
          <t>PR4479 .P56</t>
        </is>
      </c>
      <c r="E1727" t="inlineStr">
        <is>
          <t>0                      PR 4479000P  56</t>
        </is>
      </c>
      <c r="F1727" t="inlineStr">
        <is>
          <t>Nature and the supernatural in "The ancient mariner" / by H.W. Piper.</t>
        </is>
      </c>
      <c r="H1727" t="inlineStr">
        <is>
          <t>No</t>
        </is>
      </c>
      <c r="I1727" t="inlineStr">
        <is>
          <t>1</t>
        </is>
      </c>
      <c r="J1727" t="inlineStr">
        <is>
          <t>No</t>
        </is>
      </c>
      <c r="K1727" t="inlineStr">
        <is>
          <t>No</t>
        </is>
      </c>
      <c r="L1727" t="inlineStr">
        <is>
          <t>0</t>
        </is>
      </c>
      <c r="M1727" t="inlineStr">
        <is>
          <t>Piper, H. W. (Herbert Walter), 1915-</t>
        </is>
      </c>
      <c r="N1727" t="inlineStr">
        <is>
          <t>Armidale, N.S.W. : Univ. of New England ; Sydney : Halstead Press, 1955.</t>
        </is>
      </c>
      <c r="O1727" t="inlineStr">
        <is>
          <t>1955</t>
        </is>
      </c>
      <c r="Q1727" t="inlineStr">
        <is>
          <t>eng</t>
        </is>
      </c>
      <c r="R1727" t="inlineStr">
        <is>
          <t xml:space="preserve">at </t>
        </is>
      </c>
      <c r="T1727" t="inlineStr">
        <is>
          <t xml:space="preserve">PR </t>
        </is>
      </c>
      <c r="U1727" t="n">
        <v>3</v>
      </c>
      <c r="V1727" t="n">
        <v>3</v>
      </c>
      <c r="W1727" t="inlineStr">
        <is>
          <t>1993-06-19</t>
        </is>
      </c>
      <c r="X1727" t="inlineStr">
        <is>
          <t>1993-06-19</t>
        </is>
      </c>
      <c r="Y1727" t="inlineStr">
        <is>
          <t>1990-08-30</t>
        </is>
      </c>
      <c r="Z1727" t="inlineStr">
        <is>
          <t>1990-08-30</t>
        </is>
      </c>
      <c r="AA1727" t="n">
        <v>25</v>
      </c>
      <c r="AB1727" t="n">
        <v>20</v>
      </c>
      <c r="AC1727" t="n">
        <v>109</v>
      </c>
      <c r="AD1727" t="n">
        <v>2</v>
      </c>
      <c r="AE1727" t="n">
        <v>4</v>
      </c>
      <c r="AF1727" t="n">
        <v>1</v>
      </c>
      <c r="AG1727" t="n">
        <v>5</v>
      </c>
      <c r="AH1727" t="n">
        <v>0</v>
      </c>
      <c r="AI1727" t="n">
        <v>1</v>
      </c>
      <c r="AJ1727" t="n">
        <v>0</v>
      </c>
      <c r="AK1727" t="n">
        <v>0</v>
      </c>
      <c r="AL1727" t="n">
        <v>0</v>
      </c>
      <c r="AM1727" t="n">
        <v>1</v>
      </c>
      <c r="AN1727" t="n">
        <v>1</v>
      </c>
      <c r="AO1727" t="n">
        <v>3</v>
      </c>
      <c r="AP1727" t="n">
        <v>0</v>
      </c>
      <c r="AQ1727" t="n">
        <v>0</v>
      </c>
      <c r="AR1727" t="inlineStr">
        <is>
          <t>No</t>
        </is>
      </c>
      <c r="AS1727" t="inlineStr">
        <is>
          <t>No</t>
        </is>
      </c>
      <c r="AU1727">
        <f>HYPERLINK("https://creighton-primo.hosted.exlibrisgroup.com/primo-explore/search?tab=default_tab&amp;search_scope=EVERYTHING&amp;vid=01CRU&amp;lang=en_US&amp;offset=0&amp;query=any,contains,991000073359702656","Catalog Record")</f>
        <v/>
      </c>
      <c r="AV1727">
        <f>HYPERLINK("http://www.worldcat.org/oclc/8794351","WorldCat Record")</f>
        <v/>
      </c>
      <c r="AW1727" t="inlineStr">
        <is>
          <t>1374296:eng</t>
        </is>
      </c>
      <c r="AX1727" t="inlineStr">
        <is>
          <t>8794351</t>
        </is>
      </c>
      <c r="AY1727" t="inlineStr">
        <is>
          <t>991000073359702656</t>
        </is>
      </c>
      <c r="AZ1727" t="inlineStr">
        <is>
          <t>991000073359702656</t>
        </is>
      </c>
      <c r="BA1727" t="inlineStr">
        <is>
          <t>2262298710002656</t>
        </is>
      </c>
      <c r="BB1727" t="inlineStr">
        <is>
          <t>BOOK</t>
        </is>
      </c>
      <c r="BE1727" t="inlineStr">
        <is>
          <t>32285000284322</t>
        </is>
      </c>
      <c r="BF1727" t="inlineStr">
        <is>
          <t>893613858</t>
        </is>
      </c>
    </row>
    <row r="1728">
      <c r="A1728" t="inlineStr">
        <is>
          <t>No</t>
        </is>
      </c>
      <c r="B1728" t="inlineStr">
        <is>
          <t>CURAL</t>
        </is>
      </c>
      <c r="C1728" t="inlineStr">
        <is>
          <t>SHELVES</t>
        </is>
      </c>
      <c r="D1728" t="inlineStr">
        <is>
          <t>PR448.A44 E55 1993</t>
        </is>
      </c>
      <c r="E1728" t="inlineStr">
        <is>
          <t>0                      PR 0448000A  44                 E  55          1993</t>
        </is>
      </c>
      <c r="F1728" t="inlineStr">
        <is>
          <t>Enlightening allegory : theory, practice, and contexts of allegory in the late seventeenth and eighteenth centuries / edited by Kevin L. Cope.</t>
        </is>
      </c>
      <c r="H1728" t="inlineStr">
        <is>
          <t>No</t>
        </is>
      </c>
      <c r="I1728" t="inlineStr">
        <is>
          <t>1</t>
        </is>
      </c>
      <c r="J1728" t="inlineStr">
        <is>
          <t>No</t>
        </is>
      </c>
      <c r="K1728" t="inlineStr">
        <is>
          <t>No</t>
        </is>
      </c>
      <c r="L1728" t="inlineStr">
        <is>
          <t>0</t>
        </is>
      </c>
      <c r="N1728" t="inlineStr">
        <is>
          <t>New York : AMS Press, c1993.</t>
        </is>
      </c>
      <c r="O1728" t="inlineStr">
        <is>
          <t>1993</t>
        </is>
      </c>
      <c r="Q1728" t="inlineStr">
        <is>
          <t>eng</t>
        </is>
      </c>
      <c r="R1728" t="inlineStr">
        <is>
          <t>nyu</t>
        </is>
      </c>
      <c r="S1728" t="inlineStr">
        <is>
          <t>AMS studies in the eighteenth century ; no. 18</t>
        </is>
      </c>
      <c r="T1728" t="inlineStr">
        <is>
          <t xml:space="preserve">PR </t>
        </is>
      </c>
      <c r="U1728" t="n">
        <v>2</v>
      </c>
      <c r="V1728" t="n">
        <v>2</v>
      </c>
      <c r="W1728" t="inlineStr">
        <is>
          <t>2005-09-14</t>
        </is>
      </c>
      <c r="X1728" t="inlineStr">
        <is>
          <t>2005-09-14</t>
        </is>
      </c>
      <c r="Y1728" t="inlineStr">
        <is>
          <t>2004-09-27</t>
        </is>
      </c>
      <c r="Z1728" t="inlineStr">
        <is>
          <t>2004-09-27</t>
        </is>
      </c>
      <c r="AA1728" t="n">
        <v>214</v>
      </c>
      <c r="AB1728" t="n">
        <v>164</v>
      </c>
      <c r="AC1728" t="n">
        <v>167</v>
      </c>
      <c r="AD1728" t="n">
        <v>2</v>
      </c>
      <c r="AE1728" t="n">
        <v>2</v>
      </c>
      <c r="AF1728" t="n">
        <v>8</v>
      </c>
      <c r="AG1728" t="n">
        <v>8</v>
      </c>
      <c r="AH1728" t="n">
        <v>2</v>
      </c>
      <c r="AI1728" t="n">
        <v>2</v>
      </c>
      <c r="AJ1728" t="n">
        <v>4</v>
      </c>
      <c r="AK1728" t="n">
        <v>4</v>
      </c>
      <c r="AL1728" t="n">
        <v>5</v>
      </c>
      <c r="AM1728" t="n">
        <v>5</v>
      </c>
      <c r="AN1728" t="n">
        <v>1</v>
      </c>
      <c r="AO1728" t="n">
        <v>1</v>
      </c>
      <c r="AP1728" t="n">
        <v>0</v>
      </c>
      <c r="AQ1728" t="n">
        <v>0</v>
      </c>
      <c r="AR1728" t="inlineStr">
        <is>
          <t>No</t>
        </is>
      </c>
      <c r="AS1728" t="inlineStr">
        <is>
          <t>Yes</t>
        </is>
      </c>
      <c r="AT1728">
        <f>HYPERLINK("http://catalog.hathitrust.org/Record/002779979","HathiTrust Record")</f>
        <v/>
      </c>
      <c r="AU1728">
        <f>HYPERLINK("https://creighton-primo.hosted.exlibrisgroup.com/primo-explore/search?tab=default_tab&amp;search_scope=EVERYTHING&amp;vid=01CRU&amp;lang=en_US&amp;offset=0&amp;query=any,contains,991004384249702656","Catalog Record")</f>
        <v/>
      </c>
      <c r="AV1728">
        <f>HYPERLINK("http://www.worldcat.org/oclc/25748607","WorldCat Record")</f>
        <v/>
      </c>
      <c r="AW1728" t="inlineStr">
        <is>
          <t>20750554:eng</t>
        </is>
      </c>
      <c r="AX1728" t="inlineStr">
        <is>
          <t>25748607</t>
        </is>
      </c>
      <c r="AY1728" t="inlineStr">
        <is>
          <t>991004384249702656</t>
        </is>
      </c>
      <c r="AZ1728" t="inlineStr">
        <is>
          <t>991004384249702656</t>
        </is>
      </c>
      <c r="BA1728" t="inlineStr">
        <is>
          <t>2272044840002656</t>
        </is>
      </c>
      <c r="BB1728" t="inlineStr">
        <is>
          <t>BOOK</t>
        </is>
      </c>
      <c r="BD1728" t="inlineStr">
        <is>
          <t>9780404635183</t>
        </is>
      </c>
      <c r="BE1728" t="inlineStr">
        <is>
          <t>32285004989413</t>
        </is>
      </c>
      <c r="BF1728" t="inlineStr">
        <is>
          <t>893535953</t>
        </is>
      </c>
    </row>
    <row r="1729">
      <c r="A1729" t="inlineStr">
        <is>
          <t>No</t>
        </is>
      </c>
      <c r="B1729" t="inlineStr">
        <is>
          <t>CURAL</t>
        </is>
      </c>
      <c r="C1729" t="inlineStr">
        <is>
          <t>SHELVES</t>
        </is>
      </c>
      <c r="D1729" t="inlineStr">
        <is>
          <t>PR448.B63 D47 1994</t>
        </is>
      </c>
      <c r="E1729" t="inlineStr">
        <is>
          <t>0                      PR 0448000B  63                 D  47          1994</t>
        </is>
      </c>
      <c r="F1729" t="inlineStr">
        <is>
          <t>The embodiment of characters : the representation of physical experience on stage and in print, 1728-1749 / Jones DeRitter.</t>
        </is>
      </c>
      <c r="H1729" t="inlineStr">
        <is>
          <t>No</t>
        </is>
      </c>
      <c r="I1729" t="inlineStr">
        <is>
          <t>1</t>
        </is>
      </c>
      <c r="J1729" t="inlineStr">
        <is>
          <t>No</t>
        </is>
      </c>
      <c r="K1729" t="inlineStr">
        <is>
          <t>No</t>
        </is>
      </c>
      <c r="L1729" t="inlineStr">
        <is>
          <t>0</t>
        </is>
      </c>
      <c r="M1729" t="inlineStr">
        <is>
          <t>DeRitter, Jones.</t>
        </is>
      </c>
      <c r="N1729" t="inlineStr">
        <is>
          <t>Philadelphia : University of Pennsylvania Press, c1994.</t>
        </is>
      </c>
      <c r="O1729" t="inlineStr">
        <is>
          <t>1994</t>
        </is>
      </c>
      <c r="Q1729" t="inlineStr">
        <is>
          <t>eng</t>
        </is>
      </c>
      <c r="R1729" t="inlineStr">
        <is>
          <t>pau</t>
        </is>
      </c>
      <c r="S1729" t="inlineStr">
        <is>
          <t>New cultural studies</t>
        </is>
      </c>
      <c r="T1729" t="inlineStr">
        <is>
          <t xml:space="preserve">PR </t>
        </is>
      </c>
      <c r="U1729" t="n">
        <v>1</v>
      </c>
      <c r="V1729" t="n">
        <v>1</v>
      </c>
      <c r="W1729" t="inlineStr">
        <is>
          <t>2005-06-01</t>
        </is>
      </c>
      <c r="X1729" t="inlineStr">
        <is>
          <t>2005-06-01</t>
        </is>
      </c>
      <c r="Y1729" t="inlineStr">
        <is>
          <t>2005-06-01</t>
        </is>
      </c>
      <c r="Z1729" t="inlineStr">
        <is>
          <t>2005-06-01</t>
        </is>
      </c>
      <c r="AA1729" t="n">
        <v>278</v>
      </c>
      <c r="AB1729" t="n">
        <v>230</v>
      </c>
      <c r="AC1729" t="n">
        <v>709</v>
      </c>
      <c r="AD1729" t="n">
        <v>3</v>
      </c>
      <c r="AE1729" t="n">
        <v>4</v>
      </c>
      <c r="AF1729" t="n">
        <v>15</v>
      </c>
      <c r="AG1729" t="n">
        <v>29</v>
      </c>
      <c r="AH1729" t="n">
        <v>3</v>
      </c>
      <c r="AI1729" t="n">
        <v>12</v>
      </c>
      <c r="AJ1729" t="n">
        <v>5</v>
      </c>
      <c r="AK1729" t="n">
        <v>8</v>
      </c>
      <c r="AL1729" t="n">
        <v>10</v>
      </c>
      <c r="AM1729" t="n">
        <v>14</v>
      </c>
      <c r="AN1729" t="n">
        <v>2</v>
      </c>
      <c r="AO1729" t="n">
        <v>3</v>
      </c>
      <c r="AP1729" t="n">
        <v>0</v>
      </c>
      <c r="AQ1729" t="n">
        <v>0</v>
      </c>
      <c r="AR1729" t="inlineStr">
        <is>
          <t>No</t>
        </is>
      </c>
      <c r="AS1729" t="inlineStr">
        <is>
          <t>Yes</t>
        </is>
      </c>
      <c r="AT1729">
        <f>HYPERLINK("http://catalog.hathitrust.org/Record/002908527","HathiTrust Record")</f>
        <v/>
      </c>
      <c r="AU1729">
        <f>HYPERLINK("https://creighton-primo.hosted.exlibrisgroup.com/primo-explore/search?tab=default_tab&amp;search_scope=EVERYTHING&amp;vid=01CRU&amp;lang=en_US&amp;offset=0&amp;query=any,contains,991004557059702656","Catalog Record")</f>
        <v/>
      </c>
      <c r="AV1729">
        <f>HYPERLINK("http://www.worldcat.org/oclc/30438581","WorldCat Record")</f>
        <v/>
      </c>
      <c r="AW1729" t="inlineStr">
        <is>
          <t>1010600:eng</t>
        </is>
      </c>
      <c r="AX1729" t="inlineStr">
        <is>
          <t>30438581</t>
        </is>
      </c>
      <c r="AY1729" t="inlineStr">
        <is>
          <t>991004557059702656</t>
        </is>
      </c>
      <c r="AZ1729" t="inlineStr">
        <is>
          <t>991004557059702656</t>
        </is>
      </c>
      <c r="BA1729" t="inlineStr">
        <is>
          <t>2270813630002656</t>
        </is>
      </c>
      <c r="BB1729" t="inlineStr">
        <is>
          <t>BOOK</t>
        </is>
      </c>
      <c r="BD1729" t="inlineStr">
        <is>
          <t>9780812232653</t>
        </is>
      </c>
      <c r="BE1729" t="inlineStr">
        <is>
          <t>32285005091888</t>
        </is>
      </c>
      <c r="BF1729" t="inlineStr">
        <is>
          <t>893599979</t>
        </is>
      </c>
    </row>
    <row r="1730">
      <c r="A1730" t="inlineStr">
        <is>
          <t>No</t>
        </is>
      </c>
      <c r="B1730" t="inlineStr">
        <is>
          <t>CURAL</t>
        </is>
      </c>
      <c r="C1730" t="inlineStr">
        <is>
          <t>SHELVES</t>
        </is>
      </c>
      <c r="D1730" t="inlineStr">
        <is>
          <t>PR448.D45 B8</t>
        </is>
      </c>
      <c r="E1730" t="inlineStr">
        <is>
          <t>0                      PR 0448000D  45                 B  8</t>
        </is>
      </c>
      <c r="F1730" t="inlineStr">
        <is>
          <t>Poetry of civilization : mythopoeic displacement in the verse of Milton, Dryden, Pope, and Johnson.</t>
        </is>
      </c>
      <c r="H1730" t="inlineStr">
        <is>
          <t>No</t>
        </is>
      </c>
      <c r="I1730" t="inlineStr">
        <is>
          <t>1</t>
        </is>
      </c>
      <c r="J1730" t="inlineStr">
        <is>
          <t>No</t>
        </is>
      </c>
      <c r="K1730" t="inlineStr">
        <is>
          <t>No</t>
        </is>
      </c>
      <c r="L1730" t="inlineStr">
        <is>
          <t>0</t>
        </is>
      </c>
      <c r="M1730" t="inlineStr">
        <is>
          <t>Budick, Sanford, 1942-</t>
        </is>
      </c>
      <c r="N1730" t="inlineStr">
        <is>
          <t>New Haven : Yale University Press, 1974.</t>
        </is>
      </c>
      <c r="O1730" t="inlineStr">
        <is>
          <t>1974</t>
        </is>
      </c>
      <c r="Q1730" t="inlineStr">
        <is>
          <t>eng</t>
        </is>
      </c>
      <c r="R1730" t="inlineStr">
        <is>
          <t>ctu</t>
        </is>
      </c>
      <c r="T1730" t="inlineStr">
        <is>
          <t xml:space="preserve">PR </t>
        </is>
      </c>
      <c r="U1730" t="n">
        <v>1</v>
      </c>
      <c r="V1730" t="n">
        <v>1</v>
      </c>
      <c r="W1730" t="inlineStr">
        <is>
          <t>2002-11-20</t>
        </is>
      </c>
      <c r="X1730" t="inlineStr">
        <is>
          <t>2002-11-20</t>
        </is>
      </c>
      <c r="Y1730" t="inlineStr">
        <is>
          <t>1991-08-29</t>
        </is>
      </c>
      <c r="Z1730" t="inlineStr">
        <is>
          <t>1991-08-29</t>
        </is>
      </c>
      <c r="AA1730" t="n">
        <v>815</v>
      </c>
      <c r="AB1730" t="n">
        <v>683</v>
      </c>
      <c r="AC1730" t="n">
        <v>684</v>
      </c>
      <c r="AD1730" t="n">
        <v>8</v>
      </c>
      <c r="AE1730" t="n">
        <v>8</v>
      </c>
      <c r="AF1730" t="n">
        <v>36</v>
      </c>
      <c r="AG1730" t="n">
        <v>36</v>
      </c>
      <c r="AH1730" t="n">
        <v>11</v>
      </c>
      <c r="AI1730" t="n">
        <v>11</v>
      </c>
      <c r="AJ1730" t="n">
        <v>7</v>
      </c>
      <c r="AK1730" t="n">
        <v>7</v>
      </c>
      <c r="AL1730" t="n">
        <v>19</v>
      </c>
      <c r="AM1730" t="n">
        <v>19</v>
      </c>
      <c r="AN1730" t="n">
        <v>7</v>
      </c>
      <c r="AO1730" t="n">
        <v>7</v>
      </c>
      <c r="AP1730" t="n">
        <v>0</v>
      </c>
      <c r="AQ1730" t="n">
        <v>0</v>
      </c>
      <c r="AR1730" t="inlineStr">
        <is>
          <t>No</t>
        </is>
      </c>
      <c r="AS1730" t="inlineStr">
        <is>
          <t>No</t>
        </is>
      </c>
      <c r="AU1730">
        <f>HYPERLINK("https://creighton-primo.hosted.exlibrisgroup.com/primo-explore/search?tab=default_tab&amp;search_scope=EVERYTHING&amp;vid=01CRU&amp;lang=en_US&amp;offset=0&amp;query=any,contains,991003390139702656","Catalog Record")</f>
        <v/>
      </c>
      <c r="AV1730">
        <f>HYPERLINK("http://www.worldcat.org/oclc/927978","WorldCat Record")</f>
        <v/>
      </c>
      <c r="AW1730" t="inlineStr">
        <is>
          <t>139952902:eng</t>
        </is>
      </c>
      <c r="AX1730" t="inlineStr">
        <is>
          <t>927978</t>
        </is>
      </c>
      <c r="AY1730" t="inlineStr">
        <is>
          <t>991003390139702656</t>
        </is>
      </c>
      <c r="AZ1730" t="inlineStr">
        <is>
          <t>991003390139702656</t>
        </is>
      </c>
      <c r="BA1730" t="inlineStr">
        <is>
          <t>2266763460002656</t>
        </is>
      </c>
      <c r="BB1730" t="inlineStr">
        <is>
          <t>BOOK</t>
        </is>
      </c>
      <c r="BD1730" t="inlineStr">
        <is>
          <t>9780300016796</t>
        </is>
      </c>
      <c r="BE1730" t="inlineStr">
        <is>
          <t>32285000731801</t>
        </is>
      </c>
      <c r="BF1730" t="inlineStr">
        <is>
          <t>893324044</t>
        </is>
      </c>
    </row>
    <row r="1731">
      <c r="A1731" t="inlineStr">
        <is>
          <t>No</t>
        </is>
      </c>
      <c r="B1731" t="inlineStr">
        <is>
          <t>CURAL</t>
        </is>
      </c>
      <c r="C1731" t="inlineStr">
        <is>
          <t>SHELVES</t>
        </is>
      </c>
      <c r="D1731" t="inlineStr">
        <is>
          <t>PR448.I52 S65 2000</t>
        </is>
      </c>
      <c r="E1731" t="inlineStr">
        <is>
          <t>0                      PR 0448000I  52                 S  65          2000</t>
        </is>
      </c>
      <c r="F1731" t="inlineStr">
        <is>
          <t>The grammar of empire in eighteenth-century British writing / Janet Sorensen.</t>
        </is>
      </c>
      <c r="H1731" t="inlineStr">
        <is>
          <t>No</t>
        </is>
      </c>
      <c r="I1731" t="inlineStr">
        <is>
          <t>1</t>
        </is>
      </c>
      <c r="J1731" t="inlineStr">
        <is>
          <t>No</t>
        </is>
      </c>
      <c r="K1731" t="inlineStr">
        <is>
          <t>No</t>
        </is>
      </c>
      <c r="L1731" t="inlineStr">
        <is>
          <t>0</t>
        </is>
      </c>
      <c r="M1731" t="inlineStr">
        <is>
          <t>Sorensen, Janet.</t>
        </is>
      </c>
      <c r="N1731" t="inlineStr">
        <is>
          <t>Cambridge [England] ; New York : Cambridge University Press, 2000.</t>
        </is>
      </c>
      <c r="O1731" t="inlineStr">
        <is>
          <t>2000</t>
        </is>
      </c>
      <c r="Q1731" t="inlineStr">
        <is>
          <t>eng</t>
        </is>
      </c>
      <c r="R1731" t="inlineStr">
        <is>
          <t>enk</t>
        </is>
      </c>
      <c r="T1731" t="inlineStr">
        <is>
          <t xml:space="preserve">PR </t>
        </is>
      </c>
      <c r="U1731" t="n">
        <v>2</v>
      </c>
      <c r="V1731" t="n">
        <v>2</v>
      </c>
      <c r="W1731" t="inlineStr">
        <is>
          <t>2002-05-28</t>
        </is>
      </c>
      <c r="X1731" t="inlineStr">
        <is>
          <t>2002-05-28</t>
        </is>
      </c>
      <c r="Y1731" t="inlineStr">
        <is>
          <t>2002-05-22</t>
        </is>
      </c>
      <c r="Z1731" t="inlineStr">
        <is>
          <t>2002-05-22</t>
        </is>
      </c>
      <c r="AA1731" t="n">
        <v>342</v>
      </c>
      <c r="AB1731" t="n">
        <v>247</v>
      </c>
      <c r="AC1731" t="n">
        <v>249</v>
      </c>
      <c r="AD1731" t="n">
        <v>3</v>
      </c>
      <c r="AE1731" t="n">
        <v>3</v>
      </c>
      <c r="AF1731" t="n">
        <v>16</v>
      </c>
      <c r="AG1731" t="n">
        <v>16</v>
      </c>
      <c r="AH1731" t="n">
        <v>6</v>
      </c>
      <c r="AI1731" t="n">
        <v>6</v>
      </c>
      <c r="AJ1731" t="n">
        <v>5</v>
      </c>
      <c r="AK1731" t="n">
        <v>5</v>
      </c>
      <c r="AL1731" t="n">
        <v>9</v>
      </c>
      <c r="AM1731" t="n">
        <v>9</v>
      </c>
      <c r="AN1731" t="n">
        <v>2</v>
      </c>
      <c r="AO1731" t="n">
        <v>2</v>
      </c>
      <c r="AP1731" t="n">
        <v>0</v>
      </c>
      <c r="AQ1731" t="n">
        <v>0</v>
      </c>
      <c r="AR1731" t="inlineStr">
        <is>
          <t>No</t>
        </is>
      </c>
      <c r="AS1731" t="inlineStr">
        <is>
          <t>No</t>
        </is>
      </c>
      <c r="AU1731">
        <f>HYPERLINK("https://creighton-primo.hosted.exlibrisgroup.com/primo-explore/search?tab=default_tab&amp;search_scope=EVERYTHING&amp;vid=01CRU&amp;lang=en_US&amp;offset=0&amp;query=any,contains,991003791559702656","Catalog Record")</f>
        <v/>
      </c>
      <c r="AV1731">
        <f>HYPERLINK("http://www.worldcat.org/oclc/43286815","WorldCat Record")</f>
        <v/>
      </c>
      <c r="AW1731" t="inlineStr">
        <is>
          <t>44469883:eng</t>
        </is>
      </c>
      <c r="AX1731" t="inlineStr">
        <is>
          <t>43286815</t>
        </is>
      </c>
      <c r="AY1731" t="inlineStr">
        <is>
          <t>991003791559702656</t>
        </is>
      </c>
      <c r="AZ1731" t="inlineStr">
        <is>
          <t>991003791559702656</t>
        </is>
      </c>
      <c r="BA1731" t="inlineStr">
        <is>
          <t>2258258770002656</t>
        </is>
      </c>
      <c r="BB1731" t="inlineStr">
        <is>
          <t>BOOK</t>
        </is>
      </c>
      <c r="BD1731" t="inlineStr">
        <is>
          <t>9780521653275</t>
        </is>
      </c>
      <c r="BE1731" t="inlineStr">
        <is>
          <t>32285004489562</t>
        </is>
      </c>
      <c r="BF1731" t="inlineStr">
        <is>
          <t>893435449</t>
        </is>
      </c>
    </row>
    <row r="1732">
      <c r="A1732" t="inlineStr">
        <is>
          <t>No</t>
        </is>
      </c>
      <c r="B1732" t="inlineStr">
        <is>
          <t>CURAL</t>
        </is>
      </c>
      <c r="C1732" t="inlineStr">
        <is>
          <t>SHELVES</t>
        </is>
      </c>
      <c r="D1732" t="inlineStr">
        <is>
          <t>PR448.M45 I5 1991</t>
        </is>
      </c>
      <c r="E1732" t="inlineStr">
        <is>
          <t>0                      PR 0448000M  45                 I  5           1991</t>
        </is>
      </c>
      <c r="F1732" t="inlineStr">
        <is>
          <t>The madhouse of language : writing and reading madness in the eighteenth century / Allan Ingram.</t>
        </is>
      </c>
      <c r="H1732" t="inlineStr">
        <is>
          <t>No</t>
        </is>
      </c>
      <c r="I1732" t="inlineStr">
        <is>
          <t>1</t>
        </is>
      </c>
      <c r="J1732" t="inlineStr">
        <is>
          <t>No</t>
        </is>
      </c>
      <c r="K1732" t="inlineStr">
        <is>
          <t>No</t>
        </is>
      </c>
      <c r="L1732" t="inlineStr">
        <is>
          <t>0</t>
        </is>
      </c>
      <c r="M1732" t="inlineStr">
        <is>
          <t>Ingram, Allan.</t>
        </is>
      </c>
      <c r="N1732" t="inlineStr">
        <is>
          <t>London ; New York : Routledge, 1991.</t>
        </is>
      </c>
      <c r="O1732" t="inlineStr">
        <is>
          <t>1991</t>
        </is>
      </c>
      <c r="Q1732" t="inlineStr">
        <is>
          <t>eng</t>
        </is>
      </c>
      <c r="R1732" t="inlineStr">
        <is>
          <t>enk</t>
        </is>
      </c>
      <c r="T1732" t="inlineStr">
        <is>
          <t xml:space="preserve">PR </t>
        </is>
      </c>
      <c r="U1732" t="n">
        <v>1</v>
      </c>
      <c r="V1732" t="n">
        <v>1</v>
      </c>
      <c r="W1732" t="inlineStr">
        <is>
          <t>2005-12-14</t>
        </is>
      </c>
      <c r="X1732" t="inlineStr">
        <is>
          <t>2005-12-14</t>
        </is>
      </c>
      <c r="Y1732" t="inlineStr">
        <is>
          <t>2005-12-14</t>
        </is>
      </c>
      <c r="Z1732" t="inlineStr">
        <is>
          <t>2005-12-14</t>
        </is>
      </c>
      <c r="AA1732" t="n">
        <v>329</v>
      </c>
      <c r="AB1732" t="n">
        <v>182</v>
      </c>
      <c r="AC1732" t="n">
        <v>405</v>
      </c>
      <c r="AD1732" t="n">
        <v>2</v>
      </c>
      <c r="AE1732" t="n">
        <v>2</v>
      </c>
      <c r="AF1732" t="n">
        <v>10</v>
      </c>
      <c r="AG1732" t="n">
        <v>21</v>
      </c>
      <c r="AH1732" t="n">
        <v>3</v>
      </c>
      <c r="AI1732" t="n">
        <v>11</v>
      </c>
      <c r="AJ1732" t="n">
        <v>3</v>
      </c>
      <c r="AK1732" t="n">
        <v>6</v>
      </c>
      <c r="AL1732" t="n">
        <v>5</v>
      </c>
      <c r="AM1732" t="n">
        <v>7</v>
      </c>
      <c r="AN1732" t="n">
        <v>1</v>
      </c>
      <c r="AO1732" t="n">
        <v>1</v>
      </c>
      <c r="AP1732" t="n">
        <v>0</v>
      </c>
      <c r="AQ1732" t="n">
        <v>0</v>
      </c>
      <c r="AR1732" t="inlineStr">
        <is>
          <t>No</t>
        </is>
      </c>
      <c r="AS1732" t="inlineStr">
        <is>
          <t>No</t>
        </is>
      </c>
      <c r="AU1732">
        <f>HYPERLINK("https://creighton-primo.hosted.exlibrisgroup.com/primo-explore/search?tab=default_tab&amp;search_scope=EVERYTHING&amp;vid=01CRU&amp;lang=en_US&amp;offset=0&amp;query=any,contains,991004704069702656","Catalog Record")</f>
        <v/>
      </c>
      <c r="AV1732">
        <f>HYPERLINK("http://www.worldcat.org/oclc/23287175","WorldCat Record")</f>
        <v/>
      </c>
      <c r="AW1732" t="inlineStr">
        <is>
          <t>795617717:eng</t>
        </is>
      </c>
      <c r="AX1732" t="inlineStr">
        <is>
          <t>23287175</t>
        </is>
      </c>
      <c r="AY1732" t="inlineStr">
        <is>
          <t>991004704069702656</t>
        </is>
      </c>
      <c r="AZ1732" t="inlineStr">
        <is>
          <t>991004704069702656</t>
        </is>
      </c>
      <c r="BA1732" t="inlineStr">
        <is>
          <t>2272093910002656</t>
        </is>
      </c>
      <c r="BB1732" t="inlineStr">
        <is>
          <t>BOOK</t>
        </is>
      </c>
      <c r="BD1732" t="inlineStr">
        <is>
          <t>9780415031905</t>
        </is>
      </c>
      <c r="BE1732" t="inlineStr">
        <is>
          <t>32285005152391</t>
        </is>
      </c>
      <c r="BF1732" t="inlineStr">
        <is>
          <t>893628324</t>
        </is>
      </c>
    </row>
    <row r="1733">
      <c r="A1733" t="inlineStr">
        <is>
          <t>No</t>
        </is>
      </c>
      <c r="B1733" t="inlineStr">
        <is>
          <t>CURAL</t>
        </is>
      </c>
      <c r="C1733" t="inlineStr">
        <is>
          <t>SHELVES</t>
        </is>
      </c>
      <c r="D1733" t="inlineStr">
        <is>
          <t>PR448.N38 W44 1993</t>
        </is>
      </c>
      <c r="E1733" t="inlineStr">
        <is>
          <t>0                      PR 0448000N  38                 W  44          1993</t>
        </is>
      </c>
      <c r="F1733" t="inlineStr">
        <is>
          <t>Britannia's issue : the rise of British literature from Dryden to Ossian / Howard D. Weinbrot.</t>
        </is>
      </c>
      <c r="H1733" t="inlineStr">
        <is>
          <t>No</t>
        </is>
      </c>
      <c r="I1733" t="inlineStr">
        <is>
          <t>1</t>
        </is>
      </c>
      <c r="J1733" t="inlineStr">
        <is>
          <t>No</t>
        </is>
      </c>
      <c r="K1733" t="inlineStr">
        <is>
          <t>No</t>
        </is>
      </c>
      <c r="L1733" t="inlineStr">
        <is>
          <t>0</t>
        </is>
      </c>
      <c r="M1733" t="inlineStr">
        <is>
          <t>Weinbrot, Howard D.</t>
        </is>
      </c>
      <c r="N1733" t="inlineStr">
        <is>
          <t>Cambridge [England] ; New York : Cambridge University Press, 1993.</t>
        </is>
      </c>
      <c r="O1733" t="inlineStr">
        <is>
          <t>1993</t>
        </is>
      </c>
      <c r="Q1733" t="inlineStr">
        <is>
          <t>eng</t>
        </is>
      </c>
      <c r="R1733" t="inlineStr">
        <is>
          <t>enk</t>
        </is>
      </c>
      <c r="T1733" t="inlineStr">
        <is>
          <t xml:space="preserve">PR </t>
        </is>
      </c>
      <c r="U1733" t="n">
        <v>3</v>
      </c>
      <c r="V1733" t="n">
        <v>3</v>
      </c>
      <c r="W1733" t="inlineStr">
        <is>
          <t>1997-10-04</t>
        </is>
      </c>
      <c r="X1733" t="inlineStr">
        <is>
          <t>1997-10-04</t>
        </is>
      </c>
      <c r="Y1733" t="inlineStr">
        <is>
          <t>1995-01-23</t>
        </is>
      </c>
      <c r="Z1733" t="inlineStr">
        <is>
          <t>1995-01-23</t>
        </is>
      </c>
      <c r="AA1733" t="n">
        <v>499</v>
      </c>
      <c r="AB1733" t="n">
        <v>375</v>
      </c>
      <c r="AC1733" t="n">
        <v>394</v>
      </c>
      <c r="AD1733" t="n">
        <v>3</v>
      </c>
      <c r="AE1733" t="n">
        <v>3</v>
      </c>
      <c r="AF1733" t="n">
        <v>25</v>
      </c>
      <c r="AG1733" t="n">
        <v>26</v>
      </c>
      <c r="AH1733" t="n">
        <v>10</v>
      </c>
      <c r="AI1733" t="n">
        <v>11</v>
      </c>
      <c r="AJ1733" t="n">
        <v>8</v>
      </c>
      <c r="AK1733" t="n">
        <v>8</v>
      </c>
      <c r="AL1733" t="n">
        <v>15</v>
      </c>
      <c r="AM1733" t="n">
        <v>15</v>
      </c>
      <c r="AN1733" t="n">
        <v>2</v>
      </c>
      <c r="AO1733" t="n">
        <v>2</v>
      </c>
      <c r="AP1733" t="n">
        <v>0</v>
      </c>
      <c r="AQ1733" t="n">
        <v>0</v>
      </c>
      <c r="AR1733" t="inlineStr">
        <is>
          <t>No</t>
        </is>
      </c>
      <c r="AS1733" t="inlineStr">
        <is>
          <t>No</t>
        </is>
      </c>
      <c r="AU1733">
        <f>HYPERLINK("https://creighton-primo.hosted.exlibrisgroup.com/primo-explore/search?tab=default_tab&amp;search_scope=EVERYTHING&amp;vid=01CRU&amp;lang=en_US&amp;offset=0&amp;query=any,contains,991002095629702656","Catalog Record")</f>
        <v/>
      </c>
      <c r="AV1733">
        <f>HYPERLINK("http://www.worldcat.org/oclc/26858226","WorldCat Record")</f>
        <v/>
      </c>
      <c r="AW1733" t="inlineStr">
        <is>
          <t>807099002:eng</t>
        </is>
      </c>
      <c r="AX1733" t="inlineStr">
        <is>
          <t>26858226</t>
        </is>
      </c>
      <c r="AY1733" t="inlineStr">
        <is>
          <t>991002095629702656</t>
        </is>
      </c>
      <c r="AZ1733" t="inlineStr">
        <is>
          <t>991002095629702656</t>
        </is>
      </c>
      <c r="BA1733" t="inlineStr">
        <is>
          <t>2268254790002656</t>
        </is>
      </c>
      <c r="BB1733" t="inlineStr">
        <is>
          <t>BOOK</t>
        </is>
      </c>
      <c r="BD1733" t="inlineStr">
        <is>
          <t>9780521325196</t>
        </is>
      </c>
      <c r="BE1733" t="inlineStr">
        <is>
          <t>32285001994580</t>
        </is>
      </c>
      <c r="BF1733" t="inlineStr">
        <is>
          <t>893873097</t>
        </is>
      </c>
    </row>
    <row r="1734">
      <c r="A1734" t="inlineStr">
        <is>
          <t>No</t>
        </is>
      </c>
      <c r="B1734" t="inlineStr">
        <is>
          <t>CURAL</t>
        </is>
      </c>
      <c r="C1734" t="inlineStr">
        <is>
          <t>SHELVES</t>
        </is>
      </c>
      <c r="D1734" t="inlineStr">
        <is>
          <t>PR448.P75 P79 1987</t>
        </is>
      </c>
      <c r="E1734" t="inlineStr">
        <is>
          <t>0                      PR 0448000P  75                 P  79          1987</t>
        </is>
      </c>
      <c r="F1734" t="inlineStr">
        <is>
          <t>Psychology and literature in the eighteenth century / edited and with an introduction by Christopher Fox ; with illustrations by Michael DePorte.</t>
        </is>
      </c>
      <c r="H1734" t="inlineStr">
        <is>
          <t>No</t>
        </is>
      </c>
      <c r="I1734" t="inlineStr">
        <is>
          <t>1</t>
        </is>
      </c>
      <c r="J1734" t="inlineStr">
        <is>
          <t>No</t>
        </is>
      </c>
      <c r="K1734" t="inlineStr">
        <is>
          <t>No</t>
        </is>
      </c>
      <c r="L1734" t="inlineStr">
        <is>
          <t>0</t>
        </is>
      </c>
      <c r="N1734" t="inlineStr">
        <is>
          <t>New York, N.Y. : AMS Press, c1987.</t>
        </is>
      </c>
      <c r="O1734" t="inlineStr">
        <is>
          <t>1987</t>
        </is>
      </c>
      <c r="Q1734" t="inlineStr">
        <is>
          <t>eng</t>
        </is>
      </c>
      <c r="R1734" t="inlineStr">
        <is>
          <t>nyu</t>
        </is>
      </c>
      <c r="S1734" t="inlineStr">
        <is>
          <t>AMS studies in the eighteenth century, 0196-6561 ; no. 8</t>
        </is>
      </c>
      <c r="T1734" t="inlineStr">
        <is>
          <t xml:space="preserve">PR </t>
        </is>
      </c>
      <c r="U1734" t="n">
        <v>1</v>
      </c>
      <c r="V1734" t="n">
        <v>1</v>
      </c>
      <c r="W1734" t="inlineStr">
        <is>
          <t>2001-02-19</t>
        </is>
      </c>
      <c r="X1734" t="inlineStr">
        <is>
          <t>2001-02-19</t>
        </is>
      </c>
      <c r="Y1734" t="inlineStr">
        <is>
          <t>1991-02-12</t>
        </is>
      </c>
      <c r="Z1734" t="inlineStr">
        <is>
          <t>1991-02-12</t>
        </is>
      </c>
      <c r="AA1734" t="n">
        <v>291</v>
      </c>
      <c r="AB1734" t="n">
        <v>195</v>
      </c>
      <c r="AC1734" t="n">
        <v>201</v>
      </c>
      <c r="AD1734" t="n">
        <v>1</v>
      </c>
      <c r="AE1734" t="n">
        <v>1</v>
      </c>
      <c r="AF1734" t="n">
        <v>14</v>
      </c>
      <c r="AG1734" t="n">
        <v>14</v>
      </c>
      <c r="AH1734" t="n">
        <v>6</v>
      </c>
      <c r="AI1734" t="n">
        <v>6</v>
      </c>
      <c r="AJ1734" t="n">
        <v>4</v>
      </c>
      <c r="AK1734" t="n">
        <v>4</v>
      </c>
      <c r="AL1734" t="n">
        <v>10</v>
      </c>
      <c r="AM1734" t="n">
        <v>10</v>
      </c>
      <c r="AN1734" t="n">
        <v>0</v>
      </c>
      <c r="AO1734" t="n">
        <v>0</v>
      </c>
      <c r="AP1734" t="n">
        <v>0</v>
      </c>
      <c r="AQ1734" t="n">
        <v>0</v>
      </c>
      <c r="AR1734" t="inlineStr">
        <is>
          <t>No</t>
        </is>
      </c>
      <c r="AS1734" t="inlineStr">
        <is>
          <t>Yes</t>
        </is>
      </c>
      <c r="AT1734">
        <f>HYPERLINK("http://catalog.hathitrust.org/Record/001083353","HathiTrust Record")</f>
        <v/>
      </c>
      <c r="AU1734">
        <f>HYPERLINK("https://creighton-primo.hosted.exlibrisgroup.com/primo-explore/search?tab=default_tab&amp;search_scope=EVERYTHING&amp;vid=01CRU&amp;lang=en_US&amp;offset=0&amp;query=any,contains,991001318539702656","Catalog Record")</f>
        <v/>
      </c>
      <c r="AV1734">
        <f>HYPERLINK("http://www.worldcat.org/oclc/18192435","WorldCat Record")</f>
        <v/>
      </c>
      <c r="AW1734" t="inlineStr">
        <is>
          <t>17116164:eng</t>
        </is>
      </c>
      <c r="AX1734" t="inlineStr">
        <is>
          <t>18192435</t>
        </is>
      </c>
      <c r="AY1734" t="inlineStr">
        <is>
          <t>991001318539702656</t>
        </is>
      </c>
      <c r="AZ1734" t="inlineStr">
        <is>
          <t>991001318539702656</t>
        </is>
      </c>
      <c r="BA1734" t="inlineStr">
        <is>
          <t>2269490200002656</t>
        </is>
      </c>
      <c r="BB1734" t="inlineStr">
        <is>
          <t>BOOK</t>
        </is>
      </c>
      <c r="BD1734" t="inlineStr">
        <is>
          <t>9780404614744</t>
        </is>
      </c>
      <c r="BE1734" t="inlineStr">
        <is>
          <t>32285000464403</t>
        </is>
      </c>
      <c r="BF1734" t="inlineStr">
        <is>
          <t>893891492</t>
        </is>
      </c>
    </row>
    <row r="1735">
      <c r="A1735" t="inlineStr">
        <is>
          <t>No</t>
        </is>
      </c>
      <c r="B1735" t="inlineStr">
        <is>
          <t>CURAL</t>
        </is>
      </c>
      <c r="C1735" t="inlineStr">
        <is>
          <t>SHELVES</t>
        </is>
      </c>
      <c r="D1735" t="inlineStr">
        <is>
          <t>PR448.S3 T5 1967</t>
        </is>
      </c>
      <c r="E1735" t="inlineStr">
        <is>
          <t>0                      PR 0448000S  3                  T  5           1967</t>
        </is>
      </c>
      <c r="F1735" t="inlineStr">
        <is>
          <t>The salon and English letters : chapters on the interrelations of literature and society in the age of Johnson.</t>
        </is>
      </c>
      <c r="H1735" t="inlineStr">
        <is>
          <t>No</t>
        </is>
      </c>
      <c r="I1735" t="inlineStr">
        <is>
          <t>1</t>
        </is>
      </c>
      <c r="J1735" t="inlineStr">
        <is>
          <t>No</t>
        </is>
      </c>
      <c r="K1735" t="inlineStr">
        <is>
          <t>No</t>
        </is>
      </c>
      <c r="L1735" t="inlineStr">
        <is>
          <t>0</t>
        </is>
      </c>
      <c r="M1735" t="inlineStr">
        <is>
          <t>Tinker, Chauncey Brewster, 1876-1963.</t>
        </is>
      </c>
      <c r="N1735" t="inlineStr">
        <is>
          <t>New York, Gordian Press, 1967.</t>
        </is>
      </c>
      <c r="O1735" t="inlineStr">
        <is>
          <t>1967</t>
        </is>
      </c>
      <c r="Q1735" t="inlineStr">
        <is>
          <t>eng</t>
        </is>
      </c>
      <c r="R1735" t="inlineStr">
        <is>
          <t>nyu</t>
        </is>
      </c>
      <c r="T1735" t="inlineStr">
        <is>
          <t xml:space="preserve">PR </t>
        </is>
      </c>
      <c r="U1735" t="n">
        <v>1</v>
      </c>
      <c r="V1735" t="n">
        <v>1</v>
      </c>
      <c r="W1735" t="inlineStr">
        <is>
          <t>2001-02-19</t>
        </is>
      </c>
      <c r="X1735" t="inlineStr">
        <is>
          <t>2001-02-19</t>
        </is>
      </c>
      <c r="Y1735" t="inlineStr">
        <is>
          <t>1998-03-31</t>
        </is>
      </c>
      <c r="Z1735" t="inlineStr">
        <is>
          <t>1998-03-31</t>
        </is>
      </c>
      <c r="AA1735" t="n">
        <v>300</v>
      </c>
      <c r="AB1735" t="n">
        <v>273</v>
      </c>
      <c r="AC1735" t="n">
        <v>553</v>
      </c>
      <c r="AD1735" t="n">
        <v>4</v>
      </c>
      <c r="AE1735" t="n">
        <v>5</v>
      </c>
      <c r="AF1735" t="n">
        <v>15</v>
      </c>
      <c r="AG1735" t="n">
        <v>31</v>
      </c>
      <c r="AH1735" t="n">
        <v>5</v>
      </c>
      <c r="AI1735" t="n">
        <v>9</v>
      </c>
      <c r="AJ1735" t="n">
        <v>2</v>
      </c>
      <c r="AK1735" t="n">
        <v>6</v>
      </c>
      <c r="AL1735" t="n">
        <v>7</v>
      </c>
      <c r="AM1735" t="n">
        <v>19</v>
      </c>
      <c r="AN1735" t="n">
        <v>3</v>
      </c>
      <c r="AO1735" t="n">
        <v>4</v>
      </c>
      <c r="AP1735" t="n">
        <v>0</v>
      </c>
      <c r="AQ1735" t="n">
        <v>0</v>
      </c>
      <c r="AR1735" t="inlineStr">
        <is>
          <t>No</t>
        </is>
      </c>
      <c r="AS1735" t="inlineStr">
        <is>
          <t>Yes</t>
        </is>
      </c>
      <c r="AT1735">
        <f>HYPERLINK("http://catalog.hathitrust.org/Record/004430082","HathiTrust Record")</f>
        <v/>
      </c>
      <c r="AU1735">
        <f>HYPERLINK("https://creighton-primo.hosted.exlibrisgroup.com/primo-explore/search?tab=default_tab&amp;search_scope=EVERYTHING&amp;vid=01CRU&amp;lang=en_US&amp;offset=0&amp;query=any,contains,991001063029702656","Catalog Record")</f>
        <v/>
      </c>
      <c r="AV1735">
        <f>HYPERLINK("http://www.worldcat.org/oclc/178153","WorldCat Record")</f>
        <v/>
      </c>
      <c r="AW1735" t="inlineStr">
        <is>
          <t>1315992:eng</t>
        </is>
      </c>
      <c r="AX1735" t="inlineStr">
        <is>
          <t>178153</t>
        </is>
      </c>
      <c r="AY1735" t="inlineStr">
        <is>
          <t>991001063029702656</t>
        </is>
      </c>
      <c r="AZ1735" t="inlineStr">
        <is>
          <t>991001063029702656</t>
        </is>
      </c>
      <c r="BA1735" t="inlineStr">
        <is>
          <t>2264555140002656</t>
        </is>
      </c>
      <c r="BB1735" t="inlineStr">
        <is>
          <t>BOOK</t>
        </is>
      </c>
      <c r="BE1735" t="inlineStr">
        <is>
          <t>32285003372512</t>
        </is>
      </c>
      <c r="BF1735" t="inlineStr">
        <is>
          <t>893407799</t>
        </is>
      </c>
    </row>
    <row r="1736">
      <c r="A1736" t="inlineStr">
        <is>
          <t>No</t>
        </is>
      </c>
      <c r="B1736" t="inlineStr">
        <is>
          <t>CURAL</t>
        </is>
      </c>
      <c r="C1736" t="inlineStr">
        <is>
          <t>SHELVES</t>
        </is>
      </c>
      <c r="D1736" t="inlineStr">
        <is>
          <t>PR448.S4 B7</t>
        </is>
      </c>
      <c r="E1736" t="inlineStr">
        <is>
          <t>0                      PR 0448000S  4                  B  7</t>
        </is>
      </c>
      <c r="F1736" t="inlineStr">
        <is>
          <t>The natural history of sensibility.</t>
        </is>
      </c>
      <c r="H1736" t="inlineStr">
        <is>
          <t>No</t>
        </is>
      </c>
      <c r="I1736" t="inlineStr">
        <is>
          <t>1</t>
        </is>
      </c>
      <c r="J1736" t="inlineStr">
        <is>
          <t>No</t>
        </is>
      </c>
      <c r="K1736" t="inlineStr">
        <is>
          <t>No</t>
        </is>
      </c>
      <c r="L1736" t="inlineStr">
        <is>
          <t>0</t>
        </is>
      </c>
      <c r="M1736" t="inlineStr">
        <is>
          <t>Bredvold, Louis I. (Louis Ignatius), 1888-1977.</t>
        </is>
      </c>
      <c r="N1736" t="inlineStr">
        <is>
          <t>Detroit, Wayne State University Press, 1962.</t>
        </is>
      </c>
      <c r="O1736" t="inlineStr">
        <is>
          <t>1962</t>
        </is>
      </c>
      <c r="Q1736" t="inlineStr">
        <is>
          <t>eng</t>
        </is>
      </c>
      <c r="R1736" t="inlineStr">
        <is>
          <t>miu</t>
        </is>
      </c>
      <c r="T1736" t="inlineStr">
        <is>
          <t xml:space="preserve">PR </t>
        </is>
      </c>
      <c r="U1736" t="n">
        <v>2</v>
      </c>
      <c r="V1736" t="n">
        <v>2</v>
      </c>
      <c r="W1736" t="inlineStr">
        <is>
          <t>2003-10-03</t>
        </is>
      </c>
      <c r="X1736" t="inlineStr">
        <is>
          <t>2003-10-03</t>
        </is>
      </c>
      <c r="Y1736" t="inlineStr">
        <is>
          <t>1997-08-21</t>
        </is>
      </c>
      <c r="Z1736" t="inlineStr">
        <is>
          <t>1997-08-21</t>
        </is>
      </c>
      <c r="AA1736" t="n">
        <v>681</v>
      </c>
      <c r="AB1736" t="n">
        <v>596</v>
      </c>
      <c r="AC1736" t="n">
        <v>601</v>
      </c>
      <c r="AD1736" t="n">
        <v>5</v>
      </c>
      <c r="AE1736" t="n">
        <v>5</v>
      </c>
      <c r="AF1736" t="n">
        <v>30</v>
      </c>
      <c r="AG1736" t="n">
        <v>30</v>
      </c>
      <c r="AH1736" t="n">
        <v>9</v>
      </c>
      <c r="AI1736" t="n">
        <v>9</v>
      </c>
      <c r="AJ1736" t="n">
        <v>7</v>
      </c>
      <c r="AK1736" t="n">
        <v>7</v>
      </c>
      <c r="AL1736" t="n">
        <v>19</v>
      </c>
      <c r="AM1736" t="n">
        <v>19</v>
      </c>
      <c r="AN1736" t="n">
        <v>4</v>
      </c>
      <c r="AO1736" t="n">
        <v>4</v>
      </c>
      <c r="AP1736" t="n">
        <v>0</v>
      </c>
      <c r="AQ1736" t="n">
        <v>0</v>
      </c>
      <c r="AR1736" t="inlineStr">
        <is>
          <t>No</t>
        </is>
      </c>
      <c r="AS1736" t="inlineStr">
        <is>
          <t>No</t>
        </is>
      </c>
      <c r="AT1736">
        <f>HYPERLINK("http://catalog.hathitrust.org/Record/001370675","HathiTrust Record")</f>
        <v/>
      </c>
      <c r="AU1736">
        <f>HYPERLINK("https://creighton-primo.hosted.exlibrisgroup.com/primo-explore/search?tab=default_tab&amp;search_scope=EVERYTHING&amp;vid=01CRU&amp;lang=en_US&amp;offset=0&amp;query=any,contains,991002439679702656","Catalog Record")</f>
        <v/>
      </c>
      <c r="AV1736">
        <f>HYPERLINK("http://www.worldcat.org/oclc/349766","WorldCat Record")</f>
        <v/>
      </c>
      <c r="AW1736" t="inlineStr">
        <is>
          <t>1510515:eng</t>
        </is>
      </c>
      <c r="AX1736" t="inlineStr">
        <is>
          <t>349766</t>
        </is>
      </c>
      <c r="AY1736" t="inlineStr">
        <is>
          <t>991002439679702656</t>
        </is>
      </c>
      <c r="AZ1736" t="inlineStr">
        <is>
          <t>991002439679702656</t>
        </is>
      </c>
      <c r="BA1736" t="inlineStr">
        <is>
          <t>2267161130002656</t>
        </is>
      </c>
      <c r="BB1736" t="inlineStr">
        <is>
          <t>BOOK</t>
        </is>
      </c>
      <c r="BE1736" t="inlineStr">
        <is>
          <t>32285003151940</t>
        </is>
      </c>
      <c r="BF1736" t="inlineStr">
        <is>
          <t>893873523</t>
        </is>
      </c>
    </row>
    <row r="1737">
      <c r="A1737" t="inlineStr">
        <is>
          <t>No</t>
        </is>
      </c>
      <c r="B1737" t="inlineStr">
        <is>
          <t>CURAL</t>
        </is>
      </c>
      <c r="C1737" t="inlineStr">
        <is>
          <t>SHELVES</t>
        </is>
      </c>
      <c r="D1737" t="inlineStr">
        <is>
          <t>PR448.S55 C37 2005</t>
        </is>
      </c>
      <c r="E1737" t="inlineStr">
        <is>
          <t>0                      PR 0448000S  55                 C  37          2005</t>
        </is>
      </c>
      <c r="F1737" t="inlineStr">
        <is>
          <t>British abolitionism and the rhetoric of sensibility : writing, sentiment, and slavery, 1760-1807 / Brycchan Carey.</t>
        </is>
      </c>
      <c r="H1737" t="inlineStr">
        <is>
          <t>No</t>
        </is>
      </c>
      <c r="I1737" t="inlineStr">
        <is>
          <t>1</t>
        </is>
      </c>
      <c r="J1737" t="inlineStr">
        <is>
          <t>No</t>
        </is>
      </c>
      <c r="K1737" t="inlineStr">
        <is>
          <t>No</t>
        </is>
      </c>
      <c r="L1737" t="inlineStr">
        <is>
          <t>0</t>
        </is>
      </c>
      <c r="M1737" t="inlineStr">
        <is>
          <t>Carey, Brycchan, 1967-</t>
        </is>
      </c>
      <c r="N1737" t="inlineStr">
        <is>
          <t>Basingstoke [England] ; New York : Palgrave MacMillan, 2005.</t>
        </is>
      </c>
      <c r="O1737" t="inlineStr">
        <is>
          <t>2005</t>
        </is>
      </c>
      <c r="Q1737" t="inlineStr">
        <is>
          <t>eng</t>
        </is>
      </c>
      <c r="R1737" t="inlineStr">
        <is>
          <t>enk</t>
        </is>
      </c>
      <c r="S1737" t="inlineStr">
        <is>
          <t>Palgrave studies in the Enlightenment, romanticism and cultures of print</t>
        </is>
      </c>
      <c r="T1737" t="inlineStr">
        <is>
          <t xml:space="preserve">PR </t>
        </is>
      </c>
      <c r="U1737" t="n">
        <v>2</v>
      </c>
      <c r="V1737" t="n">
        <v>2</v>
      </c>
      <c r="W1737" t="inlineStr">
        <is>
          <t>2010-08-09</t>
        </is>
      </c>
      <c r="X1737" t="inlineStr">
        <is>
          <t>2010-08-09</t>
        </is>
      </c>
      <c r="Y1737" t="inlineStr">
        <is>
          <t>2005-12-13</t>
        </is>
      </c>
      <c r="Z1737" t="inlineStr">
        <is>
          <t>2005-12-13</t>
        </is>
      </c>
      <c r="AA1737" t="n">
        <v>293</v>
      </c>
      <c r="AB1737" t="n">
        <v>209</v>
      </c>
      <c r="AC1737" t="n">
        <v>240</v>
      </c>
      <c r="AD1737" t="n">
        <v>1</v>
      </c>
      <c r="AE1737" t="n">
        <v>2</v>
      </c>
      <c r="AF1737" t="n">
        <v>12</v>
      </c>
      <c r="AG1737" t="n">
        <v>15</v>
      </c>
      <c r="AH1737" t="n">
        <v>5</v>
      </c>
      <c r="AI1737" t="n">
        <v>7</v>
      </c>
      <c r="AJ1737" t="n">
        <v>4</v>
      </c>
      <c r="AK1737" t="n">
        <v>4</v>
      </c>
      <c r="AL1737" t="n">
        <v>6</v>
      </c>
      <c r="AM1737" t="n">
        <v>8</v>
      </c>
      <c r="AN1737" t="n">
        <v>0</v>
      </c>
      <c r="AO1737" t="n">
        <v>1</v>
      </c>
      <c r="AP1737" t="n">
        <v>0</v>
      </c>
      <c r="AQ1737" t="n">
        <v>0</v>
      </c>
      <c r="AR1737" t="inlineStr">
        <is>
          <t>No</t>
        </is>
      </c>
      <c r="AS1737" t="inlineStr">
        <is>
          <t>No</t>
        </is>
      </c>
      <c r="AU1737">
        <f>HYPERLINK("https://creighton-primo.hosted.exlibrisgroup.com/primo-explore/search?tab=default_tab&amp;search_scope=EVERYTHING&amp;vid=01CRU&amp;lang=en_US&amp;offset=0&amp;query=any,contains,991004689829702656","Catalog Record")</f>
        <v/>
      </c>
      <c r="AV1737">
        <f>HYPERLINK("http://www.worldcat.org/oclc/58721077","WorldCat Record")</f>
        <v/>
      </c>
      <c r="AW1737" t="inlineStr">
        <is>
          <t>795516929:eng</t>
        </is>
      </c>
      <c r="AX1737" t="inlineStr">
        <is>
          <t>58721077</t>
        </is>
      </c>
      <c r="AY1737" t="inlineStr">
        <is>
          <t>991004689829702656</t>
        </is>
      </c>
      <c r="AZ1737" t="inlineStr">
        <is>
          <t>991004689829702656</t>
        </is>
      </c>
      <c r="BA1737" t="inlineStr">
        <is>
          <t>2266916740002656</t>
        </is>
      </c>
      <c r="BB1737" t="inlineStr">
        <is>
          <t>BOOK</t>
        </is>
      </c>
      <c r="BD1737" t="inlineStr">
        <is>
          <t>9781403946263</t>
        </is>
      </c>
      <c r="BE1737" t="inlineStr">
        <is>
          <t>32285005152136</t>
        </is>
      </c>
      <c r="BF1737" t="inlineStr">
        <is>
          <t>893436601</t>
        </is>
      </c>
    </row>
    <row r="1738">
      <c r="A1738" t="inlineStr">
        <is>
          <t>No</t>
        </is>
      </c>
      <c r="B1738" t="inlineStr">
        <is>
          <t>CURAL</t>
        </is>
      </c>
      <c r="C1738" t="inlineStr">
        <is>
          <t>SHELVES</t>
        </is>
      </c>
      <c r="D1738" t="inlineStr">
        <is>
          <t>PR448.S64 B76 1993</t>
        </is>
      </c>
      <c r="E1738" t="inlineStr">
        <is>
          <t>0                      PR 0448000S  64                 B  76          1993</t>
        </is>
      </c>
      <c r="F1738" t="inlineStr">
        <is>
          <t>Ends of empire : women and ideology in early eighteenth-century English literature / Laura Brown.</t>
        </is>
      </c>
      <c r="H1738" t="inlineStr">
        <is>
          <t>No</t>
        </is>
      </c>
      <c r="I1738" t="inlineStr">
        <is>
          <t>1</t>
        </is>
      </c>
      <c r="J1738" t="inlineStr">
        <is>
          <t>No</t>
        </is>
      </c>
      <c r="K1738" t="inlineStr">
        <is>
          <t>No</t>
        </is>
      </c>
      <c r="L1738" t="inlineStr">
        <is>
          <t>0</t>
        </is>
      </c>
      <c r="M1738" t="inlineStr">
        <is>
          <t>Brown, Laura, 1949-</t>
        </is>
      </c>
      <c r="N1738" t="inlineStr">
        <is>
          <t>Ithaca : Cornell University Press, 1993.</t>
        </is>
      </c>
      <c r="O1738" t="inlineStr">
        <is>
          <t>1993</t>
        </is>
      </c>
      <c r="Q1738" t="inlineStr">
        <is>
          <t>eng</t>
        </is>
      </c>
      <c r="R1738" t="inlineStr">
        <is>
          <t>nyu</t>
        </is>
      </c>
      <c r="T1738" t="inlineStr">
        <is>
          <t xml:space="preserve">PR </t>
        </is>
      </c>
      <c r="U1738" t="n">
        <v>2</v>
      </c>
      <c r="V1738" t="n">
        <v>2</v>
      </c>
      <c r="W1738" t="inlineStr">
        <is>
          <t>2005-09-14</t>
        </is>
      </c>
      <c r="X1738" t="inlineStr">
        <is>
          <t>2005-09-14</t>
        </is>
      </c>
      <c r="Y1738" t="inlineStr">
        <is>
          <t>2003-09-15</t>
        </is>
      </c>
      <c r="Z1738" t="inlineStr">
        <is>
          <t>2003-09-15</t>
        </is>
      </c>
      <c r="AA1738" t="n">
        <v>558</v>
      </c>
      <c r="AB1738" t="n">
        <v>423</v>
      </c>
      <c r="AC1738" t="n">
        <v>423</v>
      </c>
      <c r="AD1738" t="n">
        <v>4</v>
      </c>
      <c r="AE1738" t="n">
        <v>4</v>
      </c>
      <c r="AF1738" t="n">
        <v>24</v>
      </c>
      <c r="AG1738" t="n">
        <v>24</v>
      </c>
      <c r="AH1738" t="n">
        <v>8</v>
      </c>
      <c r="AI1738" t="n">
        <v>8</v>
      </c>
      <c r="AJ1738" t="n">
        <v>7</v>
      </c>
      <c r="AK1738" t="n">
        <v>7</v>
      </c>
      <c r="AL1738" t="n">
        <v>12</v>
      </c>
      <c r="AM1738" t="n">
        <v>12</v>
      </c>
      <c r="AN1738" t="n">
        <v>3</v>
      </c>
      <c r="AO1738" t="n">
        <v>3</v>
      </c>
      <c r="AP1738" t="n">
        <v>0</v>
      </c>
      <c r="AQ1738" t="n">
        <v>0</v>
      </c>
      <c r="AR1738" t="inlineStr">
        <is>
          <t>No</t>
        </is>
      </c>
      <c r="AS1738" t="inlineStr">
        <is>
          <t>No</t>
        </is>
      </c>
      <c r="AU1738">
        <f>HYPERLINK("https://creighton-primo.hosted.exlibrisgroup.com/primo-explore/search?tab=default_tab&amp;search_scope=EVERYTHING&amp;vid=01CRU&amp;lang=en_US&amp;offset=0&amp;query=any,contains,991004123479702656","Catalog Record")</f>
        <v/>
      </c>
      <c r="AV1738">
        <f>HYPERLINK("http://www.worldcat.org/oclc/26799997","WorldCat Record")</f>
        <v/>
      </c>
      <c r="AW1738" t="inlineStr">
        <is>
          <t>836842150:eng</t>
        </is>
      </c>
      <c r="AX1738" t="inlineStr">
        <is>
          <t>26799997</t>
        </is>
      </c>
      <c r="AY1738" t="inlineStr">
        <is>
          <t>991004123479702656</t>
        </is>
      </c>
      <c r="AZ1738" t="inlineStr">
        <is>
          <t>991004123479702656</t>
        </is>
      </c>
      <c r="BA1738" t="inlineStr">
        <is>
          <t>2255151900002656</t>
        </is>
      </c>
      <c r="BB1738" t="inlineStr">
        <is>
          <t>BOOK</t>
        </is>
      </c>
      <c r="BD1738" t="inlineStr">
        <is>
          <t>9780801428500</t>
        </is>
      </c>
      <c r="BE1738" t="inlineStr">
        <is>
          <t>32285004782909</t>
        </is>
      </c>
      <c r="BF1738" t="inlineStr">
        <is>
          <t>893781872</t>
        </is>
      </c>
    </row>
    <row r="1739">
      <c r="A1739" t="inlineStr">
        <is>
          <t>No</t>
        </is>
      </c>
      <c r="B1739" t="inlineStr">
        <is>
          <t>CURAL</t>
        </is>
      </c>
      <c r="C1739" t="inlineStr">
        <is>
          <t>SHELVES</t>
        </is>
      </c>
      <c r="D1739" t="inlineStr">
        <is>
          <t>PR448.S64 R66 2002</t>
        </is>
      </c>
      <c r="E1739" t="inlineStr">
        <is>
          <t>0                      PR 0448000S  64                 R  66          2002</t>
        </is>
      </c>
      <c r="F1739" t="inlineStr">
        <is>
          <t>Romantic sociability : social networks and literary culture in Britain, 1770-1840 / edited by Gillian Russell and Clara Tuite.</t>
        </is>
      </c>
      <c r="H1739" t="inlineStr">
        <is>
          <t>No</t>
        </is>
      </c>
      <c r="I1739" t="inlineStr">
        <is>
          <t>1</t>
        </is>
      </c>
      <c r="J1739" t="inlineStr">
        <is>
          <t>No</t>
        </is>
      </c>
      <c r="K1739" t="inlineStr">
        <is>
          <t>No</t>
        </is>
      </c>
      <c r="L1739" t="inlineStr">
        <is>
          <t>0</t>
        </is>
      </c>
      <c r="N1739" t="inlineStr">
        <is>
          <t>Cambridge, U.K. ; New York : Cambridge University Press, 2002.</t>
        </is>
      </c>
      <c r="O1739" t="inlineStr">
        <is>
          <t>2002</t>
        </is>
      </c>
      <c r="Q1739" t="inlineStr">
        <is>
          <t>eng</t>
        </is>
      </c>
      <c r="R1739" t="inlineStr">
        <is>
          <t>enk</t>
        </is>
      </c>
      <c r="T1739" t="inlineStr">
        <is>
          <t xml:space="preserve">PR </t>
        </is>
      </c>
      <c r="U1739" t="n">
        <v>1</v>
      </c>
      <c r="V1739" t="n">
        <v>1</v>
      </c>
      <c r="W1739" t="inlineStr">
        <is>
          <t>2003-03-06</t>
        </is>
      </c>
      <c r="X1739" t="inlineStr">
        <is>
          <t>2003-03-06</t>
        </is>
      </c>
      <c r="Y1739" t="inlineStr">
        <is>
          <t>2003-03-06</t>
        </is>
      </c>
      <c r="Z1739" t="inlineStr">
        <is>
          <t>2003-03-06</t>
        </is>
      </c>
      <c r="AA1739" t="n">
        <v>401</v>
      </c>
      <c r="AB1739" t="n">
        <v>285</v>
      </c>
      <c r="AC1739" t="n">
        <v>290</v>
      </c>
      <c r="AD1739" t="n">
        <v>3</v>
      </c>
      <c r="AE1739" t="n">
        <v>3</v>
      </c>
      <c r="AF1739" t="n">
        <v>16</v>
      </c>
      <c r="AG1739" t="n">
        <v>16</v>
      </c>
      <c r="AH1739" t="n">
        <v>6</v>
      </c>
      <c r="AI1739" t="n">
        <v>6</v>
      </c>
      <c r="AJ1739" t="n">
        <v>5</v>
      </c>
      <c r="AK1739" t="n">
        <v>5</v>
      </c>
      <c r="AL1739" t="n">
        <v>8</v>
      </c>
      <c r="AM1739" t="n">
        <v>8</v>
      </c>
      <c r="AN1739" t="n">
        <v>2</v>
      </c>
      <c r="AO1739" t="n">
        <v>2</v>
      </c>
      <c r="AP1739" t="n">
        <v>0</v>
      </c>
      <c r="AQ1739" t="n">
        <v>0</v>
      </c>
      <c r="AR1739" t="inlineStr">
        <is>
          <t>No</t>
        </is>
      </c>
      <c r="AS1739" t="inlineStr">
        <is>
          <t>No</t>
        </is>
      </c>
      <c r="AU1739">
        <f>HYPERLINK("https://creighton-primo.hosted.exlibrisgroup.com/primo-explore/search?tab=default_tab&amp;search_scope=EVERYTHING&amp;vid=01CRU&amp;lang=en_US&amp;offset=0&amp;query=any,contains,991003981639702656","Catalog Record")</f>
        <v/>
      </c>
      <c r="AV1739">
        <f>HYPERLINK("http://www.worldcat.org/oclc/48083817","WorldCat Record")</f>
        <v/>
      </c>
      <c r="AW1739" t="inlineStr">
        <is>
          <t>837080072:eng</t>
        </is>
      </c>
      <c r="AX1739" t="inlineStr">
        <is>
          <t>48083817</t>
        </is>
      </c>
      <c r="AY1739" t="inlineStr">
        <is>
          <t>991003981639702656</t>
        </is>
      </c>
      <c r="AZ1739" t="inlineStr">
        <is>
          <t>991003981639702656</t>
        </is>
      </c>
      <c r="BA1739" t="inlineStr">
        <is>
          <t>2264098990002656</t>
        </is>
      </c>
      <c r="BB1739" t="inlineStr">
        <is>
          <t>BOOK</t>
        </is>
      </c>
      <c r="BD1739" t="inlineStr">
        <is>
          <t>9780521770682</t>
        </is>
      </c>
      <c r="BE1739" t="inlineStr">
        <is>
          <t>32285004682968</t>
        </is>
      </c>
      <c r="BF1739" t="inlineStr">
        <is>
          <t>893525493</t>
        </is>
      </c>
    </row>
    <row r="1740">
      <c r="A1740" t="inlineStr">
        <is>
          <t>No</t>
        </is>
      </c>
      <c r="B1740" t="inlineStr">
        <is>
          <t>CURAL</t>
        </is>
      </c>
      <c r="C1740" t="inlineStr">
        <is>
          <t>SHELVES</t>
        </is>
      </c>
      <c r="D1740" t="inlineStr">
        <is>
          <t>PR448.S64 S57 1998</t>
        </is>
      </c>
      <c r="E1740" t="inlineStr">
        <is>
          <t>0                      PR 0448000S  64                 S  57          1998</t>
        </is>
      </c>
      <c r="F1740" t="inlineStr">
        <is>
          <t>The work of writing : literature and social change in Britain, 1700-1830 / Clifford Siskin.</t>
        </is>
      </c>
      <c r="H1740" t="inlineStr">
        <is>
          <t>No</t>
        </is>
      </c>
      <c r="I1740" t="inlineStr">
        <is>
          <t>1</t>
        </is>
      </c>
      <c r="J1740" t="inlineStr">
        <is>
          <t>No</t>
        </is>
      </c>
      <c r="K1740" t="inlineStr">
        <is>
          <t>No</t>
        </is>
      </c>
      <c r="L1740" t="inlineStr">
        <is>
          <t>0</t>
        </is>
      </c>
      <c r="M1740" t="inlineStr">
        <is>
          <t>Siskin, Clifford.</t>
        </is>
      </c>
      <c r="N1740" t="inlineStr">
        <is>
          <t>Baltimore : Johns Hopkins University Press, c1998.</t>
        </is>
      </c>
      <c r="O1740" t="inlineStr">
        <is>
          <t>1998</t>
        </is>
      </c>
      <c r="Q1740" t="inlineStr">
        <is>
          <t>eng</t>
        </is>
      </c>
      <c r="R1740" t="inlineStr">
        <is>
          <t>mdu</t>
        </is>
      </c>
      <c r="T1740" t="inlineStr">
        <is>
          <t xml:space="preserve">PR </t>
        </is>
      </c>
      <c r="U1740" t="n">
        <v>1</v>
      </c>
      <c r="V1740" t="n">
        <v>1</v>
      </c>
      <c r="W1740" t="inlineStr">
        <is>
          <t>2006-09-26</t>
        </is>
      </c>
      <c r="X1740" t="inlineStr">
        <is>
          <t>2006-09-26</t>
        </is>
      </c>
      <c r="Y1740" t="inlineStr">
        <is>
          <t>2006-09-26</t>
        </is>
      </c>
      <c r="Z1740" t="inlineStr">
        <is>
          <t>2006-09-26</t>
        </is>
      </c>
      <c r="AA1740" t="n">
        <v>502</v>
      </c>
      <c r="AB1740" t="n">
        <v>399</v>
      </c>
      <c r="AC1740" t="n">
        <v>410</v>
      </c>
      <c r="AD1740" t="n">
        <v>3</v>
      </c>
      <c r="AE1740" t="n">
        <v>3</v>
      </c>
      <c r="AF1740" t="n">
        <v>26</v>
      </c>
      <c r="AG1740" t="n">
        <v>27</v>
      </c>
      <c r="AH1740" t="n">
        <v>11</v>
      </c>
      <c r="AI1740" t="n">
        <v>12</v>
      </c>
      <c r="AJ1740" t="n">
        <v>6</v>
      </c>
      <c r="AK1740" t="n">
        <v>6</v>
      </c>
      <c r="AL1740" t="n">
        <v>13</v>
      </c>
      <c r="AM1740" t="n">
        <v>13</v>
      </c>
      <c r="AN1740" t="n">
        <v>2</v>
      </c>
      <c r="AO1740" t="n">
        <v>2</v>
      </c>
      <c r="AP1740" t="n">
        <v>0</v>
      </c>
      <c r="AQ1740" t="n">
        <v>0</v>
      </c>
      <c r="AR1740" t="inlineStr">
        <is>
          <t>No</t>
        </is>
      </c>
      <c r="AS1740" t="inlineStr">
        <is>
          <t>Yes</t>
        </is>
      </c>
      <c r="AT1740">
        <f>HYPERLINK("http://catalog.hathitrust.org/Record/003956909","HathiTrust Record")</f>
        <v/>
      </c>
      <c r="AU1740">
        <f>HYPERLINK("https://creighton-primo.hosted.exlibrisgroup.com/primo-explore/search?tab=default_tab&amp;search_scope=EVERYTHING&amp;vid=01CRU&amp;lang=en_US&amp;offset=0&amp;query=any,contains,991004930269702656","Catalog Record")</f>
        <v/>
      </c>
      <c r="AV1740">
        <f>HYPERLINK("http://www.worldcat.org/oclc/36942536","WorldCat Record")</f>
        <v/>
      </c>
      <c r="AW1740" t="inlineStr">
        <is>
          <t>836945087:eng</t>
        </is>
      </c>
      <c r="AX1740" t="inlineStr">
        <is>
          <t>36942536</t>
        </is>
      </c>
      <c r="AY1740" t="inlineStr">
        <is>
          <t>991004930269702656</t>
        </is>
      </c>
      <c r="AZ1740" t="inlineStr">
        <is>
          <t>991004930269702656</t>
        </is>
      </c>
      <c r="BA1740" t="inlineStr">
        <is>
          <t>2270308270002656</t>
        </is>
      </c>
      <c r="BB1740" t="inlineStr">
        <is>
          <t>BOOK</t>
        </is>
      </c>
      <c r="BD1740" t="inlineStr">
        <is>
          <t>9780801856969</t>
        </is>
      </c>
      <c r="BE1740" t="inlineStr">
        <is>
          <t>32285005224869</t>
        </is>
      </c>
      <c r="BF1740" t="inlineStr">
        <is>
          <t>893319779</t>
        </is>
      </c>
    </row>
    <row r="1741">
      <c r="A1741" t="inlineStr">
        <is>
          <t>No</t>
        </is>
      </c>
      <c r="B1741" t="inlineStr">
        <is>
          <t>CURAL</t>
        </is>
      </c>
      <c r="C1741" t="inlineStr">
        <is>
          <t>SHELVES</t>
        </is>
      </c>
      <c r="D1741" t="inlineStr">
        <is>
          <t>PR448.S72 M35 1986</t>
        </is>
      </c>
      <c r="E1741" t="inlineStr">
        <is>
          <t>0                      PR 0448000S  72                 M  35          1986</t>
        </is>
      </c>
      <c r="F1741" t="inlineStr">
        <is>
          <t>Common and courtly language : the stylistics of social class in 18th-century English literature / Carey McIntosh.</t>
        </is>
      </c>
      <c r="H1741" t="inlineStr">
        <is>
          <t>No</t>
        </is>
      </c>
      <c r="I1741" t="inlineStr">
        <is>
          <t>1</t>
        </is>
      </c>
      <c r="J1741" t="inlineStr">
        <is>
          <t>No</t>
        </is>
      </c>
      <c r="K1741" t="inlineStr">
        <is>
          <t>No</t>
        </is>
      </c>
      <c r="L1741" t="inlineStr">
        <is>
          <t>0</t>
        </is>
      </c>
      <c r="M1741" t="inlineStr">
        <is>
          <t>McIntosh, Carey.</t>
        </is>
      </c>
      <c r="N1741" t="inlineStr">
        <is>
          <t>Philadelphia : University of Pennsylvania Press, c1986.</t>
        </is>
      </c>
      <c r="O1741" t="inlineStr">
        <is>
          <t>1986</t>
        </is>
      </c>
      <c r="Q1741" t="inlineStr">
        <is>
          <t>eng</t>
        </is>
      </c>
      <c r="R1741" t="inlineStr">
        <is>
          <t>pau</t>
        </is>
      </c>
      <c r="T1741" t="inlineStr">
        <is>
          <t xml:space="preserve">PR </t>
        </is>
      </c>
      <c r="U1741" t="n">
        <v>1</v>
      </c>
      <c r="V1741" t="n">
        <v>1</v>
      </c>
      <c r="W1741" t="inlineStr">
        <is>
          <t>2002-02-04</t>
        </is>
      </c>
      <c r="X1741" t="inlineStr">
        <is>
          <t>2002-02-04</t>
        </is>
      </c>
      <c r="Y1741" t="inlineStr">
        <is>
          <t>1991-08-29</t>
        </is>
      </c>
      <c r="Z1741" t="inlineStr">
        <is>
          <t>1991-08-29</t>
        </is>
      </c>
      <c r="AA1741" t="n">
        <v>421</v>
      </c>
      <c r="AB1741" t="n">
        <v>353</v>
      </c>
      <c r="AC1741" t="n">
        <v>373</v>
      </c>
      <c r="AD1741" t="n">
        <v>3</v>
      </c>
      <c r="AE1741" t="n">
        <v>3</v>
      </c>
      <c r="AF1741" t="n">
        <v>17</v>
      </c>
      <c r="AG1741" t="n">
        <v>18</v>
      </c>
      <c r="AH1741" t="n">
        <v>5</v>
      </c>
      <c r="AI1741" t="n">
        <v>5</v>
      </c>
      <c r="AJ1741" t="n">
        <v>2</v>
      </c>
      <c r="AK1741" t="n">
        <v>3</v>
      </c>
      <c r="AL1741" t="n">
        <v>11</v>
      </c>
      <c r="AM1741" t="n">
        <v>12</v>
      </c>
      <c r="AN1741" t="n">
        <v>2</v>
      </c>
      <c r="AO1741" t="n">
        <v>2</v>
      </c>
      <c r="AP1741" t="n">
        <v>0</v>
      </c>
      <c r="AQ1741" t="n">
        <v>0</v>
      </c>
      <c r="AR1741" t="inlineStr">
        <is>
          <t>No</t>
        </is>
      </c>
      <c r="AS1741" t="inlineStr">
        <is>
          <t>Yes</t>
        </is>
      </c>
      <c r="AT1741">
        <f>HYPERLINK("http://catalog.hathitrust.org/Record/000439603","HathiTrust Record")</f>
        <v/>
      </c>
      <c r="AU1741">
        <f>HYPERLINK("https://creighton-primo.hosted.exlibrisgroup.com/primo-explore/search?tab=default_tab&amp;search_scope=EVERYTHING&amp;vid=01CRU&amp;lang=en_US&amp;offset=0&amp;query=any,contains,991000687539702656","Catalog Record")</f>
        <v/>
      </c>
      <c r="AV1741">
        <f>HYPERLINK("http://www.worldcat.org/oclc/12421905","WorldCat Record")</f>
        <v/>
      </c>
      <c r="AW1741" t="inlineStr">
        <is>
          <t>289236947:eng</t>
        </is>
      </c>
      <c r="AX1741" t="inlineStr">
        <is>
          <t>12421905</t>
        </is>
      </c>
      <c r="AY1741" t="inlineStr">
        <is>
          <t>991000687539702656</t>
        </is>
      </c>
      <c r="AZ1741" t="inlineStr">
        <is>
          <t>991000687539702656</t>
        </is>
      </c>
      <c r="BA1741" t="inlineStr">
        <is>
          <t>2255829080002656</t>
        </is>
      </c>
      <c r="BB1741" t="inlineStr">
        <is>
          <t>BOOK</t>
        </is>
      </c>
      <c r="BD1741" t="inlineStr">
        <is>
          <t>9780812279986</t>
        </is>
      </c>
      <c r="BE1741" t="inlineStr">
        <is>
          <t>32285000731850</t>
        </is>
      </c>
      <c r="BF1741" t="inlineStr">
        <is>
          <t>893315149</t>
        </is>
      </c>
    </row>
    <row r="1742">
      <c r="A1742" t="inlineStr">
        <is>
          <t>No</t>
        </is>
      </c>
      <c r="B1742" t="inlineStr">
        <is>
          <t>CURAL</t>
        </is>
      </c>
      <c r="C1742" t="inlineStr">
        <is>
          <t>SHELVES</t>
        </is>
      </c>
      <c r="D1742" t="inlineStr">
        <is>
          <t>PR448.W65 G84 2000</t>
        </is>
      </c>
      <c r="E1742" t="inlineStr">
        <is>
          <t>0                      PR 0448000W  65                 G  84          2000</t>
        </is>
      </c>
      <c r="F1742" t="inlineStr">
        <is>
          <t>Small change : women, learning, patriotism, 1750-1810 / Harriet Guest.</t>
        </is>
      </c>
      <c r="H1742" t="inlineStr">
        <is>
          <t>No</t>
        </is>
      </c>
      <c r="I1742" t="inlineStr">
        <is>
          <t>1</t>
        </is>
      </c>
      <c r="J1742" t="inlineStr">
        <is>
          <t>No</t>
        </is>
      </c>
      <c r="K1742" t="inlineStr">
        <is>
          <t>No</t>
        </is>
      </c>
      <c r="L1742" t="inlineStr">
        <is>
          <t>0</t>
        </is>
      </c>
      <c r="M1742" t="inlineStr">
        <is>
          <t>Guest, Harriet.</t>
        </is>
      </c>
      <c r="N1742" t="inlineStr">
        <is>
          <t>Chicago : University of Chicago Press, 2000.</t>
        </is>
      </c>
      <c r="O1742" t="inlineStr">
        <is>
          <t>2000</t>
        </is>
      </c>
      <c r="Q1742" t="inlineStr">
        <is>
          <t>eng</t>
        </is>
      </c>
      <c r="R1742" t="inlineStr">
        <is>
          <t>ilu</t>
        </is>
      </c>
      <c r="T1742" t="inlineStr">
        <is>
          <t xml:space="preserve">PR </t>
        </is>
      </c>
      <c r="U1742" t="n">
        <v>3</v>
      </c>
      <c r="V1742" t="n">
        <v>3</v>
      </c>
      <c r="W1742" t="inlineStr">
        <is>
          <t>2006-01-31</t>
        </is>
      </c>
      <c r="X1742" t="inlineStr">
        <is>
          <t>2006-01-31</t>
        </is>
      </c>
      <c r="Y1742" t="inlineStr">
        <is>
          <t>2001-10-23</t>
        </is>
      </c>
      <c r="Z1742" t="inlineStr">
        <is>
          <t>2001-10-23</t>
        </is>
      </c>
      <c r="AA1742" t="n">
        <v>523</v>
      </c>
      <c r="AB1742" t="n">
        <v>412</v>
      </c>
      <c r="AC1742" t="n">
        <v>417</v>
      </c>
      <c r="AD1742" t="n">
        <v>3</v>
      </c>
      <c r="AE1742" t="n">
        <v>3</v>
      </c>
      <c r="AF1742" t="n">
        <v>26</v>
      </c>
      <c r="AG1742" t="n">
        <v>26</v>
      </c>
      <c r="AH1742" t="n">
        <v>10</v>
      </c>
      <c r="AI1742" t="n">
        <v>10</v>
      </c>
      <c r="AJ1742" t="n">
        <v>9</v>
      </c>
      <c r="AK1742" t="n">
        <v>9</v>
      </c>
      <c r="AL1742" t="n">
        <v>12</v>
      </c>
      <c r="AM1742" t="n">
        <v>12</v>
      </c>
      <c r="AN1742" t="n">
        <v>2</v>
      </c>
      <c r="AO1742" t="n">
        <v>2</v>
      </c>
      <c r="AP1742" t="n">
        <v>0</v>
      </c>
      <c r="AQ1742" t="n">
        <v>0</v>
      </c>
      <c r="AR1742" t="inlineStr">
        <is>
          <t>No</t>
        </is>
      </c>
      <c r="AS1742" t="inlineStr">
        <is>
          <t>No</t>
        </is>
      </c>
      <c r="AU1742">
        <f>HYPERLINK("https://creighton-primo.hosted.exlibrisgroup.com/primo-explore/search?tab=default_tab&amp;search_scope=EVERYTHING&amp;vid=01CRU&amp;lang=en_US&amp;offset=0&amp;query=any,contains,991003642769702656","Catalog Record")</f>
        <v/>
      </c>
      <c r="AV1742">
        <f>HYPERLINK("http://www.worldcat.org/oclc/44046895","WorldCat Record")</f>
        <v/>
      </c>
      <c r="AW1742" t="inlineStr">
        <is>
          <t>340996542:eng</t>
        </is>
      </c>
      <c r="AX1742" t="inlineStr">
        <is>
          <t>44046895</t>
        </is>
      </c>
      <c r="AY1742" t="inlineStr">
        <is>
          <t>991003642769702656</t>
        </is>
      </c>
      <c r="AZ1742" t="inlineStr">
        <is>
          <t>991003642769702656</t>
        </is>
      </c>
      <c r="BA1742" t="inlineStr">
        <is>
          <t>2260439990002656</t>
        </is>
      </c>
      <c r="BB1742" t="inlineStr">
        <is>
          <t>BOOK</t>
        </is>
      </c>
      <c r="BD1742" t="inlineStr">
        <is>
          <t>9780226310510</t>
        </is>
      </c>
      <c r="BE1742" t="inlineStr">
        <is>
          <t>32285004399134</t>
        </is>
      </c>
      <c r="BF1742" t="inlineStr">
        <is>
          <t>893717923</t>
        </is>
      </c>
    </row>
    <row r="1743">
      <c r="A1743" t="inlineStr">
        <is>
          <t>No</t>
        </is>
      </c>
      <c r="B1743" t="inlineStr">
        <is>
          <t>CURAL</t>
        </is>
      </c>
      <c r="C1743" t="inlineStr">
        <is>
          <t>SHELVES</t>
        </is>
      </c>
      <c r="D1743" t="inlineStr">
        <is>
          <t>PR4480.C52 N4</t>
        </is>
      </c>
      <c r="E1743" t="inlineStr">
        <is>
          <t>0                      PR 4480000C  52                 N  4</t>
        </is>
      </c>
      <c r="F1743" t="inlineStr">
        <is>
          <t>The road to Tryermaine : a study of the history, background, and purposes of Coleridge's "Christabel".</t>
        </is>
      </c>
      <c r="H1743" t="inlineStr">
        <is>
          <t>No</t>
        </is>
      </c>
      <c r="I1743" t="inlineStr">
        <is>
          <t>1</t>
        </is>
      </c>
      <c r="J1743" t="inlineStr">
        <is>
          <t>No</t>
        </is>
      </c>
      <c r="K1743" t="inlineStr">
        <is>
          <t>No</t>
        </is>
      </c>
      <c r="L1743" t="inlineStr">
        <is>
          <t>0</t>
        </is>
      </c>
      <c r="M1743" t="inlineStr">
        <is>
          <t>Nethercot, Arthur H. (Arthur Hobart), 1895-1981.</t>
        </is>
      </c>
      <c r="N1743" t="inlineStr">
        <is>
          <t>New York : Russell &amp; Russell, 1962 [c1939]</t>
        </is>
      </c>
      <c r="O1743" t="inlineStr">
        <is>
          <t>1962</t>
        </is>
      </c>
      <c r="Q1743" t="inlineStr">
        <is>
          <t>eng</t>
        </is>
      </c>
      <c r="R1743" t="inlineStr">
        <is>
          <t>nyu</t>
        </is>
      </c>
      <c r="T1743" t="inlineStr">
        <is>
          <t xml:space="preserve">PR </t>
        </is>
      </c>
      <c r="U1743" t="n">
        <v>2</v>
      </c>
      <c r="V1743" t="n">
        <v>2</v>
      </c>
      <c r="W1743" t="inlineStr">
        <is>
          <t>1994-09-14</t>
        </is>
      </c>
      <c r="X1743" t="inlineStr">
        <is>
          <t>1994-09-14</t>
        </is>
      </c>
      <c r="Y1743" t="inlineStr">
        <is>
          <t>1991-10-16</t>
        </is>
      </c>
      <c r="Z1743" t="inlineStr">
        <is>
          <t>1991-10-16</t>
        </is>
      </c>
      <c r="AA1743" t="n">
        <v>580</v>
      </c>
      <c r="AB1743" t="n">
        <v>502</v>
      </c>
      <c r="AC1743" t="n">
        <v>767</v>
      </c>
      <c r="AD1743" t="n">
        <v>6</v>
      </c>
      <c r="AE1743" t="n">
        <v>8</v>
      </c>
      <c r="AF1743" t="n">
        <v>36</v>
      </c>
      <c r="AG1743" t="n">
        <v>45</v>
      </c>
      <c r="AH1743" t="n">
        <v>15</v>
      </c>
      <c r="AI1743" t="n">
        <v>18</v>
      </c>
      <c r="AJ1743" t="n">
        <v>5</v>
      </c>
      <c r="AK1743" t="n">
        <v>9</v>
      </c>
      <c r="AL1743" t="n">
        <v>18</v>
      </c>
      <c r="AM1743" t="n">
        <v>21</v>
      </c>
      <c r="AN1743" t="n">
        <v>5</v>
      </c>
      <c r="AO1743" t="n">
        <v>7</v>
      </c>
      <c r="AP1743" t="n">
        <v>0</v>
      </c>
      <c r="AQ1743" t="n">
        <v>0</v>
      </c>
      <c r="AR1743" t="inlineStr">
        <is>
          <t>No</t>
        </is>
      </c>
      <c r="AS1743" t="inlineStr">
        <is>
          <t>Yes</t>
        </is>
      </c>
      <c r="AT1743">
        <f>HYPERLINK("http://catalog.hathitrust.org/Record/000666427","HathiTrust Record")</f>
        <v/>
      </c>
      <c r="AU1743">
        <f>HYPERLINK("https://creighton-primo.hosted.exlibrisgroup.com/primo-explore/search?tab=default_tab&amp;search_scope=EVERYTHING&amp;vid=01CRU&amp;lang=en_US&amp;offset=0&amp;query=any,contains,991002466899702656","Catalog Record")</f>
        <v/>
      </c>
      <c r="AV1743">
        <f>HYPERLINK("http://www.worldcat.org/oclc/357870","WorldCat Record")</f>
        <v/>
      </c>
      <c r="AW1743" t="inlineStr">
        <is>
          <t>864044131:eng</t>
        </is>
      </c>
      <c r="AX1743" t="inlineStr">
        <is>
          <t>357870</t>
        </is>
      </c>
      <c r="AY1743" t="inlineStr">
        <is>
          <t>991002466899702656</t>
        </is>
      </c>
      <c r="AZ1743" t="inlineStr">
        <is>
          <t>991002466899702656</t>
        </is>
      </c>
      <c r="BA1743" t="inlineStr">
        <is>
          <t>2265635710002656</t>
        </is>
      </c>
      <c r="BB1743" t="inlineStr">
        <is>
          <t>BOOK</t>
        </is>
      </c>
      <c r="BE1743" t="inlineStr">
        <is>
          <t>32285000773548</t>
        </is>
      </c>
      <c r="BF1743" t="inlineStr">
        <is>
          <t>893898782</t>
        </is>
      </c>
    </row>
    <row r="1744">
      <c r="A1744" t="inlineStr">
        <is>
          <t>No</t>
        </is>
      </c>
      <c r="B1744" t="inlineStr">
        <is>
          <t>CURAL</t>
        </is>
      </c>
      <c r="C1744" t="inlineStr">
        <is>
          <t>SHELVES</t>
        </is>
      </c>
      <c r="D1744" t="inlineStr">
        <is>
          <t>PR4482 .H26</t>
        </is>
      </c>
      <c r="E1744" t="inlineStr">
        <is>
          <t>0                      PR 4482000H  26</t>
        </is>
      </c>
      <c r="F1744" t="inlineStr">
        <is>
          <t>Samuel Taylor Coleridge : an annotated bibliography of criticism and scholarship / edited by Richard and Josephine Haven, Maurianne Adams.</t>
        </is>
      </c>
      <c r="H1744" t="inlineStr">
        <is>
          <t>Yes</t>
        </is>
      </c>
      <c r="I1744" t="inlineStr">
        <is>
          <t>1</t>
        </is>
      </c>
      <c r="J1744" t="inlineStr">
        <is>
          <t>No</t>
        </is>
      </c>
      <c r="K1744" t="inlineStr">
        <is>
          <t>No</t>
        </is>
      </c>
      <c r="L1744" t="inlineStr">
        <is>
          <t>0</t>
        </is>
      </c>
      <c r="M1744" t="inlineStr">
        <is>
          <t>Haven, Richard, 1924-</t>
        </is>
      </c>
      <c r="N1744" t="inlineStr">
        <is>
          <t>Boston : G. K. Hall, c1976-c1983.</t>
        </is>
      </c>
      <c r="O1744" t="inlineStr">
        <is>
          <t>1976</t>
        </is>
      </c>
      <c r="Q1744" t="inlineStr">
        <is>
          <t>eng</t>
        </is>
      </c>
      <c r="R1744" t="inlineStr">
        <is>
          <t>mau</t>
        </is>
      </c>
      <c r="T1744" t="inlineStr">
        <is>
          <t xml:space="preserve">PR </t>
        </is>
      </c>
      <c r="U1744" t="n">
        <v>2</v>
      </c>
      <c r="V1744" t="n">
        <v>2</v>
      </c>
      <c r="W1744" t="inlineStr">
        <is>
          <t>2003-10-17</t>
        </is>
      </c>
      <c r="X1744" t="inlineStr">
        <is>
          <t>2003-10-17</t>
        </is>
      </c>
      <c r="Y1744" t="inlineStr">
        <is>
          <t>1997-06-30</t>
        </is>
      </c>
      <c r="Z1744" t="inlineStr">
        <is>
          <t>1997-06-30</t>
        </is>
      </c>
      <c r="AA1744" t="n">
        <v>499</v>
      </c>
      <c r="AB1744" t="n">
        <v>430</v>
      </c>
      <c r="AC1744" t="n">
        <v>457</v>
      </c>
      <c r="AD1744" t="n">
        <v>3</v>
      </c>
      <c r="AE1744" t="n">
        <v>3</v>
      </c>
      <c r="AF1744" t="n">
        <v>22</v>
      </c>
      <c r="AG1744" t="n">
        <v>24</v>
      </c>
      <c r="AH1744" t="n">
        <v>5</v>
      </c>
      <c r="AI1744" t="n">
        <v>7</v>
      </c>
      <c r="AJ1744" t="n">
        <v>9</v>
      </c>
      <c r="AK1744" t="n">
        <v>9</v>
      </c>
      <c r="AL1744" t="n">
        <v>13</v>
      </c>
      <c r="AM1744" t="n">
        <v>14</v>
      </c>
      <c r="AN1744" t="n">
        <v>2</v>
      </c>
      <c r="AO1744" t="n">
        <v>2</v>
      </c>
      <c r="AP1744" t="n">
        <v>0</v>
      </c>
      <c r="AQ1744" t="n">
        <v>0</v>
      </c>
      <c r="AR1744" t="inlineStr">
        <is>
          <t>No</t>
        </is>
      </c>
      <c r="AS1744" t="inlineStr">
        <is>
          <t>No</t>
        </is>
      </c>
      <c r="AU1744">
        <f>HYPERLINK("https://creighton-primo.hosted.exlibrisgroup.com/primo-explore/search?tab=default_tab&amp;search_scope=EVERYTHING&amp;vid=01CRU&amp;lang=en_US&amp;offset=0&amp;query=any,contains,991003953509702656","Catalog Record")</f>
        <v/>
      </c>
      <c r="AV1744">
        <f>HYPERLINK("http://www.worldcat.org/oclc/1959566","WorldCat Record")</f>
        <v/>
      </c>
      <c r="AW1744" t="inlineStr">
        <is>
          <t>190126582:eng</t>
        </is>
      </c>
      <c r="AX1744" t="inlineStr">
        <is>
          <t>1959566</t>
        </is>
      </c>
      <c r="AY1744" t="inlineStr">
        <is>
          <t>991003953509702656</t>
        </is>
      </c>
      <c r="AZ1744" t="inlineStr">
        <is>
          <t>991003953509702656</t>
        </is>
      </c>
      <c r="BA1744" t="inlineStr">
        <is>
          <t>2266103460002656</t>
        </is>
      </c>
      <c r="BB1744" t="inlineStr">
        <is>
          <t>BOOK</t>
        </is>
      </c>
      <c r="BD1744" t="inlineStr">
        <is>
          <t>9780816178292</t>
        </is>
      </c>
      <c r="BE1744" t="inlineStr">
        <is>
          <t>32285002836855</t>
        </is>
      </c>
      <c r="BF1744" t="inlineStr">
        <is>
          <t>893441993</t>
        </is>
      </c>
    </row>
    <row r="1745">
      <c r="A1745" t="inlineStr">
        <is>
          <t>No</t>
        </is>
      </c>
      <c r="B1745" t="inlineStr">
        <is>
          <t>CURAL</t>
        </is>
      </c>
      <c r="C1745" t="inlineStr">
        <is>
          <t>SHELVES</t>
        </is>
      </c>
      <c r="D1745" t="inlineStr">
        <is>
          <t>PR4483 .C32</t>
        </is>
      </c>
      <c r="E1745" t="inlineStr">
        <is>
          <t>0                      PR 4483000C  32</t>
        </is>
      </c>
      <c r="F1745" t="inlineStr">
        <is>
          <t>Coleridge and the idea of the modern state / [by] David P. Calleo.</t>
        </is>
      </c>
      <c r="H1745" t="inlineStr">
        <is>
          <t>No</t>
        </is>
      </c>
      <c r="I1745" t="inlineStr">
        <is>
          <t>1</t>
        </is>
      </c>
      <c r="J1745" t="inlineStr">
        <is>
          <t>No</t>
        </is>
      </c>
      <c r="K1745" t="inlineStr">
        <is>
          <t>No</t>
        </is>
      </c>
      <c r="L1745" t="inlineStr">
        <is>
          <t>0</t>
        </is>
      </c>
      <c r="M1745" t="inlineStr">
        <is>
          <t>Calleo, David P., 1934-</t>
        </is>
      </c>
      <c r="N1745" t="inlineStr">
        <is>
          <t>New Haven : Yale University Press, 1966.</t>
        </is>
      </c>
      <c r="O1745" t="inlineStr">
        <is>
          <t>1966</t>
        </is>
      </c>
      <c r="Q1745" t="inlineStr">
        <is>
          <t>eng</t>
        </is>
      </c>
      <c r="R1745" t="inlineStr">
        <is>
          <t>ctu</t>
        </is>
      </c>
      <c r="S1745" t="inlineStr">
        <is>
          <t>Yale studies in political science ; 18</t>
        </is>
      </c>
      <c r="T1745" t="inlineStr">
        <is>
          <t xml:space="preserve">PR </t>
        </is>
      </c>
      <c r="U1745" t="n">
        <v>2</v>
      </c>
      <c r="V1745" t="n">
        <v>2</v>
      </c>
      <c r="W1745" t="inlineStr">
        <is>
          <t>1997-09-24</t>
        </is>
      </c>
      <c r="X1745" t="inlineStr">
        <is>
          <t>1997-09-24</t>
        </is>
      </c>
      <c r="Y1745" t="inlineStr">
        <is>
          <t>1993-07-01</t>
        </is>
      </c>
      <c r="Z1745" t="inlineStr">
        <is>
          <t>1993-07-01</t>
        </is>
      </c>
      <c r="AA1745" t="n">
        <v>686</v>
      </c>
      <c r="AB1745" t="n">
        <v>566</v>
      </c>
      <c r="AC1745" t="n">
        <v>571</v>
      </c>
      <c r="AD1745" t="n">
        <v>5</v>
      </c>
      <c r="AE1745" t="n">
        <v>5</v>
      </c>
      <c r="AF1745" t="n">
        <v>26</v>
      </c>
      <c r="AG1745" t="n">
        <v>26</v>
      </c>
      <c r="AH1745" t="n">
        <v>8</v>
      </c>
      <c r="AI1745" t="n">
        <v>8</v>
      </c>
      <c r="AJ1745" t="n">
        <v>5</v>
      </c>
      <c r="AK1745" t="n">
        <v>5</v>
      </c>
      <c r="AL1745" t="n">
        <v>16</v>
      </c>
      <c r="AM1745" t="n">
        <v>16</v>
      </c>
      <c r="AN1745" t="n">
        <v>3</v>
      </c>
      <c r="AO1745" t="n">
        <v>3</v>
      </c>
      <c r="AP1745" t="n">
        <v>1</v>
      </c>
      <c r="AQ1745" t="n">
        <v>1</v>
      </c>
      <c r="AR1745" t="inlineStr">
        <is>
          <t>No</t>
        </is>
      </c>
      <c r="AS1745" t="inlineStr">
        <is>
          <t>No</t>
        </is>
      </c>
      <c r="AU1745">
        <f>HYPERLINK("https://creighton-primo.hosted.exlibrisgroup.com/primo-explore/search?tab=default_tab&amp;search_scope=EVERYTHING&amp;vid=01CRU&amp;lang=en_US&amp;offset=0&amp;query=any,contains,991001085069702656","Catalog Record")</f>
        <v/>
      </c>
      <c r="AV1745">
        <f>HYPERLINK("http://www.worldcat.org/oclc/179911","WorldCat Record")</f>
        <v/>
      </c>
      <c r="AW1745" t="inlineStr">
        <is>
          <t>1320308:eng</t>
        </is>
      </c>
      <c r="AX1745" t="inlineStr">
        <is>
          <t>179911</t>
        </is>
      </c>
      <c r="AY1745" t="inlineStr">
        <is>
          <t>991001085069702656</t>
        </is>
      </c>
      <c r="AZ1745" t="inlineStr">
        <is>
          <t>991001085069702656</t>
        </is>
      </c>
      <c r="BA1745" t="inlineStr">
        <is>
          <t>2264939220002656</t>
        </is>
      </c>
      <c r="BB1745" t="inlineStr">
        <is>
          <t>BOOK</t>
        </is>
      </c>
      <c r="BE1745" t="inlineStr">
        <is>
          <t>32285001699411</t>
        </is>
      </c>
      <c r="BF1745" t="inlineStr">
        <is>
          <t>893315495</t>
        </is>
      </c>
    </row>
    <row r="1746">
      <c r="A1746" t="inlineStr">
        <is>
          <t>No</t>
        </is>
      </c>
      <c r="B1746" t="inlineStr">
        <is>
          <t>CURAL</t>
        </is>
      </c>
      <c r="C1746" t="inlineStr">
        <is>
          <t>SHELVES</t>
        </is>
      </c>
      <c r="D1746" t="inlineStr">
        <is>
          <t>PR4483 .C57</t>
        </is>
      </c>
      <c r="E1746" t="inlineStr">
        <is>
          <t>0                      PR 4483000C  57</t>
        </is>
      </c>
      <c r="F1746" t="inlineStr">
        <is>
          <t>Coleridge : critic of society.</t>
        </is>
      </c>
      <c r="H1746" t="inlineStr">
        <is>
          <t>No</t>
        </is>
      </c>
      <c r="I1746" t="inlineStr">
        <is>
          <t>1</t>
        </is>
      </c>
      <c r="J1746" t="inlineStr">
        <is>
          <t>No</t>
        </is>
      </c>
      <c r="K1746" t="inlineStr">
        <is>
          <t>No</t>
        </is>
      </c>
      <c r="L1746" t="inlineStr">
        <is>
          <t>0</t>
        </is>
      </c>
      <c r="M1746" t="inlineStr">
        <is>
          <t>Colmer, John.</t>
        </is>
      </c>
      <c r="N1746" t="inlineStr">
        <is>
          <t>Oxford : Clarendon Press, 1959.</t>
        </is>
      </c>
      <c r="O1746" t="inlineStr">
        <is>
          <t>1959</t>
        </is>
      </c>
      <c r="Q1746" t="inlineStr">
        <is>
          <t>eng</t>
        </is>
      </c>
      <c r="R1746" t="inlineStr">
        <is>
          <t>enk</t>
        </is>
      </c>
      <c r="T1746" t="inlineStr">
        <is>
          <t xml:space="preserve">PR </t>
        </is>
      </c>
      <c r="U1746" t="n">
        <v>3</v>
      </c>
      <c r="V1746" t="n">
        <v>3</v>
      </c>
      <c r="W1746" t="inlineStr">
        <is>
          <t>1997-09-24</t>
        </is>
      </c>
      <c r="X1746" t="inlineStr">
        <is>
          <t>1997-09-24</t>
        </is>
      </c>
      <c r="Y1746" t="inlineStr">
        <is>
          <t>1993-07-01</t>
        </is>
      </c>
      <c r="Z1746" t="inlineStr">
        <is>
          <t>1993-07-01</t>
        </is>
      </c>
      <c r="AA1746" t="n">
        <v>760</v>
      </c>
      <c r="AB1746" t="n">
        <v>567</v>
      </c>
      <c r="AC1746" t="n">
        <v>605</v>
      </c>
      <c r="AD1746" t="n">
        <v>5</v>
      </c>
      <c r="AE1746" t="n">
        <v>5</v>
      </c>
      <c r="AF1746" t="n">
        <v>28</v>
      </c>
      <c r="AG1746" t="n">
        <v>29</v>
      </c>
      <c r="AH1746" t="n">
        <v>11</v>
      </c>
      <c r="AI1746" t="n">
        <v>11</v>
      </c>
      <c r="AJ1746" t="n">
        <v>7</v>
      </c>
      <c r="AK1746" t="n">
        <v>7</v>
      </c>
      <c r="AL1746" t="n">
        <v>14</v>
      </c>
      <c r="AM1746" t="n">
        <v>15</v>
      </c>
      <c r="AN1746" t="n">
        <v>4</v>
      </c>
      <c r="AO1746" t="n">
        <v>4</v>
      </c>
      <c r="AP1746" t="n">
        <v>0</v>
      </c>
      <c r="AQ1746" t="n">
        <v>0</v>
      </c>
      <c r="AR1746" t="inlineStr">
        <is>
          <t>No</t>
        </is>
      </c>
      <c r="AS1746" t="inlineStr">
        <is>
          <t>Yes</t>
        </is>
      </c>
      <c r="AT1746">
        <f>HYPERLINK("http://catalog.hathitrust.org/Record/000665943","HathiTrust Record")</f>
        <v/>
      </c>
      <c r="AU1746">
        <f>HYPERLINK("https://creighton-primo.hosted.exlibrisgroup.com/primo-explore/search?tab=default_tab&amp;search_scope=EVERYTHING&amp;vid=01CRU&amp;lang=en_US&amp;offset=0&amp;query=any,contains,991001140179702656","Catalog Record")</f>
        <v/>
      </c>
      <c r="AV1746">
        <f>HYPERLINK("http://www.worldcat.org/oclc/16738159","WorldCat Record")</f>
        <v/>
      </c>
      <c r="AW1746" t="inlineStr">
        <is>
          <t>13957856:eng</t>
        </is>
      </c>
      <c r="AX1746" t="inlineStr">
        <is>
          <t>16738159</t>
        </is>
      </c>
      <c r="AY1746" t="inlineStr">
        <is>
          <t>991001140179702656</t>
        </is>
      </c>
      <c r="AZ1746" t="inlineStr">
        <is>
          <t>991001140179702656</t>
        </is>
      </c>
      <c r="BA1746" t="inlineStr">
        <is>
          <t>2265118590002656</t>
        </is>
      </c>
      <c r="BB1746" t="inlineStr">
        <is>
          <t>BOOK</t>
        </is>
      </c>
      <c r="BE1746" t="inlineStr">
        <is>
          <t>32285001699403</t>
        </is>
      </c>
      <c r="BF1746" t="inlineStr">
        <is>
          <t>893897560</t>
        </is>
      </c>
    </row>
    <row r="1747">
      <c r="A1747" t="inlineStr">
        <is>
          <t>No</t>
        </is>
      </c>
      <c r="B1747" t="inlineStr">
        <is>
          <t>CURAL</t>
        </is>
      </c>
      <c r="C1747" t="inlineStr">
        <is>
          <t>SHELVES</t>
        </is>
      </c>
      <c r="D1747" t="inlineStr">
        <is>
          <t>PR4483 .C59</t>
        </is>
      </c>
      <c r="E1747" t="inlineStr">
        <is>
          <t>0                      PR 4483000C  59</t>
        </is>
      </c>
      <c r="F1747" t="inlineStr">
        <is>
          <t>Coleridge, poet and revolutionary, 1772-1804; a critical biography.</t>
        </is>
      </c>
      <c r="H1747" t="inlineStr">
        <is>
          <t>No</t>
        </is>
      </c>
      <c r="I1747" t="inlineStr">
        <is>
          <t>1</t>
        </is>
      </c>
      <c r="J1747" t="inlineStr">
        <is>
          <t>No</t>
        </is>
      </c>
      <c r="K1747" t="inlineStr">
        <is>
          <t>No</t>
        </is>
      </c>
      <c r="L1747" t="inlineStr">
        <is>
          <t>0</t>
        </is>
      </c>
      <c r="M1747" t="inlineStr">
        <is>
          <t>Cornwell, John, 1940-</t>
        </is>
      </c>
      <c r="N1747" t="inlineStr">
        <is>
          <t>[London] Allen Lane [1973]</t>
        </is>
      </c>
      <c r="O1747" t="inlineStr">
        <is>
          <t>1973</t>
        </is>
      </c>
      <c r="Q1747" t="inlineStr">
        <is>
          <t>eng</t>
        </is>
      </c>
      <c r="R1747" t="inlineStr">
        <is>
          <t>enk</t>
        </is>
      </c>
      <c r="T1747" t="inlineStr">
        <is>
          <t xml:space="preserve">PR </t>
        </is>
      </c>
      <c r="U1747" t="n">
        <v>4</v>
      </c>
      <c r="V1747" t="n">
        <v>4</v>
      </c>
      <c r="W1747" t="inlineStr">
        <is>
          <t>2005-02-15</t>
        </is>
      </c>
      <c r="X1747" t="inlineStr">
        <is>
          <t>2005-02-15</t>
        </is>
      </c>
      <c r="Y1747" t="inlineStr">
        <is>
          <t>1997-06-30</t>
        </is>
      </c>
      <c r="Z1747" t="inlineStr">
        <is>
          <t>1997-06-30</t>
        </is>
      </c>
      <c r="AA1747" t="n">
        <v>371</v>
      </c>
      <c r="AB1747" t="n">
        <v>187</v>
      </c>
      <c r="AC1747" t="n">
        <v>194</v>
      </c>
      <c r="AD1747" t="n">
        <v>3</v>
      </c>
      <c r="AE1747" t="n">
        <v>3</v>
      </c>
      <c r="AF1747" t="n">
        <v>10</v>
      </c>
      <c r="AG1747" t="n">
        <v>10</v>
      </c>
      <c r="AH1747" t="n">
        <v>2</v>
      </c>
      <c r="AI1747" t="n">
        <v>2</v>
      </c>
      <c r="AJ1747" t="n">
        <v>2</v>
      </c>
      <c r="AK1747" t="n">
        <v>2</v>
      </c>
      <c r="AL1747" t="n">
        <v>6</v>
      </c>
      <c r="AM1747" t="n">
        <v>6</v>
      </c>
      <c r="AN1747" t="n">
        <v>2</v>
      </c>
      <c r="AO1747" t="n">
        <v>2</v>
      </c>
      <c r="AP1747" t="n">
        <v>0</v>
      </c>
      <c r="AQ1747" t="n">
        <v>0</v>
      </c>
      <c r="AR1747" t="inlineStr">
        <is>
          <t>No</t>
        </is>
      </c>
      <c r="AS1747" t="inlineStr">
        <is>
          <t>Yes</t>
        </is>
      </c>
      <c r="AT1747">
        <f>HYPERLINK("http://catalog.hathitrust.org/Record/000665949","HathiTrust Record")</f>
        <v/>
      </c>
      <c r="AU1747">
        <f>HYPERLINK("https://creighton-primo.hosted.exlibrisgroup.com/primo-explore/search?tab=default_tab&amp;search_scope=EVERYTHING&amp;vid=01CRU&amp;lang=en_US&amp;offset=0&amp;query=any,contains,991003216199702656","Catalog Record")</f>
        <v/>
      </c>
      <c r="AV1747">
        <f>HYPERLINK("http://www.worldcat.org/oclc/742198","WorldCat Record")</f>
        <v/>
      </c>
      <c r="AW1747" t="inlineStr">
        <is>
          <t>193909276:eng</t>
        </is>
      </c>
      <c r="AX1747" t="inlineStr">
        <is>
          <t>742198</t>
        </is>
      </c>
      <c r="AY1747" t="inlineStr">
        <is>
          <t>991003216199702656</t>
        </is>
      </c>
      <c r="AZ1747" t="inlineStr">
        <is>
          <t>991003216199702656</t>
        </is>
      </c>
      <c r="BA1747" t="inlineStr">
        <is>
          <t>2270361640002656</t>
        </is>
      </c>
      <c r="BB1747" t="inlineStr">
        <is>
          <t>BOOK</t>
        </is>
      </c>
      <c r="BD1747" t="inlineStr">
        <is>
          <t>9780713904611</t>
        </is>
      </c>
      <c r="BE1747" t="inlineStr">
        <is>
          <t>32285002837069</t>
        </is>
      </c>
      <c r="BF1747" t="inlineStr">
        <is>
          <t>893258176</t>
        </is>
      </c>
    </row>
    <row r="1748">
      <c r="A1748" t="inlineStr">
        <is>
          <t>No</t>
        </is>
      </c>
      <c r="B1748" t="inlineStr">
        <is>
          <t>CURAL</t>
        </is>
      </c>
      <c r="C1748" t="inlineStr">
        <is>
          <t>SHELVES</t>
        </is>
      </c>
      <c r="D1748" t="inlineStr">
        <is>
          <t>PR4483 .F5</t>
        </is>
      </c>
      <c r="E1748" t="inlineStr">
        <is>
          <t>0                      PR 4483000F  5</t>
        </is>
      </c>
      <c r="F1748" t="inlineStr">
        <is>
          <t>Reality's dark dream : dejection in Coleridge.</t>
        </is>
      </c>
      <c r="H1748" t="inlineStr">
        <is>
          <t>No</t>
        </is>
      </c>
      <c r="I1748" t="inlineStr">
        <is>
          <t>1</t>
        </is>
      </c>
      <c r="J1748" t="inlineStr">
        <is>
          <t>No</t>
        </is>
      </c>
      <c r="K1748" t="inlineStr">
        <is>
          <t>No</t>
        </is>
      </c>
      <c r="L1748" t="inlineStr">
        <is>
          <t>0</t>
        </is>
      </c>
      <c r="M1748" t="inlineStr">
        <is>
          <t>Fields, Beverly, 1917-2003.</t>
        </is>
      </c>
      <c r="N1748" t="inlineStr">
        <is>
          <t>Kent, Ohio] : Kent State University Press, [c1967]</t>
        </is>
      </c>
      <c r="O1748" t="inlineStr">
        <is>
          <t>1967</t>
        </is>
      </c>
      <c r="P1748" t="inlineStr">
        <is>
          <t>[1st ed.</t>
        </is>
      </c>
      <c r="Q1748" t="inlineStr">
        <is>
          <t>eng</t>
        </is>
      </c>
      <c r="R1748" t="inlineStr">
        <is>
          <t>ohu</t>
        </is>
      </c>
      <c r="S1748" t="inlineStr">
        <is>
          <t>Kent studies in English ; 5</t>
        </is>
      </c>
      <c r="T1748" t="inlineStr">
        <is>
          <t xml:space="preserve">PR </t>
        </is>
      </c>
      <c r="U1748" t="n">
        <v>4</v>
      </c>
      <c r="V1748" t="n">
        <v>4</v>
      </c>
      <c r="W1748" t="inlineStr">
        <is>
          <t>2003-03-23</t>
        </is>
      </c>
      <c r="X1748" t="inlineStr">
        <is>
          <t>2003-03-23</t>
        </is>
      </c>
      <c r="Y1748" t="inlineStr">
        <is>
          <t>1990-04-10</t>
        </is>
      </c>
      <c r="Z1748" t="inlineStr">
        <is>
          <t>1990-04-10</t>
        </is>
      </c>
      <c r="AA1748" t="n">
        <v>560</v>
      </c>
      <c r="AB1748" t="n">
        <v>481</v>
      </c>
      <c r="AC1748" t="n">
        <v>488</v>
      </c>
      <c r="AD1748" t="n">
        <v>5</v>
      </c>
      <c r="AE1748" t="n">
        <v>5</v>
      </c>
      <c r="AF1748" t="n">
        <v>34</v>
      </c>
      <c r="AG1748" t="n">
        <v>34</v>
      </c>
      <c r="AH1748" t="n">
        <v>14</v>
      </c>
      <c r="AI1748" t="n">
        <v>14</v>
      </c>
      <c r="AJ1748" t="n">
        <v>8</v>
      </c>
      <c r="AK1748" t="n">
        <v>8</v>
      </c>
      <c r="AL1748" t="n">
        <v>18</v>
      </c>
      <c r="AM1748" t="n">
        <v>18</v>
      </c>
      <c r="AN1748" t="n">
        <v>4</v>
      </c>
      <c r="AO1748" t="n">
        <v>4</v>
      </c>
      <c r="AP1748" t="n">
        <v>0</v>
      </c>
      <c r="AQ1748" t="n">
        <v>0</v>
      </c>
      <c r="AR1748" t="inlineStr">
        <is>
          <t>No</t>
        </is>
      </c>
      <c r="AS1748" t="inlineStr">
        <is>
          <t>Yes</t>
        </is>
      </c>
      <c r="AT1748">
        <f>HYPERLINK("http://catalog.hathitrust.org/Record/000394212","HathiTrust Record")</f>
        <v/>
      </c>
      <c r="AU1748">
        <f>HYPERLINK("https://creighton-primo.hosted.exlibrisgroup.com/primo-explore/search?tab=default_tab&amp;search_scope=EVERYTHING&amp;vid=01CRU&amp;lang=en_US&amp;offset=0&amp;query=any,contains,991000855309702656","Catalog Record")</f>
        <v/>
      </c>
      <c r="AV1748">
        <f>HYPERLINK("http://www.worldcat.org/oclc/149289","WorldCat Record")</f>
        <v/>
      </c>
      <c r="AW1748" t="inlineStr">
        <is>
          <t>422583965:eng</t>
        </is>
      </c>
      <c r="AX1748" t="inlineStr">
        <is>
          <t>149289</t>
        </is>
      </c>
      <c r="AY1748" t="inlineStr">
        <is>
          <t>991000855309702656</t>
        </is>
      </c>
      <c r="AZ1748" t="inlineStr">
        <is>
          <t>991000855309702656</t>
        </is>
      </c>
      <c r="BA1748" t="inlineStr">
        <is>
          <t>2260553250002656</t>
        </is>
      </c>
      <c r="BB1748" t="inlineStr">
        <is>
          <t>BOOK</t>
        </is>
      </c>
      <c r="BE1748" t="inlineStr">
        <is>
          <t>32285000103993</t>
        </is>
      </c>
      <c r="BF1748" t="inlineStr">
        <is>
          <t>893249743</t>
        </is>
      </c>
    </row>
    <row r="1749">
      <c r="A1749" t="inlineStr">
        <is>
          <t>No</t>
        </is>
      </c>
      <c r="B1749" t="inlineStr">
        <is>
          <t>CURAL</t>
        </is>
      </c>
      <c r="C1749" t="inlineStr">
        <is>
          <t>SHELVES</t>
        </is>
      </c>
      <c r="D1749" t="inlineStr">
        <is>
          <t>PR4483 .G7 1973</t>
        </is>
      </c>
      <c r="E1749" t="inlineStr">
        <is>
          <t>0                      PR 4483000G  7           1973</t>
        </is>
      </c>
      <c r="F1749" t="inlineStr">
        <is>
          <t>A preface to Coleridge.</t>
        </is>
      </c>
      <c r="H1749" t="inlineStr">
        <is>
          <t>No</t>
        </is>
      </c>
      <c r="I1749" t="inlineStr">
        <is>
          <t>1</t>
        </is>
      </c>
      <c r="J1749" t="inlineStr">
        <is>
          <t>No</t>
        </is>
      </c>
      <c r="K1749" t="inlineStr">
        <is>
          <t>No</t>
        </is>
      </c>
      <c r="L1749" t="inlineStr">
        <is>
          <t>0</t>
        </is>
      </c>
      <c r="M1749" t="inlineStr">
        <is>
          <t>Grant, Allan, 1930-1982.</t>
        </is>
      </c>
      <c r="N1749" t="inlineStr">
        <is>
          <t>New York : Scribner, [1973, c1972]</t>
        </is>
      </c>
      <c r="O1749" t="inlineStr">
        <is>
          <t>1973</t>
        </is>
      </c>
      <c r="Q1749" t="inlineStr">
        <is>
          <t>eng</t>
        </is>
      </c>
      <c r="R1749" t="inlineStr">
        <is>
          <t>nyu</t>
        </is>
      </c>
      <c r="S1749" t="inlineStr">
        <is>
          <t>Preface books</t>
        </is>
      </c>
      <c r="T1749" t="inlineStr">
        <is>
          <t xml:space="preserve">PR </t>
        </is>
      </c>
      <c r="U1749" t="n">
        <v>1</v>
      </c>
      <c r="V1749" t="n">
        <v>1</v>
      </c>
      <c r="W1749" t="inlineStr">
        <is>
          <t>2001-10-25</t>
        </is>
      </c>
      <c r="X1749" t="inlineStr">
        <is>
          <t>2001-10-25</t>
        </is>
      </c>
      <c r="Y1749" t="inlineStr">
        <is>
          <t>1997-06-30</t>
        </is>
      </c>
      <c r="Z1749" t="inlineStr">
        <is>
          <t>1997-06-30</t>
        </is>
      </c>
      <c r="AA1749" t="n">
        <v>423</v>
      </c>
      <c r="AB1749" t="n">
        <v>408</v>
      </c>
      <c r="AC1749" t="n">
        <v>581</v>
      </c>
      <c r="AD1749" t="n">
        <v>3</v>
      </c>
      <c r="AE1749" t="n">
        <v>3</v>
      </c>
      <c r="AF1749" t="n">
        <v>16</v>
      </c>
      <c r="AG1749" t="n">
        <v>24</v>
      </c>
      <c r="AH1749" t="n">
        <v>8</v>
      </c>
      <c r="AI1749" t="n">
        <v>10</v>
      </c>
      <c r="AJ1749" t="n">
        <v>3</v>
      </c>
      <c r="AK1749" t="n">
        <v>7</v>
      </c>
      <c r="AL1749" t="n">
        <v>10</v>
      </c>
      <c r="AM1749" t="n">
        <v>16</v>
      </c>
      <c r="AN1749" t="n">
        <v>0</v>
      </c>
      <c r="AO1749" t="n">
        <v>0</v>
      </c>
      <c r="AP1749" t="n">
        <v>0</v>
      </c>
      <c r="AQ1749" t="n">
        <v>0</v>
      </c>
      <c r="AR1749" t="inlineStr">
        <is>
          <t>No</t>
        </is>
      </c>
      <c r="AS1749" t="inlineStr">
        <is>
          <t>Yes</t>
        </is>
      </c>
      <c r="AT1749">
        <f>HYPERLINK("http://catalog.hathitrust.org/Record/102627960","HathiTrust Record")</f>
        <v/>
      </c>
      <c r="AU1749">
        <f>HYPERLINK("https://creighton-primo.hosted.exlibrisgroup.com/primo-explore/search?tab=default_tab&amp;search_scope=EVERYTHING&amp;vid=01CRU&amp;lang=en_US&amp;offset=0&amp;query=any,contains,991003169959702656","Catalog Record")</f>
        <v/>
      </c>
      <c r="AV1749">
        <f>HYPERLINK("http://www.worldcat.org/oclc/706542","WorldCat Record")</f>
        <v/>
      </c>
      <c r="AW1749" t="inlineStr">
        <is>
          <t>1633190:eng</t>
        </is>
      </c>
      <c r="AX1749" t="inlineStr">
        <is>
          <t>706542</t>
        </is>
      </c>
      <c r="AY1749" t="inlineStr">
        <is>
          <t>991003169959702656</t>
        </is>
      </c>
      <c r="AZ1749" t="inlineStr">
        <is>
          <t>991003169959702656</t>
        </is>
      </c>
      <c r="BA1749" t="inlineStr">
        <is>
          <t>2256218560002656</t>
        </is>
      </c>
      <c r="BB1749" t="inlineStr">
        <is>
          <t>BOOK</t>
        </is>
      </c>
      <c r="BD1749" t="inlineStr">
        <is>
          <t>9780684132303</t>
        </is>
      </c>
      <c r="BE1749" t="inlineStr">
        <is>
          <t>32285002837085</t>
        </is>
      </c>
      <c r="BF1749" t="inlineStr">
        <is>
          <t>893336211</t>
        </is>
      </c>
    </row>
    <row r="1750">
      <c r="A1750" t="inlineStr">
        <is>
          <t>No</t>
        </is>
      </c>
      <c r="B1750" t="inlineStr">
        <is>
          <t>CURAL</t>
        </is>
      </c>
      <c r="C1750" t="inlineStr">
        <is>
          <t>SHELVES</t>
        </is>
      </c>
      <c r="D1750" t="inlineStr">
        <is>
          <t>PR4483 .H57 1990</t>
        </is>
      </c>
      <c r="E1750" t="inlineStr">
        <is>
          <t>0                      PR 4483000H  57          1990</t>
        </is>
      </c>
      <c r="F1750" t="inlineStr">
        <is>
          <t>Coleridge : early visions / Richard Holmes.</t>
        </is>
      </c>
      <c r="H1750" t="inlineStr">
        <is>
          <t>No</t>
        </is>
      </c>
      <c r="I1750" t="inlineStr">
        <is>
          <t>1</t>
        </is>
      </c>
      <c r="J1750" t="inlineStr">
        <is>
          <t>No</t>
        </is>
      </c>
      <c r="K1750" t="inlineStr">
        <is>
          <t>Yes</t>
        </is>
      </c>
      <c r="L1750" t="inlineStr">
        <is>
          <t>0</t>
        </is>
      </c>
      <c r="M1750" t="inlineStr">
        <is>
          <t>Holmes, Richard, 1945-</t>
        </is>
      </c>
      <c r="N1750" t="inlineStr">
        <is>
          <t>New York : Viking, 1990, c1989.</t>
        </is>
      </c>
      <c r="O1750" t="inlineStr">
        <is>
          <t>1990</t>
        </is>
      </c>
      <c r="P1750" t="inlineStr">
        <is>
          <t>1st American ed.</t>
        </is>
      </c>
      <c r="Q1750" t="inlineStr">
        <is>
          <t>eng</t>
        </is>
      </c>
      <c r="R1750" t="inlineStr">
        <is>
          <t>nyu</t>
        </is>
      </c>
      <c r="T1750" t="inlineStr">
        <is>
          <t xml:space="preserve">PR </t>
        </is>
      </c>
      <c r="U1750" t="n">
        <v>2</v>
      </c>
      <c r="V1750" t="n">
        <v>2</v>
      </c>
      <c r="W1750" t="inlineStr">
        <is>
          <t>1997-09-27</t>
        </is>
      </c>
      <c r="X1750" t="inlineStr">
        <is>
          <t>1997-09-27</t>
        </is>
      </c>
      <c r="Y1750" t="inlineStr">
        <is>
          <t>1990-06-13</t>
        </is>
      </c>
      <c r="Z1750" t="inlineStr">
        <is>
          <t>1990-06-13</t>
        </is>
      </c>
      <c r="AA1750" t="n">
        <v>1193</v>
      </c>
      <c r="AB1750" t="n">
        <v>1143</v>
      </c>
      <c r="AC1750" t="n">
        <v>1279</v>
      </c>
      <c r="AD1750" t="n">
        <v>7</v>
      </c>
      <c r="AE1750" t="n">
        <v>9</v>
      </c>
      <c r="AF1750" t="n">
        <v>38</v>
      </c>
      <c r="AG1750" t="n">
        <v>42</v>
      </c>
      <c r="AH1750" t="n">
        <v>15</v>
      </c>
      <c r="AI1750" t="n">
        <v>15</v>
      </c>
      <c r="AJ1750" t="n">
        <v>6</v>
      </c>
      <c r="AK1750" t="n">
        <v>8</v>
      </c>
      <c r="AL1750" t="n">
        <v>20</v>
      </c>
      <c r="AM1750" t="n">
        <v>22</v>
      </c>
      <c r="AN1750" t="n">
        <v>5</v>
      </c>
      <c r="AO1750" t="n">
        <v>7</v>
      </c>
      <c r="AP1750" t="n">
        <v>0</v>
      </c>
      <c r="AQ1750" t="n">
        <v>0</v>
      </c>
      <c r="AR1750" t="inlineStr">
        <is>
          <t>No</t>
        </is>
      </c>
      <c r="AS1750" t="inlineStr">
        <is>
          <t>Yes</t>
        </is>
      </c>
      <c r="AT1750">
        <f>HYPERLINK("http://catalog.hathitrust.org/Record/008322981","HathiTrust Record")</f>
        <v/>
      </c>
      <c r="AU1750">
        <f>HYPERLINK("https://creighton-primo.hosted.exlibrisgroup.com/primo-explore/search?tab=default_tab&amp;search_scope=EVERYTHING&amp;vid=01CRU&amp;lang=en_US&amp;offset=0&amp;query=any,contains,991001628259702656","Catalog Record")</f>
        <v/>
      </c>
      <c r="AV1750">
        <f>HYPERLINK("http://www.worldcat.org/oclc/20854214","WorldCat Record")</f>
        <v/>
      </c>
      <c r="AW1750" t="inlineStr">
        <is>
          <t>502201760:eng</t>
        </is>
      </c>
      <c r="AX1750" t="inlineStr">
        <is>
          <t>20854214</t>
        </is>
      </c>
      <c r="AY1750" t="inlineStr">
        <is>
          <t>991001628259702656</t>
        </is>
      </c>
      <c r="AZ1750" t="inlineStr">
        <is>
          <t>991001628259702656</t>
        </is>
      </c>
      <c r="BA1750" t="inlineStr">
        <is>
          <t>2272042140002656</t>
        </is>
      </c>
      <c r="BB1750" t="inlineStr">
        <is>
          <t>BOOK</t>
        </is>
      </c>
      <c r="BD1750" t="inlineStr">
        <is>
          <t>9780670804443</t>
        </is>
      </c>
      <c r="BE1750" t="inlineStr">
        <is>
          <t>32285000176544</t>
        </is>
      </c>
      <c r="BF1750" t="inlineStr">
        <is>
          <t>893891683</t>
        </is>
      </c>
    </row>
    <row r="1751">
      <c r="A1751" t="inlineStr">
        <is>
          <t>No</t>
        </is>
      </c>
      <c r="B1751" t="inlineStr">
        <is>
          <t>CURAL</t>
        </is>
      </c>
      <c r="C1751" t="inlineStr">
        <is>
          <t>SHELVES</t>
        </is>
      </c>
      <c r="D1751" t="inlineStr">
        <is>
          <t>PR4483 .I6</t>
        </is>
      </c>
      <c r="E1751" t="inlineStr">
        <is>
          <t>0                      PR 4483000I  6</t>
        </is>
      </c>
      <c r="F1751" t="inlineStr">
        <is>
          <t>Coleridge &amp; his poetry / by Kathleen E. Royds.</t>
        </is>
      </c>
      <c r="H1751" t="inlineStr">
        <is>
          <t>No</t>
        </is>
      </c>
      <c r="I1751" t="inlineStr">
        <is>
          <t>1</t>
        </is>
      </c>
      <c r="J1751" t="inlineStr">
        <is>
          <t>No</t>
        </is>
      </c>
      <c r="K1751" t="inlineStr">
        <is>
          <t>No</t>
        </is>
      </c>
      <c r="L1751" t="inlineStr">
        <is>
          <t>0</t>
        </is>
      </c>
      <c r="M1751" t="inlineStr">
        <is>
          <t>Innes, Kathleen Elizabeth Royds.</t>
        </is>
      </c>
      <c r="N1751" t="inlineStr">
        <is>
          <t>[Folcroft, Pa.] : Folcroft Library Editions, 1969.</t>
        </is>
      </c>
      <c r="O1751" t="inlineStr">
        <is>
          <t>1969</t>
        </is>
      </c>
      <c r="Q1751" t="inlineStr">
        <is>
          <t>eng</t>
        </is>
      </c>
      <c r="R1751" t="inlineStr">
        <is>
          <t>pau</t>
        </is>
      </c>
      <c r="S1751" t="inlineStr">
        <is>
          <t>Poetry and life series</t>
        </is>
      </c>
      <c r="T1751" t="inlineStr">
        <is>
          <t xml:space="preserve">PR </t>
        </is>
      </c>
      <c r="U1751" t="n">
        <v>2</v>
      </c>
      <c r="V1751" t="n">
        <v>2</v>
      </c>
      <c r="W1751" t="inlineStr">
        <is>
          <t>2003-09-04</t>
        </is>
      </c>
      <c r="X1751" t="inlineStr">
        <is>
          <t>2003-09-04</t>
        </is>
      </c>
      <c r="Y1751" t="inlineStr">
        <is>
          <t>1990-03-16</t>
        </is>
      </c>
      <c r="Z1751" t="inlineStr">
        <is>
          <t>1990-03-16</t>
        </is>
      </c>
      <c r="AA1751" t="n">
        <v>35</v>
      </c>
      <c r="AB1751" t="n">
        <v>35</v>
      </c>
      <c r="AC1751" t="n">
        <v>157</v>
      </c>
      <c r="AD1751" t="n">
        <v>2</v>
      </c>
      <c r="AE1751" t="n">
        <v>2</v>
      </c>
      <c r="AF1751" t="n">
        <v>1</v>
      </c>
      <c r="AG1751" t="n">
        <v>7</v>
      </c>
      <c r="AH1751" t="n">
        <v>0</v>
      </c>
      <c r="AI1751" t="n">
        <v>1</v>
      </c>
      <c r="AJ1751" t="n">
        <v>0</v>
      </c>
      <c r="AK1751" t="n">
        <v>3</v>
      </c>
      <c r="AL1751" t="n">
        <v>0</v>
      </c>
      <c r="AM1751" t="n">
        <v>6</v>
      </c>
      <c r="AN1751" t="n">
        <v>1</v>
      </c>
      <c r="AO1751" t="n">
        <v>1</v>
      </c>
      <c r="AP1751" t="n">
        <v>0</v>
      </c>
      <c r="AQ1751" t="n">
        <v>0</v>
      </c>
      <c r="AR1751" t="inlineStr">
        <is>
          <t>No</t>
        </is>
      </c>
      <c r="AS1751" t="inlineStr">
        <is>
          <t>Yes</t>
        </is>
      </c>
      <c r="AT1751">
        <f>HYPERLINK("http://catalog.hathitrust.org/Record/012322916","HathiTrust Record")</f>
        <v/>
      </c>
      <c r="AU1751">
        <f>HYPERLINK("https://creighton-primo.hosted.exlibrisgroup.com/primo-explore/search?tab=default_tab&amp;search_scope=EVERYTHING&amp;vid=01CRU&amp;lang=en_US&amp;offset=0&amp;query=any,contains,991003943909702656","Catalog Record")</f>
        <v/>
      </c>
      <c r="AV1751">
        <f>HYPERLINK("http://www.worldcat.org/oclc/1940668","WorldCat Record")</f>
        <v/>
      </c>
      <c r="AW1751" t="inlineStr">
        <is>
          <t>1388975:eng</t>
        </is>
      </c>
      <c r="AX1751" t="inlineStr">
        <is>
          <t>1940668</t>
        </is>
      </c>
      <c r="AY1751" t="inlineStr">
        <is>
          <t>991003943909702656</t>
        </is>
      </c>
      <c r="AZ1751" t="inlineStr">
        <is>
          <t>991003943909702656</t>
        </is>
      </c>
      <c r="BA1751" t="inlineStr">
        <is>
          <t>2266734800002656</t>
        </is>
      </c>
      <c r="BB1751" t="inlineStr">
        <is>
          <t>BOOK</t>
        </is>
      </c>
      <c r="BE1751" t="inlineStr">
        <is>
          <t>32285000080340</t>
        </is>
      </c>
      <c r="BF1751" t="inlineStr">
        <is>
          <t>893337157</t>
        </is>
      </c>
    </row>
    <row r="1752">
      <c r="A1752" t="inlineStr">
        <is>
          <t>No</t>
        </is>
      </c>
      <c r="B1752" t="inlineStr">
        <is>
          <t>CURAL</t>
        </is>
      </c>
      <c r="C1752" t="inlineStr">
        <is>
          <t>SHELVES</t>
        </is>
      </c>
      <c r="D1752" t="inlineStr">
        <is>
          <t>PR4483 .L4 1974</t>
        </is>
      </c>
      <c r="E1752" t="inlineStr">
        <is>
          <t>0                      PR 4483000L  4           1974</t>
        </is>
      </c>
      <c r="F1752" t="inlineStr">
        <is>
          <t>Samuel Taylor Coleridge : a bondage of opium / by Molly Lefebure.</t>
        </is>
      </c>
      <c r="H1752" t="inlineStr">
        <is>
          <t>No</t>
        </is>
      </c>
      <c r="I1752" t="inlineStr">
        <is>
          <t>1</t>
        </is>
      </c>
      <c r="J1752" t="inlineStr">
        <is>
          <t>No</t>
        </is>
      </c>
      <c r="K1752" t="inlineStr">
        <is>
          <t>No</t>
        </is>
      </c>
      <c r="L1752" t="inlineStr">
        <is>
          <t>0</t>
        </is>
      </c>
      <c r="M1752" t="inlineStr">
        <is>
          <t>Lefebure, Molly.</t>
        </is>
      </c>
      <c r="N1752" t="inlineStr">
        <is>
          <t>New York : Stein and Day, 1974.</t>
        </is>
      </c>
      <c r="O1752" t="inlineStr">
        <is>
          <t>1974</t>
        </is>
      </c>
      <c r="Q1752" t="inlineStr">
        <is>
          <t>eng</t>
        </is>
      </c>
      <c r="R1752" t="inlineStr">
        <is>
          <t>nyu</t>
        </is>
      </c>
      <c r="T1752" t="inlineStr">
        <is>
          <t xml:space="preserve">PR </t>
        </is>
      </c>
      <c r="U1752" t="n">
        <v>3</v>
      </c>
      <c r="V1752" t="n">
        <v>3</v>
      </c>
      <c r="W1752" t="inlineStr">
        <is>
          <t>2004-02-18</t>
        </is>
      </c>
      <c r="X1752" t="inlineStr">
        <is>
          <t>2004-02-18</t>
        </is>
      </c>
      <c r="Y1752" t="inlineStr">
        <is>
          <t>1990-12-17</t>
        </is>
      </c>
      <c r="Z1752" t="inlineStr">
        <is>
          <t>1990-12-17</t>
        </is>
      </c>
      <c r="AA1752" t="n">
        <v>640</v>
      </c>
      <c r="AB1752" t="n">
        <v>602</v>
      </c>
      <c r="AC1752" t="n">
        <v>628</v>
      </c>
      <c r="AD1752" t="n">
        <v>4</v>
      </c>
      <c r="AE1752" t="n">
        <v>4</v>
      </c>
      <c r="AF1752" t="n">
        <v>22</v>
      </c>
      <c r="AG1752" t="n">
        <v>24</v>
      </c>
      <c r="AH1752" t="n">
        <v>7</v>
      </c>
      <c r="AI1752" t="n">
        <v>8</v>
      </c>
      <c r="AJ1752" t="n">
        <v>6</v>
      </c>
      <c r="AK1752" t="n">
        <v>7</v>
      </c>
      <c r="AL1752" t="n">
        <v>13</v>
      </c>
      <c r="AM1752" t="n">
        <v>14</v>
      </c>
      <c r="AN1752" t="n">
        <v>3</v>
      </c>
      <c r="AO1752" t="n">
        <v>3</v>
      </c>
      <c r="AP1752" t="n">
        <v>0</v>
      </c>
      <c r="AQ1752" t="n">
        <v>0</v>
      </c>
      <c r="AR1752" t="inlineStr">
        <is>
          <t>No</t>
        </is>
      </c>
      <c r="AS1752" t="inlineStr">
        <is>
          <t>Yes</t>
        </is>
      </c>
      <c r="AT1752">
        <f>HYPERLINK("http://catalog.hathitrust.org/Record/000666469","HathiTrust Record")</f>
        <v/>
      </c>
      <c r="AU1752">
        <f>HYPERLINK("https://creighton-primo.hosted.exlibrisgroup.com/primo-explore/search?tab=default_tab&amp;search_scope=EVERYTHING&amp;vid=01CRU&amp;lang=en_US&amp;offset=0&amp;query=any,contains,991003525669702656","Catalog Record")</f>
        <v/>
      </c>
      <c r="AV1752">
        <f>HYPERLINK("http://www.worldcat.org/oclc/1088486","WorldCat Record")</f>
        <v/>
      </c>
      <c r="AW1752" t="inlineStr">
        <is>
          <t>10278413682:eng</t>
        </is>
      </c>
      <c r="AX1752" t="inlineStr">
        <is>
          <t>1088486</t>
        </is>
      </c>
      <c r="AY1752" t="inlineStr">
        <is>
          <t>991003525669702656</t>
        </is>
      </c>
      <c r="AZ1752" t="inlineStr">
        <is>
          <t>991003525669702656</t>
        </is>
      </c>
      <c r="BA1752" t="inlineStr">
        <is>
          <t>2270044900002656</t>
        </is>
      </c>
      <c r="BB1752" t="inlineStr">
        <is>
          <t>BOOK</t>
        </is>
      </c>
      <c r="BD1752" t="inlineStr">
        <is>
          <t>9780812817119</t>
        </is>
      </c>
      <c r="BE1752" t="inlineStr">
        <is>
          <t>32285000359686</t>
        </is>
      </c>
      <c r="BF1752" t="inlineStr">
        <is>
          <t>893711447</t>
        </is>
      </c>
    </row>
    <row r="1753">
      <c r="A1753" t="inlineStr">
        <is>
          <t>No</t>
        </is>
      </c>
      <c r="B1753" t="inlineStr">
        <is>
          <t>CURAL</t>
        </is>
      </c>
      <c r="C1753" t="inlineStr">
        <is>
          <t>SHELVES</t>
        </is>
      </c>
      <c r="D1753" t="inlineStr">
        <is>
          <t>PR4483 .N48</t>
        </is>
      </c>
      <c r="E1753" t="inlineStr">
        <is>
          <t>0                      PR 4483000N  48</t>
        </is>
      </c>
      <c r="F1753" t="inlineStr">
        <is>
          <t>New approaches to Coleridge : biographical and critical essays / edited by Donald Sultana.</t>
        </is>
      </c>
      <c r="H1753" t="inlineStr">
        <is>
          <t>No</t>
        </is>
      </c>
      <c r="I1753" t="inlineStr">
        <is>
          <t>1</t>
        </is>
      </c>
      <c r="J1753" t="inlineStr">
        <is>
          <t>No</t>
        </is>
      </c>
      <c r="K1753" t="inlineStr">
        <is>
          <t>No</t>
        </is>
      </c>
      <c r="L1753" t="inlineStr">
        <is>
          <t>0</t>
        </is>
      </c>
      <c r="N1753" t="inlineStr">
        <is>
          <t>London : Vision ; Totowa, N.J. : Barnes &amp; Noble, 1981.</t>
        </is>
      </c>
      <c r="O1753" t="inlineStr">
        <is>
          <t>1981</t>
        </is>
      </c>
      <c r="Q1753" t="inlineStr">
        <is>
          <t>eng</t>
        </is>
      </c>
      <c r="R1753" t="inlineStr">
        <is>
          <t>enk</t>
        </is>
      </c>
      <c r="S1753" t="inlineStr">
        <is>
          <t>Critical studies series</t>
        </is>
      </c>
      <c r="T1753" t="inlineStr">
        <is>
          <t xml:space="preserve">PR </t>
        </is>
      </c>
      <c r="U1753" t="n">
        <v>4</v>
      </c>
      <c r="V1753" t="n">
        <v>4</v>
      </c>
      <c r="W1753" t="inlineStr">
        <is>
          <t>2006-03-23</t>
        </is>
      </c>
      <c r="X1753" t="inlineStr">
        <is>
          <t>2006-03-23</t>
        </is>
      </c>
      <c r="Y1753" t="inlineStr">
        <is>
          <t>1991-11-06</t>
        </is>
      </c>
      <c r="Z1753" t="inlineStr">
        <is>
          <t>1991-11-06</t>
        </is>
      </c>
      <c r="AA1753" t="n">
        <v>677</v>
      </c>
      <c r="AB1753" t="n">
        <v>524</v>
      </c>
      <c r="AC1753" t="n">
        <v>530</v>
      </c>
      <c r="AD1753" t="n">
        <v>6</v>
      </c>
      <c r="AE1753" t="n">
        <v>6</v>
      </c>
      <c r="AF1753" t="n">
        <v>31</v>
      </c>
      <c r="AG1753" t="n">
        <v>31</v>
      </c>
      <c r="AH1753" t="n">
        <v>11</v>
      </c>
      <c r="AI1753" t="n">
        <v>11</v>
      </c>
      <c r="AJ1753" t="n">
        <v>9</v>
      </c>
      <c r="AK1753" t="n">
        <v>9</v>
      </c>
      <c r="AL1753" t="n">
        <v>14</v>
      </c>
      <c r="AM1753" t="n">
        <v>14</v>
      </c>
      <c r="AN1753" t="n">
        <v>5</v>
      </c>
      <c r="AO1753" t="n">
        <v>5</v>
      </c>
      <c r="AP1753" t="n">
        <v>0</v>
      </c>
      <c r="AQ1753" t="n">
        <v>0</v>
      </c>
      <c r="AR1753" t="inlineStr">
        <is>
          <t>No</t>
        </is>
      </c>
      <c r="AS1753" t="inlineStr">
        <is>
          <t>Yes</t>
        </is>
      </c>
      <c r="AT1753">
        <f>HYPERLINK("http://catalog.hathitrust.org/Record/000184411","HathiTrust Record")</f>
        <v/>
      </c>
      <c r="AU1753">
        <f>HYPERLINK("https://creighton-primo.hosted.exlibrisgroup.com/primo-explore/search?tab=default_tab&amp;search_scope=EVERYTHING&amp;vid=01CRU&amp;lang=en_US&amp;offset=0&amp;query=any,contains,991005094189702656","Catalog Record")</f>
        <v/>
      </c>
      <c r="AV1753">
        <f>HYPERLINK("http://www.worldcat.org/oclc/7262378","WorldCat Record")</f>
        <v/>
      </c>
      <c r="AW1753" t="inlineStr">
        <is>
          <t>806836638:eng</t>
        </is>
      </c>
      <c r="AX1753" t="inlineStr">
        <is>
          <t>7262378</t>
        </is>
      </c>
      <c r="AY1753" t="inlineStr">
        <is>
          <t>991005094189702656</t>
        </is>
      </c>
      <c r="AZ1753" t="inlineStr">
        <is>
          <t>991005094189702656</t>
        </is>
      </c>
      <c r="BA1753" t="inlineStr">
        <is>
          <t>2255583470002656</t>
        </is>
      </c>
      <c r="BB1753" t="inlineStr">
        <is>
          <t>BOOK</t>
        </is>
      </c>
      <c r="BD1753" t="inlineStr">
        <is>
          <t>9780854782949</t>
        </is>
      </c>
      <c r="BE1753" t="inlineStr">
        <is>
          <t>32285000797281</t>
        </is>
      </c>
      <c r="BF1753" t="inlineStr">
        <is>
          <t>893248339</t>
        </is>
      </c>
    </row>
    <row r="1754">
      <c r="A1754" t="inlineStr">
        <is>
          <t>No</t>
        </is>
      </c>
      <c r="B1754" t="inlineStr">
        <is>
          <t>CURAL</t>
        </is>
      </c>
      <c r="C1754" t="inlineStr">
        <is>
          <t>SHELVES</t>
        </is>
      </c>
      <c r="D1754" t="inlineStr">
        <is>
          <t>PR4483 .R3</t>
        </is>
      </c>
      <c r="E1754" t="inlineStr">
        <is>
          <t>0                      PR 4483000R  3</t>
        </is>
      </c>
      <c r="F1754" t="inlineStr">
        <is>
          <t>Samuel Taylor Coleridge / by Virginia L. Radley.</t>
        </is>
      </c>
      <c r="H1754" t="inlineStr">
        <is>
          <t>No</t>
        </is>
      </c>
      <c r="I1754" t="inlineStr">
        <is>
          <t>1</t>
        </is>
      </c>
      <c r="J1754" t="inlineStr">
        <is>
          <t>No</t>
        </is>
      </c>
      <c r="K1754" t="inlineStr">
        <is>
          <t>No</t>
        </is>
      </c>
      <c r="L1754" t="inlineStr">
        <is>
          <t>0</t>
        </is>
      </c>
      <c r="M1754" t="inlineStr">
        <is>
          <t>Radley, Virginia L.</t>
        </is>
      </c>
      <c r="N1754" t="inlineStr">
        <is>
          <t>New York : Twayne Publishers, [c1966]</t>
        </is>
      </c>
      <c r="O1754" t="inlineStr">
        <is>
          <t>1966</t>
        </is>
      </c>
      <c r="Q1754" t="inlineStr">
        <is>
          <t>eng</t>
        </is>
      </c>
      <c r="R1754" t="inlineStr">
        <is>
          <t>nyu</t>
        </is>
      </c>
      <c r="S1754" t="inlineStr">
        <is>
          <t>Twayne's English authors series, 36</t>
        </is>
      </c>
      <c r="T1754" t="inlineStr">
        <is>
          <t xml:space="preserve">PR </t>
        </is>
      </c>
      <c r="U1754" t="n">
        <v>3</v>
      </c>
      <c r="V1754" t="n">
        <v>3</v>
      </c>
      <c r="W1754" t="inlineStr">
        <is>
          <t>1998-02-16</t>
        </is>
      </c>
      <c r="X1754" t="inlineStr">
        <is>
          <t>1998-02-16</t>
        </is>
      </c>
      <c r="Y1754" t="inlineStr">
        <is>
          <t>1992-02-17</t>
        </is>
      </c>
      <c r="Z1754" t="inlineStr">
        <is>
          <t>1992-02-17</t>
        </is>
      </c>
      <c r="AA1754" t="n">
        <v>1600</v>
      </c>
      <c r="AB1754" t="n">
        <v>1472</v>
      </c>
      <c r="AC1754" t="n">
        <v>1556</v>
      </c>
      <c r="AD1754" t="n">
        <v>14</v>
      </c>
      <c r="AE1754" t="n">
        <v>14</v>
      </c>
      <c r="AF1754" t="n">
        <v>42</v>
      </c>
      <c r="AG1754" t="n">
        <v>43</v>
      </c>
      <c r="AH1754" t="n">
        <v>17</v>
      </c>
      <c r="AI1754" t="n">
        <v>17</v>
      </c>
      <c r="AJ1754" t="n">
        <v>6</v>
      </c>
      <c r="AK1754" t="n">
        <v>6</v>
      </c>
      <c r="AL1754" t="n">
        <v>18</v>
      </c>
      <c r="AM1754" t="n">
        <v>19</v>
      </c>
      <c r="AN1754" t="n">
        <v>10</v>
      </c>
      <c r="AO1754" t="n">
        <v>10</v>
      </c>
      <c r="AP1754" t="n">
        <v>0</v>
      </c>
      <c r="AQ1754" t="n">
        <v>0</v>
      </c>
      <c r="AR1754" t="inlineStr">
        <is>
          <t>No</t>
        </is>
      </c>
      <c r="AS1754" t="inlineStr">
        <is>
          <t>Yes</t>
        </is>
      </c>
      <c r="AT1754">
        <f>HYPERLINK("http://catalog.hathitrust.org/Record/000666772","HathiTrust Record")</f>
        <v/>
      </c>
      <c r="AU1754">
        <f>HYPERLINK("https://creighton-primo.hosted.exlibrisgroup.com/primo-explore/search?tab=default_tab&amp;search_scope=EVERYTHING&amp;vid=01CRU&amp;lang=en_US&amp;offset=0&amp;query=any,contains,991002481799702656","Catalog Record")</f>
        <v/>
      </c>
      <c r="AV1754">
        <f>HYPERLINK("http://www.worldcat.org/oclc/359921","WorldCat Record")</f>
        <v/>
      </c>
      <c r="AW1754" t="inlineStr">
        <is>
          <t>461373:eng</t>
        </is>
      </c>
      <c r="AX1754" t="inlineStr">
        <is>
          <t>359921</t>
        </is>
      </c>
      <c r="AY1754" t="inlineStr">
        <is>
          <t>991002481799702656</t>
        </is>
      </c>
      <c r="AZ1754" t="inlineStr">
        <is>
          <t>991002481799702656</t>
        </is>
      </c>
      <c r="BA1754" t="inlineStr">
        <is>
          <t>2272504350002656</t>
        </is>
      </c>
      <c r="BB1754" t="inlineStr">
        <is>
          <t>BOOK</t>
        </is>
      </c>
      <c r="BD1754" t="inlineStr">
        <is>
          <t>9780805711004</t>
        </is>
      </c>
      <c r="BE1754" t="inlineStr">
        <is>
          <t>32285000959675</t>
        </is>
      </c>
      <c r="BF1754" t="inlineStr">
        <is>
          <t>893341489</t>
        </is>
      </c>
    </row>
    <row r="1755">
      <c r="A1755" t="inlineStr">
        <is>
          <t>No</t>
        </is>
      </c>
      <c r="B1755" t="inlineStr">
        <is>
          <t>CURAL</t>
        </is>
      </c>
      <c r="C1755" t="inlineStr">
        <is>
          <t>SHELVES</t>
        </is>
      </c>
      <c r="D1755" t="inlineStr">
        <is>
          <t>PR4483 .S8 1960</t>
        </is>
      </c>
      <c r="E1755" t="inlineStr">
        <is>
          <t>0                      PR 4483000S  8           1960</t>
        </is>
      </c>
      <c r="F1755" t="inlineStr">
        <is>
          <t>The dark night of Samuel Taylor Coleridge.</t>
        </is>
      </c>
      <c r="H1755" t="inlineStr">
        <is>
          <t>No</t>
        </is>
      </c>
      <c r="I1755" t="inlineStr">
        <is>
          <t>1</t>
        </is>
      </c>
      <c r="J1755" t="inlineStr">
        <is>
          <t>No</t>
        </is>
      </c>
      <c r="K1755" t="inlineStr">
        <is>
          <t>No</t>
        </is>
      </c>
      <c r="L1755" t="inlineStr">
        <is>
          <t>0</t>
        </is>
      </c>
      <c r="M1755" t="inlineStr">
        <is>
          <t>Suther, Marshall, 1918-1980.</t>
        </is>
      </c>
      <c r="N1755" t="inlineStr">
        <is>
          <t>New York : Columbia University Press, 1960.</t>
        </is>
      </c>
      <c r="O1755" t="inlineStr">
        <is>
          <t>1960</t>
        </is>
      </c>
      <c r="Q1755" t="inlineStr">
        <is>
          <t>eng</t>
        </is>
      </c>
      <c r="R1755" t="inlineStr">
        <is>
          <t>nyu</t>
        </is>
      </c>
      <c r="T1755" t="inlineStr">
        <is>
          <t xml:space="preserve">PR </t>
        </is>
      </c>
      <c r="U1755" t="n">
        <v>2</v>
      </c>
      <c r="V1755" t="n">
        <v>2</v>
      </c>
      <c r="W1755" t="inlineStr">
        <is>
          <t>2003-09-04</t>
        </is>
      </c>
      <c r="X1755" t="inlineStr">
        <is>
          <t>2003-09-04</t>
        </is>
      </c>
      <c r="Y1755" t="inlineStr">
        <is>
          <t>1993-04-03</t>
        </is>
      </c>
      <c r="Z1755" t="inlineStr">
        <is>
          <t>1993-04-03</t>
        </is>
      </c>
      <c r="AA1755" t="n">
        <v>862</v>
      </c>
      <c r="AB1755" t="n">
        <v>751</v>
      </c>
      <c r="AC1755" t="n">
        <v>770</v>
      </c>
      <c r="AD1755" t="n">
        <v>6</v>
      </c>
      <c r="AE1755" t="n">
        <v>6</v>
      </c>
      <c r="AF1755" t="n">
        <v>39</v>
      </c>
      <c r="AG1755" t="n">
        <v>39</v>
      </c>
      <c r="AH1755" t="n">
        <v>16</v>
      </c>
      <c r="AI1755" t="n">
        <v>16</v>
      </c>
      <c r="AJ1755" t="n">
        <v>9</v>
      </c>
      <c r="AK1755" t="n">
        <v>9</v>
      </c>
      <c r="AL1755" t="n">
        <v>20</v>
      </c>
      <c r="AM1755" t="n">
        <v>20</v>
      </c>
      <c r="AN1755" t="n">
        <v>5</v>
      </c>
      <c r="AO1755" t="n">
        <v>5</v>
      </c>
      <c r="AP1755" t="n">
        <v>0</v>
      </c>
      <c r="AQ1755" t="n">
        <v>0</v>
      </c>
      <c r="AR1755" t="inlineStr">
        <is>
          <t>No</t>
        </is>
      </c>
      <c r="AS1755" t="inlineStr">
        <is>
          <t>Yes</t>
        </is>
      </c>
      <c r="AT1755">
        <f>HYPERLINK("http://catalog.hathitrust.org/Record/000665200","HathiTrust Record")</f>
        <v/>
      </c>
      <c r="AU1755">
        <f>HYPERLINK("https://creighton-primo.hosted.exlibrisgroup.com/primo-explore/search?tab=default_tab&amp;search_scope=EVERYTHING&amp;vid=01CRU&amp;lang=en_US&amp;offset=0&amp;query=any,contains,991002171979702656","Catalog Record")</f>
        <v/>
      </c>
      <c r="AV1755">
        <f>HYPERLINK("http://www.worldcat.org/oclc/277035","WorldCat Record")</f>
        <v/>
      </c>
      <c r="AW1755" t="inlineStr">
        <is>
          <t>1414543:eng</t>
        </is>
      </c>
      <c r="AX1755" t="inlineStr">
        <is>
          <t>277035</t>
        </is>
      </c>
      <c r="AY1755" t="inlineStr">
        <is>
          <t>991002171979702656</t>
        </is>
      </c>
      <c r="AZ1755" t="inlineStr">
        <is>
          <t>991002171979702656</t>
        </is>
      </c>
      <c r="BA1755" t="inlineStr">
        <is>
          <t>2260728860002656</t>
        </is>
      </c>
      <c r="BB1755" t="inlineStr">
        <is>
          <t>BOOK</t>
        </is>
      </c>
      <c r="BE1755" t="inlineStr">
        <is>
          <t>32285001599876</t>
        </is>
      </c>
      <c r="BF1755" t="inlineStr">
        <is>
          <t>893322636</t>
        </is>
      </c>
    </row>
    <row r="1756">
      <c r="A1756" t="inlineStr">
        <is>
          <t>No</t>
        </is>
      </c>
      <c r="B1756" t="inlineStr">
        <is>
          <t>CURAL</t>
        </is>
      </c>
      <c r="C1756" t="inlineStr">
        <is>
          <t>SHELVES</t>
        </is>
      </c>
      <c r="D1756" t="inlineStr">
        <is>
          <t>PR4483 .W28</t>
        </is>
      </c>
      <c r="E1756" t="inlineStr">
        <is>
          <t>0                      PR 4483000W  28</t>
        </is>
      </c>
      <c r="F1756" t="inlineStr">
        <is>
          <t>Coleridge the poet.</t>
        </is>
      </c>
      <c r="H1756" t="inlineStr">
        <is>
          <t>No</t>
        </is>
      </c>
      <c r="I1756" t="inlineStr">
        <is>
          <t>1</t>
        </is>
      </c>
      <c r="J1756" t="inlineStr">
        <is>
          <t>No</t>
        </is>
      </c>
      <c r="K1756" t="inlineStr">
        <is>
          <t>No</t>
        </is>
      </c>
      <c r="L1756" t="inlineStr">
        <is>
          <t>0</t>
        </is>
      </c>
      <c r="M1756" t="inlineStr">
        <is>
          <t>Watson, George, 1927-2013.</t>
        </is>
      </c>
      <c r="N1756" t="inlineStr">
        <is>
          <t>London : Routledge and Kegan Paul, [1966]</t>
        </is>
      </c>
      <c r="O1756" t="inlineStr">
        <is>
          <t>1966</t>
        </is>
      </c>
      <c r="Q1756" t="inlineStr">
        <is>
          <t>eng</t>
        </is>
      </c>
      <c r="R1756" t="inlineStr">
        <is>
          <t xml:space="preserve">xx </t>
        </is>
      </c>
      <c r="T1756" t="inlineStr">
        <is>
          <t xml:space="preserve">PR </t>
        </is>
      </c>
      <c r="U1756" t="n">
        <v>5</v>
      </c>
      <c r="V1756" t="n">
        <v>5</v>
      </c>
      <c r="W1756" t="inlineStr">
        <is>
          <t>2004-01-19</t>
        </is>
      </c>
      <c r="X1756" t="inlineStr">
        <is>
          <t>2004-01-19</t>
        </is>
      </c>
      <c r="Y1756" t="inlineStr">
        <is>
          <t>1993-02-25</t>
        </is>
      </c>
      <c r="Z1756" t="inlineStr">
        <is>
          <t>1993-02-25</t>
        </is>
      </c>
      <c r="AA1756" t="n">
        <v>431</v>
      </c>
      <c r="AB1756" t="n">
        <v>277</v>
      </c>
      <c r="AC1756" t="n">
        <v>742</v>
      </c>
      <c r="AD1756" t="n">
        <v>2</v>
      </c>
      <c r="AE1756" t="n">
        <v>5</v>
      </c>
      <c r="AF1756" t="n">
        <v>11</v>
      </c>
      <c r="AG1756" t="n">
        <v>36</v>
      </c>
      <c r="AH1756" t="n">
        <v>7</v>
      </c>
      <c r="AI1756" t="n">
        <v>14</v>
      </c>
      <c r="AJ1756" t="n">
        <v>1</v>
      </c>
      <c r="AK1756" t="n">
        <v>7</v>
      </c>
      <c r="AL1756" t="n">
        <v>6</v>
      </c>
      <c r="AM1756" t="n">
        <v>22</v>
      </c>
      <c r="AN1756" t="n">
        <v>1</v>
      </c>
      <c r="AO1756" t="n">
        <v>4</v>
      </c>
      <c r="AP1756" t="n">
        <v>0</v>
      </c>
      <c r="AQ1756" t="n">
        <v>0</v>
      </c>
      <c r="AR1756" t="inlineStr">
        <is>
          <t>No</t>
        </is>
      </c>
      <c r="AS1756" t="inlineStr">
        <is>
          <t>No</t>
        </is>
      </c>
      <c r="AU1756">
        <f>HYPERLINK("https://creighton-primo.hosted.exlibrisgroup.com/primo-explore/search?tab=default_tab&amp;search_scope=EVERYTHING&amp;vid=01CRU&amp;lang=en_US&amp;offset=0&amp;query=any,contains,991003345209702656","Catalog Record")</f>
        <v/>
      </c>
      <c r="AV1756">
        <f>HYPERLINK("http://www.worldcat.org/oclc/876855","WorldCat Record")</f>
        <v/>
      </c>
      <c r="AW1756" t="inlineStr">
        <is>
          <t>1489149:eng</t>
        </is>
      </c>
      <c r="AX1756" t="inlineStr">
        <is>
          <t>876855</t>
        </is>
      </c>
      <c r="AY1756" t="inlineStr">
        <is>
          <t>991003345209702656</t>
        </is>
      </c>
      <c r="AZ1756" t="inlineStr">
        <is>
          <t>991003345209702656</t>
        </is>
      </c>
      <c r="BA1756" t="inlineStr">
        <is>
          <t>2263946880002656</t>
        </is>
      </c>
      <c r="BB1756" t="inlineStr">
        <is>
          <t>BOOK</t>
        </is>
      </c>
      <c r="BE1756" t="inlineStr">
        <is>
          <t>32285001538296</t>
        </is>
      </c>
      <c r="BF1756" t="inlineStr">
        <is>
          <t>893711293</t>
        </is>
      </c>
    </row>
    <row r="1757">
      <c r="A1757" t="inlineStr">
        <is>
          <t>No</t>
        </is>
      </c>
      <c r="B1757" t="inlineStr">
        <is>
          <t>CURAL</t>
        </is>
      </c>
      <c r="C1757" t="inlineStr">
        <is>
          <t>SHELVES</t>
        </is>
      </c>
      <c r="D1757" t="inlineStr">
        <is>
          <t>PR4483 .W49 1955</t>
        </is>
      </c>
      <c r="E1757" t="inlineStr">
        <is>
          <t>0                      PR 4483000W  49          1955</t>
        </is>
      </c>
      <c r="F1757" t="inlineStr">
        <is>
          <t>Coleridge and Sara Hutchinson, and the Asra poems.</t>
        </is>
      </c>
      <c r="H1757" t="inlineStr">
        <is>
          <t>No</t>
        </is>
      </c>
      <c r="I1757" t="inlineStr">
        <is>
          <t>1</t>
        </is>
      </c>
      <c r="J1757" t="inlineStr">
        <is>
          <t>No</t>
        </is>
      </c>
      <c r="K1757" t="inlineStr">
        <is>
          <t>No</t>
        </is>
      </c>
      <c r="L1757" t="inlineStr">
        <is>
          <t>0</t>
        </is>
      </c>
      <c r="M1757" t="inlineStr">
        <is>
          <t>Whalley, George, 1915-1983.</t>
        </is>
      </c>
      <c r="N1757" t="inlineStr">
        <is>
          <t>Toronto, University of Toronto Press [c1955]</t>
        </is>
      </c>
      <c r="O1757" t="inlineStr">
        <is>
          <t>1955</t>
        </is>
      </c>
      <c r="Q1757" t="inlineStr">
        <is>
          <t>eng</t>
        </is>
      </c>
      <c r="R1757" t="inlineStr">
        <is>
          <t>onc</t>
        </is>
      </c>
      <c r="T1757" t="inlineStr">
        <is>
          <t xml:space="preserve">PR </t>
        </is>
      </c>
      <c r="U1757" t="n">
        <v>3</v>
      </c>
      <c r="V1757" t="n">
        <v>3</v>
      </c>
      <c r="W1757" t="inlineStr">
        <is>
          <t>2003-10-17</t>
        </is>
      </c>
      <c r="X1757" t="inlineStr">
        <is>
          <t>2003-10-17</t>
        </is>
      </c>
      <c r="Y1757" t="inlineStr">
        <is>
          <t>1997-06-30</t>
        </is>
      </c>
      <c r="Z1757" t="inlineStr">
        <is>
          <t>1997-06-30</t>
        </is>
      </c>
      <c r="AA1757" t="n">
        <v>296</v>
      </c>
      <c r="AB1757" t="n">
        <v>244</v>
      </c>
      <c r="AC1757" t="n">
        <v>434</v>
      </c>
      <c r="AD1757" t="n">
        <v>2</v>
      </c>
      <c r="AE1757" t="n">
        <v>5</v>
      </c>
      <c r="AF1757" t="n">
        <v>16</v>
      </c>
      <c r="AG1757" t="n">
        <v>27</v>
      </c>
      <c r="AH1757" t="n">
        <v>9</v>
      </c>
      <c r="AI1757" t="n">
        <v>12</v>
      </c>
      <c r="AJ1757" t="n">
        <v>4</v>
      </c>
      <c r="AK1757" t="n">
        <v>6</v>
      </c>
      <c r="AL1757" t="n">
        <v>9</v>
      </c>
      <c r="AM1757" t="n">
        <v>16</v>
      </c>
      <c r="AN1757" t="n">
        <v>1</v>
      </c>
      <c r="AO1757" t="n">
        <v>4</v>
      </c>
      <c r="AP1757" t="n">
        <v>0</v>
      </c>
      <c r="AQ1757" t="n">
        <v>0</v>
      </c>
      <c r="AR1757" t="inlineStr">
        <is>
          <t>No</t>
        </is>
      </c>
      <c r="AS1757" t="inlineStr">
        <is>
          <t>No</t>
        </is>
      </c>
      <c r="AU1757">
        <f>HYPERLINK("https://creighton-primo.hosted.exlibrisgroup.com/primo-explore/search?tab=default_tab&amp;search_scope=EVERYTHING&amp;vid=01CRU&amp;lang=en_US&amp;offset=0&amp;query=any,contains,991002468459702656","Catalog Record")</f>
        <v/>
      </c>
      <c r="AV1757">
        <f>HYPERLINK("http://www.worldcat.org/oclc/358201","WorldCat Record")</f>
        <v/>
      </c>
      <c r="AW1757" t="inlineStr">
        <is>
          <t>1405971:eng</t>
        </is>
      </c>
      <c r="AX1757" t="inlineStr">
        <is>
          <t>358201</t>
        </is>
      </c>
      <c r="AY1757" t="inlineStr">
        <is>
          <t>991002468459702656</t>
        </is>
      </c>
      <c r="AZ1757" t="inlineStr">
        <is>
          <t>991002468459702656</t>
        </is>
      </c>
      <c r="BA1757" t="inlineStr">
        <is>
          <t>2266137530002656</t>
        </is>
      </c>
      <c r="BB1757" t="inlineStr">
        <is>
          <t>BOOK</t>
        </is>
      </c>
      <c r="BE1757" t="inlineStr">
        <is>
          <t>32285002837143</t>
        </is>
      </c>
      <c r="BF1757" t="inlineStr">
        <is>
          <t>893697824</t>
        </is>
      </c>
    </row>
    <row r="1758">
      <c r="A1758" t="inlineStr">
        <is>
          <t>No</t>
        </is>
      </c>
      <c r="B1758" t="inlineStr">
        <is>
          <t>CURAL</t>
        </is>
      </c>
      <c r="C1758" t="inlineStr">
        <is>
          <t>SHELVES</t>
        </is>
      </c>
      <c r="D1758" t="inlineStr">
        <is>
          <t>PR4484 .A6</t>
        </is>
      </c>
      <c r="E1758" t="inlineStr">
        <is>
          <t>0                      PR 4484000A  6</t>
        </is>
      </c>
      <c r="F1758" t="inlineStr">
        <is>
          <t>Coleridge's philosophy of literature; the development of a concept of poetry, 1791-1819.</t>
        </is>
      </c>
      <c r="H1758" t="inlineStr">
        <is>
          <t>No</t>
        </is>
      </c>
      <c r="I1758" t="inlineStr">
        <is>
          <t>1</t>
        </is>
      </c>
      <c r="J1758" t="inlineStr">
        <is>
          <t>No</t>
        </is>
      </c>
      <c r="K1758" t="inlineStr">
        <is>
          <t>No</t>
        </is>
      </c>
      <c r="L1758" t="inlineStr">
        <is>
          <t>0</t>
        </is>
      </c>
      <c r="M1758" t="inlineStr">
        <is>
          <t>Appleyard, J. A. (Joseph Albert)</t>
        </is>
      </c>
      <c r="N1758" t="inlineStr">
        <is>
          <t>Cambridge, Harvard University Press, 1965.</t>
        </is>
      </c>
      <c r="O1758" t="inlineStr">
        <is>
          <t>1965</t>
        </is>
      </c>
      <c r="Q1758" t="inlineStr">
        <is>
          <t>eng</t>
        </is>
      </c>
      <c r="R1758" t="inlineStr">
        <is>
          <t>mau</t>
        </is>
      </c>
      <c r="T1758" t="inlineStr">
        <is>
          <t xml:space="preserve">PR </t>
        </is>
      </c>
      <c r="U1758" t="n">
        <v>2</v>
      </c>
      <c r="V1758" t="n">
        <v>2</v>
      </c>
      <c r="W1758" t="inlineStr">
        <is>
          <t>2006-03-16</t>
        </is>
      </c>
      <c r="X1758" t="inlineStr">
        <is>
          <t>2006-03-16</t>
        </is>
      </c>
      <c r="Y1758" t="inlineStr">
        <is>
          <t>1997-06-30</t>
        </is>
      </c>
      <c r="Z1758" t="inlineStr">
        <is>
          <t>1997-06-30</t>
        </is>
      </c>
      <c r="AA1758" t="n">
        <v>870</v>
      </c>
      <c r="AB1758" t="n">
        <v>721</v>
      </c>
      <c r="AC1758" t="n">
        <v>730</v>
      </c>
      <c r="AD1758" t="n">
        <v>4</v>
      </c>
      <c r="AE1758" t="n">
        <v>4</v>
      </c>
      <c r="AF1758" t="n">
        <v>32</v>
      </c>
      <c r="AG1758" t="n">
        <v>32</v>
      </c>
      <c r="AH1758" t="n">
        <v>11</v>
      </c>
      <c r="AI1758" t="n">
        <v>11</v>
      </c>
      <c r="AJ1758" t="n">
        <v>8</v>
      </c>
      <c r="AK1758" t="n">
        <v>8</v>
      </c>
      <c r="AL1758" t="n">
        <v>18</v>
      </c>
      <c r="AM1758" t="n">
        <v>18</v>
      </c>
      <c r="AN1758" t="n">
        <v>3</v>
      </c>
      <c r="AO1758" t="n">
        <v>3</v>
      </c>
      <c r="AP1758" t="n">
        <v>0</v>
      </c>
      <c r="AQ1758" t="n">
        <v>0</v>
      </c>
      <c r="AR1758" t="inlineStr">
        <is>
          <t>No</t>
        </is>
      </c>
      <c r="AS1758" t="inlineStr">
        <is>
          <t>Yes</t>
        </is>
      </c>
      <c r="AT1758">
        <f>HYPERLINK("http://catalog.hathitrust.org/Record/000352174","HathiTrust Record")</f>
        <v/>
      </c>
      <c r="AU1758">
        <f>HYPERLINK("https://creighton-primo.hosted.exlibrisgroup.com/primo-explore/search?tab=default_tab&amp;search_scope=EVERYTHING&amp;vid=01CRU&amp;lang=en_US&amp;offset=0&amp;query=any,contains,991002171229702656","Catalog Record")</f>
        <v/>
      </c>
      <c r="AV1758">
        <f>HYPERLINK("http://www.worldcat.org/oclc/276891","WorldCat Record")</f>
        <v/>
      </c>
      <c r="AW1758" t="inlineStr">
        <is>
          <t>500429993:eng</t>
        </is>
      </c>
      <c r="AX1758" t="inlineStr">
        <is>
          <t>276891</t>
        </is>
      </c>
      <c r="AY1758" t="inlineStr">
        <is>
          <t>991002171229702656</t>
        </is>
      </c>
      <c r="AZ1758" t="inlineStr">
        <is>
          <t>991002171229702656</t>
        </is>
      </c>
      <c r="BA1758" t="inlineStr">
        <is>
          <t>2259897110002656</t>
        </is>
      </c>
      <c r="BB1758" t="inlineStr">
        <is>
          <t>BOOK</t>
        </is>
      </c>
      <c r="BE1758" t="inlineStr">
        <is>
          <t>32285002837168</t>
        </is>
      </c>
      <c r="BF1758" t="inlineStr">
        <is>
          <t>893421012</t>
        </is>
      </c>
    </row>
    <row r="1759">
      <c r="A1759" t="inlineStr">
        <is>
          <t>No</t>
        </is>
      </c>
      <c r="B1759" t="inlineStr">
        <is>
          <t>CURAL</t>
        </is>
      </c>
      <c r="C1759" t="inlineStr">
        <is>
          <t>SHELVES</t>
        </is>
      </c>
      <c r="D1759" t="inlineStr">
        <is>
          <t>PR4484 .B3</t>
        </is>
      </c>
      <c r="E1759" t="inlineStr">
        <is>
          <t>0                      PR 4484000B  3</t>
        </is>
      </c>
      <c r="F1759" t="inlineStr">
        <is>
          <t>What Coleridge thought.</t>
        </is>
      </c>
      <c r="H1759" t="inlineStr">
        <is>
          <t>No</t>
        </is>
      </c>
      <c r="I1759" t="inlineStr">
        <is>
          <t>1</t>
        </is>
      </c>
      <c r="J1759" t="inlineStr">
        <is>
          <t>No</t>
        </is>
      </c>
      <c r="K1759" t="inlineStr">
        <is>
          <t>No</t>
        </is>
      </c>
      <c r="L1759" t="inlineStr">
        <is>
          <t>0</t>
        </is>
      </c>
      <c r="M1759" t="inlineStr">
        <is>
          <t>Barfield, Owen, 1898-1997.</t>
        </is>
      </c>
      <c r="N1759" t="inlineStr">
        <is>
          <t>Middletown, Conn. : Wesleyan University Press, [1971]</t>
        </is>
      </c>
      <c r="O1759" t="inlineStr">
        <is>
          <t>1971</t>
        </is>
      </c>
      <c r="P1759" t="inlineStr">
        <is>
          <t>[1st ed.]</t>
        </is>
      </c>
      <c r="Q1759" t="inlineStr">
        <is>
          <t>eng</t>
        </is>
      </c>
      <c r="R1759" t="inlineStr">
        <is>
          <t>ctu</t>
        </is>
      </c>
      <c r="T1759" t="inlineStr">
        <is>
          <t xml:space="preserve">PR </t>
        </is>
      </c>
      <c r="U1759" t="n">
        <v>5</v>
      </c>
      <c r="V1759" t="n">
        <v>5</v>
      </c>
      <c r="W1759" t="inlineStr">
        <is>
          <t>1997-09-24</t>
        </is>
      </c>
      <c r="X1759" t="inlineStr">
        <is>
          <t>1997-09-24</t>
        </is>
      </c>
      <c r="Y1759" t="inlineStr">
        <is>
          <t>1993-02-25</t>
        </is>
      </c>
      <c r="Z1759" t="inlineStr">
        <is>
          <t>1993-02-25</t>
        </is>
      </c>
      <c r="AA1759" t="n">
        <v>919</v>
      </c>
      <c r="AB1759" t="n">
        <v>813</v>
      </c>
      <c r="AC1759" t="n">
        <v>861</v>
      </c>
      <c r="AD1759" t="n">
        <v>8</v>
      </c>
      <c r="AE1759" t="n">
        <v>8</v>
      </c>
      <c r="AF1759" t="n">
        <v>42</v>
      </c>
      <c r="AG1759" t="n">
        <v>46</v>
      </c>
      <c r="AH1759" t="n">
        <v>14</v>
      </c>
      <c r="AI1759" t="n">
        <v>18</v>
      </c>
      <c r="AJ1759" t="n">
        <v>10</v>
      </c>
      <c r="AK1759" t="n">
        <v>10</v>
      </c>
      <c r="AL1759" t="n">
        <v>20</v>
      </c>
      <c r="AM1759" t="n">
        <v>24</v>
      </c>
      <c r="AN1759" t="n">
        <v>6</v>
      </c>
      <c r="AO1759" t="n">
        <v>6</v>
      </c>
      <c r="AP1759" t="n">
        <v>0</v>
      </c>
      <c r="AQ1759" t="n">
        <v>0</v>
      </c>
      <c r="AR1759" t="inlineStr">
        <is>
          <t>No</t>
        </is>
      </c>
      <c r="AS1759" t="inlineStr">
        <is>
          <t>No</t>
        </is>
      </c>
      <c r="AU1759">
        <f>HYPERLINK("https://creighton-primo.hosted.exlibrisgroup.com/primo-explore/search?tab=default_tab&amp;search_scope=EVERYTHING&amp;vid=01CRU&amp;lang=en_US&amp;offset=0&amp;query=any,contains,991001285209702656","Catalog Record")</f>
        <v/>
      </c>
      <c r="AV1759">
        <f>HYPERLINK("http://www.worldcat.org/oclc/215477","WorldCat Record")</f>
        <v/>
      </c>
      <c r="AW1759" t="inlineStr">
        <is>
          <t>58201681:eng</t>
        </is>
      </c>
      <c r="AX1759" t="inlineStr">
        <is>
          <t>215477</t>
        </is>
      </c>
      <c r="AY1759" t="inlineStr">
        <is>
          <t>991001285209702656</t>
        </is>
      </c>
      <c r="AZ1759" t="inlineStr">
        <is>
          <t>991001285209702656</t>
        </is>
      </c>
      <c r="BA1759" t="inlineStr">
        <is>
          <t>2255854180002656</t>
        </is>
      </c>
      <c r="BB1759" t="inlineStr">
        <is>
          <t>BOOK</t>
        </is>
      </c>
      <c r="BD1759" t="inlineStr">
        <is>
          <t>9780819540409</t>
        </is>
      </c>
      <c r="BE1759" t="inlineStr">
        <is>
          <t>32285001538288</t>
        </is>
      </c>
      <c r="BF1759" t="inlineStr">
        <is>
          <t>893772482</t>
        </is>
      </c>
    </row>
    <row r="1760">
      <c r="A1760" t="inlineStr">
        <is>
          <t>No</t>
        </is>
      </c>
      <c r="B1760" t="inlineStr">
        <is>
          <t>CURAL</t>
        </is>
      </c>
      <c r="C1760" t="inlineStr">
        <is>
          <t>SHELVES</t>
        </is>
      </c>
      <c r="D1760" t="inlineStr">
        <is>
          <t>PR4484 .B94 1986</t>
        </is>
      </c>
      <c r="E1760" t="inlineStr">
        <is>
          <t>0                      PR 4484000B  94          1986</t>
        </is>
      </c>
      <c r="F1760" t="inlineStr">
        <is>
          <t>Coleridge and the self : romantic egotism / Stephen Bygrave.</t>
        </is>
      </c>
      <c r="H1760" t="inlineStr">
        <is>
          <t>No</t>
        </is>
      </c>
      <c r="I1760" t="inlineStr">
        <is>
          <t>1</t>
        </is>
      </c>
      <c r="J1760" t="inlineStr">
        <is>
          <t>No</t>
        </is>
      </c>
      <c r="K1760" t="inlineStr">
        <is>
          <t>No</t>
        </is>
      </c>
      <c r="L1760" t="inlineStr">
        <is>
          <t>0</t>
        </is>
      </c>
      <c r="M1760" t="inlineStr">
        <is>
          <t>Bygrave, Stephen.</t>
        </is>
      </c>
      <c r="N1760" t="inlineStr">
        <is>
          <t>Basingstoke : Macmillan, 1986.</t>
        </is>
      </c>
      <c r="O1760" t="inlineStr">
        <is>
          <t>1986</t>
        </is>
      </c>
      <c r="Q1760" t="inlineStr">
        <is>
          <t>eng</t>
        </is>
      </c>
      <c r="R1760" t="inlineStr">
        <is>
          <t>enk</t>
        </is>
      </c>
      <c r="S1760" t="inlineStr">
        <is>
          <t>Macmillan studies in romanticism</t>
        </is>
      </c>
      <c r="T1760" t="inlineStr">
        <is>
          <t xml:space="preserve">PR </t>
        </is>
      </c>
      <c r="U1760" t="n">
        <v>1</v>
      </c>
      <c r="V1760" t="n">
        <v>1</v>
      </c>
      <c r="W1760" t="inlineStr">
        <is>
          <t>1995-02-28</t>
        </is>
      </c>
      <c r="X1760" t="inlineStr">
        <is>
          <t>1995-02-28</t>
        </is>
      </c>
      <c r="Y1760" t="inlineStr">
        <is>
          <t>1991-11-06</t>
        </is>
      </c>
      <c r="Z1760" t="inlineStr">
        <is>
          <t>1991-11-06</t>
        </is>
      </c>
      <c r="AA1760" t="n">
        <v>174</v>
      </c>
      <c r="AB1760" t="n">
        <v>71</v>
      </c>
      <c r="AC1760" t="n">
        <v>268</v>
      </c>
      <c r="AD1760" t="n">
        <v>3</v>
      </c>
      <c r="AE1760" t="n">
        <v>4</v>
      </c>
      <c r="AF1760" t="n">
        <v>4</v>
      </c>
      <c r="AG1760" t="n">
        <v>16</v>
      </c>
      <c r="AH1760" t="n">
        <v>0</v>
      </c>
      <c r="AI1760" t="n">
        <v>6</v>
      </c>
      <c r="AJ1760" t="n">
        <v>1</v>
      </c>
      <c r="AK1760" t="n">
        <v>4</v>
      </c>
      <c r="AL1760" t="n">
        <v>2</v>
      </c>
      <c r="AM1760" t="n">
        <v>9</v>
      </c>
      <c r="AN1760" t="n">
        <v>2</v>
      </c>
      <c r="AO1760" t="n">
        <v>3</v>
      </c>
      <c r="AP1760" t="n">
        <v>0</v>
      </c>
      <c r="AQ1760" t="n">
        <v>0</v>
      </c>
      <c r="AR1760" t="inlineStr">
        <is>
          <t>No</t>
        </is>
      </c>
      <c r="AS1760" t="inlineStr">
        <is>
          <t>Yes</t>
        </is>
      </c>
      <c r="AT1760">
        <f>HYPERLINK("http://catalog.hathitrust.org/Record/000471651","HathiTrust Record")</f>
        <v/>
      </c>
      <c r="AU1760">
        <f>HYPERLINK("https://creighton-primo.hosted.exlibrisgroup.com/primo-explore/search?tab=default_tab&amp;search_scope=EVERYTHING&amp;vid=01CRU&amp;lang=en_US&amp;offset=0&amp;query=any,contains,991000696979702656","Catalog Record")</f>
        <v/>
      </c>
      <c r="AV1760">
        <f>HYPERLINK("http://www.worldcat.org/oclc/12517915","WorldCat Record")</f>
        <v/>
      </c>
      <c r="AW1760" t="inlineStr">
        <is>
          <t>4310994:eng</t>
        </is>
      </c>
      <c r="AX1760" t="inlineStr">
        <is>
          <t>12517915</t>
        </is>
      </c>
      <c r="AY1760" t="inlineStr">
        <is>
          <t>991000696979702656</t>
        </is>
      </c>
      <c r="AZ1760" t="inlineStr">
        <is>
          <t>991000696979702656</t>
        </is>
      </c>
      <c r="BA1760" t="inlineStr">
        <is>
          <t>2259811790002656</t>
        </is>
      </c>
      <c r="BB1760" t="inlineStr">
        <is>
          <t>BOOK</t>
        </is>
      </c>
      <c r="BD1760" t="inlineStr">
        <is>
          <t>9780333388518</t>
        </is>
      </c>
      <c r="BE1760" t="inlineStr">
        <is>
          <t>32285000797299</t>
        </is>
      </c>
      <c r="BF1760" t="inlineStr">
        <is>
          <t>893225216</t>
        </is>
      </c>
    </row>
    <row r="1761">
      <c r="A1761" t="inlineStr">
        <is>
          <t>No</t>
        </is>
      </c>
      <c r="B1761" t="inlineStr">
        <is>
          <t>CURAL</t>
        </is>
      </c>
      <c r="C1761" t="inlineStr">
        <is>
          <t>SHELVES</t>
        </is>
      </c>
      <c r="D1761" t="inlineStr">
        <is>
          <t>PR4484 .C57</t>
        </is>
      </c>
      <c r="E1761" t="inlineStr">
        <is>
          <t>0                      PR 4484000C  57</t>
        </is>
      </c>
      <c r="F1761" t="inlineStr">
        <is>
          <t>Coleridge : a collection of critical essays / edited by Kathleen Coburn.</t>
        </is>
      </c>
      <c r="H1761" t="inlineStr">
        <is>
          <t>No</t>
        </is>
      </c>
      <c r="I1761" t="inlineStr">
        <is>
          <t>1</t>
        </is>
      </c>
      <c r="J1761" t="inlineStr">
        <is>
          <t>No</t>
        </is>
      </c>
      <c r="K1761" t="inlineStr">
        <is>
          <t>No</t>
        </is>
      </c>
      <c r="L1761" t="inlineStr">
        <is>
          <t>0</t>
        </is>
      </c>
      <c r="M1761" t="inlineStr">
        <is>
          <t>Coburn, Kathleen, compiler.</t>
        </is>
      </c>
      <c r="N1761" t="inlineStr">
        <is>
          <t>Englewood Cliffs, N.J. : Prentice-Hall, [1967]</t>
        </is>
      </c>
      <c r="O1761" t="inlineStr">
        <is>
          <t>1967</t>
        </is>
      </c>
      <c r="Q1761" t="inlineStr">
        <is>
          <t>eng</t>
        </is>
      </c>
      <c r="R1761" t="inlineStr">
        <is>
          <t>nju</t>
        </is>
      </c>
      <c r="S1761" t="inlineStr">
        <is>
          <t>A Spectrum book: Twentieth century views</t>
        </is>
      </c>
      <c r="T1761" t="inlineStr">
        <is>
          <t xml:space="preserve">PR </t>
        </is>
      </c>
      <c r="U1761" t="n">
        <v>5</v>
      </c>
      <c r="V1761" t="n">
        <v>5</v>
      </c>
      <c r="W1761" t="inlineStr">
        <is>
          <t>2001-07-18</t>
        </is>
      </c>
      <c r="X1761" t="inlineStr">
        <is>
          <t>2001-07-18</t>
        </is>
      </c>
      <c r="Y1761" t="inlineStr">
        <is>
          <t>1993-03-09</t>
        </is>
      </c>
      <c r="Z1761" t="inlineStr">
        <is>
          <t>1993-03-09</t>
        </is>
      </c>
      <c r="AA1761" t="n">
        <v>2127</v>
      </c>
      <c r="AB1761" t="n">
        <v>1867</v>
      </c>
      <c r="AC1761" t="n">
        <v>1880</v>
      </c>
      <c r="AD1761" t="n">
        <v>15</v>
      </c>
      <c r="AE1761" t="n">
        <v>15</v>
      </c>
      <c r="AF1761" t="n">
        <v>53</v>
      </c>
      <c r="AG1761" t="n">
        <v>54</v>
      </c>
      <c r="AH1761" t="n">
        <v>19</v>
      </c>
      <c r="AI1761" t="n">
        <v>20</v>
      </c>
      <c r="AJ1761" t="n">
        <v>10</v>
      </c>
      <c r="AK1761" t="n">
        <v>10</v>
      </c>
      <c r="AL1761" t="n">
        <v>24</v>
      </c>
      <c r="AM1761" t="n">
        <v>24</v>
      </c>
      <c r="AN1761" t="n">
        <v>12</v>
      </c>
      <c r="AO1761" t="n">
        <v>12</v>
      </c>
      <c r="AP1761" t="n">
        <v>0</v>
      </c>
      <c r="AQ1761" t="n">
        <v>0</v>
      </c>
      <c r="AR1761" t="inlineStr">
        <is>
          <t>No</t>
        </is>
      </c>
      <c r="AS1761" t="inlineStr">
        <is>
          <t>Yes</t>
        </is>
      </c>
      <c r="AT1761">
        <f>HYPERLINK("http://catalog.hathitrust.org/Record/000666770","HathiTrust Record")</f>
        <v/>
      </c>
      <c r="AU1761">
        <f>HYPERLINK("https://creighton-primo.hosted.exlibrisgroup.com/primo-explore/search?tab=default_tab&amp;search_scope=EVERYTHING&amp;vid=01CRU&amp;lang=en_US&amp;offset=0&amp;query=any,contains,991002474459702656","Catalog Record")</f>
        <v/>
      </c>
      <c r="AV1761">
        <f>HYPERLINK("http://www.worldcat.org/oclc/358881","WorldCat Record")</f>
        <v/>
      </c>
      <c r="AW1761" t="inlineStr">
        <is>
          <t>905868976:eng</t>
        </is>
      </c>
      <c r="AX1761" t="inlineStr">
        <is>
          <t>358881</t>
        </is>
      </c>
      <c r="AY1761" t="inlineStr">
        <is>
          <t>991002474459702656</t>
        </is>
      </c>
      <c r="AZ1761" t="inlineStr">
        <is>
          <t>991002474459702656</t>
        </is>
      </c>
      <c r="BA1761" t="inlineStr">
        <is>
          <t>2266107280002656</t>
        </is>
      </c>
      <c r="BB1761" t="inlineStr">
        <is>
          <t>BOOK</t>
        </is>
      </c>
      <c r="BE1761" t="inlineStr">
        <is>
          <t>32285001571115</t>
        </is>
      </c>
      <c r="BF1761" t="inlineStr">
        <is>
          <t>893697835</t>
        </is>
      </c>
    </row>
    <row r="1762">
      <c r="A1762" t="inlineStr">
        <is>
          <t>No</t>
        </is>
      </c>
      <c r="B1762" t="inlineStr">
        <is>
          <t>CURAL</t>
        </is>
      </c>
      <c r="C1762" t="inlineStr">
        <is>
          <t>SHELVES</t>
        </is>
      </c>
      <c r="D1762" t="inlineStr">
        <is>
          <t>PR4484 .D38 1990</t>
        </is>
      </c>
      <c r="E1762" t="inlineStr">
        <is>
          <t>0                      PR 4484000D  38          1990</t>
        </is>
      </c>
      <c r="F1762" t="inlineStr">
        <is>
          <t>Coleridge's career / Graham Davidson.</t>
        </is>
      </c>
      <c r="H1762" t="inlineStr">
        <is>
          <t>No</t>
        </is>
      </c>
      <c r="I1762" t="inlineStr">
        <is>
          <t>1</t>
        </is>
      </c>
      <c r="J1762" t="inlineStr">
        <is>
          <t>No</t>
        </is>
      </c>
      <c r="K1762" t="inlineStr">
        <is>
          <t>No</t>
        </is>
      </c>
      <c r="L1762" t="inlineStr">
        <is>
          <t>0</t>
        </is>
      </c>
      <c r="M1762" t="inlineStr">
        <is>
          <t>Davidson, Graham, 1947-</t>
        </is>
      </c>
      <c r="N1762" t="inlineStr">
        <is>
          <t>New York : St. Martin's Press, 1990.</t>
        </is>
      </c>
      <c r="O1762" t="inlineStr">
        <is>
          <t>1990</t>
        </is>
      </c>
      <c r="Q1762" t="inlineStr">
        <is>
          <t>eng</t>
        </is>
      </c>
      <c r="R1762" t="inlineStr">
        <is>
          <t>nyu</t>
        </is>
      </c>
      <c r="T1762" t="inlineStr">
        <is>
          <t xml:space="preserve">PR </t>
        </is>
      </c>
      <c r="U1762" t="n">
        <v>5</v>
      </c>
      <c r="V1762" t="n">
        <v>5</v>
      </c>
      <c r="W1762" t="inlineStr">
        <is>
          <t>1997-02-04</t>
        </is>
      </c>
      <c r="X1762" t="inlineStr">
        <is>
          <t>1997-02-04</t>
        </is>
      </c>
      <c r="Y1762" t="inlineStr">
        <is>
          <t>1990-03-15</t>
        </is>
      </c>
      <c r="Z1762" t="inlineStr">
        <is>
          <t>1990-03-15</t>
        </is>
      </c>
      <c r="AA1762" t="n">
        <v>215</v>
      </c>
      <c r="AB1762" t="n">
        <v>194</v>
      </c>
      <c r="AC1762" t="n">
        <v>240</v>
      </c>
      <c r="AD1762" t="n">
        <v>1</v>
      </c>
      <c r="AE1762" t="n">
        <v>1</v>
      </c>
      <c r="AF1762" t="n">
        <v>10</v>
      </c>
      <c r="AG1762" t="n">
        <v>11</v>
      </c>
      <c r="AH1762" t="n">
        <v>2</v>
      </c>
      <c r="AI1762" t="n">
        <v>2</v>
      </c>
      <c r="AJ1762" t="n">
        <v>3</v>
      </c>
      <c r="AK1762" t="n">
        <v>4</v>
      </c>
      <c r="AL1762" t="n">
        <v>9</v>
      </c>
      <c r="AM1762" t="n">
        <v>10</v>
      </c>
      <c r="AN1762" t="n">
        <v>0</v>
      </c>
      <c r="AO1762" t="n">
        <v>0</v>
      </c>
      <c r="AP1762" t="n">
        <v>0</v>
      </c>
      <c r="AQ1762" t="n">
        <v>0</v>
      </c>
      <c r="AR1762" t="inlineStr">
        <is>
          <t>No</t>
        </is>
      </c>
      <c r="AS1762" t="inlineStr">
        <is>
          <t>No</t>
        </is>
      </c>
      <c r="AU1762">
        <f>HYPERLINK("https://creighton-primo.hosted.exlibrisgroup.com/primo-explore/search?tab=default_tab&amp;search_scope=EVERYTHING&amp;vid=01CRU&amp;lang=en_US&amp;offset=0&amp;query=any,contains,991001541359702656","Catalog Record")</f>
        <v/>
      </c>
      <c r="AV1762">
        <f>HYPERLINK("http://www.worldcat.org/oclc/20130966","WorldCat Record")</f>
        <v/>
      </c>
      <c r="AW1762" t="inlineStr">
        <is>
          <t>18968702:eng</t>
        </is>
      </c>
      <c r="AX1762" t="inlineStr">
        <is>
          <t>20130966</t>
        </is>
      </c>
      <c r="AY1762" t="inlineStr">
        <is>
          <t>991001541359702656</t>
        </is>
      </c>
      <c r="AZ1762" t="inlineStr">
        <is>
          <t>991001541359702656</t>
        </is>
      </c>
      <c r="BA1762" t="inlineStr">
        <is>
          <t>2263558510002656</t>
        </is>
      </c>
      <c r="BB1762" t="inlineStr">
        <is>
          <t>BOOK</t>
        </is>
      </c>
      <c r="BD1762" t="inlineStr">
        <is>
          <t>9780312036836</t>
        </is>
      </c>
      <c r="BE1762" t="inlineStr">
        <is>
          <t>32285000063791</t>
        </is>
      </c>
      <c r="BF1762" t="inlineStr">
        <is>
          <t>893322028</t>
        </is>
      </c>
    </row>
    <row r="1763">
      <c r="A1763" t="inlineStr">
        <is>
          <t>No</t>
        </is>
      </c>
      <c r="B1763" t="inlineStr">
        <is>
          <t>CURAL</t>
        </is>
      </c>
      <c r="C1763" t="inlineStr">
        <is>
          <t>SHELVES</t>
        </is>
      </c>
      <c r="D1763" t="inlineStr">
        <is>
          <t>PR4484 .E5 1972</t>
        </is>
      </c>
      <c r="E1763" t="inlineStr">
        <is>
          <t>0                      PR 4484000E  5           1972</t>
        </is>
      </c>
      <c r="F1763" t="inlineStr">
        <is>
          <t>New perspectives on Coleridge and Wordsworth : selected papers from the English Institute / edited with a foreword by Geoffrey H. Hartman.</t>
        </is>
      </c>
      <c r="H1763" t="inlineStr">
        <is>
          <t>No</t>
        </is>
      </c>
      <c r="I1763" t="inlineStr">
        <is>
          <t>1</t>
        </is>
      </c>
      <c r="J1763" t="inlineStr">
        <is>
          <t>No</t>
        </is>
      </c>
      <c r="K1763" t="inlineStr">
        <is>
          <t>No</t>
        </is>
      </c>
      <c r="L1763" t="inlineStr">
        <is>
          <t>0</t>
        </is>
      </c>
      <c r="M1763" t="inlineStr">
        <is>
          <t>English Institute.</t>
        </is>
      </c>
      <c r="N1763" t="inlineStr">
        <is>
          <t>New York : Columbia University Press, 1972.</t>
        </is>
      </c>
      <c r="O1763" t="inlineStr">
        <is>
          <t>1972</t>
        </is>
      </c>
      <c r="Q1763" t="inlineStr">
        <is>
          <t>eng</t>
        </is>
      </c>
      <c r="R1763" t="inlineStr">
        <is>
          <t>nyu</t>
        </is>
      </c>
      <c r="T1763" t="inlineStr">
        <is>
          <t xml:space="preserve">PR </t>
        </is>
      </c>
      <c r="U1763" t="n">
        <v>6</v>
      </c>
      <c r="V1763" t="n">
        <v>6</v>
      </c>
      <c r="W1763" t="inlineStr">
        <is>
          <t>1996-02-11</t>
        </is>
      </c>
      <c r="X1763" t="inlineStr">
        <is>
          <t>1996-02-11</t>
        </is>
      </c>
      <c r="Y1763" t="inlineStr">
        <is>
          <t>1993-02-25</t>
        </is>
      </c>
      <c r="Z1763" t="inlineStr">
        <is>
          <t>1993-02-25</t>
        </is>
      </c>
      <c r="AA1763" t="n">
        <v>1024</v>
      </c>
      <c r="AB1763" t="n">
        <v>873</v>
      </c>
      <c r="AC1763" t="n">
        <v>979</v>
      </c>
      <c r="AD1763" t="n">
        <v>9</v>
      </c>
      <c r="AE1763" t="n">
        <v>9</v>
      </c>
      <c r="AF1763" t="n">
        <v>48</v>
      </c>
      <c r="AG1763" t="n">
        <v>51</v>
      </c>
      <c r="AH1763" t="n">
        <v>19</v>
      </c>
      <c r="AI1763" t="n">
        <v>22</v>
      </c>
      <c r="AJ1763" t="n">
        <v>11</v>
      </c>
      <c r="AK1763" t="n">
        <v>11</v>
      </c>
      <c r="AL1763" t="n">
        <v>23</v>
      </c>
      <c r="AM1763" t="n">
        <v>23</v>
      </c>
      <c r="AN1763" t="n">
        <v>8</v>
      </c>
      <c r="AO1763" t="n">
        <v>8</v>
      </c>
      <c r="AP1763" t="n">
        <v>0</v>
      </c>
      <c r="AQ1763" t="n">
        <v>0</v>
      </c>
      <c r="AR1763" t="inlineStr">
        <is>
          <t>No</t>
        </is>
      </c>
      <c r="AS1763" t="inlineStr">
        <is>
          <t>Yes</t>
        </is>
      </c>
      <c r="AT1763">
        <f>HYPERLINK("http://catalog.hathitrust.org/Record/000665950","HathiTrust Record")</f>
        <v/>
      </c>
      <c r="AU1763">
        <f>HYPERLINK("https://creighton-primo.hosted.exlibrisgroup.com/primo-explore/search?tab=default_tab&amp;search_scope=EVERYTHING&amp;vid=01CRU&amp;lang=en_US&amp;offset=0&amp;query=any,contains,991002294399702656","Catalog Record")</f>
        <v/>
      </c>
      <c r="AV1763">
        <f>HYPERLINK("http://www.worldcat.org/oclc/314443","WorldCat Record")</f>
        <v/>
      </c>
      <c r="AW1763" t="inlineStr">
        <is>
          <t>419813:eng</t>
        </is>
      </c>
      <c r="AX1763" t="inlineStr">
        <is>
          <t>314443</t>
        </is>
      </c>
      <c r="AY1763" t="inlineStr">
        <is>
          <t>991002294399702656</t>
        </is>
      </c>
      <c r="AZ1763" t="inlineStr">
        <is>
          <t>991002294399702656</t>
        </is>
      </c>
      <c r="BA1763" t="inlineStr">
        <is>
          <t>2272295400002656</t>
        </is>
      </c>
      <c r="BB1763" t="inlineStr">
        <is>
          <t>BOOK</t>
        </is>
      </c>
      <c r="BD1763" t="inlineStr">
        <is>
          <t>9780231036795</t>
        </is>
      </c>
      <c r="BE1763" t="inlineStr">
        <is>
          <t>32285001538270</t>
        </is>
      </c>
      <c r="BF1763" t="inlineStr">
        <is>
          <t>893597265</t>
        </is>
      </c>
    </row>
    <row r="1764">
      <c r="A1764" t="inlineStr">
        <is>
          <t>No</t>
        </is>
      </c>
      <c r="B1764" t="inlineStr">
        <is>
          <t>CURAL</t>
        </is>
      </c>
      <c r="C1764" t="inlineStr">
        <is>
          <t>SHELVES</t>
        </is>
      </c>
      <c r="D1764" t="inlineStr">
        <is>
          <t>PR4484 .F6</t>
        </is>
      </c>
      <c r="E1764" t="inlineStr">
        <is>
          <t>0                      PR 4484000F  6</t>
        </is>
      </c>
      <c r="F1764" t="inlineStr">
        <is>
          <t>The idea of Coleridge's criticism.</t>
        </is>
      </c>
      <c r="H1764" t="inlineStr">
        <is>
          <t>No</t>
        </is>
      </c>
      <c r="I1764" t="inlineStr">
        <is>
          <t>1</t>
        </is>
      </c>
      <c r="J1764" t="inlineStr">
        <is>
          <t>No</t>
        </is>
      </c>
      <c r="K1764" t="inlineStr">
        <is>
          <t>No</t>
        </is>
      </c>
      <c r="L1764" t="inlineStr">
        <is>
          <t>0</t>
        </is>
      </c>
      <c r="M1764" t="inlineStr">
        <is>
          <t>Fogle, Richard Harter.</t>
        </is>
      </c>
      <c r="N1764" t="inlineStr">
        <is>
          <t>Berkeley, University of California Press, 1962.</t>
        </is>
      </c>
      <c r="O1764" t="inlineStr">
        <is>
          <t>1962</t>
        </is>
      </c>
      <c r="Q1764" t="inlineStr">
        <is>
          <t>eng</t>
        </is>
      </c>
      <c r="R1764" t="inlineStr">
        <is>
          <t>cau</t>
        </is>
      </c>
      <c r="S1764" t="inlineStr">
        <is>
          <t>Perspectives in criticism ; 9</t>
        </is>
      </c>
      <c r="T1764" t="inlineStr">
        <is>
          <t xml:space="preserve">PR </t>
        </is>
      </c>
      <c r="U1764" t="n">
        <v>1</v>
      </c>
      <c r="V1764" t="n">
        <v>1</v>
      </c>
      <c r="W1764" t="inlineStr">
        <is>
          <t>2007-04-09</t>
        </is>
      </c>
      <c r="X1764" t="inlineStr">
        <is>
          <t>2007-04-09</t>
        </is>
      </c>
      <c r="Y1764" t="inlineStr">
        <is>
          <t>1997-06-30</t>
        </is>
      </c>
      <c r="Z1764" t="inlineStr">
        <is>
          <t>1997-06-30</t>
        </is>
      </c>
      <c r="AA1764" t="n">
        <v>1014</v>
      </c>
      <c r="AB1764" t="n">
        <v>878</v>
      </c>
      <c r="AC1764" t="n">
        <v>957</v>
      </c>
      <c r="AD1764" t="n">
        <v>9</v>
      </c>
      <c r="AE1764" t="n">
        <v>9</v>
      </c>
      <c r="AF1764" t="n">
        <v>45</v>
      </c>
      <c r="AG1764" t="n">
        <v>47</v>
      </c>
      <c r="AH1764" t="n">
        <v>17</v>
      </c>
      <c r="AI1764" t="n">
        <v>18</v>
      </c>
      <c r="AJ1764" t="n">
        <v>9</v>
      </c>
      <c r="AK1764" t="n">
        <v>9</v>
      </c>
      <c r="AL1764" t="n">
        <v>22</v>
      </c>
      <c r="AM1764" t="n">
        <v>24</v>
      </c>
      <c r="AN1764" t="n">
        <v>8</v>
      </c>
      <c r="AO1764" t="n">
        <v>8</v>
      </c>
      <c r="AP1764" t="n">
        <v>0</v>
      </c>
      <c r="AQ1764" t="n">
        <v>0</v>
      </c>
      <c r="AR1764" t="inlineStr">
        <is>
          <t>Yes</t>
        </is>
      </c>
      <c r="AS1764" t="inlineStr">
        <is>
          <t>No</t>
        </is>
      </c>
      <c r="AT1764">
        <f>HYPERLINK("http://catalog.hathitrust.org/Record/000666010","HathiTrust Record")</f>
        <v/>
      </c>
      <c r="AU1764">
        <f>HYPERLINK("https://creighton-primo.hosted.exlibrisgroup.com/primo-explore/search?tab=default_tab&amp;search_scope=EVERYTHING&amp;vid=01CRU&amp;lang=en_US&amp;offset=0&amp;query=any,contains,991002335319702656","Catalog Record")</f>
        <v/>
      </c>
      <c r="AV1764">
        <f>HYPERLINK("http://www.worldcat.org/oclc/323047","WorldCat Record")</f>
        <v/>
      </c>
      <c r="AW1764" t="inlineStr">
        <is>
          <t>1405963:eng</t>
        </is>
      </c>
      <c r="AX1764" t="inlineStr">
        <is>
          <t>323047</t>
        </is>
      </c>
      <c r="AY1764" t="inlineStr">
        <is>
          <t>991002335319702656</t>
        </is>
      </c>
      <c r="AZ1764" t="inlineStr">
        <is>
          <t>991002335319702656</t>
        </is>
      </c>
      <c r="BA1764" t="inlineStr">
        <is>
          <t>2256604790002656</t>
        </is>
      </c>
      <c r="BB1764" t="inlineStr">
        <is>
          <t>BOOK</t>
        </is>
      </c>
      <c r="BE1764" t="inlineStr">
        <is>
          <t>32285002837176</t>
        </is>
      </c>
      <c r="BF1764" t="inlineStr">
        <is>
          <t>893347388</t>
        </is>
      </c>
    </row>
    <row r="1765">
      <c r="A1765" t="inlineStr">
        <is>
          <t>No</t>
        </is>
      </c>
      <c r="B1765" t="inlineStr">
        <is>
          <t>CURAL</t>
        </is>
      </c>
      <c r="C1765" t="inlineStr">
        <is>
          <t>SHELVES</t>
        </is>
      </c>
      <c r="D1765" t="inlineStr">
        <is>
          <t>PR4484 .F7</t>
        </is>
      </c>
      <c r="E1765" t="inlineStr">
        <is>
          <t>0                      PR 4484000F  7</t>
        </is>
      </c>
      <c r="F1765" t="inlineStr">
        <is>
          <t>Coleridge, the damaged archangel.</t>
        </is>
      </c>
      <c r="H1765" t="inlineStr">
        <is>
          <t>No</t>
        </is>
      </c>
      <c r="I1765" t="inlineStr">
        <is>
          <t>1</t>
        </is>
      </c>
      <c r="J1765" t="inlineStr">
        <is>
          <t>No</t>
        </is>
      </c>
      <c r="K1765" t="inlineStr">
        <is>
          <t>No</t>
        </is>
      </c>
      <c r="L1765" t="inlineStr">
        <is>
          <t>0</t>
        </is>
      </c>
      <c r="M1765" t="inlineStr">
        <is>
          <t>Fruman, Norman.</t>
        </is>
      </c>
      <c r="N1765" t="inlineStr">
        <is>
          <t>New York : G. Braziller, [1971]</t>
        </is>
      </c>
      <c r="O1765" t="inlineStr">
        <is>
          <t>1971</t>
        </is>
      </c>
      <c r="Q1765" t="inlineStr">
        <is>
          <t>eng</t>
        </is>
      </c>
      <c r="R1765" t="inlineStr">
        <is>
          <t>nyu</t>
        </is>
      </c>
      <c r="T1765" t="inlineStr">
        <is>
          <t xml:space="preserve">PR </t>
        </is>
      </c>
      <c r="U1765" t="n">
        <v>1</v>
      </c>
      <c r="V1765" t="n">
        <v>1</v>
      </c>
      <c r="W1765" t="inlineStr">
        <is>
          <t>1995-02-19</t>
        </is>
      </c>
      <c r="X1765" t="inlineStr">
        <is>
          <t>1995-02-19</t>
        </is>
      </c>
      <c r="Y1765" t="inlineStr">
        <is>
          <t>1993-03-09</t>
        </is>
      </c>
      <c r="Z1765" t="inlineStr">
        <is>
          <t>1993-03-09</t>
        </is>
      </c>
      <c r="AA1765" t="n">
        <v>1358</v>
      </c>
      <c r="AB1765" t="n">
        <v>1253</v>
      </c>
      <c r="AC1765" t="n">
        <v>1280</v>
      </c>
      <c r="AD1765" t="n">
        <v>11</v>
      </c>
      <c r="AE1765" t="n">
        <v>11</v>
      </c>
      <c r="AF1765" t="n">
        <v>48</v>
      </c>
      <c r="AG1765" t="n">
        <v>49</v>
      </c>
      <c r="AH1765" t="n">
        <v>17</v>
      </c>
      <c r="AI1765" t="n">
        <v>18</v>
      </c>
      <c r="AJ1765" t="n">
        <v>11</v>
      </c>
      <c r="AK1765" t="n">
        <v>11</v>
      </c>
      <c r="AL1765" t="n">
        <v>22</v>
      </c>
      <c r="AM1765" t="n">
        <v>22</v>
      </c>
      <c r="AN1765" t="n">
        <v>9</v>
      </c>
      <c r="AO1765" t="n">
        <v>9</v>
      </c>
      <c r="AP1765" t="n">
        <v>0</v>
      </c>
      <c r="AQ1765" t="n">
        <v>0</v>
      </c>
      <c r="AR1765" t="inlineStr">
        <is>
          <t>No</t>
        </is>
      </c>
      <c r="AS1765" t="inlineStr">
        <is>
          <t>Yes</t>
        </is>
      </c>
      <c r="AT1765">
        <f>HYPERLINK("http://catalog.hathitrust.org/Record/000666012","HathiTrust Record")</f>
        <v/>
      </c>
      <c r="AU1765">
        <f>HYPERLINK("https://creighton-primo.hosted.exlibrisgroup.com/primo-explore/search?tab=default_tab&amp;search_scope=EVERYTHING&amp;vid=01CRU&amp;lang=en_US&amp;offset=0&amp;query=any,contains,991001905149702656","Catalog Record")</f>
        <v/>
      </c>
      <c r="AV1765">
        <f>HYPERLINK("http://www.worldcat.org/oclc/240200","WorldCat Record")</f>
        <v/>
      </c>
      <c r="AW1765" t="inlineStr">
        <is>
          <t>464500:eng</t>
        </is>
      </c>
      <c r="AX1765" t="inlineStr">
        <is>
          <t>240200</t>
        </is>
      </c>
      <c r="AY1765" t="inlineStr">
        <is>
          <t>991001905149702656</t>
        </is>
      </c>
      <c r="AZ1765" t="inlineStr">
        <is>
          <t>991001905149702656</t>
        </is>
      </c>
      <c r="BA1765" t="inlineStr">
        <is>
          <t>2272254030002656</t>
        </is>
      </c>
      <c r="BB1765" t="inlineStr">
        <is>
          <t>BOOK</t>
        </is>
      </c>
      <c r="BD1765" t="inlineStr">
        <is>
          <t>9780807606070</t>
        </is>
      </c>
      <c r="BE1765" t="inlineStr">
        <is>
          <t>32285001571107</t>
        </is>
      </c>
      <c r="BF1765" t="inlineStr">
        <is>
          <t>893414596</t>
        </is>
      </c>
    </row>
    <row r="1766">
      <c r="A1766" t="inlineStr">
        <is>
          <t>No</t>
        </is>
      </c>
      <c r="B1766" t="inlineStr">
        <is>
          <t>CURAL</t>
        </is>
      </c>
      <c r="C1766" t="inlineStr">
        <is>
          <t>SHELVES</t>
        </is>
      </c>
      <c r="D1766" t="inlineStr">
        <is>
          <t>PR4484 .H59 1985</t>
        </is>
      </c>
      <c r="E1766" t="inlineStr">
        <is>
          <t>0                      PR 4484000H  59          1985</t>
        </is>
      </c>
      <c r="F1766" t="inlineStr">
        <is>
          <t>Coleridge / Richard Holmes.</t>
        </is>
      </c>
      <c r="H1766" t="inlineStr">
        <is>
          <t>No</t>
        </is>
      </c>
      <c r="I1766" t="inlineStr">
        <is>
          <t>1</t>
        </is>
      </c>
      <c r="J1766" t="inlineStr">
        <is>
          <t>No</t>
        </is>
      </c>
      <c r="K1766" t="inlineStr">
        <is>
          <t>No</t>
        </is>
      </c>
      <c r="L1766" t="inlineStr">
        <is>
          <t>0</t>
        </is>
      </c>
      <c r="M1766" t="inlineStr">
        <is>
          <t>Holmes, Richard, 1945-</t>
        </is>
      </c>
      <c r="N1766" t="inlineStr">
        <is>
          <t>Oxford ; New York : Oxford University Press, 1985.</t>
        </is>
      </c>
      <c r="O1766" t="inlineStr">
        <is>
          <t>1985</t>
        </is>
      </c>
      <c r="Q1766" t="inlineStr">
        <is>
          <t>eng</t>
        </is>
      </c>
      <c r="R1766" t="inlineStr">
        <is>
          <t>enk</t>
        </is>
      </c>
      <c r="S1766" t="inlineStr">
        <is>
          <t>Past masters</t>
        </is>
      </c>
      <c r="T1766" t="inlineStr">
        <is>
          <t xml:space="preserve">PR </t>
        </is>
      </c>
      <c r="U1766" t="n">
        <v>4</v>
      </c>
      <c r="V1766" t="n">
        <v>4</v>
      </c>
      <c r="W1766" t="inlineStr">
        <is>
          <t>1999-03-03</t>
        </is>
      </c>
      <c r="X1766" t="inlineStr">
        <is>
          <t>1999-03-03</t>
        </is>
      </c>
      <c r="Y1766" t="inlineStr">
        <is>
          <t>1991-11-06</t>
        </is>
      </c>
      <c r="Z1766" t="inlineStr">
        <is>
          <t>1991-11-06</t>
        </is>
      </c>
      <c r="AA1766" t="n">
        <v>15</v>
      </c>
      <c r="AB1766" t="n">
        <v>15</v>
      </c>
      <c r="AC1766" t="n">
        <v>464</v>
      </c>
      <c r="AD1766" t="n">
        <v>1</v>
      </c>
      <c r="AE1766" t="n">
        <v>4</v>
      </c>
      <c r="AF1766" t="n">
        <v>1</v>
      </c>
      <c r="AG1766" t="n">
        <v>25</v>
      </c>
      <c r="AH1766" t="n">
        <v>0</v>
      </c>
      <c r="AI1766" t="n">
        <v>8</v>
      </c>
      <c r="AJ1766" t="n">
        <v>1</v>
      </c>
      <c r="AK1766" t="n">
        <v>7</v>
      </c>
      <c r="AL1766" t="n">
        <v>0</v>
      </c>
      <c r="AM1766" t="n">
        <v>13</v>
      </c>
      <c r="AN1766" t="n">
        <v>0</v>
      </c>
      <c r="AO1766" t="n">
        <v>3</v>
      </c>
      <c r="AP1766" t="n">
        <v>0</v>
      </c>
      <c r="AQ1766" t="n">
        <v>0</v>
      </c>
      <c r="AR1766" t="inlineStr">
        <is>
          <t>No</t>
        </is>
      </c>
      <c r="AS1766" t="inlineStr">
        <is>
          <t>No</t>
        </is>
      </c>
      <c r="AU1766">
        <f>HYPERLINK("https://creighton-primo.hosted.exlibrisgroup.com/primo-explore/search?tab=default_tab&amp;search_scope=EVERYTHING&amp;vid=01CRU&amp;lang=en_US&amp;offset=0&amp;query=any,contains,991000723669702656","Catalog Record")</f>
        <v/>
      </c>
      <c r="AV1766">
        <f>HYPERLINK("http://www.worldcat.org/oclc/12677508","WorldCat Record")</f>
        <v/>
      </c>
      <c r="AW1766" t="inlineStr">
        <is>
          <t>3768361519:eng</t>
        </is>
      </c>
      <c r="AX1766" t="inlineStr">
        <is>
          <t>12677508</t>
        </is>
      </c>
      <c r="AY1766" t="inlineStr">
        <is>
          <t>991000723669702656</t>
        </is>
      </c>
      <c r="AZ1766" t="inlineStr">
        <is>
          <t>991000723669702656</t>
        </is>
      </c>
      <c r="BA1766" t="inlineStr">
        <is>
          <t>2270669150002656</t>
        </is>
      </c>
      <c r="BB1766" t="inlineStr">
        <is>
          <t>BOOK</t>
        </is>
      </c>
      <c r="BE1766" t="inlineStr">
        <is>
          <t>32285000797323</t>
        </is>
      </c>
      <c r="BF1766" t="inlineStr">
        <is>
          <t>893890980</t>
        </is>
      </c>
    </row>
    <row r="1767">
      <c r="A1767" t="inlineStr">
        <is>
          <t>No</t>
        </is>
      </c>
      <c r="B1767" t="inlineStr">
        <is>
          <t>CURAL</t>
        </is>
      </c>
      <c r="C1767" t="inlineStr">
        <is>
          <t>SHELVES</t>
        </is>
      </c>
      <c r="D1767" t="inlineStr">
        <is>
          <t>PR4484 .H65 1989</t>
        </is>
      </c>
      <c r="E1767" t="inlineStr">
        <is>
          <t>0                      PR 4484000H  65          1989</t>
        </is>
      </c>
      <c r="F1767" t="inlineStr">
        <is>
          <t>Coleridge, early visions / Richard Holmes.</t>
        </is>
      </c>
      <c r="H1767" t="inlineStr">
        <is>
          <t>No</t>
        </is>
      </c>
      <c r="I1767" t="inlineStr">
        <is>
          <t>1</t>
        </is>
      </c>
      <c r="J1767" t="inlineStr">
        <is>
          <t>No</t>
        </is>
      </c>
      <c r="K1767" t="inlineStr">
        <is>
          <t>Yes</t>
        </is>
      </c>
      <c r="L1767" t="inlineStr">
        <is>
          <t>0</t>
        </is>
      </c>
      <c r="M1767" t="inlineStr">
        <is>
          <t>Holmes, Richard, 1945-</t>
        </is>
      </c>
      <c r="N1767" t="inlineStr">
        <is>
          <t>London : Hodder &amp; Stoughton, c1989, 1990 printing.</t>
        </is>
      </c>
      <c r="O1767" t="inlineStr">
        <is>
          <t>1989</t>
        </is>
      </c>
      <c r="Q1767" t="inlineStr">
        <is>
          <t>eng</t>
        </is>
      </c>
      <c r="R1767" t="inlineStr">
        <is>
          <t>enk</t>
        </is>
      </c>
      <c r="T1767" t="inlineStr">
        <is>
          <t xml:space="preserve">PR </t>
        </is>
      </c>
      <c r="U1767" t="n">
        <v>1</v>
      </c>
      <c r="V1767" t="n">
        <v>1</v>
      </c>
      <c r="W1767" t="inlineStr">
        <is>
          <t>1993-02-02</t>
        </is>
      </c>
      <c r="X1767" t="inlineStr">
        <is>
          <t>1993-02-02</t>
        </is>
      </c>
      <c r="Y1767" t="inlineStr">
        <is>
          <t>1990-04-20</t>
        </is>
      </c>
      <c r="Z1767" t="inlineStr">
        <is>
          <t>1990-04-20</t>
        </is>
      </c>
      <c r="AA1767" t="n">
        <v>321</v>
      </c>
      <c r="AB1767" t="n">
        <v>102</v>
      </c>
      <c r="AC1767" t="n">
        <v>1279</v>
      </c>
      <c r="AD1767" t="n">
        <v>3</v>
      </c>
      <c r="AE1767" t="n">
        <v>9</v>
      </c>
      <c r="AF1767" t="n">
        <v>6</v>
      </c>
      <c r="AG1767" t="n">
        <v>42</v>
      </c>
      <c r="AH1767" t="n">
        <v>0</v>
      </c>
      <c r="AI1767" t="n">
        <v>15</v>
      </c>
      <c r="AJ1767" t="n">
        <v>2</v>
      </c>
      <c r="AK1767" t="n">
        <v>8</v>
      </c>
      <c r="AL1767" t="n">
        <v>4</v>
      </c>
      <c r="AM1767" t="n">
        <v>22</v>
      </c>
      <c r="AN1767" t="n">
        <v>2</v>
      </c>
      <c r="AO1767" t="n">
        <v>7</v>
      </c>
      <c r="AP1767" t="n">
        <v>0</v>
      </c>
      <c r="AQ1767" t="n">
        <v>0</v>
      </c>
      <c r="AR1767" t="inlineStr">
        <is>
          <t>No</t>
        </is>
      </c>
      <c r="AS1767" t="inlineStr">
        <is>
          <t>No</t>
        </is>
      </c>
      <c r="AU1767">
        <f>HYPERLINK("https://creighton-primo.hosted.exlibrisgroup.com/primo-explore/search?tab=default_tab&amp;search_scope=EVERYTHING&amp;vid=01CRU&amp;lang=en_US&amp;offset=0&amp;query=any,contains,991001573319702656","Catalog Record")</f>
        <v/>
      </c>
      <c r="AV1767">
        <f>HYPERLINK("http://www.worldcat.org/oclc/23078879","WorldCat Record")</f>
        <v/>
      </c>
      <c r="AW1767" t="inlineStr">
        <is>
          <t>502201760:eng</t>
        </is>
      </c>
      <c r="AX1767" t="inlineStr">
        <is>
          <t>23078879</t>
        </is>
      </c>
      <c r="AY1767" t="inlineStr">
        <is>
          <t>991001573319702656</t>
        </is>
      </c>
      <c r="AZ1767" t="inlineStr">
        <is>
          <t>991001573319702656</t>
        </is>
      </c>
      <c r="BA1767" t="inlineStr">
        <is>
          <t>2263086370002656</t>
        </is>
      </c>
      <c r="BB1767" t="inlineStr">
        <is>
          <t>BOOK</t>
        </is>
      </c>
      <c r="BD1767" t="inlineStr">
        <is>
          <t>9780340283356</t>
        </is>
      </c>
      <c r="BE1767" t="inlineStr">
        <is>
          <t>32285000103373</t>
        </is>
      </c>
      <c r="BF1767" t="inlineStr">
        <is>
          <t>893522646</t>
        </is>
      </c>
    </row>
    <row r="1768">
      <c r="A1768" t="inlineStr">
        <is>
          <t>No</t>
        </is>
      </c>
      <c r="B1768" t="inlineStr">
        <is>
          <t>CURAL</t>
        </is>
      </c>
      <c r="C1768" t="inlineStr">
        <is>
          <t>SHELVES</t>
        </is>
      </c>
      <c r="D1768" t="inlineStr">
        <is>
          <t>PR4484 .J29 1970b</t>
        </is>
      </c>
      <c r="E1768" t="inlineStr">
        <is>
          <t>0                      PR 4484000J  29          1970b</t>
        </is>
      </c>
      <c r="F1768" t="inlineStr">
        <is>
          <t>Coleridge; the critical heritage. Edited by J. R. de J. Jackson.</t>
        </is>
      </c>
      <c r="H1768" t="inlineStr">
        <is>
          <t>No</t>
        </is>
      </c>
      <c r="I1768" t="inlineStr">
        <is>
          <t>1</t>
        </is>
      </c>
      <c r="J1768" t="inlineStr">
        <is>
          <t>No</t>
        </is>
      </c>
      <c r="K1768" t="inlineStr">
        <is>
          <t>No</t>
        </is>
      </c>
      <c r="L1768" t="inlineStr">
        <is>
          <t>0</t>
        </is>
      </c>
      <c r="M1768" t="inlineStr">
        <is>
          <t>Jackson, J. R. de J. (James Robert de Jager) compiler.</t>
        </is>
      </c>
      <c r="N1768" t="inlineStr">
        <is>
          <t>New York, Barnes &amp; Noble [1970]</t>
        </is>
      </c>
      <c r="O1768" t="inlineStr">
        <is>
          <t>1970</t>
        </is>
      </c>
      <c r="Q1768" t="inlineStr">
        <is>
          <t>eng</t>
        </is>
      </c>
      <c r="R1768" t="inlineStr">
        <is>
          <t>nyu</t>
        </is>
      </c>
      <c r="S1768" t="inlineStr">
        <is>
          <t>The Critical heritage series</t>
        </is>
      </c>
      <c r="T1768" t="inlineStr">
        <is>
          <t xml:space="preserve">PR </t>
        </is>
      </c>
      <c r="U1768" t="n">
        <v>3</v>
      </c>
      <c r="V1768" t="n">
        <v>3</v>
      </c>
      <c r="W1768" t="inlineStr">
        <is>
          <t>2003-10-17</t>
        </is>
      </c>
      <c r="X1768" t="inlineStr">
        <is>
          <t>2003-10-17</t>
        </is>
      </c>
      <c r="Y1768" t="inlineStr">
        <is>
          <t>1997-06-30</t>
        </is>
      </c>
      <c r="Z1768" t="inlineStr">
        <is>
          <t>1997-06-30</t>
        </is>
      </c>
      <c r="AA1768" t="n">
        <v>685</v>
      </c>
      <c r="AB1768" t="n">
        <v>653</v>
      </c>
      <c r="AC1768" t="n">
        <v>793</v>
      </c>
      <c r="AD1768" t="n">
        <v>6</v>
      </c>
      <c r="AE1768" t="n">
        <v>6</v>
      </c>
      <c r="AF1768" t="n">
        <v>36</v>
      </c>
      <c r="AG1768" t="n">
        <v>42</v>
      </c>
      <c r="AH1768" t="n">
        <v>15</v>
      </c>
      <c r="AI1768" t="n">
        <v>17</v>
      </c>
      <c r="AJ1768" t="n">
        <v>8</v>
      </c>
      <c r="AK1768" t="n">
        <v>8</v>
      </c>
      <c r="AL1768" t="n">
        <v>18</v>
      </c>
      <c r="AM1768" t="n">
        <v>23</v>
      </c>
      <c r="AN1768" t="n">
        <v>5</v>
      </c>
      <c r="AO1768" t="n">
        <v>5</v>
      </c>
      <c r="AP1768" t="n">
        <v>0</v>
      </c>
      <c r="AQ1768" t="n">
        <v>0</v>
      </c>
      <c r="AR1768" t="inlineStr">
        <is>
          <t>No</t>
        </is>
      </c>
      <c r="AS1768" t="inlineStr">
        <is>
          <t>Yes</t>
        </is>
      </c>
      <c r="AT1768">
        <f>HYPERLINK("http://catalog.hathitrust.org/Record/000001200","HathiTrust Record")</f>
        <v/>
      </c>
      <c r="AU1768">
        <f>HYPERLINK("https://creighton-primo.hosted.exlibrisgroup.com/primo-explore/search?tab=default_tab&amp;search_scope=EVERYTHING&amp;vid=01CRU&amp;lang=en_US&amp;offset=0&amp;query=any,contains,991000537429702656","Catalog Record")</f>
        <v/>
      </c>
      <c r="AV1768">
        <f>HYPERLINK("http://www.worldcat.org/oclc/90083","WorldCat Record")</f>
        <v/>
      </c>
      <c r="AW1768" t="inlineStr">
        <is>
          <t>137908376:eng</t>
        </is>
      </c>
      <c r="AX1768" t="inlineStr">
        <is>
          <t>90083</t>
        </is>
      </c>
      <c r="AY1768" t="inlineStr">
        <is>
          <t>991000537429702656</t>
        </is>
      </c>
      <c r="AZ1768" t="inlineStr">
        <is>
          <t>991000537429702656</t>
        </is>
      </c>
      <c r="BA1768" t="inlineStr">
        <is>
          <t>2266183820002656</t>
        </is>
      </c>
      <c r="BB1768" t="inlineStr">
        <is>
          <t>BOOK</t>
        </is>
      </c>
      <c r="BD1768" t="inlineStr">
        <is>
          <t>9780389013303</t>
        </is>
      </c>
      <c r="BE1768" t="inlineStr">
        <is>
          <t>32285002837192</t>
        </is>
      </c>
      <c r="BF1768" t="inlineStr">
        <is>
          <t>893784308</t>
        </is>
      </c>
    </row>
    <row r="1769">
      <c r="A1769" t="inlineStr">
        <is>
          <t>No</t>
        </is>
      </c>
      <c r="B1769" t="inlineStr">
        <is>
          <t>CURAL</t>
        </is>
      </c>
      <c r="C1769" t="inlineStr">
        <is>
          <t>SHELVES</t>
        </is>
      </c>
      <c r="D1769" t="inlineStr">
        <is>
          <t>PR4484 .J3 1969</t>
        </is>
      </c>
      <c r="E1769" t="inlineStr">
        <is>
          <t>0                      PR 4484000J  3           1969</t>
        </is>
      </c>
      <c r="F1769" t="inlineStr">
        <is>
          <t>Method and imagination in Coleridge's criticism, by J. R. de J. Jackson.</t>
        </is>
      </c>
      <c r="H1769" t="inlineStr">
        <is>
          <t>No</t>
        </is>
      </c>
      <c r="I1769" t="inlineStr">
        <is>
          <t>1</t>
        </is>
      </c>
      <c r="J1769" t="inlineStr">
        <is>
          <t>No</t>
        </is>
      </c>
      <c r="K1769" t="inlineStr">
        <is>
          <t>No</t>
        </is>
      </c>
      <c r="L1769" t="inlineStr">
        <is>
          <t>0</t>
        </is>
      </c>
      <c r="M1769" t="inlineStr">
        <is>
          <t>Jackson, J. R. de J. (James Robert de Jager)</t>
        </is>
      </c>
      <c r="N1769" t="inlineStr">
        <is>
          <t>Cambridge, Harvard University Press, 1969.</t>
        </is>
      </c>
      <c r="O1769" t="inlineStr">
        <is>
          <t>1969</t>
        </is>
      </c>
      <c r="Q1769" t="inlineStr">
        <is>
          <t>eng</t>
        </is>
      </c>
      <c r="R1769" t="inlineStr">
        <is>
          <t xml:space="preserve">xx </t>
        </is>
      </c>
      <c r="T1769" t="inlineStr">
        <is>
          <t xml:space="preserve">PR </t>
        </is>
      </c>
      <c r="U1769" t="n">
        <v>4</v>
      </c>
      <c r="V1769" t="n">
        <v>4</v>
      </c>
      <c r="W1769" t="inlineStr">
        <is>
          <t>1997-09-24</t>
        </is>
      </c>
      <c r="X1769" t="inlineStr">
        <is>
          <t>1997-09-24</t>
        </is>
      </c>
      <c r="Y1769" t="inlineStr">
        <is>
          <t>1997-06-30</t>
        </is>
      </c>
      <c r="Z1769" t="inlineStr">
        <is>
          <t>1997-06-30</t>
        </is>
      </c>
      <c r="AA1769" t="n">
        <v>461</v>
      </c>
      <c r="AB1769" t="n">
        <v>444</v>
      </c>
      <c r="AC1769" t="n">
        <v>677</v>
      </c>
      <c r="AD1769" t="n">
        <v>3</v>
      </c>
      <c r="AE1769" t="n">
        <v>5</v>
      </c>
      <c r="AF1769" t="n">
        <v>23</v>
      </c>
      <c r="AG1769" t="n">
        <v>38</v>
      </c>
      <c r="AH1769" t="n">
        <v>8</v>
      </c>
      <c r="AI1769" t="n">
        <v>14</v>
      </c>
      <c r="AJ1769" t="n">
        <v>8</v>
      </c>
      <c r="AK1769" t="n">
        <v>9</v>
      </c>
      <c r="AL1769" t="n">
        <v>13</v>
      </c>
      <c r="AM1769" t="n">
        <v>23</v>
      </c>
      <c r="AN1769" t="n">
        <v>2</v>
      </c>
      <c r="AO1769" t="n">
        <v>4</v>
      </c>
      <c r="AP1769" t="n">
        <v>0</v>
      </c>
      <c r="AQ1769" t="n">
        <v>0</v>
      </c>
      <c r="AR1769" t="inlineStr">
        <is>
          <t>No</t>
        </is>
      </c>
      <c r="AS1769" t="inlineStr">
        <is>
          <t>Yes</t>
        </is>
      </c>
      <c r="AT1769">
        <f>HYPERLINK("http://catalog.hathitrust.org/Record/009501326","HathiTrust Record")</f>
        <v/>
      </c>
      <c r="AU1769">
        <f>HYPERLINK("https://creighton-primo.hosted.exlibrisgroup.com/primo-explore/search?tab=default_tab&amp;search_scope=EVERYTHING&amp;vid=01CRU&amp;lang=en_US&amp;offset=0&amp;query=any,contains,991003257269702656","Catalog Record")</f>
        <v/>
      </c>
      <c r="AV1769">
        <f>HYPERLINK("http://www.worldcat.org/oclc/782973","WorldCat Record")</f>
        <v/>
      </c>
      <c r="AW1769" t="inlineStr">
        <is>
          <t>1141492:eng</t>
        </is>
      </c>
      <c r="AX1769" t="inlineStr">
        <is>
          <t>782973</t>
        </is>
      </c>
      <c r="AY1769" t="inlineStr">
        <is>
          <t>991003257269702656</t>
        </is>
      </c>
      <c r="AZ1769" t="inlineStr">
        <is>
          <t>991003257269702656</t>
        </is>
      </c>
      <c r="BA1769" t="inlineStr">
        <is>
          <t>2263553320002656</t>
        </is>
      </c>
      <c r="BB1769" t="inlineStr">
        <is>
          <t>BOOK</t>
        </is>
      </c>
      <c r="BD1769" t="inlineStr">
        <is>
          <t>9780710061751</t>
        </is>
      </c>
      <c r="BE1769" t="inlineStr">
        <is>
          <t>32285002837200</t>
        </is>
      </c>
      <c r="BF1769" t="inlineStr">
        <is>
          <t>893323928</t>
        </is>
      </c>
    </row>
    <row r="1770">
      <c r="A1770" t="inlineStr">
        <is>
          <t>No</t>
        </is>
      </c>
      <c r="B1770" t="inlineStr">
        <is>
          <t>CURAL</t>
        </is>
      </c>
      <c r="C1770" t="inlineStr">
        <is>
          <t>SHELVES</t>
        </is>
      </c>
      <c r="D1770" t="inlineStr">
        <is>
          <t>PR4484 .J6</t>
        </is>
      </c>
      <c r="E1770" t="inlineStr">
        <is>
          <t>0                      PR 4484000J  6</t>
        </is>
      </c>
      <c r="F1770" t="inlineStr">
        <is>
          <t>Coleridge : The ancient mariner and other poems : a casebook / edited by Alun R. Jones and William Tydeman.</t>
        </is>
      </c>
      <c r="H1770" t="inlineStr">
        <is>
          <t>No</t>
        </is>
      </c>
      <c r="I1770" t="inlineStr">
        <is>
          <t>1</t>
        </is>
      </c>
      <c r="J1770" t="inlineStr">
        <is>
          <t>No</t>
        </is>
      </c>
      <c r="K1770" t="inlineStr">
        <is>
          <t>No</t>
        </is>
      </c>
      <c r="L1770" t="inlineStr">
        <is>
          <t>0</t>
        </is>
      </c>
      <c r="M1770" t="inlineStr">
        <is>
          <t>Jones, Alun R. (Alun Richard) compiler.</t>
        </is>
      </c>
      <c r="N1770" t="inlineStr">
        <is>
          <t>[London ; New York] : Macmillan, [1973]</t>
        </is>
      </c>
      <c r="O1770" t="inlineStr">
        <is>
          <t>1973</t>
        </is>
      </c>
      <c r="Q1770" t="inlineStr">
        <is>
          <t>eng</t>
        </is>
      </c>
      <c r="R1770" t="inlineStr">
        <is>
          <t>enk</t>
        </is>
      </c>
      <c r="S1770" t="inlineStr">
        <is>
          <t>Casebook series</t>
        </is>
      </c>
      <c r="T1770" t="inlineStr">
        <is>
          <t xml:space="preserve">PR </t>
        </is>
      </c>
      <c r="U1770" t="n">
        <v>2</v>
      </c>
      <c r="V1770" t="n">
        <v>2</v>
      </c>
      <c r="W1770" t="inlineStr">
        <is>
          <t>1999-02-23</t>
        </is>
      </c>
      <c r="X1770" t="inlineStr">
        <is>
          <t>1999-02-23</t>
        </is>
      </c>
      <c r="Y1770" t="inlineStr">
        <is>
          <t>1990-08-30</t>
        </is>
      </c>
      <c r="Z1770" t="inlineStr">
        <is>
          <t>1990-08-30</t>
        </is>
      </c>
      <c r="AA1770" t="n">
        <v>333</v>
      </c>
      <c r="AB1770" t="n">
        <v>92</v>
      </c>
      <c r="AC1770" t="n">
        <v>94</v>
      </c>
      <c r="AD1770" t="n">
        <v>2</v>
      </c>
      <c r="AE1770" t="n">
        <v>2</v>
      </c>
      <c r="AF1770" t="n">
        <v>9</v>
      </c>
      <c r="AG1770" t="n">
        <v>9</v>
      </c>
      <c r="AH1770" t="n">
        <v>1</v>
      </c>
      <c r="AI1770" t="n">
        <v>1</v>
      </c>
      <c r="AJ1770" t="n">
        <v>2</v>
      </c>
      <c r="AK1770" t="n">
        <v>2</v>
      </c>
      <c r="AL1770" t="n">
        <v>8</v>
      </c>
      <c r="AM1770" t="n">
        <v>8</v>
      </c>
      <c r="AN1770" t="n">
        <v>1</v>
      </c>
      <c r="AO1770" t="n">
        <v>1</v>
      </c>
      <c r="AP1770" t="n">
        <v>0</v>
      </c>
      <c r="AQ1770" t="n">
        <v>0</v>
      </c>
      <c r="AR1770" t="inlineStr">
        <is>
          <t>No</t>
        </is>
      </c>
      <c r="AS1770" t="inlineStr">
        <is>
          <t>Yes</t>
        </is>
      </c>
      <c r="AT1770">
        <f>HYPERLINK("http://catalog.hathitrust.org/Record/000668521","HathiTrust Record")</f>
        <v/>
      </c>
      <c r="AU1770">
        <f>HYPERLINK("https://creighton-primo.hosted.exlibrisgroup.com/primo-explore/search?tab=default_tab&amp;search_scope=EVERYTHING&amp;vid=01CRU&amp;lang=en_US&amp;offset=0&amp;query=any,contains,991003365569702656","Catalog Record")</f>
        <v/>
      </c>
      <c r="AV1770">
        <f>HYPERLINK("http://www.worldcat.org/oclc/901449","WorldCat Record")</f>
        <v/>
      </c>
      <c r="AW1770" t="inlineStr">
        <is>
          <t>370176643:eng</t>
        </is>
      </c>
      <c r="AX1770" t="inlineStr">
        <is>
          <t>901449</t>
        </is>
      </c>
      <c r="AY1770" t="inlineStr">
        <is>
          <t>991003365569702656</t>
        </is>
      </c>
      <c r="AZ1770" t="inlineStr">
        <is>
          <t>991003365569702656</t>
        </is>
      </c>
      <c r="BA1770" t="inlineStr">
        <is>
          <t>2265659580002656</t>
        </is>
      </c>
      <c r="BB1770" t="inlineStr">
        <is>
          <t>BOOK</t>
        </is>
      </c>
      <c r="BD1770" t="inlineStr">
        <is>
          <t>9780333135518</t>
        </is>
      </c>
      <c r="BE1770" t="inlineStr">
        <is>
          <t>32285000284314</t>
        </is>
      </c>
      <c r="BF1770" t="inlineStr">
        <is>
          <t>893780952</t>
        </is>
      </c>
    </row>
    <row r="1771">
      <c r="A1771" t="inlineStr">
        <is>
          <t>No</t>
        </is>
      </c>
      <c r="B1771" t="inlineStr">
        <is>
          <t>CURAL</t>
        </is>
      </c>
      <c r="C1771" t="inlineStr">
        <is>
          <t>SHELVES</t>
        </is>
      </c>
      <c r="D1771" t="inlineStr">
        <is>
          <t>PR4484 .M23</t>
        </is>
      </c>
      <c r="E1771" t="inlineStr">
        <is>
          <t>0                      PR 4484000M  23</t>
        </is>
      </c>
      <c r="F1771" t="inlineStr">
        <is>
          <t>Coleridge and the pantheist tradition.</t>
        </is>
      </c>
      <c r="H1771" t="inlineStr">
        <is>
          <t>No</t>
        </is>
      </c>
      <c r="I1771" t="inlineStr">
        <is>
          <t>1</t>
        </is>
      </c>
      <c r="J1771" t="inlineStr">
        <is>
          <t>No</t>
        </is>
      </c>
      <c r="K1771" t="inlineStr">
        <is>
          <t>No</t>
        </is>
      </c>
      <c r="L1771" t="inlineStr">
        <is>
          <t>0</t>
        </is>
      </c>
      <c r="M1771" t="inlineStr">
        <is>
          <t>McFarland, Thomas, 1926-2011.</t>
        </is>
      </c>
      <c r="N1771" t="inlineStr">
        <is>
          <t>Oxford, Clarendon P., 1969.</t>
        </is>
      </c>
      <c r="O1771" t="inlineStr">
        <is>
          <t>1969</t>
        </is>
      </c>
      <c r="Q1771" t="inlineStr">
        <is>
          <t>eng</t>
        </is>
      </c>
      <c r="R1771" t="inlineStr">
        <is>
          <t>enk</t>
        </is>
      </c>
      <c r="T1771" t="inlineStr">
        <is>
          <t xml:space="preserve">PR </t>
        </is>
      </c>
      <c r="U1771" t="n">
        <v>5</v>
      </c>
      <c r="V1771" t="n">
        <v>5</v>
      </c>
      <c r="W1771" t="inlineStr">
        <is>
          <t>2007-10-02</t>
        </is>
      </c>
      <c r="X1771" t="inlineStr">
        <is>
          <t>2007-10-02</t>
        </is>
      </c>
      <c r="Y1771" t="inlineStr">
        <is>
          <t>1997-06-30</t>
        </is>
      </c>
      <c r="Z1771" t="inlineStr">
        <is>
          <t>1997-06-30</t>
        </is>
      </c>
      <c r="AA1771" t="n">
        <v>841</v>
      </c>
      <c r="AB1771" t="n">
        <v>638</v>
      </c>
      <c r="AC1771" t="n">
        <v>641</v>
      </c>
      <c r="AD1771" t="n">
        <v>4</v>
      </c>
      <c r="AE1771" t="n">
        <v>4</v>
      </c>
      <c r="AF1771" t="n">
        <v>35</v>
      </c>
      <c r="AG1771" t="n">
        <v>35</v>
      </c>
      <c r="AH1771" t="n">
        <v>17</v>
      </c>
      <c r="AI1771" t="n">
        <v>17</v>
      </c>
      <c r="AJ1771" t="n">
        <v>8</v>
      </c>
      <c r="AK1771" t="n">
        <v>8</v>
      </c>
      <c r="AL1771" t="n">
        <v>18</v>
      </c>
      <c r="AM1771" t="n">
        <v>18</v>
      </c>
      <c r="AN1771" t="n">
        <v>3</v>
      </c>
      <c r="AO1771" t="n">
        <v>3</v>
      </c>
      <c r="AP1771" t="n">
        <v>0</v>
      </c>
      <c r="AQ1771" t="n">
        <v>0</v>
      </c>
      <c r="AR1771" t="inlineStr">
        <is>
          <t>No</t>
        </is>
      </c>
      <c r="AS1771" t="inlineStr">
        <is>
          <t>Yes</t>
        </is>
      </c>
      <c r="AT1771">
        <f>HYPERLINK("http://catalog.hathitrust.org/Record/000666480","HathiTrust Record")</f>
        <v/>
      </c>
      <c r="AU1771">
        <f>HYPERLINK("https://creighton-primo.hosted.exlibrisgroup.com/primo-explore/search?tab=default_tab&amp;search_scope=EVERYTHING&amp;vid=01CRU&amp;lang=en_US&amp;offset=0&amp;query=any,contains,991000168549702656","Catalog Record")</f>
        <v/>
      </c>
      <c r="AV1771">
        <f>HYPERLINK("http://www.worldcat.org/oclc/61814","WorldCat Record")</f>
        <v/>
      </c>
      <c r="AW1771" t="inlineStr">
        <is>
          <t>415708:eng</t>
        </is>
      </c>
      <c r="AX1771" t="inlineStr">
        <is>
          <t>61814</t>
        </is>
      </c>
      <c r="AY1771" t="inlineStr">
        <is>
          <t>991000168549702656</t>
        </is>
      </c>
      <c r="AZ1771" t="inlineStr">
        <is>
          <t>991000168549702656</t>
        </is>
      </c>
      <c r="BA1771" t="inlineStr">
        <is>
          <t>2255317900002656</t>
        </is>
      </c>
      <c r="BB1771" t="inlineStr">
        <is>
          <t>BOOK</t>
        </is>
      </c>
      <c r="BD1771" t="inlineStr">
        <is>
          <t>9780198116646</t>
        </is>
      </c>
      <c r="BE1771" t="inlineStr">
        <is>
          <t>32285002837218</t>
        </is>
      </c>
      <c r="BF1771" t="inlineStr">
        <is>
          <t>893243054</t>
        </is>
      </c>
    </row>
    <row r="1772">
      <c r="A1772" t="inlineStr">
        <is>
          <t>No</t>
        </is>
      </c>
      <c r="B1772" t="inlineStr">
        <is>
          <t>CURAL</t>
        </is>
      </c>
      <c r="C1772" t="inlineStr">
        <is>
          <t>SHELVES</t>
        </is>
      </c>
      <c r="D1772" t="inlineStr">
        <is>
          <t>PR4484 .M5 1982</t>
        </is>
      </c>
      <c r="E1772" t="inlineStr">
        <is>
          <t>0                      PR 4484000M  5           1982</t>
        </is>
      </c>
      <c r="F1772" t="inlineStr">
        <is>
          <t>Vision and revision : Coleridge's art of immanence / Jean-Pierre Mileur.</t>
        </is>
      </c>
      <c r="H1772" t="inlineStr">
        <is>
          <t>No</t>
        </is>
      </c>
      <c r="I1772" t="inlineStr">
        <is>
          <t>1</t>
        </is>
      </c>
      <c r="J1772" t="inlineStr">
        <is>
          <t>No</t>
        </is>
      </c>
      <c r="K1772" t="inlineStr">
        <is>
          <t>No</t>
        </is>
      </c>
      <c r="L1772" t="inlineStr">
        <is>
          <t>0</t>
        </is>
      </c>
      <c r="M1772" t="inlineStr">
        <is>
          <t>Mileur, Jean-Pierre.</t>
        </is>
      </c>
      <c r="N1772" t="inlineStr">
        <is>
          <t>Berkeley : University of California Press, c1982.</t>
        </is>
      </c>
      <c r="O1772" t="inlineStr">
        <is>
          <t>1982</t>
        </is>
      </c>
      <c r="Q1772" t="inlineStr">
        <is>
          <t>eng</t>
        </is>
      </c>
      <c r="R1772" t="inlineStr">
        <is>
          <t>cau</t>
        </is>
      </c>
      <c r="T1772" t="inlineStr">
        <is>
          <t xml:space="preserve">PR </t>
        </is>
      </c>
      <c r="U1772" t="n">
        <v>2</v>
      </c>
      <c r="V1772" t="n">
        <v>2</v>
      </c>
      <c r="W1772" t="inlineStr">
        <is>
          <t>2009-03-24</t>
        </is>
      </c>
      <c r="X1772" t="inlineStr">
        <is>
          <t>2009-03-24</t>
        </is>
      </c>
      <c r="Y1772" t="inlineStr">
        <is>
          <t>1991-11-06</t>
        </is>
      </c>
      <c r="Z1772" t="inlineStr">
        <is>
          <t>1991-11-06</t>
        </is>
      </c>
      <c r="AA1772" t="n">
        <v>491</v>
      </c>
      <c r="AB1772" t="n">
        <v>383</v>
      </c>
      <c r="AC1772" t="n">
        <v>384</v>
      </c>
      <c r="AD1772" t="n">
        <v>3</v>
      </c>
      <c r="AE1772" t="n">
        <v>3</v>
      </c>
      <c r="AF1772" t="n">
        <v>21</v>
      </c>
      <c r="AG1772" t="n">
        <v>21</v>
      </c>
      <c r="AH1772" t="n">
        <v>8</v>
      </c>
      <c r="AI1772" t="n">
        <v>8</v>
      </c>
      <c r="AJ1772" t="n">
        <v>6</v>
      </c>
      <c r="AK1772" t="n">
        <v>6</v>
      </c>
      <c r="AL1772" t="n">
        <v>13</v>
      </c>
      <c r="AM1772" t="n">
        <v>13</v>
      </c>
      <c r="AN1772" t="n">
        <v>2</v>
      </c>
      <c r="AO1772" t="n">
        <v>2</v>
      </c>
      <c r="AP1772" t="n">
        <v>0</v>
      </c>
      <c r="AQ1772" t="n">
        <v>0</v>
      </c>
      <c r="AR1772" t="inlineStr">
        <is>
          <t>No</t>
        </is>
      </c>
      <c r="AS1772" t="inlineStr">
        <is>
          <t>No</t>
        </is>
      </c>
      <c r="AU1772">
        <f>HYPERLINK("https://creighton-primo.hosted.exlibrisgroup.com/primo-explore/search?tab=default_tab&amp;search_scope=EVERYTHING&amp;vid=01CRU&amp;lang=en_US&amp;offset=0&amp;query=any,contains,991005098589702656","Catalog Record")</f>
        <v/>
      </c>
      <c r="AV1772">
        <f>HYPERLINK("http://www.worldcat.org/oclc/7278081","WorldCat Record")</f>
        <v/>
      </c>
      <c r="AW1772" t="inlineStr">
        <is>
          <t>889877151:eng</t>
        </is>
      </c>
      <c r="AX1772" t="inlineStr">
        <is>
          <t>7278081</t>
        </is>
      </c>
      <c r="AY1772" t="inlineStr">
        <is>
          <t>991005098589702656</t>
        </is>
      </c>
      <c r="AZ1772" t="inlineStr">
        <is>
          <t>991005098589702656</t>
        </is>
      </c>
      <c r="BA1772" t="inlineStr">
        <is>
          <t>2263094140002656</t>
        </is>
      </c>
      <c r="BB1772" t="inlineStr">
        <is>
          <t>BOOK</t>
        </is>
      </c>
      <c r="BD1772" t="inlineStr">
        <is>
          <t>9780520044470</t>
        </is>
      </c>
      <c r="BE1772" t="inlineStr">
        <is>
          <t>32285000797331</t>
        </is>
      </c>
      <c r="BF1772" t="inlineStr">
        <is>
          <t>893260542</t>
        </is>
      </c>
    </row>
    <row r="1773">
      <c r="A1773" t="inlineStr">
        <is>
          <t>No</t>
        </is>
      </c>
      <c r="B1773" t="inlineStr">
        <is>
          <t>CURAL</t>
        </is>
      </c>
      <c r="C1773" t="inlineStr">
        <is>
          <t>SHELVES</t>
        </is>
      </c>
      <c r="D1773" t="inlineStr">
        <is>
          <t>PR4484 .R4</t>
        </is>
      </c>
      <c r="E1773" t="inlineStr">
        <is>
          <t>0                      PR 4484000R  4</t>
        </is>
      </c>
      <c r="F1773" t="inlineStr">
        <is>
          <t>Reading Coleridge : approaches and applications / edited by Walter B. Crawford.</t>
        </is>
      </c>
      <c r="H1773" t="inlineStr">
        <is>
          <t>No</t>
        </is>
      </c>
      <c r="I1773" t="inlineStr">
        <is>
          <t>1</t>
        </is>
      </c>
      <c r="J1773" t="inlineStr">
        <is>
          <t>No</t>
        </is>
      </c>
      <c r="K1773" t="inlineStr">
        <is>
          <t>No</t>
        </is>
      </c>
      <c r="L1773" t="inlineStr">
        <is>
          <t>0</t>
        </is>
      </c>
      <c r="N1773" t="inlineStr">
        <is>
          <t>Ithaca : Cornell University Press, 1979.</t>
        </is>
      </c>
      <c r="O1773" t="inlineStr">
        <is>
          <t>1979</t>
        </is>
      </c>
      <c r="Q1773" t="inlineStr">
        <is>
          <t>eng</t>
        </is>
      </c>
      <c r="R1773" t="inlineStr">
        <is>
          <t>nyu</t>
        </is>
      </c>
      <c r="T1773" t="inlineStr">
        <is>
          <t xml:space="preserve">PR </t>
        </is>
      </c>
      <c r="U1773" t="n">
        <v>8</v>
      </c>
      <c r="V1773" t="n">
        <v>8</v>
      </c>
      <c r="W1773" t="inlineStr">
        <is>
          <t>1999-04-09</t>
        </is>
      </c>
      <c r="X1773" t="inlineStr">
        <is>
          <t>1999-04-09</t>
        </is>
      </c>
      <c r="Y1773" t="inlineStr">
        <is>
          <t>1991-11-06</t>
        </is>
      </c>
      <c r="Z1773" t="inlineStr">
        <is>
          <t>1991-11-06</t>
        </is>
      </c>
      <c r="AA1773" t="n">
        <v>743</v>
      </c>
      <c r="AB1773" t="n">
        <v>604</v>
      </c>
      <c r="AC1773" t="n">
        <v>611</v>
      </c>
      <c r="AD1773" t="n">
        <v>5</v>
      </c>
      <c r="AE1773" t="n">
        <v>5</v>
      </c>
      <c r="AF1773" t="n">
        <v>32</v>
      </c>
      <c r="AG1773" t="n">
        <v>32</v>
      </c>
      <c r="AH1773" t="n">
        <v>15</v>
      </c>
      <c r="AI1773" t="n">
        <v>15</v>
      </c>
      <c r="AJ1773" t="n">
        <v>8</v>
      </c>
      <c r="AK1773" t="n">
        <v>8</v>
      </c>
      <c r="AL1773" t="n">
        <v>16</v>
      </c>
      <c r="AM1773" t="n">
        <v>16</v>
      </c>
      <c r="AN1773" t="n">
        <v>4</v>
      </c>
      <c r="AO1773" t="n">
        <v>4</v>
      </c>
      <c r="AP1773" t="n">
        <v>0</v>
      </c>
      <c r="AQ1773" t="n">
        <v>0</v>
      </c>
      <c r="AR1773" t="inlineStr">
        <is>
          <t>No</t>
        </is>
      </c>
      <c r="AS1773" t="inlineStr">
        <is>
          <t>Yes</t>
        </is>
      </c>
      <c r="AT1773">
        <f>HYPERLINK("http://catalog.hathitrust.org/Record/000695340","HathiTrust Record")</f>
        <v/>
      </c>
      <c r="AU1773">
        <f>HYPERLINK("https://creighton-primo.hosted.exlibrisgroup.com/primo-explore/search?tab=default_tab&amp;search_scope=EVERYTHING&amp;vid=01CRU&amp;lang=en_US&amp;offset=0&amp;query=any,contains,991004769669702656","Catalog Record")</f>
        <v/>
      </c>
      <c r="AV1773">
        <f>HYPERLINK("http://www.worldcat.org/oclc/5051685","WorldCat Record")</f>
        <v/>
      </c>
      <c r="AW1773" t="inlineStr">
        <is>
          <t>450459:eng</t>
        </is>
      </c>
      <c r="AX1773" t="inlineStr">
        <is>
          <t>5051685</t>
        </is>
      </c>
      <c r="AY1773" t="inlineStr">
        <is>
          <t>991004769669702656</t>
        </is>
      </c>
      <c r="AZ1773" t="inlineStr">
        <is>
          <t>991004769669702656</t>
        </is>
      </c>
      <c r="BA1773" t="inlineStr">
        <is>
          <t>2263787570002656</t>
        </is>
      </c>
      <c r="BB1773" t="inlineStr">
        <is>
          <t>BOOK</t>
        </is>
      </c>
      <c r="BD1773" t="inlineStr">
        <is>
          <t>9780801412196</t>
        </is>
      </c>
      <c r="BE1773" t="inlineStr">
        <is>
          <t>32285000797349</t>
        </is>
      </c>
      <c r="BF1773" t="inlineStr">
        <is>
          <t>893776412</t>
        </is>
      </c>
    </row>
    <row r="1774">
      <c r="A1774" t="inlineStr">
        <is>
          <t>No</t>
        </is>
      </c>
      <c r="B1774" t="inlineStr">
        <is>
          <t>CURAL</t>
        </is>
      </c>
      <c r="C1774" t="inlineStr">
        <is>
          <t>SHELVES</t>
        </is>
      </c>
      <c r="D1774" t="inlineStr">
        <is>
          <t>PR4484 .S4</t>
        </is>
      </c>
      <c r="E1774" t="inlineStr">
        <is>
          <t>0                      PR 4484000S  4</t>
        </is>
      </c>
      <c r="F1774" t="inlineStr">
        <is>
          <t>The poetic voices of Coleridge : a study of his desire for spontaneity and passion for order.</t>
        </is>
      </c>
      <c r="H1774" t="inlineStr">
        <is>
          <t>No</t>
        </is>
      </c>
      <c r="I1774" t="inlineStr">
        <is>
          <t>1</t>
        </is>
      </c>
      <c r="J1774" t="inlineStr">
        <is>
          <t>No</t>
        </is>
      </c>
      <c r="K1774" t="inlineStr">
        <is>
          <t>No</t>
        </is>
      </c>
      <c r="L1774" t="inlineStr">
        <is>
          <t>0</t>
        </is>
      </c>
      <c r="M1774" t="inlineStr">
        <is>
          <t>Schulz, Max F.</t>
        </is>
      </c>
      <c r="N1774" t="inlineStr">
        <is>
          <t>Detroit : Wayne State University Press, 1963.</t>
        </is>
      </c>
      <c r="O1774" t="inlineStr">
        <is>
          <t>1963</t>
        </is>
      </c>
      <c r="Q1774" t="inlineStr">
        <is>
          <t>eng</t>
        </is>
      </c>
      <c r="R1774" t="inlineStr">
        <is>
          <t>miu</t>
        </is>
      </c>
      <c r="T1774" t="inlineStr">
        <is>
          <t xml:space="preserve">PR </t>
        </is>
      </c>
      <c r="U1774" t="n">
        <v>2</v>
      </c>
      <c r="V1774" t="n">
        <v>2</v>
      </c>
      <c r="W1774" t="inlineStr">
        <is>
          <t>1995-02-28</t>
        </is>
      </c>
      <c r="X1774" t="inlineStr">
        <is>
          <t>1995-02-28</t>
        </is>
      </c>
      <c r="Y1774" t="inlineStr">
        <is>
          <t>1990-08-30</t>
        </is>
      </c>
      <c r="Z1774" t="inlineStr">
        <is>
          <t>1990-08-30</t>
        </is>
      </c>
      <c r="AA1774" t="n">
        <v>748</v>
      </c>
      <c r="AB1774" t="n">
        <v>656</v>
      </c>
      <c r="AC1774" t="n">
        <v>815</v>
      </c>
      <c r="AD1774" t="n">
        <v>9</v>
      </c>
      <c r="AE1774" t="n">
        <v>9</v>
      </c>
      <c r="AF1774" t="n">
        <v>40</v>
      </c>
      <c r="AG1774" t="n">
        <v>45</v>
      </c>
      <c r="AH1774" t="n">
        <v>15</v>
      </c>
      <c r="AI1774" t="n">
        <v>16</v>
      </c>
      <c r="AJ1774" t="n">
        <v>8</v>
      </c>
      <c r="AK1774" t="n">
        <v>9</v>
      </c>
      <c r="AL1774" t="n">
        <v>19</v>
      </c>
      <c r="AM1774" t="n">
        <v>23</v>
      </c>
      <c r="AN1774" t="n">
        <v>8</v>
      </c>
      <c r="AO1774" t="n">
        <v>8</v>
      </c>
      <c r="AP1774" t="n">
        <v>0</v>
      </c>
      <c r="AQ1774" t="n">
        <v>0</v>
      </c>
      <c r="AR1774" t="inlineStr">
        <is>
          <t>No</t>
        </is>
      </c>
      <c r="AS1774" t="inlineStr">
        <is>
          <t>Yes</t>
        </is>
      </c>
      <c r="AT1774">
        <f>HYPERLINK("http://catalog.hathitrust.org/Record/000666380","HathiTrust Record")</f>
        <v/>
      </c>
      <c r="AU1774">
        <f>HYPERLINK("https://creighton-primo.hosted.exlibrisgroup.com/primo-explore/search?tab=default_tab&amp;search_scope=EVERYTHING&amp;vid=01CRU&amp;lang=en_US&amp;offset=0&amp;query=any,contains,991002171439702656","Catalog Record")</f>
        <v/>
      </c>
      <c r="AV1774">
        <f>HYPERLINK("http://www.worldcat.org/oclc/39243215","WorldCat Record")</f>
        <v/>
      </c>
      <c r="AW1774" t="inlineStr">
        <is>
          <t>2009098:eng</t>
        </is>
      </c>
      <c r="AX1774" t="inlineStr">
        <is>
          <t>39243215</t>
        </is>
      </c>
      <c r="AY1774" t="inlineStr">
        <is>
          <t>991002171439702656</t>
        </is>
      </c>
      <c r="AZ1774" t="inlineStr">
        <is>
          <t>991002171439702656</t>
        </is>
      </c>
      <c r="BA1774" t="inlineStr">
        <is>
          <t>2259908850002656</t>
        </is>
      </c>
      <c r="BB1774" t="inlineStr">
        <is>
          <t>BOOK</t>
        </is>
      </c>
      <c r="BE1774" t="inlineStr">
        <is>
          <t>32285000284306</t>
        </is>
      </c>
      <c r="BF1774" t="inlineStr">
        <is>
          <t>893529628</t>
        </is>
      </c>
    </row>
    <row r="1775">
      <c r="A1775" t="inlineStr">
        <is>
          <t>No</t>
        </is>
      </c>
      <c r="B1775" t="inlineStr">
        <is>
          <t>CURAL</t>
        </is>
      </c>
      <c r="C1775" t="inlineStr">
        <is>
          <t>SHELVES</t>
        </is>
      </c>
      <c r="D1775" t="inlineStr">
        <is>
          <t>PR4484 .W3</t>
        </is>
      </c>
      <c r="E1775" t="inlineStr">
        <is>
          <t>0                      PR 4484000W  3</t>
        </is>
      </c>
      <c r="F1775" t="inlineStr">
        <is>
          <t>Coleridge.</t>
        </is>
      </c>
      <c r="H1775" t="inlineStr">
        <is>
          <t>No</t>
        </is>
      </c>
      <c r="I1775" t="inlineStr">
        <is>
          <t>1</t>
        </is>
      </c>
      <c r="J1775" t="inlineStr">
        <is>
          <t>No</t>
        </is>
      </c>
      <c r="K1775" t="inlineStr">
        <is>
          <t>No</t>
        </is>
      </c>
      <c r="L1775" t="inlineStr">
        <is>
          <t>0</t>
        </is>
      </c>
      <c r="M1775" t="inlineStr">
        <is>
          <t>Watters, Reginald.</t>
        </is>
      </c>
      <c r="N1775" t="inlineStr">
        <is>
          <t>London, Evans Bros., 1971.</t>
        </is>
      </c>
      <c r="O1775" t="inlineStr">
        <is>
          <t>1971</t>
        </is>
      </c>
      <c r="Q1775" t="inlineStr">
        <is>
          <t>eng</t>
        </is>
      </c>
      <c r="R1775" t="inlineStr">
        <is>
          <t>enk</t>
        </is>
      </c>
      <c r="S1775" t="inlineStr">
        <is>
          <t>Literature in perspective</t>
        </is>
      </c>
      <c r="T1775" t="inlineStr">
        <is>
          <t xml:space="preserve">PR </t>
        </is>
      </c>
      <c r="U1775" t="n">
        <v>1</v>
      </c>
      <c r="V1775" t="n">
        <v>1</v>
      </c>
      <c r="W1775" t="inlineStr">
        <is>
          <t>2000-05-04</t>
        </is>
      </c>
      <c r="X1775" t="inlineStr">
        <is>
          <t>2000-05-04</t>
        </is>
      </c>
      <c r="Y1775" t="inlineStr">
        <is>
          <t>1997-06-30</t>
        </is>
      </c>
      <c r="Z1775" t="inlineStr">
        <is>
          <t>1997-06-30</t>
        </is>
      </c>
      <c r="AA1775" t="n">
        <v>379</v>
      </c>
      <c r="AB1775" t="n">
        <v>259</v>
      </c>
      <c r="AC1775" t="n">
        <v>261</v>
      </c>
      <c r="AD1775" t="n">
        <v>2</v>
      </c>
      <c r="AE1775" t="n">
        <v>2</v>
      </c>
      <c r="AF1775" t="n">
        <v>18</v>
      </c>
      <c r="AG1775" t="n">
        <v>18</v>
      </c>
      <c r="AH1775" t="n">
        <v>8</v>
      </c>
      <c r="AI1775" t="n">
        <v>8</v>
      </c>
      <c r="AJ1775" t="n">
        <v>5</v>
      </c>
      <c r="AK1775" t="n">
        <v>5</v>
      </c>
      <c r="AL1775" t="n">
        <v>10</v>
      </c>
      <c r="AM1775" t="n">
        <v>10</v>
      </c>
      <c r="AN1775" t="n">
        <v>1</v>
      </c>
      <c r="AO1775" t="n">
        <v>1</v>
      </c>
      <c r="AP1775" t="n">
        <v>0</v>
      </c>
      <c r="AQ1775" t="n">
        <v>0</v>
      </c>
      <c r="AR1775" t="inlineStr">
        <is>
          <t>No</t>
        </is>
      </c>
      <c r="AS1775" t="inlineStr">
        <is>
          <t>No</t>
        </is>
      </c>
      <c r="AU1775">
        <f>HYPERLINK("https://creighton-primo.hosted.exlibrisgroup.com/primo-explore/search?tab=default_tab&amp;search_scope=EVERYTHING&amp;vid=01CRU&amp;lang=en_US&amp;offset=0&amp;query=any,contains,991001272809702656","Catalog Record")</f>
        <v/>
      </c>
      <c r="AV1775">
        <f>HYPERLINK("http://www.worldcat.org/oclc/212321","WorldCat Record")</f>
        <v/>
      </c>
      <c r="AW1775" t="inlineStr">
        <is>
          <t>1290694:eng</t>
        </is>
      </c>
      <c r="AX1775" t="inlineStr">
        <is>
          <t>212321</t>
        </is>
      </c>
      <c r="AY1775" t="inlineStr">
        <is>
          <t>991001272809702656</t>
        </is>
      </c>
      <c r="AZ1775" t="inlineStr">
        <is>
          <t>991001272809702656</t>
        </is>
      </c>
      <c r="BA1775" t="inlineStr">
        <is>
          <t>2261942100002656</t>
        </is>
      </c>
      <c r="BB1775" t="inlineStr">
        <is>
          <t>BOOK</t>
        </is>
      </c>
      <c r="BD1775" t="inlineStr">
        <is>
          <t>9780237351649</t>
        </is>
      </c>
      <c r="BE1775" t="inlineStr">
        <is>
          <t>32285002837242</t>
        </is>
      </c>
      <c r="BF1775" t="inlineStr">
        <is>
          <t>893885198</t>
        </is>
      </c>
    </row>
    <row r="1776">
      <c r="A1776" t="inlineStr">
        <is>
          <t>No</t>
        </is>
      </c>
      <c r="B1776" t="inlineStr">
        <is>
          <t>CURAL</t>
        </is>
      </c>
      <c r="C1776" t="inlineStr">
        <is>
          <t>SHELVES</t>
        </is>
      </c>
      <c r="D1776" t="inlineStr">
        <is>
          <t>PR4487.A35 M37</t>
        </is>
      </c>
      <c r="E1776" t="inlineStr">
        <is>
          <t>0                      PR 4487000A  35                 M  37</t>
        </is>
      </c>
      <c r="F1776" t="inlineStr">
        <is>
          <t>Coleridge on the language of verse / Emerson R. Marks.</t>
        </is>
      </c>
      <c r="H1776" t="inlineStr">
        <is>
          <t>No</t>
        </is>
      </c>
      <c r="I1776" t="inlineStr">
        <is>
          <t>1</t>
        </is>
      </c>
      <c r="J1776" t="inlineStr">
        <is>
          <t>No</t>
        </is>
      </c>
      <c r="K1776" t="inlineStr">
        <is>
          <t>No</t>
        </is>
      </c>
      <c r="L1776" t="inlineStr">
        <is>
          <t>0</t>
        </is>
      </c>
      <c r="M1776" t="inlineStr">
        <is>
          <t>Marks, Emerson R.</t>
        </is>
      </c>
      <c r="N1776" t="inlineStr">
        <is>
          <t>Princeton, N.J. : Princeton University Press, c1981.</t>
        </is>
      </c>
      <c r="O1776" t="inlineStr">
        <is>
          <t>1981</t>
        </is>
      </c>
      <c r="Q1776" t="inlineStr">
        <is>
          <t>eng</t>
        </is>
      </c>
      <c r="R1776" t="inlineStr">
        <is>
          <t>nju</t>
        </is>
      </c>
      <c r="S1776" t="inlineStr">
        <is>
          <t>Princeton essays in literature</t>
        </is>
      </c>
      <c r="T1776" t="inlineStr">
        <is>
          <t xml:space="preserve">PR </t>
        </is>
      </c>
      <c r="U1776" t="n">
        <v>2</v>
      </c>
      <c r="V1776" t="n">
        <v>2</v>
      </c>
      <c r="W1776" t="inlineStr">
        <is>
          <t>2009-03-24</t>
        </is>
      </c>
      <c r="X1776" t="inlineStr">
        <is>
          <t>2009-03-24</t>
        </is>
      </c>
      <c r="Y1776" t="inlineStr">
        <is>
          <t>1991-11-06</t>
        </is>
      </c>
      <c r="Z1776" t="inlineStr">
        <is>
          <t>1991-11-06</t>
        </is>
      </c>
      <c r="AA1776" t="n">
        <v>520</v>
      </c>
      <c r="AB1776" t="n">
        <v>383</v>
      </c>
      <c r="AC1776" t="n">
        <v>566</v>
      </c>
      <c r="AD1776" t="n">
        <v>5</v>
      </c>
      <c r="AE1776" t="n">
        <v>5</v>
      </c>
      <c r="AF1776" t="n">
        <v>25</v>
      </c>
      <c r="AG1776" t="n">
        <v>31</v>
      </c>
      <c r="AH1776" t="n">
        <v>8</v>
      </c>
      <c r="AI1776" t="n">
        <v>12</v>
      </c>
      <c r="AJ1776" t="n">
        <v>7</v>
      </c>
      <c r="AK1776" t="n">
        <v>9</v>
      </c>
      <c r="AL1776" t="n">
        <v>13</v>
      </c>
      <c r="AM1776" t="n">
        <v>15</v>
      </c>
      <c r="AN1776" t="n">
        <v>4</v>
      </c>
      <c r="AO1776" t="n">
        <v>4</v>
      </c>
      <c r="AP1776" t="n">
        <v>0</v>
      </c>
      <c r="AQ1776" t="n">
        <v>0</v>
      </c>
      <c r="AR1776" t="inlineStr">
        <is>
          <t>No</t>
        </is>
      </c>
      <c r="AS1776" t="inlineStr">
        <is>
          <t>No</t>
        </is>
      </c>
      <c r="AU1776">
        <f>HYPERLINK("https://creighton-primo.hosted.exlibrisgroup.com/primo-explore/search?tab=default_tab&amp;search_scope=EVERYTHING&amp;vid=01CRU&amp;lang=en_US&amp;offset=0&amp;query=any,contains,991005049109702656","Catalog Record")</f>
        <v/>
      </c>
      <c r="AV1776">
        <f>HYPERLINK("http://www.worldcat.org/oclc/6863132","WorldCat Record")</f>
        <v/>
      </c>
      <c r="AW1776" t="inlineStr">
        <is>
          <t>23947893:eng</t>
        </is>
      </c>
      <c r="AX1776" t="inlineStr">
        <is>
          <t>6863132</t>
        </is>
      </c>
      <c r="AY1776" t="inlineStr">
        <is>
          <t>991005049109702656</t>
        </is>
      </c>
      <c r="AZ1776" t="inlineStr">
        <is>
          <t>991005049109702656</t>
        </is>
      </c>
      <c r="BA1776" t="inlineStr">
        <is>
          <t>2271921610002656</t>
        </is>
      </c>
      <c r="BB1776" t="inlineStr">
        <is>
          <t>BOOK</t>
        </is>
      </c>
      <c r="BE1776" t="inlineStr">
        <is>
          <t>32285000797356</t>
        </is>
      </c>
      <c r="BF1776" t="inlineStr">
        <is>
          <t>893876854</t>
        </is>
      </c>
    </row>
    <row r="1777">
      <c r="A1777" t="inlineStr">
        <is>
          <t>No</t>
        </is>
      </c>
      <c r="B1777" t="inlineStr">
        <is>
          <t>CURAL</t>
        </is>
      </c>
      <c r="C1777" t="inlineStr">
        <is>
          <t>SHELVES</t>
        </is>
      </c>
      <c r="D1777" t="inlineStr">
        <is>
          <t>PR4487.C7 R4 1964</t>
        </is>
      </c>
      <c r="E1777" t="inlineStr">
        <is>
          <t>0                      PR 4487000C  7                  R  4           1964</t>
        </is>
      </c>
      <c r="F1777" t="inlineStr">
        <is>
          <t>Coleridge as critic, by Herbert Read.</t>
        </is>
      </c>
      <c r="H1777" t="inlineStr">
        <is>
          <t>No</t>
        </is>
      </c>
      <c r="I1777" t="inlineStr">
        <is>
          <t>1</t>
        </is>
      </c>
      <c r="J1777" t="inlineStr">
        <is>
          <t>No</t>
        </is>
      </c>
      <c r="K1777" t="inlineStr">
        <is>
          <t>No</t>
        </is>
      </c>
      <c r="L1777" t="inlineStr">
        <is>
          <t>0</t>
        </is>
      </c>
      <c r="M1777" t="inlineStr">
        <is>
          <t>Read, Herbert, 1893-1968.</t>
        </is>
      </c>
      <c r="N1777" t="inlineStr">
        <is>
          <t>New York, Haskell House, 1964.</t>
        </is>
      </c>
      <c r="O1777" t="inlineStr">
        <is>
          <t>1964</t>
        </is>
      </c>
      <c r="Q1777" t="inlineStr">
        <is>
          <t>eng</t>
        </is>
      </c>
      <c r="R1777" t="inlineStr">
        <is>
          <t xml:space="preserve">xx </t>
        </is>
      </c>
      <c r="T1777" t="inlineStr">
        <is>
          <t xml:space="preserve">PR </t>
        </is>
      </c>
      <c r="U1777" t="n">
        <v>3</v>
      </c>
      <c r="V1777" t="n">
        <v>3</v>
      </c>
      <c r="W1777" t="inlineStr">
        <is>
          <t>1999-10-01</t>
        </is>
      </c>
      <c r="X1777" t="inlineStr">
        <is>
          <t>1999-10-01</t>
        </is>
      </c>
      <c r="Y1777" t="inlineStr">
        <is>
          <t>1997-06-30</t>
        </is>
      </c>
      <c r="Z1777" t="inlineStr">
        <is>
          <t>1997-06-30</t>
        </is>
      </c>
      <c r="AA1777" t="n">
        <v>279</v>
      </c>
      <c r="AB1777" t="n">
        <v>256</v>
      </c>
      <c r="AC1777" t="n">
        <v>430</v>
      </c>
      <c r="AD1777" t="n">
        <v>3</v>
      </c>
      <c r="AE1777" t="n">
        <v>5</v>
      </c>
      <c r="AF1777" t="n">
        <v>20</v>
      </c>
      <c r="AG1777" t="n">
        <v>31</v>
      </c>
      <c r="AH1777" t="n">
        <v>6</v>
      </c>
      <c r="AI1777" t="n">
        <v>11</v>
      </c>
      <c r="AJ1777" t="n">
        <v>4</v>
      </c>
      <c r="AK1777" t="n">
        <v>8</v>
      </c>
      <c r="AL1777" t="n">
        <v>13</v>
      </c>
      <c r="AM1777" t="n">
        <v>19</v>
      </c>
      <c r="AN1777" t="n">
        <v>2</v>
      </c>
      <c r="AO1777" t="n">
        <v>3</v>
      </c>
      <c r="AP1777" t="n">
        <v>0</v>
      </c>
      <c r="AQ1777" t="n">
        <v>0</v>
      </c>
      <c r="AR1777" t="inlineStr">
        <is>
          <t>No</t>
        </is>
      </c>
      <c r="AS1777" t="inlineStr">
        <is>
          <t>No</t>
        </is>
      </c>
      <c r="AU1777">
        <f>HYPERLINK("https://creighton-primo.hosted.exlibrisgroup.com/primo-explore/search?tab=default_tab&amp;search_scope=EVERYTHING&amp;vid=01CRU&amp;lang=en_US&amp;offset=0&amp;query=any,contains,991002167779702656","Catalog Record")</f>
        <v/>
      </c>
      <c r="AV1777">
        <f>HYPERLINK("http://www.worldcat.org/oclc/275896","WorldCat Record")</f>
        <v/>
      </c>
      <c r="AW1777" t="inlineStr">
        <is>
          <t>44177159:eng</t>
        </is>
      </c>
      <c r="AX1777" t="inlineStr">
        <is>
          <t>275896</t>
        </is>
      </c>
      <c r="AY1777" t="inlineStr">
        <is>
          <t>991002167779702656</t>
        </is>
      </c>
      <c r="AZ1777" t="inlineStr">
        <is>
          <t>991002167779702656</t>
        </is>
      </c>
      <c r="BA1777" t="inlineStr">
        <is>
          <t>2263442890002656</t>
        </is>
      </c>
      <c r="BB1777" t="inlineStr">
        <is>
          <t>BOOK</t>
        </is>
      </c>
      <c r="BE1777" t="inlineStr">
        <is>
          <t>32285002837283</t>
        </is>
      </c>
      <c r="BF1777" t="inlineStr">
        <is>
          <t>893316466</t>
        </is>
      </c>
    </row>
    <row r="1778">
      <c r="A1778" t="inlineStr">
        <is>
          <t>No</t>
        </is>
      </c>
      <c r="B1778" t="inlineStr">
        <is>
          <t>CURAL</t>
        </is>
      </c>
      <c r="C1778" t="inlineStr">
        <is>
          <t>SHELVES</t>
        </is>
      </c>
      <c r="D1778" t="inlineStr">
        <is>
          <t>PR4487.E8 L6</t>
        </is>
      </c>
      <c r="E1778" t="inlineStr">
        <is>
          <t>0                      PR 4487000E  8                  L  6</t>
        </is>
      </c>
      <c r="F1778" t="inlineStr">
        <is>
          <t>Coleridge the moralist / Laurence S. Lockridge.</t>
        </is>
      </c>
      <c r="H1778" t="inlineStr">
        <is>
          <t>No</t>
        </is>
      </c>
      <c r="I1778" t="inlineStr">
        <is>
          <t>1</t>
        </is>
      </c>
      <c r="J1778" t="inlineStr">
        <is>
          <t>No</t>
        </is>
      </c>
      <c r="K1778" t="inlineStr">
        <is>
          <t>No</t>
        </is>
      </c>
      <c r="L1778" t="inlineStr">
        <is>
          <t>0</t>
        </is>
      </c>
      <c r="M1778" t="inlineStr">
        <is>
          <t>Lockridge, Laurence S., 1942-</t>
        </is>
      </c>
      <c r="N1778" t="inlineStr">
        <is>
          <t>Ithaca : Cornell University Press, 1977.</t>
        </is>
      </c>
      <c r="O1778" t="inlineStr">
        <is>
          <t>1977</t>
        </is>
      </c>
      <c r="Q1778" t="inlineStr">
        <is>
          <t>eng</t>
        </is>
      </c>
      <c r="R1778" t="inlineStr">
        <is>
          <t>nyu</t>
        </is>
      </c>
      <c r="T1778" t="inlineStr">
        <is>
          <t xml:space="preserve">PR </t>
        </is>
      </c>
      <c r="U1778" t="n">
        <v>6</v>
      </c>
      <c r="V1778" t="n">
        <v>6</v>
      </c>
      <c r="W1778" t="inlineStr">
        <is>
          <t>1999-04-09</t>
        </is>
      </c>
      <c r="X1778" t="inlineStr">
        <is>
          <t>1999-04-09</t>
        </is>
      </c>
      <c r="Y1778" t="inlineStr">
        <is>
          <t>1990-03-14</t>
        </is>
      </c>
      <c r="Z1778" t="inlineStr">
        <is>
          <t>1990-03-14</t>
        </is>
      </c>
      <c r="AA1778" t="n">
        <v>831</v>
      </c>
      <c r="AB1778" t="n">
        <v>664</v>
      </c>
      <c r="AC1778" t="n">
        <v>797</v>
      </c>
      <c r="AD1778" t="n">
        <v>4</v>
      </c>
      <c r="AE1778" t="n">
        <v>4</v>
      </c>
      <c r="AF1778" t="n">
        <v>31</v>
      </c>
      <c r="AG1778" t="n">
        <v>36</v>
      </c>
      <c r="AH1778" t="n">
        <v>14</v>
      </c>
      <c r="AI1778" t="n">
        <v>18</v>
      </c>
      <c r="AJ1778" t="n">
        <v>9</v>
      </c>
      <c r="AK1778" t="n">
        <v>9</v>
      </c>
      <c r="AL1778" t="n">
        <v>17</v>
      </c>
      <c r="AM1778" t="n">
        <v>18</v>
      </c>
      <c r="AN1778" t="n">
        <v>3</v>
      </c>
      <c r="AO1778" t="n">
        <v>3</v>
      </c>
      <c r="AP1778" t="n">
        <v>0</v>
      </c>
      <c r="AQ1778" t="n">
        <v>0</v>
      </c>
      <c r="AR1778" t="inlineStr">
        <is>
          <t>No</t>
        </is>
      </c>
      <c r="AS1778" t="inlineStr">
        <is>
          <t>Yes</t>
        </is>
      </c>
      <c r="AT1778">
        <f>HYPERLINK("http://catalog.hathitrust.org/Record/000251909","HathiTrust Record")</f>
        <v/>
      </c>
      <c r="AU1778">
        <f>HYPERLINK("https://creighton-primo.hosted.exlibrisgroup.com/primo-explore/search?tab=default_tab&amp;search_scope=EVERYTHING&amp;vid=01CRU&amp;lang=en_US&amp;offset=0&amp;query=any,contains,991004320269702656","Catalog Record")</f>
        <v/>
      </c>
      <c r="AV1778">
        <f>HYPERLINK("http://www.worldcat.org/oclc/3017339","WorldCat Record")</f>
        <v/>
      </c>
      <c r="AW1778" t="inlineStr">
        <is>
          <t>7139469:eng</t>
        </is>
      </c>
      <c r="AX1778" t="inlineStr">
        <is>
          <t>3017339</t>
        </is>
      </c>
      <c r="AY1778" t="inlineStr">
        <is>
          <t>991004320269702656</t>
        </is>
      </c>
      <c r="AZ1778" t="inlineStr">
        <is>
          <t>991004320269702656</t>
        </is>
      </c>
      <c r="BA1778" t="inlineStr">
        <is>
          <t>2269852360002656</t>
        </is>
      </c>
      <c r="BB1778" t="inlineStr">
        <is>
          <t>BOOK</t>
        </is>
      </c>
      <c r="BD1778" t="inlineStr">
        <is>
          <t>9780801410659</t>
        </is>
      </c>
      <c r="BE1778" t="inlineStr">
        <is>
          <t>32285000083211</t>
        </is>
      </c>
      <c r="BF1778" t="inlineStr">
        <is>
          <t>893513089</t>
        </is>
      </c>
    </row>
    <row r="1779">
      <c r="A1779" t="inlineStr">
        <is>
          <t>No</t>
        </is>
      </c>
      <c r="B1779" t="inlineStr">
        <is>
          <t>CURAL</t>
        </is>
      </c>
      <c r="C1779" t="inlineStr">
        <is>
          <t>SHELVES</t>
        </is>
      </c>
      <c r="D1779" t="inlineStr">
        <is>
          <t>PR4487.I6 B2</t>
        </is>
      </c>
      <c r="E1779" t="inlineStr">
        <is>
          <t>0                      PR 4487000I  6                  B  2</t>
        </is>
      </c>
      <c r="F1779" t="inlineStr">
        <is>
          <t>The sacred river; Coleridge's theory of the imagination. With an introd. by Richard Harter Fogle.</t>
        </is>
      </c>
      <c r="H1779" t="inlineStr">
        <is>
          <t>No</t>
        </is>
      </c>
      <c r="I1779" t="inlineStr">
        <is>
          <t>1</t>
        </is>
      </c>
      <c r="J1779" t="inlineStr">
        <is>
          <t>No</t>
        </is>
      </c>
      <c r="K1779" t="inlineStr">
        <is>
          <t>No</t>
        </is>
      </c>
      <c r="L1779" t="inlineStr">
        <is>
          <t>0</t>
        </is>
      </c>
      <c r="M1779" t="inlineStr">
        <is>
          <t>Baker, James Volant, 1903-</t>
        </is>
      </c>
      <c r="N1779" t="inlineStr">
        <is>
          <t>Baton Rouge] Louisiana State University Press [1957]</t>
        </is>
      </c>
      <c r="O1779" t="inlineStr">
        <is>
          <t>1957</t>
        </is>
      </c>
      <c r="P1779" t="inlineStr">
        <is>
          <t>[1st ed.</t>
        </is>
      </c>
      <c r="Q1779" t="inlineStr">
        <is>
          <t>eng</t>
        </is>
      </c>
      <c r="R1779" t="inlineStr">
        <is>
          <t>lau</t>
        </is>
      </c>
      <c r="T1779" t="inlineStr">
        <is>
          <t xml:space="preserve">PR </t>
        </is>
      </c>
      <c r="U1779" t="n">
        <v>3</v>
      </c>
      <c r="V1779" t="n">
        <v>3</v>
      </c>
      <c r="W1779" t="inlineStr">
        <is>
          <t>2007-04-09</t>
        </is>
      </c>
      <c r="X1779" t="inlineStr">
        <is>
          <t>2007-04-09</t>
        </is>
      </c>
      <c r="Y1779" t="inlineStr">
        <is>
          <t>1997-06-30</t>
        </is>
      </c>
      <c r="Z1779" t="inlineStr">
        <is>
          <t>1997-06-30</t>
        </is>
      </c>
      <c r="AA1779" t="n">
        <v>673</v>
      </c>
      <c r="AB1779" t="n">
        <v>582</v>
      </c>
      <c r="AC1779" t="n">
        <v>777</v>
      </c>
      <c r="AD1779" t="n">
        <v>7</v>
      </c>
      <c r="AE1779" t="n">
        <v>8</v>
      </c>
      <c r="AF1779" t="n">
        <v>38</v>
      </c>
      <c r="AG1779" t="n">
        <v>47</v>
      </c>
      <c r="AH1779" t="n">
        <v>17</v>
      </c>
      <c r="AI1779" t="n">
        <v>20</v>
      </c>
      <c r="AJ1779" t="n">
        <v>6</v>
      </c>
      <c r="AK1779" t="n">
        <v>9</v>
      </c>
      <c r="AL1779" t="n">
        <v>20</v>
      </c>
      <c r="AM1779" t="n">
        <v>24</v>
      </c>
      <c r="AN1779" t="n">
        <v>6</v>
      </c>
      <c r="AO1779" t="n">
        <v>7</v>
      </c>
      <c r="AP1779" t="n">
        <v>0</v>
      </c>
      <c r="AQ1779" t="n">
        <v>0</v>
      </c>
      <c r="AR1779" t="inlineStr">
        <is>
          <t>No</t>
        </is>
      </c>
      <c r="AS1779" t="inlineStr">
        <is>
          <t>No</t>
        </is>
      </c>
      <c r="AU1779">
        <f>HYPERLINK("https://creighton-primo.hosted.exlibrisgroup.com/primo-explore/search?tab=default_tab&amp;search_scope=EVERYTHING&amp;vid=01CRU&amp;lang=en_US&amp;offset=0&amp;query=any,contains,991003437979702656","Catalog Record")</f>
        <v/>
      </c>
      <c r="AV1779">
        <f>HYPERLINK("http://www.worldcat.org/oclc/973791","WorldCat Record")</f>
        <v/>
      </c>
      <c r="AW1779" t="inlineStr">
        <is>
          <t>292410397:eng</t>
        </is>
      </c>
      <c r="AX1779" t="inlineStr">
        <is>
          <t>973791</t>
        </is>
      </c>
      <c r="AY1779" t="inlineStr">
        <is>
          <t>991003437979702656</t>
        </is>
      </c>
      <c r="AZ1779" t="inlineStr">
        <is>
          <t>991003437979702656</t>
        </is>
      </c>
      <c r="BA1779" t="inlineStr">
        <is>
          <t>2256382580002656</t>
        </is>
      </c>
      <c r="BB1779" t="inlineStr">
        <is>
          <t>BOOK</t>
        </is>
      </c>
      <c r="BE1779" t="inlineStr">
        <is>
          <t>32285002837309</t>
        </is>
      </c>
      <c r="BF1779" t="inlineStr">
        <is>
          <t>893499289</t>
        </is>
      </c>
    </row>
    <row r="1780">
      <c r="A1780" t="inlineStr">
        <is>
          <t>No</t>
        </is>
      </c>
      <c r="B1780" t="inlineStr">
        <is>
          <t>CURAL</t>
        </is>
      </c>
      <c r="C1780" t="inlineStr">
        <is>
          <t>SHELVES</t>
        </is>
      </c>
      <c r="D1780" t="inlineStr">
        <is>
          <t>PR4487.I6 B7</t>
        </is>
      </c>
      <c r="E1780" t="inlineStr">
        <is>
          <t>0                      PR 4487000I  6                  B  7</t>
        </is>
      </c>
      <c r="F1780" t="inlineStr">
        <is>
          <t>Fancy &amp; imagination / [by] R.L. Brett.</t>
        </is>
      </c>
      <c r="H1780" t="inlineStr">
        <is>
          <t>No</t>
        </is>
      </c>
      <c r="I1780" t="inlineStr">
        <is>
          <t>1</t>
        </is>
      </c>
      <c r="J1780" t="inlineStr">
        <is>
          <t>No</t>
        </is>
      </c>
      <c r="K1780" t="inlineStr">
        <is>
          <t>No</t>
        </is>
      </c>
      <c r="L1780" t="inlineStr">
        <is>
          <t>0</t>
        </is>
      </c>
      <c r="M1780" t="inlineStr">
        <is>
          <t>Brett, R. L.</t>
        </is>
      </c>
      <c r="N1780" t="inlineStr">
        <is>
          <t>London : Methuen, 1969.</t>
        </is>
      </c>
      <c r="O1780" t="inlineStr">
        <is>
          <t>1969</t>
        </is>
      </c>
      <c r="Q1780" t="inlineStr">
        <is>
          <t>eng</t>
        </is>
      </c>
      <c r="R1780" t="inlineStr">
        <is>
          <t>___</t>
        </is>
      </c>
      <c r="S1780" t="inlineStr">
        <is>
          <t>The critical idiom, 6</t>
        </is>
      </c>
      <c r="T1780" t="inlineStr">
        <is>
          <t xml:space="preserve">PR </t>
        </is>
      </c>
      <c r="U1780" t="n">
        <v>3</v>
      </c>
      <c r="V1780" t="n">
        <v>3</v>
      </c>
      <c r="W1780" t="inlineStr">
        <is>
          <t>2004-04-17</t>
        </is>
      </c>
      <c r="X1780" t="inlineStr">
        <is>
          <t>2004-04-17</t>
        </is>
      </c>
      <c r="Y1780" t="inlineStr">
        <is>
          <t>1991-11-06</t>
        </is>
      </c>
      <c r="Z1780" t="inlineStr">
        <is>
          <t>1991-11-06</t>
        </is>
      </c>
      <c r="AA1780" t="n">
        <v>715</v>
      </c>
      <c r="AB1780" t="n">
        <v>513</v>
      </c>
      <c r="AC1780" t="n">
        <v>544</v>
      </c>
      <c r="AD1780" t="n">
        <v>4</v>
      </c>
      <c r="AE1780" t="n">
        <v>4</v>
      </c>
      <c r="AF1780" t="n">
        <v>24</v>
      </c>
      <c r="AG1780" t="n">
        <v>25</v>
      </c>
      <c r="AH1780" t="n">
        <v>8</v>
      </c>
      <c r="AI1780" t="n">
        <v>8</v>
      </c>
      <c r="AJ1780" t="n">
        <v>6</v>
      </c>
      <c r="AK1780" t="n">
        <v>6</v>
      </c>
      <c r="AL1780" t="n">
        <v>15</v>
      </c>
      <c r="AM1780" t="n">
        <v>16</v>
      </c>
      <c r="AN1780" t="n">
        <v>3</v>
      </c>
      <c r="AO1780" t="n">
        <v>3</v>
      </c>
      <c r="AP1780" t="n">
        <v>0</v>
      </c>
      <c r="AQ1780" t="n">
        <v>0</v>
      </c>
      <c r="AR1780" t="inlineStr">
        <is>
          <t>No</t>
        </is>
      </c>
      <c r="AS1780" t="inlineStr">
        <is>
          <t>Yes</t>
        </is>
      </c>
      <c r="AT1780">
        <f>HYPERLINK("http://catalog.hathitrust.org/Record/000383067","HathiTrust Record")</f>
        <v/>
      </c>
      <c r="AU1780">
        <f>HYPERLINK("https://creighton-primo.hosted.exlibrisgroup.com/primo-explore/search?tab=default_tab&amp;search_scope=EVERYTHING&amp;vid=01CRU&amp;lang=en_US&amp;offset=0&amp;query=any,contains,991002052719702656","Catalog Record")</f>
        <v/>
      </c>
      <c r="AV1780">
        <f>HYPERLINK("http://www.worldcat.org/oclc/262043","WorldCat Record")</f>
        <v/>
      </c>
      <c r="AW1780" t="inlineStr">
        <is>
          <t>1372427:eng</t>
        </is>
      </c>
      <c r="AX1780" t="inlineStr">
        <is>
          <t>262043</t>
        </is>
      </c>
      <c r="AY1780" t="inlineStr">
        <is>
          <t>991002052719702656</t>
        </is>
      </c>
      <c r="AZ1780" t="inlineStr">
        <is>
          <t>991002052719702656</t>
        </is>
      </c>
      <c r="BA1780" t="inlineStr">
        <is>
          <t>2266761850002656</t>
        </is>
      </c>
      <c r="BB1780" t="inlineStr">
        <is>
          <t>BOOK</t>
        </is>
      </c>
      <c r="BE1780" t="inlineStr">
        <is>
          <t>32285000797372</t>
        </is>
      </c>
      <c r="BF1780" t="inlineStr">
        <is>
          <t>893684900</t>
        </is>
      </c>
    </row>
    <row r="1781">
      <c r="A1781" t="inlineStr">
        <is>
          <t>No</t>
        </is>
      </c>
      <c r="B1781" t="inlineStr">
        <is>
          <t>CURAL</t>
        </is>
      </c>
      <c r="C1781" t="inlineStr">
        <is>
          <t>SHELVES</t>
        </is>
      </c>
      <c r="D1781" t="inlineStr">
        <is>
          <t>PR4487.L33 G66 1988</t>
        </is>
      </c>
      <c r="E1781" t="inlineStr">
        <is>
          <t>0                      PR 4487000L  33                 G  66          1988</t>
        </is>
      </c>
      <c r="F1781" t="inlineStr">
        <is>
          <t>Verbal imagination : Coleridge and the language of modern criticism / A.C. Goodson.</t>
        </is>
      </c>
      <c r="H1781" t="inlineStr">
        <is>
          <t>No</t>
        </is>
      </c>
      <c r="I1781" t="inlineStr">
        <is>
          <t>1</t>
        </is>
      </c>
      <c r="J1781" t="inlineStr">
        <is>
          <t>No</t>
        </is>
      </c>
      <c r="K1781" t="inlineStr">
        <is>
          <t>No</t>
        </is>
      </c>
      <c r="L1781" t="inlineStr">
        <is>
          <t>0</t>
        </is>
      </c>
      <c r="M1781" t="inlineStr">
        <is>
          <t>Goodson, A. C. (Alfred Clement), 1946-</t>
        </is>
      </c>
      <c r="N1781" t="inlineStr">
        <is>
          <t>New York : Oxford University Press, 1988.</t>
        </is>
      </c>
      <c r="O1781" t="inlineStr">
        <is>
          <t>1988</t>
        </is>
      </c>
      <c r="Q1781" t="inlineStr">
        <is>
          <t>eng</t>
        </is>
      </c>
      <c r="R1781" t="inlineStr">
        <is>
          <t>nyu</t>
        </is>
      </c>
      <c r="T1781" t="inlineStr">
        <is>
          <t xml:space="preserve">PR </t>
        </is>
      </c>
      <c r="U1781" t="n">
        <v>3</v>
      </c>
      <c r="V1781" t="n">
        <v>3</v>
      </c>
      <c r="W1781" t="inlineStr">
        <is>
          <t>2004-04-17</t>
        </is>
      </c>
      <c r="X1781" t="inlineStr">
        <is>
          <t>2004-04-17</t>
        </is>
      </c>
      <c r="Y1781" t="inlineStr">
        <is>
          <t>1991-11-06</t>
        </is>
      </c>
      <c r="Z1781" t="inlineStr">
        <is>
          <t>1991-11-06</t>
        </is>
      </c>
      <c r="AA1781" t="n">
        <v>472</v>
      </c>
      <c r="AB1781" t="n">
        <v>368</v>
      </c>
      <c r="AC1781" t="n">
        <v>375</v>
      </c>
      <c r="AD1781" t="n">
        <v>3</v>
      </c>
      <c r="AE1781" t="n">
        <v>3</v>
      </c>
      <c r="AF1781" t="n">
        <v>22</v>
      </c>
      <c r="AG1781" t="n">
        <v>22</v>
      </c>
      <c r="AH1781" t="n">
        <v>7</v>
      </c>
      <c r="AI1781" t="n">
        <v>7</v>
      </c>
      <c r="AJ1781" t="n">
        <v>7</v>
      </c>
      <c r="AK1781" t="n">
        <v>7</v>
      </c>
      <c r="AL1781" t="n">
        <v>15</v>
      </c>
      <c r="AM1781" t="n">
        <v>15</v>
      </c>
      <c r="AN1781" t="n">
        <v>2</v>
      </c>
      <c r="AO1781" t="n">
        <v>2</v>
      </c>
      <c r="AP1781" t="n">
        <v>0</v>
      </c>
      <c r="AQ1781" t="n">
        <v>0</v>
      </c>
      <c r="AR1781" t="inlineStr">
        <is>
          <t>No</t>
        </is>
      </c>
      <c r="AS1781" t="inlineStr">
        <is>
          <t>Yes</t>
        </is>
      </c>
      <c r="AT1781">
        <f>HYPERLINK("http://catalog.hathitrust.org/Record/001076435","HathiTrust Record")</f>
        <v/>
      </c>
      <c r="AU1781">
        <f>HYPERLINK("https://creighton-primo.hosted.exlibrisgroup.com/primo-explore/search?tab=default_tab&amp;search_scope=EVERYTHING&amp;vid=01CRU&amp;lang=en_US&amp;offset=0&amp;query=any,contains,991001186729702656","Catalog Record")</f>
        <v/>
      </c>
      <c r="AV1781">
        <f>HYPERLINK("http://www.worldcat.org/oclc/17210352","WorldCat Record")</f>
        <v/>
      </c>
      <c r="AW1781" t="inlineStr">
        <is>
          <t>15563472:eng</t>
        </is>
      </c>
      <c r="AX1781" t="inlineStr">
        <is>
          <t>17210352</t>
        </is>
      </c>
      <c r="AY1781" t="inlineStr">
        <is>
          <t>991001186729702656</t>
        </is>
      </c>
      <c r="AZ1781" t="inlineStr">
        <is>
          <t>991001186729702656</t>
        </is>
      </c>
      <c r="BA1781" t="inlineStr">
        <is>
          <t>2272237030002656</t>
        </is>
      </c>
      <c r="BB1781" t="inlineStr">
        <is>
          <t>BOOK</t>
        </is>
      </c>
      <c r="BD1781" t="inlineStr">
        <is>
          <t>9780195054507</t>
        </is>
      </c>
      <c r="BE1781" t="inlineStr">
        <is>
          <t>32285000797380</t>
        </is>
      </c>
      <c r="BF1781" t="inlineStr">
        <is>
          <t>893626594</t>
        </is>
      </c>
    </row>
    <row r="1782">
      <c r="A1782" t="inlineStr">
        <is>
          <t>No</t>
        </is>
      </c>
      <c r="B1782" t="inlineStr">
        <is>
          <t>CURAL</t>
        </is>
      </c>
      <c r="C1782" t="inlineStr">
        <is>
          <t>SHELVES</t>
        </is>
      </c>
      <c r="D1782" t="inlineStr">
        <is>
          <t>PR4487.L5 H3 1983</t>
        </is>
      </c>
      <c r="E1782" t="inlineStr">
        <is>
          <t>0                      PR 4487000L  5                  H  3           1983</t>
        </is>
      </c>
      <c r="F1782" t="inlineStr">
        <is>
          <t>Coleridge's poetics / Paul Hamilton.</t>
        </is>
      </c>
      <c r="H1782" t="inlineStr">
        <is>
          <t>No</t>
        </is>
      </c>
      <c r="I1782" t="inlineStr">
        <is>
          <t>1</t>
        </is>
      </c>
      <c r="J1782" t="inlineStr">
        <is>
          <t>No</t>
        </is>
      </c>
      <c r="K1782" t="inlineStr">
        <is>
          <t>No</t>
        </is>
      </c>
      <c r="L1782" t="inlineStr">
        <is>
          <t>0</t>
        </is>
      </c>
      <c r="M1782" t="inlineStr">
        <is>
          <t>Hamilton, Paul, 1950-</t>
        </is>
      </c>
      <c r="N1782" t="inlineStr">
        <is>
          <t>Stanford, Calif. : Stanford University Press, 1983.</t>
        </is>
      </c>
      <c r="O1782" t="inlineStr">
        <is>
          <t>1983</t>
        </is>
      </c>
      <c r="Q1782" t="inlineStr">
        <is>
          <t>eng</t>
        </is>
      </c>
      <c r="R1782" t="inlineStr">
        <is>
          <t>cau</t>
        </is>
      </c>
      <c r="T1782" t="inlineStr">
        <is>
          <t xml:space="preserve">PR </t>
        </is>
      </c>
      <c r="U1782" t="n">
        <v>6</v>
      </c>
      <c r="V1782" t="n">
        <v>6</v>
      </c>
      <c r="W1782" t="inlineStr">
        <is>
          <t>1999-02-23</t>
        </is>
      </c>
      <c r="X1782" t="inlineStr">
        <is>
          <t>1999-02-23</t>
        </is>
      </c>
      <c r="Y1782" t="inlineStr">
        <is>
          <t>1991-11-06</t>
        </is>
      </c>
      <c r="Z1782" t="inlineStr">
        <is>
          <t>1991-11-06</t>
        </is>
      </c>
      <c r="AA1782" t="n">
        <v>340</v>
      </c>
      <c r="AB1782" t="n">
        <v>301</v>
      </c>
      <c r="AC1782" t="n">
        <v>383</v>
      </c>
      <c r="AD1782" t="n">
        <v>4</v>
      </c>
      <c r="AE1782" t="n">
        <v>5</v>
      </c>
      <c r="AF1782" t="n">
        <v>29</v>
      </c>
      <c r="AG1782" t="n">
        <v>31</v>
      </c>
      <c r="AH1782" t="n">
        <v>10</v>
      </c>
      <c r="AI1782" t="n">
        <v>10</v>
      </c>
      <c r="AJ1782" t="n">
        <v>8</v>
      </c>
      <c r="AK1782" t="n">
        <v>8</v>
      </c>
      <c r="AL1782" t="n">
        <v>16</v>
      </c>
      <c r="AM1782" t="n">
        <v>17</v>
      </c>
      <c r="AN1782" t="n">
        <v>3</v>
      </c>
      <c r="AO1782" t="n">
        <v>4</v>
      </c>
      <c r="AP1782" t="n">
        <v>0</v>
      </c>
      <c r="AQ1782" t="n">
        <v>0</v>
      </c>
      <c r="AR1782" t="inlineStr">
        <is>
          <t>No</t>
        </is>
      </c>
      <c r="AS1782" t="inlineStr">
        <is>
          <t>No</t>
        </is>
      </c>
      <c r="AU1782">
        <f>HYPERLINK("https://creighton-primo.hosted.exlibrisgroup.com/primo-explore/search?tab=default_tab&amp;search_scope=EVERYTHING&amp;vid=01CRU&amp;lang=en_US&amp;offset=0&amp;query=any,contains,991000334319702656","Catalog Record")</f>
        <v/>
      </c>
      <c r="AV1782">
        <f>HYPERLINK("http://www.worldcat.org/oclc/10223737","WorldCat Record")</f>
        <v/>
      </c>
      <c r="AW1782" t="inlineStr">
        <is>
          <t>146789513:eng</t>
        </is>
      </c>
      <c r="AX1782" t="inlineStr">
        <is>
          <t>10223737</t>
        </is>
      </c>
      <c r="AY1782" t="inlineStr">
        <is>
          <t>991000334319702656</t>
        </is>
      </c>
      <c r="AZ1782" t="inlineStr">
        <is>
          <t>991000334319702656</t>
        </is>
      </c>
      <c r="BA1782" t="inlineStr">
        <is>
          <t>2258985620002656</t>
        </is>
      </c>
      <c r="BB1782" t="inlineStr">
        <is>
          <t>BOOK</t>
        </is>
      </c>
      <c r="BE1782" t="inlineStr">
        <is>
          <t>32285000797398</t>
        </is>
      </c>
      <c r="BF1782" t="inlineStr">
        <is>
          <t>893771544</t>
        </is>
      </c>
    </row>
    <row r="1783">
      <c r="A1783" t="inlineStr">
        <is>
          <t>No</t>
        </is>
      </c>
      <c r="B1783" t="inlineStr">
        <is>
          <t>CURAL</t>
        </is>
      </c>
      <c r="C1783" t="inlineStr">
        <is>
          <t>SHELVES</t>
        </is>
      </c>
      <c r="D1783" t="inlineStr">
        <is>
          <t>PR4487.P5 M36 1992</t>
        </is>
      </c>
      <c r="E1783" t="inlineStr">
        <is>
          <t>0                      PR 4487000P  5                  M  36          1992</t>
        </is>
      </c>
      <c r="F1783" t="inlineStr">
        <is>
          <t>The knowledge that endures : Coleridge, German philosophy and the logic of Romantic thought / Gerald McNiece.</t>
        </is>
      </c>
      <c r="H1783" t="inlineStr">
        <is>
          <t>No</t>
        </is>
      </c>
      <c r="I1783" t="inlineStr">
        <is>
          <t>1</t>
        </is>
      </c>
      <c r="J1783" t="inlineStr">
        <is>
          <t>No</t>
        </is>
      </c>
      <c r="K1783" t="inlineStr">
        <is>
          <t>No</t>
        </is>
      </c>
      <c r="L1783" t="inlineStr">
        <is>
          <t>0</t>
        </is>
      </c>
      <c r="M1783" t="inlineStr">
        <is>
          <t>McNiece, Gerald.</t>
        </is>
      </c>
      <c r="N1783" t="inlineStr">
        <is>
          <t>New York : St. Martin's Press, 1992.</t>
        </is>
      </c>
      <c r="O1783" t="inlineStr">
        <is>
          <t>1992</t>
        </is>
      </c>
      <c r="Q1783" t="inlineStr">
        <is>
          <t>eng</t>
        </is>
      </c>
      <c r="R1783" t="inlineStr">
        <is>
          <t>nyu</t>
        </is>
      </c>
      <c r="T1783" t="inlineStr">
        <is>
          <t xml:space="preserve">PR </t>
        </is>
      </c>
      <c r="U1783" t="n">
        <v>6</v>
      </c>
      <c r="V1783" t="n">
        <v>6</v>
      </c>
      <c r="W1783" t="inlineStr">
        <is>
          <t>1997-02-04</t>
        </is>
      </c>
      <c r="X1783" t="inlineStr">
        <is>
          <t>1997-02-04</t>
        </is>
      </c>
      <c r="Y1783" t="inlineStr">
        <is>
          <t>1993-10-08</t>
        </is>
      </c>
      <c r="Z1783" t="inlineStr">
        <is>
          <t>1993-10-08</t>
        </is>
      </c>
      <c r="AA1783" t="n">
        <v>148</v>
      </c>
      <c r="AB1783" t="n">
        <v>124</v>
      </c>
      <c r="AC1783" t="n">
        <v>155</v>
      </c>
      <c r="AD1783" t="n">
        <v>2</v>
      </c>
      <c r="AE1783" t="n">
        <v>2</v>
      </c>
      <c r="AF1783" t="n">
        <v>7</v>
      </c>
      <c r="AG1783" t="n">
        <v>7</v>
      </c>
      <c r="AH1783" t="n">
        <v>2</v>
      </c>
      <c r="AI1783" t="n">
        <v>2</v>
      </c>
      <c r="AJ1783" t="n">
        <v>2</v>
      </c>
      <c r="AK1783" t="n">
        <v>2</v>
      </c>
      <c r="AL1783" t="n">
        <v>6</v>
      </c>
      <c r="AM1783" t="n">
        <v>6</v>
      </c>
      <c r="AN1783" t="n">
        <v>1</v>
      </c>
      <c r="AO1783" t="n">
        <v>1</v>
      </c>
      <c r="AP1783" t="n">
        <v>0</v>
      </c>
      <c r="AQ1783" t="n">
        <v>0</v>
      </c>
      <c r="AR1783" t="inlineStr">
        <is>
          <t>No</t>
        </is>
      </c>
      <c r="AS1783" t="inlineStr">
        <is>
          <t>No</t>
        </is>
      </c>
      <c r="AU1783">
        <f>HYPERLINK("https://creighton-primo.hosted.exlibrisgroup.com/primo-explore/search?tab=default_tab&amp;search_scope=EVERYTHING&amp;vid=01CRU&amp;lang=en_US&amp;offset=0&amp;query=any,contains,991001905109702656","Catalog Record")</f>
        <v/>
      </c>
      <c r="AV1783">
        <f>HYPERLINK("http://www.worldcat.org/oclc/24067089","WorldCat Record")</f>
        <v/>
      </c>
      <c r="AW1783" t="inlineStr">
        <is>
          <t>839824997:eng</t>
        </is>
      </c>
      <c r="AX1783" t="inlineStr">
        <is>
          <t>24067089</t>
        </is>
      </c>
      <c r="AY1783" t="inlineStr">
        <is>
          <t>991001905109702656</t>
        </is>
      </c>
      <c r="AZ1783" t="inlineStr">
        <is>
          <t>991001905109702656</t>
        </is>
      </c>
      <c r="BA1783" t="inlineStr">
        <is>
          <t>2261050480002656</t>
        </is>
      </c>
      <c r="BB1783" t="inlineStr">
        <is>
          <t>BOOK</t>
        </is>
      </c>
      <c r="BD1783" t="inlineStr">
        <is>
          <t>9780312067991</t>
        </is>
      </c>
      <c r="BE1783" t="inlineStr">
        <is>
          <t>32285001785079</t>
        </is>
      </c>
      <c r="BF1783" t="inlineStr">
        <is>
          <t>893898155</t>
        </is>
      </c>
    </row>
    <row r="1784">
      <c r="A1784" t="inlineStr">
        <is>
          <t>No</t>
        </is>
      </c>
      <c r="B1784" t="inlineStr">
        <is>
          <t>CURAL</t>
        </is>
      </c>
      <c r="C1784" t="inlineStr">
        <is>
          <t>SHELVES</t>
        </is>
      </c>
      <c r="D1784" t="inlineStr">
        <is>
          <t>PR4487.P5 W57 1981</t>
        </is>
      </c>
      <c r="E1784" t="inlineStr">
        <is>
          <t>0                      PR 4487000P  5                  W  57          1981</t>
        </is>
      </c>
      <c r="F1784" t="inlineStr">
        <is>
          <t>The creative mind in Coleridge's poetry / by K. M. Wheeler.</t>
        </is>
      </c>
      <c r="H1784" t="inlineStr">
        <is>
          <t>No</t>
        </is>
      </c>
      <c r="I1784" t="inlineStr">
        <is>
          <t>1</t>
        </is>
      </c>
      <c r="J1784" t="inlineStr">
        <is>
          <t>No</t>
        </is>
      </c>
      <c r="K1784" t="inlineStr">
        <is>
          <t>No</t>
        </is>
      </c>
      <c r="L1784" t="inlineStr">
        <is>
          <t>0</t>
        </is>
      </c>
      <c r="M1784" t="inlineStr">
        <is>
          <t>Wheeler, Kathleen M.</t>
        </is>
      </c>
      <c r="N1784" t="inlineStr">
        <is>
          <t>Cambridge : Harvard University Press, 1981.</t>
        </is>
      </c>
      <c r="O1784" t="inlineStr">
        <is>
          <t>1981</t>
        </is>
      </c>
      <c r="Q1784" t="inlineStr">
        <is>
          <t>eng</t>
        </is>
      </c>
      <c r="R1784" t="inlineStr">
        <is>
          <t>mau</t>
        </is>
      </c>
      <c r="T1784" t="inlineStr">
        <is>
          <t xml:space="preserve">PR </t>
        </is>
      </c>
      <c r="U1784" t="n">
        <v>2</v>
      </c>
      <c r="V1784" t="n">
        <v>2</v>
      </c>
      <c r="W1784" t="inlineStr">
        <is>
          <t>2004-02-18</t>
        </is>
      </c>
      <c r="X1784" t="inlineStr">
        <is>
          <t>2004-02-18</t>
        </is>
      </c>
      <c r="Y1784" t="inlineStr">
        <is>
          <t>1991-11-06</t>
        </is>
      </c>
      <c r="Z1784" t="inlineStr">
        <is>
          <t>1991-11-06</t>
        </is>
      </c>
      <c r="AA1784" t="n">
        <v>444</v>
      </c>
      <c r="AB1784" t="n">
        <v>375</v>
      </c>
      <c r="AC1784" t="n">
        <v>415</v>
      </c>
      <c r="AD1784" t="n">
        <v>2</v>
      </c>
      <c r="AE1784" t="n">
        <v>4</v>
      </c>
      <c r="AF1784" t="n">
        <v>25</v>
      </c>
      <c r="AG1784" t="n">
        <v>27</v>
      </c>
      <c r="AH1784" t="n">
        <v>10</v>
      </c>
      <c r="AI1784" t="n">
        <v>10</v>
      </c>
      <c r="AJ1784" t="n">
        <v>7</v>
      </c>
      <c r="AK1784" t="n">
        <v>7</v>
      </c>
      <c r="AL1784" t="n">
        <v>15</v>
      </c>
      <c r="AM1784" t="n">
        <v>15</v>
      </c>
      <c r="AN1784" t="n">
        <v>1</v>
      </c>
      <c r="AO1784" t="n">
        <v>3</v>
      </c>
      <c r="AP1784" t="n">
        <v>0</v>
      </c>
      <c r="AQ1784" t="n">
        <v>0</v>
      </c>
      <c r="AR1784" t="inlineStr">
        <is>
          <t>No</t>
        </is>
      </c>
      <c r="AS1784" t="inlineStr">
        <is>
          <t>No</t>
        </is>
      </c>
      <c r="AU1784">
        <f>HYPERLINK("https://creighton-primo.hosted.exlibrisgroup.com/primo-explore/search?tab=default_tab&amp;search_scope=EVERYTHING&amp;vid=01CRU&amp;lang=en_US&amp;offset=0&amp;query=any,contains,991005029719702656","Catalog Record")</f>
        <v/>
      </c>
      <c r="AV1784">
        <f>HYPERLINK("http://www.worldcat.org/oclc/6709022","WorldCat Record")</f>
        <v/>
      </c>
      <c r="AW1784" t="inlineStr">
        <is>
          <t>521061:eng</t>
        </is>
      </c>
      <c r="AX1784" t="inlineStr">
        <is>
          <t>6709022</t>
        </is>
      </c>
      <c r="AY1784" t="inlineStr">
        <is>
          <t>991005029719702656</t>
        </is>
      </c>
      <c r="AZ1784" t="inlineStr">
        <is>
          <t>991005029719702656</t>
        </is>
      </c>
      <c r="BA1784" t="inlineStr">
        <is>
          <t>2256552220002656</t>
        </is>
      </c>
      <c r="BB1784" t="inlineStr">
        <is>
          <t>BOOK</t>
        </is>
      </c>
      <c r="BD1784" t="inlineStr">
        <is>
          <t>9780674175730</t>
        </is>
      </c>
      <c r="BE1784" t="inlineStr">
        <is>
          <t>32285000797414</t>
        </is>
      </c>
      <c r="BF1784" t="inlineStr">
        <is>
          <t>893350598</t>
        </is>
      </c>
    </row>
    <row r="1785">
      <c r="A1785" t="inlineStr">
        <is>
          <t>No</t>
        </is>
      </c>
      <c r="B1785" t="inlineStr">
        <is>
          <t>CURAL</t>
        </is>
      </c>
      <c r="C1785" t="inlineStr">
        <is>
          <t>SHELVES</t>
        </is>
      </c>
      <c r="D1785" t="inlineStr">
        <is>
          <t>PR4487.P6 W6</t>
        </is>
      </c>
      <c r="E1785" t="inlineStr">
        <is>
          <t>0                      PR 4487000P  6                  W  6</t>
        </is>
      </c>
      <c r="F1785" t="inlineStr">
        <is>
          <t>Politics in the poetry of Coleridge.</t>
        </is>
      </c>
      <c r="H1785" t="inlineStr">
        <is>
          <t>No</t>
        </is>
      </c>
      <c r="I1785" t="inlineStr">
        <is>
          <t>1</t>
        </is>
      </c>
      <c r="J1785" t="inlineStr">
        <is>
          <t>No</t>
        </is>
      </c>
      <c r="K1785" t="inlineStr">
        <is>
          <t>No</t>
        </is>
      </c>
      <c r="L1785" t="inlineStr">
        <is>
          <t>0</t>
        </is>
      </c>
      <c r="M1785" t="inlineStr">
        <is>
          <t>Woodring, Carl, 1919-2009.</t>
        </is>
      </c>
      <c r="N1785" t="inlineStr">
        <is>
          <t>Madison : University of Wisconsin Press, 1961.</t>
        </is>
      </c>
      <c r="O1785" t="inlineStr">
        <is>
          <t>1961</t>
        </is>
      </c>
      <c r="Q1785" t="inlineStr">
        <is>
          <t>eng</t>
        </is>
      </c>
      <c r="R1785" t="inlineStr">
        <is>
          <t>wiu</t>
        </is>
      </c>
      <c r="T1785" t="inlineStr">
        <is>
          <t xml:space="preserve">PR </t>
        </is>
      </c>
      <c r="U1785" t="n">
        <v>2</v>
      </c>
      <c r="V1785" t="n">
        <v>2</v>
      </c>
      <c r="W1785" t="inlineStr">
        <is>
          <t>1994-04-16</t>
        </is>
      </c>
      <c r="X1785" t="inlineStr">
        <is>
          <t>1994-04-16</t>
        </is>
      </c>
      <c r="Y1785" t="inlineStr">
        <is>
          <t>1993-02-26</t>
        </is>
      </c>
      <c r="Z1785" t="inlineStr">
        <is>
          <t>1993-02-26</t>
        </is>
      </c>
      <c r="AA1785" t="n">
        <v>715</v>
      </c>
      <c r="AB1785" t="n">
        <v>589</v>
      </c>
      <c r="AC1785" t="n">
        <v>598</v>
      </c>
      <c r="AD1785" t="n">
        <v>4</v>
      </c>
      <c r="AE1785" t="n">
        <v>4</v>
      </c>
      <c r="AF1785" t="n">
        <v>35</v>
      </c>
      <c r="AG1785" t="n">
        <v>36</v>
      </c>
      <c r="AH1785" t="n">
        <v>15</v>
      </c>
      <c r="AI1785" t="n">
        <v>15</v>
      </c>
      <c r="AJ1785" t="n">
        <v>8</v>
      </c>
      <c r="AK1785" t="n">
        <v>8</v>
      </c>
      <c r="AL1785" t="n">
        <v>21</v>
      </c>
      <c r="AM1785" t="n">
        <v>22</v>
      </c>
      <c r="AN1785" t="n">
        <v>3</v>
      </c>
      <c r="AO1785" t="n">
        <v>3</v>
      </c>
      <c r="AP1785" t="n">
        <v>0</v>
      </c>
      <c r="AQ1785" t="n">
        <v>0</v>
      </c>
      <c r="AR1785" t="inlineStr">
        <is>
          <t>No</t>
        </is>
      </c>
      <c r="AS1785" t="inlineStr">
        <is>
          <t>Yes</t>
        </is>
      </c>
      <c r="AT1785">
        <f>HYPERLINK("http://catalog.hathitrust.org/Record/000665223","HathiTrust Record")</f>
        <v/>
      </c>
      <c r="AU1785">
        <f>HYPERLINK("https://creighton-primo.hosted.exlibrisgroup.com/primo-explore/search?tab=default_tab&amp;search_scope=EVERYTHING&amp;vid=01CRU&amp;lang=en_US&amp;offset=0&amp;query=any,contains,991002473219702656","Catalog Record")</f>
        <v/>
      </c>
      <c r="AV1785">
        <f>HYPERLINK("http://www.worldcat.org/oclc/358719","WorldCat Record")</f>
        <v/>
      </c>
      <c r="AW1785" t="inlineStr">
        <is>
          <t>505598805:eng</t>
        </is>
      </c>
      <c r="AX1785" t="inlineStr">
        <is>
          <t>358719</t>
        </is>
      </c>
      <c r="AY1785" t="inlineStr">
        <is>
          <t>991002473219702656</t>
        </is>
      </c>
      <c r="AZ1785" t="inlineStr">
        <is>
          <t>991002473219702656</t>
        </is>
      </c>
      <c r="BA1785" t="inlineStr">
        <is>
          <t>2266001010002656</t>
        </is>
      </c>
      <c r="BB1785" t="inlineStr">
        <is>
          <t>BOOK</t>
        </is>
      </c>
      <c r="BE1785" t="inlineStr">
        <is>
          <t>32285001539880</t>
        </is>
      </c>
      <c r="BF1785" t="inlineStr">
        <is>
          <t>893245223</t>
        </is>
      </c>
    </row>
    <row r="1786">
      <c r="A1786" t="inlineStr">
        <is>
          <t>No</t>
        </is>
      </c>
      <c r="B1786" t="inlineStr">
        <is>
          <t>CURAL</t>
        </is>
      </c>
      <c r="C1786" t="inlineStr">
        <is>
          <t>SHELVES</t>
        </is>
      </c>
      <c r="D1786" t="inlineStr">
        <is>
          <t>PR4487.R4 C88 1987</t>
        </is>
      </c>
      <c r="E1786" t="inlineStr">
        <is>
          <t>0                      PR 4487000R  4                  C  88          1987</t>
        </is>
      </c>
      <c r="F1786" t="inlineStr">
        <is>
          <t>The form of transformed vision : Coleridge and the knowledge of God / James S. Cutsinger ; foreword by Owen Barfield.</t>
        </is>
      </c>
      <c r="H1786" t="inlineStr">
        <is>
          <t>No</t>
        </is>
      </c>
      <c r="I1786" t="inlineStr">
        <is>
          <t>1</t>
        </is>
      </c>
      <c r="J1786" t="inlineStr">
        <is>
          <t>No</t>
        </is>
      </c>
      <c r="K1786" t="inlineStr">
        <is>
          <t>No</t>
        </is>
      </c>
      <c r="L1786" t="inlineStr">
        <is>
          <t>0</t>
        </is>
      </c>
      <c r="M1786" t="inlineStr">
        <is>
          <t>Cutsinger, James S., 1953-</t>
        </is>
      </c>
      <c r="N1786" t="inlineStr">
        <is>
          <t>Macon, GA : Mercer, c1987.</t>
        </is>
      </c>
      <c r="O1786" t="inlineStr">
        <is>
          <t>1987</t>
        </is>
      </c>
      <c r="Q1786" t="inlineStr">
        <is>
          <t>eng</t>
        </is>
      </c>
      <c r="R1786" t="inlineStr">
        <is>
          <t>gau</t>
        </is>
      </c>
      <c r="T1786" t="inlineStr">
        <is>
          <t xml:space="preserve">PR </t>
        </is>
      </c>
      <c r="U1786" t="n">
        <v>1</v>
      </c>
      <c r="V1786" t="n">
        <v>1</v>
      </c>
      <c r="W1786" t="inlineStr">
        <is>
          <t>1997-09-24</t>
        </is>
      </c>
      <c r="X1786" t="inlineStr">
        <is>
          <t>1997-09-24</t>
        </is>
      </c>
      <c r="Y1786" t="inlineStr">
        <is>
          <t>1990-09-07</t>
        </is>
      </c>
      <c r="Z1786" t="inlineStr">
        <is>
          <t>1990-09-07</t>
        </is>
      </c>
      <c r="AA1786" t="n">
        <v>296</v>
      </c>
      <c r="AB1786" t="n">
        <v>247</v>
      </c>
      <c r="AC1786" t="n">
        <v>249</v>
      </c>
      <c r="AD1786" t="n">
        <v>2</v>
      </c>
      <c r="AE1786" t="n">
        <v>2</v>
      </c>
      <c r="AF1786" t="n">
        <v>15</v>
      </c>
      <c r="AG1786" t="n">
        <v>15</v>
      </c>
      <c r="AH1786" t="n">
        <v>3</v>
      </c>
      <c r="AI1786" t="n">
        <v>3</v>
      </c>
      <c r="AJ1786" t="n">
        <v>5</v>
      </c>
      <c r="AK1786" t="n">
        <v>5</v>
      </c>
      <c r="AL1786" t="n">
        <v>11</v>
      </c>
      <c r="AM1786" t="n">
        <v>11</v>
      </c>
      <c r="AN1786" t="n">
        <v>1</v>
      </c>
      <c r="AO1786" t="n">
        <v>1</v>
      </c>
      <c r="AP1786" t="n">
        <v>0</v>
      </c>
      <c r="AQ1786" t="n">
        <v>0</v>
      </c>
      <c r="AR1786" t="inlineStr">
        <is>
          <t>No</t>
        </is>
      </c>
      <c r="AS1786" t="inlineStr">
        <is>
          <t>Yes</t>
        </is>
      </c>
      <c r="AT1786">
        <f>HYPERLINK("http://catalog.hathitrust.org/Record/000880990","HathiTrust Record")</f>
        <v/>
      </c>
      <c r="AU1786">
        <f>HYPERLINK("https://creighton-primo.hosted.exlibrisgroup.com/primo-explore/search?tab=default_tab&amp;search_scope=EVERYTHING&amp;vid=01CRU&amp;lang=en_US&amp;offset=0&amp;query=any,contains,991001073389702656","Catalog Record")</f>
        <v/>
      </c>
      <c r="AV1786">
        <f>HYPERLINK("http://www.worldcat.org/oclc/16003613","WorldCat Record")</f>
        <v/>
      </c>
      <c r="AW1786" t="inlineStr">
        <is>
          <t>10931971:eng</t>
        </is>
      </c>
      <c r="AX1786" t="inlineStr">
        <is>
          <t>16003613</t>
        </is>
      </c>
      <c r="AY1786" t="inlineStr">
        <is>
          <t>991001073389702656</t>
        </is>
      </c>
      <c r="AZ1786" t="inlineStr">
        <is>
          <t>991001073389702656</t>
        </is>
      </c>
      <c r="BA1786" t="inlineStr">
        <is>
          <t>2272702360002656</t>
        </is>
      </c>
      <c r="BB1786" t="inlineStr">
        <is>
          <t>BOOK</t>
        </is>
      </c>
      <c r="BD1786" t="inlineStr">
        <is>
          <t>9780865542808</t>
        </is>
      </c>
      <c r="BE1786" t="inlineStr">
        <is>
          <t>32285000276195</t>
        </is>
      </c>
      <c r="BF1786" t="inlineStr">
        <is>
          <t>893791147</t>
        </is>
      </c>
    </row>
    <row r="1787">
      <c r="A1787" t="inlineStr">
        <is>
          <t>No</t>
        </is>
      </c>
      <c r="B1787" t="inlineStr">
        <is>
          <t>CURAL</t>
        </is>
      </c>
      <c r="C1787" t="inlineStr">
        <is>
          <t>SHELVES</t>
        </is>
      </c>
      <c r="D1787" t="inlineStr">
        <is>
          <t>PR4487.S35 L4</t>
        </is>
      </c>
      <c r="E1787" t="inlineStr">
        <is>
          <t>0                      PR 4487000S  35                 L  4</t>
        </is>
      </c>
      <c r="F1787" t="inlineStr">
        <is>
          <t>Poetry realized in nature : Samuel Taylor Coleridge and early nineteenth-century science / Trevor Harvey Levere.</t>
        </is>
      </c>
      <c r="H1787" t="inlineStr">
        <is>
          <t>No</t>
        </is>
      </c>
      <c r="I1787" t="inlineStr">
        <is>
          <t>1</t>
        </is>
      </c>
      <c r="J1787" t="inlineStr">
        <is>
          <t>No</t>
        </is>
      </c>
      <c r="K1787" t="inlineStr">
        <is>
          <t>No</t>
        </is>
      </c>
      <c r="L1787" t="inlineStr">
        <is>
          <t>0</t>
        </is>
      </c>
      <c r="M1787" t="inlineStr">
        <is>
          <t>Levere, Trevor Harvey.</t>
        </is>
      </c>
      <c r="N1787" t="inlineStr">
        <is>
          <t>Cambridge [England] ; New York : Cambridge University Press, 1981.</t>
        </is>
      </c>
      <c r="O1787" t="inlineStr">
        <is>
          <t>1981</t>
        </is>
      </c>
      <c r="Q1787" t="inlineStr">
        <is>
          <t>eng</t>
        </is>
      </c>
      <c r="R1787" t="inlineStr">
        <is>
          <t>enk</t>
        </is>
      </c>
      <c r="T1787" t="inlineStr">
        <is>
          <t xml:space="preserve">PR </t>
        </is>
      </c>
      <c r="U1787" t="n">
        <v>1</v>
      </c>
      <c r="V1787" t="n">
        <v>1</v>
      </c>
      <c r="W1787" t="inlineStr">
        <is>
          <t>2003-03-19</t>
        </is>
      </c>
      <c r="X1787" t="inlineStr">
        <is>
          <t>2003-03-19</t>
        </is>
      </c>
      <c r="Y1787" t="inlineStr">
        <is>
          <t>1991-11-06</t>
        </is>
      </c>
      <c r="Z1787" t="inlineStr">
        <is>
          <t>1991-11-06</t>
        </is>
      </c>
      <c r="AA1787" t="n">
        <v>488</v>
      </c>
      <c r="AB1787" t="n">
        <v>334</v>
      </c>
      <c r="AC1787" t="n">
        <v>344</v>
      </c>
      <c r="AD1787" t="n">
        <v>3</v>
      </c>
      <c r="AE1787" t="n">
        <v>3</v>
      </c>
      <c r="AF1787" t="n">
        <v>14</v>
      </c>
      <c r="AG1787" t="n">
        <v>14</v>
      </c>
      <c r="AH1787" t="n">
        <v>3</v>
      </c>
      <c r="AI1787" t="n">
        <v>3</v>
      </c>
      <c r="AJ1787" t="n">
        <v>4</v>
      </c>
      <c r="AK1787" t="n">
        <v>4</v>
      </c>
      <c r="AL1787" t="n">
        <v>9</v>
      </c>
      <c r="AM1787" t="n">
        <v>9</v>
      </c>
      <c r="AN1787" t="n">
        <v>2</v>
      </c>
      <c r="AO1787" t="n">
        <v>2</v>
      </c>
      <c r="AP1787" t="n">
        <v>0</v>
      </c>
      <c r="AQ1787" t="n">
        <v>0</v>
      </c>
      <c r="AR1787" t="inlineStr">
        <is>
          <t>No</t>
        </is>
      </c>
      <c r="AS1787" t="inlineStr">
        <is>
          <t>No</t>
        </is>
      </c>
      <c r="AU1787">
        <f>HYPERLINK("https://creighton-primo.hosted.exlibrisgroup.com/primo-explore/search?tab=default_tab&amp;search_scope=EVERYTHING&amp;vid=01CRU&amp;lang=en_US&amp;offset=0&amp;query=any,contains,991005097249702656","Catalog Record")</f>
        <v/>
      </c>
      <c r="AV1787">
        <f>HYPERLINK("http://www.worldcat.org/oclc/7275411","WorldCat Record")</f>
        <v/>
      </c>
      <c r="AW1787" t="inlineStr">
        <is>
          <t>837071003:eng</t>
        </is>
      </c>
      <c r="AX1787" t="inlineStr">
        <is>
          <t>7275411</t>
        </is>
      </c>
      <c r="AY1787" t="inlineStr">
        <is>
          <t>991005097249702656</t>
        </is>
      </c>
      <c r="AZ1787" t="inlineStr">
        <is>
          <t>991005097249702656</t>
        </is>
      </c>
      <c r="BA1787" t="inlineStr">
        <is>
          <t>2259753780002656</t>
        </is>
      </c>
      <c r="BB1787" t="inlineStr">
        <is>
          <t>BOOK</t>
        </is>
      </c>
      <c r="BD1787" t="inlineStr">
        <is>
          <t>9780521239202</t>
        </is>
      </c>
      <c r="BE1787" t="inlineStr">
        <is>
          <t>32285000797430</t>
        </is>
      </c>
      <c r="BF1787" t="inlineStr">
        <is>
          <t>893326151</t>
        </is>
      </c>
    </row>
    <row r="1788">
      <c r="A1788" t="inlineStr">
        <is>
          <t>No</t>
        </is>
      </c>
      <c r="B1788" t="inlineStr">
        <is>
          <t>CURAL</t>
        </is>
      </c>
      <c r="C1788" t="inlineStr">
        <is>
          <t>SHELVES</t>
        </is>
      </c>
      <c r="D1788" t="inlineStr">
        <is>
          <t>PR449.L65 B95</t>
        </is>
      </c>
      <c r="E1788" t="inlineStr">
        <is>
          <t>0                      PR 0449000L  65                 B  95</t>
        </is>
      </c>
      <c r="F1788" t="inlineStr">
        <is>
          <t>London transformed : images of the city in the eighteenth century / Max Byrd.</t>
        </is>
      </c>
      <c r="H1788" t="inlineStr">
        <is>
          <t>No</t>
        </is>
      </c>
      <c r="I1788" t="inlineStr">
        <is>
          <t>1</t>
        </is>
      </c>
      <c r="J1788" t="inlineStr">
        <is>
          <t>No</t>
        </is>
      </c>
      <c r="K1788" t="inlineStr">
        <is>
          <t>No</t>
        </is>
      </c>
      <c r="L1788" t="inlineStr">
        <is>
          <t>0</t>
        </is>
      </c>
      <c r="M1788" t="inlineStr">
        <is>
          <t>Byrd, Max.</t>
        </is>
      </c>
      <c r="N1788" t="inlineStr">
        <is>
          <t>New Haven : Yale University Press, 1978.</t>
        </is>
      </c>
      <c r="O1788" t="inlineStr">
        <is>
          <t>1978</t>
        </is>
      </c>
      <c r="Q1788" t="inlineStr">
        <is>
          <t>eng</t>
        </is>
      </c>
      <c r="R1788" t="inlineStr">
        <is>
          <t>ctu</t>
        </is>
      </c>
      <c r="T1788" t="inlineStr">
        <is>
          <t xml:space="preserve">PR </t>
        </is>
      </c>
      <c r="U1788" t="n">
        <v>2</v>
      </c>
      <c r="V1788" t="n">
        <v>2</v>
      </c>
      <c r="W1788" t="inlineStr">
        <is>
          <t>1995-05-16</t>
        </is>
      </c>
      <c r="X1788" t="inlineStr">
        <is>
          <t>1995-05-16</t>
        </is>
      </c>
      <c r="Y1788" t="inlineStr">
        <is>
          <t>1991-08-29</t>
        </is>
      </c>
      <c r="Z1788" t="inlineStr">
        <is>
          <t>1991-08-29</t>
        </is>
      </c>
      <c r="AA1788" t="n">
        <v>775</v>
      </c>
      <c r="AB1788" t="n">
        <v>622</v>
      </c>
      <c r="AC1788" t="n">
        <v>623</v>
      </c>
      <c r="AD1788" t="n">
        <v>6</v>
      </c>
      <c r="AE1788" t="n">
        <v>6</v>
      </c>
      <c r="AF1788" t="n">
        <v>35</v>
      </c>
      <c r="AG1788" t="n">
        <v>35</v>
      </c>
      <c r="AH1788" t="n">
        <v>13</v>
      </c>
      <c r="AI1788" t="n">
        <v>13</v>
      </c>
      <c r="AJ1788" t="n">
        <v>8</v>
      </c>
      <c r="AK1788" t="n">
        <v>8</v>
      </c>
      <c r="AL1788" t="n">
        <v>18</v>
      </c>
      <c r="AM1788" t="n">
        <v>18</v>
      </c>
      <c r="AN1788" t="n">
        <v>5</v>
      </c>
      <c r="AO1788" t="n">
        <v>5</v>
      </c>
      <c r="AP1788" t="n">
        <v>0</v>
      </c>
      <c r="AQ1788" t="n">
        <v>0</v>
      </c>
      <c r="AR1788" t="inlineStr">
        <is>
          <t>No</t>
        </is>
      </c>
      <c r="AS1788" t="inlineStr">
        <is>
          <t>No</t>
        </is>
      </c>
      <c r="AU1788">
        <f>HYPERLINK("https://creighton-primo.hosted.exlibrisgroup.com/primo-explore/search?tab=default_tab&amp;search_scope=EVERYTHING&amp;vid=01CRU&amp;lang=en_US&amp;offset=0&amp;query=any,contains,991004382119702656","Catalog Record")</f>
        <v/>
      </c>
      <c r="AV1788">
        <f>HYPERLINK("http://www.worldcat.org/oclc/3223930","WorldCat Record")</f>
        <v/>
      </c>
      <c r="AW1788" t="inlineStr">
        <is>
          <t>889796842:eng</t>
        </is>
      </c>
      <c r="AX1788" t="inlineStr">
        <is>
          <t>3223930</t>
        </is>
      </c>
      <c r="AY1788" t="inlineStr">
        <is>
          <t>991004382119702656</t>
        </is>
      </c>
      <c r="AZ1788" t="inlineStr">
        <is>
          <t>991004382119702656</t>
        </is>
      </c>
      <c r="BA1788" t="inlineStr">
        <is>
          <t>2259016680002656</t>
        </is>
      </c>
      <c r="BB1788" t="inlineStr">
        <is>
          <t>BOOK</t>
        </is>
      </c>
      <c r="BD1788" t="inlineStr">
        <is>
          <t>9780300021660</t>
        </is>
      </c>
      <c r="BE1788" t="inlineStr">
        <is>
          <t>32285000731900</t>
        </is>
      </c>
      <c r="BF1788" t="inlineStr">
        <is>
          <t>893687665</t>
        </is>
      </c>
    </row>
    <row r="1789">
      <c r="A1789" t="inlineStr">
        <is>
          <t>No</t>
        </is>
      </c>
      <c r="B1789" t="inlineStr">
        <is>
          <t>CURAL</t>
        </is>
      </c>
      <c r="C1789" t="inlineStr">
        <is>
          <t>SHELVES</t>
        </is>
      </c>
      <c r="D1789" t="inlineStr">
        <is>
          <t>PR449.M5 P7</t>
        </is>
      </c>
      <c r="E1789" t="inlineStr">
        <is>
          <t>0                      PR 0449000M  5                  P  7</t>
        </is>
      </c>
      <c r="F1789" t="inlineStr">
        <is>
          <t>Not in Timon's manner : feeling, misanthropy, and satire in eighteenth-century England / Thomas R. Preston.</t>
        </is>
      </c>
      <c r="H1789" t="inlineStr">
        <is>
          <t>No</t>
        </is>
      </c>
      <c r="I1789" t="inlineStr">
        <is>
          <t>1</t>
        </is>
      </c>
      <c r="J1789" t="inlineStr">
        <is>
          <t>No</t>
        </is>
      </c>
      <c r="K1789" t="inlineStr">
        <is>
          <t>No</t>
        </is>
      </c>
      <c r="L1789" t="inlineStr">
        <is>
          <t>0</t>
        </is>
      </c>
      <c r="M1789" t="inlineStr">
        <is>
          <t>Preston, Thomas R.</t>
        </is>
      </c>
      <c r="N1789" t="inlineStr">
        <is>
          <t>University : University of Alabama Press, c1975.</t>
        </is>
      </c>
      <c r="O1789" t="inlineStr">
        <is>
          <t>1975</t>
        </is>
      </c>
      <c r="Q1789" t="inlineStr">
        <is>
          <t>eng</t>
        </is>
      </c>
      <c r="R1789" t="inlineStr">
        <is>
          <t>alu</t>
        </is>
      </c>
      <c r="S1789" t="inlineStr">
        <is>
          <t>Studies in the humanities ; no. 9 : Literature</t>
        </is>
      </c>
      <c r="T1789" t="inlineStr">
        <is>
          <t xml:space="preserve">PR </t>
        </is>
      </c>
      <c r="U1789" t="n">
        <v>3</v>
      </c>
      <c r="V1789" t="n">
        <v>3</v>
      </c>
      <c r="W1789" t="inlineStr">
        <is>
          <t>2007-11-26</t>
        </is>
      </c>
      <c r="X1789" t="inlineStr">
        <is>
          <t>2007-11-26</t>
        </is>
      </c>
      <c r="Y1789" t="inlineStr">
        <is>
          <t>1991-08-29</t>
        </is>
      </c>
      <c r="Z1789" t="inlineStr">
        <is>
          <t>1991-08-29</t>
        </is>
      </c>
      <c r="AA1789" t="n">
        <v>437</v>
      </c>
      <c r="AB1789" t="n">
        <v>366</v>
      </c>
      <c r="AC1789" t="n">
        <v>373</v>
      </c>
      <c r="AD1789" t="n">
        <v>2</v>
      </c>
      <c r="AE1789" t="n">
        <v>2</v>
      </c>
      <c r="AF1789" t="n">
        <v>21</v>
      </c>
      <c r="AG1789" t="n">
        <v>21</v>
      </c>
      <c r="AH1789" t="n">
        <v>9</v>
      </c>
      <c r="AI1789" t="n">
        <v>9</v>
      </c>
      <c r="AJ1789" t="n">
        <v>5</v>
      </c>
      <c r="AK1789" t="n">
        <v>5</v>
      </c>
      <c r="AL1789" t="n">
        <v>13</v>
      </c>
      <c r="AM1789" t="n">
        <v>13</v>
      </c>
      <c r="AN1789" t="n">
        <v>1</v>
      </c>
      <c r="AO1789" t="n">
        <v>1</v>
      </c>
      <c r="AP1789" t="n">
        <v>0</v>
      </c>
      <c r="AQ1789" t="n">
        <v>0</v>
      </c>
      <c r="AR1789" t="inlineStr">
        <is>
          <t>No</t>
        </is>
      </c>
      <c r="AS1789" t="inlineStr">
        <is>
          <t>Yes</t>
        </is>
      </c>
      <c r="AT1789">
        <f>HYPERLINK("http://catalog.hathitrust.org/Record/000033755","HathiTrust Record")</f>
        <v/>
      </c>
      <c r="AU1789">
        <f>HYPERLINK("https://creighton-primo.hosted.exlibrisgroup.com/primo-explore/search?tab=default_tab&amp;search_scope=EVERYTHING&amp;vid=01CRU&amp;lang=en_US&amp;offset=0&amp;query=any,contains,991003784139702656","Catalog Record")</f>
        <v/>
      </c>
      <c r="AV1789">
        <f>HYPERLINK("http://www.worldcat.org/oclc/1499712","WorldCat Record")</f>
        <v/>
      </c>
      <c r="AW1789" t="inlineStr">
        <is>
          <t>199003782:eng</t>
        </is>
      </c>
      <c r="AX1789" t="inlineStr">
        <is>
          <t>1499712</t>
        </is>
      </c>
      <c r="AY1789" t="inlineStr">
        <is>
          <t>991003784139702656</t>
        </is>
      </c>
      <c r="AZ1789" t="inlineStr">
        <is>
          <t>991003784139702656</t>
        </is>
      </c>
      <c r="BA1789" t="inlineStr">
        <is>
          <t>2270873210002656</t>
        </is>
      </c>
      <c r="BB1789" t="inlineStr">
        <is>
          <t>BOOK</t>
        </is>
      </c>
      <c r="BD1789" t="inlineStr">
        <is>
          <t>9780817373153</t>
        </is>
      </c>
      <c r="BE1789" t="inlineStr">
        <is>
          <t>32285000731918</t>
        </is>
      </c>
      <c r="BF1789" t="inlineStr">
        <is>
          <t>893499701</t>
        </is>
      </c>
    </row>
    <row r="1790">
      <c r="A1790" t="inlineStr">
        <is>
          <t>No</t>
        </is>
      </c>
      <c r="B1790" t="inlineStr">
        <is>
          <t>CURAL</t>
        </is>
      </c>
      <c r="C1790" t="inlineStr">
        <is>
          <t>SHELVES</t>
        </is>
      </c>
      <c r="D1790" t="inlineStr">
        <is>
          <t>PR449.P48 B64 1984</t>
        </is>
      </c>
      <c r="E1790" t="inlineStr">
        <is>
          <t>0                      PR 0449000P  48                 B  64          1984</t>
        </is>
      </c>
      <c r="F1790" t="inlineStr">
        <is>
          <t>Literature and insubstantiality in later eighteenth-century England / Fredric V. Bogel.</t>
        </is>
      </c>
      <c r="H1790" t="inlineStr">
        <is>
          <t>No</t>
        </is>
      </c>
      <c r="I1790" t="inlineStr">
        <is>
          <t>1</t>
        </is>
      </c>
      <c r="J1790" t="inlineStr">
        <is>
          <t>No</t>
        </is>
      </c>
      <c r="K1790" t="inlineStr">
        <is>
          <t>No</t>
        </is>
      </c>
      <c r="L1790" t="inlineStr">
        <is>
          <t>0</t>
        </is>
      </c>
      <c r="M1790" t="inlineStr">
        <is>
          <t>Bogel, Fredric V., 1943-</t>
        </is>
      </c>
      <c r="N1790" t="inlineStr">
        <is>
          <t>Princeton, N.J. : Princeton University Press, c1984.</t>
        </is>
      </c>
      <c r="O1790" t="inlineStr">
        <is>
          <t>1984</t>
        </is>
      </c>
      <c r="Q1790" t="inlineStr">
        <is>
          <t>eng</t>
        </is>
      </c>
      <c r="R1790" t="inlineStr">
        <is>
          <t>nju</t>
        </is>
      </c>
      <c r="T1790" t="inlineStr">
        <is>
          <t xml:space="preserve">PR </t>
        </is>
      </c>
      <c r="U1790" t="n">
        <v>2</v>
      </c>
      <c r="V1790" t="n">
        <v>2</v>
      </c>
      <c r="W1790" t="inlineStr">
        <is>
          <t>1997-10-04</t>
        </is>
      </c>
      <c r="X1790" t="inlineStr">
        <is>
          <t>1997-10-04</t>
        </is>
      </c>
      <c r="Y1790" t="inlineStr">
        <is>
          <t>1991-08-29</t>
        </is>
      </c>
      <c r="Z1790" t="inlineStr">
        <is>
          <t>1991-08-29</t>
        </is>
      </c>
      <c r="AA1790" t="n">
        <v>368</v>
      </c>
      <c r="AB1790" t="n">
        <v>277</v>
      </c>
      <c r="AC1790" t="n">
        <v>284</v>
      </c>
      <c r="AD1790" t="n">
        <v>4</v>
      </c>
      <c r="AE1790" t="n">
        <v>4</v>
      </c>
      <c r="AF1790" t="n">
        <v>17</v>
      </c>
      <c r="AG1790" t="n">
        <v>17</v>
      </c>
      <c r="AH1790" t="n">
        <v>3</v>
      </c>
      <c r="AI1790" t="n">
        <v>3</v>
      </c>
      <c r="AJ1790" t="n">
        <v>6</v>
      </c>
      <c r="AK1790" t="n">
        <v>6</v>
      </c>
      <c r="AL1790" t="n">
        <v>8</v>
      </c>
      <c r="AM1790" t="n">
        <v>8</v>
      </c>
      <c r="AN1790" t="n">
        <v>3</v>
      </c>
      <c r="AO1790" t="n">
        <v>3</v>
      </c>
      <c r="AP1790" t="n">
        <v>0</v>
      </c>
      <c r="AQ1790" t="n">
        <v>0</v>
      </c>
      <c r="AR1790" t="inlineStr">
        <is>
          <t>No</t>
        </is>
      </c>
      <c r="AS1790" t="inlineStr">
        <is>
          <t>Yes</t>
        </is>
      </c>
      <c r="AT1790">
        <f>HYPERLINK("http://catalog.hathitrust.org/Record/000324095","HathiTrust Record")</f>
        <v/>
      </c>
      <c r="AU1790">
        <f>HYPERLINK("https://creighton-primo.hosted.exlibrisgroup.com/primo-explore/search?tab=default_tab&amp;search_scope=EVERYTHING&amp;vid=01CRU&amp;lang=en_US&amp;offset=0&amp;query=any,contains,991005403479702656","Catalog Record")</f>
        <v/>
      </c>
      <c r="AV1790">
        <f>HYPERLINK("http://www.worldcat.org/oclc/10046077","WorldCat Record")</f>
        <v/>
      </c>
      <c r="AW1790" t="inlineStr">
        <is>
          <t>3773789:eng</t>
        </is>
      </c>
      <c r="AX1790" t="inlineStr">
        <is>
          <t>10046077</t>
        </is>
      </c>
      <c r="AY1790" t="inlineStr">
        <is>
          <t>991005403479702656</t>
        </is>
      </c>
      <c r="AZ1790" t="inlineStr">
        <is>
          <t>991005403479702656</t>
        </is>
      </c>
      <c r="BA1790" t="inlineStr">
        <is>
          <t>2259197380002656</t>
        </is>
      </c>
      <c r="BB1790" t="inlineStr">
        <is>
          <t>BOOK</t>
        </is>
      </c>
      <c r="BD1790" t="inlineStr">
        <is>
          <t>9780691065977</t>
        </is>
      </c>
      <c r="BE1790" t="inlineStr">
        <is>
          <t>32285000731926</t>
        </is>
      </c>
      <c r="BF1790" t="inlineStr">
        <is>
          <t>893443963</t>
        </is>
      </c>
    </row>
    <row r="1791">
      <c r="A1791" t="inlineStr">
        <is>
          <t>No</t>
        </is>
      </c>
      <c r="B1791" t="inlineStr">
        <is>
          <t>CURAL</t>
        </is>
      </c>
      <c r="C1791" t="inlineStr">
        <is>
          <t>SHELVES</t>
        </is>
      </c>
      <c r="D1791" t="inlineStr">
        <is>
          <t>PR449.P66 R64 1985</t>
        </is>
      </c>
      <c r="E1791" t="inlineStr">
        <is>
          <t>0                      PR 0449000P  66                 R  64          1985</t>
        </is>
      </c>
      <c r="F1791" t="inlineStr">
        <is>
          <t>Literature and popular culture in eighteenth century England / Pat Rogers.</t>
        </is>
      </c>
      <c r="H1791" t="inlineStr">
        <is>
          <t>No</t>
        </is>
      </c>
      <c r="I1791" t="inlineStr">
        <is>
          <t>1</t>
        </is>
      </c>
      <c r="J1791" t="inlineStr">
        <is>
          <t>No</t>
        </is>
      </c>
      <c r="K1791" t="inlineStr">
        <is>
          <t>No</t>
        </is>
      </c>
      <c r="L1791" t="inlineStr">
        <is>
          <t>0</t>
        </is>
      </c>
      <c r="M1791" t="inlineStr">
        <is>
          <t>Rogers, Pat.</t>
        </is>
      </c>
      <c r="N1791" t="inlineStr">
        <is>
          <t>Sussex : Harvester Press ; Totowa, N.J. : Barnes &amp; Noble, 1985.</t>
        </is>
      </c>
      <c r="O1791" t="inlineStr">
        <is>
          <t>1985</t>
        </is>
      </c>
      <c r="Q1791" t="inlineStr">
        <is>
          <t>eng</t>
        </is>
      </c>
      <c r="R1791" t="inlineStr">
        <is>
          <t>nju</t>
        </is>
      </c>
      <c r="T1791" t="inlineStr">
        <is>
          <t xml:space="preserve">PR </t>
        </is>
      </c>
      <c r="U1791" t="n">
        <v>4</v>
      </c>
      <c r="V1791" t="n">
        <v>4</v>
      </c>
      <c r="W1791" t="inlineStr">
        <is>
          <t>2001-02-19</t>
        </is>
      </c>
      <c r="X1791" t="inlineStr">
        <is>
          <t>2001-02-19</t>
        </is>
      </c>
      <c r="Y1791" t="inlineStr">
        <is>
          <t>1990-06-12</t>
        </is>
      </c>
      <c r="Z1791" t="inlineStr">
        <is>
          <t>1990-06-12</t>
        </is>
      </c>
      <c r="AA1791" t="n">
        <v>619</v>
      </c>
      <c r="AB1791" t="n">
        <v>477</v>
      </c>
      <c r="AC1791" t="n">
        <v>485</v>
      </c>
      <c r="AD1791" t="n">
        <v>5</v>
      </c>
      <c r="AE1791" t="n">
        <v>5</v>
      </c>
      <c r="AF1791" t="n">
        <v>24</v>
      </c>
      <c r="AG1791" t="n">
        <v>24</v>
      </c>
      <c r="AH1791" t="n">
        <v>7</v>
      </c>
      <c r="AI1791" t="n">
        <v>7</v>
      </c>
      <c r="AJ1791" t="n">
        <v>7</v>
      </c>
      <c r="AK1791" t="n">
        <v>7</v>
      </c>
      <c r="AL1791" t="n">
        <v>14</v>
      </c>
      <c r="AM1791" t="n">
        <v>14</v>
      </c>
      <c r="AN1791" t="n">
        <v>4</v>
      </c>
      <c r="AO1791" t="n">
        <v>4</v>
      </c>
      <c r="AP1791" t="n">
        <v>0</v>
      </c>
      <c r="AQ1791" t="n">
        <v>0</v>
      </c>
      <c r="AR1791" t="inlineStr">
        <is>
          <t>No</t>
        </is>
      </c>
      <c r="AS1791" t="inlineStr">
        <is>
          <t>Yes</t>
        </is>
      </c>
      <c r="AT1791">
        <f>HYPERLINK("http://catalog.hathitrust.org/Record/000563928","HathiTrust Record")</f>
        <v/>
      </c>
      <c r="AU1791">
        <f>HYPERLINK("https://creighton-primo.hosted.exlibrisgroup.com/primo-explore/search?tab=default_tab&amp;search_scope=EVERYTHING&amp;vid=01CRU&amp;lang=en_US&amp;offset=0&amp;query=any,contains,991000460309702656","Catalog Record")</f>
        <v/>
      </c>
      <c r="AV1791">
        <f>HYPERLINK("http://www.worldcat.org/oclc/10925192","WorldCat Record")</f>
        <v/>
      </c>
      <c r="AW1791" t="inlineStr">
        <is>
          <t>118183042:eng</t>
        </is>
      </c>
      <c r="AX1791" t="inlineStr">
        <is>
          <t>10925192</t>
        </is>
      </c>
      <c r="AY1791" t="inlineStr">
        <is>
          <t>991000460309702656</t>
        </is>
      </c>
      <c r="AZ1791" t="inlineStr">
        <is>
          <t>991000460309702656</t>
        </is>
      </c>
      <c r="BA1791" t="inlineStr">
        <is>
          <t>2272791840002656</t>
        </is>
      </c>
      <c r="BB1791" t="inlineStr">
        <is>
          <t>BOOK</t>
        </is>
      </c>
      <c r="BD1791" t="inlineStr">
        <is>
          <t>9780389205111</t>
        </is>
      </c>
      <c r="BE1791" t="inlineStr">
        <is>
          <t>32285000190891</t>
        </is>
      </c>
      <c r="BF1791" t="inlineStr">
        <is>
          <t>893333491</t>
        </is>
      </c>
    </row>
    <row r="1792">
      <c r="A1792" t="inlineStr">
        <is>
          <t>No</t>
        </is>
      </c>
      <c r="B1792" t="inlineStr">
        <is>
          <t>CURAL</t>
        </is>
      </c>
      <c r="C1792" t="inlineStr">
        <is>
          <t>SHELVES</t>
        </is>
      </c>
      <c r="D1792" t="inlineStr">
        <is>
          <t>PR449.R9 G6</t>
        </is>
      </c>
      <c r="E1792" t="inlineStr">
        <is>
          <t>0                      PR 0449000R  9                  G  6</t>
        </is>
      </c>
      <c r="F1792" t="inlineStr">
        <is>
          <t>Ruins and empire : the evolution of a theme in Augustan and romantic literature / Laurence Goldstein.</t>
        </is>
      </c>
      <c r="H1792" t="inlineStr">
        <is>
          <t>No</t>
        </is>
      </c>
      <c r="I1792" t="inlineStr">
        <is>
          <t>1</t>
        </is>
      </c>
      <c r="J1792" t="inlineStr">
        <is>
          <t>No</t>
        </is>
      </c>
      <c r="K1792" t="inlineStr">
        <is>
          <t>No</t>
        </is>
      </c>
      <c r="L1792" t="inlineStr">
        <is>
          <t>0</t>
        </is>
      </c>
      <c r="M1792" t="inlineStr">
        <is>
          <t>Goldstein, Laurence, 1943-</t>
        </is>
      </c>
      <c r="N1792" t="inlineStr">
        <is>
          <t>Pittsburgh : University of Pittsburgh Press, c1977.</t>
        </is>
      </c>
      <c r="O1792" t="inlineStr">
        <is>
          <t>1977</t>
        </is>
      </c>
      <c r="Q1792" t="inlineStr">
        <is>
          <t>eng</t>
        </is>
      </c>
      <c r="R1792" t="inlineStr">
        <is>
          <t>pau</t>
        </is>
      </c>
      <c r="T1792" t="inlineStr">
        <is>
          <t xml:space="preserve">PR </t>
        </is>
      </c>
      <c r="U1792" t="n">
        <v>2</v>
      </c>
      <c r="V1792" t="n">
        <v>2</v>
      </c>
      <c r="W1792" t="inlineStr">
        <is>
          <t>1993-10-08</t>
        </is>
      </c>
      <c r="X1792" t="inlineStr">
        <is>
          <t>1993-10-08</t>
        </is>
      </c>
      <c r="Y1792" t="inlineStr">
        <is>
          <t>1991-08-29</t>
        </is>
      </c>
      <c r="Z1792" t="inlineStr">
        <is>
          <t>1991-08-29</t>
        </is>
      </c>
      <c r="AA1792" t="n">
        <v>445</v>
      </c>
      <c r="AB1792" t="n">
        <v>367</v>
      </c>
      <c r="AC1792" t="n">
        <v>394</v>
      </c>
      <c r="AD1792" t="n">
        <v>3</v>
      </c>
      <c r="AE1792" t="n">
        <v>3</v>
      </c>
      <c r="AF1792" t="n">
        <v>22</v>
      </c>
      <c r="AG1792" t="n">
        <v>22</v>
      </c>
      <c r="AH1792" t="n">
        <v>7</v>
      </c>
      <c r="AI1792" t="n">
        <v>7</v>
      </c>
      <c r="AJ1792" t="n">
        <v>7</v>
      </c>
      <c r="AK1792" t="n">
        <v>7</v>
      </c>
      <c r="AL1792" t="n">
        <v>12</v>
      </c>
      <c r="AM1792" t="n">
        <v>12</v>
      </c>
      <c r="AN1792" t="n">
        <v>2</v>
      </c>
      <c r="AO1792" t="n">
        <v>2</v>
      </c>
      <c r="AP1792" t="n">
        <v>0</v>
      </c>
      <c r="AQ1792" t="n">
        <v>0</v>
      </c>
      <c r="AR1792" t="inlineStr">
        <is>
          <t>No</t>
        </is>
      </c>
      <c r="AS1792" t="inlineStr">
        <is>
          <t>Yes</t>
        </is>
      </c>
      <c r="AT1792">
        <f>HYPERLINK("http://catalog.hathitrust.org/Record/000250406","HathiTrust Record")</f>
        <v/>
      </c>
      <c r="AU1792">
        <f>HYPERLINK("https://creighton-primo.hosted.exlibrisgroup.com/primo-explore/search?tab=default_tab&amp;search_scope=EVERYTHING&amp;vid=01CRU&amp;lang=en_US&amp;offset=0&amp;query=any,contains,991004307099702656","Catalog Record")</f>
        <v/>
      </c>
      <c r="AV1792">
        <f>HYPERLINK("http://www.worldcat.org/oclc/2984324","WorldCat Record")</f>
        <v/>
      </c>
      <c r="AW1792" t="inlineStr">
        <is>
          <t>483715725:eng</t>
        </is>
      </c>
      <c r="AX1792" t="inlineStr">
        <is>
          <t>2984324</t>
        </is>
      </c>
      <c r="AY1792" t="inlineStr">
        <is>
          <t>991004307099702656</t>
        </is>
      </c>
      <c r="AZ1792" t="inlineStr">
        <is>
          <t>991004307099702656</t>
        </is>
      </c>
      <c r="BA1792" t="inlineStr">
        <is>
          <t>2258295880002656</t>
        </is>
      </c>
      <c r="BB1792" t="inlineStr">
        <is>
          <t>BOOK</t>
        </is>
      </c>
      <c r="BD1792" t="inlineStr">
        <is>
          <t>9780822933458</t>
        </is>
      </c>
      <c r="BE1792" t="inlineStr">
        <is>
          <t>32285000731934</t>
        </is>
      </c>
      <c r="BF1792" t="inlineStr">
        <is>
          <t>893325202</t>
        </is>
      </c>
    </row>
    <row r="1793">
      <c r="A1793" t="inlineStr">
        <is>
          <t>No</t>
        </is>
      </c>
      <c r="B1793" t="inlineStr">
        <is>
          <t>CURAL</t>
        </is>
      </c>
      <c r="C1793" t="inlineStr">
        <is>
          <t>SHELVES</t>
        </is>
      </c>
      <c r="D1793" t="inlineStr">
        <is>
          <t>PR449.S45 C6</t>
        </is>
      </c>
      <c r="E1793" t="inlineStr">
        <is>
          <t>0                      PR 0449000S  45                 C  6</t>
        </is>
      </c>
      <c r="F1793" t="inlineStr">
        <is>
          <t>"The stranger within thee" : concepts of the self in late-eighteen-century literature / Stephen D. Cox.</t>
        </is>
      </c>
      <c r="H1793" t="inlineStr">
        <is>
          <t>No</t>
        </is>
      </c>
      <c r="I1793" t="inlineStr">
        <is>
          <t>1</t>
        </is>
      </c>
      <c r="J1793" t="inlineStr">
        <is>
          <t>No</t>
        </is>
      </c>
      <c r="K1793" t="inlineStr">
        <is>
          <t>No</t>
        </is>
      </c>
      <c r="L1793" t="inlineStr">
        <is>
          <t>0</t>
        </is>
      </c>
      <c r="M1793" t="inlineStr">
        <is>
          <t>Cox, Stephen D., 1948-</t>
        </is>
      </c>
      <c r="N1793" t="inlineStr">
        <is>
          <t>Pittsburgh : University of Pittsburgh Press, 1980.</t>
        </is>
      </c>
      <c r="O1793" t="inlineStr">
        <is>
          <t>1980</t>
        </is>
      </c>
      <c r="Q1793" t="inlineStr">
        <is>
          <t>eng</t>
        </is>
      </c>
      <c r="R1793" t="inlineStr">
        <is>
          <t>pau</t>
        </is>
      </c>
      <c r="T1793" t="inlineStr">
        <is>
          <t xml:space="preserve">PR </t>
        </is>
      </c>
      <c r="U1793" t="n">
        <v>3</v>
      </c>
      <c r="V1793" t="n">
        <v>3</v>
      </c>
      <c r="W1793" t="inlineStr">
        <is>
          <t>2004-09-07</t>
        </is>
      </c>
      <c r="X1793" t="inlineStr">
        <is>
          <t>2004-09-07</t>
        </is>
      </c>
      <c r="Y1793" t="inlineStr">
        <is>
          <t>1991-08-29</t>
        </is>
      </c>
      <c r="Z1793" t="inlineStr">
        <is>
          <t>1991-08-29</t>
        </is>
      </c>
      <c r="AA1793" t="n">
        <v>452</v>
      </c>
      <c r="AB1793" t="n">
        <v>378</v>
      </c>
      <c r="AC1793" t="n">
        <v>421</v>
      </c>
      <c r="AD1793" t="n">
        <v>4</v>
      </c>
      <c r="AE1793" t="n">
        <v>4</v>
      </c>
      <c r="AF1793" t="n">
        <v>18</v>
      </c>
      <c r="AG1793" t="n">
        <v>19</v>
      </c>
      <c r="AH1793" t="n">
        <v>5</v>
      </c>
      <c r="AI1793" t="n">
        <v>5</v>
      </c>
      <c r="AJ1793" t="n">
        <v>4</v>
      </c>
      <c r="AK1793" t="n">
        <v>5</v>
      </c>
      <c r="AL1793" t="n">
        <v>9</v>
      </c>
      <c r="AM1793" t="n">
        <v>10</v>
      </c>
      <c r="AN1793" t="n">
        <v>3</v>
      </c>
      <c r="AO1793" t="n">
        <v>3</v>
      </c>
      <c r="AP1793" t="n">
        <v>0</v>
      </c>
      <c r="AQ1793" t="n">
        <v>0</v>
      </c>
      <c r="AR1793" t="inlineStr">
        <is>
          <t>No</t>
        </is>
      </c>
      <c r="AS1793" t="inlineStr">
        <is>
          <t>Yes</t>
        </is>
      </c>
      <c r="AT1793">
        <f>HYPERLINK("http://catalog.hathitrust.org/Record/000082721","HathiTrust Record")</f>
        <v/>
      </c>
      <c r="AU1793">
        <f>HYPERLINK("https://creighton-primo.hosted.exlibrisgroup.com/primo-explore/search?tab=default_tab&amp;search_scope=EVERYTHING&amp;vid=01CRU&amp;lang=en_US&amp;offset=0&amp;query=any,contains,991004944799702656","Catalog Record")</f>
        <v/>
      </c>
      <c r="AV1793">
        <f>HYPERLINK("http://www.worldcat.org/oclc/6199735","WorldCat Record")</f>
        <v/>
      </c>
      <c r="AW1793" t="inlineStr">
        <is>
          <t>287713360:eng</t>
        </is>
      </c>
      <c r="AX1793" t="inlineStr">
        <is>
          <t>6199735</t>
        </is>
      </c>
      <c r="AY1793" t="inlineStr">
        <is>
          <t>991004944799702656</t>
        </is>
      </c>
      <c r="AZ1793" t="inlineStr">
        <is>
          <t>991004944799702656</t>
        </is>
      </c>
      <c r="BA1793" t="inlineStr">
        <is>
          <t>2262167780002656</t>
        </is>
      </c>
      <c r="BB1793" t="inlineStr">
        <is>
          <t>BOOK</t>
        </is>
      </c>
      <c r="BD1793" t="inlineStr">
        <is>
          <t>9780822934240</t>
        </is>
      </c>
      <c r="BE1793" t="inlineStr">
        <is>
          <t>32285000731942</t>
        </is>
      </c>
      <c r="BF1793" t="inlineStr">
        <is>
          <t>893694539</t>
        </is>
      </c>
    </row>
    <row r="1794">
      <c r="A1794" t="inlineStr">
        <is>
          <t>No</t>
        </is>
      </c>
      <c r="B1794" t="inlineStr">
        <is>
          <t>CURAL</t>
        </is>
      </c>
      <c r="C1794" t="inlineStr">
        <is>
          <t>SHELVES</t>
        </is>
      </c>
      <c r="D1794" t="inlineStr">
        <is>
          <t>PR4496 .A7</t>
        </is>
      </c>
      <c r="E1794" t="inlineStr">
        <is>
          <t>0                      PR 4496000A  7</t>
        </is>
      </c>
      <c r="F1794" t="inlineStr">
        <is>
          <t>Wilkie Collins.</t>
        </is>
      </c>
      <c r="H1794" t="inlineStr">
        <is>
          <t>No</t>
        </is>
      </c>
      <c r="I1794" t="inlineStr">
        <is>
          <t>1</t>
        </is>
      </c>
      <c r="J1794" t="inlineStr">
        <is>
          <t>No</t>
        </is>
      </c>
      <c r="K1794" t="inlineStr">
        <is>
          <t>No</t>
        </is>
      </c>
      <c r="L1794" t="inlineStr">
        <is>
          <t>0</t>
        </is>
      </c>
      <c r="M1794" t="inlineStr">
        <is>
          <t>Ashley, Robert, 1930-2014.</t>
        </is>
      </c>
      <c r="N1794" t="inlineStr">
        <is>
          <t>New York : Roy Publishers, [1952]</t>
        </is>
      </c>
      <c r="O1794" t="inlineStr">
        <is>
          <t>1952</t>
        </is>
      </c>
      <c r="Q1794" t="inlineStr">
        <is>
          <t>eng</t>
        </is>
      </c>
      <c r="R1794" t="inlineStr">
        <is>
          <t xml:space="preserve">xx </t>
        </is>
      </c>
      <c r="S1794" t="inlineStr">
        <is>
          <t>The English novelists</t>
        </is>
      </c>
      <c r="T1794" t="inlineStr">
        <is>
          <t xml:space="preserve">PR </t>
        </is>
      </c>
      <c r="U1794" t="n">
        <v>2</v>
      </c>
      <c r="V1794" t="n">
        <v>2</v>
      </c>
      <c r="W1794" t="inlineStr">
        <is>
          <t>1997-11-17</t>
        </is>
      </c>
      <c r="X1794" t="inlineStr">
        <is>
          <t>1997-11-17</t>
        </is>
      </c>
      <c r="Y1794" t="inlineStr">
        <is>
          <t>1994-10-05</t>
        </is>
      </c>
      <c r="Z1794" t="inlineStr">
        <is>
          <t>1994-10-05</t>
        </is>
      </c>
      <c r="AA1794" t="n">
        <v>125</v>
      </c>
      <c r="AB1794" t="n">
        <v>125</v>
      </c>
      <c r="AC1794" t="n">
        <v>409</v>
      </c>
      <c r="AD1794" t="n">
        <v>1</v>
      </c>
      <c r="AE1794" t="n">
        <v>5</v>
      </c>
      <c r="AF1794" t="n">
        <v>5</v>
      </c>
      <c r="AG1794" t="n">
        <v>24</v>
      </c>
      <c r="AH1794" t="n">
        <v>3</v>
      </c>
      <c r="AI1794" t="n">
        <v>8</v>
      </c>
      <c r="AJ1794" t="n">
        <v>1</v>
      </c>
      <c r="AK1794" t="n">
        <v>6</v>
      </c>
      <c r="AL1794" t="n">
        <v>3</v>
      </c>
      <c r="AM1794" t="n">
        <v>14</v>
      </c>
      <c r="AN1794" t="n">
        <v>0</v>
      </c>
      <c r="AO1794" t="n">
        <v>4</v>
      </c>
      <c r="AP1794" t="n">
        <v>0</v>
      </c>
      <c r="AQ1794" t="n">
        <v>0</v>
      </c>
      <c r="AR1794" t="inlineStr">
        <is>
          <t>No</t>
        </is>
      </c>
      <c r="AS1794" t="inlineStr">
        <is>
          <t>No</t>
        </is>
      </c>
      <c r="AU1794">
        <f>HYPERLINK("https://creighton-primo.hosted.exlibrisgroup.com/primo-explore/search?tab=default_tab&amp;search_scope=EVERYTHING&amp;vid=01CRU&amp;lang=en_US&amp;offset=0&amp;query=any,contains,991004311169702656","Catalog Record")</f>
        <v/>
      </c>
      <c r="AV1794">
        <f>HYPERLINK("http://www.worldcat.org/oclc/2994658","WorldCat Record")</f>
        <v/>
      </c>
      <c r="AW1794" t="inlineStr">
        <is>
          <t>3901054618:eng</t>
        </is>
      </c>
      <c r="AX1794" t="inlineStr">
        <is>
          <t>2994658</t>
        </is>
      </c>
      <c r="AY1794" t="inlineStr">
        <is>
          <t>991004311169702656</t>
        </is>
      </c>
      <c r="AZ1794" t="inlineStr">
        <is>
          <t>991004311169702656</t>
        </is>
      </c>
      <c r="BA1794" t="inlineStr">
        <is>
          <t>2261559020002656</t>
        </is>
      </c>
      <c r="BB1794" t="inlineStr">
        <is>
          <t>BOOK</t>
        </is>
      </c>
      <c r="BE1794" t="inlineStr">
        <is>
          <t>32285001953917</t>
        </is>
      </c>
      <c r="BF1794" t="inlineStr">
        <is>
          <t>893411365</t>
        </is>
      </c>
    </row>
    <row r="1795">
      <c r="A1795" t="inlineStr">
        <is>
          <t>No</t>
        </is>
      </c>
      <c r="B1795" t="inlineStr">
        <is>
          <t>CURAL</t>
        </is>
      </c>
      <c r="C1795" t="inlineStr">
        <is>
          <t>SHELVES</t>
        </is>
      </c>
      <c r="D1795" t="inlineStr">
        <is>
          <t>PR4496 .M3</t>
        </is>
      </c>
      <c r="E1795" t="inlineStr">
        <is>
          <t>0                      PR 4496000M  3</t>
        </is>
      </c>
      <c r="F1795" t="inlineStr">
        <is>
          <t>Wilkie Collins, by William H. Marshall.</t>
        </is>
      </c>
      <c r="H1795" t="inlineStr">
        <is>
          <t>No</t>
        </is>
      </c>
      <c r="I1795" t="inlineStr">
        <is>
          <t>1</t>
        </is>
      </c>
      <c r="J1795" t="inlineStr">
        <is>
          <t>No</t>
        </is>
      </c>
      <c r="K1795" t="inlineStr">
        <is>
          <t>No</t>
        </is>
      </c>
      <c r="L1795" t="inlineStr">
        <is>
          <t>0</t>
        </is>
      </c>
      <c r="M1795" t="inlineStr">
        <is>
          <t>Marshall, William Harvey.</t>
        </is>
      </c>
      <c r="N1795" t="inlineStr">
        <is>
          <t>New York, Twayne Publishers [1970]</t>
        </is>
      </c>
      <c r="O1795" t="inlineStr">
        <is>
          <t>1970</t>
        </is>
      </c>
      <c r="Q1795" t="inlineStr">
        <is>
          <t>eng</t>
        </is>
      </c>
      <c r="R1795" t="inlineStr">
        <is>
          <t>nyu</t>
        </is>
      </c>
      <c r="S1795" t="inlineStr">
        <is>
          <t>Twayne's English authors series, 94</t>
        </is>
      </c>
      <c r="T1795" t="inlineStr">
        <is>
          <t xml:space="preserve">PR </t>
        </is>
      </c>
      <c r="U1795" t="n">
        <v>2</v>
      </c>
      <c r="V1795" t="n">
        <v>2</v>
      </c>
      <c r="W1795" t="inlineStr">
        <is>
          <t>1997-11-17</t>
        </is>
      </c>
      <c r="X1795" t="inlineStr">
        <is>
          <t>1997-11-17</t>
        </is>
      </c>
      <c r="Y1795" t="inlineStr">
        <is>
          <t>1997-06-30</t>
        </is>
      </c>
      <c r="Z1795" t="inlineStr">
        <is>
          <t>1997-06-30</t>
        </is>
      </c>
      <c r="AA1795" t="n">
        <v>879</v>
      </c>
      <c r="AB1795" t="n">
        <v>783</v>
      </c>
      <c r="AC1795" t="n">
        <v>792</v>
      </c>
      <c r="AD1795" t="n">
        <v>10</v>
      </c>
      <c r="AE1795" t="n">
        <v>10</v>
      </c>
      <c r="AF1795" t="n">
        <v>34</v>
      </c>
      <c r="AG1795" t="n">
        <v>34</v>
      </c>
      <c r="AH1795" t="n">
        <v>10</v>
      </c>
      <c r="AI1795" t="n">
        <v>10</v>
      </c>
      <c r="AJ1795" t="n">
        <v>5</v>
      </c>
      <c r="AK1795" t="n">
        <v>5</v>
      </c>
      <c r="AL1795" t="n">
        <v>17</v>
      </c>
      <c r="AM1795" t="n">
        <v>17</v>
      </c>
      <c r="AN1795" t="n">
        <v>8</v>
      </c>
      <c r="AO1795" t="n">
        <v>8</v>
      </c>
      <c r="AP1795" t="n">
        <v>0</v>
      </c>
      <c r="AQ1795" t="n">
        <v>0</v>
      </c>
      <c r="AR1795" t="inlineStr">
        <is>
          <t>No</t>
        </is>
      </c>
      <c r="AS1795" t="inlineStr">
        <is>
          <t>Yes</t>
        </is>
      </c>
      <c r="AT1795">
        <f>HYPERLINK("http://catalog.hathitrust.org/Record/000664868","HathiTrust Record")</f>
        <v/>
      </c>
      <c r="AU1795">
        <f>HYPERLINK("https://creighton-primo.hosted.exlibrisgroup.com/primo-explore/search?tab=default_tab&amp;search_scope=EVERYTHING&amp;vid=01CRU&amp;lang=en_US&amp;offset=0&amp;query=any,contains,991000205129702656","Catalog Record")</f>
        <v/>
      </c>
      <c r="AV1795">
        <f>HYPERLINK("http://www.worldcat.org/oclc/64709","WorldCat Record")</f>
        <v/>
      </c>
      <c r="AW1795" t="inlineStr">
        <is>
          <t>353830163:eng</t>
        </is>
      </c>
      <c r="AX1795" t="inlineStr">
        <is>
          <t>64709</t>
        </is>
      </c>
      <c r="AY1795" t="inlineStr">
        <is>
          <t>991000205129702656</t>
        </is>
      </c>
      <c r="AZ1795" t="inlineStr">
        <is>
          <t>991000205129702656</t>
        </is>
      </c>
      <c r="BA1795" t="inlineStr">
        <is>
          <t>2255594780002656</t>
        </is>
      </c>
      <c r="BB1795" t="inlineStr">
        <is>
          <t>BOOK</t>
        </is>
      </c>
      <c r="BE1795" t="inlineStr">
        <is>
          <t>32285002837390</t>
        </is>
      </c>
      <c r="BF1795" t="inlineStr">
        <is>
          <t>893314769</t>
        </is>
      </c>
    </row>
    <row r="1796">
      <c r="A1796" t="inlineStr">
        <is>
          <t>No</t>
        </is>
      </c>
      <c r="B1796" t="inlineStr">
        <is>
          <t>CURAL</t>
        </is>
      </c>
      <c r="C1796" t="inlineStr">
        <is>
          <t>SHELVES</t>
        </is>
      </c>
      <c r="D1796" t="inlineStr">
        <is>
          <t>PR4496 .R6 1952</t>
        </is>
      </c>
      <c r="E1796" t="inlineStr">
        <is>
          <t>0                      PR 4496000R  6           1952</t>
        </is>
      </c>
      <c r="F1796" t="inlineStr">
        <is>
          <t>Wilkie Collins : a biography / by Kenneth Robinson.</t>
        </is>
      </c>
      <c r="H1796" t="inlineStr">
        <is>
          <t>No</t>
        </is>
      </c>
      <c r="I1796" t="inlineStr">
        <is>
          <t>1</t>
        </is>
      </c>
      <c r="J1796" t="inlineStr">
        <is>
          <t>No</t>
        </is>
      </c>
      <c r="K1796" t="inlineStr">
        <is>
          <t>No</t>
        </is>
      </c>
      <c r="L1796" t="inlineStr">
        <is>
          <t>0</t>
        </is>
      </c>
      <c r="M1796" t="inlineStr">
        <is>
          <t>Robinson, Kenneth, 1911-</t>
        </is>
      </c>
      <c r="N1796" t="inlineStr">
        <is>
          <t>London : The Bodley Head, 1951.</t>
        </is>
      </c>
      <c r="O1796" t="inlineStr">
        <is>
          <t>1951</t>
        </is>
      </c>
      <c r="Q1796" t="inlineStr">
        <is>
          <t>eng</t>
        </is>
      </c>
      <c r="R1796" t="inlineStr">
        <is>
          <t xml:space="preserve">xx </t>
        </is>
      </c>
      <c r="T1796" t="inlineStr">
        <is>
          <t xml:space="preserve">PR </t>
        </is>
      </c>
      <c r="U1796" t="n">
        <v>2</v>
      </c>
      <c r="V1796" t="n">
        <v>2</v>
      </c>
      <c r="W1796" t="inlineStr">
        <is>
          <t>1997-11-17</t>
        </is>
      </c>
      <c r="X1796" t="inlineStr">
        <is>
          <t>1997-11-17</t>
        </is>
      </c>
      <c r="Y1796" t="inlineStr">
        <is>
          <t>1997-06-30</t>
        </is>
      </c>
      <c r="Z1796" t="inlineStr">
        <is>
          <t>1997-06-30</t>
        </is>
      </c>
      <c r="AA1796" t="n">
        <v>281</v>
      </c>
      <c r="AB1796" t="n">
        <v>177</v>
      </c>
      <c r="AC1796" t="n">
        <v>763</v>
      </c>
      <c r="AD1796" t="n">
        <v>1</v>
      </c>
      <c r="AE1796" t="n">
        <v>7</v>
      </c>
      <c r="AF1796" t="n">
        <v>11</v>
      </c>
      <c r="AG1796" t="n">
        <v>41</v>
      </c>
      <c r="AH1796" t="n">
        <v>5</v>
      </c>
      <c r="AI1796" t="n">
        <v>17</v>
      </c>
      <c r="AJ1796" t="n">
        <v>2</v>
      </c>
      <c r="AK1796" t="n">
        <v>8</v>
      </c>
      <c r="AL1796" t="n">
        <v>8</v>
      </c>
      <c r="AM1796" t="n">
        <v>21</v>
      </c>
      <c r="AN1796" t="n">
        <v>0</v>
      </c>
      <c r="AO1796" t="n">
        <v>6</v>
      </c>
      <c r="AP1796" t="n">
        <v>0</v>
      </c>
      <c r="AQ1796" t="n">
        <v>0</v>
      </c>
      <c r="AR1796" t="inlineStr">
        <is>
          <t>No</t>
        </is>
      </c>
      <c r="AS1796" t="inlineStr">
        <is>
          <t>Yes</t>
        </is>
      </c>
      <c r="AT1796">
        <f>HYPERLINK("http://catalog.hathitrust.org/Record/000664874","HathiTrust Record")</f>
        <v/>
      </c>
      <c r="AU1796">
        <f>HYPERLINK("https://creighton-primo.hosted.exlibrisgroup.com/primo-explore/search?tab=default_tab&amp;search_scope=EVERYTHING&amp;vid=01CRU&amp;lang=en_US&amp;offset=0&amp;query=any,contains,991004274409702656","Catalog Record")</f>
        <v/>
      </c>
      <c r="AV1796">
        <f>HYPERLINK("http://www.worldcat.org/oclc/2889320","WorldCat Record")</f>
        <v/>
      </c>
      <c r="AW1796" t="inlineStr">
        <is>
          <t>1474518:eng</t>
        </is>
      </c>
      <c r="AX1796" t="inlineStr">
        <is>
          <t>2889320</t>
        </is>
      </c>
      <c r="AY1796" t="inlineStr">
        <is>
          <t>991004274409702656</t>
        </is>
      </c>
      <c r="AZ1796" t="inlineStr">
        <is>
          <t>991004274409702656</t>
        </is>
      </c>
      <c r="BA1796" t="inlineStr">
        <is>
          <t>2256393420002656</t>
        </is>
      </c>
      <c r="BB1796" t="inlineStr">
        <is>
          <t>BOOK</t>
        </is>
      </c>
      <c r="BE1796" t="inlineStr">
        <is>
          <t>32285002837408</t>
        </is>
      </c>
      <c r="BF1796" t="inlineStr">
        <is>
          <t>893593488</t>
        </is>
      </c>
    </row>
    <row r="1797">
      <c r="A1797" t="inlineStr">
        <is>
          <t>No</t>
        </is>
      </c>
      <c r="B1797" t="inlineStr">
        <is>
          <t>CURAL</t>
        </is>
      </c>
      <c r="C1797" t="inlineStr">
        <is>
          <t>SHELVES</t>
        </is>
      </c>
      <c r="D1797" t="inlineStr">
        <is>
          <t>PR4497 .D85</t>
        </is>
      </c>
      <c r="E1797" t="inlineStr">
        <is>
          <t>0                      PR 4497000D  85</t>
        </is>
      </c>
      <c r="F1797" t="inlineStr">
        <is>
          <t>The growth of Wilkie Collins' craftsmanship : Antonia to the Moonstone (1850-1868) / by D. Dean Dunham.</t>
        </is>
      </c>
      <c r="H1797" t="inlineStr">
        <is>
          <t>No</t>
        </is>
      </c>
      <c r="I1797" t="inlineStr">
        <is>
          <t>1</t>
        </is>
      </c>
      <c r="J1797" t="inlineStr">
        <is>
          <t>No</t>
        </is>
      </c>
      <c r="K1797" t="inlineStr">
        <is>
          <t>No</t>
        </is>
      </c>
      <c r="L1797" t="inlineStr">
        <is>
          <t>0</t>
        </is>
      </c>
      <c r="M1797" t="inlineStr">
        <is>
          <t>Dunham, D. Dean.</t>
        </is>
      </c>
      <c r="O1797" t="inlineStr">
        <is>
          <t>1969</t>
        </is>
      </c>
      <c r="Q1797" t="inlineStr">
        <is>
          <t>eng</t>
        </is>
      </c>
      <c r="R1797" t="inlineStr">
        <is>
          <t xml:space="preserve">xx </t>
        </is>
      </c>
      <c r="T1797" t="inlineStr">
        <is>
          <t xml:space="preserve">PR </t>
        </is>
      </c>
      <c r="U1797" t="n">
        <v>2</v>
      </c>
      <c r="V1797" t="n">
        <v>2</v>
      </c>
      <c r="W1797" t="inlineStr">
        <is>
          <t>1997-11-17</t>
        </is>
      </c>
      <c r="X1797" t="inlineStr">
        <is>
          <t>1997-11-17</t>
        </is>
      </c>
      <c r="Y1797" t="inlineStr">
        <is>
          <t>1997-06-30</t>
        </is>
      </c>
      <c r="Z1797" t="inlineStr">
        <is>
          <t>1997-06-30</t>
        </is>
      </c>
      <c r="AA1797" t="n">
        <v>4</v>
      </c>
      <c r="AB1797" t="n">
        <v>4</v>
      </c>
      <c r="AC1797" t="n">
        <v>6</v>
      </c>
      <c r="AD1797" t="n">
        <v>2</v>
      </c>
      <c r="AE1797" t="n">
        <v>2</v>
      </c>
      <c r="AF1797" t="n">
        <v>1</v>
      </c>
      <c r="AG1797" t="n">
        <v>1</v>
      </c>
      <c r="AH1797" t="n">
        <v>0</v>
      </c>
      <c r="AI1797" t="n">
        <v>0</v>
      </c>
      <c r="AJ1797" t="n">
        <v>0</v>
      </c>
      <c r="AK1797" t="n">
        <v>0</v>
      </c>
      <c r="AL1797" t="n">
        <v>0</v>
      </c>
      <c r="AM1797" t="n">
        <v>0</v>
      </c>
      <c r="AN1797" t="n">
        <v>1</v>
      </c>
      <c r="AO1797" t="n">
        <v>1</v>
      </c>
      <c r="AP1797" t="n">
        <v>0</v>
      </c>
      <c r="AQ1797" t="n">
        <v>0</v>
      </c>
      <c r="AR1797" t="inlineStr">
        <is>
          <t>No</t>
        </is>
      </c>
      <c r="AS1797" t="inlineStr">
        <is>
          <t>No</t>
        </is>
      </c>
      <c r="AU1797">
        <f>HYPERLINK("https://creighton-primo.hosted.exlibrisgroup.com/primo-explore/search?tab=default_tab&amp;search_scope=EVERYTHING&amp;vid=01CRU&amp;lang=en_US&amp;offset=0&amp;query=any,contains,991002571629702656","Catalog Record")</f>
        <v/>
      </c>
      <c r="AV1797">
        <f>HYPERLINK("http://www.worldcat.org/oclc/33419041","WorldCat Record")</f>
        <v/>
      </c>
      <c r="AW1797" t="inlineStr">
        <is>
          <t>1865606155:eng</t>
        </is>
      </c>
      <c r="AX1797" t="inlineStr">
        <is>
          <t>33419041</t>
        </is>
      </c>
      <c r="AY1797" t="inlineStr">
        <is>
          <t>991002571629702656</t>
        </is>
      </c>
      <c r="AZ1797" t="inlineStr">
        <is>
          <t>991002571629702656</t>
        </is>
      </c>
      <c r="BA1797" t="inlineStr">
        <is>
          <t>2272140410002656</t>
        </is>
      </c>
      <c r="BB1797" t="inlineStr">
        <is>
          <t>BOOK</t>
        </is>
      </c>
      <c r="BE1797" t="inlineStr">
        <is>
          <t>32285002837416</t>
        </is>
      </c>
      <c r="BF1797" t="inlineStr">
        <is>
          <t>893427743</t>
        </is>
      </c>
    </row>
    <row r="1798">
      <c r="A1798" t="inlineStr">
        <is>
          <t>No</t>
        </is>
      </c>
      <c r="B1798" t="inlineStr">
        <is>
          <t>CURAL</t>
        </is>
      </c>
      <c r="C1798" t="inlineStr">
        <is>
          <t>SHELVES</t>
        </is>
      </c>
      <c r="D1798" t="inlineStr">
        <is>
          <t>PR4501.C44 L8</t>
        </is>
      </c>
      <c r="E1798" t="inlineStr">
        <is>
          <t>0                      PR 4501000C  44                 L  8</t>
        </is>
      </c>
      <c r="F1798" t="inlineStr">
        <is>
          <t>The Colvins and their friends, by E. V, Lucas; with a frontispiece in photogravure and twenty-five other illustrations.</t>
        </is>
      </c>
      <c r="H1798" t="inlineStr">
        <is>
          <t>No</t>
        </is>
      </c>
      <c r="I1798" t="inlineStr">
        <is>
          <t>1</t>
        </is>
      </c>
      <c r="J1798" t="inlineStr">
        <is>
          <t>No</t>
        </is>
      </c>
      <c r="K1798" t="inlineStr">
        <is>
          <t>No</t>
        </is>
      </c>
      <c r="L1798" t="inlineStr">
        <is>
          <t>0</t>
        </is>
      </c>
      <c r="M1798" t="inlineStr">
        <is>
          <t>Lucas, E. V. (Edward Verrall), 1868-1938.</t>
        </is>
      </c>
      <c r="N1798" t="inlineStr">
        <is>
          <t>New York, Charles Scribner's Sons, 1928.</t>
        </is>
      </c>
      <c r="O1798" t="inlineStr">
        <is>
          <t>1928</t>
        </is>
      </c>
      <c r="Q1798" t="inlineStr">
        <is>
          <t>eng</t>
        </is>
      </c>
      <c r="R1798" t="inlineStr">
        <is>
          <t xml:space="preserve">xx </t>
        </is>
      </c>
      <c r="T1798" t="inlineStr">
        <is>
          <t xml:space="preserve">PR </t>
        </is>
      </c>
      <c r="U1798" t="n">
        <v>1</v>
      </c>
      <c r="V1798" t="n">
        <v>1</v>
      </c>
      <c r="W1798" t="inlineStr">
        <is>
          <t>2008-10-27</t>
        </is>
      </c>
      <c r="X1798" t="inlineStr">
        <is>
          <t>2008-10-27</t>
        </is>
      </c>
      <c r="Y1798" t="inlineStr">
        <is>
          <t>1997-06-30</t>
        </is>
      </c>
      <c r="Z1798" t="inlineStr">
        <is>
          <t>1997-06-30</t>
        </is>
      </c>
      <c r="AA1798" t="n">
        <v>249</v>
      </c>
      <c r="AB1798" t="n">
        <v>238</v>
      </c>
      <c r="AC1798" t="n">
        <v>415</v>
      </c>
      <c r="AD1798" t="n">
        <v>2</v>
      </c>
      <c r="AE1798" t="n">
        <v>3</v>
      </c>
      <c r="AF1798" t="n">
        <v>10</v>
      </c>
      <c r="AG1798" t="n">
        <v>21</v>
      </c>
      <c r="AH1798" t="n">
        <v>5</v>
      </c>
      <c r="AI1798" t="n">
        <v>9</v>
      </c>
      <c r="AJ1798" t="n">
        <v>2</v>
      </c>
      <c r="AK1798" t="n">
        <v>4</v>
      </c>
      <c r="AL1798" t="n">
        <v>5</v>
      </c>
      <c r="AM1798" t="n">
        <v>12</v>
      </c>
      <c r="AN1798" t="n">
        <v>1</v>
      </c>
      <c r="AO1798" t="n">
        <v>2</v>
      </c>
      <c r="AP1798" t="n">
        <v>0</v>
      </c>
      <c r="AQ1798" t="n">
        <v>0</v>
      </c>
      <c r="AR1798" t="inlineStr">
        <is>
          <t>No</t>
        </is>
      </c>
      <c r="AS1798" t="inlineStr">
        <is>
          <t>No</t>
        </is>
      </c>
      <c r="AT1798">
        <f>HYPERLINK("http://catalog.hathitrust.org/Record/000666884","HathiTrust Record")</f>
        <v/>
      </c>
      <c r="AU1798">
        <f>HYPERLINK("https://creighton-primo.hosted.exlibrisgroup.com/primo-explore/search?tab=default_tab&amp;search_scope=EVERYTHING&amp;vid=01CRU&amp;lang=en_US&amp;offset=0&amp;query=any,contains,991003864649702656","Catalog Record")</f>
        <v/>
      </c>
      <c r="AV1798">
        <f>HYPERLINK("http://www.worldcat.org/oclc/1675332","WorldCat Record")</f>
        <v/>
      </c>
      <c r="AW1798" t="inlineStr">
        <is>
          <t>1273160:eng</t>
        </is>
      </c>
      <c r="AX1798" t="inlineStr">
        <is>
          <t>1675332</t>
        </is>
      </c>
      <c r="AY1798" t="inlineStr">
        <is>
          <t>991003864649702656</t>
        </is>
      </c>
      <c r="AZ1798" t="inlineStr">
        <is>
          <t>991003864649702656</t>
        </is>
      </c>
      <c r="BA1798" t="inlineStr">
        <is>
          <t>2268017030002656</t>
        </is>
      </c>
      <c r="BB1798" t="inlineStr">
        <is>
          <t>BOOK</t>
        </is>
      </c>
      <c r="BE1798" t="inlineStr">
        <is>
          <t>32285002837432</t>
        </is>
      </c>
      <c r="BF1798" t="inlineStr">
        <is>
          <t>893787910</t>
        </is>
      </c>
    </row>
    <row r="1799">
      <c r="A1799" t="inlineStr">
        <is>
          <t>No</t>
        </is>
      </c>
      <c r="B1799" t="inlineStr">
        <is>
          <t>CURAL</t>
        </is>
      </c>
      <c r="C1799" t="inlineStr">
        <is>
          <t>SHELVES</t>
        </is>
      </c>
      <c r="D1799" t="inlineStr">
        <is>
          <t>PR451 .G87 1993</t>
        </is>
      </c>
      <c r="E1799" t="inlineStr">
        <is>
          <t>0                      PR 0451000G  87          1993</t>
        </is>
      </c>
      <c r="F1799" t="inlineStr">
        <is>
          <t>British poetry of the nineteenth century / Stephen Gurney.</t>
        </is>
      </c>
      <c r="H1799" t="inlineStr">
        <is>
          <t>No</t>
        </is>
      </c>
      <c r="I1799" t="inlineStr">
        <is>
          <t>1</t>
        </is>
      </c>
      <c r="J1799" t="inlineStr">
        <is>
          <t>No</t>
        </is>
      </c>
      <c r="K1799" t="inlineStr">
        <is>
          <t>No</t>
        </is>
      </c>
      <c r="L1799" t="inlineStr">
        <is>
          <t>0</t>
        </is>
      </c>
      <c r="M1799" t="inlineStr">
        <is>
          <t>Gurney, Stephen.</t>
        </is>
      </c>
      <c r="N1799" t="inlineStr">
        <is>
          <t>New York : Twayne Publishers ; Toronto : Maxwell Macmillan Canada ; New York : Maxwell Macmillan International, c1993.</t>
        </is>
      </c>
      <c r="O1799" t="inlineStr">
        <is>
          <t>1993</t>
        </is>
      </c>
      <c r="Q1799" t="inlineStr">
        <is>
          <t>eng</t>
        </is>
      </c>
      <c r="R1799" t="inlineStr">
        <is>
          <t>nyu</t>
        </is>
      </c>
      <c r="S1799" t="inlineStr">
        <is>
          <t>Twayne's critical history of poetry series. British literature</t>
        </is>
      </c>
      <c r="T1799" t="inlineStr">
        <is>
          <t xml:space="preserve">PR </t>
        </is>
      </c>
      <c r="U1799" t="n">
        <v>2</v>
      </c>
      <c r="V1799" t="n">
        <v>2</v>
      </c>
      <c r="W1799" t="inlineStr">
        <is>
          <t>2005-03-21</t>
        </is>
      </c>
      <c r="X1799" t="inlineStr">
        <is>
          <t>2005-03-21</t>
        </is>
      </c>
      <c r="Y1799" t="inlineStr">
        <is>
          <t>1994-06-20</t>
        </is>
      </c>
      <c r="Z1799" t="inlineStr">
        <is>
          <t>1994-06-20</t>
        </is>
      </c>
      <c r="AA1799" t="n">
        <v>752</v>
      </c>
      <c r="AB1799" t="n">
        <v>673</v>
      </c>
      <c r="AC1799" t="n">
        <v>675</v>
      </c>
      <c r="AD1799" t="n">
        <v>4</v>
      </c>
      <c r="AE1799" t="n">
        <v>4</v>
      </c>
      <c r="AF1799" t="n">
        <v>27</v>
      </c>
      <c r="AG1799" t="n">
        <v>27</v>
      </c>
      <c r="AH1799" t="n">
        <v>13</v>
      </c>
      <c r="AI1799" t="n">
        <v>13</v>
      </c>
      <c r="AJ1799" t="n">
        <v>5</v>
      </c>
      <c r="AK1799" t="n">
        <v>5</v>
      </c>
      <c r="AL1799" t="n">
        <v>12</v>
      </c>
      <c r="AM1799" t="n">
        <v>12</v>
      </c>
      <c r="AN1799" t="n">
        <v>3</v>
      </c>
      <c r="AO1799" t="n">
        <v>3</v>
      </c>
      <c r="AP1799" t="n">
        <v>0</v>
      </c>
      <c r="AQ1799" t="n">
        <v>0</v>
      </c>
      <c r="AR1799" t="inlineStr">
        <is>
          <t>No</t>
        </is>
      </c>
      <c r="AS1799" t="inlineStr">
        <is>
          <t>Yes</t>
        </is>
      </c>
      <c r="AT1799">
        <f>HYPERLINK("http://catalog.hathitrust.org/Record/002811759","HathiTrust Record")</f>
        <v/>
      </c>
      <c r="AU1799">
        <f>HYPERLINK("https://creighton-primo.hosted.exlibrisgroup.com/primo-explore/search?tab=default_tab&amp;search_scope=EVERYTHING&amp;vid=01CRU&amp;lang=en_US&amp;offset=0&amp;query=any,contains,991002183799702656","Catalog Record")</f>
        <v/>
      </c>
      <c r="AV1799">
        <f>HYPERLINK("http://www.worldcat.org/oclc/28113890","WorldCat Record")</f>
        <v/>
      </c>
      <c r="AW1799" t="inlineStr">
        <is>
          <t>352514:eng</t>
        </is>
      </c>
      <c r="AX1799" t="inlineStr">
        <is>
          <t>28113890</t>
        </is>
      </c>
      <c r="AY1799" t="inlineStr">
        <is>
          <t>991002183799702656</t>
        </is>
      </c>
      <c r="AZ1799" t="inlineStr">
        <is>
          <t>991002183799702656</t>
        </is>
      </c>
      <c r="BA1799" t="inlineStr">
        <is>
          <t>2256289620002656</t>
        </is>
      </c>
      <c r="BB1799" t="inlineStr">
        <is>
          <t>BOOK</t>
        </is>
      </c>
      <c r="BD1799" t="inlineStr">
        <is>
          <t>9780805784527</t>
        </is>
      </c>
      <c r="BE1799" t="inlineStr">
        <is>
          <t>32285001923654</t>
        </is>
      </c>
      <c r="BF1799" t="inlineStr">
        <is>
          <t>893516984</t>
        </is>
      </c>
    </row>
    <row r="1800">
      <c r="A1800" t="inlineStr">
        <is>
          <t>No</t>
        </is>
      </c>
      <c r="B1800" t="inlineStr">
        <is>
          <t>CURAL</t>
        </is>
      </c>
      <c r="C1800" t="inlineStr">
        <is>
          <t>SHELVES</t>
        </is>
      </c>
      <c r="D1800" t="inlineStr">
        <is>
          <t>PR451 .O6 1882</t>
        </is>
      </c>
      <c r="E1800" t="inlineStr">
        <is>
          <t>0                      PR 0451000O  6           1882</t>
        </is>
      </c>
      <c r="F1800" t="inlineStr">
        <is>
          <t>The literary history of England in the end of the eighteenth and beginning of the nineteenth century, by Mrs. Oliphant.</t>
        </is>
      </c>
      <c r="G1800" t="inlineStr">
        <is>
          <t>V.3</t>
        </is>
      </c>
      <c r="H1800" t="inlineStr">
        <is>
          <t>Yes</t>
        </is>
      </c>
      <c r="I1800" t="inlineStr">
        <is>
          <t>1</t>
        </is>
      </c>
      <c r="J1800" t="inlineStr">
        <is>
          <t>No</t>
        </is>
      </c>
      <c r="K1800" t="inlineStr">
        <is>
          <t>No</t>
        </is>
      </c>
      <c r="L1800" t="inlineStr">
        <is>
          <t>0</t>
        </is>
      </c>
      <c r="M1800" t="inlineStr">
        <is>
          <t>Oliphant, Mrs. (Margaret), 1828-1897.</t>
        </is>
      </c>
      <c r="N1800" t="inlineStr">
        <is>
          <t>London, Macmillan and co., 1882.</t>
        </is>
      </c>
      <c r="O1800" t="inlineStr">
        <is>
          <t>1882</t>
        </is>
      </c>
      <c r="Q1800" t="inlineStr">
        <is>
          <t>eng</t>
        </is>
      </c>
      <c r="R1800" t="inlineStr">
        <is>
          <t>enk</t>
        </is>
      </c>
      <c r="T1800" t="inlineStr">
        <is>
          <t xml:space="preserve">PR </t>
        </is>
      </c>
      <c r="U1800" t="n">
        <v>0</v>
      </c>
      <c r="V1800" t="n">
        <v>1</v>
      </c>
      <c r="X1800" t="inlineStr">
        <is>
          <t>2001-09-21</t>
        </is>
      </c>
      <c r="Y1800" t="inlineStr">
        <is>
          <t>1997-08-21</t>
        </is>
      </c>
      <c r="Z1800" t="inlineStr">
        <is>
          <t>1997-08-21</t>
        </is>
      </c>
      <c r="AA1800" t="n">
        <v>165</v>
      </c>
      <c r="AB1800" t="n">
        <v>112</v>
      </c>
      <c r="AC1800" t="n">
        <v>128</v>
      </c>
      <c r="AD1800" t="n">
        <v>2</v>
      </c>
      <c r="AE1800" t="n">
        <v>2</v>
      </c>
      <c r="AF1800" t="n">
        <v>4</v>
      </c>
      <c r="AG1800" t="n">
        <v>5</v>
      </c>
      <c r="AH1800" t="n">
        <v>1</v>
      </c>
      <c r="AI1800" t="n">
        <v>1</v>
      </c>
      <c r="AJ1800" t="n">
        <v>2</v>
      </c>
      <c r="AK1800" t="n">
        <v>3</v>
      </c>
      <c r="AL1800" t="n">
        <v>3</v>
      </c>
      <c r="AM1800" t="n">
        <v>3</v>
      </c>
      <c r="AN1800" t="n">
        <v>1</v>
      </c>
      <c r="AO1800" t="n">
        <v>1</v>
      </c>
      <c r="AP1800" t="n">
        <v>0</v>
      </c>
      <c r="AQ1800" t="n">
        <v>0</v>
      </c>
      <c r="AR1800" t="inlineStr">
        <is>
          <t>Yes</t>
        </is>
      </c>
      <c r="AS1800" t="inlineStr">
        <is>
          <t>No</t>
        </is>
      </c>
      <c r="AT1800">
        <f>HYPERLINK("http://catalog.hathitrust.org/Record/000201232","HathiTrust Record")</f>
        <v/>
      </c>
      <c r="AU1800">
        <f>HYPERLINK("https://creighton-primo.hosted.exlibrisgroup.com/primo-explore/search?tab=default_tab&amp;search_scope=EVERYTHING&amp;vid=01CRU&amp;lang=en_US&amp;offset=0&amp;query=any,contains,991004834049702656","Catalog Record")</f>
        <v/>
      </c>
      <c r="AV1800">
        <f>HYPERLINK("http://www.worldcat.org/oclc/5429729","WorldCat Record")</f>
        <v/>
      </c>
      <c r="AW1800" t="inlineStr">
        <is>
          <t>10252342181:eng</t>
        </is>
      </c>
      <c r="AX1800" t="inlineStr">
        <is>
          <t>5429729</t>
        </is>
      </c>
      <c r="AY1800" t="inlineStr">
        <is>
          <t>991004834049702656</t>
        </is>
      </c>
      <c r="AZ1800" t="inlineStr">
        <is>
          <t>991004834049702656</t>
        </is>
      </c>
      <c r="BA1800" t="inlineStr">
        <is>
          <t>2257141800002656</t>
        </is>
      </c>
      <c r="BB1800" t="inlineStr">
        <is>
          <t>BOOK</t>
        </is>
      </c>
      <c r="BE1800" t="inlineStr">
        <is>
          <t>32285003152021</t>
        </is>
      </c>
      <c r="BF1800" t="inlineStr">
        <is>
          <t>893594133</t>
        </is>
      </c>
    </row>
    <row r="1801">
      <c r="A1801" t="inlineStr">
        <is>
          <t>No</t>
        </is>
      </c>
      <c r="B1801" t="inlineStr">
        <is>
          <t>CURAL</t>
        </is>
      </c>
      <c r="C1801" t="inlineStr">
        <is>
          <t>SHELVES</t>
        </is>
      </c>
      <c r="D1801" t="inlineStr">
        <is>
          <t>PR451 .O6 1882</t>
        </is>
      </c>
      <c r="E1801" t="inlineStr">
        <is>
          <t>0                      PR 0451000O  6           1882</t>
        </is>
      </c>
      <c r="F1801" t="inlineStr">
        <is>
          <t>The literary history of England in the end of the eighteenth and beginning of the nineteenth century, by Mrs. Oliphant.</t>
        </is>
      </c>
      <c r="G1801" t="inlineStr">
        <is>
          <t>V.1</t>
        </is>
      </c>
      <c r="H1801" t="inlineStr">
        <is>
          <t>Yes</t>
        </is>
      </c>
      <c r="I1801" t="inlineStr">
        <is>
          <t>1</t>
        </is>
      </c>
      <c r="J1801" t="inlineStr">
        <is>
          <t>No</t>
        </is>
      </c>
      <c r="K1801" t="inlineStr">
        <is>
          <t>No</t>
        </is>
      </c>
      <c r="L1801" t="inlineStr">
        <is>
          <t>0</t>
        </is>
      </c>
      <c r="M1801" t="inlineStr">
        <is>
          <t>Oliphant, Mrs. (Margaret), 1828-1897.</t>
        </is>
      </c>
      <c r="N1801" t="inlineStr">
        <is>
          <t>London, Macmillan and co., 1882.</t>
        </is>
      </c>
      <c r="O1801" t="inlineStr">
        <is>
          <t>1882</t>
        </is>
      </c>
      <c r="Q1801" t="inlineStr">
        <is>
          <t>eng</t>
        </is>
      </c>
      <c r="R1801" t="inlineStr">
        <is>
          <t>enk</t>
        </is>
      </c>
      <c r="T1801" t="inlineStr">
        <is>
          <t xml:space="preserve">PR </t>
        </is>
      </c>
      <c r="U1801" t="n">
        <v>0</v>
      </c>
      <c r="V1801" t="n">
        <v>1</v>
      </c>
      <c r="X1801" t="inlineStr">
        <is>
          <t>2001-09-21</t>
        </is>
      </c>
      <c r="Y1801" t="inlineStr">
        <is>
          <t>1997-08-21</t>
        </is>
      </c>
      <c r="Z1801" t="inlineStr">
        <is>
          <t>1997-08-21</t>
        </is>
      </c>
      <c r="AA1801" t="n">
        <v>165</v>
      </c>
      <c r="AB1801" t="n">
        <v>112</v>
      </c>
      <c r="AC1801" t="n">
        <v>128</v>
      </c>
      <c r="AD1801" t="n">
        <v>2</v>
      </c>
      <c r="AE1801" t="n">
        <v>2</v>
      </c>
      <c r="AF1801" t="n">
        <v>4</v>
      </c>
      <c r="AG1801" t="n">
        <v>5</v>
      </c>
      <c r="AH1801" t="n">
        <v>1</v>
      </c>
      <c r="AI1801" t="n">
        <v>1</v>
      </c>
      <c r="AJ1801" t="n">
        <v>2</v>
      </c>
      <c r="AK1801" t="n">
        <v>3</v>
      </c>
      <c r="AL1801" t="n">
        <v>3</v>
      </c>
      <c r="AM1801" t="n">
        <v>3</v>
      </c>
      <c r="AN1801" t="n">
        <v>1</v>
      </c>
      <c r="AO1801" t="n">
        <v>1</v>
      </c>
      <c r="AP1801" t="n">
        <v>0</v>
      </c>
      <c r="AQ1801" t="n">
        <v>0</v>
      </c>
      <c r="AR1801" t="inlineStr">
        <is>
          <t>Yes</t>
        </is>
      </c>
      <c r="AS1801" t="inlineStr">
        <is>
          <t>No</t>
        </is>
      </c>
      <c r="AT1801">
        <f>HYPERLINK("http://catalog.hathitrust.org/Record/000201232","HathiTrust Record")</f>
        <v/>
      </c>
      <c r="AU1801">
        <f>HYPERLINK("https://creighton-primo.hosted.exlibrisgroup.com/primo-explore/search?tab=default_tab&amp;search_scope=EVERYTHING&amp;vid=01CRU&amp;lang=en_US&amp;offset=0&amp;query=any,contains,991004834049702656","Catalog Record")</f>
        <v/>
      </c>
      <c r="AV1801">
        <f>HYPERLINK("http://www.worldcat.org/oclc/5429729","WorldCat Record")</f>
        <v/>
      </c>
      <c r="AW1801" t="inlineStr">
        <is>
          <t>10252342181:eng</t>
        </is>
      </c>
      <c r="AX1801" t="inlineStr">
        <is>
          <t>5429729</t>
        </is>
      </c>
      <c r="AY1801" t="inlineStr">
        <is>
          <t>991004834049702656</t>
        </is>
      </c>
      <c r="AZ1801" t="inlineStr">
        <is>
          <t>991004834049702656</t>
        </is>
      </c>
      <c r="BA1801" t="inlineStr">
        <is>
          <t>2257141800002656</t>
        </is>
      </c>
      <c r="BB1801" t="inlineStr">
        <is>
          <t>BOOK</t>
        </is>
      </c>
      <c r="BE1801" t="inlineStr">
        <is>
          <t>32285003152005</t>
        </is>
      </c>
      <c r="BF1801" t="inlineStr">
        <is>
          <t>893600285</t>
        </is>
      </c>
    </row>
    <row r="1802">
      <c r="A1802" t="inlineStr">
        <is>
          <t>No</t>
        </is>
      </c>
      <c r="B1802" t="inlineStr">
        <is>
          <t>CURAL</t>
        </is>
      </c>
      <c r="C1802" t="inlineStr">
        <is>
          <t>SHELVES</t>
        </is>
      </c>
      <c r="D1802" t="inlineStr">
        <is>
          <t>PR451 .O6 1882</t>
        </is>
      </c>
      <c r="E1802" t="inlineStr">
        <is>
          <t>0                      PR 0451000O  6           1882</t>
        </is>
      </c>
      <c r="F1802" t="inlineStr">
        <is>
          <t>The literary history of England in the end of the eighteenth and beginning of the nineteenth century, by Mrs. Oliphant.</t>
        </is>
      </c>
      <c r="G1802" t="inlineStr">
        <is>
          <t>V.2</t>
        </is>
      </c>
      <c r="H1802" t="inlineStr">
        <is>
          <t>Yes</t>
        </is>
      </c>
      <c r="I1802" t="inlineStr">
        <is>
          <t>1</t>
        </is>
      </c>
      <c r="J1802" t="inlineStr">
        <is>
          <t>No</t>
        </is>
      </c>
      <c r="K1802" t="inlineStr">
        <is>
          <t>No</t>
        </is>
      </c>
      <c r="L1802" t="inlineStr">
        <is>
          <t>0</t>
        </is>
      </c>
      <c r="M1802" t="inlineStr">
        <is>
          <t>Oliphant, Mrs. (Margaret), 1828-1897.</t>
        </is>
      </c>
      <c r="N1802" t="inlineStr">
        <is>
          <t>London, Macmillan and co., 1882.</t>
        </is>
      </c>
      <c r="O1802" t="inlineStr">
        <is>
          <t>1882</t>
        </is>
      </c>
      <c r="Q1802" t="inlineStr">
        <is>
          <t>eng</t>
        </is>
      </c>
      <c r="R1802" t="inlineStr">
        <is>
          <t>enk</t>
        </is>
      </c>
      <c r="T1802" t="inlineStr">
        <is>
          <t xml:space="preserve">PR </t>
        </is>
      </c>
      <c r="U1802" t="n">
        <v>1</v>
      </c>
      <c r="V1802" t="n">
        <v>1</v>
      </c>
      <c r="W1802" t="inlineStr">
        <is>
          <t>2001-09-21</t>
        </is>
      </c>
      <c r="X1802" t="inlineStr">
        <is>
          <t>2001-09-21</t>
        </is>
      </c>
      <c r="Y1802" t="inlineStr">
        <is>
          <t>1997-08-21</t>
        </is>
      </c>
      <c r="Z1802" t="inlineStr">
        <is>
          <t>1997-08-21</t>
        </is>
      </c>
      <c r="AA1802" t="n">
        <v>165</v>
      </c>
      <c r="AB1802" t="n">
        <v>112</v>
      </c>
      <c r="AC1802" t="n">
        <v>128</v>
      </c>
      <c r="AD1802" t="n">
        <v>2</v>
      </c>
      <c r="AE1802" t="n">
        <v>2</v>
      </c>
      <c r="AF1802" t="n">
        <v>4</v>
      </c>
      <c r="AG1802" t="n">
        <v>5</v>
      </c>
      <c r="AH1802" t="n">
        <v>1</v>
      </c>
      <c r="AI1802" t="n">
        <v>1</v>
      </c>
      <c r="AJ1802" t="n">
        <v>2</v>
      </c>
      <c r="AK1802" t="n">
        <v>3</v>
      </c>
      <c r="AL1802" t="n">
        <v>3</v>
      </c>
      <c r="AM1802" t="n">
        <v>3</v>
      </c>
      <c r="AN1802" t="n">
        <v>1</v>
      </c>
      <c r="AO1802" t="n">
        <v>1</v>
      </c>
      <c r="AP1802" t="n">
        <v>0</v>
      </c>
      <c r="AQ1802" t="n">
        <v>0</v>
      </c>
      <c r="AR1802" t="inlineStr">
        <is>
          <t>Yes</t>
        </is>
      </c>
      <c r="AS1802" t="inlineStr">
        <is>
          <t>No</t>
        </is>
      </c>
      <c r="AT1802">
        <f>HYPERLINK("http://catalog.hathitrust.org/Record/000201232","HathiTrust Record")</f>
        <v/>
      </c>
      <c r="AU1802">
        <f>HYPERLINK("https://creighton-primo.hosted.exlibrisgroup.com/primo-explore/search?tab=default_tab&amp;search_scope=EVERYTHING&amp;vid=01CRU&amp;lang=en_US&amp;offset=0&amp;query=any,contains,991004834049702656","Catalog Record")</f>
        <v/>
      </c>
      <c r="AV1802">
        <f>HYPERLINK("http://www.worldcat.org/oclc/5429729","WorldCat Record")</f>
        <v/>
      </c>
      <c r="AW1802" t="inlineStr">
        <is>
          <t>10252342181:eng</t>
        </is>
      </c>
      <c r="AX1802" t="inlineStr">
        <is>
          <t>5429729</t>
        </is>
      </c>
      <c r="AY1802" t="inlineStr">
        <is>
          <t>991004834049702656</t>
        </is>
      </c>
      <c r="AZ1802" t="inlineStr">
        <is>
          <t>991004834049702656</t>
        </is>
      </c>
      <c r="BA1802" t="inlineStr">
        <is>
          <t>2257141800002656</t>
        </is>
      </c>
      <c r="BB1802" t="inlineStr">
        <is>
          <t>BOOK</t>
        </is>
      </c>
      <c r="BE1802" t="inlineStr">
        <is>
          <t>32285003152013</t>
        </is>
      </c>
      <c r="BF1802" t="inlineStr">
        <is>
          <t>893594154</t>
        </is>
      </c>
    </row>
    <row r="1803">
      <c r="A1803" t="inlineStr">
        <is>
          <t>No</t>
        </is>
      </c>
      <c r="B1803" t="inlineStr">
        <is>
          <t>CURAL</t>
        </is>
      </c>
      <c r="C1803" t="inlineStr">
        <is>
          <t>SHELVES</t>
        </is>
      </c>
      <c r="D1803" t="inlineStr">
        <is>
          <t>PR451 .R72 1937a</t>
        </is>
      </c>
      <c r="E1803" t="inlineStr">
        <is>
          <t>0                      PR 0451000R  72          1937a</t>
        </is>
      </c>
      <c r="F1803" t="inlineStr">
        <is>
          <t>Towards the twentieth century (essays in the spiritual history of the nineteenth) by H. V. Routh.</t>
        </is>
      </c>
      <c r="H1803" t="inlineStr">
        <is>
          <t>No</t>
        </is>
      </c>
      <c r="I1803" t="inlineStr">
        <is>
          <t>1</t>
        </is>
      </c>
      <c r="J1803" t="inlineStr">
        <is>
          <t>No</t>
        </is>
      </c>
      <c r="K1803" t="inlineStr">
        <is>
          <t>No</t>
        </is>
      </c>
      <c r="L1803" t="inlineStr">
        <is>
          <t>0</t>
        </is>
      </c>
      <c r="M1803" t="inlineStr">
        <is>
          <t>Routh, H. V. (Harold Victor), 1878-1951.</t>
        </is>
      </c>
      <c r="N1803" t="inlineStr">
        <is>
          <t>New York, The Macmillan company; Cambridge, Eng. The University press, 1937.</t>
        </is>
      </c>
      <c r="O1803" t="inlineStr">
        <is>
          <t>1937</t>
        </is>
      </c>
      <c r="Q1803" t="inlineStr">
        <is>
          <t>eng</t>
        </is>
      </c>
      <c r="R1803" t="inlineStr">
        <is>
          <t>nyu</t>
        </is>
      </c>
      <c r="T1803" t="inlineStr">
        <is>
          <t xml:space="preserve">PR </t>
        </is>
      </c>
      <c r="U1803" t="n">
        <v>1</v>
      </c>
      <c r="V1803" t="n">
        <v>1</v>
      </c>
      <c r="W1803" t="inlineStr">
        <is>
          <t>2004-10-25</t>
        </is>
      </c>
      <c r="X1803" t="inlineStr">
        <is>
          <t>2004-10-25</t>
        </is>
      </c>
      <c r="Y1803" t="inlineStr">
        <is>
          <t>1997-08-21</t>
        </is>
      </c>
      <c r="Z1803" t="inlineStr">
        <is>
          <t>1997-08-21</t>
        </is>
      </c>
      <c r="AA1803" t="n">
        <v>346</v>
      </c>
      <c r="AB1803" t="n">
        <v>328</v>
      </c>
      <c r="AC1803" t="n">
        <v>667</v>
      </c>
      <c r="AD1803" t="n">
        <v>3</v>
      </c>
      <c r="AE1803" t="n">
        <v>5</v>
      </c>
      <c r="AF1803" t="n">
        <v>14</v>
      </c>
      <c r="AG1803" t="n">
        <v>31</v>
      </c>
      <c r="AH1803" t="n">
        <v>2</v>
      </c>
      <c r="AI1803" t="n">
        <v>10</v>
      </c>
      <c r="AJ1803" t="n">
        <v>5</v>
      </c>
      <c r="AK1803" t="n">
        <v>7</v>
      </c>
      <c r="AL1803" t="n">
        <v>10</v>
      </c>
      <c r="AM1803" t="n">
        <v>19</v>
      </c>
      <c r="AN1803" t="n">
        <v>2</v>
      </c>
      <c r="AO1803" t="n">
        <v>4</v>
      </c>
      <c r="AP1803" t="n">
        <v>0</v>
      </c>
      <c r="AQ1803" t="n">
        <v>0</v>
      </c>
      <c r="AR1803" t="inlineStr">
        <is>
          <t>No</t>
        </is>
      </c>
      <c r="AS1803" t="inlineStr">
        <is>
          <t>No</t>
        </is>
      </c>
      <c r="AT1803">
        <f>HYPERLINK("http://catalog.hathitrust.org/Record/001371161","HathiTrust Record")</f>
        <v/>
      </c>
      <c r="AU1803">
        <f>HYPERLINK("https://creighton-primo.hosted.exlibrisgroup.com/primo-explore/search?tab=default_tab&amp;search_scope=EVERYTHING&amp;vid=01CRU&amp;lang=en_US&amp;offset=0&amp;query=any,contains,991004339619702656","Catalog Record")</f>
        <v/>
      </c>
      <c r="AV1803">
        <f>HYPERLINK("http://www.worldcat.org/oclc/3086141","WorldCat Record")</f>
        <v/>
      </c>
      <c r="AW1803" t="inlineStr">
        <is>
          <t>1129194:eng</t>
        </is>
      </c>
      <c r="AX1803" t="inlineStr">
        <is>
          <t>3086141</t>
        </is>
      </c>
      <c r="AY1803" t="inlineStr">
        <is>
          <t>991004339619702656</t>
        </is>
      </c>
      <c r="AZ1803" t="inlineStr">
        <is>
          <t>991004339619702656</t>
        </is>
      </c>
      <c r="BA1803" t="inlineStr">
        <is>
          <t>2266857910002656</t>
        </is>
      </c>
      <c r="BB1803" t="inlineStr">
        <is>
          <t>BOOK</t>
        </is>
      </c>
      <c r="BE1803" t="inlineStr">
        <is>
          <t>32285003152039</t>
        </is>
      </c>
      <c r="BF1803" t="inlineStr">
        <is>
          <t>893875980</t>
        </is>
      </c>
    </row>
    <row r="1804">
      <c r="A1804" t="inlineStr">
        <is>
          <t>No</t>
        </is>
      </c>
      <c r="B1804" t="inlineStr">
        <is>
          <t>CURAL</t>
        </is>
      </c>
      <c r="C1804" t="inlineStr">
        <is>
          <t>SHELVES</t>
        </is>
      </c>
      <c r="D1804" t="inlineStr">
        <is>
          <t>PR451 .S3 1924</t>
        </is>
      </c>
      <c r="E1804" t="inlineStr">
        <is>
          <t>0                      PR 0451000S  3           1924</t>
        </is>
      </c>
      <c r="F1804" t="inlineStr">
        <is>
          <t>A history of nineteenth century literature (1780-1895) / by George Saintsbury.</t>
        </is>
      </c>
      <c r="H1804" t="inlineStr">
        <is>
          <t>No</t>
        </is>
      </c>
      <c r="I1804" t="inlineStr">
        <is>
          <t>1</t>
        </is>
      </c>
      <c r="J1804" t="inlineStr">
        <is>
          <t>No</t>
        </is>
      </c>
      <c r="K1804" t="inlineStr">
        <is>
          <t>No</t>
        </is>
      </c>
      <c r="L1804" t="inlineStr">
        <is>
          <t>0</t>
        </is>
      </c>
      <c r="M1804" t="inlineStr">
        <is>
          <t>Saintsbury, George, 1845-1933.</t>
        </is>
      </c>
      <c r="N1804" t="inlineStr">
        <is>
          <t>New York ; London : Macmillan and co., [c1924]</t>
        </is>
      </c>
      <c r="O1804" t="inlineStr">
        <is>
          <t>1924</t>
        </is>
      </c>
      <c r="Q1804" t="inlineStr">
        <is>
          <t>eng</t>
        </is>
      </c>
      <c r="R1804" t="inlineStr">
        <is>
          <t>nyu</t>
        </is>
      </c>
      <c r="T1804" t="inlineStr">
        <is>
          <t xml:space="preserve">PR </t>
        </is>
      </c>
      <c r="U1804" t="n">
        <v>2</v>
      </c>
      <c r="V1804" t="n">
        <v>2</v>
      </c>
      <c r="W1804" t="inlineStr">
        <is>
          <t>2004-10-15</t>
        </is>
      </c>
      <c r="X1804" t="inlineStr">
        <is>
          <t>2004-10-15</t>
        </is>
      </c>
      <c r="Y1804" t="inlineStr">
        <is>
          <t>1995-03-10</t>
        </is>
      </c>
      <c r="Z1804" t="inlineStr">
        <is>
          <t>1995-03-10</t>
        </is>
      </c>
      <c r="AA1804" t="n">
        <v>36</v>
      </c>
      <c r="AB1804" t="n">
        <v>33</v>
      </c>
      <c r="AC1804" t="n">
        <v>705</v>
      </c>
      <c r="AD1804" t="n">
        <v>1</v>
      </c>
      <c r="AE1804" t="n">
        <v>9</v>
      </c>
      <c r="AF1804" t="n">
        <v>2</v>
      </c>
      <c r="AG1804" t="n">
        <v>42</v>
      </c>
      <c r="AH1804" t="n">
        <v>1</v>
      </c>
      <c r="AI1804" t="n">
        <v>16</v>
      </c>
      <c r="AJ1804" t="n">
        <v>1</v>
      </c>
      <c r="AK1804" t="n">
        <v>10</v>
      </c>
      <c r="AL1804" t="n">
        <v>1</v>
      </c>
      <c r="AM1804" t="n">
        <v>19</v>
      </c>
      <c r="AN1804" t="n">
        <v>0</v>
      </c>
      <c r="AO1804" t="n">
        <v>7</v>
      </c>
      <c r="AP1804" t="n">
        <v>0</v>
      </c>
      <c r="AQ1804" t="n">
        <v>0</v>
      </c>
      <c r="AR1804" t="inlineStr">
        <is>
          <t>Yes</t>
        </is>
      </c>
      <c r="AS1804" t="inlineStr">
        <is>
          <t>No</t>
        </is>
      </c>
      <c r="AT1804">
        <f>HYPERLINK("http://catalog.hathitrust.org/Record/001907439","HathiTrust Record")</f>
        <v/>
      </c>
      <c r="AU1804">
        <f>HYPERLINK("https://creighton-primo.hosted.exlibrisgroup.com/primo-explore/search?tab=default_tab&amp;search_scope=EVERYTHING&amp;vid=01CRU&amp;lang=en_US&amp;offset=0&amp;query=any,contains,991001414619702656","Catalog Record")</f>
        <v/>
      </c>
      <c r="AV1804">
        <f>HYPERLINK("http://www.worldcat.org/oclc/18947096","WorldCat Record")</f>
        <v/>
      </c>
      <c r="AW1804" t="inlineStr">
        <is>
          <t>3372638081:eng</t>
        </is>
      </c>
      <c r="AX1804" t="inlineStr">
        <is>
          <t>18947096</t>
        </is>
      </c>
      <c r="AY1804" t="inlineStr">
        <is>
          <t>991001414619702656</t>
        </is>
      </c>
      <c r="AZ1804" t="inlineStr">
        <is>
          <t>991001414619702656</t>
        </is>
      </c>
      <c r="BA1804" t="inlineStr">
        <is>
          <t>2269506460002656</t>
        </is>
      </c>
      <c r="BB1804" t="inlineStr">
        <is>
          <t>BOOK</t>
        </is>
      </c>
      <c r="BE1804" t="inlineStr">
        <is>
          <t>32285002011913</t>
        </is>
      </c>
      <c r="BF1804" t="inlineStr">
        <is>
          <t>893346497</t>
        </is>
      </c>
    </row>
    <row r="1805">
      <c r="A1805" t="inlineStr">
        <is>
          <t>No</t>
        </is>
      </c>
      <c r="B1805" t="inlineStr">
        <is>
          <t>CURAL</t>
        </is>
      </c>
      <c r="C1805" t="inlineStr">
        <is>
          <t>SHELVES</t>
        </is>
      </c>
      <c r="D1805" t="inlineStr">
        <is>
          <t>PR451 .S85 1983</t>
        </is>
      </c>
      <c r="E1805" t="inlineStr">
        <is>
          <t>0                      PR 0451000S  85          1983</t>
        </is>
      </c>
      <c r="F1805" t="inlineStr">
        <is>
          <t>Nineteenth-century English literature / Margaret Stonyk.</t>
        </is>
      </c>
      <c r="H1805" t="inlineStr">
        <is>
          <t>No</t>
        </is>
      </c>
      <c r="I1805" t="inlineStr">
        <is>
          <t>1</t>
        </is>
      </c>
      <c r="J1805" t="inlineStr">
        <is>
          <t>No</t>
        </is>
      </c>
      <c r="K1805" t="inlineStr">
        <is>
          <t>No</t>
        </is>
      </c>
      <c r="L1805" t="inlineStr">
        <is>
          <t>0</t>
        </is>
      </c>
      <c r="M1805" t="inlineStr">
        <is>
          <t>Stonyk, Margaret.</t>
        </is>
      </c>
      <c r="N1805" t="inlineStr">
        <is>
          <t>London : Macmillan, 1983.</t>
        </is>
      </c>
      <c r="O1805" t="inlineStr">
        <is>
          <t>1983</t>
        </is>
      </c>
      <c r="Q1805" t="inlineStr">
        <is>
          <t>eng</t>
        </is>
      </c>
      <c r="R1805" t="inlineStr">
        <is>
          <t>enk</t>
        </is>
      </c>
      <c r="S1805" t="inlineStr">
        <is>
          <t>Macmillan history of literature</t>
        </is>
      </c>
      <c r="T1805" t="inlineStr">
        <is>
          <t xml:space="preserve">PR </t>
        </is>
      </c>
      <c r="U1805" t="n">
        <v>3</v>
      </c>
      <c r="V1805" t="n">
        <v>3</v>
      </c>
      <c r="W1805" t="inlineStr">
        <is>
          <t>2004-10-15</t>
        </is>
      </c>
      <c r="X1805" t="inlineStr">
        <is>
          <t>2004-10-15</t>
        </is>
      </c>
      <c r="Y1805" t="inlineStr">
        <is>
          <t>1991-08-29</t>
        </is>
      </c>
      <c r="Z1805" t="inlineStr">
        <is>
          <t>1991-08-29</t>
        </is>
      </c>
      <c r="AA1805" t="n">
        <v>247</v>
      </c>
      <c r="AB1805" t="n">
        <v>52</v>
      </c>
      <c r="AC1805" t="n">
        <v>214</v>
      </c>
      <c r="AD1805" t="n">
        <v>1</v>
      </c>
      <c r="AE1805" t="n">
        <v>1</v>
      </c>
      <c r="AF1805" t="n">
        <v>0</v>
      </c>
      <c r="AG1805" t="n">
        <v>5</v>
      </c>
      <c r="AH1805" t="n">
        <v>0</v>
      </c>
      <c r="AI1805" t="n">
        <v>3</v>
      </c>
      <c r="AJ1805" t="n">
        <v>0</v>
      </c>
      <c r="AK1805" t="n">
        <v>1</v>
      </c>
      <c r="AL1805" t="n">
        <v>0</v>
      </c>
      <c r="AM1805" t="n">
        <v>4</v>
      </c>
      <c r="AN1805" t="n">
        <v>0</v>
      </c>
      <c r="AO1805" t="n">
        <v>0</v>
      </c>
      <c r="AP1805" t="n">
        <v>0</v>
      </c>
      <c r="AQ1805" t="n">
        <v>0</v>
      </c>
      <c r="AR1805" t="inlineStr">
        <is>
          <t>No</t>
        </is>
      </c>
      <c r="AS1805" t="inlineStr">
        <is>
          <t>Yes</t>
        </is>
      </c>
      <c r="AT1805">
        <f>HYPERLINK("http://catalog.hathitrust.org/Record/010072880","HathiTrust Record")</f>
        <v/>
      </c>
      <c r="AU1805">
        <f>HYPERLINK("https://creighton-primo.hosted.exlibrisgroup.com/primo-explore/search?tab=default_tab&amp;search_scope=EVERYTHING&amp;vid=01CRU&amp;lang=en_US&amp;offset=0&amp;query=any,contains,991000386279702656","Catalog Record")</f>
        <v/>
      </c>
      <c r="AV1805">
        <f>HYPERLINK("http://www.worldcat.org/oclc/10514443","WorldCat Record")</f>
        <v/>
      </c>
      <c r="AW1805" t="inlineStr">
        <is>
          <t>3096551:eng</t>
        </is>
      </c>
      <c r="AX1805" t="inlineStr">
        <is>
          <t>10514443</t>
        </is>
      </c>
      <c r="AY1805" t="inlineStr">
        <is>
          <t>991000386279702656</t>
        </is>
      </c>
      <c r="AZ1805" t="inlineStr">
        <is>
          <t>991000386279702656</t>
        </is>
      </c>
      <c r="BA1805" t="inlineStr">
        <is>
          <t>2257094170002656</t>
        </is>
      </c>
      <c r="BB1805" t="inlineStr">
        <is>
          <t>BOOK</t>
        </is>
      </c>
      <c r="BD1805" t="inlineStr">
        <is>
          <t>9780333269220</t>
        </is>
      </c>
      <c r="BE1805" t="inlineStr">
        <is>
          <t>32285000731983</t>
        </is>
      </c>
      <c r="BF1805" t="inlineStr">
        <is>
          <t>893243198</t>
        </is>
      </c>
    </row>
    <row r="1806">
      <c r="A1806" t="inlineStr">
        <is>
          <t>No</t>
        </is>
      </c>
      <c r="B1806" t="inlineStr">
        <is>
          <t>CURAL</t>
        </is>
      </c>
      <c r="C1806" t="inlineStr">
        <is>
          <t>SHELVES</t>
        </is>
      </c>
      <c r="D1806" t="inlineStr">
        <is>
          <t>PR4513 .C5</t>
        </is>
      </c>
      <c r="E1806" t="inlineStr">
        <is>
          <t>0                      PR 4513000C  5</t>
        </is>
      </c>
      <c r="F1806" t="inlineStr">
        <is>
          <t>George Crabbe, by Robert L. Chamberlain.</t>
        </is>
      </c>
      <c r="H1806" t="inlineStr">
        <is>
          <t>No</t>
        </is>
      </c>
      <c r="I1806" t="inlineStr">
        <is>
          <t>1</t>
        </is>
      </c>
      <c r="J1806" t="inlineStr">
        <is>
          <t>No</t>
        </is>
      </c>
      <c r="K1806" t="inlineStr">
        <is>
          <t>No</t>
        </is>
      </c>
      <c r="L1806" t="inlineStr">
        <is>
          <t>0</t>
        </is>
      </c>
      <c r="M1806" t="inlineStr">
        <is>
          <t>Chamberlain, Robert L. (Robert Lyall), 1923-</t>
        </is>
      </c>
      <c r="N1806" t="inlineStr">
        <is>
          <t>New York, Twayne Publishers [1965]</t>
        </is>
      </c>
      <c r="O1806" t="inlineStr">
        <is>
          <t>1965</t>
        </is>
      </c>
      <c r="Q1806" t="inlineStr">
        <is>
          <t>eng</t>
        </is>
      </c>
      <c r="R1806" t="inlineStr">
        <is>
          <t>nyu</t>
        </is>
      </c>
      <c r="S1806" t="inlineStr">
        <is>
          <t>Twayne's English authors series, 18</t>
        </is>
      </c>
      <c r="T1806" t="inlineStr">
        <is>
          <t xml:space="preserve">PR </t>
        </is>
      </c>
      <c r="U1806" t="n">
        <v>2</v>
      </c>
      <c r="V1806" t="n">
        <v>2</v>
      </c>
      <c r="W1806" t="inlineStr">
        <is>
          <t>1997-12-09</t>
        </is>
      </c>
      <c r="X1806" t="inlineStr">
        <is>
          <t>1997-12-09</t>
        </is>
      </c>
      <c r="Y1806" t="inlineStr">
        <is>
          <t>1997-06-30</t>
        </is>
      </c>
      <c r="Z1806" t="inlineStr">
        <is>
          <t>1997-06-30</t>
        </is>
      </c>
      <c r="AA1806" t="n">
        <v>1007</v>
      </c>
      <c r="AB1806" t="n">
        <v>906</v>
      </c>
      <c r="AC1806" t="n">
        <v>918</v>
      </c>
      <c r="AD1806" t="n">
        <v>9</v>
      </c>
      <c r="AE1806" t="n">
        <v>9</v>
      </c>
      <c r="AF1806" t="n">
        <v>35</v>
      </c>
      <c r="AG1806" t="n">
        <v>35</v>
      </c>
      <c r="AH1806" t="n">
        <v>10</v>
      </c>
      <c r="AI1806" t="n">
        <v>10</v>
      </c>
      <c r="AJ1806" t="n">
        <v>7</v>
      </c>
      <c r="AK1806" t="n">
        <v>7</v>
      </c>
      <c r="AL1806" t="n">
        <v>19</v>
      </c>
      <c r="AM1806" t="n">
        <v>19</v>
      </c>
      <c r="AN1806" t="n">
        <v>8</v>
      </c>
      <c r="AO1806" t="n">
        <v>8</v>
      </c>
      <c r="AP1806" t="n">
        <v>0</v>
      </c>
      <c r="AQ1806" t="n">
        <v>0</v>
      </c>
      <c r="AR1806" t="inlineStr">
        <is>
          <t>No</t>
        </is>
      </c>
      <c r="AS1806" t="inlineStr">
        <is>
          <t>Yes</t>
        </is>
      </c>
      <c r="AT1806">
        <f>HYPERLINK("http://catalog.hathitrust.org/Record/000005134","HathiTrust Record")</f>
        <v/>
      </c>
      <c r="AU1806">
        <f>HYPERLINK("https://creighton-primo.hosted.exlibrisgroup.com/primo-explore/search?tab=default_tab&amp;search_scope=EVERYTHING&amp;vid=01CRU&amp;lang=en_US&amp;offset=0&amp;query=any,contains,991002481759702656","Catalog Record")</f>
        <v/>
      </c>
      <c r="AV1806">
        <f>HYPERLINK("http://www.worldcat.org/oclc/359919","WorldCat Record")</f>
        <v/>
      </c>
      <c r="AW1806" t="inlineStr">
        <is>
          <t>2564821921:eng</t>
        </is>
      </c>
      <c r="AX1806" t="inlineStr">
        <is>
          <t>359919</t>
        </is>
      </c>
      <c r="AY1806" t="inlineStr">
        <is>
          <t>991002481759702656</t>
        </is>
      </c>
      <c r="AZ1806" t="inlineStr">
        <is>
          <t>991002481759702656</t>
        </is>
      </c>
      <c r="BA1806" t="inlineStr">
        <is>
          <t>2272500750002656</t>
        </is>
      </c>
      <c r="BB1806" t="inlineStr">
        <is>
          <t>BOOK</t>
        </is>
      </c>
      <c r="BE1806" t="inlineStr">
        <is>
          <t>32285002837507</t>
        </is>
      </c>
      <c r="BF1806" t="inlineStr">
        <is>
          <t>893510790</t>
        </is>
      </c>
    </row>
    <row r="1807">
      <c r="A1807" t="inlineStr">
        <is>
          <t>No</t>
        </is>
      </c>
      <c r="B1807" t="inlineStr">
        <is>
          <t>CURAL</t>
        </is>
      </c>
      <c r="C1807" t="inlineStr">
        <is>
          <t>SHELVES</t>
        </is>
      </c>
      <c r="D1807" t="inlineStr">
        <is>
          <t>PR4513 .C7 1947</t>
        </is>
      </c>
      <c r="E1807" t="inlineStr">
        <is>
          <t>0                      PR 4513000C  7           1947</t>
        </is>
      </c>
      <c r="F1807" t="inlineStr">
        <is>
          <t>The life of George Crabbe, by his son; with an introd. by Edmund Blunden.</t>
        </is>
      </c>
      <c r="H1807" t="inlineStr">
        <is>
          <t>No</t>
        </is>
      </c>
      <c r="I1807" t="inlineStr">
        <is>
          <t>1</t>
        </is>
      </c>
      <c r="J1807" t="inlineStr">
        <is>
          <t>No</t>
        </is>
      </c>
      <c r="K1807" t="inlineStr">
        <is>
          <t>No</t>
        </is>
      </c>
      <c r="L1807" t="inlineStr">
        <is>
          <t>0</t>
        </is>
      </c>
      <c r="M1807" t="inlineStr">
        <is>
          <t>Crabbe, George, 1785-1857.</t>
        </is>
      </c>
      <c r="N1807" t="inlineStr">
        <is>
          <t>London, Cresset Press, 1947.</t>
        </is>
      </c>
      <c r="O1807" t="inlineStr">
        <is>
          <t>1947</t>
        </is>
      </c>
      <c r="Q1807" t="inlineStr">
        <is>
          <t>eng</t>
        </is>
      </c>
      <c r="R1807" t="inlineStr">
        <is>
          <t>enk</t>
        </is>
      </c>
      <c r="S1807" t="inlineStr">
        <is>
          <t>The Cresset Library</t>
        </is>
      </c>
      <c r="T1807" t="inlineStr">
        <is>
          <t xml:space="preserve">PR </t>
        </is>
      </c>
      <c r="U1807" t="n">
        <v>2</v>
      </c>
      <c r="V1807" t="n">
        <v>2</v>
      </c>
      <c r="W1807" t="inlineStr">
        <is>
          <t>1997-12-09</t>
        </is>
      </c>
      <c r="X1807" t="inlineStr">
        <is>
          <t>1997-12-09</t>
        </is>
      </c>
      <c r="Y1807" t="inlineStr">
        <is>
          <t>1997-06-30</t>
        </is>
      </c>
      <c r="Z1807" t="inlineStr">
        <is>
          <t>1997-06-30</t>
        </is>
      </c>
      <c r="AA1807" t="n">
        <v>655</v>
      </c>
      <c r="AB1807" t="n">
        <v>505</v>
      </c>
      <c r="AC1807" t="n">
        <v>524</v>
      </c>
      <c r="AD1807" t="n">
        <v>5</v>
      </c>
      <c r="AE1807" t="n">
        <v>5</v>
      </c>
      <c r="AF1807" t="n">
        <v>26</v>
      </c>
      <c r="AG1807" t="n">
        <v>28</v>
      </c>
      <c r="AH1807" t="n">
        <v>12</v>
      </c>
      <c r="AI1807" t="n">
        <v>13</v>
      </c>
      <c r="AJ1807" t="n">
        <v>4</v>
      </c>
      <c r="AK1807" t="n">
        <v>4</v>
      </c>
      <c r="AL1807" t="n">
        <v>14</v>
      </c>
      <c r="AM1807" t="n">
        <v>15</v>
      </c>
      <c r="AN1807" t="n">
        <v>4</v>
      </c>
      <c r="AO1807" t="n">
        <v>4</v>
      </c>
      <c r="AP1807" t="n">
        <v>0</v>
      </c>
      <c r="AQ1807" t="n">
        <v>0</v>
      </c>
      <c r="AR1807" t="inlineStr">
        <is>
          <t>No</t>
        </is>
      </c>
      <c r="AS1807" t="inlineStr">
        <is>
          <t>Yes</t>
        </is>
      </c>
      <c r="AT1807">
        <f>HYPERLINK("http://catalog.hathitrust.org/Record/000395132","HathiTrust Record")</f>
        <v/>
      </c>
      <c r="AU1807">
        <f>HYPERLINK("https://creighton-primo.hosted.exlibrisgroup.com/primo-explore/search?tab=default_tab&amp;search_scope=EVERYTHING&amp;vid=01CRU&amp;lang=en_US&amp;offset=0&amp;query=any,contains,991002428739702656","Catalog Record")</f>
        <v/>
      </c>
      <c r="AV1807">
        <f>HYPERLINK("http://www.worldcat.org/oclc/345994","WorldCat Record")</f>
        <v/>
      </c>
      <c r="AW1807" t="inlineStr">
        <is>
          <t>1494611:eng</t>
        </is>
      </c>
      <c r="AX1807" t="inlineStr">
        <is>
          <t>345994</t>
        </is>
      </c>
      <c r="AY1807" t="inlineStr">
        <is>
          <t>991002428739702656</t>
        </is>
      </c>
      <c r="AZ1807" t="inlineStr">
        <is>
          <t>991002428739702656</t>
        </is>
      </c>
      <c r="BA1807" t="inlineStr">
        <is>
          <t>2272109780002656</t>
        </is>
      </c>
      <c r="BB1807" t="inlineStr">
        <is>
          <t>BOOK</t>
        </is>
      </c>
      <c r="BE1807" t="inlineStr">
        <is>
          <t>32285002837515</t>
        </is>
      </c>
      <c r="BF1807" t="inlineStr">
        <is>
          <t>893898743</t>
        </is>
      </c>
    </row>
    <row r="1808">
      <c r="A1808" t="inlineStr">
        <is>
          <t>No</t>
        </is>
      </c>
      <c r="B1808" t="inlineStr">
        <is>
          <t>CURAL</t>
        </is>
      </c>
      <c r="C1808" t="inlineStr">
        <is>
          <t>SHELVES</t>
        </is>
      </c>
      <c r="D1808" t="inlineStr">
        <is>
          <t>PR4514 .B35 1977</t>
        </is>
      </c>
      <c r="E1808" t="inlineStr">
        <is>
          <t>0                      PR 4514000B  35          1977</t>
        </is>
      </c>
      <c r="F1808" t="inlineStr">
        <is>
          <t>George Crabbe / Terence Bareham.</t>
        </is>
      </c>
      <c r="H1808" t="inlineStr">
        <is>
          <t>No</t>
        </is>
      </c>
      <c r="I1808" t="inlineStr">
        <is>
          <t>1</t>
        </is>
      </c>
      <c r="J1808" t="inlineStr">
        <is>
          <t>No</t>
        </is>
      </c>
      <c r="K1808" t="inlineStr">
        <is>
          <t>No</t>
        </is>
      </c>
      <c r="L1808" t="inlineStr">
        <is>
          <t>0</t>
        </is>
      </c>
      <c r="M1808" t="inlineStr">
        <is>
          <t>Bareham, Tony.</t>
        </is>
      </c>
      <c r="N1808" t="inlineStr">
        <is>
          <t>New York : Barnes &amp; Noble Books, 1977.</t>
        </is>
      </c>
      <c r="O1808" t="inlineStr">
        <is>
          <t>1977</t>
        </is>
      </c>
      <c r="Q1808" t="inlineStr">
        <is>
          <t>eng</t>
        </is>
      </c>
      <c r="R1808" t="inlineStr">
        <is>
          <t>nyu</t>
        </is>
      </c>
      <c r="S1808" t="inlineStr">
        <is>
          <t>Barnes &amp; Noble critical studies</t>
        </is>
      </c>
      <c r="T1808" t="inlineStr">
        <is>
          <t xml:space="preserve">PR </t>
        </is>
      </c>
      <c r="U1808" t="n">
        <v>1</v>
      </c>
      <c r="V1808" t="n">
        <v>1</v>
      </c>
      <c r="W1808" t="inlineStr">
        <is>
          <t>2002-12-11</t>
        </is>
      </c>
      <c r="X1808" t="inlineStr">
        <is>
          <t>2002-12-11</t>
        </is>
      </c>
      <c r="Y1808" t="inlineStr">
        <is>
          <t>2002-12-11</t>
        </is>
      </c>
      <c r="Z1808" t="inlineStr">
        <is>
          <t>2002-12-11</t>
        </is>
      </c>
      <c r="AA1808" t="n">
        <v>358</v>
      </c>
      <c r="AB1808" t="n">
        <v>335</v>
      </c>
      <c r="AC1808" t="n">
        <v>412</v>
      </c>
      <c r="AD1808" t="n">
        <v>4</v>
      </c>
      <c r="AE1808" t="n">
        <v>4</v>
      </c>
      <c r="AF1808" t="n">
        <v>22</v>
      </c>
      <c r="AG1808" t="n">
        <v>25</v>
      </c>
      <c r="AH1808" t="n">
        <v>8</v>
      </c>
      <c r="AI1808" t="n">
        <v>8</v>
      </c>
      <c r="AJ1808" t="n">
        <v>7</v>
      </c>
      <c r="AK1808" t="n">
        <v>7</v>
      </c>
      <c r="AL1808" t="n">
        <v>10</v>
      </c>
      <c r="AM1808" t="n">
        <v>13</v>
      </c>
      <c r="AN1808" t="n">
        <v>3</v>
      </c>
      <c r="AO1808" t="n">
        <v>3</v>
      </c>
      <c r="AP1808" t="n">
        <v>0</v>
      </c>
      <c r="AQ1808" t="n">
        <v>0</v>
      </c>
      <c r="AR1808" t="inlineStr">
        <is>
          <t>No</t>
        </is>
      </c>
      <c r="AS1808" t="inlineStr">
        <is>
          <t>No</t>
        </is>
      </c>
      <c r="AU1808">
        <f>HYPERLINK("https://creighton-primo.hosted.exlibrisgroup.com/primo-explore/search?tab=default_tab&amp;search_scope=EVERYTHING&amp;vid=01CRU&amp;lang=en_US&amp;offset=0&amp;query=any,contains,991003960639702656","Catalog Record")</f>
        <v/>
      </c>
      <c r="AV1808">
        <f>HYPERLINK("http://www.worldcat.org/oclc/3607945","WorldCat Record")</f>
        <v/>
      </c>
      <c r="AW1808" t="inlineStr">
        <is>
          <t>11126866:eng</t>
        </is>
      </c>
      <c r="AX1808" t="inlineStr">
        <is>
          <t>3607945</t>
        </is>
      </c>
      <c r="AY1808" t="inlineStr">
        <is>
          <t>991003960639702656</t>
        </is>
      </c>
      <c r="AZ1808" t="inlineStr">
        <is>
          <t>991003960639702656</t>
        </is>
      </c>
      <c r="BA1808" t="inlineStr">
        <is>
          <t>2272450650002656</t>
        </is>
      </c>
      <c r="BB1808" t="inlineStr">
        <is>
          <t>BOOK</t>
        </is>
      </c>
      <c r="BD1808" t="inlineStr">
        <is>
          <t>9780064903059</t>
        </is>
      </c>
      <c r="BE1808" t="inlineStr">
        <is>
          <t>32285004690730</t>
        </is>
      </c>
      <c r="BF1808" t="inlineStr">
        <is>
          <t>893445957</t>
        </is>
      </c>
    </row>
    <row r="1809">
      <c r="A1809" t="inlineStr">
        <is>
          <t>No</t>
        </is>
      </c>
      <c r="B1809" t="inlineStr">
        <is>
          <t>CURAL</t>
        </is>
      </c>
      <c r="C1809" t="inlineStr">
        <is>
          <t>SHELVES</t>
        </is>
      </c>
      <c r="D1809" t="inlineStr">
        <is>
          <t>PR4514 .N4</t>
        </is>
      </c>
      <c r="E1809" t="inlineStr">
        <is>
          <t>0                      PR 4514000N  4</t>
        </is>
      </c>
      <c r="F1809" t="inlineStr">
        <is>
          <t>George Crabbe and the progress of eighteenth-century narrative verse / Beth Nelson.</t>
        </is>
      </c>
      <c r="H1809" t="inlineStr">
        <is>
          <t>No</t>
        </is>
      </c>
      <c r="I1809" t="inlineStr">
        <is>
          <t>1</t>
        </is>
      </c>
      <c r="J1809" t="inlineStr">
        <is>
          <t>No</t>
        </is>
      </c>
      <c r="K1809" t="inlineStr">
        <is>
          <t>No</t>
        </is>
      </c>
      <c r="L1809" t="inlineStr">
        <is>
          <t>0</t>
        </is>
      </c>
      <c r="M1809" t="inlineStr">
        <is>
          <t>Nelson, Beth, 1926-</t>
        </is>
      </c>
      <c r="N1809" t="inlineStr">
        <is>
          <t>Lewisburg [Pa.] : Bucknell University Press, c1976.</t>
        </is>
      </c>
      <c r="O1809" t="inlineStr">
        <is>
          <t>1976</t>
        </is>
      </c>
      <c r="Q1809" t="inlineStr">
        <is>
          <t>eng</t>
        </is>
      </c>
      <c r="R1809" t="inlineStr">
        <is>
          <t>pau</t>
        </is>
      </c>
      <c r="T1809" t="inlineStr">
        <is>
          <t xml:space="preserve">PR </t>
        </is>
      </c>
      <c r="U1809" t="n">
        <v>1</v>
      </c>
      <c r="V1809" t="n">
        <v>1</v>
      </c>
      <c r="W1809" t="inlineStr">
        <is>
          <t>1997-12-10</t>
        </is>
      </c>
      <c r="X1809" t="inlineStr">
        <is>
          <t>1997-12-10</t>
        </is>
      </c>
      <c r="Y1809" t="inlineStr">
        <is>
          <t>1997-06-30</t>
        </is>
      </c>
      <c r="Z1809" t="inlineStr">
        <is>
          <t>1997-06-30</t>
        </is>
      </c>
      <c r="AA1809" t="n">
        <v>462</v>
      </c>
      <c r="AB1809" t="n">
        <v>382</v>
      </c>
      <c r="AC1809" t="n">
        <v>384</v>
      </c>
      <c r="AD1809" t="n">
        <v>4</v>
      </c>
      <c r="AE1809" t="n">
        <v>4</v>
      </c>
      <c r="AF1809" t="n">
        <v>24</v>
      </c>
      <c r="AG1809" t="n">
        <v>24</v>
      </c>
      <c r="AH1809" t="n">
        <v>8</v>
      </c>
      <c r="AI1809" t="n">
        <v>8</v>
      </c>
      <c r="AJ1809" t="n">
        <v>5</v>
      </c>
      <c r="AK1809" t="n">
        <v>5</v>
      </c>
      <c r="AL1809" t="n">
        <v>13</v>
      </c>
      <c r="AM1809" t="n">
        <v>13</v>
      </c>
      <c r="AN1809" t="n">
        <v>3</v>
      </c>
      <c r="AO1809" t="n">
        <v>3</v>
      </c>
      <c r="AP1809" t="n">
        <v>0</v>
      </c>
      <c r="AQ1809" t="n">
        <v>0</v>
      </c>
      <c r="AR1809" t="inlineStr">
        <is>
          <t>No</t>
        </is>
      </c>
      <c r="AS1809" t="inlineStr">
        <is>
          <t>Yes</t>
        </is>
      </c>
      <c r="AT1809">
        <f>HYPERLINK("http://catalog.hathitrust.org/Record/000701865","HathiTrust Record")</f>
        <v/>
      </c>
      <c r="AU1809">
        <f>HYPERLINK("https://creighton-primo.hosted.exlibrisgroup.com/primo-explore/search?tab=default_tab&amp;search_scope=EVERYTHING&amp;vid=01CRU&amp;lang=en_US&amp;offset=0&amp;query=any,contains,991003975909702656","Catalog Record")</f>
        <v/>
      </c>
      <c r="AV1809">
        <f>HYPERLINK("http://www.worldcat.org/oclc/2005356","WorldCat Record")</f>
        <v/>
      </c>
      <c r="AW1809" t="inlineStr">
        <is>
          <t>118345897:eng</t>
        </is>
      </c>
      <c r="AX1809" t="inlineStr">
        <is>
          <t>2005356</t>
        </is>
      </c>
      <c r="AY1809" t="inlineStr">
        <is>
          <t>991003975909702656</t>
        </is>
      </c>
      <c r="AZ1809" t="inlineStr">
        <is>
          <t>991003975909702656</t>
        </is>
      </c>
      <c r="BA1809" t="inlineStr">
        <is>
          <t>2261976690002656</t>
        </is>
      </c>
      <c r="BB1809" t="inlineStr">
        <is>
          <t>BOOK</t>
        </is>
      </c>
      <c r="BD1809" t="inlineStr">
        <is>
          <t>9780838717363</t>
        </is>
      </c>
      <c r="BE1809" t="inlineStr">
        <is>
          <t>32285002837531</t>
        </is>
      </c>
      <c r="BF1809" t="inlineStr">
        <is>
          <t>893788127</t>
        </is>
      </c>
    </row>
    <row r="1810">
      <c r="A1810" t="inlineStr">
        <is>
          <t>No</t>
        </is>
      </c>
      <c r="B1810" t="inlineStr">
        <is>
          <t>CURAL</t>
        </is>
      </c>
      <c r="C1810" t="inlineStr">
        <is>
          <t>SHELVES</t>
        </is>
      </c>
      <c r="D1810" t="inlineStr">
        <is>
          <t>PR4514 .P6 1972</t>
        </is>
      </c>
      <c r="E1810" t="inlineStr">
        <is>
          <t>0                      PR 4514000P  6           1972</t>
        </is>
      </c>
      <c r="F1810" t="inlineStr">
        <is>
          <t>Crabbe: the critical heritage.</t>
        </is>
      </c>
      <c r="H1810" t="inlineStr">
        <is>
          <t>No</t>
        </is>
      </c>
      <c r="I1810" t="inlineStr">
        <is>
          <t>1</t>
        </is>
      </c>
      <c r="J1810" t="inlineStr">
        <is>
          <t>No</t>
        </is>
      </c>
      <c r="K1810" t="inlineStr">
        <is>
          <t>No</t>
        </is>
      </c>
      <c r="L1810" t="inlineStr">
        <is>
          <t>0</t>
        </is>
      </c>
      <c r="M1810" t="inlineStr">
        <is>
          <t>Pollard, Arthur compiler.</t>
        </is>
      </c>
      <c r="N1810" t="inlineStr">
        <is>
          <t>London, Boston, Routledge and K. Paul, 1972.</t>
        </is>
      </c>
      <c r="O1810" t="inlineStr">
        <is>
          <t>1972</t>
        </is>
      </c>
      <c r="Q1810" t="inlineStr">
        <is>
          <t>eng</t>
        </is>
      </c>
      <c r="R1810" t="inlineStr">
        <is>
          <t>enk</t>
        </is>
      </c>
      <c r="S1810" t="inlineStr">
        <is>
          <t>The Critical heritage series</t>
        </is>
      </c>
      <c r="T1810" t="inlineStr">
        <is>
          <t xml:space="preserve">PR </t>
        </is>
      </c>
      <c r="U1810" t="n">
        <v>2</v>
      </c>
      <c r="V1810" t="n">
        <v>2</v>
      </c>
      <c r="W1810" t="inlineStr">
        <is>
          <t>1997-12-09</t>
        </is>
      </c>
      <c r="X1810" t="inlineStr">
        <is>
          <t>1997-12-09</t>
        </is>
      </c>
      <c r="Y1810" t="inlineStr">
        <is>
          <t>1997-06-30</t>
        </is>
      </c>
      <c r="Z1810" t="inlineStr">
        <is>
          <t>1997-06-30</t>
        </is>
      </c>
      <c r="AA1810" t="n">
        <v>590</v>
      </c>
      <c r="AB1810" t="n">
        <v>397</v>
      </c>
      <c r="AC1810" t="n">
        <v>413</v>
      </c>
      <c r="AD1810" t="n">
        <v>3</v>
      </c>
      <c r="AE1810" t="n">
        <v>3</v>
      </c>
      <c r="AF1810" t="n">
        <v>23</v>
      </c>
      <c r="AG1810" t="n">
        <v>23</v>
      </c>
      <c r="AH1810" t="n">
        <v>7</v>
      </c>
      <c r="AI1810" t="n">
        <v>7</v>
      </c>
      <c r="AJ1810" t="n">
        <v>4</v>
      </c>
      <c r="AK1810" t="n">
        <v>4</v>
      </c>
      <c r="AL1810" t="n">
        <v>17</v>
      </c>
      <c r="AM1810" t="n">
        <v>17</v>
      </c>
      <c r="AN1810" t="n">
        <v>2</v>
      </c>
      <c r="AO1810" t="n">
        <v>2</v>
      </c>
      <c r="AP1810" t="n">
        <v>0</v>
      </c>
      <c r="AQ1810" t="n">
        <v>0</v>
      </c>
      <c r="AR1810" t="inlineStr">
        <is>
          <t>No</t>
        </is>
      </c>
      <c r="AS1810" t="inlineStr">
        <is>
          <t>Yes</t>
        </is>
      </c>
      <c r="AT1810">
        <f>HYPERLINK("http://catalog.hathitrust.org/Record/000395100","HathiTrust Record")</f>
        <v/>
      </c>
      <c r="AU1810">
        <f>HYPERLINK("https://creighton-primo.hosted.exlibrisgroup.com/primo-explore/search?tab=default_tab&amp;search_scope=EVERYTHING&amp;vid=01CRU&amp;lang=en_US&amp;offset=0&amp;query=any,contains,991002898019702656","Catalog Record")</f>
        <v/>
      </c>
      <c r="AV1810">
        <f>HYPERLINK("http://www.worldcat.org/oclc/514895","WorldCat Record")</f>
        <v/>
      </c>
      <c r="AW1810" t="inlineStr">
        <is>
          <t>3901033185:eng</t>
        </is>
      </c>
      <c r="AX1810" t="inlineStr">
        <is>
          <t>514895</t>
        </is>
      </c>
      <c r="AY1810" t="inlineStr">
        <is>
          <t>991002898019702656</t>
        </is>
      </c>
      <c r="AZ1810" t="inlineStr">
        <is>
          <t>991002898019702656</t>
        </is>
      </c>
      <c r="BA1810" t="inlineStr">
        <is>
          <t>2262024610002656</t>
        </is>
      </c>
      <c r="BB1810" t="inlineStr">
        <is>
          <t>BOOK</t>
        </is>
      </c>
      <c r="BD1810" t="inlineStr">
        <is>
          <t>9780710072580</t>
        </is>
      </c>
      <c r="BE1810" t="inlineStr">
        <is>
          <t>32285002837549</t>
        </is>
      </c>
      <c r="BF1810" t="inlineStr">
        <is>
          <t>893793078</t>
        </is>
      </c>
    </row>
    <row r="1811">
      <c r="A1811" t="inlineStr">
        <is>
          <t>No</t>
        </is>
      </c>
      <c r="B1811" t="inlineStr">
        <is>
          <t>CURAL</t>
        </is>
      </c>
      <c r="C1811" t="inlineStr">
        <is>
          <t>SHELVES</t>
        </is>
      </c>
      <c r="D1811" t="inlineStr">
        <is>
          <t>PR4527 .U5</t>
        </is>
      </c>
      <c r="E1811" t="inlineStr">
        <is>
          <t>0                      PR 4527000U  5</t>
        </is>
      </c>
      <c r="F1811" t="inlineStr">
        <is>
          <t>Under two flags, "by Ouida" [pseud.] illustrated with scenes from the photoplay a Universal-Jewell production starring Priscilla Dean.</t>
        </is>
      </c>
      <c r="H1811" t="inlineStr">
        <is>
          <t>No</t>
        </is>
      </c>
      <c r="I1811" t="inlineStr">
        <is>
          <t>1</t>
        </is>
      </c>
      <c r="J1811" t="inlineStr">
        <is>
          <t>No</t>
        </is>
      </c>
      <c r="K1811" t="inlineStr">
        <is>
          <t>No</t>
        </is>
      </c>
      <c r="L1811" t="inlineStr">
        <is>
          <t>0</t>
        </is>
      </c>
      <c r="M1811" t="inlineStr">
        <is>
          <t>Ouida, 1839-1908.</t>
        </is>
      </c>
      <c r="N1811" t="inlineStr">
        <is>
          <t>New York, Grosset &amp; Dunlap [1923]</t>
        </is>
      </c>
      <c r="O1811" t="inlineStr">
        <is>
          <t>1923</t>
        </is>
      </c>
      <c r="Q1811" t="inlineStr">
        <is>
          <t>eng</t>
        </is>
      </c>
      <c r="R1811" t="inlineStr">
        <is>
          <t>nyu</t>
        </is>
      </c>
      <c r="T1811" t="inlineStr">
        <is>
          <t xml:space="preserve">PR </t>
        </is>
      </c>
      <c r="U1811" t="n">
        <v>1</v>
      </c>
      <c r="V1811" t="n">
        <v>1</v>
      </c>
      <c r="W1811" t="inlineStr">
        <is>
          <t>2010-03-04</t>
        </is>
      </c>
      <c r="X1811" t="inlineStr">
        <is>
          <t>2010-03-04</t>
        </is>
      </c>
      <c r="Y1811" t="inlineStr">
        <is>
          <t>1997-06-30</t>
        </is>
      </c>
      <c r="Z1811" t="inlineStr">
        <is>
          <t>1997-06-30</t>
        </is>
      </c>
      <c r="AA1811" t="n">
        <v>57</v>
      </c>
      <c r="AB1811" t="n">
        <v>54</v>
      </c>
      <c r="AC1811" t="n">
        <v>814</v>
      </c>
      <c r="AD1811" t="n">
        <v>1</v>
      </c>
      <c r="AE1811" t="n">
        <v>5</v>
      </c>
      <c r="AF1811" t="n">
        <v>2</v>
      </c>
      <c r="AG1811" t="n">
        <v>34</v>
      </c>
      <c r="AH1811" t="n">
        <v>0</v>
      </c>
      <c r="AI1811" t="n">
        <v>13</v>
      </c>
      <c r="AJ1811" t="n">
        <v>0</v>
      </c>
      <c r="AK1811" t="n">
        <v>9</v>
      </c>
      <c r="AL1811" t="n">
        <v>2</v>
      </c>
      <c r="AM1811" t="n">
        <v>15</v>
      </c>
      <c r="AN1811" t="n">
        <v>0</v>
      </c>
      <c r="AO1811" t="n">
        <v>4</v>
      </c>
      <c r="AP1811" t="n">
        <v>0</v>
      </c>
      <c r="AQ1811" t="n">
        <v>0</v>
      </c>
      <c r="AR1811" t="inlineStr">
        <is>
          <t>No</t>
        </is>
      </c>
      <c r="AS1811" t="inlineStr">
        <is>
          <t>No</t>
        </is>
      </c>
      <c r="AU1811">
        <f>HYPERLINK("https://creighton-primo.hosted.exlibrisgroup.com/primo-explore/search?tab=default_tab&amp;search_scope=EVERYTHING&amp;vid=01CRU&amp;lang=en_US&amp;offset=0&amp;query=any,contains,991003648249702656","Catalog Record")</f>
        <v/>
      </c>
      <c r="AV1811">
        <f>HYPERLINK("http://www.worldcat.org/oclc/1250945","WorldCat Record")</f>
        <v/>
      </c>
      <c r="AW1811" t="inlineStr">
        <is>
          <t>196489560:eng</t>
        </is>
      </c>
      <c r="AX1811" t="inlineStr">
        <is>
          <t>1250945</t>
        </is>
      </c>
      <c r="AY1811" t="inlineStr">
        <is>
          <t>991003648249702656</t>
        </is>
      </c>
      <c r="AZ1811" t="inlineStr">
        <is>
          <t>991003648249702656</t>
        </is>
      </c>
      <c r="BA1811" t="inlineStr">
        <is>
          <t>2263201700002656</t>
        </is>
      </c>
      <c r="BB1811" t="inlineStr">
        <is>
          <t>BOOK</t>
        </is>
      </c>
      <c r="BE1811" t="inlineStr">
        <is>
          <t>32285002837754</t>
        </is>
      </c>
      <c r="BF1811" t="inlineStr">
        <is>
          <t>893887706</t>
        </is>
      </c>
    </row>
    <row r="1812">
      <c r="A1812" t="inlineStr">
        <is>
          <t>No</t>
        </is>
      </c>
      <c r="B1812" t="inlineStr">
        <is>
          <t>CURAL</t>
        </is>
      </c>
      <c r="C1812" t="inlineStr">
        <is>
          <t>SHELVES</t>
        </is>
      </c>
      <c r="D1812" t="inlineStr">
        <is>
          <t>PR453 .M5</t>
        </is>
      </c>
      <c r="E1812" t="inlineStr">
        <is>
          <t>0                      PR 0453000M  5</t>
        </is>
      </c>
      <c r="F1812" t="inlineStr">
        <is>
          <t>Quests surd and absurd; essays in American literature [by] James E. Miller, Jr.</t>
        </is>
      </c>
      <c r="H1812" t="inlineStr">
        <is>
          <t>No</t>
        </is>
      </c>
      <c r="I1812" t="inlineStr">
        <is>
          <t>1</t>
        </is>
      </c>
      <c r="J1812" t="inlineStr">
        <is>
          <t>No</t>
        </is>
      </c>
      <c r="K1812" t="inlineStr">
        <is>
          <t>No</t>
        </is>
      </c>
      <c r="L1812" t="inlineStr">
        <is>
          <t>0</t>
        </is>
      </c>
      <c r="M1812" t="inlineStr">
        <is>
          <t>Miller, James E. (James Edwin), 1920-2010.</t>
        </is>
      </c>
      <c r="N1812" t="inlineStr">
        <is>
          <t>Chicago, University of Chicago Press [1967]</t>
        </is>
      </c>
      <c r="O1812" t="inlineStr">
        <is>
          <t>1967</t>
        </is>
      </c>
      <c r="Q1812" t="inlineStr">
        <is>
          <t>eng</t>
        </is>
      </c>
      <c r="R1812" t="inlineStr">
        <is>
          <t>ilu</t>
        </is>
      </c>
      <c r="T1812" t="inlineStr">
        <is>
          <t xml:space="preserve">PR </t>
        </is>
      </c>
      <c r="U1812" t="n">
        <v>3</v>
      </c>
      <c r="V1812" t="n">
        <v>3</v>
      </c>
      <c r="W1812" t="inlineStr">
        <is>
          <t>2009-03-31</t>
        </is>
      </c>
      <c r="X1812" t="inlineStr">
        <is>
          <t>2009-03-31</t>
        </is>
      </c>
      <c r="Y1812" t="inlineStr">
        <is>
          <t>1997-08-21</t>
        </is>
      </c>
      <c r="Z1812" t="inlineStr">
        <is>
          <t>1997-08-21</t>
        </is>
      </c>
      <c r="AA1812" t="n">
        <v>978</v>
      </c>
      <c r="AB1812" t="n">
        <v>883</v>
      </c>
      <c r="AC1812" t="n">
        <v>898</v>
      </c>
      <c r="AD1812" t="n">
        <v>8</v>
      </c>
      <c r="AE1812" t="n">
        <v>8</v>
      </c>
      <c r="AF1812" t="n">
        <v>38</v>
      </c>
      <c r="AG1812" t="n">
        <v>38</v>
      </c>
      <c r="AH1812" t="n">
        <v>15</v>
      </c>
      <c r="AI1812" t="n">
        <v>15</v>
      </c>
      <c r="AJ1812" t="n">
        <v>7</v>
      </c>
      <c r="AK1812" t="n">
        <v>7</v>
      </c>
      <c r="AL1812" t="n">
        <v>17</v>
      </c>
      <c r="AM1812" t="n">
        <v>17</v>
      </c>
      <c r="AN1812" t="n">
        <v>6</v>
      </c>
      <c r="AO1812" t="n">
        <v>6</v>
      </c>
      <c r="AP1812" t="n">
        <v>0</v>
      </c>
      <c r="AQ1812" t="n">
        <v>0</v>
      </c>
      <c r="AR1812" t="inlineStr">
        <is>
          <t>No</t>
        </is>
      </c>
      <c r="AS1812" t="inlineStr">
        <is>
          <t>Yes</t>
        </is>
      </c>
      <c r="AT1812">
        <f>HYPERLINK("http://catalog.hathitrust.org/Record/001026491","HathiTrust Record")</f>
        <v/>
      </c>
      <c r="AU1812">
        <f>HYPERLINK("https://creighton-primo.hosted.exlibrisgroup.com/primo-explore/search?tab=default_tab&amp;search_scope=EVERYTHING&amp;vid=01CRU&amp;lang=en_US&amp;offset=0&amp;query=any,contains,991002437249702656","Catalog Record")</f>
        <v/>
      </c>
      <c r="AV1812">
        <f>HYPERLINK("http://www.worldcat.org/oclc/349153","WorldCat Record")</f>
        <v/>
      </c>
      <c r="AW1812" t="inlineStr">
        <is>
          <t>1507944:eng</t>
        </is>
      </c>
      <c r="AX1812" t="inlineStr">
        <is>
          <t>349153</t>
        </is>
      </c>
      <c r="AY1812" t="inlineStr">
        <is>
          <t>991002437249702656</t>
        </is>
      </c>
      <c r="AZ1812" t="inlineStr">
        <is>
          <t>991002437249702656</t>
        </is>
      </c>
      <c r="BA1812" t="inlineStr">
        <is>
          <t>2267446130002656</t>
        </is>
      </c>
      <c r="BB1812" t="inlineStr">
        <is>
          <t>BOOK</t>
        </is>
      </c>
      <c r="BE1812" t="inlineStr">
        <is>
          <t>32285003152138</t>
        </is>
      </c>
      <c r="BF1812" t="inlineStr">
        <is>
          <t>893697776</t>
        </is>
      </c>
    </row>
    <row r="1813">
      <c r="A1813" t="inlineStr">
        <is>
          <t>No</t>
        </is>
      </c>
      <c r="B1813" t="inlineStr">
        <is>
          <t>CURAL</t>
        </is>
      </c>
      <c r="C1813" t="inlineStr">
        <is>
          <t>SHELVES</t>
        </is>
      </c>
      <c r="D1813" t="inlineStr">
        <is>
          <t>PR4556 .E7</t>
        </is>
      </c>
      <c r="E1813" t="inlineStr">
        <is>
          <t>0                      PR 4556000E  7</t>
        </is>
      </c>
      <c r="F1813" t="inlineStr">
        <is>
          <t>Dickens and the critics of Bleak House, 1851-1965 : a study in depth.</t>
        </is>
      </c>
      <c r="H1813" t="inlineStr">
        <is>
          <t>No</t>
        </is>
      </c>
      <c r="I1813" t="inlineStr">
        <is>
          <t>1</t>
        </is>
      </c>
      <c r="J1813" t="inlineStr">
        <is>
          <t>No</t>
        </is>
      </c>
      <c r="K1813" t="inlineStr">
        <is>
          <t>No</t>
        </is>
      </c>
      <c r="L1813" t="inlineStr">
        <is>
          <t>0</t>
        </is>
      </c>
      <c r="M1813" t="inlineStr">
        <is>
          <t>Ericksen, Donald H.</t>
        </is>
      </c>
      <c r="O1813" t="inlineStr">
        <is>
          <t>1971</t>
        </is>
      </c>
      <c r="Q1813" t="inlineStr">
        <is>
          <t>eng</t>
        </is>
      </c>
      <c r="R1813" t="inlineStr">
        <is>
          <t>miu</t>
        </is>
      </c>
      <c r="T1813" t="inlineStr">
        <is>
          <t xml:space="preserve">PR </t>
        </is>
      </c>
      <c r="U1813" t="n">
        <v>3</v>
      </c>
      <c r="V1813" t="n">
        <v>3</v>
      </c>
      <c r="W1813" t="inlineStr">
        <is>
          <t>1999-08-28</t>
        </is>
      </c>
      <c r="X1813" t="inlineStr">
        <is>
          <t>1999-08-28</t>
        </is>
      </c>
      <c r="Y1813" t="inlineStr">
        <is>
          <t>1998-07-14</t>
        </is>
      </c>
      <c r="Z1813" t="inlineStr">
        <is>
          <t>1998-07-14</t>
        </is>
      </c>
      <c r="AA1813" t="n">
        <v>2</v>
      </c>
      <c r="AB1813" t="n">
        <v>2</v>
      </c>
      <c r="AC1813" t="n">
        <v>9</v>
      </c>
      <c r="AD1813" t="n">
        <v>1</v>
      </c>
      <c r="AE1813" t="n">
        <v>1</v>
      </c>
      <c r="AF1813" t="n">
        <v>0</v>
      </c>
      <c r="AG1813" t="n">
        <v>0</v>
      </c>
      <c r="AH1813" t="n">
        <v>0</v>
      </c>
      <c r="AI1813" t="n">
        <v>0</v>
      </c>
      <c r="AJ1813" t="n">
        <v>0</v>
      </c>
      <c r="AK1813" t="n">
        <v>0</v>
      </c>
      <c r="AL1813" t="n">
        <v>0</v>
      </c>
      <c r="AM1813" t="n">
        <v>0</v>
      </c>
      <c r="AN1813" t="n">
        <v>0</v>
      </c>
      <c r="AO1813" t="n">
        <v>0</v>
      </c>
      <c r="AP1813" t="n">
        <v>0</v>
      </c>
      <c r="AQ1813" t="n">
        <v>0</v>
      </c>
      <c r="AR1813" t="inlineStr">
        <is>
          <t>No</t>
        </is>
      </c>
      <c r="AS1813" t="inlineStr">
        <is>
          <t>No</t>
        </is>
      </c>
      <c r="AU1813">
        <f>HYPERLINK("https://creighton-primo.hosted.exlibrisgroup.com/primo-explore/search?tab=default_tab&amp;search_scope=EVERYTHING&amp;vid=01CRU&amp;lang=en_US&amp;offset=0&amp;query=any,contains,991001819449702656","Catalog Record")</f>
        <v/>
      </c>
      <c r="AV1813">
        <f>HYPERLINK("http://www.worldcat.org/oclc/22880601","WorldCat Record")</f>
        <v/>
      </c>
      <c r="AW1813" t="inlineStr">
        <is>
          <t>19530272:eng</t>
        </is>
      </c>
      <c r="AX1813" t="inlineStr">
        <is>
          <t>22880601</t>
        </is>
      </c>
      <c r="AY1813" t="inlineStr">
        <is>
          <t>991001819449702656</t>
        </is>
      </c>
      <c r="AZ1813" t="inlineStr">
        <is>
          <t>991001819449702656</t>
        </is>
      </c>
      <c r="BA1813" t="inlineStr">
        <is>
          <t>2271752070002656</t>
        </is>
      </c>
      <c r="BB1813" t="inlineStr">
        <is>
          <t>BOOK</t>
        </is>
      </c>
      <c r="BE1813" t="inlineStr">
        <is>
          <t>32285003431995</t>
        </is>
      </c>
      <c r="BF1813" t="inlineStr">
        <is>
          <t>893328400</t>
        </is>
      </c>
    </row>
    <row r="1814">
      <c r="A1814" t="inlineStr">
        <is>
          <t>No</t>
        </is>
      </c>
      <c r="B1814" t="inlineStr">
        <is>
          <t>CURAL</t>
        </is>
      </c>
      <c r="C1814" t="inlineStr">
        <is>
          <t>SHELVES</t>
        </is>
      </c>
      <c r="D1814" t="inlineStr">
        <is>
          <t>PR4556 .H39 1987</t>
        </is>
      </c>
      <c r="E1814" t="inlineStr">
        <is>
          <t>0                      PR 4556000H  39          1987</t>
        </is>
      </c>
      <c r="F1814" t="inlineStr">
        <is>
          <t>Bleak House / Jeremy Hawthorn.</t>
        </is>
      </c>
      <c r="H1814" t="inlineStr">
        <is>
          <t>No</t>
        </is>
      </c>
      <c r="I1814" t="inlineStr">
        <is>
          <t>1</t>
        </is>
      </c>
      <c r="J1814" t="inlineStr">
        <is>
          <t>No</t>
        </is>
      </c>
      <c r="K1814" t="inlineStr">
        <is>
          <t>No</t>
        </is>
      </c>
      <c r="L1814" t="inlineStr">
        <is>
          <t>0</t>
        </is>
      </c>
      <c r="M1814" t="inlineStr">
        <is>
          <t>Hawthorn, Jeremy.</t>
        </is>
      </c>
      <c r="N1814" t="inlineStr">
        <is>
          <t>Houndsmill : Macmillan, 1987.</t>
        </is>
      </c>
      <c r="O1814" t="inlineStr">
        <is>
          <t>1987</t>
        </is>
      </c>
      <c r="Q1814" t="inlineStr">
        <is>
          <t>eng</t>
        </is>
      </c>
      <c r="R1814" t="inlineStr">
        <is>
          <t>enk</t>
        </is>
      </c>
      <c r="S1814" t="inlineStr">
        <is>
          <t>The Critics debate</t>
        </is>
      </c>
      <c r="T1814" t="inlineStr">
        <is>
          <t xml:space="preserve">PR </t>
        </is>
      </c>
      <c r="U1814" t="n">
        <v>9</v>
      </c>
      <c r="V1814" t="n">
        <v>9</v>
      </c>
      <c r="W1814" t="inlineStr">
        <is>
          <t>2010-12-17</t>
        </is>
      </c>
      <c r="X1814" t="inlineStr">
        <is>
          <t>2010-12-17</t>
        </is>
      </c>
      <c r="Y1814" t="inlineStr">
        <is>
          <t>1991-11-06</t>
        </is>
      </c>
      <c r="Z1814" t="inlineStr">
        <is>
          <t>1991-11-06</t>
        </is>
      </c>
      <c r="AA1814" t="n">
        <v>183</v>
      </c>
      <c r="AB1814" t="n">
        <v>76</v>
      </c>
      <c r="AC1814" t="n">
        <v>414</v>
      </c>
      <c r="AD1814" t="n">
        <v>2</v>
      </c>
      <c r="AE1814" t="n">
        <v>5</v>
      </c>
      <c r="AF1814" t="n">
        <v>4</v>
      </c>
      <c r="AG1814" t="n">
        <v>23</v>
      </c>
      <c r="AH1814" t="n">
        <v>0</v>
      </c>
      <c r="AI1814" t="n">
        <v>10</v>
      </c>
      <c r="AJ1814" t="n">
        <v>1</v>
      </c>
      <c r="AK1814" t="n">
        <v>6</v>
      </c>
      <c r="AL1814" t="n">
        <v>3</v>
      </c>
      <c r="AM1814" t="n">
        <v>10</v>
      </c>
      <c r="AN1814" t="n">
        <v>1</v>
      </c>
      <c r="AO1814" t="n">
        <v>4</v>
      </c>
      <c r="AP1814" t="n">
        <v>0</v>
      </c>
      <c r="AQ1814" t="n">
        <v>0</v>
      </c>
      <c r="AR1814" t="inlineStr">
        <is>
          <t>No</t>
        </is>
      </c>
      <c r="AS1814" t="inlineStr">
        <is>
          <t>Yes</t>
        </is>
      </c>
      <c r="AT1814">
        <f>HYPERLINK("http://catalog.hathitrust.org/Record/000837058","HathiTrust Record")</f>
        <v/>
      </c>
      <c r="AU1814">
        <f>HYPERLINK("https://creighton-primo.hosted.exlibrisgroup.com/primo-explore/search?tab=default_tab&amp;search_scope=EVERYTHING&amp;vid=01CRU&amp;lang=en_US&amp;offset=0&amp;query=any,contains,991000998399702656","Catalog Record")</f>
        <v/>
      </c>
      <c r="AV1814">
        <f>HYPERLINK("http://www.worldcat.org/oclc/21079118","WorldCat Record")</f>
        <v/>
      </c>
      <c r="AW1814" t="inlineStr">
        <is>
          <t>4663506685:eng</t>
        </is>
      </c>
      <c r="AX1814" t="inlineStr">
        <is>
          <t>21079118</t>
        </is>
      </c>
      <c r="AY1814" t="inlineStr">
        <is>
          <t>991000998399702656</t>
        </is>
      </c>
      <c r="AZ1814" t="inlineStr">
        <is>
          <t>991000998399702656</t>
        </is>
      </c>
      <c r="BA1814" t="inlineStr">
        <is>
          <t>2261804370002656</t>
        </is>
      </c>
      <c r="BB1814" t="inlineStr">
        <is>
          <t>BOOK</t>
        </is>
      </c>
      <c r="BD1814" t="inlineStr">
        <is>
          <t>9780391034242</t>
        </is>
      </c>
      <c r="BE1814" t="inlineStr">
        <is>
          <t>32285000797547</t>
        </is>
      </c>
      <c r="BF1814" t="inlineStr">
        <is>
          <t>893413865</t>
        </is>
      </c>
    </row>
    <row r="1815">
      <c r="A1815" t="inlineStr">
        <is>
          <t>No</t>
        </is>
      </c>
      <c r="B1815" t="inlineStr">
        <is>
          <t>CURAL</t>
        </is>
      </c>
      <c r="C1815" t="inlineStr">
        <is>
          <t>SHELVES</t>
        </is>
      </c>
      <c r="D1815" t="inlineStr">
        <is>
          <t>PR4556 .K6</t>
        </is>
      </c>
      <c r="E1815" t="inlineStr">
        <is>
          <t>0                      PR 4556000K  6</t>
        </is>
      </c>
      <c r="F1815" t="inlineStr">
        <is>
          <t>Twentieth century interpretations of Bleak House : a collection of critical essays.</t>
        </is>
      </c>
      <c r="H1815" t="inlineStr">
        <is>
          <t>No</t>
        </is>
      </c>
      <c r="I1815" t="inlineStr">
        <is>
          <t>1</t>
        </is>
      </c>
      <c r="J1815" t="inlineStr">
        <is>
          <t>No</t>
        </is>
      </c>
      <c r="K1815" t="inlineStr">
        <is>
          <t>No</t>
        </is>
      </c>
      <c r="L1815" t="inlineStr">
        <is>
          <t>0</t>
        </is>
      </c>
      <c r="M1815" t="inlineStr">
        <is>
          <t>Korg, Jacob compiler.</t>
        </is>
      </c>
      <c r="N1815" t="inlineStr">
        <is>
          <t>Englewood Cliffs, N.J. : Prentice-Hall, [1968]</t>
        </is>
      </c>
      <c r="O1815" t="inlineStr">
        <is>
          <t>1968</t>
        </is>
      </c>
      <c r="Q1815" t="inlineStr">
        <is>
          <t>eng</t>
        </is>
      </c>
      <c r="R1815" t="inlineStr">
        <is>
          <t>nju</t>
        </is>
      </c>
      <c r="S1815" t="inlineStr">
        <is>
          <t>Twentieth century interpretations</t>
        </is>
      </c>
      <c r="T1815" t="inlineStr">
        <is>
          <t xml:space="preserve">PR </t>
        </is>
      </c>
      <c r="U1815" t="n">
        <v>4</v>
      </c>
      <c r="V1815" t="n">
        <v>4</v>
      </c>
      <c r="W1815" t="inlineStr">
        <is>
          <t>2003-10-30</t>
        </is>
      </c>
      <c r="X1815" t="inlineStr">
        <is>
          <t>2003-10-30</t>
        </is>
      </c>
      <c r="Y1815" t="inlineStr">
        <is>
          <t>1990-07-12</t>
        </is>
      </c>
      <c r="Z1815" t="inlineStr">
        <is>
          <t>1990-07-12</t>
        </is>
      </c>
      <c r="AA1815" t="n">
        <v>1510</v>
      </c>
      <c r="AB1815" t="n">
        <v>1352</v>
      </c>
      <c r="AC1815" t="n">
        <v>1378</v>
      </c>
      <c r="AD1815" t="n">
        <v>13</v>
      </c>
      <c r="AE1815" t="n">
        <v>13</v>
      </c>
      <c r="AF1815" t="n">
        <v>50</v>
      </c>
      <c r="AG1815" t="n">
        <v>51</v>
      </c>
      <c r="AH1815" t="n">
        <v>19</v>
      </c>
      <c r="AI1815" t="n">
        <v>20</v>
      </c>
      <c r="AJ1815" t="n">
        <v>9</v>
      </c>
      <c r="AK1815" t="n">
        <v>9</v>
      </c>
      <c r="AL1815" t="n">
        <v>22</v>
      </c>
      <c r="AM1815" t="n">
        <v>22</v>
      </c>
      <c r="AN1815" t="n">
        <v>11</v>
      </c>
      <c r="AO1815" t="n">
        <v>11</v>
      </c>
      <c r="AP1815" t="n">
        <v>0</v>
      </c>
      <c r="AQ1815" t="n">
        <v>0</v>
      </c>
      <c r="AR1815" t="inlineStr">
        <is>
          <t>No</t>
        </is>
      </c>
      <c r="AS1815" t="inlineStr">
        <is>
          <t>Yes</t>
        </is>
      </c>
      <c r="AT1815">
        <f>HYPERLINK("http://catalog.hathitrust.org/Record/000557123","HathiTrust Record")</f>
        <v/>
      </c>
      <c r="AU1815">
        <f>HYPERLINK("https://creighton-primo.hosted.exlibrisgroup.com/primo-explore/search?tab=default_tab&amp;search_scope=EVERYTHING&amp;vid=01CRU&amp;lang=en_US&amp;offset=0&amp;query=any,contains,991000090289702656","Catalog Record")</f>
        <v/>
      </c>
      <c r="AV1815">
        <f>HYPERLINK("http://www.worldcat.org/oclc/36051","WorldCat Record")</f>
        <v/>
      </c>
      <c r="AW1815" t="inlineStr">
        <is>
          <t>889352453:eng</t>
        </is>
      </c>
      <c r="AX1815" t="inlineStr">
        <is>
          <t>36051</t>
        </is>
      </c>
      <c r="AY1815" t="inlineStr">
        <is>
          <t>991000090289702656</t>
        </is>
      </c>
      <c r="AZ1815" t="inlineStr">
        <is>
          <t>991000090289702656</t>
        </is>
      </c>
      <c r="BA1815" t="inlineStr">
        <is>
          <t>2264924280002656</t>
        </is>
      </c>
      <c r="BB1815" t="inlineStr">
        <is>
          <t>BOOK</t>
        </is>
      </c>
      <c r="BE1815" t="inlineStr">
        <is>
          <t>32285000230234</t>
        </is>
      </c>
      <c r="BF1815" t="inlineStr">
        <is>
          <t>893790224</t>
        </is>
      </c>
    </row>
    <row r="1816">
      <c r="A1816" t="inlineStr">
        <is>
          <t>No</t>
        </is>
      </c>
      <c r="B1816" t="inlineStr">
        <is>
          <t>CURAL</t>
        </is>
      </c>
      <c r="C1816" t="inlineStr">
        <is>
          <t>SHELVES</t>
        </is>
      </c>
      <c r="D1816" t="inlineStr">
        <is>
          <t>PR4556 .N45</t>
        </is>
      </c>
      <c r="E1816" t="inlineStr">
        <is>
          <t>0                      PR 4556000N  45</t>
        </is>
      </c>
      <c r="F1816" t="inlineStr">
        <is>
          <t>Dickens on the romantic side of familiar things: Bleak House and the novel tradition / by Robert Newsom.</t>
        </is>
      </c>
      <c r="H1816" t="inlineStr">
        <is>
          <t>No</t>
        </is>
      </c>
      <c r="I1816" t="inlineStr">
        <is>
          <t>1</t>
        </is>
      </c>
      <c r="J1816" t="inlineStr">
        <is>
          <t>No</t>
        </is>
      </c>
      <c r="K1816" t="inlineStr">
        <is>
          <t>No</t>
        </is>
      </c>
      <c r="L1816" t="inlineStr">
        <is>
          <t>0</t>
        </is>
      </c>
      <c r="M1816" t="inlineStr">
        <is>
          <t>Newsom, Robert, 1944-</t>
        </is>
      </c>
      <c r="N1816" t="inlineStr">
        <is>
          <t>New York : Columbia University Press, 1977.</t>
        </is>
      </c>
      <c r="O1816" t="inlineStr">
        <is>
          <t>1977</t>
        </is>
      </c>
      <c r="Q1816" t="inlineStr">
        <is>
          <t>eng</t>
        </is>
      </c>
      <c r="R1816" t="inlineStr">
        <is>
          <t>nyu</t>
        </is>
      </c>
      <c r="T1816" t="inlineStr">
        <is>
          <t xml:space="preserve">PR </t>
        </is>
      </c>
      <c r="U1816" t="n">
        <v>2</v>
      </c>
      <c r="V1816" t="n">
        <v>2</v>
      </c>
      <c r="W1816" t="inlineStr">
        <is>
          <t>2010-12-17</t>
        </is>
      </c>
      <c r="X1816" t="inlineStr">
        <is>
          <t>2010-12-17</t>
        </is>
      </c>
      <c r="Y1816" t="inlineStr">
        <is>
          <t>1997-07-03</t>
        </is>
      </c>
      <c r="Z1816" t="inlineStr">
        <is>
          <t>1997-07-03</t>
        </is>
      </c>
      <c r="AA1816" t="n">
        <v>671</v>
      </c>
      <c r="AB1816" t="n">
        <v>526</v>
      </c>
      <c r="AC1816" t="n">
        <v>551</v>
      </c>
      <c r="AD1816" t="n">
        <v>5</v>
      </c>
      <c r="AE1816" t="n">
        <v>5</v>
      </c>
      <c r="AF1816" t="n">
        <v>27</v>
      </c>
      <c r="AG1816" t="n">
        <v>28</v>
      </c>
      <c r="AH1816" t="n">
        <v>8</v>
      </c>
      <c r="AI1816" t="n">
        <v>9</v>
      </c>
      <c r="AJ1816" t="n">
        <v>7</v>
      </c>
      <c r="AK1816" t="n">
        <v>7</v>
      </c>
      <c r="AL1816" t="n">
        <v>14</v>
      </c>
      <c r="AM1816" t="n">
        <v>15</v>
      </c>
      <c r="AN1816" t="n">
        <v>4</v>
      </c>
      <c r="AO1816" t="n">
        <v>4</v>
      </c>
      <c r="AP1816" t="n">
        <v>0</v>
      </c>
      <c r="AQ1816" t="n">
        <v>0</v>
      </c>
      <c r="AR1816" t="inlineStr">
        <is>
          <t>No</t>
        </is>
      </c>
      <c r="AS1816" t="inlineStr">
        <is>
          <t>No</t>
        </is>
      </c>
      <c r="AU1816">
        <f>HYPERLINK("https://creighton-primo.hosted.exlibrisgroup.com/primo-explore/search?tab=default_tab&amp;search_scope=EVERYTHING&amp;vid=01CRU&amp;lang=en_US&amp;offset=0&amp;query=any,contains,991004313379702656","Catalog Record")</f>
        <v/>
      </c>
      <c r="AV1816">
        <f>HYPERLINK("http://www.worldcat.org/oclc/3002205","WorldCat Record")</f>
        <v/>
      </c>
      <c r="AW1816" t="inlineStr">
        <is>
          <t>889254136:eng</t>
        </is>
      </c>
      <c r="AX1816" t="inlineStr">
        <is>
          <t>3002205</t>
        </is>
      </c>
      <c r="AY1816" t="inlineStr">
        <is>
          <t>991004313379702656</t>
        </is>
      </c>
      <c r="AZ1816" t="inlineStr">
        <is>
          <t>991004313379702656</t>
        </is>
      </c>
      <c r="BA1816" t="inlineStr">
        <is>
          <t>2272220700002656</t>
        </is>
      </c>
      <c r="BB1816" t="inlineStr">
        <is>
          <t>BOOK</t>
        </is>
      </c>
      <c r="BD1816" t="inlineStr">
        <is>
          <t>9780231042444</t>
        </is>
      </c>
      <c r="BE1816" t="inlineStr">
        <is>
          <t>32285002887791</t>
        </is>
      </c>
      <c r="BF1816" t="inlineStr">
        <is>
          <t>893442471</t>
        </is>
      </c>
    </row>
    <row r="1817">
      <c r="A1817" t="inlineStr">
        <is>
          <t>No</t>
        </is>
      </c>
      <c r="B1817" t="inlineStr">
        <is>
          <t>CURAL</t>
        </is>
      </c>
      <c r="C1817" t="inlineStr">
        <is>
          <t>SHELVES</t>
        </is>
      </c>
      <c r="D1817" t="inlineStr">
        <is>
          <t>PR4556 .S86 1987</t>
        </is>
      </c>
      <c r="E1817" t="inlineStr">
        <is>
          <t>0                      PR 4556000S  86          1987</t>
        </is>
      </c>
      <c r="F1817" t="inlineStr">
        <is>
          <t>Charles Dickens, Bleak House / Graham Storey.</t>
        </is>
      </c>
      <c r="H1817" t="inlineStr">
        <is>
          <t>No</t>
        </is>
      </c>
      <c r="I1817" t="inlineStr">
        <is>
          <t>1</t>
        </is>
      </c>
      <c r="J1817" t="inlineStr">
        <is>
          <t>No</t>
        </is>
      </c>
      <c r="K1817" t="inlineStr">
        <is>
          <t>No</t>
        </is>
      </c>
      <c r="L1817" t="inlineStr">
        <is>
          <t>0</t>
        </is>
      </c>
      <c r="M1817" t="inlineStr">
        <is>
          <t>Storey, Graham, 1920-2005.</t>
        </is>
      </c>
      <c r="N1817" t="inlineStr">
        <is>
          <t>Cambridge [Cambridgeshire] ; New York : Cambridge University Press, 1987.</t>
        </is>
      </c>
      <c r="O1817" t="inlineStr">
        <is>
          <t>1987</t>
        </is>
      </c>
      <c r="Q1817" t="inlineStr">
        <is>
          <t>eng</t>
        </is>
      </c>
      <c r="R1817" t="inlineStr">
        <is>
          <t>enk</t>
        </is>
      </c>
      <c r="S1817" t="inlineStr">
        <is>
          <t>Landmarks of world literature</t>
        </is>
      </c>
      <c r="T1817" t="inlineStr">
        <is>
          <t xml:space="preserve">PR </t>
        </is>
      </c>
      <c r="U1817" t="n">
        <v>3</v>
      </c>
      <c r="V1817" t="n">
        <v>3</v>
      </c>
      <c r="W1817" t="inlineStr">
        <is>
          <t>2010-12-17</t>
        </is>
      </c>
      <c r="X1817" t="inlineStr">
        <is>
          <t>2010-12-17</t>
        </is>
      </c>
      <c r="Y1817" t="inlineStr">
        <is>
          <t>2006-09-26</t>
        </is>
      </c>
      <c r="Z1817" t="inlineStr">
        <is>
          <t>2006-09-26</t>
        </is>
      </c>
      <c r="AA1817" t="n">
        <v>656</v>
      </c>
      <c r="AB1817" t="n">
        <v>480</v>
      </c>
      <c r="AC1817" t="n">
        <v>487</v>
      </c>
      <c r="AD1817" t="n">
        <v>4</v>
      </c>
      <c r="AE1817" t="n">
        <v>4</v>
      </c>
      <c r="AF1817" t="n">
        <v>27</v>
      </c>
      <c r="AG1817" t="n">
        <v>27</v>
      </c>
      <c r="AH1817" t="n">
        <v>9</v>
      </c>
      <c r="AI1817" t="n">
        <v>9</v>
      </c>
      <c r="AJ1817" t="n">
        <v>6</v>
      </c>
      <c r="AK1817" t="n">
        <v>6</v>
      </c>
      <c r="AL1817" t="n">
        <v>16</v>
      </c>
      <c r="AM1817" t="n">
        <v>16</v>
      </c>
      <c r="AN1817" t="n">
        <v>3</v>
      </c>
      <c r="AO1817" t="n">
        <v>3</v>
      </c>
      <c r="AP1817" t="n">
        <v>0</v>
      </c>
      <c r="AQ1817" t="n">
        <v>0</v>
      </c>
      <c r="AR1817" t="inlineStr">
        <is>
          <t>No</t>
        </is>
      </c>
      <c r="AS1817" t="inlineStr">
        <is>
          <t>No</t>
        </is>
      </c>
      <c r="AU1817">
        <f>HYPERLINK("https://creighton-primo.hosted.exlibrisgroup.com/primo-explore/search?tab=default_tab&amp;search_scope=EVERYTHING&amp;vid=01CRU&amp;lang=en_US&amp;offset=0&amp;query=any,contains,991004931059702656","Catalog Record")</f>
        <v/>
      </c>
      <c r="AV1817">
        <f>HYPERLINK("http://www.worldcat.org/oclc/13395589","WorldCat Record")</f>
        <v/>
      </c>
      <c r="AW1817" t="inlineStr">
        <is>
          <t>3855433785:eng</t>
        </is>
      </c>
      <c r="AX1817" t="inlineStr">
        <is>
          <t>13395589</t>
        </is>
      </c>
      <c r="AY1817" t="inlineStr">
        <is>
          <t>991004931059702656</t>
        </is>
      </c>
      <c r="AZ1817" t="inlineStr">
        <is>
          <t>991004931059702656</t>
        </is>
      </c>
      <c r="BA1817" t="inlineStr">
        <is>
          <t>2262084680002656</t>
        </is>
      </c>
      <c r="BB1817" t="inlineStr">
        <is>
          <t>BOOK</t>
        </is>
      </c>
      <c r="BD1817" t="inlineStr">
        <is>
          <t>9780521316910</t>
        </is>
      </c>
      <c r="BE1817" t="inlineStr">
        <is>
          <t>32285005225056</t>
        </is>
      </c>
      <c r="BF1817" t="inlineStr">
        <is>
          <t>893707013</t>
        </is>
      </c>
    </row>
    <row r="1818">
      <c r="A1818" t="inlineStr">
        <is>
          <t>No</t>
        </is>
      </c>
      <c r="B1818" t="inlineStr">
        <is>
          <t>CURAL</t>
        </is>
      </c>
      <c r="C1818" t="inlineStr">
        <is>
          <t>SHELVES</t>
        </is>
      </c>
      <c r="D1818" t="inlineStr">
        <is>
          <t>PR4560 .L4</t>
        </is>
      </c>
      <c r="E1818" t="inlineStr">
        <is>
          <t>0                      PR 4560000L  4</t>
        </is>
      </c>
      <c r="F1818" t="inlineStr">
        <is>
          <t>Assessing Great expectations : materials for analysis / selected and edited by Richard Lettis and William E. Morris.</t>
        </is>
      </c>
      <c r="H1818" t="inlineStr">
        <is>
          <t>No</t>
        </is>
      </c>
      <c r="I1818" t="inlineStr">
        <is>
          <t>1</t>
        </is>
      </c>
      <c r="J1818" t="inlineStr">
        <is>
          <t>No</t>
        </is>
      </c>
      <c r="K1818" t="inlineStr">
        <is>
          <t>No</t>
        </is>
      </c>
      <c r="L1818" t="inlineStr">
        <is>
          <t>0</t>
        </is>
      </c>
      <c r="M1818" t="inlineStr">
        <is>
          <t>Lettis, Richard, editor.</t>
        </is>
      </c>
      <c r="N1818" t="inlineStr">
        <is>
          <t>San Francisco : Chandler Pub. Co., [c1960]</t>
        </is>
      </c>
      <c r="O1818" t="inlineStr">
        <is>
          <t>1960</t>
        </is>
      </c>
      <c r="Q1818" t="inlineStr">
        <is>
          <t>eng</t>
        </is>
      </c>
      <c r="R1818" t="inlineStr">
        <is>
          <t>cau</t>
        </is>
      </c>
      <c r="T1818" t="inlineStr">
        <is>
          <t xml:space="preserve">PR </t>
        </is>
      </c>
      <c r="U1818" t="n">
        <v>3</v>
      </c>
      <c r="V1818" t="n">
        <v>3</v>
      </c>
      <c r="W1818" t="inlineStr">
        <is>
          <t>2000-05-03</t>
        </is>
      </c>
      <c r="X1818" t="inlineStr">
        <is>
          <t>2000-05-03</t>
        </is>
      </c>
      <c r="Y1818" t="inlineStr">
        <is>
          <t>1990-04-02</t>
        </is>
      </c>
      <c r="Z1818" t="inlineStr">
        <is>
          <t>1990-04-02</t>
        </is>
      </c>
      <c r="AA1818" t="n">
        <v>411</v>
      </c>
      <c r="AB1818" t="n">
        <v>358</v>
      </c>
      <c r="AC1818" t="n">
        <v>366</v>
      </c>
      <c r="AD1818" t="n">
        <v>5</v>
      </c>
      <c r="AE1818" t="n">
        <v>5</v>
      </c>
      <c r="AF1818" t="n">
        <v>22</v>
      </c>
      <c r="AG1818" t="n">
        <v>22</v>
      </c>
      <c r="AH1818" t="n">
        <v>10</v>
      </c>
      <c r="AI1818" t="n">
        <v>10</v>
      </c>
      <c r="AJ1818" t="n">
        <v>3</v>
      </c>
      <c r="AK1818" t="n">
        <v>3</v>
      </c>
      <c r="AL1818" t="n">
        <v>10</v>
      </c>
      <c r="AM1818" t="n">
        <v>10</v>
      </c>
      <c r="AN1818" t="n">
        <v>4</v>
      </c>
      <c r="AO1818" t="n">
        <v>4</v>
      </c>
      <c r="AP1818" t="n">
        <v>0</v>
      </c>
      <c r="AQ1818" t="n">
        <v>0</v>
      </c>
      <c r="AR1818" t="inlineStr">
        <is>
          <t>No</t>
        </is>
      </c>
      <c r="AS1818" t="inlineStr">
        <is>
          <t>No</t>
        </is>
      </c>
      <c r="AT1818">
        <f>HYPERLINK("http://catalog.hathitrust.org/Record/009913947","HathiTrust Record")</f>
        <v/>
      </c>
      <c r="AU1818">
        <f>HYPERLINK("https://creighton-primo.hosted.exlibrisgroup.com/primo-explore/search?tab=default_tab&amp;search_scope=EVERYTHING&amp;vid=01CRU&amp;lang=en_US&amp;offset=0&amp;query=any,contains,991002472529702656","Catalog Record")</f>
        <v/>
      </c>
      <c r="AV1818">
        <f>HYPERLINK("http://www.worldcat.org/oclc/358660","WorldCat Record")</f>
        <v/>
      </c>
      <c r="AW1818" t="inlineStr">
        <is>
          <t>896206515:eng</t>
        </is>
      </c>
      <c r="AX1818" t="inlineStr">
        <is>
          <t>358660</t>
        </is>
      </c>
      <c r="AY1818" t="inlineStr">
        <is>
          <t>991002472529702656</t>
        </is>
      </c>
      <c r="AZ1818" t="inlineStr">
        <is>
          <t>991002472529702656</t>
        </is>
      </c>
      <c r="BA1818" t="inlineStr">
        <is>
          <t>2265996840002656</t>
        </is>
      </c>
      <c r="BB1818" t="inlineStr">
        <is>
          <t>BOOK</t>
        </is>
      </c>
      <c r="BE1818" t="inlineStr">
        <is>
          <t>32285000100130</t>
        </is>
      </c>
      <c r="BF1818" t="inlineStr">
        <is>
          <t>893691652</t>
        </is>
      </c>
    </row>
    <row r="1819">
      <c r="A1819" t="inlineStr">
        <is>
          <t>No</t>
        </is>
      </c>
      <c r="B1819" t="inlineStr">
        <is>
          <t>CURAL</t>
        </is>
      </c>
      <c r="C1819" t="inlineStr">
        <is>
          <t>SHELVES</t>
        </is>
      </c>
      <c r="D1819" t="inlineStr">
        <is>
          <t>PR4560 .M37 1985</t>
        </is>
      </c>
      <c r="E1819" t="inlineStr">
        <is>
          <t>0                      PR 4560000M  37          1985</t>
        </is>
      </c>
      <c r="F1819" t="inlineStr">
        <is>
          <t>Great expectations / Graham Martin.</t>
        </is>
      </c>
      <c r="H1819" t="inlineStr">
        <is>
          <t>No</t>
        </is>
      </c>
      <c r="I1819" t="inlineStr">
        <is>
          <t>1</t>
        </is>
      </c>
      <c r="J1819" t="inlineStr">
        <is>
          <t>No</t>
        </is>
      </c>
      <c r="K1819" t="inlineStr">
        <is>
          <t>No</t>
        </is>
      </c>
      <c r="L1819" t="inlineStr">
        <is>
          <t>0</t>
        </is>
      </c>
      <c r="M1819" t="inlineStr">
        <is>
          <t>Martin, Graham, 1927-2004.</t>
        </is>
      </c>
      <c r="N1819" t="inlineStr">
        <is>
          <t>Milton Keynes ; Philadelphia : Open University Press, 1985.</t>
        </is>
      </c>
      <c r="O1819" t="inlineStr">
        <is>
          <t>1985</t>
        </is>
      </c>
      <c r="Q1819" t="inlineStr">
        <is>
          <t>eng</t>
        </is>
      </c>
      <c r="R1819" t="inlineStr">
        <is>
          <t>enk</t>
        </is>
      </c>
      <c r="S1819" t="inlineStr">
        <is>
          <t>Open guides to literature</t>
        </is>
      </c>
      <c r="T1819" t="inlineStr">
        <is>
          <t xml:space="preserve">PR </t>
        </is>
      </c>
      <c r="U1819" t="n">
        <v>5</v>
      </c>
      <c r="V1819" t="n">
        <v>5</v>
      </c>
      <c r="W1819" t="inlineStr">
        <is>
          <t>2000-05-03</t>
        </is>
      </c>
      <c r="X1819" t="inlineStr">
        <is>
          <t>2000-05-03</t>
        </is>
      </c>
      <c r="Y1819" t="inlineStr">
        <is>
          <t>1991-11-06</t>
        </is>
      </c>
      <c r="Z1819" t="inlineStr">
        <is>
          <t>1991-11-06</t>
        </is>
      </c>
      <c r="AA1819" t="n">
        <v>253</v>
      </c>
      <c r="AB1819" t="n">
        <v>119</v>
      </c>
      <c r="AC1819" t="n">
        <v>124</v>
      </c>
      <c r="AD1819" t="n">
        <v>2</v>
      </c>
      <c r="AE1819" t="n">
        <v>2</v>
      </c>
      <c r="AF1819" t="n">
        <v>6</v>
      </c>
      <c r="AG1819" t="n">
        <v>7</v>
      </c>
      <c r="AH1819" t="n">
        <v>3</v>
      </c>
      <c r="AI1819" t="n">
        <v>4</v>
      </c>
      <c r="AJ1819" t="n">
        <v>1</v>
      </c>
      <c r="AK1819" t="n">
        <v>2</v>
      </c>
      <c r="AL1819" t="n">
        <v>4</v>
      </c>
      <c r="AM1819" t="n">
        <v>4</v>
      </c>
      <c r="AN1819" t="n">
        <v>1</v>
      </c>
      <c r="AO1819" t="n">
        <v>1</v>
      </c>
      <c r="AP1819" t="n">
        <v>0</v>
      </c>
      <c r="AQ1819" t="n">
        <v>0</v>
      </c>
      <c r="AR1819" t="inlineStr">
        <is>
          <t>No</t>
        </is>
      </c>
      <c r="AS1819" t="inlineStr">
        <is>
          <t>Yes</t>
        </is>
      </c>
      <c r="AT1819">
        <f>HYPERLINK("http://catalog.hathitrust.org/Record/007104452","HathiTrust Record")</f>
        <v/>
      </c>
      <c r="AU1819">
        <f>HYPERLINK("https://creighton-primo.hosted.exlibrisgroup.com/primo-explore/search?tab=default_tab&amp;search_scope=EVERYTHING&amp;vid=01CRU&amp;lang=en_US&amp;offset=0&amp;query=any,contains,991000707829702656","Catalog Record")</f>
        <v/>
      </c>
      <c r="AV1819">
        <f>HYPERLINK("http://www.worldcat.org/oclc/12558447","WorldCat Record")</f>
        <v/>
      </c>
      <c r="AW1819" t="inlineStr">
        <is>
          <t>4947380:eng</t>
        </is>
      </c>
      <c r="AX1819" t="inlineStr">
        <is>
          <t>12558447</t>
        </is>
      </c>
      <c r="AY1819" t="inlineStr">
        <is>
          <t>991000707829702656</t>
        </is>
      </c>
      <c r="AZ1819" t="inlineStr">
        <is>
          <t>991000707829702656</t>
        </is>
      </c>
      <c r="BA1819" t="inlineStr">
        <is>
          <t>2257047520002656</t>
        </is>
      </c>
      <c r="BB1819" t="inlineStr">
        <is>
          <t>BOOK</t>
        </is>
      </c>
      <c r="BD1819" t="inlineStr">
        <is>
          <t>9780335150809</t>
        </is>
      </c>
      <c r="BE1819" t="inlineStr">
        <is>
          <t>32285000797570</t>
        </is>
      </c>
      <c r="BF1819" t="inlineStr">
        <is>
          <t>893683689</t>
        </is>
      </c>
    </row>
    <row r="1820">
      <c r="A1820" t="inlineStr">
        <is>
          <t>No</t>
        </is>
      </c>
      <c r="B1820" t="inlineStr">
        <is>
          <t>CURAL</t>
        </is>
      </c>
      <c r="C1820" t="inlineStr">
        <is>
          <t>SHELVES</t>
        </is>
      </c>
      <c r="D1820" t="inlineStr">
        <is>
          <t>PR4560 .S23 1988</t>
        </is>
      </c>
      <c r="E1820" t="inlineStr">
        <is>
          <t>0                      PR 4560000S  23          1988</t>
        </is>
      </c>
      <c r="F1820" t="inlineStr">
        <is>
          <t>Great expectations / Anny Sadrin.</t>
        </is>
      </c>
      <c r="H1820" t="inlineStr">
        <is>
          <t>No</t>
        </is>
      </c>
      <c r="I1820" t="inlineStr">
        <is>
          <t>1</t>
        </is>
      </c>
      <c r="J1820" t="inlineStr">
        <is>
          <t>No</t>
        </is>
      </c>
      <c r="K1820" t="inlineStr">
        <is>
          <t>No</t>
        </is>
      </c>
      <c r="L1820" t="inlineStr">
        <is>
          <t>0</t>
        </is>
      </c>
      <c r="M1820" t="inlineStr">
        <is>
          <t>Sadrin, Anny, 1935-</t>
        </is>
      </c>
      <c r="N1820" t="inlineStr">
        <is>
          <t>London ; Boston : Unwin Hyman, 1988.</t>
        </is>
      </c>
      <c r="O1820" t="inlineStr">
        <is>
          <t>1988</t>
        </is>
      </c>
      <c r="Q1820" t="inlineStr">
        <is>
          <t>eng</t>
        </is>
      </c>
      <c r="R1820" t="inlineStr">
        <is>
          <t>enk</t>
        </is>
      </c>
      <c r="S1820" t="inlineStr">
        <is>
          <t>Unwin critical library</t>
        </is>
      </c>
      <c r="T1820" t="inlineStr">
        <is>
          <t xml:space="preserve">PR </t>
        </is>
      </c>
      <c r="U1820" t="n">
        <v>2</v>
      </c>
      <c r="V1820" t="n">
        <v>2</v>
      </c>
      <c r="W1820" t="inlineStr">
        <is>
          <t>2008-05-28</t>
        </is>
      </c>
      <c r="X1820" t="inlineStr">
        <is>
          <t>2008-05-28</t>
        </is>
      </c>
      <c r="Y1820" t="inlineStr">
        <is>
          <t>1991-11-06</t>
        </is>
      </c>
      <c r="Z1820" t="inlineStr">
        <is>
          <t>1991-11-06</t>
        </is>
      </c>
      <c r="AA1820" t="n">
        <v>490</v>
      </c>
      <c r="AB1820" t="n">
        <v>376</v>
      </c>
      <c r="AC1820" t="n">
        <v>388</v>
      </c>
      <c r="AD1820" t="n">
        <v>1</v>
      </c>
      <c r="AE1820" t="n">
        <v>1</v>
      </c>
      <c r="AF1820" t="n">
        <v>18</v>
      </c>
      <c r="AG1820" t="n">
        <v>18</v>
      </c>
      <c r="AH1820" t="n">
        <v>6</v>
      </c>
      <c r="AI1820" t="n">
        <v>6</v>
      </c>
      <c r="AJ1820" t="n">
        <v>5</v>
      </c>
      <c r="AK1820" t="n">
        <v>5</v>
      </c>
      <c r="AL1820" t="n">
        <v>13</v>
      </c>
      <c r="AM1820" t="n">
        <v>13</v>
      </c>
      <c r="AN1820" t="n">
        <v>0</v>
      </c>
      <c r="AO1820" t="n">
        <v>0</v>
      </c>
      <c r="AP1820" t="n">
        <v>0</v>
      </c>
      <c r="AQ1820" t="n">
        <v>0</v>
      </c>
      <c r="AR1820" t="inlineStr">
        <is>
          <t>No</t>
        </is>
      </c>
      <c r="AS1820" t="inlineStr">
        <is>
          <t>No</t>
        </is>
      </c>
      <c r="AU1820">
        <f>HYPERLINK("https://creighton-primo.hosted.exlibrisgroup.com/primo-explore/search?tab=default_tab&amp;search_scope=EVERYTHING&amp;vid=01CRU&amp;lang=en_US&amp;offset=0&amp;query=any,contains,991001194459702656","Catalog Record")</f>
        <v/>
      </c>
      <c r="AV1820">
        <f>HYPERLINK("http://www.worldcat.org/oclc/17264879","WorldCat Record")</f>
        <v/>
      </c>
      <c r="AW1820" t="inlineStr">
        <is>
          <t>15630126:eng</t>
        </is>
      </c>
      <c r="AX1820" t="inlineStr">
        <is>
          <t>17264879</t>
        </is>
      </c>
      <c r="AY1820" t="inlineStr">
        <is>
          <t>991001194459702656</t>
        </is>
      </c>
      <c r="AZ1820" t="inlineStr">
        <is>
          <t>991001194459702656</t>
        </is>
      </c>
      <c r="BA1820" t="inlineStr">
        <is>
          <t>2261938100002656</t>
        </is>
      </c>
      <c r="BB1820" t="inlineStr">
        <is>
          <t>BOOK</t>
        </is>
      </c>
      <c r="BD1820" t="inlineStr">
        <is>
          <t>9780048000514</t>
        </is>
      </c>
      <c r="BE1820" t="inlineStr">
        <is>
          <t>32285000797588</t>
        </is>
      </c>
      <c r="BF1820" t="inlineStr">
        <is>
          <t>893608643</t>
        </is>
      </c>
    </row>
    <row r="1821">
      <c r="A1821" t="inlineStr">
        <is>
          <t>No</t>
        </is>
      </c>
      <c r="B1821" t="inlineStr">
        <is>
          <t>CURAL</t>
        </is>
      </c>
      <c r="C1821" t="inlineStr">
        <is>
          <t>SHELVES</t>
        </is>
      </c>
      <c r="D1821" t="inlineStr">
        <is>
          <t>PR4564 .J35 1986</t>
        </is>
      </c>
      <c r="E1821" t="inlineStr">
        <is>
          <t>0                      PR 4564000J  35          1986</t>
        </is>
      </c>
      <c r="F1821" t="inlineStr">
        <is>
          <t>The companion to The mystery of Edwin Drood / Wendy S. Jacobson.</t>
        </is>
      </c>
      <c r="H1821" t="inlineStr">
        <is>
          <t>No</t>
        </is>
      </c>
      <c r="I1821" t="inlineStr">
        <is>
          <t>1</t>
        </is>
      </c>
      <c r="J1821" t="inlineStr">
        <is>
          <t>No</t>
        </is>
      </c>
      <c r="K1821" t="inlineStr">
        <is>
          <t>No</t>
        </is>
      </c>
      <c r="L1821" t="inlineStr">
        <is>
          <t>0</t>
        </is>
      </c>
      <c r="M1821" t="inlineStr">
        <is>
          <t>Jacobson, Wendy S.</t>
        </is>
      </c>
      <c r="N1821" t="inlineStr">
        <is>
          <t>London ; Boston : Allen &amp; Unwin, 1986.</t>
        </is>
      </c>
      <c r="O1821" t="inlineStr">
        <is>
          <t>1986</t>
        </is>
      </c>
      <c r="Q1821" t="inlineStr">
        <is>
          <t>eng</t>
        </is>
      </c>
      <c r="R1821" t="inlineStr">
        <is>
          <t>enk</t>
        </is>
      </c>
      <c r="S1821" t="inlineStr">
        <is>
          <t>Dickens companions ; 2</t>
        </is>
      </c>
      <c r="T1821" t="inlineStr">
        <is>
          <t xml:space="preserve">PR </t>
        </is>
      </c>
      <c r="U1821" t="n">
        <v>2</v>
      </c>
      <c r="V1821" t="n">
        <v>2</v>
      </c>
      <c r="W1821" t="inlineStr">
        <is>
          <t>1995-02-07</t>
        </is>
      </c>
      <c r="X1821" t="inlineStr">
        <is>
          <t>1995-02-07</t>
        </is>
      </c>
      <c r="Y1821" t="inlineStr">
        <is>
          <t>1991-11-06</t>
        </is>
      </c>
      <c r="Z1821" t="inlineStr">
        <is>
          <t>1991-11-06</t>
        </is>
      </c>
      <c r="AA1821" t="n">
        <v>445</v>
      </c>
      <c r="AB1821" t="n">
        <v>330</v>
      </c>
      <c r="AC1821" t="n">
        <v>335</v>
      </c>
      <c r="AD1821" t="n">
        <v>2</v>
      </c>
      <c r="AE1821" t="n">
        <v>2</v>
      </c>
      <c r="AF1821" t="n">
        <v>22</v>
      </c>
      <c r="AG1821" t="n">
        <v>22</v>
      </c>
      <c r="AH1821" t="n">
        <v>9</v>
      </c>
      <c r="AI1821" t="n">
        <v>9</v>
      </c>
      <c r="AJ1821" t="n">
        <v>7</v>
      </c>
      <c r="AK1821" t="n">
        <v>7</v>
      </c>
      <c r="AL1821" t="n">
        <v>13</v>
      </c>
      <c r="AM1821" t="n">
        <v>13</v>
      </c>
      <c r="AN1821" t="n">
        <v>1</v>
      </c>
      <c r="AO1821" t="n">
        <v>1</v>
      </c>
      <c r="AP1821" t="n">
        <v>0</v>
      </c>
      <c r="AQ1821" t="n">
        <v>0</v>
      </c>
      <c r="AR1821" t="inlineStr">
        <is>
          <t>No</t>
        </is>
      </c>
      <c r="AS1821" t="inlineStr">
        <is>
          <t>No</t>
        </is>
      </c>
      <c r="AU1821">
        <f>HYPERLINK("https://creighton-primo.hosted.exlibrisgroup.com/primo-explore/search?tab=default_tab&amp;search_scope=EVERYTHING&amp;vid=01CRU&amp;lang=en_US&amp;offset=0&amp;query=any,contains,991000721979702656","Catalog Record")</f>
        <v/>
      </c>
      <c r="AV1821">
        <f>HYPERLINK("http://www.worldcat.org/oclc/12667399","WorldCat Record")</f>
        <v/>
      </c>
      <c r="AW1821" t="inlineStr">
        <is>
          <t>5436144:eng</t>
        </is>
      </c>
      <c r="AX1821" t="inlineStr">
        <is>
          <t>12667399</t>
        </is>
      </c>
      <c r="AY1821" t="inlineStr">
        <is>
          <t>991000721979702656</t>
        </is>
      </c>
      <c r="AZ1821" t="inlineStr">
        <is>
          <t>991000721979702656</t>
        </is>
      </c>
      <c r="BA1821" t="inlineStr">
        <is>
          <t>2262772060002656</t>
        </is>
      </c>
      <c r="BB1821" t="inlineStr">
        <is>
          <t>BOOK</t>
        </is>
      </c>
      <c r="BD1821" t="inlineStr">
        <is>
          <t>9780048000637</t>
        </is>
      </c>
      <c r="BE1821" t="inlineStr">
        <is>
          <t>32285000797620</t>
        </is>
      </c>
      <c r="BF1821" t="inlineStr">
        <is>
          <t>893419724</t>
        </is>
      </c>
    </row>
    <row r="1822">
      <c r="A1822" t="inlineStr">
        <is>
          <t>No</t>
        </is>
      </c>
      <c r="B1822" t="inlineStr">
        <is>
          <t>CURAL</t>
        </is>
      </c>
      <c r="C1822" t="inlineStr">
        <is>
          <t>SHELVES</t>
        </is>
      </c>
      <c r="D1822" t="inlineStr">
        <is>
          <t>PR4564 .W3 1970</t>
        </is>
      </c>
      <c r="E1822" t="inlineStr">
        <is>
          <t>0                      PR 4564000W  3           1970</t>
        </is>
      </c>
      <c r="F1822" t="inlineStr">
        <is>
          <t>Clues to Dickens's "Mystery of Edwin Drood."</t>
        </is>
      </c>
      <c r="H1822" t="inlineStr">
        <is>
          <t>No</t>
        </is>
      </c>
      <c r="I1822" t="inlineStr">
        <is>
          <t>1</t>
        </is>
      </c>
      <c r="J1822" t="inlineStr">
        <is>
          <t>No</t>
        </is>
      </c>
      <c r="K1822" t="inlineStr">
        <is>
          <t>No</t>
        </is>
      </c>
      <c r="L1822" t="inlineStr">
        <is>
          <t>0</t>
        </is>
      </c>
      <c r="M1822" t="inlineStr">
        <is>
          <t>Walters, John Cuming.</t>
        </is>
      </c>
      <c r="N1822" t="inlineStr">
        <is>
          <t>New York, Haskell House, 1970.</t>
        </is>
      </c>
      <c r="O1822" t="inlineStr">
        <is>
          <t>1970</t>
        </is>
      </c>
      <c r="Q1822" t="inlineStr">
        <is>
          <t>eng</t>
        </is>
      </c>
      <c r="R1822" t="inlineStr">
        <is>
          <t>nyu</t>
        </is>
      </c>
      <c r="T1822" t="inlineStr">
        <is>
          <t xml:space="preserve">PR </t>
        </is>
      </c>
      <c r="U1822" t="n">
        <v>1</v>
      </c>
      <c r="V1822" t="n">
        <v>1</v>
      </c>
      <c r="W1822" t="inlineStr">
        <is>
          <t>1995-02-07</t>
        </is>
      </c>
      <c r="X1822" t="inlineStr">
        <is>
          <t>1995-02-07</t>
        </is>
      </c>
      <c r="Y1822" t="inlineStr">
        <is>
          <t>1992-02-10</t>
        </is>
      </c>
      <c r="Z1822" t="inlineStr">
        <is>
          <t>1992-02-10</t>
        </is>
      </c>
      <c r="AA1822" t="n">
        <v>105</v>
      </c>
      <c r="AB1822" t="n">
        <v>95</v>
      </c>
      <c r="AC1822" t="n">
        <v>165</v>
      </c>
      <c r="AD1822" t="n">
        <v>2</v>
      </c>
      <c r="AE1822" t="n">
        <v>3</v>
      </c>
      <c r="AF1822" t="n">
        <v>2</v>
      </c>
      <c r="AG1822" t="n">
        <v>7</v>
      </c>
      <c r="AH1822" t="n">
        <v>0</v>
      </c>
      <c r="AI1822" t="n">
        <v>1</v>
      </c>
      <c r="AJ1822" t="n">
        <v>1</v>
      </c>
      <c r="AK1822" t="n">
        <v>3</v>
      </c>
      <c r="AL1822" t="n">
        <v>1</v>
      </c>
      <c r="AM1822" t="n">
        <v>2</v>
      </c>
      <c r="AN1822" t="n">
        <v>1</v>
      </c>
      <c r="AO1822" t="n">
        <v>2</v>
      </c>
      <c r="AP1822" t="n">
        <v>0</v>
      </c>
      <c r="AQ1822" t="n">
        <v>0</v>
      </c>
      <c r="AR1822" t="inlineStr">
        <is>
          <t>No</t>
        </is>
      </c>
      <c r="AS1822" t="inlineStr">
        <is>
          <t>No</t>
        </is>
      </c>
      <c r="AU1822">
        <f>HYPERLINK("https://creighton-primo.hosted.exlibrisgroup.com/primo-explore/search?tab=default_tab&amp;search_scope=EVERYTHING&amp;vid=01CRU&amp;lang=en_US&amp;offset=0&amp;query=any,contains,991000713239702656","Catalog Record")</f>
        <v/>
      </c>
      <c r="AV1822">
        <f>HYPERLINK("http://www.worldcat.org/oclc/125035","WorldCat Record")</f>
        <v/>
      </c>
      <c r="AW1822" t="inlineStr">
        <is>
          <t>1249561:eng</t>
        </is>
      </c>
      <c r="AX1822" t="inlineStr">
        <is>
          <t>125035</t>
        </is>
      </c>
      <c r="AY1822" t="inlineStr">
        <is>
          <t>991000713239702656</t>
        </is>
      </c>
      <c r="AZ1822" t="inlineStr">
        <is>
          <t>991000713239702656</t>
        </is>
      </c>
      <c r="BA1822" t="inlineStr">
        <is>
          <t>2260419420002656</t>
        </is>
      </c>
      <c r="BB1822" t="inlineStr">
        <is>
          <t>BOOK</t>
        </is>
      </c>
      <c r="BD1822" t="inlineStr">
        <is>
          <t>9780838311455</t>
        </is>
      </c>
      <c r="BE1822" t="inlineStr">
        <is>
          <t>32285000945799</t>
        </is>
      </c>
      <c r="BF1822" t="inlineStr">
        <is>
          <t>893865605</t>
        </is>
      </c>
    </row>
    <row r="1823">
      <c r="A1823" t="inlineStr">
        <is>
          <t>No</t>
        </is>
      </c>
      <c r="B1823" t="inlineStr">
        <is>
          <t>CURAL</t>
        </is>
      </c>
      <c r="C1823" t="inlineStr">
        <is>
          <t>SHELVES</t>
        </is>
      </c>
      <c r="D1823" t="inlineStr">
        <is>
          <t>PR457 .A2 1984</t>
        </is>
      </c>
      <c r="E1823" t="inlineStr">
        <is>
          <t>0                      PR 0457000A  2           1984</t>
        </is>
      </c>
      <c r="F1823" t="inlineStr">
        <is>
          <t>The correspondent breeze : essays on English romanticism / M.H. Abrams ; with a foreword by Jack Stillinger.</t>
        </is>
      </c>
      <c r="H1823" t="inlineStr">
        <is>
          <t>No</t>
        </is>
      </c>
      <c r="I1823" t="inlineStr">
        <is>
          <t>1</t>
        </is>
      </c>
      <c r="J1823" t="inlineStr">
        <is>
          <t>No</t>
        </is>
      </c>
      <c r="K1823" t="inlineStr">
        <is>
          <t>No</t>
        </is>
      </c>
      <c r="L1823" t="inlineStr">
        <is>
          <t>0</t>
        </is>
      </c>
      <c r="M1823" t="inlineStr">
        <is>
          <t>Abrams, M. H. (Meyer Howard), 1912-2015.</t>
        </is>
      </c>
      <c r="N1823" t="inlineStr">
        <is>
          <t>New York : Norton, c1984.</t>
        </is>
      </c>
      <c r="O1823" t="inlineStr">
        <is>
          <t>1984</t>
        </is>
      </c>
      <c r="P1823" t="inlineStr">
        <is>
          <t>1st ed.</t>
        </is>
      </c>
      <c r="Q1823" t="inlineStr">
        <is>
          <t>eng</t>
        </is>
      </c>
      <c r="R1823" t="inlineStr">
        <is>
          <t>nyu</t>
        </is>
      </c>
      <c r="T1823" t="inlineStr">
        <is>
          <t xml:space="preserve">PR </t>
        </is>
      </c>
      <c r="U1823" t="n">
        <v>3</v>
      </c>
      <c r="V1823" t="n">
        <v>3</v>
      </c>
      <c r="W1823" t="inlineStr">
        <is>
          <t>2005-08-22</t>
        </is>
      </c>
      <c r="X1823" t="inlineStr">
        <is>
          <t>2005-08-22</t>
        </is>
      </c>
      <c r="Y1823" t="inlineStr">
        <is>
          <t>1991-08-29</t>
        </is>
      </c>
      <c r="Z1823" t="inlineStr">
        <is>
          <t>1991-08-29</t>
        </is>
      </c>
      <c r="AA1823" t="n">
        <v>858</v>
      </c>
      <c r="AB1823" t="n">
        <v>683</v>
      </c>
      <c r="AC1823" t="n">
        <v>693</v>
      </c>
      <c r="AD1823" t="n">
        <v>5</v>
      </c>
      <c r="AE1823" t="n">
        <v>5</v>
      </c>
      <c r="AF1823" t="n">
        <v>36</v>
      </c>
      <c r="AG1823" t="n">
        <v>36</v>
      </c>
      <c r="AH1823" t="n">
        <v>18</v>
      </c>
      <c r="AI1823" t="n">
        <v>18</v>
      </c>
      <c r="AJ1823" t="n">
        <v>6</v>
      </c>
      <c r="AK1823" t="n">
        <v>6</v>
      </c>
      <c r="AL1823" t="n">
        <v>17</v>
      </c>
      <c r="AM1823" t="n">
        <v>17</v>
      </c>
      <c r="AN1823" t="n">
        <v>4</v>
      </c>
      <c r="AO1823" t="n">
        <v>4</v>
      </c>
      <c r="AP1823" t="n">
        <v>0</v>
      </c>
      <c r="AQ1823" t="n">
        <v>0</v>
      </c>
      <c r="AR1823" t="inlineStr">
        <is>
          <t>No</t>
        </is>
      </c>
      <c r="AS1823" t="inlineStr">
        <is>
          <t>No</t>
        </is>
      </c>
      <c r="AU1823">
        <f>HYPERLINK("https://creighton-primo.hosted.exlibrisgroup.com/primo-explore/search?tab=default_tab&amp;search_scope=EVERYTHING&amp;vid=01CRU&amp;lang=en_US&amp;offset=0&amp;query=any,contains,991000288199702656","Catalog Record")</f>
        <v/>
      </c>
      <c r="AV1823">
        <f>HYPERLINK("http://www.worldcat.org/oclc/9946301","WorldCat Record")</f>
        <v/>
      </c>
      <c r="AW1823" t="inlineStr">
        <is>
          <t>836630100:eng</t>
        </is>
      </c>
      <c r="AX1823" t="inlineStr">
        <is>
          <t>9946301</t>
        </is>
      </c>
      <c r="AY1823" t="inlineStr">
        <is>
          <t>991000288199702656</t>
        </is>
      </c>
      <c r="AZ1823" t="inlineStr">
        <is>
          <t>991000288199702656</t>
        </is>
      </c>
      <c r="BA1823" t="inlineStr">
        <is>
          <t>2261637270002656</t>
        </is>
      </c>
      <c r="BB1823" t="inlineStr">
        <is>
          <t>BOOK</t>
        </is>
      </c>
      <c r="BE1823" t="inlineStr">
        <is>
          <t>32285000732015</t>
        </is>
      </c>
      <c r="BF1823" t="inlineStr">
        <is>
          <t>893261421</t>
        </is>
      </c>
    </row>
    <row r="1824">
      <c r="A1824" t="inlineStr">
        <is>
          <t>No</t>
        </is>
      </c>
      <c r="B1824" t="inlineStr">
        <is>
          <t>CURAL</t>
        </is>
      </c>
      <c r="C1824" t="inlineStr">
        <is>
          <t>SHELVES</t>
        </is>
      </c>
      <c r="D1824" t="inlineStr">
        <is>
          <t>PR457 .B28 1986</t>
        </is>
      </c>
      <c r="E1824" t="inlineStr">
        <is>
          <t>0                      PR 0457000B  28          1986</t>
        </is>
      </c>
      <c r="F1824" t="inlineStr">
        <is>
          <t>Shakespeare and the English romantic imagination / Jonathan Bate.</t>
        </is>
      </c>
      <c r="H1824" t="inlineStr">
        <is>
          <t>No</t>
        </is>
      </c>
      <c r="I1824" t="inlineStr">
        <is>
          <t>1</t>
        </is>
      </c>
      <c r="J1824" t="inlineStr">
        <is>
          <t>No</t>
        </is>
      </c>
      <c r="K1824" t="inlineStr">
        <is>
          <t>No</t>
        </is>
      </c>
      <c r="L1824" t="inlineStr">
        <is>
          <t>0</t>
        </is>
      </c>
      <c r="M1824" t="inlineStr">
        <is>
          <t>Bate, Jonathan.</t>
        </is>
      </c>
      <c r="N1824" t="inlineStr">
        <is>
          <t>Oxford : Clarendon Press ; New York : Oxford University Press, 1986.</t>
        </is>
      </c>
      <c r="O1824" t="inlineStr">
        <is>
          <t>1986</t>
        </is>
      </c>
      <c r="Q1824" t="inlineStr">
        <is>
          <t>eng</t>
        </is>
      </c>
      <c r="R1824" t="inlineStr">
        <is>
          <t>enk</t>
        </is>
      </c>
      <c r="T1824" t="inlineStr">
        <is>
          <t xml:space="preserve">PR </t>
        </is>
      </c>
      <c r="U1824" t="n">
        <v>1</v>
      </c>
      <c r="V1824" t="n">
        <v>1</v>
      </c>
      <c r="W1824" t="inlineStr">
        <is>
          <t>1995-10-01</t>
        </is>
      </c>
      <c r="X1824" t="inlineStr">
        <is>
          <t>1995-10-01</t>
        </is>
      </c>
      <c r="Y1824" t="inlineStr">
        <is>
          <t>1991-08-29</t>
        </is>
      </c>
      <c r="Z1824" t="inlineStr">
        <is>
          <t>1991-08-29</t>
        </is>
      </c>
      <c r="AA1824" t="n">
        <v>664</v>
      </c>
      <c r="AB1824" t="n">
        <v>503</v>
      </c>
      <c r="AC1824" t="n">
        <v>589</v>
      </c>
      <c r="AD1824" t="n">
        <v>3</v>
      </c>
      <c r="AE1824" t="n">
        <v>3</v>
      </c>
      <c r="AF1824" t="n">
        <v>27</v>
      </c>
      <c r="AG1824" t="n">
        <v>31</v>
      </c>
      <c r="AH1824" t="n">
        <v>13</v>
      </c>
      <c r="AI1824" t="n">
        <v>13</v>
      </c>
      <c r="AJ1824" t="n">
        <v>6</v>
      </c>
      <c r="AK1824" t="n">
        <v>7</v>
      </c>
      <c r="AL1824" t="n">
        <v>15</v>
      </c>
      <c r="AM1824" t="n">
        <v>18</v>
      </c>
      <c r="AN1824" t="n">
        <v>2</v>
      </c>
      <c r="AO1824" t="n">
        <v>2</v>
      </c>
      <c r="AP1824" t="n">
        <v>0</v>
      </c>
      <c r="AQ1824" t="n">
        <v>0</v>
      </c>
      <c r="AR1824" t="inlineStr">
        <is>
          <t>No</t>
        </is>
      </c>
      <c r="AS1824" t="inlineStr">
        <is>
          <t>Yes</t>
        </is>
      </c>
      <c r="AT1824">
        <f>HYPERLINK("http://catalog.hathitrust.org/Record/000589222","HathiTrust Record")</f>
        <v/>
      </c>
      <c r="AU1824">
        <f>HYPERLINK("https://creighton-primo.hosted.exlibrisgroup.com/primo-explore/search?tab=default_tab&amp;search_scope=EVERYTHING&amp;vid=01CRU&amp;lang=en_US&amp;offset=0&amp;query=any,contains,991000778519702656","Catalog Record")</f>
        <v/>
      </c>
      <c r="AV1824">
        <f>HYPERLINK("http://www.worldcat.org/oclc/13093418","WorldCat Record")</f>
        <v/>
      </c>
      <c r="AW1824" t="inlineStr">
        <is>
          <t>5832894:eng</t>
        </is>
      </c>
      <c r="AX1824" t="inlineStr">
        <is>
          <t>13093418</t>
        </is>
      </c>
      <c r="AY1824" t="inlineStr">
        <is>
          <t>991000778519702656</t>
        </is>
      </c>
      <c r="AZ1824" t="inlineStr">
        <is>
          <t>991000778519702656</t>
        </is>
      </c>
      <c r="BA1824" t="inlineStr">
        <is>
          <t>2269605350002656</t>
        </is>
      </c>
      <c r="BB1824" t="inlineStr">
        <is>
          <t>BOOK</t>
        </is>
      </c>
      <c r="BD1824" t="inlineStr">
        <is>
          <t>9780198128489</t>
        </is>
      </c>
      <c r="BE1824" t="inlineStr">
        <is>
          <t>32285000732023</t>
        </is>
      </c>
      <c r="BF1824" t="inlineStr">
        <is>
          <t>893865673</t>
        </is>
      </c>
    </row>
    <row r="1825">
      <c r="A1825" t="inlineStr">
        <is>
          <t>No</t>
        </is>
      </c>
      <c r="B1825" t="inlineStr">
        <is>
          <t>CURAL</t>
        </is>
      </c>
      <c r="C1825" t="inlineStr">
        <is>
          <t>SHELVES</t>
        </is>
      </c>
      <c r="D1825" t="inlineStr">
        <is>
          <t>PR457 .C6 1979</t>
        </is>
      </c>
      <c r="E1825" t="inlineStr">
        <is>
          <t>0                      PR 0457000C  6           1979</t>
        </is>
      </c>
      <c r="F1825" t="inlineStr">
        <is>
          <t>Acts of inclusion : studies bearing on an elementary theory of romanticism / Michael G. Cooke.</t>
        </is>
      </c>
      <c r="H1825" t="inlineStr">
        <is>
          <t>No</t>
        </is>
      </c>
      <c r="I1825" t="inlineStr">
        <is>
          <t>1</t>
        </is>
      </c>
      <c r="J1825" t="inlineStr">
        <is>
          <t>No</t>
        </is>
      </c>
      <c r="K1825" t="inlineStr">
        <is>
          <t>No</t>
        </is>
      </c>
      <c r="L1825" t="inlineStr">
        <is>
          <t>0</t>
        </is>
      </c>
      <c r="M1825" t="inlineStr">
        <is>
          <t>Cooke, Michael G.</t>
        </is>
      </c>
      <c r="N1825" t="inlineStr">
        <is>
          <t>New Haven : Yale University Press, 1979.</t>
        </is>
      </c>
      <c r="O1825" t="inlineStr">
        <is>
          <t>1979</t>
        </is>
      </c>
      <c r="Q1825" t="inlineStr">
        <is>
          <t>eng</t>
        </is>
      </c>
      <c r="R1825" t="inlineStr">
        <is>
          <t>ctu</t>
        </is>
      </c>
      <c r="T1825" t="inlineStr">
        <is>
          <t xml:space="preserve">PR </t>
        </is>
      </c>
      <c r="U1825" t="n">
        <v>1</v>
      </c>
      <c r="V1825" t="n">
        <v>1</v>
      </c>
      <c r="W1825" t="inlineStr">
        <is>
          <t>2001-07-12</t>
        </is>
      </c>
      <c r="X1825" t="inlineStr">
        <is>
          <t>2001-07-12</t>
        </is>
      </c>
      <c r="Y1825" t="inlineStr">
        <is>
          <t>2001-07-11</t>
        </is>
      </c>
      <c r="Z1825" t="inlineStr">
        <is>
          <t>2001-07-11</t>
        </is>
      </c>
      <c r="AA1825" t="n">
        <v>640</v>
      </c>
      <c r="AB1825" t="n">
        <v>503</v>
      </c>
      <c r="AC1825" t="n">
        <v>504</v>
      </c>
      <c r="AD1825" t="n">
        <v>3</v>
      </c>
      <c r="AE1825" t="n">
        <v>3</v>
      </c>
      <c r="AF1825" t="n">
        <v>25</v>
      </c>
      <c r="AG1825" t="n">
        <v>25</v>
      </c>
      <c r="AH1825" t="n">
        <v>10</v>
      </c>
      <c r="AI1825" t="n">
        <v>10</v>
      </c>
      <c r="AJ1825" t="n">
        <v>5</v>
      </c>
      <c r="AK1825" t="n">
        <v>5</v>
      </c>
      <c r="AL1825" t="n">
        <v>11</v>
      </c>
      <c r="AM1825" t="n">
        <v>11</v>
      </c>
      <c r="AN1825" t="n">
        <v>2</v>
      </c>
      <c r="AO1825" t="n">
        <v>2</v>
      </c>
      <c r="AP1825" t="n">
        <v>0</v>
      </c>
      <c r="AQ1825" t="n">
        <v>0</v>
      </c>
      <c r="AR1825" t="inlineStr">
        <is>
          <t>No</t>
        </is>
      </c>
      <c r="AS1825" t="inlineStr">
        <is>
          <t>No</t>
        </is>
      </c>
      <c r="AU1825">
        <f>HYPERLINK("https://creighton-primo.hosted.exlibrisgroup.com/primo-explore/search?tab=default_tab&amp;search_scope=EVERYTHING&amp;vid=01CRU&amp;lang=en_US&amp;offset=0&amp;query=any,contains,991003565669702656","Catalog Record")</f>
        <v/>
      </c>
      <c r="AV1825">
        <f>HYPERLINK("http://www.worldcat.org/oclc/4497202","WorldCat Record")</f>
        <v/>
      </c>
      <c r="AW1825" t="inlineStr">
        <is>
          <t>866850659:eng</t>
        </is>
      </c>
      <c r="AX1825" t="inlineStr">
        <is>
          <t>4497202</t>
        </is>
      </c>
      <c r="AY1825" t="inlineStr">
        <is>
          <t>991003565669702656</t>
        </is>
      </c>
      <c r="AZ1825" t="inlineStr">
        <is>
          <t>991003565669702656</t>
        </is>
      </c>
      <c r="BA1825" t="inlineStr">
        <is>
          <t>2266956780002656</t>
        </is>
      </c>
      <c r="BB1825" t="inlineStr">
        <is>
          <t>BOOK</t>
        </is>
      </c>
      <c r="BD1825" t="inlineStr">
        <is>
          <t>9780300023039</t>
        </is>
      </c>
      <c r="BE1825" t="inlineStr">
        <is>
          <t>32285004331608</t>
        </is>
      </c>
      <c r="BF1825" t="inlineStr">
        <is>
          <t>893611173</t>
        </is>
      </c>
    </row>
    <row r="1826">
      <c r="A1826" t="inlineStr">
        <is>
          <t>No</t>
        </is>
      </c>
      <c r="B1826" t="inlineStr">
        <is>
          <t>CURAL</t>
        </is>
      </c>
      <c r="C1826" t="inlineStr">
        <is>
          <t>SHELVES</t>
        </is>
      </c>
      <c r="D1826" t="inlineStr">
        <is>
          <t>PR457 .F3</t>
        </is>
      </c>
      <c r="E1826" t="inlineStr">
        <is>
          <t>0                      PR 0457000F  3</t>
        </is>
      </c>
      <c r="F1826" t="inlineStr">
        <is>
          <t>The romantic quest / by Hoxie Neale Fairchild.</t>
        </is>
      </c>
      <c r="H1826" t="inlineStr">
        <is>
          <t>No</t>
        </is>
      </c>
      <c r="I1826" t="inlineStr">
        <is>
          <t>1</t>
        </is>
      </c>
      <c r="J1826" t="inlineStr">
        <is>
          <t>No</t>
        </is>
      </c>
      <c r="K1826" t="inlineStr">
        <is>
          <t>No</t>
        </is>
      </c>
      <c r="L1826" t="inlineStr">
        <is>
          <t>0</t>
        </is>
      </c>
      <c r="M1826" t="inlineStr">
        <is>
          <t>Fairchild, Hoxie Neale, 1894-1973.</t>
        </is>
      </c>
      <c r="N1826" t="inlineStr">
        <is>
          <t>Philadelphia : Albert Saifer ; New York : Columbia University Press, [1931]</t>
        </is>
      </c>
      <c r="O1826" t="inlineStr">
        <is>
          <t>1931</t>
        </is>
      </c>
      <c r="Q1826" t="inlineStr">
        <is>
          <t>eng</t>
        </is>
      </c>
      <c r="R1826" t="inlineStr">
        <is>
          <t>pau</t>
        </is>
      </c>
      <c r="T1826" t="inlineStr">
        <is>
          <t xml:space="preserve">PR </t>
        </is>
      </c>
      <c r="U1826" t="n">
        <v>3</v>
      </c>
      <c r="V1826" t="n">
        <v>3</v>
      </c>
      <c r="W1826" t="inlineStr">
        <is>
          <t>1997-09-24</t>
        </is>
      </c>
      <c r="X1826" t="inlineStr">
        <is>
          <t>1997-09-24</t>
        </is>
      </c>
      <c r="Y1826" t="inlineStr">
        <is>
          <t>1993-02-23</t>
        </is>
      </c>
      <c r="Z1826" t="inlineStr">
        <is>
          <t>1993-02-23</t>
        </is>
      </c>
      <c r="AA1826" t="n">
        <v>148</v>
      </c>
      <c r="AB1826" t="n">
        <v>136</v>
      </c>
      <c r="AC1826" t="n">
        <v>810</v>
      </c>
      <c r="AD1826" t="n">
        <v>2</v>
      </c>
      <c r="AE1826" t="n">
        <v>7</v>
      </c>
      <c r="AF1826" t="n">
        <v>15</v>
      </c>
      <c r="AG1826" t="n">
        <v>48</v>
      </c>
      <c r="AH1826" t="n">
        <v>8</v>
      </c>
      <c r="AI1826" t="n">
        <v>21</v>
      </c>
      <c r="AJ1826" t="n">
        <v>2</v>
      </c>
      <c r="AK1826" t="n">
        <v>11</v>
      </c>
      <c r="AL1826" t="n">
        <v>8</v>
      </c>
      <c r="AM1826" t="n">
        <v>22</v>
      </c>
      <c r="AN1826" t="n">
        <v>1</v>
      </c>
      <c r="AO1826" t="n">
        <v>6</v>
      </c>
      <c r="AP1826" t="n">
        <v>0</v>
      </c>
      <c r="AQ1826" t="n">
        <v>0</v>
      </c>
      <c r="AR1826" t="inlineStr">
        <is>
          <t>No</t>
        </is>
      </c>
      <c r="AS1826" t="inlineStr">
        <is>
          <t>No</t>
        </is>
      </c>
      <c r="AT1826">
        <f>HYPERLINK("http://catalog.hathitrust.org/Record/001907281","HathiTrust Record")</f>
        <v/>
      </c>
      <c r="AU1826">
        <f>HYPERLINK("https://creighton-primo.hosted.exlibrisgroup.com/primo-explore/search?tab=default_tab&amp;search_scope=EVERYTHING&amp;vid=01CRU&amp;lang=en_US&amp;offset=0&amp;query=any,contains,991004187749702656","Catalog Record")</f>
        <v/>
      </c>
      <c r="AV1826">
        <f>HYPERLINK("http://www.worldcat.org/oclc/2620030","WorldCat Record")</f>
        <v/>
      </c>
      <c r="AW1826" t="inlineStr">
        <is>
          <t>1510600:eng</t>
        </is>
      </c>
      <c r="AX1826" t="inlineStr">
        <is>
          <t>2620030</t>
        </is>
      </c>
      <c r="AY1826" t="inlineStr">
        <is>
          <t>991004187749702656</t>
        </is>
      </c>
      <c r="AZ1826" t="inlineStr">
        <is>
          <t>991004187749702656</t>
        </is>
      </c>
      <c r="BA1826" t="inlineStr">
        <is>
          <t>2269300900002656</t>
        </is>
      </c>
      <c r="BB1826" t="inlineStr">
        <is>
          <t>BOOK</t>
        </is>
      </c>
      <c r="BE1826" t="inlineStr">
        <is>
          <t>32285001504884</t>
        </is>
      </c>
      <c r="BF1826" t="inlineStr">
        <is>
          <t>893349716</t>
        </is>
      </c>
    </row>
    <row r="1827">
      <c r="A1827" t="inlineStr">
        <is>
          <t>No</t>
        </is>
      </c>
      <c r="B1827" t="inlineStr">
        <is>
          <t>CURAL</t>
        </is>
      </c>
      <c r="C1827" t="inlineStr">
        <is>
          <t>SHELVES</t>
        </is>
      </c>
      <c r="D1827" t="inlineStr">
        <is>
          <t>PR457 .F6 1970</t>
        </is>
      </c>
      <c r="E1827" t="inlineStr">
        <is>
          <t>0                      PR 0457000F  6           1970</t>
        </is>
      </c>
      <c r="F1827" t="inlineStr">
        <is>
          <t>Romantic criticism, 1800-1850 / edited by R. A. Foakes.</t>
        </is>
      </c>
      <c r="H1827" t="inlineStr">
        <is>
          <t>No</t>
        </is>
      </c>
      <c r="I1827" t="inlineStr">
        <is>
          <t>1</t>
        </is>
      </c>
      <c r="J1827" t="inlineStr">
        <is>
          <t>No</t>
        </is>
      </c>
      <c r="K1827" t="inlineStr">
        <is>
          <t>No</t>
        </is>
      </c>
      <c r="L1827" t="inlineStr">
        <is>
          <t>0</t>
        </is>
      </c>
      <c r="M1827" t="inlineStr">
        <is>
          <t>Foakes, R. A. compiler.</t>
        </is>
      </c>
      <c r="N1827" t="inlineStr">
        <is>
          <t>Columbia : University of South Carolina Press, [1970, c1968]</t>
        </is>
      </c>
      <c r="O1827" t="inlineStr">
        <is>
          <t>1970</t>
        </is>
      </c>
      <c r="Q1827" t="inlineStr">
        <is>
          <t>eng</t>
        </is>
      </c>
      <c r="R1827" t="inlineStr">
        <is>
          <t>scu</t>
        </is>
      </c>
      <c r="S1827" t="inlineStr">
        <is>
          <t>The English library</t>
        </is>
      </c>
      <c r="T1827" t="inlineStr">
        <is>
          <t xml:space="preserve">PR </t>
        </is>
      </c>
      <c r="U1827" t="n">
        <v>5</v>
      </c>
      <c r="V1827" t="n">
        <v>5</v>
      </c>
      <c r="W1827" t="inlineStr">
        <is>
          <t>2003-03-01</t>
        </is>
      </c>
      <c r="X1827" t="inlineStr">
        <is>
          <t>2003-03-01</t>
        </is>
      </c>
      <c r="Y1827" t="inlineStr">
        <is>
          <t>1991-08-29</t>
        </is>
      </c>
      <c r="Z1827" t="inlineStr">
        <is>
          <t>1991-08-29</t>
        </is>
      </c>
      <c r="AA1827" t="n">
        <v>172</v>
      </c>
      <c r="AB1827" t="n">
        <v>164</v>
      </c>
      <c r="AC1827" t="n">
        <v>288</v>
      </c>
      <c r="AD1827" t="n">
        <v>2</v>
      </c>
      <c r="AE1827" t="n">
        <v>4</v>
      </c>
      <c r="AF1827" t="n">
        <v>8</v>
      </c>
      <c r="AG1827" t="n">
        <v>18</v>
      </c>
      <c r="AH1827" t="n">
        <v>5</v>
      </c>
      <c r="AI1827" t="n">
        <v>7</v>
      </c>
      <c r="AJ1827" t="n">
        <v>1</v>
      </c>
      <c r="AK1827" t="n">
        <v>3</v>
      </c>
      <c r="AL1827" t="n">
        <v>3</v>
      </c>
      <c r="AM1827" t="n">
        <v>9</v>
      </c>
      <c r="AN1827" t="n">
        <v>1</v>
      </c>
      <c r="AO1827" t="n">
        <v>3</v>
      </c>
      <c r="AP1827" t="n">
        <v>0</v>
      </c>
      <c r="AQ1827" t="n">
        <v>0</v>
      </c>
      <c r="AR1827" t="inlineStr">
        <is>
          <t>No</t>
        </is>
      </c>
      <c r="AS1827" t="inlineStr">
        <is>
          <t>No</t>
        </is>
      </c>
      <c r="AU1827">
        <f>HYPERLINK("https://creighton-primo.hosted.exlibrisgroup.com/primo-explore/search?tab=default_tab&amp;search_scope=EVERYTHING&amp;vid=01CRU&amp;lang=en_US&amp;offset=0&amp;query=any,contains,991002802379702656","Catalog Record")</f>
        <v/>
      </c>
      <c r="AV1827">
        <f>HYPERLINK("http://www.worldcat.org/oclc/448069","WorldCat Record")</f>
        <v/>
      </c>
      <c r="AW1827" t="inlineStr">
        <is>
          <t>347093421:eng</t>
        </is>
      </c>
      <c r="AX1827" t="inlineStr">
        <is>
          <t>448069</t>
        </is>
      </c>
      <c r="AY1827" t="inlineStr">
        <is>
          <t>991002802379702656</t>
        </is>
      </c>
      <c r="AZ1827" t="inlineStr">
        <is>
          <t>991002802379702656</t>
        </is>
      </c>
      <c r="BA1827" t="inlineStr">
        <is>
          <t>2266482880002656</t>
        </is>
      </c>
      <c r="BB1827" t="inlineStr">
        <is>
          <t>BOOK</t>
        </is>
      </c>
      <c r="BD1827" t="inlineStr">
        <is>
          <t>9780872491656</t>
        </is>
      </c>
      <c r="BE1827" t="inlineStr">
        <is>
          <t>32285000732056</t>
        </is>
      </c>
      <c r="BF1827" t="inlineStr">
        <is>
          <t>893440546</t>
        </is>
      </c>
    </row>
    <row r="1828">
      <c r="A1828" t="inlineStr">
        <is>
          <t>No</t>
        </is>
      </c>
      <c r="B1828" t="inlineStr">
        <is>
          <t>CURAL</t>
        </is>
      </c>
      <c r="C1828" t="inlineStr">
        <is>
          <t>SHELVES</t>
        </is>
      </c>
      <c r="D1828" t="inlineStr">
        <is>
          <t>PR457 .H47 1996</t>
        </is>
      </c>
      <c r="E1828" t="inlineStr">
        <is>
          <t>0                      PR 0457000H  47          1996</t>
        </is>
      </c>
      <c r="F1828" t="inlineStr">
        <is>
          <t>Romantic identities : varieties of subjectivity, 1774-1830 / Andrea K. Henderson.</t>
        </is>
      </c>
      <c r="H1828" t="inlineStr">
        <is>
          <t>No</t>
        </is>
      </c>
      <c r="I1828" t="inlineStr">
        <is>
          <t>1</t>
        </is>
      </c>
      <c r="J1828" t="inlineStr">
        <is>
          <t>No</t>
        </is>
      </c>
      <c r="K1828" t="inlineStr">
        <is>
          <t>No</t>
        </is>
      </c>
      <c r="L1828" t="inlineStr">
        <is>
          <t>0</t>
        </is>
      </c>
      <c r="M1828" t="inlineStr">
        <is>
          <t>Henderson, Andrea K.</t>
        </is>
      </c>
      <c r="N1828" t="inlineStr">
        <is>
          <t>Cambridge [England] ; New York : Cambridge University Press, 1996.</t>
        </is>
      </c>
      <c r="O1828" t="inlineStr">
        <is>
          <t>1996</t>
        </is>
      </c>
      <c r="Q1828" t="inlineStr">
        <is>
          <t>eng</t>
        </is>
      </c>
      <c r="R1828" t="inlineStr">
        <is>
          <t>enk</t>
        </is>
      </c>
      <c r="S1828" t="inlineStr">
        <is>
          <t>Cambridge studies in Romanticism ; 20</t>
        </is>
      </c>
      <c r="T1828" t="inlineStr">
        <is>
          <t xml:space="preserve">PR </t>
        </is>
      </c>
      <c r="U1828" t="n">
        <v>2</v>
      </c>
      <c r="V1828" t="n">
        <v>2</v>
      </c>
      <c r="W1828" t="inlineStr">
        <is>
          <t>1997-03-06</t>
        </is>
      </c>
      <c r="X1828" t="inlineStr">
        <is>
          <t>1997-03-06</t>
        </is>
      </c>
      <c r="Y1828" t="inlineStr">
        <is>
          <t>1997-01-23</t>
        </is>
      </c>
      <c r="Z1828" t="inlineStr">
        <is>
          <t>1997-01-23</t>
        </is>
      </c>
      <c r="AA1828" t="n">
        <v>364</v>
      </c>
      <c r="AB1828" t="n">
        <v>240</v>
      </c>
      <c r="AC1828" t="n">
        <v>244</v>
      </c>
      <c r="AD1828" t="n">
        <v>2</v>
      </c>
      <c r="AE1828" t="n">
        <v>2</v>
      </c>
      <c r="AF1828" t="n">
        <v>13</v>
      </c>
      <c r="AG1828" t="n">
        <v>14</v>
      </c>
      <c r="AH1828" t="n">
        <v>1</v>
      </c>
      <c r="AI1828" t="n">
        <v>2</v>
      </c>
      <c r="AJ1828" t="n">
        <v>4</v>
      </c>
      <c r="AK1828" t="n">
        <v>4</v>
      </c>
      <c r="AL1828" t="n">
        <v>10</v>
      </c>
      <c r="AM1828" t="n">
        <v>10</v>
      </c>
      <c r="AN1828" t="n">
        <v>1</v>
      </c>
      <c r="AO1828" t="n">
        <v>1</v>
      </c>
      <c r="AP1828" t="n">
        <v>0</v>
      </c>
      <c r="AQ1828" t="n">
        <v>0</v>
      </c>
      <c r="AR1828" t="inlineStr">
        <is>
          <t>No</t>
        </is>
      </c>
      <c r="AS1828" t="inlineStr">
        <is>
          <t>No</t>
        </is>
      </c>
      <c r="AU1828">
        <f>HYPERLINK("https://creighton-primo.hosted.exlibrisgroup.com/primo-explore/search?tab=default_tab&amp;search_scope=EVERYTHING&amp;vid=01CRU&amp;lang=en_US&amp;offset=0&amp;query=any,contains,991005421699702656","Catalog Record")</f>
        <v/>
      </c>
      <c r="AV1828">
        <f>HYPERLINK("http://www.worldcat.org/oclc/32746776","WorldCat Record")</f>
        <v/>
      </c>
      <c r="AW1828" t="inlineStr">
        <is>
          <t>198582233:eng</t>
        </is>
      </c>
      <c r="AX1828" t="inlineStr">
        <is>
          <t>32746776</t>
        </is>
      </c>
      <c r="AY1828" t="inlineStr">
        <is>
          <t>991005421699702656</t>
        </is>
      </c>
      <c r="AZ1828" t="inlineStr">
        <is>
          <t>991005421699702656</t>
        </is>
      </c>
      <c r="BA1828" t="inlineStr">
        <is>
          <t>2267249970002656</t>
        </is>
      </c>
      <c r="BB1828" t="inlineStr">
        <is>
          <t>BOOK</t>
        </is>
      </c>
      <c r="BD1828" t="inlineStr">
        <is>
          <t>9780521481649</t>
        </is>
      </c>
      <c r="BE1828" t="inlineStr">
        <is>
          <t>32285002410610</t>
        </is>
      </c>
      <c r="BF1828" t="inlineStr">
        <is>
          <t>893533831</t>
        </is>
      </c>
    </row>
    <row r="1829">
      <c r="A1829" t="inlineStr">
        <is>
          <t>No</t>
        </is>
      </c>
      <c r="B1829" t="inlineStr">
        <is>
          <t>CURAL</t>
        </is>
      </c>
      <c r="C1829" t="inlineStr">
        <is>
          <t>SHELVES</t>
        </is>
      </c>
      <c r="D1829" t="inlineStr">
        <is>
          <t>PR457 .H5 1911</t>
        </is>
      </c>
      <c r="E1829" t="inlineStr">
        <is>
          <t>0                      PR 0457000H  5           1911</t>
        </is>
      </c>
      <c r="F1829" t="inlineStr">
        <is>
          <t>The age of Wordsworth.</t>
        </is>
      </c>
      <c r="H1829" t="inlineStr">
        <is>
          <t>No</t>
        </is>
      </c>
      <c r="I1829" t="inlineStr">
        <is>
          <t>1</t>
        </is>
      </c>
      <c r="J1829" t="inlineStr">
        <is>
          <t>No</t>
        </is>
      </c>
      <c r="K1829" t="inlineStr">
        <is>
          <t>No</t>
        </is>
      </c>
      <c r="L1829" t="inlineStr">
        <is>
          <t>0</t>
        </is>
      </c>
      <c r="M1829" t="inlineStr">
        <is>
          <t>Herford, C. H. (Charles Harold), 1853-1931.</t>
        </is>
      </c>
      <c r="N1829" t="inlineStr">
        <is>
          <t>G. Bell and sons, 1911.</t>
        </is>
      </c>
      <c r="O1829" t="inlineStr">
        <is>
          <t>1911</t>
        </is>
      </c>
      <c r="Q1829" t="inlineStr">
        <is>
          <t>eng</t>
        </is>
      </c>
      <c r="R1829" t="inlineStr">
        <is>
          <t xml:space="preserve">xx </t>
        </is>
      </c>
      <c r="S1829" t="inlineStr">
        <is>
          <t>Handbooks of English literature</t>
        </is>
      </c>
      <c r="T1829" t="inlineStr">
        <is>
          <t xml:space="preserve">PR </t>
        </is>
      </c>
      <c r="U1829" t="n">
        <v>2</v>
      </c>
      <c r="V1829" t="n">
        <v>2</v>
      </c>
      <c r="W1829" t="inlineStr">
        <is>
          <t>2001-03-16</t>
        </is>
      </c>
      <c r="X1829" t="inlineStr">
        <is>
          <t>2001-03-16</t>
        </is>
      </c>
      <c r="Y1829" t="inlineStr">
        <is>
          <t>1997-08-22</t>
        </is>
      </c>
      <c r="Z1829" t="inlineStr">
        <is>
          <t>1997-08-22</t>
        </is>
      </c>
      <c r="AA1829" t="n">
        <v>60</v>
      </c>
      <c r="AB1829" t="n">
        <v>52</v>
      </c>
      <c r="AC1829" t="n">
        <v>721</v>
      </c>
      <c r="AD1829" t="n">
        <v>2</v>
      </c>
      <c r="AE1829" t="n">
        <v>7</v>
      </c>
      <c r="AF1829" t="n">
        <v>4</v>
      </c>
      <c r="AG1829" t="n">
        <v>41</v>
      </c>
      <c r="AH1829" t="n">
        <v>3</v>
      </c>
      <c r="AI1829" t="n">
        <v>16</v>
      </c>
      <c r="AJ1829" t="n">
        <v>0</v>
      </c>
      <c r="AK1829" t="n">
        <v>6</v>
      </c>
      <c r="AL1829" t="n">
        <v>0</v>
      </c>
      <c r="AM1829" t="n">
        <v>24</v>
      </c>
      <c r="AN1829" t="n">
        <v>1</v>
      </c>
      <c r="AO1829" t="n">
        <v>6</v>
      </c>
      <c r="AP1829" t="n">
        <v>0</v>
      </c>
      <c r="AQ1829" t="n">
        <v>0</v>
      </c>
      <c r="AR1829" t="inlineStr">
        <is>
          <t>Yes</t>
        </is>
      </c>
      <c r="AS1829" t="inlineStr">
        <is>
          <t>No</t>
        </is>
      </c>
      <c r="AT1829">
        <f>HYPERLINK("http://catalog.hathitrust.org/Record/001907322","HathiTrust Record")</f>
        <v/>
      </c>
      <c r="AU1829">
        <f>HYPERLINK("https://creighton-primo.hosted.exlibrisgroup.com/primo-explore/search?tab=default_tab&amp;search_scope=EVERYTHING&amp;vid=01CRU&amp;lang=en_US&amp;offset=0&amp;query=any,contains,991002438129702656","Catalog Record")</f>
        <v/>
      </c>
      <c r="AV1829">
        <f>HYPERLINK("http://www.worldcat.org/oclc/349410","WorldCat Record")</f>
        <v/>
      </c>
      <c r="AW1829" t="inlineStr">
        <is>
          <t>1277507:eng</t>
        </is>
      </c>
      <c r="AX1829" t="inlineStr">
        <is>
          <t>349410</t>
        </is>
      </c>
      <c r="AY1829" t="inlineStr">
        <is>
          <t>991002438129702656</t>
        </is>
      </c>
      <c r="AZ1829" t="inlineStr">
        <is>
          <t>991002438129702656</t>
        </is>
      </c>
      <c r="BA1829" t="inlineStr">
        <is>
          <t>2267257580002656</t>
        </is>
      </c>
      <c r="BB1829" t="inlineStr">
        <is>
          <t>BOOK</t>
        </is>
      </c>
      <c r="BE1829" t="inlineStr">
        <is>
          <t>32285003152278</t>
        </is>
      </c>
      <c r="BF1829" t="inlineStr">
        <is>
          <t>893510734</t>
        </is>
      </c>
    </row>
    <row r="1830">
      <c r="A1830" t="inlineStr">
        <is>
          <t>No</t>
        </is>
      </c>
      <c r="B1830" t="inlineStr">
        <is>
          <t>CURAL</t>
        </is>
      </c>
      <c r="C1830" t="inlineStr">
        <is>
          <t>SHELVES</t>
        </is>
      </c>
      <c r="D1830" t="inlineStr">
        <is>
          <t>PR457 .M6 1983</t>
        </is>
      </c>
      <c r="E1830" t="inlineStr">
        <is>
          <t>0                      PR 0457000M  6           1983</t>
        </is>
      </c>
      <c r="F1830" t="inlineStr">
        <is>
          <t>Literary critics and reviewers in early 19th-century Britain / Peter F. Morgan.</t>
        </is>
      </c>
      <c r="H1830" t="inlineStr">
        <is>
          <t>No</t>
        </is>
      </c>
      <c r="I1830" t="inlineStr">
        <is>
          <t>1</t>
        </is>
      </c>
      <c r="J1830" t="inlineStr">
        <is>
          <t>No</t>
        </is>
      </c>
      <c r="K1830" t="inlineStr">
        <is>
          <t>No</t>
        </is>
      </c>
      <c r="L1830" t="inlineStr">
        <is>
          <t>0</t>
        </is>
      </c>
      <c r="M1830" t="inlineStr">
        <is>
          <t>Morgan, Peter F.</t>
        </is>
      </c>
      <c r="N1830" t="inlineStr">
        <is>
          <t>London : Croom Helm, 1983.</t>
        </is>
      </c>
      <c r="O1830" t="inlineStr">
        <is>
          <t>1983</t>
        </is>
      </c>
      <c r="Q1830" t="inlineStr">
        <is>
          <t>eng</t>
        </is>
      </c>
      <c r="R1830" t="inlineStr">
        <is>
          <t>enk</t>
        </is>
      </c>
      <c r="T1830" t="inlineStr">
        <is>
          <t xml:space="preserve">PR </t>
        </is>
      </c>
      <c r="U1830" t="n">
        <v>1</v>
      </c>
      <c r="V1830" t="n">
        <v>1</v>
      </c>
      <c r="W1830" t="inlineStr">
        <is>
          <t>1995-10-01</t>
        </is>
      </c>
      <c r="X1830" t="inlineStr">
        <is>
          <t>1995-10-01</t>
        </is>
      </c>
      <c r="Y1830" t="inlineStr">
        <is>
          <t>1991-08-29</t>
        </is>
      </c>
      <c r="Z1830" t="inlineStr">
        <is>
          <t>1991-08-29</t>
        </is>
      </c>
      <c r="AA1830" t="n">
        <v>306</v>
      </c>
      <c r="AB1830" t="n">
        <v>184</v>
      </c>
      <c r="AC1830" t="n">
        <v>189</v>
      </c>
      <c r="AD1830" t="n">
        <v>4</v>
      </c>
      <c r="AE1830" t="n">
        <v>4</v>
      </c>
      <c r="AF1830" t="n">
        <v>14</v>
      </c>
      <c r="AG1830" t="n">
        <v>14</v>
      </c>
      <c r="AH1830" t="n">
        <v>3</v>
      </c>
      <c r="AI1830" t="n">
        <v>3</v>
      </c>
      <c r="AJ1830" t="n">
        <v>4</v>
      </c>
      <c r="AK1830" t="n">
        <v>4</v>
      </c>
      <c r="AL1830" t="n">
        <v>8</v>
      </c>
      <c r="AM1830" t="n">
        <v>8</v>
      </c>
      <c r="AN1830" t="n">
        <v>3</v>
      </c>
      <c r="AO1830" t="n">
        <v>3</v>
      </c>
      <c r="AP1830" t="n">
        <v>0</v>
      </c>
      <c r="AQ1830" t="n">
        <v>0</v>
      </c>
      <c r="AR1830" t="inlineStr">
        <is>
          <t>No</t>
        </is>
      </c>
      <c r="AS1830" t="inlineStr">
        <is>
          <t>No</t>
        </is>
      </c>
      <c r="AU1830">
        <f>HYPERLINK("https://creighton-primo.hosted.exlibrisgroup.com/primo-explore/search?tab=default_tab&amp;search_scope=EVERYTHING&amp;vid=01CRU&amp;lang=en_US&amp;offset=0&amp;query=any,contains,991000377169702656","Catalog Record")</f>
        <v/>
      </c>
      <c r="AV1830">
        <f>HYPERLINK("http://www.worldcat.org/oclc/11400507","WorldCat Record")</f>
        <v/>
      </c>
      <c r="AW1830" t="inlineStr">
        <is>
          <t>3783146:eng</t>
        </is>
      </c>
      <c r="AX1830" t="inlineStr">
        <is>
          <t>11400507</t>
        </is>
      </c>
      <c r="AY1830" t="inlineStr">
        <is>
          <t>991000377169702656</t>
        </is>
      </c>
      <c r="AZ1830" t="inlineStr">
        <is>
          <t>991000377169702656</t>
        </is>
      </c>
      <c r="BA1830" t="inlineStr">
        <is>
          <t>2255450570002656</t>
        </is>
      </c>
      <c r="BB1830" t="inlineStr">
        <is>
          <t>BOOK</t>
        </is>
      </c>
      <c r="BD1830" t="inlineStr">
        <is>
          <t>9780709917748</t>
        </is>
      </c>
      <c r="BE1830" t="inlineStr">
        <is>
          <t>32285000732072</t>
        </is>
      </c>
      <c r="BF1830" t="inlineStr">
        <is>
          <t>893683344</t>
        </is>
      </c>
    </row>
    <row r="1831">
      <c r="A1831" t="inlineStr">
        <is>
          <t>No</t>
        </is>
      </c>
      <c r="B1831" t="inlineStr">
        <is>
          <t>CURAL</t>
        </is>
      </c>
      <c r="C1831" t="inlineStr">
        <is>
          <t>SHELVES</t>
        </is>
      </c>
      <c r="D1831" t="inlineStr">
        <is>
          <t>PR457 .Q47 1995</t>
        </is>
      </c>
      <c r="E1831" t="inlineStr">
        <is>
          <t>0                      PR 0457000Q  47          1995</t>
        </is>
      </c>
      <c r="F1831" t="inlineStr">
        <is>
          <t>Questioning romanticism / edited by John Beer.</t>
        </is>
      </c>
      <c r="H1831" t="inlineStr">
        <is>
          <t>No</t>
        </is>
      </c>
      <c r="I1831" t="inlineStr">
        <is>
          <t>1</t>
        </is>
      </c>
      <c r="J1831" t="inlineStr">
        <is>
          <t>No</t>
        </is>
      </c>
      <c r="K1831" t="inlineStr">
        <is>
          <t>No</t>
        </is>
      </c>
      <c r="L1831" t="inlineStr">
        <is>
          <t>0</t>
        </is>
      </c>
      <c r="N1831" t="inlineStr">
        <is>
          <t>Baltimore : Johns Hopkins University Press, 1995.</t>
        </is>
      </c>
      <c r="O1831" t="inlineStr">
        <is>
          <t>1995</t>
        </is>
      </c>
      <c r="Q1831" t="inlineStr">
        <is>
          <t>eng</t>
        </is>
      </c>
      <c r="R1831" t="inlineStr">
        <is>
          <t>mdu</t>
        </is>
      </c>
      <c r="T1831" t="inlineStr">
        <is>
          <t xml:space="preserve">PR </t>
        </is>
      </c>
      <c r="U1831" t="n">
        <v>3</v>
      </c>
      <c r="V1831" t="n">
        <v>3</v>
      </c>
      <c r="W1831" t="inlineStr">
        <is>
          <t>2004-02-15</t>
        </is>
      </c>
      <c r="X1831" t="inlineStr">
        <is>
          <t>2004-02-15</t>
        </is>
      </c>
      <c r="Y1831" t="inlineStr">
        <is>
          <t>1996-07-01</t>
        </is>
      </c>
      <c r="Z1831" t="inlineStr">
        <is>
          <t>1996-07-01</t>
        </is>
      </c>
      <c r="AA1831" t="n">
        <v>473</v>
      </c>
      <c r="AB1831" t="n">
        <v>355</v>
      </c>
      <c r="AC1831" t="n">
        <v>362</v>
      </c>
      <c r="AD1831" t="n">
        <v>4</v>
      </c>
      <c r="AE1831" t="n">
        <v>4</v>
      </c>
      <c r="AF1831" t="n">
        <v>23</v>
      </c>
      <c r="AG1831" t="n">
        <v>23</v>
      </c>
      <c r="AH1831" t="n">
        <v>7</v>
      </c>
      <c r="AI1831" t="n">
        <v>7</v>
      </c>
      <c r="AJ1831" t="n">
        <v>6</v>
      </c>
      <c r="AK1831" t="n">
        <v>6</v>
      </c>
      <c r="AL1831" t="n">
        <v>14</v>
      </c>
      <c r="AM1831" t="n">
        <v>14</v>
      </c>
      <c r="AN1831" t="n">
        <v>3</v>
      </c>
      <c r="AO1831" t="n">
        <v>3</v>
      </c>
      <c r="AP1831" t="n">
        <v>0</v>
      </c>
      <c r="AQ1831" t="n">
        <v>0</v>
      </c>
      <c r="AR1831" t="inlineStr">
        <is>
          <t>No</t>
        </is>
      </c>
      <c r="AS1831" t="inlineStr">
        <is>
          <t>Yes</t>
        </is>
      </c>
      <c r="AT1831">
        <f>HYPERLINK("http://catalog.hathitrust.org/Record/003017928","HathiTrust Record")</f>
        <v/>
      </c>
      <c r="AU1831">
        <f>HYPERLINK("https://creighton-primo.hosted.exlibrisgroup.com/primo-explore/search?tab=default_tab&amp;search_scope=EVERYTHING&amp;vid=01CRU&amp;lang=en_US&amp;offset=0&amp;query=any,contains,991002443899702656","Catalog Record")</f>
        <v/>
      </c>
      <c r="AV1831">
        <f>HYPERLINK("http://www.worldcat.org/oclc/31867478","WorldCat Record")</f>
        <v/>
      </c>
      <c r="AW1831" t="inlineStr">
        <is>
          <t>33936065:eng</t>
        </is>
      </c>
      <c r="AX1831" t="inlineStr">
        <is>
          <t>31867478</t>
        </is>
      </c>
      <c r="AY1831" t="inlineStr">
        <is>
          <t>991002443899702656</t>
        </is>
      </c>
      <c r="AZ1831" t="inlineStr">
        <is>
          <t>991002443899702656</t>
        </is>
      </c>
      <c r="BA1831" t="inlineStr">
        <is>
          <t>2257881140002656</t>
        </is>
      </c>
      <c r="BB1831" t="inlineStr">
        <is>
          <t>BOOK</t>
        </is>
      </c>
      <c r="BD1831" t="inlineStr">
        <is>
          <t>9780801850523</t>
        </is>
      </c>
      <c r="BE1831" t="inlineStr">
        <is>
          <t>32285002205465</t>
        </is>
      </c>
      <c r="BF1831" t="inlineStr">
        <is>
          <t>893804622</t>
        </is>
      </c>
    </row>
    <row r="1832">
      <c r="A1832" t="inlineStr">
        <is>
          <t>No</t>
        </is>
      </c>
      <c r="B1832" t="inlineStr">
        <is>
          <t>CURAL</t>
        </is>
      </c>
      <c r="C1832" t="inlineStr">
        <is>
          <t>SHELVES</t>
        </is>
      </c>
      <c r="D1832" t="inlineStr">
        <is>
          <t>PR457 .R4556 1994</t>
        </is>
      </c>
      <c r="E1832" t="inlineStr">
        <is>
          <t>0                      PR 0457000R  4556        1994</t>
        </is>
      </c>
      <c r="F1832" t="inlineStr">
        <is>
          <t>Re-visioning romanticism : British women writers, 1776-1837 / edited by Carol Shiner Wilson and Joel Haefner.</t>
        </is>
      </c>
      <c r="H1832" t="inlineStr">
        <is>
          <t>No</t>
        </is>
      </c>
      <c r="I1832" t="inlineStr">
        <is>
          <t>1</t>
        </is>
      </c>
      <c r="J1832" t="inlineStr">
        <is>
          <t>No</t>
        </is>
      </c>
      <c r="K1832" t="inlineStr">
        <is>
          <t>No</t>
        </is>
      </c>
      <c r="L1832" t="inlineStr">
        <is>
          <t>0</t>
        </is>
      </c>
      <c r="N1832" t="inlineStr">
        <is>
          <t>Philadelphia : University of Pennsylvania Press, c1994.</t>
        </is>
      </c>
      <c r="O1832" t="inlineStr">
        <is>
          <t>1994</t>
        </is>
      </c>
      <c r="Q1832" t="inlineStr">
        <is>
          <t>eng</t>
        </is>
      </c>
      <c r="R1832" t="inlineStr">
        <is>
          <t>pau</t>
        </is>
      </c>
      <c r="T1832" t="inlineStr">
        <is>
          <t xml:space="preserve">PR </t>
        </is>
      </c>
      <c r="U1832" t="n">
        <v>3</v>
      </c>
      <c r="V1832" t="n">
        <v>3</v>
      </c>
      <c r="W1832" t="inlineStr">
        <is>
          <t>2006-02-27</t>
        </is>
      </c>
      <c r="X1832" t="inlineStr">
        <is>
          <t>2006-02-27</t>
        </is>
      </c>
      <c r="Y1832" t="inlineStr">
        <is>
          <t>2003-09-15</t>
        </is>
      </c>
      <c r="Z1832" t="inlineStr">
        <is>
          <t>2003-09-15</t>
        </is>
      </c>
      <c r="AA1832" t="n">
        <v>686</v>
      </c>
      <c r="AB1832" t="n">
        <v>548</v>
      </c>
      <c r="AC1832" t="n">
        <v>1408</v>
      </c>
      <c r="AD1832" t="n">
        <v>5</v>
      </c>
      <c r="AE1832" t="n">
        <v>7</v>
      </c>
      <c r="AF1832" t="n">
        <v>40</v>
      </c>
      <c r="AG1832" t="n">
        <v>47</v>
      </c>
      <c r="AH1832" t="n">
        <v>18</v>
      </c>
      <c r="AI1832" t="n">
        <v>23</v>
      </c>
      <c r="AJ1832" t="n">
        <v>11</v>
      </c>
      <c r="AK1832" t="n">
        <v>11</v>
      </c>
      <c r="AL1832" t="n">
        <v>20</v>
      </c>
      <c r="AM1832" t="n">
        <v>21</v>
      </c>
      <c r="AN1832" t="n">
        <v>4</v>
      </c>
      <c r="AO1832" t="n">
        <v>5</v>
      </c>
      <c r="AP1832" t="n">
        <v>0</v>
      </c>
      <c r="AQ1832" t="n">
        <v>0</v>
      </c>
      <c r="AR1832" t="inlineStr">
        <is>
          <t>No</t>
        </is>
      </c>
      <c r="AS1832" t="inlineStr">
        <is>
          <t>No</t>
        </is>
      </c>
      <c r="AU1832">
        <f>HYPERLINK("https://creighton-primo.hosted.exlibrisgroup.com/primo-explore/search?tab=default_tab&amp;search_scope=EVERYTHING&amp;vid=01CRU&amp;lang=en_US&amp;offset=0&amp;query=any,contains,991004123259702656","Catalog Record")</f>
        <v/>
      </c>
      <c r="AV1832">
        <f>HYPERLINK("http://www.worldcat.org/oclc/30700353","WorldCat Record")</f>
        <v/>
      </c>
      <c r="AW1832" t="inlineStr">
        <is>
          <t>864037327:eng</t>
        </is>
      </c>
      <c r="AX1832" t="inlineStr">
        <is>
          <t>30700353</t>
        </is>
      </c>
      <c r="AY1832" t="inlineStr">
        <is>
          <t>991004123259702656</t>
        </is>
      </c>
      <c r="AZ1832" t="inlineStr">
        <is>
          <t>991004123259702656</t>
        </is>
      </c>
      <c r="BA1832" t="inlineStr">
        <is>
          <t>2263498380002656</t>
        </is>
      </c>
      <c r="BB1832" t="inlineStr">
        <is>
          <t>BOOK</t>
        </is>
      </c>
      <c r="BD1832" t="inlineStr">
        <is>
          <t>9780812214215</t>
        </is>
      </c>
      <c r="BE1832" t="inlineStr">
        <is>
          <t>32285004783071</t>
        </is>
      </c>
      <c r="BF1832" t="inlineStr">
        <is>
          <t>893349629</t>
        </is>
      </c>
    </row>
    <row r="1833">
      <c r="A1833" t="inlineStr">
        <is>
          <t>No</t>
        </is>
      </c>
      <c r="B1833" t="inlineStr">
        <is>
          <t>CURAL</t>
        </is>
      </c>
      <c r="C1833" t="inlineStr">
        <is>
          <t>SHELVES</t>
        </is>
      </c>
      <c r="D1833" t="inlineStr">
        <is>
          <t>PR457 .R456 1994</t>
        </is>
      </c>
      <c r="E1833" t="inlineStr">
        <is>
          <t>0                      PR 0457000R  456         1994</t>
        </is>
      </c>
      <c r="F1833" t="inlineStr">
        <is>
          <t>Literature, education, and romanticism : reading as social practice, 1780-1832 / Alan Richardson.</t>
        </is>
      </c>
      <c r="H1833" t="inlineStr">
        <is>
          <t>No</t>
        </is>
      </c>
      <c r="I1833" t="inlineStr">
        <is>
          <t>1</t>
        </is>
      </c>
      <c r="J1833" t="inlineStr">
        <is>
          <t>No</t>
        </is>
      </c>
      <c r="K1833" t="inlineStr">
        <is>
          <t>No</t>
        </is>
      </c>
      <c r="L1833" t="inlineStr">
        <is>
          <t>0</t>
        </is>
      </c>
      <c r="M1833" t="inlineStr">
        <is>
          <t>Richardson, Alan, 1955-</t>
        </is>
      </c>
      <c r="N1833" t="inlineStr">
        <is>
          <t>Cambridge ; New York : Cambridge University Press, 1994.</t>
        </is>
      </c>
      <c r="O1833" t="inlineStr">
        <is>
          <t>1994</t>
        </is>
      </c>
      <c r="Q1833" t="inlineStr">
        <is>
          <t>eng</t>
        </is>
      </c>
      <c r="R1833" t="inlineStr">
        <is>
          <t>enk</t>
        </is>
      </c>
      <c r="S1833" t="inlineStr">
        <is>
          <t>Cambridge studies in Romanticism ; 8</t>
        </is>
      </c>
      <c r="T1833" t="inlineStr">
        <is>
          <t xml:space="preserve">PR </t>
        </is>
      </c>
      <c r="U1833" t="n">
        <v>5</v>
      </c>
      <c r="V1833" t="n">
        <v>5</v>
      </c>
      <c r="W1833" t="inlineStr">
        <is>
          <t>2010-03-25</t>
        </is>
      </c>
      <c r="X1833" t="inlineStr">
        <is>
          <t>2010-03-25</t>
        </is>
      </c>
      <c r="Y1833" t="inlineStr">
        <is>
          <t>1997-01-22</t>
        </is>
      </c>
      <c r="Z1833" t="inlineStr">
        <is>
          <t>1997-01-22</t>
        </is>
      </c>
      <c r="AA1833" t="n">
        <v>443</v>
      </c>
      <c r="AB1833" t="n">
        <v>304</v>
      </c>
      <c r="AC1833" t="n">
        <v>321</v>
      </c>
      <c r="AD1833" t="n">
        <v>3</v>
      </c>
      <c r="AE1833" t="n">
        <v>3</v>
      </c>
      <c r="AF1833" t="n">
        <v>22</v>
      </c>
      <c r="AG1833" t="n">
        <v>22</v>
      </c>
      <c r="AH1833" t="n">
        <v>7</v>
      </c>
      <c r="AI1833" t="n">
        <v>7</v>
      </c>
      <c r="AJ1833" t="n">
        <v>8</v>
      </c>
      <c r="AK1833" t="n">
        <v>8</v>
      </c>
      <c r="AL1833" t="n">
        <v>11</v>
      </c>
      <c r="AM1833" t="n">
        <v>11</v>
      </c>
      <c r="AN1833" t="n">
        <v>2</v>
      </c>
      <c r="AO1833" t="n">
        <v>2</v>
      </c>
      <c r="AP1833" t="n">
        <v>0</v>
      </c>
      <c r="AQ1833" t="n">
        <v>0</v>
      </c>
      <c r="AR1833" t="inlineStr">
        <is>
          <t>No</t>
        </is>
      </c>
      <c r="AS1833" t="inlineStr">
        <is>
          <t>No</t>
        </is>
      </c>
      <c r="AU1833">
        <f>HYPERLINK("https://creighton-primo.hosted.exlibrisgroup.com/primo-explore/search?tab=default_tab&amp;search_scope=EVERYTHING&amp;vid=01CRU&amp;lang=en_US&amp;offset=0&amp;query=any,contains,991002283349702656","Catalog Record")</f>
        <v/>
      </c>
      <c r="AV1833">
        <f>HYPERLINK("http://www.worldcat.org/oclc/29597968","WorldCat Record")</f>
        <v/>
      </c>
      <c r="AW1833" t="inlineStr">
        <is>
          <t>366549719:eng</t>
        </is>
      </c>
      <c r="AX1833" t="inlineStr">
        <is>
          <t>29597968</t>
        </is>
      </c>
      <c r="AY1833" t="inlineStr">
        <is>
          <t>991002283349702656</t>
        </is>
      </c>
      <c r="AZ1833" t="inlineStr">
        <is>
          <t>991002283349702656</t>
        </is>
      </c>
      <c r="BA1833" t="inlineStr">
        <is>
          <t>2266465360002656</t>
        </is>
      </c>
      <c r="BB1833" t="inlineStr">
        <is>
          <t>BOOK</t>
        </is>
      </c>
      <c r="BD1833" t="inlineStr">
        <is>
          <t>9780521462761</t>
        </is>
      </c>
      <c r="BE1833" t="inlineStr">
        <is>
          <t>32285002410198</t>
        </is>
      </c>
      <c r="BF1833" t="inlineStr">
        <is>
          <t>893408918</t>
        </is>
      </c>
    </row>
    <row r="1834">
      <c r="A1834" t="inlineStr">
        <is>
          <t>No</t>
        </is>
      </c>
      <c r="B1834" t="inlineStr">
        <is>
          <t>CURAL</t>
        </is>
      </c>
      <c r="C1834" t="inlineStr">
        <is>
          <t>SHELVES</t>
        </is>
      </c>
      <c r="D1834" t="inlineStr">
        <is>
          <t>PR457 .R646 1980</t>
        </is>
      </c>
      <c r="E1834" t="inlineStr">
        <is>
          <t>0                      PR 0457000R  646         1980</t>
        </is>
      </c>
      <c r="F1834" t="inlineStr">
        <is>
          <t>The Romantic period, excluding the novel / introd. by Kenneth Muir.</t>
        </is>
      </c>
      <c r="H1834" t="inlineStr">
        <is>
          <t>No</t>
        </is>
      </c>
      <c r="I1834" t="inlineStr">
        <is>
          <t>1</t>
        </is>
      </c>
      <c r="J1834" t="inlineStr">
        <is>
          <t>No</t>
        </is>
      </c>
      <c r="K1834" t="inlineStr">
        <is>
          <t>No</t>
        </is>
      </c>
      <c r="L1834" t="inlineStr">
        <is>
          <t>0</t>
        </is>
      </c>
      <c r="N1834" t="inlineStr">
        <is>
          <t>New York : St. Martin's Press, c1980.</t>
        </is>
      </c>
      <c r="O1834" t="inlineStr">
        <is>
          <t>1980</t>
        </is>
      </c>
      <c r="Q1834" t="inlineStr">
        <is>
          <t>eng</t>
        </is>
      </c>
      <c r="R1834" t="inlineStr">
        <is>
          <t xml:space="preserve">xx </t>
        </is>
      </c>
      <c r="S1834" t="inlineStr">
        <is>
          <t>Great writers student library ; 6</t>
        </is>
      </c>
      <c r="T1834" t="inlineStr">
        <is>
          <t xml:space="preserve">PR </t>
        </is>
      </c>
      <c r="U1834" t="n">
        <v>2</v>
      </c>
      <c r="V1834" t="n">
        <v>2</v>
      </c>
      <c r="W1834" t="inlineStr">
        <is>
          <t>1993-03-01</t>
        </is>
      </c>
      <c r="X1834" t="inlineStr">
        <is>
          <t>1993-03-01</t>
        </is>
      </c>
      <c r="Y1834" t="inlineStr">
        <is>
          <t>1991-08-29</t>
        </is>
      </c>
      <c r="Z1834" t="inlineStr">
        <is>
          <t>1991-08-29</t>
        </is>
      </c>
      <c r="AA1834" t="n">
        <v>147</v>
      </c>
      <c r="AB1834" t="n">
        <v>127</v>
      </c>
      <c r="AC1834" t="n">
        <v>172</v>
      </c>
      <c r="AD1834" t="n">
        <v>1</v>
      </c>
      <c r="AE1834" t="n">
        <v>1</v>
      </c>
      <c r="AF1834" t="n">
        <v>2</v>
      </c>
      <c r="AG1834" t="n">
        <v>4</v>
      </c>
      <c r="AH1834" t="n">
        <v>1</v>
      </c>
      <c r="AI1834" t="n">
        <v>2</v>
      </c>
      <c r="AJ1834" t="n">
        <v>1</v>
      </c>
      <c r="AK1834" t="n">
        <v>1</v>
      </c>
      <c r="AL1834" t="n">
        <v>1</v>
      </c>
      <c r="AM1834" t="n">
        <v>3</v>
      </c>
      <c r="AN1834" t="n">
        <v>0</v>
      </c>
      <c r="AO1834" t="n">
        <v>0</v>
      </c>
      <c r="AP1834" t="n">
        <v>0</v>
      </c>
      <c r="AQ1834" t="n">
        <v>0</v>
      </c>
      <c r="AR1834" t="inlineStr">
        <is>
          <t>No</t>
        </is>
      </c>
      <c r="AS1834" t="inlineStr">
        <is>
          <t>Yes</t>
        </is>
      </c>
      <c r="AT1834">
        <f>HYPERLINK("http://catalog.hathitrust.org/Record/007584252","HathiTrust Record")</f>
        <v/>
      </c>
      <c r="AU1834">
        <f>HYPERLINK("https://creighton-primo.hosted.exlibrisgroup.com/primo-explore/search?tab=default_tab&amp;search_scope=EVERYTHING&amp;vid=01CRU&amp;lang=en_US&amp;offset=0&amp;query=any,contains,991005072739702656","Catalog Record")</f>
        <v/>
      </c>
      <c r="AV1834">
        <f>HYPERLINK("http://www.worldcat.org/oclc/14379303","WorldCat Record")</f>
        <v/>
      </c>
      <c r="AW1834" t="inlineStr">
        <is>
          <t>54433422:eng</t>
        </is>
      </c>
      <c r="AX1834" t="inlineStr">
        <is>
          <t>14379303</t>
        </is>
      </c>
      <c r="AY1834" t="inlineStr">
        <is>
          <t>991005072739702656</t>
        </is>
      </c>
      <c r="AZ1834" t="inlineStr">
        <is>
          <t>991005072739702656</t>
        </is>
      </c>
      <c r="BA1834" t="inlineStr">
        <is>
          <t>2263246430002656</t>
        </is>
      </c>
      <c r="BB1834" t="inlineStr">
        <is>
          <t>BOOK</t>
        </is>
      </c>
      <c r="BD1834" t="inlineStr">
        <is>
          <t>9780312347055</t>
        </is>
      </c>
      <c r="BE1834" t="inlineStr">
        <is>
          <t>32285000732080</t>
        </is>
      </c>
      <c r="BF1834" t="inlineStr">
        <is>
          <t>893326116</t>
        </is>
      </c>
    </row>
    <row r="1835">
      <c r="A1835" t="inlineStr">
        <is>
          <t>No</t>
        </is>
      </c>
      <c r="B1835" t="inlineStr">
        <is>
          <t>CURAL</t>
        </is>
      </c>
      <c r="C1835" t="inlineStr">
        <is>
          <t>SHELVES</t>
        </is>
      </c>
      <c r="D1835" t="inlineStr">
        <is>
          <t>PR457 .V65 1994</t>
        </is>
      </c>
      <c r="E1835" t="inlineStr">
        <is>
          <t>0                      PR 0457000V  65          1994</t>
        </is>
      </c>
      <c r="F1835" t="inlineStr">
        <is>
          <t>The supernatural sublime : the metaphysics of terror in Anglo-American romanticism / Jack G. Voller.</t>
        </is>
      </c>
      <c r="H1835" t="inlineStr">
        <is>
          <t>No</t>
        </is>
      </c>
      <c r="I1835" t="inlineStr">
        <is>
          <t>1</t>
        </is>
      </c>
      <c r="J1835" t="inlineStr">
        <is>
          <t>No</t>
        </is>
      </c>
      <c r="K1835" t="inlineStr">
        <is>
          <t>No</t>
        </is>
      </c>
      <c r="L1835" t="inlineStr">
        <is>
          <t>0</t>
        </is>
      </c>
      <c r="M1835" t="inlineStr">
        <is>
          <t>Voller, Jack G.</t>
        </is>
      </c>
      <c r="N1835" t="inlineStr">
        <is>
          <t>DeKalb : Northern Illinois University Press, 1994.</t>
        </is>
      </c>
      <c r="O1835" t="inlineStr">
        <is>
          <t>1994</t>
        </is>
      </c>
      <c r="Q1835" t="inlineStr">
        <is>
          <t>eng</t>
        </is>
      </c>
      <c r="R1835" t="inlineStr">
        <is>
          <t>ilu</t>
        </is>
      </c>
      <c r="T1835" t="inlineStr">
        <is>
          <t xml:space="preserve">PR </t>
        </is>
      </c>
      <c r="U1835" t="n">
        <v>1</v>
      </c>
      <c r="V1835" t="n">
        <v>1</v>
      </c>
      <c r="W1835" t="inlineStr">
        <is>
          <t>2008-06-30</t>
        </is>
      </c>
      <c r="X1835" t="inlineStr">
        <is>
          <t>2008-06-30</t>
        </is>
      </c>
      <c r="Y1835" t="inlineStr">
        <is>
          <t>2008-06-30</t>
        </is>
      </c>
      <c r="Z1835" t="inlineStr">
        <is>
          <t>2008-06-30</t>
        </is>
      </c>
      <c r="AA1835" t="n">
        <v>336</v>
      </c>
      <c r="AB1835" t="n">
        <v>277</v>
      </c>
      <c r="AC1835" t="n">
        <v>277</v>
      </c>
      <c r="AD1835" t="n">
        <v>3</v>
      </c>
      <c r="AE1835" t="n">
        <v>3</v>
      </c>
      <c r="AF1835" t="n">
        <v>13</v>
      </c>
      <c r="AG1835" t="n">
        <v>13</v>
      </c>
      <c r="AH1835" t="n">
        <v>4</v>
      </c>
      <c r="AI1835" t="n">
        <v>4</v>
      </c>
      <c r="AJ1835" t="n">
        <v>4</v>
      </c>
      <c r="AK1835" t="n">
        <v>4</v>
      </c>
      <c r="AL1835" t="n">
        <v>8</v>
      </c>
      <c r="AM1835" t="n">
        <v>8</v>
      </c>
      <c r="AN1835" t="n">
        <v>2</v>
      </c>
      <c r="AO1835" t="n">
        <v>2</v>
      </c>
      <c r="AP1835" t="n">
        <v>0</v>
      </c>
      <c r="AQ1835" t="n">
        <v>0</v>
      </c>
      <c r="AR1835" t="inlineStr">
        <is>
          <t>No</t>
        </is>
      </c>
      <c r="AS1835" t="inlineStr">
        <is>
          <t>No</t>
        </is>
      </c>
      <c r="AU1835">
        <f>HYPERLINK("https://creighton-primo.hosted.exlibrisgroup.com/primo-explore/search?tab=default_tab&amp;search_scope=EVERYTHING&amp;vid=01CRU&amp;lang=en_US&amp;offset=0&amp;query=any,contains,991005239669702656","Catalog Record")</f>
        <v/>
      </c>
      <c r="AV1835">
        <f>HYPERLINK("http://www.worldcat.org/oclc/30068904","WorldCat Record")</f>
        <v/>
      </c>
      <c r="AW1835" t="inlineStr">
        <is>
          <t>346099896:eng</t>
        </is>
      </c>
      <c r="AX1835" t="inlineStr">
        <is>
          <t>30068904</t>
        </is>
      </c>
      <c r="AY1835" t="inlineStr">
        <is>
          <t>991005239669702656</t>
        </is>
      </c>
      <c r="AZ1835" t="inlineStr">
        <is>
          <t>991005239669702656</t>
        </is>
      </c>
      <c r="BA1835" t="inlineStr">
        <is>
          <t>2257130230002656</t>
        </is>
      </c>
      <c r="BB1835" t="inlineStr">
        <is>
          <t>BOOK</t>
        </is>
      </c>
      <c r="BD1835" t="inlineStr">
        <is>
          <t>9780875801940</t>
        </is>
      </c>
      <c r="BE1835" t="inlineStr">
        <is>
          <t>32285005447312</t>
        </is>
      </c>
      <c r="BF1835" t="inlineStr">
        <is>
          <t>893870744</t>
        </is>
      </c>
    </row>
    <row r="1836">
      <c r="A1836" t="inlineStr">
        <is>
          <t>No</t>
        </is>
      </c>
      <c r="B1836" t="inlineStr">
        <is>
          <t>CURAL</t>
        </is>
      </c>
      <c r="C1836" t="inlineStr">
        <is>
          <t>SHELVES</t>
        </is>
      </c>
      <c r="D1836" t="inlineStr">
        <is>
          <t>PR4581 .B75 1970b</t>
        </is>
      </c>
      <c r="E1836" t="inlineStr">
        <is>
          <t>0                      PR 4581000B  75          1970b</t>
        </is>
      </c>
      <c r="F1836" t="inlineStr">
        <is>
          <t>Dickens and his world / [by] Ivor Brown.</t>
        </is>
      </c>
      <c r="H1836" t="inlineStr">
        <is>
          <t>No</t>
        </is>
      </c>
      <c r="I1836" t="inlineStr">
        <is>
          <t>1</t>
        </is>
      </c>
      <c r="J1836" t="inlineStr">
        <is>
          <t>No</t>
        </is>
      </c>
      <c r="K1836" t="inlineStr">
        <is>
          <t>No</t>
        </is>
      </c>
      <c r="L1836" t="inlineStr">
        <is>
          <t>0</t>
        </is>
      </c>
      <c r="M1836" t="inlineStr">
        <is>
          <t>Brown, Ivor John Carnegie, 1891-1974.</t>
        </is>
      </c>
      <c r="N1836" t="inlineStr">
        <is>
          <t>London : Lutterworth P., 1970.</t>
        </is>
      </c>
      <c r="O1836" t="inlineStr">
        <is>
          <t>1970</t>
        </is>
      </c>
      <c r="Q1836" t="inlineStr">
        <is>
          <t>eng</t>
        </is>
      </c>
      <c r="R1836" t="inlineStr">
        <is>
          <t>enk</t>
        </is>
      </c>
      <c r="T1836" t="inlineStr">
        <is>
          <t xml:space="preserve">PR </t>
        </is>
      </c>
      <c r="U1836" t="n">
        <v>2</v>
      </c>
      <c r="V1836" t="n">
        <v>2</v>
      </c>
      <c r="W1836" t="inlineStr">
        <is>
          <t>2010-12-17</t>
        </is>
      </c>
      <c r="X1836" t="inlineStr">
        <is>
          <t>2010-12-17</t>
        </is>
      </c>
      <c r="Y1836" t="inlineStr">
        <is>
          <t>1995-04-12</t>
        </is>
      </c>
      <c r="Z1836" t="inlineStr">
        <is>
          <t>1995-04-12</t>
        </is>
      </c>
      <c r="AA1836" t="n">
        <v>149</v>
      </c>
      <c r="AB1836" t="n">
        <v>81</v>
      </c>
      <c r="AC1836" t="n">
        <v>429</v>
      </c>
      <c r="AD1836" t="n">
        <v>2</v>
      </c>
      <c r="AE1836" t="n">
        <v>5</v>
      </c>
      <c r="AF1836" t="n">
        <v>1</v>
      </c>
      <c r="AG1836" t="n">
        <v>6</v>
      </c>
      <c r="AH1836" t="n">
        <v>0</v>
      </c>
      <c r="AI1836" t="n">
        <v>1</v>
      </c>
      <c r="AJ1836" t="n">
        <v>0</v>
      </c>
      <c r="AK1836" t="n">
        <v>2</v>
      </c>
      <c r="AL1836" t="n">
        <v>0</v>
      </c>
      <c r="AM1836" t="n">
        <v>0</v>
      </c>
      <c r="AN1836" t="n">
        <v>1</v>
      </c>
      <c r="AO1836" t="n">
        <v>3</v>
      </c>
      <c r="AP1836" t="n">
        <v>0</v>
      </c>
      <c r="AQ1836" t="n">
        <v>0</v>
      </c>
      <c r="AR1836" t="inlineStr">
        <is>
          <t>No</t>
        </is>
      </c>
      <c r="AS1836" t="inlineStr">
        <is>
          <t>No</t>
        </is>
      </c>
      <c r="AU1836">
        <f>HYPERLINK("https://creighton-primo.hosted.exlibrisgroup.com/primo-explore/search?tab=default_tab&amp;search_scope=EVERYTHING&amp;vid=01CRU&amp;lang=en_US&amp;offset=0&amp;query=any,contains,991000703959702656","Catalog Record")</f>
        <v/>
      </c>
      <c r="AV1836">
        <f>HYPERLINK("http://www.worldcat.org/oclc/124365","WorldCat Record")</f>
        <v/>
      </c>
      <c r="AW1836" t="inlineStr">
        <is>
          <t>62930244:eng</t>
        </is>
      </c>
      <c r="AX1836" t="inlineStr">
        <is>
          <t>124365</t>
        </is>
      </c>
      <c r="AY1836" t="inlineStr">
        <is>
          <t>991000703959702656</t>
        </is>
      </c>
      <c r="AZ1836" t="inlineStr">
        <is>
          <t>991000703959702656</t>
        </is>
      </c>
      <c r="BA1836" t="inlineStr">
        <is>
          <t>2259796570002656</t>
        </is>
      </c>
      <c r="BB1836" t="inlineStr">
        <is>
          <t>BOOK</t>
        </is>
      </c>
      <c r="BD1836" t="inlineStr">
        <is>
          <t>9780718814250</t>
        </is>
      </c>
      <c r="BE1836" t="inlineStr">
        <is>
          <t>32285002026655</t>
        </is>
      </c>
      <c r="BF1836" t="inlineStr">
        <is>
          <t>893425958</t>
        </is>
      </c>
    </row>
    <row r="1837">
      <c r="A1837" t="inlineStr">
        <is>
          <t>No</t>
        </is>
      </c>
      <c r="B1837" t="inlineStr">
        <is>
          <t>CURAL</t>
        </is>
      </c>
      <c r="C1837" t="inlineStr">
        <is>
          <t>SHELVES</t>
        </is>
      </c>
      <c r="D1837" t="inlineStr">
        <is>
          <t>PR4581 .B88</t>
        </is>
      </c>
      <c r="E1837" t="inlineStr">
        <is>
          <t>0                      PR 4581000B  88</t>
        </is>
      </c>
      <c r="F1837" t="inlineStr">
        <is>
          <t>Dickens at work [by] John Butt and Kathleen Tillotson.</t>
        </is>
      </c>
      <c r="H1837" t="inlineStr">
        <is>
          <t>No</t>
        </is>
      </c>
      <c r="I1837" t="inlineStr">
        <is>
          <t>1</t>
        </is>
      </c>
      <c r="J1837" t="inlineStr">
        <is>
          <t>No</t>
        </is>
      </c>
      <c r="K1837" t="inlineStr">
        <is>
          <t>No</t>
        </is>
      </c>
      <c r="L1837" t="inlineStr">
        <is>
          <t>0</t>
        </is>
      </c>
      <c r="M1837" t="inlineStr">
        <is>
          <t>Butt, John, 1906-1965.</t>
        </is>
      </c>
      <c r="N1837" t="inlineStr">
        <is>
          <t>London, Methuen [1968]</t>
        </is>
      </c>
      <c r="O1837" t="inlineStr">
        <is>
          <t>1968</t>
        </is>
      </c>
      <c r="Q1837" t="inlineStr">
        <is>
          <t>eng</t>
        </is>
      </c>
      <c r="R1837" t="inlineStr">
        <is>
          <t>enk</t>
        </is>
      </c>
      <c r="T1837" t="inlineStr">
        <is>
          <t xml:space="preserve">PR </t>
        </is>
      </c>
      <c r="U1837" t="n">
        <v>3</v>
      </c>
      <c r="V1837" t="n">
        <v>3</v>
      </c>
      <c r="W1837" t="inlineStr">
        <is>
          <t>1999-03-22</t>
        </is>
      </c>
      <c r="X1837" t="inlineStr">
        <is>
          <t>1999-03-22</t>
        </is>
      </c>
      <c r="Y1837" t="inlineStr">
        <is>
          <t>1997-07-03</t>
        </is>
      </c>
      <c r="Z1837" t="inlineStr">
        <is>
          <t>1997-07-03</t>
        </is>
      </c>
      <c r="AA1837" t="n">
        <v>91</v>
      </c>
      <c r="AB1837" t="n">
        <v>41</v>
      </c>
      <c r="AC1837" t="n">
        <v>780</v>
      </c>
      <c r="AD1837" t="n">
        <v>2</v>
      </c>
      <c r="AE1837" t="n">
        <v>8</v>
      </c>
      <c r="AF1837" t="n">
        <v>5</v>
      </c>
      <c r="AG1837" t="n">
        <v>45</v>
      </c>
      <c r="AH1837" t="n">
        <v>2</v>
      </c>
      <c r="AI1837" t="n">
        <v>19</v>
      </c>
      <c r="AJ1837" t="n">
        <v>1</v>
      </c>
      <c r="AK1837" t="n">
        <v>8</v>
      </c>
      <c r="AL1837" t="n">
        <v>3</v>
      </c>
      <c r="AM1837" t="n">
        <v>23</v>
      </c>
      <c r="AN1837" t="n">
        <v>1</v>
      </c>
      <c r="AO1837" t="n">
        <v>6</v>
      </c>
      <c r="AP1837" t="n">
        <v>0</v>
      </c>
      <c r="AQ1837" t="n">
        <v>0</v>
      </c>
      <c r="AR1837" t="inlineStr">
        <is>
          <t>No</t>
        </is>
      </c>
      <c r="AS1837" t="inlineStr">
        <is>
          <t>No</t>
        </is>
      </c>
      <c r="AU1837">
        <f>HYPERLINK("https://creighton-primo.hosted.exlibrisgroup.com/primo-explore/search?tab=default_tab&amp;search_scope=EVERYTHING&amp;vid=01CRU&amp;lang=en_US&amp;offset=0&amp;query=any,contains,991000806419702656","Catalog Record")</f>
        <v/>
      </c>
      <c r="AV1837">
        <f>HYPERLINK("http://www.worldcat.org/oclc/13299755","WorldCat Record")</f>
        <v/>
      </c>
      <c r="AW1837" t="inlineStr">
        <is>
          <t>148066157:eng</t>
        </is>
      </c>
      <c r="AX1837" t="inlineStr">
        <is>
          <t>13299755</t>
        </is>
      </c>
      <c r="AY1837" t="inlineStr">
        <is>
          <t>991000806419702656</t>
        </is>
      </c>
      <c r="AZ1837" t="inlineStr">
        <is>
          <t>991000806419702656</t>
        </is>
      </c>
      <c r="BA1837" t="inlineStr">
        <is>
          <t>2267646480002656</t>
        </is>
      </c>
      <c r="BB1837" t="inlineStr">
        <is>
          <t>BOOK</t>
        </is>
      </c>
      <c r="BE1837" t="inlineStr">
        <is>
          <t>32285002888070</t>
        </is>
      </c>
      <c r="BF1837" t="inlineStr">
        <is>
          <t>893803089</t>
        </is>
      </c>
    </row>
    <row r="1838">
      <c r="A1838" t="inlineStr">
        <is>
          <t>No</t>
        </is>
      </c>
      <c r="B1838" t="inlineStr">
        <is>
          <t>CURAL</t>
        </is>
      </c>
      <c r="C1838" t="inlineStr">
        <is>
          <t>SHELVES</t>
        </is>
      </c>
      <c r="D1838" t="inlineStr">
        <is>
          <t>PR4581 .C65</t>
        </is>
      </c>
      <c r="E1838" t="inlineStr">
        <is>
          <t>0                      PR 4581000C  65</t>
        </is>
      </c>
      <c r="F1838" t="inlineStr">
        <is>
          <t>Discussions of Charles Dickens.</t>
        </is>
      </c>
      <c r="H1838" t="inlineStr">
        <is>
          <t>No</t>
        </is>
      </c>
      <c r="I1838" t="inlineStr">
        <is>
          <t>1</t>
        </is>
      </c>
      <c r="J1838" t="inlineStr">
        <is>
          <t>No</t>
        </is>
      </c>
      <c r="K1838" t="inlineStr">
        <is>
          <t>No</t>
        </is>
      </c>
      <c r="L1838" t="inlineStr">
        <is>
          <t>0</t>
        </is>
      </c>
      <c r="M1838" t="inlineStr">
        <is>
          <t>Clark, William Ross, editor.</t>
        </is>
      </c>
      <c r="N1838" t="inlineStr">
        <is>
          <t>Boston, Heath [1961]</t>
        </is>
      </c>
      <c r="O1838" t="inlineStr">
        <is>
          <t>1961</t>
        </is>
      </c>
      <c r="Q1838" t="inlineStr">
        <is>
          <t>eng</t>
        </is>
      </c>
      <c r="R1838" t="inlineStr">
        <is>
          <t>mau</t>
        </is>
      </c>
      <c r="S1838" t="inlineStr">
        <is>
          <t>Discussions of literature</t>
        </is>
      </c>
      <c r="T1838" t="inlineStr">
        <is>
          <t xml:space="preserve">PR </t>
        </is>
      </c>
      <c r="U1838" t="n">
        <v>2</v>
      </c>
      <c r="V1838" t="n">
        <v>2</v>
      </c>
      <c r="W1838" t="inlineStr">
        <is>
          <t>1997-10-29</t>
        </is>
      </c>
      <c r="X1838" t="inlineStr">
        <is>
          <t>1997-10-29</t>
        </is>
      </c>
      <c r="Y1838" t="inlineStr">
        <is>
          <t>1997-07-03</t>
        </is>
      </c>
      <c r="Z1838" t="inlineStr">
        <is>
          <t>1997-07-03</t>
        </is>
      </c>
      <c r="AA1838" t="n">
        <v>613</v>
      </c>
      <c r="AB1838" t="n">
        <v>561</v>
      </c>
      <c r="AC1838" t="n">
        <v>563</v>
      </c>
      <c r="AD1838" t="n">
        <v>4</v>
      </c>
      <c r="AE1838" t="n">
        <v>4</v>
      </c>
      <c r="AF1838" t="n">
        <v>20</v>
      </c>
      <c r="AG1838" t="n">
        <v>20</v>
      </c>
      <c r="AH1838" t="n">
        <v>7</v>
      </c>
      <c r="AI1838" t="n">
        <v>7</v>
      </c>
      <c r="AJ1838" t="n">
        <v>3</v>
      </c>
      <c r="AK1838" t="n">
        <v>3</v>
      </c>
      <c r="AL1838" t="n">
        <v>9</v>
      </c>
      <c r="AM1838" t="n">
        <v>9</v>
      </c>
      <c r="AN1838" t="n">
        <v>3</v>
      </c>
      <c r="AO1838" t="n">
        <v>3</v>
      </c>
      <c r="AP1838" t="n">
        <v>0</v>
      </c>
      <c r="AQ1838" t="n">
        <v>0</v>
      </c>
      <c r="AR1838" t="inlineStr">
        <is>
          <t>No</t>
        </is>
      </c>
      <c r="AS1838" t="inlineStr">
        <is>
          <t>No</t>
        </is>
      </c>
      <c r="AT1838">
        <f>HYPERLINK("http://catalog.hathitrust.org/Record/004465580","HathiTrust Record")</f>
        <v/>
      </c>
      <c r="AU1838">
        <f>HYPERLINK("https://creighton-primo.hosted.exlibrisgroup.com/primo-explore/search?tab=default_tab&amp;search_scope=EVERYTHING&amp;vid=01CRU&amp;lang=en_US&amp;offset=0&amp;query=any,contains,991002481869702656","Catalog Record")</f>
        <v/>
      </c>
      <c r="AV1838">
        <f>HYPERLINK("http://www.worldcat.org/oclc/359940","WorldCat Record")</f>
        <v/>
      </c>
      <c r="AW1838" t="inlineStr">
        <is>
          <t>280642929:eng</t>
        </is>
      </c>
      <c r="AX1838" t="inlineStr">
        <is>
          <t>359940</t>
        </is>
      </c>
      <c r="AY1838" t="inlineStr">
        <is>
          <t>991002481869702656</t>
        </is>
      </c>
      <c r="AZ1838" t="inlineStr">
        <is>
          <t>991002481869702656</t>
        </is>
      </c>
      <c r="BA1838" t="inlineStr">
        <is>
          <t>2272500110002656</t>
        </is>
      </c>
      <c r="BB1838" t="inlineStr">
        <is>
          <t>BOOK</t>
        </is>
      </c>
      <c r="BE1838" t="inlineStr">
        <is>
          <t>32285002888096</t>
        </is>
      </c>
      <c r="BF1838" t="inlineStr">
        <is>
          <t>893786207</t>
        </is>
      </c>
    </row>
    <row r="1839">
      <c r="A1839" t="inlineStr">
        <is>
          <t>No</t>
        </is>
      </c>
      <c r="B1839" t="inlineStr">
        <is>
          <t>CURAL</t>
        </is>
      </c>
      <c r="C1839" t="inlineStr">
        <is>
          <t>SHELVES</t>
        </is>
      </c>
      <c r="D1839" t="inlineStr">
        <is>
          <t>PR4581 .H34 1968</t>
        </is>
      </c>
      <c r="E1839" t="inlineStr">
        <is>
          <t>0                      PR 4581000H  34          1968</t>
        </is>
      </c>
      <c r="F1839" t="inlineStr">
        <is>
          <t>The Charles Dickens companion / Michael and Mollie Hardwick.</t>
        </is>
      </c>
      <c r="H1839" t="inlineStr">
        <is>
          <t>No</t>
        </is>
      </c>
      <c r="I1839" t="inlineStr">
        <is>
          <t>1</t>
        </is>
      </c>
      <c r="J1839" t="inlineStr">
        <is>
          <t>No</t>
        </is>
      </c>
      <c r="K1839" t="inlineStr">
        <is>
          <t>No</t>
        </is>
      </c>
      <c r="L1839" t="inlineStr">
        <is>
          <t>0</t>
        </is>
      </c>
      <c r="M1839" t="inlineStr">
        <is>
          <t>Hardwick, Michael, 1924-1991.</t>
        </is>
      </c>
      <c r="N1839" t="inlineStr">
        <is>
          <t>New York : Dutton ; 1968 [c1965]</t>
        </is>
      </c>
      <c r="O1839" t="inlineStr">
        <is>
          <t>1968</t>
        </is>
      </c>
      <c r="Q1839" t="inlineStr">
        <is>
          <t>eng</t>
        </is>
      </c>
      <c r="R1839" t="inlineStr">
        <is>
          <t>nyu</t>
        </is>
      </c>
      <c r="S1839" t="inlineStr">
        <is>
          <t>A Dutton paperback</t>
        </is>
      </c>
      <c r="T1839" t="inlineStr">
        <is>
          <t xml:space="preserve">PR </t>
        </is>
      </c>
      <c r="U1839" t="n">
        <v>6</v>
      </c>
      <c r="V1839" t="n">
        <v>6</v>
      </c>
      <c r="W1839" t="inlineStr">
        <is>
          <t>1997-10-29</t>
        </is>
      </c>
      <c r="X1839" t="inlineStr">
        <is>
          <t>1997-10-29</t>
        </is>
      </c>
      <c r="Y1839" t="inlineStr">
        <is>
          <t>1991-11-06</t>
        </is>
      </c>
      <c r="Z1839" t="inlineStr">
        <is>
          <t>1991-11-06</t>
        </is>
      </c>
      <c r="AA1839" t="n">
        <v>52</v>
      </c>
      <c r="AB1839" t="n">
        <v>51</v>
      </c>
      <c r="AC1839" t="n">
        <v>766</v>
      </c>
      <c r="AD1839" t="n">
        <v>1</v>
      </c>
      <c r="AE1839" t="n">
        <v>8</v>
      </c>
      <c r="AF1839" t="n">
        <v>3</v>
      </c>
      <c r="AG1839" t="n">
        <v>22</v>
      </c>
      <c r="AH1839" t="n">
        <v>3</v>
      </c>
      <c r="AI1839" t="n">
        <v>6</v>
      </c>
      <c r="AJ1839" t="n">
        <v>0</v>
      </c>
      <c r="AK1839" t="n">
        <v>4</v>
      </c>
      <c r="AL1839" t="n">
        <v>0</v>
      </c>
      <c r="AM1839" t="n">
        <v>12</v>
      </c>
      <c r="AN1839" t="n">
        <v>0</v>
      </c>
      <c r="AO1839" t="n">
        <v>3</v>
      </c>
      <c r="AP1839" t="n">
        <v>0</v>
      </c>
      <c r="AQ1839" t="n">
        <v>0</v>
      </c>
      <c r="AR1839" t="inlineStr">
        <is>
          <t>No</t>
        </is>
      </c>
      <c r="AS1839" t="inlineStr">
        <is>
          <t>Yes</t>
        </is>
      </c>
      <c r="AT1839">
        <f>HYPERLINK("http://catalog.hathitrust.org/Record/102088874","HathiTrust Record")</f>
        <v/>
      </c>
      <c r="AU1839">
        <f>HYPERLINK("https://creighton-primo.hosted.exlibrisgroup.com/primo-explore/search?tab=default_tab&amp;search_scope=EVERYTHING&amp;vid=01CRU&amp;lang=en_US&amp;offset=0&amp;query=any,contains,991004388689702656","Catalog Record")</f>
        <v/>
      </c>
      <c r="AV1839">
        <f>HYPERLINK("http://www.worldcat.org/oclc/3254522","WorldCat Record")</f>
        <v/>
      </c>
      <c r="AW1839" t="inlineStr">
        <is>
          <t>350678815:eng</t>
        </is>
      </c>
      <c r="AX1839" t="inlineStr">
        <is>
          <t>3254522</t>
        </is>
      </c>
      <c r="AY1839" t="inlineStr">
        <is>
          <t>991004388689702656</t>
        </is>
      </c>
      <c r="AZ1839" t="inlineStr">
        <is>
          <t>991004388689702656</t>
        </is>
      </c>
      <c r="BA1839" t="inlineStr">
        <is>
          <t>2255224280002656</t>
        </is>
      </c>
      <c r="BB1839" t="inlineStr">
        <is>
          <t>BOOK</t>
        </is>
      </c>
      <c r="BE1839" t="inlineStr">
        <is>
          <t>32285000798131</t>
        </is>
      </c>
      <c r="BF1839" t="inlineStr">
        <is>
          <t>893259668</t>
        </is>
      </c>
    </row>
    <row r="1840">
      <c r="A1840" t="inlineStr">
        <is>
          <t>No</t>
        </is>
      </c>
      <c r="B1840" t="inlineStr">
        <is>
          <t>CURAL</t>
        </is>
      </c>
      <c r="C1840" t="inlineStr">
        <is>
          <t>SHELVES</t>
        </is>
      </c>
      <c r="D1840" t="inlineStr">
        <is>
          <t>PR4581 .H6 1981</t>
        </is>
      </c>
      <c r="E1840" t="inlineStr">
        <is>
          <t>0                      PR 4581000H  6           1981</t>
        </is>
      </c>
      <c r="F1840" t="inlineStr">
        <is>
          <t>The reader in the Dickens world : style and response / Susan R. Horton.</t>
        </is>
      </c>
      <c r="H1840" t="inlineStr">
        <is>
          <t>No</t>
        </is>
      </c>
      <c r="I1840" t="inlineStr">
        <is>
          <t>1</t>
        </is>
      </c>
      <c r="J1840" t="inlineStr">
        <is>
          <t>No</t>
        </is>
      </c>
      <c r="K1840" t="inlineStr">
        <is>
          <t>No</t>
        </is>
      </c>
      <c r="L1840" t="inlineStr">
        <is>
          <t>0</t>
        </is>
      </c>
      <c r="M1840" t="inlineStr">
        <is>
          <t>Horton, Susan R.</t>
        </is>
      </c>
      <c r="N1840" t="inlineStr">
        <is>
          <t>Pittsburgh, Pa. : University of Pittsburgh Press, 1981.</t>
        </is>
      </c>
      <c r="O1840" t="inlineStr">
        <is>
          <t>1981</t>
        </is>
      </c>
      <c r="Q1840" t="inlineStr">
        <is>
          <t>eng</t>
        </is>
      </c>
      <c r="R1840" t="inlineStr">
        <is>
          <t>pau</t>
        </is>
      </c>
      <c r="T1840" t="inlineStr">
        <is>
          <t xml:space="preserve">PR </t>
        </is>
      </c>
      <c r="U1840" t="n">
        <v>1</v>
      </c>
      <c r="V1840" t="n">
        <v>1</v>
      </c>
      <c r="W1840" t="inlineStr">
        <is>
          <t>1997-03-01</t>
        </is>
      </c>
      <c r="X1840" t="inlineStr">
        <is>
          <t>1997-03-01</t>
        </is>
      </c>
      <c r="Y1840" t="inlineStr">
        <is>
          <t>1991-11-06</t>
        </is>
      </c>
      <c r="Z1840" t="inlineStr">
        <is>
          <t>1991-11-06</t>
        </is>
      </c>
      <c r="AA1840" t="n">
        <v>374</v>
      </c>
      <c r="AB1840" t="n">
        <v>341</v>
      </c>
      <c r="AC1840" t="n">
        <v>370</v>
      </c>
      <c r="AD1840" t="n">
        <v>3</v>
      </c>
      <c r="AE1840" t="n">
        <v>3</v>
      </c>
      <c r="AF1840" t="n">
        <v>16</v>
      </c>
      <c r="AG1840" t="n">
        <v>16</v>
      </c>
      <c r="AH1840" t="n">
        <v>4</v>
      </c>
      <c r="AI1840" t="n">
        <v>4</v>
      </c>
      <c r="AJ1840" t="n">
        <v>4</v>
      </c>
      <c r="AK1840" t="n">
        <v>4</v>
      </c>
      <c r="AL1840" t="n">
        <v>11</v>
      </c>
      <c r="AM1840" t="n">
        <v>11</v>
      </c>
      <c r="AN1840" t="n">
        <v>2</v>
      </c>
      <c r="AO1840" t="n">
        <v>2</v>
      </c>
      <c r="AP1840" t="n">
        <v>0</v>
      </c>
      <c r="AQ1840" t="n">
        <v>0</v>
      </c>
      <c r="AR1840" t="inlineStr">
        <is>
          <t>No</t>
        </is>
      </c>
      <c r="AS1840" t="inlineStr">
        <is>
          <t>Yes</t>
        </is>
      </c>
      <c r="AT1840">
        <f>HYPERLINK("http://catalog.hathitrust.org/Record/008322991","HathiTrust Record")</f>
        <v/>
      </c>
      <c r="AU1840">
        <f>HYPERLINK("https://creighton-primo.hosted.exlibrisgroup.com/primo-explore/search?tab=default_tab&amp;search_scope=EVERYTHING&amp;vid=01CRU&amp;lang=en_US&amp;offset=0&amp;query=any,contains,991005032579702656","Catalog Record")</f>
        <v/>
      </c>
      <c r="AV1840">
        <f>HYPERLINK("http://www.worldcat.org/oclc/6734702","WorldCat Record")</f>
        <v/>
      </c>
      <c r="AW1840" t="inlineStr">
        <is>
          <t>836667700:eng</t>
        </is>
      </c>
      <c r="AX1840" t="inlineStr">
        <is>
          <t>6734702</t>
        </is>
      </c>
      <c r="AY1840" t="inlineStr">
        <is>
          <t>991005032579702656</t>
        </is>
      </c>
      <c r="AZ1840" t="inlineStr">
        <is>
          <t>991005032579702656</t>
        </is>
      </c>
      <c r="BA1840" t="inlineStr">
        <is>
          <t>2268429710002656</t>
        </is>
      </c>
      <c r="BB1840" t="inlineStr">
        <is>
          <t>BOOK</t>
        </is>
      </c>
      <c r="BD1840" t="inlineStr">
        <is>
          <t>9780822911401</t>
        </is>
      </c>
      <c r="BE1840" t="inlineStr">
        <is>
          <t>32285000798149</t>
        </is>
      </c>
      <c r="BF1840" t="inlineStr">
        <is>
          <t>893707143</t>
        </is>
      </c>
    </row>
    <row r="1841">
      <c r="A1841" t="inlineStr">
        <is>
          <t>No</t>
        </is>
      </c>
      <c r="B1841" t="inlineStr">
        <is>
          <t>CURAL</t>
        </is>
      </c>
      <c r="C1841" t="inlineStr">
        <is>
          <t>SHELVES</t>
        </is>
      </c>
      <c r="D1841" t="inlineStr">
        <is>
          <t>PR4581 .J6</t>
        </is>
      </c>
      <c r="E1841" t="inlineStr">
        <is>
          <t>0                      PR 4581000J  6</t>
        </is>
      </c>
      <c r="F1841" t="inlineStr">
        <is>
          <t>Charles Dickens, his tragedy and triumph.</t>
        </is>
      </c>
      <c r="G1841" t="inlineStr">
        <is>
          <t>V.1</t>
        </is>
      </c>
      <c r="H1841" t="inlineStr">
        <is>
          <t>Yes</t>
        </is>
      </c>
      <c r="I1841" t="inlineStr">
        <is>
          <t>1</t>
        </is>
      </c>
      <c r="J1841" t="inlineStr">
        <is>
          <t>No</t>
        </is>
      </c>
      <c r="K1841" t="inlineStr">
        <is>
          <t>Yes</t>
        </is>
      </c>
      <c r="L1841" t="inlineStr">
        <is>
          <t>0</t>
        </is>
      </c>
      <c r="M1841" t="inlineStr">
        <is>
          <t>Johnson, Edgar.</t>
        </is>
      </c>
      <c r="N1841" t="inlineStr">
        <is>
          <t>[New York] : Simon and Schuster, 1952.</t>
        </is>
      </c>
      <c r="O1841" t="inlineStr">
        <is>
          <t>1952</t>
        </is>
      </c>
      <c r="Q1841" t="inlineStr">
        <is>
          <t>eng</t>
        </is>
      </c>
      <c r="R1841" t="inlineStr">
        <is>
          <t>nyu</t>
        </is>
      </c>
      <c r="T1841" t="inlineStr">
        <is>
          <t xml:space="preserve">PR </t>
        </is>
      </c>
      <c r="U1841" t="n">
        <v>2</v>
      </c>
      <c r="V1841" t="n">
        <v>3</v>
      </c>
      <c r="W1841" t="inlineStr">
        <is>
          <t>1995-02-09</t>
        </is>
      </c>
      <c r="X1841" t="inlineStr">
        <is>
          <t>1995-02-09</t>
        </is>
      </c>
      <c r="Y1841" t="inlineStr">
        <is>
          <t>1991-05-15</t>
        </is>
      </c>
      <c r="Z1841" t="inlineStr">
        <is>
          <t>1991-11-06</t>
        </is>
      </c>
      <c r="AA1841" t="n">
        <v>2048</v>
      </c>
      <c r="AB1841" t="n">
        <v>1920</v>
      </c>
      <c r="AC1841" t="n">
        <v>2448</v>
      </c>
      <c r="AD1841" t="n">
        <v>21</v>
      </c>
      <c r="AE1841" t="n">
        <v>24</v>
      </c>
      <c r="AF1841" t="n">
        <v>56</v>
      </c>
      <c r="AG1841" t="n">
        <v>64</v>
      </c>
      <c r="AH1841" t="n">
        <v>23</v>
      </c>
      <c r="AI1841" t="n">
        <v>29</v>
      </c>
      <c r="AJ1841" t="n">
        <v>10</v>
      </c>
      <c r="AK1841" t="n">
        <v>10</v>
      </c>
      <c r="AL1841" t="n">
        <v>26</v>
      </c>
      <c r="AM1841" t="n">
        <v>27</v>
      </c>
      <c r="AN1841" t="n">
        <v>10</v>
      </c>
      <c r="AO1841" t="n">
        <v>12</v>
      </c>
      <c r="AP1841" t="n">
        <v>0</v>
      </c>
      <c r="AQ1841" t="n">
        <v>0</v>
      </c>
      <c r="AR1841" t="inlineStr">
        <is>
          <t>No</t>
        </is>
      </c>
      <c r="AS1841" t="inlineStr">
        <is>
          <t>No</t>
        </is>
      </c>
      <c r="AT1841">
        <f>HYPERLINK("http://catalog.hathitrust.org/Record/000557529","HathiTrust Record")</f>
        <v/>
      </c>
      <c r="AU1841">
        <f>HYPERLINK("https://creighton-primo.hosted.exlibrisgroup.com/primo-explore/search?tab=default_tab&amp;search_scope=EVERYTHING&amp;vid=01CRU&amp;lang=en_US&amp;offset=0&amp;query=any,contains,991002225999702656","Catalog Record")</f>
        <v/>
      </c>
      <c r="AV1841">
        <f>HYPERLINK("http://www.worldcat.org/oclc/291504","WorldCat Record")</f>
        <v/>
      </c>
      <c r="AW1841" t="inlineStr">
        <is>
          <t>515466:eng</t>
        </is>
      </c>
      <c r="AX1841" t="inlineStr">
        <is>
          <t>291504</t>
        </is>
      </c>
      <c r="AY1841" t="inlineStr">
        <is>
          <t>991002225999702656</t>
        </is>
      </c>
      <c r="AZ1841" t="inlineStr">
        <is>
          <t>991002225999702656</t>
        </is>
      </c>
      <c r="BA1841" t="inlineStr">
        <is>
          <t>2268044170002656</t>
        </is>
      </c>
      <c r="BB1841" t="inlineStr">
        <is>
          <t>BOOK</t>
        </is>
      </c>
      <c r="BE1841" t="inlineStr">
        <is>
          <t>32285000595180</t>
        </is>
      </c>
      <c r="BF1841" t="inlineStr">
        <is>
          <t>893798335</t>
        </is>
      </c>
    </row>
    <row r="1842">
      <c r="A1842" t="inlineStr">
        <is>
          <t>No</t>
        </is>
      </c>
      <c r="B1842" t="inlineStr">
        <is>
          <t>CURAL</t>
        </is>
      </c>
      <c r="C1842" t="inlineStr">
        <is>
          <t>SHELVES</t>
        </is>
      </c>
      <c r="D1842" t="inlineStr">
        <is>
          <t>PR4581 .J6</t>
        </is>
      </c>
      <c r="E1842" t="inlineStr">
        <is>
          <t>0                      PR 4581000J  6</t>
        </is>
      </c>
      <c r="F1842" t="inlineStr">
        <is>
          <t>Charles Dickens, his tragedy and triumph.</t>
        </is>
      </c>
      <c r="G1842" t="inlineStr">
        <is>
          <t>V.2</t>
        </is>
      </c>
      <c r="H1842" t="inlineStr">
        <is>
          <t>Yes</t>
        </is>
      </c>
      <c r="I1842" t="inlineStr">
        <is>
          <t>1</t>
        </is>
      </c>
      <c r="J1842" t="inlineStr">
        <is>
          <t>No</t>
        </is>
      </c>
      <c r="K1842" t="inlineStr">
        <is>
          <t>Yes</t>
        </is>
      </c>
      <c r="L1842" t="inlineStr">
        <is>
          <t>0</t>
        </is>
      </c>
      <c r="M1842" t="inlineStr">
        <is>
          <t>Johnson, Edgar.</t>
        </is>
      </c>
      <c r="N1842" t="inlineStr">
        <is>
          <t>[New York] : Simon and Schuster, 1952.</t>
        </is>
      </c>
      <c r="O1842" t="inlineStr">
        <is>
          <t>1952</t>
        </is>
      </c>
      <c r="Q1842" t="inlineStr">
        <is>
          <t>eng</t>
        </is>
      </c>
      <c r="R1842" t="inlineStr">
        <is>
          <t>nyu</t>
        </is>
      </c>
      <c r="T1842" t="inlineStr">
        <is>
          <t xml:space="preserve">PR </t>
        </is>
      </c>
      <c r="U1842" t="n">
        <v>1</v>
      </c>
      <c r="V1842" t="n">
        <v>3</v>
      </c>
      <c r="W1842" t="inlineStr">
        <is>
          <t>1995-02-09</t>
        </is>
      </c>
      <c r="X1842" t="inlineStr">
        <is>
          <t>1995-02-09</t>
        </is>
      </c>
      <c r="Y1842" t="inlineStr">
        <is>
          <t>1991-11-06</t>
        </is>
      </c>
      <c r="Z1842" t="inlineStr">
        <is>
          <t>1991-11-06</t>
        </is>
      </c>
      <c r="AA1842" t="n">
        <v>2048</v>
      </c>
      <c r="AB1842" t="n">
        <v>1920</v>
      </c>
      <c r="AC1842" t="n">
        <v>2448</v>
      </c>
      <c r="AD1842" t="n">
        <v>21</v>
      </c>
      <c r="AE1842" t="n">
        <v>24</v>
      </c>
      <c r="AF1842" t="n">
        <v>56</v>
      </c>
      <c r="AG1842" t="n">
        <v>64</v>
      </c>
      <c r="AH1842" t="n">
        <v>23</v>
      </c>
      <c r="AI1842" t="n">
        <v>29</v>
      </c>
      <c r="AJ1842" t="n">
        <v>10</v>
      </c>
      <c r="AK1842" t="n">
        <v>10</v>
      </c>
      <c r="AL1842" t="n">
        <v>26</v>
      </c>
      <c r="AM1842" t="n">
        <v>27</v>
      </c>
      <c r="AN1842" t="n">
        <v>10</v>
      </c>
      <c r="AO1842" t="n">
        <v>12</v>
      </c>
      <c r="AP1842" t="n">
        <v>0</v>
      </c>
      <c r="AQ1842" t="n">
        <v>0</v>
      </c>
      <c r="AR1842" t="inlineStr">
        <is>
          <t>No</t>
        </is>
      </c>
      <c r="AS1842" t="inlineStr">
        <is>
          <t>No</t>
        </is>
      </c>
      <c r="AT1842">
        <f>HYPERLINK("http://catalog.hathitrust.org/Record/000557529","HathiTrust Record")</f>
        <v/>
      </c>
      <c r="AU1842">
        <f>HYPERLINK("https://creighton-primo.hosted.exlibrisgroup.com/primo-explore/search?tab=default_tab&amp;search_scope=EVERYTHING&amp;vid=01CRU&amp;lang=en_US&amp;offset=0&amp;query=any,contains,991002225999702656","Catalog Record")</f>
        <v/>
      </c>
      <c r="AV1842">
        <f>HYPERLINK("http://www.worldcat.org/oclc/291504","WorldCat Record")</f>
        <v/>
      </c>
      <c r="AW1842" t="inlineStr">
        <is>
          <t>515466:eng</t>
        </is>
      </c>
      <c r="AX1842" t="inlineStr">
        <is>
          <t>291504</t>
        </is>
      </c>
      <c r="AY1842" t="inlineStr">
        <is>
          <t>991002225999702656</t>
        </is>
      </c>
      <c r="AZ1842" t="inlineStr">
        <is>
          <t>991002225999702656</t>
        </is>
      </c>
      <c r="BA1842" t="inlineStr">
        <is>
          <t>2268044170002656</t>
        </is>
      </c>
      <c r="BB1842" t="inlineStr">
        <is>
          <t>BOOK</t>
        </is>
      </c>
      <c r="BE1842" t="inlineStr">
        <is>
          <t>32285000797240</t>
        </is>
      </c>
      <c r="BF1842" t="inlineStr">
        <is>
          <t>893792193</t>
        </is>
      </c>
    </row>
    <row r="1843">
      <c r="A1843" t="inlineStr">
        <is>
          <t>No</t>
        </is>
      </c>
      <c r="B1843" t="inlineStr">
        <is>
          <t>CURAL</t>
        </is>
      </c>
      <c r="C1843" t="inlineStr">
        <is>
          <t>SHELVES</t>
        </is>
      </c>
      <c r="D1843" t="inlineStr">
        <is>
          <t>PR4581 .K28 1988</t>
        </is>
      </c>
      <c r="E1843" t="inlineStr">
        <is>
          <t>0                      PR 4581000K  28          1988</t>
        </is>
      </c>
      <c r="F1843" t="inlineStr">
        <is>
          <t>Dickens : a biography / Fred Kaplan.</t>
        </is>
      </c>
      <c r="H1843" t="inlineStr">
        <is>
          <t>No</t>
        </is>
      </c>
      <c r="I1843" t="inlineStr">
        <is>
          <t>1</t>
        </is>
      </c>
      <c r="J1843" t="inlineStr">
        <is>
          <t>No</t>
        </is>
      </c>
      <c r="K1843" t="inlineStr">
        <is>
          <t>No</t>
        </is>
      </c>
      <c r="L1843" t="inlineStr">
        <is>
          <t>0</t>
        </is>
      </c>
      <c r="M1843" t="inlineStr">
        <is>
          <t>Kaplan, Fred, 1937-</t>
        </is>
      </c>
      <c r="N1843" t="inlineStr">
        <is>
          <t>New York, N.Y. : Morrow, 1988.</t>
        </is>
      </c>
      <c r="O1843" t="inlineStr">
        <is>
          <t>1988</t>
        </is>
      </c>
      <c r="P1843" t="inlineStr">
        <is>
          <t>1st ed.</t>
        </is>
      </c>
      <c r="Q1843" t="inlineStr">
        <is>
          <t>eng</t>
        </is>
      </c>
      <c r="R1843" t="inlineStr">
        <is>
          <t>nyu</t>
        </is>
      </c>
      <c r="T1843" t="inlineStr">
        <is>
          <t xml:space="preserve">PR </t>
        </is>
      </c>
      <c r="U1843" t="n">
        <v>2</v>
      </c>
      <c r="V1843" t="n">
        <v>2</v>
      </c>
      <c r="W1843" t="inlineStr">
        <is>
          <t>2009-04-18</t>
        </is>
      </c>
      <c r="X1843" t="inlineStr">
        <is>
          <t>2009-04-18</t>
        </is>
      </c>
      <c r="Y1843" t="inlineStr">
        <is>
          <t>1991-11-06</t>
        </is>
      </c>
      <c r="Z1843" t="inlineStr">
        <is>
          <t>1991-11-06</t>
        </is>
      </c>
      <c r="AA1843" t="n">
        <v>1712</v>
      </c>
      <c r="AB1843" t="n">
        <v>1540</v>
      </c>
      <c r="AC1843" t="n">
        <v>1892</v>
      </c>
      <c r="AD1843" t="n">
        <v>11</v>
      </c>
      <c r="AE1843" t="n">
        <v>14</v>
      </c>
      <c r="AF1843" t="n">
        <v>45</v>
      </c>
      <c r="AG1843" t="n">
        <v>53</v>
      </c>
      <c r="AH1843" t="n">
        <v>21</v>
      </c>
      <c r="AI1843" t="n">
        <v>25</v>
      </c>
      <c r="AJ1843" t="n">
        <v>9</v>
      </c>
      <c r="AK1843" t="n">
        <v>9</v>
      </c>
      <c r="AL1843" t="n">
        <v>20</v>
      </c>
      <c r="AM1843" t="n">
        <v>21</v>
      </c>
      <c r="AN1843" t="n">
        <v>7</v>
      </c>
      <c r="AO1843" t="n">
        <v>10</v>
      </c>
      <c r="AP1843" t="n">
        <v>0</v>
      </c>
      <c r="AQ1843" t="n">
        <v>0</v>
      </c>
      <c r="AR1843" t="inlineStr">
        <is>
          <t>No</t>
        </is>
      </c>
      <c r="AS1843" t="inlineStr">
        <is>
          <t>Yes</t>
        </is>
      </c>
      <c r="AT1843">
        <f>HYPERLINK("http://catalog.hathitrust.org/Record/001072686","HathiTrust Record")</f>
        <v/>
      </c>
      <c r="AU1843">
        <f>HYPERLINK("https://creighton-primo.hosted.exlibrisgroup.com/primo-explore/search?tab=default_tab&amp;search_scope=EVERYTHING&amp;vid=01CRU&amp;lang=en_US&amp;offset=0&amp;query=any,contains,991001297469702656","Catalog Record")</f>
        <v/>
      </c>
      <c r="AV1843">
        <f>HYPERLINK("http://www.worldcat.org/oclc/18050286","WorldCat Record")</f>
        <v/>
      </c>
      <c r="AW1843" t="inlineStr">
        <is>
          <t>836719499:eng</t>
        </is>
      </c>
      <c r="AX1843" t="inlineStr">
        <is>
          <t>18050286</t>
        </is>
      </c>
      <c r="AY1843" t="inlineStr">
        <is>
          <t>991001297469702656</t>
        </is>
      </c>
      <c r="AZ1843" t="inlineStr">
        <is>
          <t>991001297469702656</t>
        </is>
      </c>
      <c r="BA1843" t="inlineStr">
        <is>
          <t>2268656360002656</t>
        </is>
      </c>
      <c r="BB1843" t="inlineStr">
        <is>
          <t>BOOK</t>
        </is>
      </c>
      <c r="BD1843" t="inlineStr">
        <is>
          <t>9780688043414</t>
        </is>
      </c>
      <c r="BE1843" t="inlineStr">
        <is>
          <t>32285000798156</t>
        </is>
      </c>
      <c r="BF1843" t="inlineStr">
        <is>
          <t>893897686</t>
        </is>
      </c>
    </row>
    <row r="1844">
      <c r="A1844" t="inlineStr">
        <is>
          <t>No</t>
        </is>
      </c>
      <c r="B1844" t="inlineStr">
        <is>
          <t>CURAL</t>
        </is>
      </c>
      <c r="C1844" t="inlineStr">
        <is>
          <t>SHELVES</t>
        </is>
      </c>
      <c r="D1844" t="inlineStr">
        <is>
          <t>PR4581 .M18</t>
        </is>
      </c>
      <c r="E1844" t="inlineStr">
        <is>
          <t>0                      PR 4581000M  18</t>
        </is>
      </c>
      <c r="F1844" t="inlineStr">
        <is>
          <t>Dickens, a life / Norman and Jeanne MacKenzie.</t>
        </is>
      </c>
      <c r="H1844" t="inlineStr">
        <is>
          <t>No</t>
        </is>
      </c>
      <c r="I1844" t="inlineStr">
        <is>
          <t>1</t>
        </is>
      </c>
      <c r="J1844" t="inlineStr">
        <is>
          <t>No</t>
        </is>
      </c>
      <c r="K1844" t="inlineStr">
        <is>
          <t>No</t>
        </is>
      </c>
      <c r="L1844" t="inlineStr">
        <is>
          <t>0</t>
        </is>
      </c>
      <c r="M1844" t="inlineStr">
        <is>
          <t>MacKenzie, Norman, 1921-2013.</t>
        </is>
      </c>
      <c r="N1844" t="inlineStr">
        <is>
          <t>Oxford ; New York : Oxford University Press, 1979.</t>
        </is>
      </c>
      <c r="O1844" t="inlineStr">
        <is>
          <t>1979</t>
        </is>
      </c>
      <c r="Q1844" t="inlineStr">
        <is>
          <t>eng</t>
        </is>
      </c>
      <c r="R1844" t="inlineStr">
        <is>
          <t>enk</t>
        </is>
      </c>
      <c r="T1844" t="inlineStr">
        <is>
          <t xml:space="preserve">PR </t>
        </is>
      </c>
      <c r="U1844" t="n">
        <v>1</v>
      </c>
      <c r="V1844" t="n">
        <v>1</v>
      </c>
      <c r="W1844" t="inlineStr">
        <is>
          <t>1994-10-16</t>
        </is>
      </c>
      <c r="X1844" t="inlineStr">
        <is>
          <t>1994-10-16</t>
        </is>
      </c>
      <c r="Y1844" t="inlineStr">
        <is>
          <t>1991-11-06</t>
        </is>
      </c>
      <c r="Z1844" t="inlineStr">
        <is>
          <t>1991-11-06</t>
        </is>
      </c>
      <c r="AA1844" t="n">
        <v>1346</v>
      </c>
      <c r="AB1844" t="n">
        <v>1086</v>
      </c>
      <c r="AC1844" t="n">
        <v>1099</v>
      </c>
      <c r="AD1844" t="n">
        <v>10</v>
      </c>
      <c r="AE1844" t="n">
        <v>10</v>
      </c>
      <c r="AF1844" t="n">
        <v>39</v>
      </c>
      <c r="AG1844" t="n">
        <v>39</v>
      </c>
      <c r="AH1844" t="n">
        <v>15</v>
      </c>
      <c r="AI1844" t="n">
        <v>15</v>
      </c>
      <c r="AJ1844" t="n">
        <v>8</v>
      </c>
      <c r="AK1844" t="n">
        <v>8</v>
      </c>
      <c r="AL1844" t="n">
        <v>16</v>
      </c>
      <c r="AM1844" t="n">
        <v>16</v>
      </c>
      <c r="AN1844" t="n">
        <v>9</v>
      </c>
      <c r="AO1844" t="n">
        <v>9</v>
      </c>
      <c r="AP1844" t="n">
        <v>0</v>
      </c>
      <c r="AQ1844" t="n">
        <v>0</v>
      </c>
      <c r="AR1844" t="inlineStr">
        <is>
          <t>No</t>
        </is>
      </c>
      <c r="AS1844" t="inlineStr">
        <is>
          <t>Yes</t>
        </is>
      </c>
      <c r="AT1844">
        <f>HYPERLINK("http://catalog.hathitrust.org/Record/000255983","HathiTrust Record")</f>
        <v/>
      </c>
      <c r="AU1844">
        <f>HYPERLINK("https://creighton-primo.hosted.exlibrisgroup.com/primo-explore/search?tab=default_tab&amp;search_scope=EVERYTHING&amp;vid=01CRU&amp;lang=en_US&amp;offset=0&amp;query=any,contains,991004652719702656","Catalog Record")</f>
        <v/>
      </c>
      <c r="AV1844">
        <f>HYPERLINK("http://www.worldcat.org/oclc/4494432","WorldCat Record")</f>
        <v/>
      </c>
      <c r="AW1844" t="inlineStr">
        <is>
          <t>1935250148:eng</t>
        </is>
      </c>
      <c r="AX1844" t="inlineStr">
        <is>
          <t>4494432</t>
        </is>
      </c>
      <c r="AY1844" t="inlineStr">
        <is>
          <t>991004652719702656</t>
        </is>
      </c>
      <c r="AZ1844" t="inlineStr">
        <is>
          <t>991004652719702656</t>
        </is>
      </c>
      <c r="BA1844" t="inlineStr">
        <is>
          <t>2267633690002656</t>
        </is>
      </c>
      <c r="BB1844" t="inlineStr">
        <is>
          <t>BOOK</t>
        </is>
      </c>
      <c r="BD1844" t="inlineStr">
        <is>
          <t>9780192117410</t>
        </is>
      </c>
      <c r="BE1844" t="inlineStr">
        <is>
          <t>32285000798164</t>
        </is>
      </c>
      <c r="BF1844" t="inlineStr">
        <is>
          <t>893532640</t>
        </is>
      </c>
    </row>
    <row r="1845">
      <c r="A1845" t="inlineStr">
        <is>
          <t>No</t>
        </is>
      </c>
      <c r="B1845" t="inlineStr">
        <is>
          <t>CURAL</t>
        </is>
      </c>
      <c r="C1845" t="inlineStr">
        <is>
          <t>SHELVES</t>
        </is>
      </c>
      <c r="D1845" t="inlineStr">
        <is>
          <t>PR4581 .P48 1998</t>
        </is>
      </c>
      <c r="E1845" t="inlineStr">
        <is>
          <t>0                      PR 4581000P  48          1998</t>
        </is>
      </c>
      <c r="F1845" t="inlineStr">
        <is>
          <t>Charles Dickens / Catherine Peters.</t>
        </is>
      </c>
      <c r="H1845" t="inlineStr">
        <is>
          <t>No</t>
        </is>
      </c>
      <c r="I1845" t="inlineStr">
        <is>
          <t>1</t>
        </is>
      </c>
      <c r="J1845" t="inlineStr">
        <is>
          <t>No</t>
        </is>
      </c>
      <c r="K1845" t="inlineStr">
        <is>
          <t>No</t>
        </is>
      </c>
      <c r="L1845" t="inlineStr">
        <is>
          <t>0</t>
        </is>
      </c>
      <c r="M1845" t="inlineStr">
        <is>
          <t>Peters, Catherine.</t>
        </is>
      </c>
      <c r="N1845" t="inlineStr">
        <is>
          <t>Phoenix Mill [England] : Sutton, 1998.</t>
        </is>
      </c>
      <c r="O1845" t="inlineStr">
        <is>
          <t>1998</t>
        </is>
      </c>
      <c r="Q1845" t="inlineStr">
        <is>
          <t>eng</t>
        </is>
      </c>
      <c r="R1845" t="inlineStr">
        <is>
          <t>enk</t>
        </is>
      </c>
      <c r="S1845" t="inlineStr">
        <is>
          <t>Pocket biographies</t>
        </is>
      </c>
      <c r="T1845" t="inlineStr">
        <is>
          <t xml:space="preserve">PR </t>
        </is>
      </c>
      <c r="U1845" t="n">
        <v>4</v>
      </c>
      <c r="V1845" t="n">
        <v>4</v>
      </c>
      <c r="W1845" t="inlineStr">
        <is>
          <t>2006-04-18</t>
        </is>
      </c>
      <c r="X1845" t="inlineStr">
        <is>
          <t>2006-04-18</t>
        </is>
      </c>
      <c r="Y1845" t="inlineStr">
        <is>
          <t>1998-08-26</t>
        </is>
      </c>
      <c r="Z1845" t="inlineStr">
        <is>
          <t>1998-08-26</t>
        </is>
      </c>
      <c r="AA1845" t="n">
        <v>132</v>
      </c>
      <c r="AB1845" t="n">
        <v>86</v>
      </c>
      <c r="AC1845" t="n">
        <v>119</v>
      </c>
      <c r="AD1845" t="n">
        <v>2</v>
      </c>
      <c r="AE1845" t="n">
        <v>2</v>
      </c>
      <c r="AF1845" t="n">
        <v>7</v>
      </c>
      <c r="AG1845" t="n">
        <v>8</v>
      </c>
      <c r="AH1845" t="n">
        <v>3</v>
      </c>
      <c r="AI1845" t="n">
        <v>4</v>
      </c>
      <c r="AJ1845" t="n">
        <v>1</v>
      </c>
      <c r="AK1845" t="n">
        <v>2</v>
      </c>
      <c r="AL1845" t="n">
        <v>5</v>
      </c>
      <c r="AM1845" t="n">
        <v>5</v>
      </c>
      <c r="AN1845" t="n">
        <v>1</v>
      </c>
      <c r="AO1845" t="n">
        <v>1</v>
      </c>
      <c r="AP1845" t="n">
        <v>0</v>
      </c>
      <c r="AQ1845" t="n">
        <v>0</v>
      </c>
      <c r="AR1845" t="inlineStr">
        <is>
          <t>No</t>
        </is>
      </c>
      <c r="AS1845" t="inlineStr">
        <is>
          <t>Yes</t>
        </is>
      </c>
      <c r="AT1845">
        <f>HYPERLINK("http://catalog.hathitrust.org/Record/008322993","HathiTrust Record")</f>
        <v/>
      </c>
      <c r="AU1845">
        <f>HYPERLINK("https://creighton-primo.hosted.exlibrisgroup.com/primo-explore/search?tab=default_tab&amp;search_scope=EVERYTHING&amp;vid=01CRU&amp;lang=en_US&amp;offset=0&amp;query=any,contains,991002938059702656","Catalog Record")</f>
        <v/>
      </c>
      <c r="AV1845">
        <f>HYPERLINK("http://www.worldcat.org/oclc/39084599","WorldCat Record")</f>
        <v/>
      </c>
      <c r="AW1845" t="inlineStr">
        <is>
          <t>3857902269:eng</t>
        </is>
      </c>
      <c r="AX1845" t="inlineStr">
        <is>
          <t>39084599</t>
        </is>
      </c>
      <c r="AY1845" t="inlineStr">
        <is>
          <t>991002938059702656</t>
        </is>
      </c>
      <c r="AZ1845" t="inlineStr">
        <is>
          <t>991002938059702656</t>
        </is>
      </c>
      <c r="BA1845" t="inlineStr">
        <is>
          <t>2255921390002656</t>
        </is>
      </c>
      <c r="BB1845" t="inlineStr">
        <is>
          <t>BOOK</t>
        </is>
      </c>
      <c r="BD1845" t="inlineStr">
        <is>
          <t>9780750916196</t>
        </is>
      </c>
      <c r="BE1845" t="inlineStr">
        <is>
          <t>32285003462800</t>
        </is>
      </c>
      <c r="BF1845" t="inlineStr">
        <is>
          <t>893786773</t>
        </is>
      </c>
    </row>
    <row r="1846">
      <c r="A1846" t="inlineStr">
        <is>
          <t>No</t>
        </is>
      </c>
      <c r="B1846" t="inlineStr">
        <is>
          <t>CURAL</t>
        </is>
      </c>
      <c r="C1846" t="inlineStr">
        <is>
          <t>SHELVES</t>
        </is>
      </c>
      <c r="D1846" t="inlineStr">
        <is>
          <t>PR4582 .A25 1990</t>
        </is>
      </c>
      <c r="E1846" t="inlineStr">
        <is>
          <t>0                      PR 4582000A  25          1990</t>
        </is>
      </c>
      <c r="F1846" t="inlineStr">
        <is>
          <t>Dickens / Peter Ackroyd.</t>
        </is>
      </c>
      <c r="H1846" t="inlineStr">
        <is>
          <t>No</t>
        </is>
      </c>
      <c r="I1846" t="inlineStr">
        <is>
          <t>1</t>
        </is>
      </c>
      <c r="J1846" t="inlineStr">
        <is>
          <t>No</t>
        </is>
      </c>
      <c r="K1846" t="inlineStr">
        <is>
          <t>No</t>
        </is>
      </c>
      <c r="L1846" t="inlineStr">
        <is>
          <t>0</t>
        </is>
      </c>
      <c r="M1846" t="inlineStr">
        <is>
          <t>Ackroyd, Peter.</t>
        </is>
      </c>
      <c r="N1846" t="inlineStr">
        <is>
          <t>New York : HarperCollins, c1990.</t>
        </is>
      </c>
      <c r="O1846" t="inlineStr">
        <is>
          <t>1990</t>
        </is>
      </c>
      <c r="P1846" t="inlineStr">
        <is>
          <t>1st U.S. ed.</t>
        </is>
      </c>
      <c r="Q1846" t="inlineStr">
        <is>
          <t>eng</t>
        </is>
      </c>
      <c r="R1846" t="inlineStr">
        <is>
          <t>nyu</t>
        </is>
      </c>
      <c r="T1846" t="inlineStr">
        <is>
          <t xml:space="preserve">PR </t>
        </is>
      </c>
      <c r="U1846" t="n">
        <v>1</v>
      </c>
      <c r="V1846" t="n">
        <v>1</v>
      </c>
      <c r="W1846" t="inlineStr">
        <is>
          <t>1997-03-01</t>
        </is>
      </c>
      <c r="X1846" t="inlineStr">
        <is>
          <t>1997-03-01</t>
        </is>
      </c>
      <c r="Y1846" t="inlineStr">
        <is>
          <t>1991-04-05</t>
        </is>
      </c>
      <c r="Z1846" t="inlineStr">
        <is>
          <t>1991-04-05</t>
        </is>
      </c>
      <c r="AA1846" t="n">
        <v>1753</v>
      </c>
      <c r="AB1846" t="n">
        <v>1688</v>
      </c>
      <c r="AC1846" t="n">
        <v>2021</v>
      </c>
      <c r="AD1846" t="n">
        <v>17</v>
      </c>
      <c r="AE1846" t="n">
        <v>19</v>
      </c>
      <c r="AF1846" t="n">
        <v>37</v>
      </c>
      <c r="AG1846" t="n">
        <v>47</v>
      </c>
      <c r="AH1846" t="n">
        <v>15</v>
      </c>
      <c r="AI1846" t="n">
        <v>18</v>
      </c>
      <c r="AJ1846" t="n">
        <v>8</v>
      </c>
      <c r="AK1846" t="n">
        <v>10</v>
      </c>
      <c r="AL1846" t="n">
        <v>17</v>
      </c>
      <c r="AM1846" t="n">
        <v>23</v>
      </c>
      <c r="AN1846" t="n">
        <v>6</v>
      </c>
      <c r="AO1846" t="n">
        <v>8</v>
      </c>
      <c r="AP1846" t="n">
        <v>0</v>
      </c>
      <c r="AQ1846" t="n">
        <v>0</v>
      </c>
      <c r="AR1846" t="inlineStr">
        <is>
          <t>No</t>
        </is>
      </c>
      <c r="AS1846" t="inlineStr">
        <is>
          <t>Yes</t>
        </is>
      </c>
      <c r="AT1846">
        <f>HYPERLINK("http://catalog.hathitrust.org/Record/004508529","HathiTrust Record")</f>
        <v/>
      </c>
      <c r="AU1846">
        <f>HYPERLINK("https://creighton-primo.hosted.exlibrisgroup.com/primo-explore/search?tab=default_tab&amp;search_scope=EVERYTHING&amp;vid=01CRU&amp;lang=en_US&amp;offset=0&amp;query=any,contains,991001833369702656","Catalog Record")</f>
        <v/>
      </c>
      <c r="AV1846">
        <f>HYPERLINK("http://www.worldcat.org/oclc/23021795","WorldCat Record")</f>
        <v/>
      </c>
      <c r="AW1846" t="inlineStr">
        <is>
          <t>22978743:eng</t>
        </is>
      </c>
      <c r="AX1846" t="inlineStr">
        <is>
          <t>23021795</t>
        </is>
      </c>
      <c r="AY1846" t="inlineStr">
        <is>
          <t>991001833369702656</t>
        </is>
      </c>
      <c r="AZ1846" t="inlineStr">
        <is>
          <t>991001833369702656</t>
        </is>
      </c>
      <c r="BA1846" t="inlineStr">
        <is>
          <t>2258835740002656</t>
        </is>
      </c>
      <c r="BB1846" t="inlineStr">
        <is>
          <t>BOOK</t>
        </is>
      </c>
      <c r="BD1846" t="inlineStr">
        <is>
          <t>9780060166021</t>
        </is>
      </c>
      <c r="BE1846" t="inlineStr">
        <is>
          <t>32285000565829</t>
        </is>
      </c>
      <c r="BF1846" t="inlineStr">
        <is>
          <t>893626845</t>
        </is>
      </c>
    </row>
    <row r="1847">
      <c r="A1847" t="inlineStr">
        <is>
          <t>No</t>
        </is>
      </c>
      <c r="B1847" t="inlineStr">
        <is>
          <t>CURAL</t>
        </is>
      </c>
      <c r="C1847" t="inlineStr">
        <is>
          <t>SHELVES</t>
        </is>
      </c>
      <c r="D1847" t="inlineStr">
        <is>
          <t>PR4583 .G6</t>
        </is>
      </c>
      <c r="E1847" t="inlineStr">
        <is>
          <t>0                      PR 4583000G  6</t>
        </is>
      </c>
      <c r="F1847" t="inlineStr">
        <is>
          <t>Carlyle and Dickens.</t>
        </is>
      </c>
      <c r="H1847" t="inlineStr">
        <is>
          <t>No</t>
        </is>
      </c>
      <c r="I1847" t="inlineStr">
        <is>
          <t>1</t>
        </is>
      </c>
      <c r="J1847" t="inlineStr">
        <is>
          <t>No</t>
        </is>
      </c>
      <c r="K1847" t="inlineStr">
        <is>
          <t>No</t>
        </is>
      </c>
      <c r="L1847" t="inlineStr">
        <is>
          <t>0</t>
        </is>
      </c>
      <c r="M1847" t="inlineStr">
        <is>
          <t>Goldberg, M. K. (Michael K.), 1930-</t>
        </is>
      </c>
      <c r="N1847" t="inlineStr">
        <is>
          <t>Athens, University of Georgia Press, 1972.</t>
        </is>
      </c>
      <c r="O1847" t="inlineStr">
        <is>
          <t>1972</t>
        </is>
      </c>
      <c r="Q1847" t="inlineStr">
        <is>
          <t>eng</t>
        </is>
      </c>
      <c r="R1847" t="inlineStr">
        <is>
          <t>gau</t>
        </is>
      </c>
      <c r="T1847" t="inlineStr">
        <is>
          <t xml:space="preserve">PR </t>
        </is>
      </c>
      <c r="U1847" t="n">
        <v>1</v>
      </c>
      <c r="V1847" t="n">
        <v>1</v>
      </c>
      <c r="W1847" t="inlineStr">
        <is>
          <t>2005-12-14</t>
        </is>
      </c>
      <c r="X1847" t="inlineStr">
        <is>
          <t>2005-12-14</t>
        </is>
      </c>
      <c r="Y1847" t="inlineStr">
        <is>
          <t>1997-07-03</t>
        </is>
      </c>
      <c r="Z1847" t="inlineStr">
        <is>
          <t>1997-07-03</t>
        </is>
      </c>
      <c r="AA1847" t="n">
        <v>816</v>
      </c>
      <c r="AB1847" t="n">
        <v>684</v>
      </c>
      <c r="AC1847" t="n">
        <v>693</v>
      </c>
      <c r="AD1847" t="n">
        <v>7</v>
      </c>
      <c r="AE1847" t="n">
        <v>7</v>
      </c>
      <c r="AF1847" t="n">
        <v>40</v>
      </c>
      <c r="AG1847" t="n">
        <v>40</v>
      </c>
      <c r="AH1847" t="n">
        <v>16</v>
      </c>
      <c r="AI1847" t="n">
        <v>16</v>
      </c>
      <c r="AJ1847" t="n">
        <v>10</v>
      </c>
      <c r="AK1847" t="n">
        <v>10</v>
      </c>
      <c r="AL1847" t="n">
        <v>17</v>
      </c>
      <c r="AM1847" t="n">
        <v>17</v>
      </c>
      <c r="AN1847" t="n">
        <v>6</v>
      </c>
      <c r="AO1847" t="n">
        <v>6</v>
      </c>
      <c r="AP1847" t="n">
        <v>0</v>
      </c>
      <c r="AQ1847" t="n">
        <v>0</v>
      </c>
      <c r="AR1847" t="inlineStr">
        <is>
          <t>No</t>
        </is>
      </c>
      <c r="AS1847" t="inlineStr">
        <is>
          <t>No</t>
        </is>
      </c>
      <c r="AU1847">
        <f>HYPERLINK("https://creighton-primo.hosted.exlibrisgroup.com/primo-explore/search?tab=default_tab&amp;search_scope=EVERYTHING&amp;vid=01CRU&amp;lang=en_US&amp;offset=0&amp;query=any,contains,991002850879702656","Catalog Record")</f>
        <v/>
      </c>
      <c r="AV1847">
        <f>HYPERLINK("http://www.worldcat.org/oclc/486747","WorldCat Record")</f>
        <v/>
      </c>
      <c r="AW1847" t="inlineStr">
        <is>
          <t>1572045:eng</t>
        </is>
      </c>
      <c r="AX1847" t="inlineStr">
        <is>
          <t>486747</t>
        </is>
      </c>
      <c r="AY1847" t="inlineStr">
        <is>
          <t>991002850879702656</t>
        </is>
      </c>
      <c r="AZ1847" t="inlineStr">
        <is>
          <t>991002850879702656</t>
        </is>
      </c>
      <c r="BA1847" t="inlineStr">
        <is>
          <t>2256709650002656</t>
        </is>
      </c>
      <c r="BB1847" t="inlineStr">
        <is>
          <t>BOOK</t>
        </is>
      </c>
      <c r="BD1847" t="inlineStr">
        <is>
          <t>9780820302829</t>
        </is>
      </c>
      <c r="BE1847" t="inlineStr">
        <is>
          <t>32285002888369</t>
        </is>
      </c>
      <c r="BF1847" t="inlineStr">
        <is>
          <t>893262509</t>
        </is>
      </c>
    </row>
    <row r="1848">
      <c r="A1848" t="inlineStr">
        <is>
          <t>No</t>
        </is>
      </c>
      <c r="B1848" t="inlineStr">
        <is>
          <t>CURAL</t>
        </is>
      </c>
      <c r="C1848" t="inlineStr">
        <is>
          <t>SHELVES</t>
        </is>
      </c>
      <c r="D1848" t="inlineStr">
        <is>
          <t>PR4583 .H65 1971</t>
        </is>
      </c>
      <c r="E1848" t="inlineStr">
        <is>
          <t>0                      PR 4583000H  65          1971</t>
        </is>
      </c>
      <c r="F1848" t="inlineStr">
        <is>
          <t>The Dickens world.</t>
        </is>
      </c>
      <c r="H1848" t="inlineStr">
        <is>
          <t>No</t>
        </is>
      </c>
      <c r="I1848" t="inlineStr">
        <is>
          <t>1</t>
        </is>
      </c>
      <c r="J1848" t="inlineStr">
        <is>
          <t>No</t>
        </is>
      </c>
      <c r="K1848" t="inlineStr">
        <is>
          <t>No</t>
        </is>
      </c>
      <c r="L1848" t="inlineStr">
        <is>
          <t>0</t>
        </is>
      </c>
      <c r="M1848" t="inlineStr">
        <is>
          <t>House, Humphry, 1908-1955.</t>
        </is>
      </c>
      <c r="N1848" t="inlineStr">
        <is>
          <t>London ; New York : Oxford University Press, [1971]</t>
        </is>
      </c>
      <c r="O1848" t="inlineStr">
        <is>
          <t>1971</t>
        </is>
      </c>
      <c r="P1848" t="inlineStr">
        <is>
          <t>2d ed.</t>
        </is>
      </c>
      <c r="Q1848" t="inlineStr">
        <is>
          <t>eng</t>
        </is>
      </c>
      <c r="R1848" t="inlineStr">
        <is>
          <t xml:space="preserve">xx </t>
        </is>
      </c>
      <c r="T1848" t="inlineStr">
        <is>
          <t xml:space="preserve">PR </t>
        </is>
      </c>
      <c r="U1848" t="n">
        <v>1</v>
      </c>
      <c r="V1848" t="n">
        <v>1</v>
      </c>
      <c r="W1848" t="inlineStr">
        <is>
          <t>1997-03-03</t>
        </is>
      </c>
      <c r="X1848" t="inlineStr">
        <is>
          <t>1997-03-03</t>
        </is>
      </c>
      <c r="Y1848" t="inlineStr">
        <is>
          <t>1991-12-17</t>
        </is>
      </c>
      <c r="Z1848" t="inlineStr">
        <is>
          <t>1991-12-17</t>
        </is>
      </c>
      <c r="AA1848" t="n">
        <v>60</v>
      </c>
      <c r="AB1848" t="n">
        <v>45</v>
      </c>
      <c r="AC1848" t="n">
        <v>982</v>
      </c>
      <c r="AD1848" t="n">
        <v>1</v>
      </c>
      <c r="AE1848" t="n">
        <v>9</v>
      </c>
      <c r="AF1848" t="n">
        <v>3</v>
      </c>
      <c r="AG1848" t="n">
        <v>47</v>
      </c>
      <c r="AH1848" t="n">
        <v>1</v>
      </c>
      <c r="AI1848" t="n">
        <v>19</v>
      </c>
      <c r="AJ1848" t="n">
        <v>1</v>
      </c>
      <c r="AK1848" t="n">
        <v>8</v>
      </c>
      <c r="AL1848" t="n">
        <v>2</v>
      </c>
      <c r="AM1848" t="n">
        <v>24</v>
      </c>
      <c r="AN1848" t="n">
        <v>0</v>
      </c>
      <c r="AO1848" t="n">
        <v>7</v>
      </c>
      <c r="AP1848" t="n">
        <v>0</v>
      </c>
      <c r="AQ1848" t="n">
        <v>0</v>
      </c>
      <c r="AR1848" t="inlineStr">
        <is>
          <t>No</t>
        </is>
      </c>
      <c r="AS1848" t="inlineStr">
        <is>
          <t>No</t>
        </is>
      </c>
      <c r="AU1848">
        <f>HYPERLINK("https://creighton-primo.hosted.exlibrisgroup.com/primo-explore/search?tab=default_tab&amp;search_scope=EVERYTHING&amp;vid=01CRU&amp;lang=en_US&amp;offset=0&amp;query=any,contains,991002114969702656","Catalog Record")</f>
        <v/>
      </c>
      <c r="AV1848">
        <f>HYPERLINK("http://www.worldcat.org/oclc/268196","WorldCat Record")</f>
        <v/>
      </c>
      <c r="AW1848" t="inlineStr">
        <is>
          <t>414410:eng</t>
        </is>
      </c>
      <c r="AX1848" t="inlineStr">
        <is>
          <t>268196</t>
        </is>
      </c>
      <c r="AY1848" t="inlineStr">
        <is>
          <t>991002114969702656</t>
        </is>
      </c>
      <c r="AZ1848" t="inlineStr">
        <is>
          <t>991002114969702656</t>
        </is>
      </c>
      <c r="BA1848" t="inlineStr">
        <is>
          <t>2270319500002656</t>
        </is>
      </c>
      <c r="BB1848" t="inlineStr">
        <is>
          <t>BOOK</t>
        </is>
      </c>
      <c r="BE1848" t="inlineStr">
        <is>
          <t>32285000879600</t>
        </is>
      </c>
      <c r="BF1848" t="inlineStr">
        <is>
          <t>893879509</t>
        </is>
      </c>
    </row>
    <row r="1849">
      <c r="A1849" t="inlineStr">
        <is>
          <t>No</t>
        </is>
      </c>
      <c r="B1849" t="inlineStr">
        <is>
          <t>CURAL</t>
        </is>
      </c>
      <c r="C1849" t="inlineStr">
        <is>
          <t>SHELVES</t>
        </is>
      </c>
      <c r="D1849" t="inlineStr">
        <is>
          <t>PR4583 .M67 1984</t>
        </is>
      </c>
      <c r="E1849" t="inlineStr">
        <is>
          <t>0                      PR 4583000M  67          1984</t>
        </is>
      </c>
      <c r="F1849" t="inlineStr">
        <is>
          <t>Charles Dicken's quarrel with America / Sidney P. Moss.</t>
        </is>
      </c>
      <c r="H1849" t="inlineStr">
        <is>
          <t>No</t>
        </is>
      </c>
      <c r="I1849" t="inlineStr">
        <is>
          <t>1</t>
        </is>
      </c>
      <c r="J1849" t="inlineStr">
        <is>
          <t>No</t>
        </is>
      </c>
      <c r="K1849" t="inlineStr">
        <is>
          <t>No</t>
        </is>
      </c>
      <c r="L1849" t="inlineStr">
        <is>
          <t>0</t>
        </is>
      </c>
      <c r="M1849" t="inlineStr">
        <is>
          <t>Moss, Sidney P., 1917-</t>
        </is>
      </c>
      <c r="N1849" t="inlineStr">
        <is>
          <t>Troy, N.Y. : Whitston Pub. Co., 1984.</t>
        </is>
      </c>
      <c r="O1849" t="inlineStr">
        <is>
          <t>1984</t>
        </is>
      </c>
      <c r="Q1849" t="inlineStr">
        <is>
          <t>eng</t>
        </is>
      </c>
      <c r="R1849" t="inlineStr">
        <is>
          <t>nyu</t>
        </is>
      </c>
      <c r="T1849" t="inlineStr">
        <is>
          <t xml:space="preserve">PR </t>
        </is>
      </c>
      <c r="U1849" t="n">
        <v>1</v>
      </c>
      <c r="V1849" t="n">
        <v>1</v>
      </c>
      <c r="W1849" t="inlineStr">
        <is>
          <t>2001-06-14</t>
        </is>
      </c>
      <c r="X1849" t="inlineStr">
        <is>
          <t>2001-06-14</t>
        </is>
      </c>
      <c r="Y1849" t="inlineStr">
        <is>
          <t>1991-11-06</t>
        </is>
      </c>
      <c r="Z1849" t="inlineStr">
        <is>
          <t>1991-11-06</t>
        </is>
      </c>
      <c r="AA1849" t="n">
        <v>599</v>
      </c>
      <c r="AB1849" t="n">
        <v>540</v>
      </c>
      <c r="AC1849" t="n">
        <v>545</v>
      </c>
      <c r="AD1849" t="n">
        <v>6</v>
      </c>
      <c r="AE1849" t="n">
        <v>6</v>
      </c>
      <c r="AF1849" t="n">
        <v>31</v>
      </c>
      <c r="AG1849" t="n">
        <v>31</v>
      </c>
      <c r="AH1849" t="n">
        <v>13</v>
      </c>
      <c r="AI1849" t="n">
        <v>13</v>
      </c>
      <c r="AJ1849" t="n">
        <v>7</v>
      </c>
      <c r="AK1849" t="n">
        <v>7</v>
      </c>
      <c r="AL1849" t="n">
        <v>17</v>
      </c>
      <c r="AM1849" t="n">
        <v>17</v>
      </c>
      <c r="AN1849" t="n">
        <v>5</v>
      </c>
      <c r="AO1849" t="n">
        <v>5</v>
      </c>
      <c r="AP1849" t="n">
        <v>0</v>
      </c>
      <c r="AQ1849" t="n">
        <v>0</v>
      </c>
      <c r="AR1849" t="inlineStr">
        <is>
          <t>No</t>
        </is>
      </c>
      <c r="AS1849" t="inlineStr">
        <is>
          <t>No</t>
        </is>
      </c>
      <c r="AU1849">
        <f>HYPERLINK("https://creighton-primo.hosted.exlibrisgroup.com/primo-explore/search?tab=default_tab&amp;search_scope=EVERYTHING&amp;vid=01CRU&amp;lang=en_US&amp;offset=0&amp;query=any,contains,991000540419702656","Catalog Record")</f>
        <v/>
      </c>
      <c r="AV1849">
        <f>HYPERLINK("http://www.worldcat.org/oclc/11476010","WorldCat Record")</f>
        <v/>
      </c>
      <c r="AW1849" t="inlineStr">
        <is>
          <t>138562470:eng</t>
        </is>
      </c>
      <c r="AX1849" t="inlineStr">
        <is>
          <t>11476010</t>
        </is>
      </c>
      <c r="AY1849" t="inlineStr">
        <is>
          <t>991000540419702656</t>
        </is>
      </c>
      <c r="AZ1849" t="inlineStr">
        <is>
          <t>991000540419702656</t>
        </is>
      </c>
      <c r="BA1849" t="inlineStr">
        <is>
          <t>2269423500002656</t>
        </is>
      </c>
      <c r="BB1849" t="inlineStr">
        <is>
          <t>BOOK</t>
        </is>
      </c>
      <c r="BD1849" t="inlineStr">
        <is>
          <t>9780878752553</t>
        </is>
      </c>
      <c r="BE1849" t="inlineStr">
        <is>
          <t>32285000798198</t>
        </is>
      </c>
      <c r="BF1849" t="inlineStr">
        <is>
          <t>893614275</t>
        </is>
      </c>
    </row>
    <row r="1850">
      <c r="A1850" t="inlineStr">
        <is>
          <t>No</t>
        </is>
      </c>
      <c r="B1850" t="inlineStr">
        <is>
          <t>CURAL</t>
        </is>
      </c>
      <c r="C1850" t="inlineStr">
        <is>
          <t>SHELVES</t>
        </is>
      </c>
      <c r="D1850" t="inlineStr">
        <is>
          <t>PR4583 .O3</t>
        </is>
      </c>
      <c r="E1850" t="inlineStr">
        <is>
          <t>0                      PR 4583000O  3</t>
        </is>
      </c>
      <c r="F1850" t="inlineStr">
        <is>
          <t>Dickens and Carlyle; the question of influence.</t>
        </is>
      </c>
      <c r="H1850" t="inlineStr">
        <is>
          <t>No</t>
        </is>
      </c>
      <c r="I1850" t="inlineStr">
        <is>
          <t>1</t>
        </is>
      </c>
      <c r="J1850" t="inlineStr">
        <is>
          <t>No</t>
        </is>
      </c>
      <c r="K1850" t="inlineStr">
        <is>
          <t>No</t>
        </is>
      </c>
      <c r="L1850" t="inlineStr">
        <is>
          <t>0</t>
        </is>
      </c>
      <c r="M1850" t="inlineStr">
        <is>
          <t>Oddie, William.</t>
        </is>
      </c>
      <c r="N1850" t="inlineStr">
        <is>
          <t>London, Centenary Press, 1972.</t>
        </is>
      </c>
      <c r="O1850" t="inlineStr">
        <is>
          <t>1972</t>
        </is>
      </c>
      <c r="Q1850" t="inlineStr">
        <is>
          <t>eng</t>
        </is>
      </c>
      <c r="R1850" t="inlineStr">
        <is>
          <t>enk</t>
        </is>
      </c>
      <c r="T1850" t="inlineStr">
        <is>
          <t xml:space="preserve">PR </t>
        </is>
      </c>
      <c r="U1850" t="n">
        <v>1</v>
      </c>
      <c r="V1850" t="n">
        <v>1</v>
      </c>
      <c r="W1850" t="inlineStr">
        <is>
          <t>2005-12-14</t>
        </is>
      </c>
      <c r="X1850" t="inlineStr">
        <is>
          <t>2005-12-14</t>
        </is>
      </c>
      <c r="Y1850" t="inlineStr">
        <is>
          <t>1997-07-03</t>
        </is>
      </c>
      <c r="Z1850" t="inlineStr">
        <is>
          <t>1997-07-03</t>
        </is>
      </c>
      <c r="AA1850" t="n">
        <v>246</v>
      </c>
      <c r="AB1850" t="n">
        <v>175</v>
      </c>
      <c r="AC1850" t="n">
        <v>177</v>
      </c>
      <c r="AD1850" t="n">
        <v>2</v>
      </c>
      <c r="AE1850" t="n">
        <v>2</v>
      </c>
      <c r="AF1850" t="n">
        <v>10</v>
      </c>
      <c r="AG1850" t="n">
        <v>10</v>
      </c>
      <c r="AH1850" t="n">
        <v>0</v>
      </c>
      <c r="AI1850" t="n">
        <v>0</v>
      </c>
      <c r="AJ1850" t="n">
        <v>3</v>
      </c>
      <c r="AK1850" t="n">
        <v>3</v>
      </c>
      <c r="AL1850" t="n">
        <v>8</v>
      </c>
      <c r="AM1850" t="n">
        <v>8</v>
      </c>
      <c r="AN1850" t="n">
        <v>1</v>
      </c>
      <c r="AO1850" t="n">
        <v>1</v>
      </c>
      <c r="AP1850" t="n">
        <v>0</v>
      </c>
      <c r="AQ1850" t="n">
        <v>0</v>
      </c>
      <c r="AR1850" t="inlineStr">
        <is>
          <t>No</t>
        </is>
      </c>
      <c r="AS1850" t="inlineStr">
        <is>
          <t>Yes</t>
        </is>
      </c>
      <c r="AT1850">
        <f>HYPERLINK("http://catalog.hathitrust.org/Record/000437721","HathiTrust Record")</f>
        <v/>
      </c>
      <c r="AU1850">
        <f>HYPERLINK("https://creighton-primo.hosted.exlibrisgroup.com/primo-explore/search?tab=default_tab&amp;search_scope=EVERYTHING&amp;vid=01CRU&amp;lang=en_US&amp;offset=0&amp;query=any,contains,991003222079702656","Catalog Record")</f>
        <v/>
      </c>
      <c r="AV1850">
        <f>HYPERLINK("http://www.worldcat.org/oclc/747155","WorldCat Record")</f>
        <v/>
      </c>
      <c r="AW1850" t="inlineStr">
        <is>
          <t>366132645:eng</t>
        </is>
      </c>
      <c r="AX1850" t="inlineStr">
        <is>
          <t>747155</t>
        </is>
      </c>
      <c r="AY1850" t="inlineStr">
        <is>
          <t>991003222079702656</t>
        </is>
      </c>
      <c r="AZ1850" t="inlineStr">
        <is>
          <t>991003222079702656</t>
        </is>
      </c>
      <c r="BA1850" t="inlineStr">
        <is>
          <t>2255646440002656</t>
        </is>
      </c>
      <c r="BB1850" t="inlineStr">
        <is>
          <t>BOOK</t>
        </is>
      </c>
      <c r="BD1850" t="inlineStr">
        <is>
          <t>9780903657006</t>
        </is>
      </c>
      <c r="BE1850" t="inlineStr">
        <is>
          <t>32285002888377</t>
        </is>
      </c>
      <c r="BF1850" t="inlineStr">
        <is>
          <t>893258187</t>
        </is>
      </c>
    </row>
    <row r="1851">
      <c r="A1851" t="inlineStr">
        <is>
          <t>No</t>
        </is>
      </c>
      <c r="B1851" t="inlineStr">
        <is>
          <t>CURAL</t>
        </is>
      </c>
      <c r="C1851" t="inlineStr">
        <is>
          <t>SHELVES</t>
        </is>
      </c>
      <c r="D1851" t="inlineStr">
        <is>
          <t>PR4583 .P29 1978</t>
        </is>
      </c>
      <c r="E1851" t="inlineStr">
        <is>
          <t>0                      PR 4583000P  29          1978</t>
        </is>
      </c>
      <c r="F1851" t="inlineStr">
        <is>
          <t>Charles Dickens and his publishers / by Robert L. Patten. --</t>
        </is>
      </c>
      <c r="H1851" t="inlineStr">
        <is>
          <t>No</t>
        </is>
      </c>
      <c r="I1851" t="inlineStr">
        <is>
          <t>1</t>
        </is>
      </c>
      <c r="J1851" t="inlineStr">
        <is>
          <t>No</t>
        </is>
      </c>
      <c r="K1851" t="inlineStr">
        <is>
          <t>No</t>
        </is>
      </c>
      <c r="L1851" t="inlineStr">
        <is>
          <t>0</t>
        </is>
      </c>
      <c r="M1851" t="inlineStr">
        <is>
          <t>Patten, Robert L.</t>
        </is>
      </c>
      <c r="N1851" t="inlineStr">
        <is>
          <t>Oxford [Eng.] : Clarendon Press ; New York : Oxford University Press, 1978.</t>
        </is>
      </c>
      <c r="O1851" t="inlineStr">
        <is>
          <t>1978</t>
        </is>
      </c>
      <c r="Q1851" t="inlineStr">
        <is>
          <t>eng</t>
        </is>
      </c>
      <c r="R1851" t="inlineStr">
        <is>
          <t>enk</t>
        </is>
      </c>
      <c r="T1851" t="inlineStr">
        <is>
          <t xml:space="preserve">PR </t>
        </is>
      </c>
      <c r="U1851" t="n">
        <v>2</v>
      </c>
      <c r="V1851" t="n">
        <v>2</v>
      </c>
      <c r="W1851" t="inlineStr">
        <is>
          <t>1997-12-10</t>
        </is>
      </c>
      <c r="X1851" t="inlineStr">
        <is>
          <t>1997-12-10</t>
        </is>
      </c>
      <c r="Y1851" t="inlineStr">
        <is>
          <t>1991-11-06</t>
        </is>
      </c>
      <c r="Z1851" t="inlineStr">
        <is>
          <t>1991-11-06</t>
        </is>
      </c>
      <c r="AA1851" t="n">
        <v>593</v>
      </c>
      <c r="AB1851" t="n">
        <v>416</v>
      </c>
      <c r="AC1851" t="n">
        <v>461</v>
      </c>
      <c r="AD1851" t="n">
        <v>5</v>
      </c>
      <c r="AE1851" t="n">
        <v>5</v>
      </c>
      <c r="AF1851" t="n">
        <v>24</v>
      </c>
      <c r="AG1851" t="n">
        <v>28</v>
      </c>
      <c r="AH1851" t="n">
        <v>8</v>
      </c>
      <c r="AI1851" t="n">
        <v>11</v>
      </c>
      <c r="AJ1851" t="n">
        <v>7</v>
      </c>
      <c r="AK1851" t="n">
        <v>7</v>
      </c>
      <c r="AL1851" t="n">
        <v>13</v>
      </c>
      <c r="AM1851" t="n">
        <v>15</v>
      </c>
      <c r="AN1851" t="n">
        <v>4</v>
      </c>
      <c r="AO1851" t="n">
        <v>4</v>
      </c>
      <c r="AP1851" t="n">
        <v>0</v>
      </c>
      <c r="AQ1851" t="n">
        <v>0</v>
      </c>
      <c r="AR1851" t="inlineStr">
        <is>
          <t>No</t>
        </is>
      </c>
      <c r="AS1851" t="inlineStr">
        <is>
          <t>Yes</t>
        </is>
      </c>
      <c r="AT1851">
        <f>HYPERLINK("http://catalog.hathitrust.org/Record/000296038","HathiTrust Record")</f>
        <v/>
      </c>
      <c r="AU1851">
        <f>HYPERLINK("https://creighton-primo.hosted.exlibrisgroup.com/primo-explore/search?tab=default_tab&amp;search_scope=EVERYTHING&amp;vid=01CRU&amp;lang=en_US&amp;offset=0&amp;query=any,contains,991004384789702656","Catalog Record")</f>
        <v/>
      </c>
      <c r="AV1851">
        <f>HYPERLINK("http://www.worldcat.org/oclc/3239903","WorldCat Record")</f>
        <v/>
      </c>
      <c r="AW1851" t="inlineStr">
        <is>
          <t>415734:eng</t>
        </is>
      </c>
      <c r="AX1851" t="inlineStr">
        <is>
          <t>3239903</t>
        </is>
      </c>
      <c r="AY1851" t="inlineStr">
        <is>
          <t>991004384789702656</t>
        </is>
      </c>
      <c r="AZ1851" t="inlineStr">
        <is>
          <t>991004384789702656</t>
        </is>
      </c>
      <c r="BA1851" t="inlineStr">
        <is>
          <t>2256640920002656</t>
        </is>
      </c>
      <c r="BB1851" t="inlineStr">
        <is>
          <t>BOOK</t>
        </is>
      </c>
      <c r="BD1851" t="inlineStr">
        <is>
          <t>9780198120766</t>
        </is>
      </c>
      <c r="BE1851" t="inlineStr">
        <is>
          <t>32285000798206</t>
        </is>
      </c>
      <c r="BF1851" t="inlineStr">
        <is>
          <t>893506788</t>
        </is>
      </c>
    </row>
    <row r="1852">
      <c r="A1852" t="inlineStr">
        <is>
          <t>No</t>
        </is>
      </c>
      <c r="B1852" t="inlineStr">
        <is>
          <t>CURAL</t>
        </is>
      </c>
      <c r="C1852" t="inlineStr">
        <is>
          <t>SHELVES</t>
        </is>
      </c>
      <c r="D1852" t="inlineStr">
        <is>
          <t>PR4584 .H26</t>
        </is>
      </c>
      <c r="E1852" t="inlineStr">
        <is>
          <t>0                      PR 4584000H  26</t>
        </is>
      </c>
      <c r="F1852" t="inlineStr">
        <is>
          <t>Dickens's England / by Michael &amp; Mollie Hardwick.</t>
        </is>
      </c>
      <c r="H1852" t="inlineStr">
        <is>
          <t>No</t>
        </is>
      </c>
      <c r="I1852" t="inlineStr">
        <is>
          <t>1</t>
        </is>
      </c>
      <c r="J1852" t="inlineStr">
        <is>
          <t>No</t>
        </is>
      </c>
      <c r="K1852" t="inlineStr">
        <is>
          <t>No</t>
        </is>
      </c>
      <c r="L1852" t="inlineStr">
        <is>
          <t>0</t>
        </is>
      </c>
      <c r="M1852" t="inlineStr">
        <is>
          <t>Hardwick, Michael, 1924-1991.</t>
        </is>
      </c>
      <c r="N1852" t="inlineStr">
        <is>
          <t>South Brunswick : A. S. Barnes, [1970]</t>
        </is>
      </c>
      <c r="O1852" t="inlineStr">
        <is>
          <t>1970</t>
        </is>
      </c>
      <c r="Q1852" t="inlineStr">
        <is>
          <t>eng</t>
        </is>
      </c>
      <c r="R1852" t="inlineStr">
        <is>
          <t>nju</t>
        </is>
      </c>
      <c r="T1852" t="inlineStr">
        <is>
          <t xml:space="preserve">PR </t>
        </is>
      </c>
      <c r="U1852" t="n">
        <v>1</v>
      </c>
      <c r="V1852" t="n">
        <v>1</v>
      </c>
      <c r="W1852" t="inlineStr">
        <is>
          <t>2009-04-07</t>
        </is>
      </c>
      <c r="X1852" t="inlineStr">
        <is>
          <t>2009-04-07</t>
        </is>
      </c>
      <c r="Y1852" t="inlineStr">
        <is>
          <t>1990-03-07</t>
        </is>
      </c>
      <c r="Z1852" t="inlineStr">
        <is>
          <t>1990-03-07</t>
        </is>
      </c>
      <c r="AA1852" t="n">
        <v>253</v>
      </c>
      <c r="AB1852" t="n">
        <v>236</v>
      </c>
      <c r="AC1852" t="n">
        <v>342</v>
      </c>
      <c r="AD1852" t="n">
        <v>3</v>
      </c>
      <c r="AE1852" t="n">
        <v>4</v>
      </c>
      <c r="AF1852" t="n">
        <v>9</v>
      </c>
      <c r="AG1852" t="n">
        <v>13</v>
      </c>
      <c r="AH1852" t="n">
        <v>2</v>
      </c>
      <c r="AI1852" t="n">
        <v>3</v>
      </c>
      <c r="AJ1852" t="n">
        <v>1</v>
      </c>
      <c r="AK1852" t="n">
        <v>2</v>
      </c>
      <c r="AL1852" t="n">
        <v>5</v>
      </c>
      <c r="AM1852" t="n">
        <v>7</v>
      </c>
      <c r="AN1852" t="n">
        <v>2</v>
      </c>
      <c r="AO1852" t="n">
        <v>3</v>
      </c>
      <c r="AP1852" t="n">
        <v>0</v>
      </c>
      <c r="AQ1852" t="n">
        <v>0</v>
      </c>
      <c r="AR1852" t="inlineStr">
        <is>
          <t>No</t>
        </is>
      </c>
      <c r="AS1852" t="inlineStr">
        <is>
          <t>No</t>
        </is>
      </c>
      <c r="AU1852">
        <f>HYPERLINK("https://creighton-primo.hosted.exlibrisgroup.com/primo-explore/search?tab=default_tab&amp;search_scope=EVERYTHING&amp;vid=01CRU&amp;lang=en_US&amp;offset=0&amp;query=any,contains,991000524919702656","Catalog Record")</f>
        <v/>
      </c>
      <c r="AV1852">
        <f>HYPERLINK("http://www.worldcat.org/oclc/89011","WorldCat Record")</f>
        <v/>
      </c>
      <c r="AW1852" t="inlineStr">
        <is>
          <t>146752550:eng</t>
        </is>
      </c>
      <c r="AX1852" t="inlineStr">
        <is>
          <t>89011</t>
        </is>
      </c>
      <c r="AY1852" t="inlineStr">
        <is>
          <t>991000524919702656</t>
        </is>
      </c>
      <c r="AZ1852" t="inlineStr">
        <is>
          <t>991000524919702656</t>
        </is>
      </c>
      <c r="BA1852" t="inlineStr">
        <is>
          <t>2258995530002656</t>
        </is>
      </c>
      <c r="BB1852" t="inlineStr">
        <is>
          <t>BOOK</t>
        </is>
      </c>
      <c r="BD1852" t="inlineStr">
        <is>
          <t>9780498075650</t>
        </is>
      </c>
      <c r="BE1852" t="inlineStr">
        <is>
          <t>32285000080357</t>
        </is>
      </c>
      <c r="BF1852" t="inlineStr">
        <is>
          <t>893702204</t>
        </is>
      </c>
    </row>
    <row r="1853">
      <c r="A1853" t="inlineStr">
        <is>
          <t>No</t>
        </is>
      </c>
      <c r="B1853" t="inlineStr">
        <is>
          <t>CURAL</t>
        </is>
      </c>
      <c r="C1853" t="inlineStr">
        <is>
          <t>SHELVES</t>
        </is>
      </c>
      <c r="D1853" t="inlineStr">
        <is>
          <t>PR4584 .L96 1986</t>
        </is>
      </c>
      <c r="E1853" t="inlineStr">
        <is>
          <t>0                      PR 4584000L  96          1986</t>
        </is>
      </c>
      <c r="F1853" t="inlineStr">
        <is>
          <t>Dickens's England / Tony Lynch.</t>
        </is>
      </c>
      <c r="H1853" t="inlineStr">
        <is>
          <t>No</t>
        </is>
      </c>
      <c r="I1853" t="inlineStr">
        <is>
          <t>1</t>
        </is>
      </c>
      <c r="J1853" t="inlineStr">
        <is>
          <t>No</t>
        </is>
      </c>
      <c r="K1853" t="inlineStr">
        <is>
          <t>No</t>
        </is>
      </c>
      <c r="L1853" t="inlineStr">
        <is>
          <t>0</t>
        </is>
      </c>
      <c r="M1853" t="inlineStr">
        <is>
          <t>Lynch, Tony.</t>
        </is>
      </c>
      <c r="N1853" t="inlineStr">
        <is>
          <t>New York, N.Y. : Facts on File, c1986.</t>
        </is>
      </c>
      <c r="O1853" t="inlineStr">
        <is>
          <t>1986</t>
        </is>
      </c>
      <c r="Q1853" t="inlineStr">
        <is>
          <t>eng</t>
        </is>
      </c>
      <c r="R1853" t="inlineStr">
        <is>
          <t>nyu</t>
        </is>
      </c>
      <c r="T1853" t="inlineStr">
        <is>
          <t xml:space="preserve">PR </t>
        </is>
      </c>
      <c r="U1853" t="n">
        <v>2</v>
      </c>
      <c r="V1853" t="n">
        <v>2</v>
      </c>
      <c r="W1853" t="inlineStr">
        <is>
          <t>1996-04-02</t>
        </is>
      </c>
      <c r="X1853" t="inlineStr">
        <is>
          <t>1996-04-02</t>
        </is>
      </c>
      <c r="Y1853" t="inlineStr">
        <is>
          <t>1991-11-06</t>
        </is>
      </c>
      <c r="Z1853" t="inlineStr">
        <is>
          <t>1991-11-06</t>
        </is>
      </c>
      <c r="AA1853" t="n">
        <v>355</v>
      </c>
      <c r="AB1853" t="n">
        <v>338</v>
      </c>
      <c r="AC1853" t="n">
        <v>410</v>
      </c>
      <c r="AD1853" t="n">
        <v>2</v>
      </c>
      <c r="AE1853" t="n">
        <v>3</v>
      </c>
      <c r="AF1853" t="n">
        <v>6</v>
      </c>
      <c r="AG1853" t="n">
        <v>8</v>
      </c>
      <c r="AH1853" t="n">
        <v>3</v>
      </c>
      <c r="AI1853" t="n">
        <v>3</v>
      </c>
      <c r="AJ1853" t="n">
        <v>2</v>
      </c>
      <c r="AK1853" t="n">
        <v>3</v>
      </c>
      <c r="AL1853" t="n">
        <v>2</v>
      </c>
      <c r="AM1853" t="n">
        <v>3</v>
      </c>
      <c r="AN1853" t="n">
        <v>0</v>
      </c>
      <c r="AO1853" t="n">
        <v>1</v>
      </c>
      <c r="AP1853" t="n">
        <v>0</v>
      </c>
      <c r="AQ1853" t="n">
        <v>0</v>
      </c>
      <c r="AR1853" t="inlineStr">
        <is>
          <t>No</t>
        </is>
      </c>
      <c r="AS1853" t="inlineStr">
        <is>
          <t>Yes</t>
        </is>
      </c>
      <c r="AT1853">
        <f>HYPERLINK("http://catalog.hathitrust.org/Record/007585467","HathiTrust Record")</f>
        <v/>
      </c>
      <c r="AU1853">
        <f>HYPERLINK("https://creighton-primo.hosted.exlibrisgroup.com/primo-explore/search?tab=default_tab&amp;search_scope=EVERYTHING&amp;vid=01CRU&amp;lang=en_US&amp;offset=0&amp;query=any,contains,991000795779702656","Catalog Record")</f>
        <v/>
      </c>
      <c r="AV1853">
        <f>HYPERLINK("http://www.worldcat.org/oclc/13186084","WorldCat Record")</f>
        <v/>
      </c>
      <c r="AW1853" t="inlineStr">
        <is>
          <t>7016873:eng</t>
        </is>
      </c>
      <c r="AX1853" t="inlineStr">
        <is>
          <t>13186084</t>
        </is>
      </c>
      <c r="AY1853" t="inlineStr">
        <is>
          <t>991000795779702656</t>
        </is>
      </c>
      <c r="AZ1853" t="inlineStr">
        <is>
          <t>991000795779702656</t>
        </is>
      </c>
      <c r="BA1853" t="inlineStr">
        <is>
          <t>2255602980002656</t>
        </is>
      </c>
      <c r="BB1853" t="inlineStr">
        <is>
          <t>BOOK</t>
        </is>
      </c>
      <c r="BD1853" t="inlineStr">
        <is>
          <t>9780816015337</t>
        </is>
      </c>
      <c r="BE1853" t="inlineStr">
        <is>
          <t>32285000798222</t>
        </is>
      </c>
      <c r="BF1853" t="inlineStr">
        <is>
          <t>893315239</t>
        </is>
      </c>
    </row>
    <row r="1854">
      <c r="A1854" t="inlineStr">
        <is>
          <t>No</t>
        </is>
      </c>
      <c r="B1854" t="inlineStr">
        <is>
          <t>CURAL</t>
        </is>
      </c>
      <c r="C1854" t="inlineStr">
        <is>
          <t>SHELVES</t>
        </is>
      </c>
      <c r="D1854" t="inlineStr">
        <is>
          <t>PR4586 .A2 1971</t>
        </is>
      </c>
      <c r="E1854" t="inlineStr">
        <is>
          <t>0                      PR 4586000A  2           1971</t>
        </is>
      </c>
      <c r="F1854" t="inlineStr">
        <is>
          <t>Georgina Hogarth and the Dickens circle. London, New York, Oxford University Press, 1957.</t>
        </is>
      </c>
      <c r="H1854" t="inlineStr">
        <is>
          <t>No</t>
        </is>
      </c>
      <c r="I1854" t="inlineStr">
        <is>
          <t>1</t>
        </is>
      </c>
      <c r="J1854" t="inlineStr">
        <is>
          <t>No</t>
        </is>
      </c>
      <c r="K1854" t="inlineStr">
        <is>
          <t>No</t>
        </is>
      </c>
      <c r="L1854" t="inlineStr">
        <is>
          <t>0</t>
        </is>
      </c>
      <c r="M1854" t="inlineStr">
        <is>
          <t>Adrian, Arthur A., 1906-1996.</t>
        </is>
      </c>
      <c r="N1854" t="inlineStr">
        <is>
          <t>New York, Kraus Reprint Co., 1971.</t>
        </is>
      </c>
      <c r="O1854" t="inlineStr">
        <is>
          <t>1971</t>
        </is>
      </c>
      <c r="Q1854" t="inlineStr">
        <is>
          <t>eng</t>
        </is>
      </c>
      <c r="R1854" t="inlineStr">
        <is>
          <t>nyu</t>
        </is>
      </c>
      <c r="T1854" t="inlineStr">
        <is>
          <t xml:space="preserve">PR </t>
        </is>
      </c>
      <c r="U1854" t="n">
        <v>1</v>
      </c>
      <c r="V1854" t="n">
        <v>1</v>
      </c>
      <c r="W1854" t="inlineStr">
        <is>
          <t>2004-01-27</t>
        </is>
      </c>
      <c r="X1854" t="inlineStr">
        <is>
          <t>2004-01-27</t>
        </is>
      </c>
      <c r="Y1854" t="inlineStr">
        <is>
          <t>1997-07-03</t>
        </is>
      </c>
      <c r="Z1854" t="inlineStr">
        <is>
          <t>1997-07-03</t>
        </is>
      </c>
      <c r="AA1854" t="n">
        <v>68</v>
      </c>
      <c r="AB1854" t="n">
        <v>60</v>
      </c>
      <c r="AC1854" t="n">
        <v>428</v>
      </c>
      <c r="AD1854" t="n">
        <v>1</v>
      </c>
      <c r="AE1854" t="n">
        <v>5</v>
      </c>
      <c r="AF1854" t="n">
        <v>2</v>
      </c>
      <c r="AG1854" t="n">
        <v>24</v>
      </c>
      <c r="AH1854" t="n">
        <v>1</v>
      </c>
      <c r="AI1854" t="n">
        <v>7</v>
      </c>
      <c r="AJ1854" t="n">
        <v>0</v>
      </c>
      <c r="AK1854" t="n">
        <v>4</v>
      </c>
      <c r="AL1854" t="n">
        <v>1</v>
      </c>
      <c r="AM1854" t="n">
        <v>16</v>
      </c>
      <c r="AN1854" t="n">
        <v>0</v>
      </c>
      <c r="AO1854" t="n">
        <v>4</v>
      </c>
      <c r="AP1854" t="n">
        <v>0</v>
      </c>
      <c r="AQ1854" t="n">
        <v>0</v>
      </c>
      <c r="AR1854" t="inlineStr">
        <is>
          <t>No</t>
        </is>
      </c>
      <c r="AS1854" t="inlineStr">
        <is>
          <t>No</t>
        </is>
      </c>
      <c r="AU1854">
        <f>HYPERLINK("https://creighton-primo.hosted.exlibrisgroup.com/primo-explore/search?tab=default_tab&amp;search_scope=EVERYTHING&amp;vid=01CRU&amp;lang=en_US&amp;offset=0&amp;query=any,contains,991002196489702656","Catalog Record")</f>
        <v/>
      </c>
      <c r="AV1854">
        <f>HYPERLINK("http://www.worldcat.org/oclc/283103","WorldCat Record")</f>
        <v/>
      </c>
      <c r="AW1854" t="inlineStr">
        <is>
          <t>389103896:eng</t>
        </is>
      </c>
      <c r="AX1854" t="inlineStr">
        <is>
          <t>283103</t>
        </is>
      </c>
      <c r="AY1854" t="inlineStr">
        <is>
          <t>991002196489702656</t>
        </is>
      </c>
      <c r="AZ1854" t="inlineStr">
        <is>
          <t>991002196489702656</t>
        </is>
      </c>
      <c r="BA1854" t="inlineStr">
        <is>
          <t>2265638910002656</t>
        </is>
      </c>
      <c r="BB1854" t="inlineStr">
        <is>
          <t>BOOK</t>
        </is>
      </c>
      <c r="BE1854" t="inlineStr">
        <is>
          <t>32285002888401</t>
        </is>
      </c>
      <c r="BF1854" t="inlineStr">
        <is>
          <t>893504114</t>
        </is>
      </c>
    </row>
    <row r="1855">
      <c r="A1855" t="inlineStr">
        <is>
          <t>No</t>
        </is>
      </c>
      <c r="B1855" t="inlineStr">
        <is>
          <t>CURAL</t>
        </is>
      </c>
      <c r="C1855" t="inlineStr">
        <is>
          <t>SHELVES</t>
        </is>
      </c>
      <c r="D1855" t="inlineStr">
        <is>
          <t>PR4588 .C35 1983</t>
        </is>
      </c>
      <c r="E1855" t="inlineStr">
        <is>
          <t>0                      PR 4588000C  35          1983</t>
        </is>
      </c>
      <c r="F1855" t="inlineStr">
        <is>
          <t>The Changing world of Charles Dickens / edited by Robert Giddings.</t>
        </is>
      </c>
      <c r="H1855" t="inlineStr">
        <is>
          <t>No</t>
        </is>
      </c>
      <c r="I1855" t="inlineStr">
        <is>
          <t>1</t>
        </is>
      </c>
      <c r="J1855" t="inlineStr">
        <is>
          <t>No</t>
        </is>
      </c>
      <c r="K1855" t="inlineStr">
        <is>
          <t>No</t>
        </is>
      </c>
      <c r="L1855" t="inlineStr">
        <is>
          <t>0</t>
        </is>
      </c>
      <c r="N1855" t="inlineStr">
        <is>
          <t>Totowa, N.J. : Barnes &amp; Noble Books, 1983.</t>
        </is>
      </c>
      <c r="O1855" t="inlineStr">
        <is>
          <t>1983</t>
        </is>
      </c>
      <c r="Q1855" t="inlineStr">
        <is>
          <t>eng</t>
        </is>
      </c>
      <c r="R1855" t="inlineStr">
        <is>
          <t>nju</t>
        </is>
      </c>
      <c r="S1855" t="inlineStr">
        <is>
          <t>Critical studies series</t>
        </is>
      </c>
      <c r="T1855" t="inlineStr">
        <is>
          <t xml:space="preserve">PR </t>
        </is>
      </c>
      <c r="U1855" t="n">
        <v>1</v>
      </c>
      <c r="V1855" t="n">
        <v>1</v>
      </c>
      <c r="W1855" t="inlineStr">
        <is>
          <t>1995-09-29</t>
        </is>
      </c>
      <c r="X1855" t="inlineStr">
        <is>
          <t>1995-09-29</t>
        </is>
      </c>
      <c r="Y1855" t="inlineStr">
        <is>
          <t>1991-11-06</t>
        </is>
      </c>
      <c r="Z1855" t="inlineStr">
        <is>
          <t>1991-11-06</t>
        </is>
      </c>
      <c r="AA1855" t="n">
        <v>643</v>
      </c>
      <c r="AB1855" t="n">
        <v>531</v>
      </c>
      <c r="AC1855" t="n">
        <v>533</v>
      </c>
      <c r="AD1855" t="n">
        <v>7</v>
      </c>
      <c r="AE1855" t="n">
        <v>7</v>
      </c>
      <c r="AF1855" t="n">
        <v>26</v>
      </c>
      <c r="AG1855" t="n">
        <v>26</v>
      </c>
      <c r="AH1855" t="n">
        <v>7</v>
      </c>
      <c r="AI1855" t="n">
        <v>7</v>
      </c>
      <c r="AJ1855" t="n">
        <v>6</v>
      </c>
      <c r="AK1855" t="n">
        <v>6</v>
      </c>
      <c r="AL1855" t="n">
        <v>13</v>
      </c>
      <c r="AM1855" t="n">
        <v>13</v>
      </c>
      <c r="AN1855" t="n">
        <v>6</v>
      </c>
      <c r="AO1855" t="n">
        <v>6</v>
      </c>
      <c r="AP1855" t="n">
        <v>0</v>
      </c>
      <c r="AQ1855" t="n">
        <v>0</v>
      </c>
      <c r="AR1855" t="inlineStr">
        <is>
          <t>No</t>
        </is>
      </c>
      <c r="AS1855" t="inlineStr">
        <is>
          <t>Yes</t>
        </is>
      </c>
      <c r="AT1855">
        <f>HYPERLINK("http://catalog.hathitrust.org/Record/000118290","HathiTrust Record")</f>
        <v/>
      </c>
      <c r="AU1855">
        <f>HYPERLINK("https://creighton-primo.hosted.exlibrisgroup.com/primo-explore/search?tab=default_tab&amp;search_scope=EVERYTHING&amp;vid=01CRU&amp;lang=en_US&amp;offset=0&amp;query=any,contains,991000172329702656","Catalog Record")</f>
        <v/>
      </c>
      <c r="AV1855">
        <f>HYPERLINK("http://www.worldcat.org/oclc/9324694","WorldCat Record")</f>
        <v/>
      </c>
      <c r="AW1855" t="inlineStr">
        <is>
          <t>54563849:eng</t>
        </is>
      </c>
      <c r="AX1855" t="inlineStr">
        <is>
          <t>9324694</t>
        </is>
      </c>
      <c r="AY1855" t="inlineStr">
        <is>
          <t>991000172329702656</t>
        </is>
      </c>
      <c r="AZ1855" t="inlineStr">
        <is>
          <t>991000172329702656</t>
        </is>
      </c>
      <c r="BA1855" t="inlineStr">
        <is>
          <t>2259686710002656</t>
        </is>
      </c>
      <c r="BB1855" t="inlineStr">
        <is>
          <t>BOOK</t>
        </is>
      </c>
      <c r="BD1855" t="inlineStr">
        <is>
          <t>9780389203728</t>
        </is>
      </c>
      <c r="BE1855" t="inlineStr">
        <is>
          <t>32285000798271</t>
        </is>
      </c>
      <c r="BF1855" t="inlineStr">
        <is>
          <t>893515076</t>
        </is>
      </c>
    </row>
    <row r="1856">
      <c r="A1856" t="inlineStr">
        <is>
          <t>No</t>
        </is>
      </c>
      <c r="B1856" t="inlineStr">
        <is>
          <t>CURAL</t>
        </is>
      </c>
      <c r="C1856" t="inlineStr">
        <is>
          <t>SHELVES</t>
        </is>
      </c>
      <c r="D1856" t="inlineStr">
        <is>
          <t>PR4588 .C4</t>
        </is>
      </c>
      <c r="E1856" t="inlineStr">
        <is>
          <t>0                      PR 4588000C  4</t>
        </is>
      </c>
      <c r="F1856" t="inlineStr">
        <is>
          <t>Appreciations and criticisms of the works of Charles Dickens, by G. K. Chesterton.</t>
        </is>
      </c>
      <c r="H1856" t="inlineStr">
        <is>
          <t>No</t>
        </is>
      </c>
      <c r="I1856" t="inlineStr">
        <is>
          <t>1</t>
        </is>
      </c>
      <c r="J1856" t="inlineStr">
        <is>
          <t>No</t>
        </is>
      </c>
      <c r="K1856" t="inlineStr">
        <is>
          <t>No</t>
        </is>
      </c>
      <c r="L1856" t="inlineStr">
        <is>
          <t>0</t>
        </is>
      </c>
      <c r="M1856" t="inlineStr">
        <is>
          <t>Chesterton, G. K. (Gilbert Keith), 1874-1936.</t>
        </is>
      </c>
      <c r="N1856" t="inlineStr">
        <is>
          <t>London, J. M. Dent &amp; sons, ltd.; New York, E. P. Dutton &amp; Co. 1911.</t>
        </is>
      </c>
      <c r="O1856" t="inlineStr">
        <is>
          <t>1911</t>
        </is>
      </c>
      <c r="Q1856" t="inlineStr">
        <is>
          <t>eng</t>
        </is>
      </c>
      <c r="R1856" t="inlineStr">
        <is>
          <t xml:space="preserve">xx </t>
        </is>
      </c>
      <c r="T1856" t="inlineStr">
        <is>
          <t xml:space="preserve">PR </t>
        </is>
      </c>
      <c r="U1856" t="n">
        <v>3</v>
      </c>
      <c r="V1856" t="n">
        <v>3</v>
      </c>
      <c r="W1856" t="inlineStr">
        <is>
          <t>2009-04-16</t>
        </is>
      </c>
      <c r="X1856" t="inlineStr">
        <is>
          <t>2009-04-16</t>
        </is>
      </c>
      <c r="Y1856" t="inlineStr">
        <is>
          <t>1997-07-14</t>
        </is>
      </c>
      <c r="Z1856" t="inlineStr">
        <is>
          <t>1997-07-14</t>
        </is>
      </c>
      <c r="AA1856" t="n">
        <v>299</v>
      </c>
      <c r="AB1856" t="n">
        <v>218</v>
      </c>
      <c r="AC1856" t="n">
        <v>771</v>
      </c>
      <c r="AD1856" t="n">
        <v>4</v>
      </c>
      <c r="AE1856" t="n">
        <v>8</v>
      </c>
      <c r="AF1856" t="n">
        <v>22</v>
      </c>
      <c r="AG1856" t="n">
        <v>36</v>
      </c>
      <c r="AH1856" t="n">
        <v>5</v>
      </c>
      <c r="AI1856" t="n">
        <v>11</v>
      </c>
      <c r="AJ1856" t="n">
        <v>6</v>
      </c>
      <c r="AK1856" t="n">
        <v>8</v>
      </c>
      <c r="AL1856" t="n">
        <v>14</v>
      </c>
      <c r="AM1856" t="n">
        <v>18</v>
      </c>
      <c r="AN1856" t="n">
        <v>3</v>
      </c>
      <c r="AO1856" t="n">
        <v>7</v>
      </c>
      <c r="AP1856" t="n">
        <v>0</v>
      </c>
      <c r="AQ1856" t="n">
        <v>0</v>
      </c>
      <c r="AR1856" t="inlineStr">
        <is>
          <t>Yes</t>
        </is>
      </c>
      <c r="AS1856" t="inlineStr">
        <is>
          <t>No</t>
        </is>
      </c>
      <c r="AT1856">
        <f>HYPERLINK("http://catalog.hathitrust.org/Record/000557308","HathiTrust Record")</f>
        <v/>
      </c>
      <c r="AU1856">
        <f>HYPERLINK("https://creighton-primo.hosted.exlibrisgroup.com/primo-explore/search?tab=default_tab&amp;search_scope=EVERYTHING&amp;vid=01CRU&amp;lang=en_US&amp;offset=0&amp;query=any,contains,991003985449702656","Catalog Record")</f>
        <v/>
      </c>
      <c r="AV1856">
        <f>HYPERLINK("http://www.worldcat.org/oclc/2029372","WorldCat Record")</f>
        <v/>
      </c>
      <c r="AW1856" t="inlineStr">
        <is>
          <t>502731:eng</t>
        </is>
      </c>
      <c r="AX1856" t="inlineStr">
        <is>
          <t>2029372</t>
        </is>
      </c>
      <c r="AY1856" t="inlineStr">
        <is>
          <t>991003985449702656</t>
        </is>
      </c>
      <c r="AZ1856" t="inlineStr">
        <is>
          <t>991003985449702656</t>
        </is>
      </c>
      <c r="BA1856" t="inlineStr">
        <is>
          <t>2262463010002656</t>
        </is>
      </c>
      <c r="BB1856" t="inlineStr">
        <is>
          <t>BOOK</t>
        </is>
      </c>
      <c r="BE1856" t="inlineStr">
        <is>
          <t>32285002891900</t>
        </is>
      </c>
      <c r="BF1856" t="inlineStr">
        <is>
          <t>893611782</t>
        </is>
      </c>
    </row>
    <row r="1857">
      <c r="A1857" t="inlineStr">
        <is>
          <t>No</t>
        </is>
      </c>
      <c r="B1857" t="inlineStr">
        <is>
          <t>CURAL</t>
        </is>
      </c>
      <c r="C1857" t="inlineStr">
        <is>
          <t>SHELVES</t>
        </is>
      </c>
      <c r="D1857" t="inlineStr">
        <is>
          <t>PR4588 .C5</t>
        </is>
      </c>
      <c r="E1857" t="inlineStr">
        <is>
          <t>0                      PR 4588000C  5</t>
        </is>
      </c>
      <c r="F1857" t="inlineStr">
        <is>
          <t>Charles Dickens; a critical study, by G. K. Chesterton ...</t>
        </is>
      </c>
      <c r="H1857" t="inlineStr">
        <is>
          <t>No</t>
        </is>
      </c>
      <c r="I1857" t="inlineStr">
        <is>
          <t>1</t>
        </is>
      </c>
      <c r="J1857" t="inlineStr">
        <is>
          <t>No</t>
        </is>
      </c>
      <c r="K1857" t="inlineStr">
        <is>
          <t>No</t>
        </is>
      </c>
      <c r="L1857" t="inlineStr">
        <is>
          <t>0</t>
        </is>
      </c>
      <c r="M1857" t="inlineStr">
        <is>
          <t>Chesterton, G. K. (Gilbert Keith), 1874-1936.</t>
        </is>
      </c>
      <c r="N1857" t="inlineStr">
        <is>
          <t>New York, Dodd, Mead &amp; Company, 1906.</t>
        </is>
      </c>
      <c r="O1857" t="inlineStr">
        <is>
          <t>1906</t>
        </is>
      </c>
      <c r="Q1857" t="inlineStr">
        <is>
          <t>eng</t>
        </is>
      </c>
      <c r="R1857" t="inlineStr">
        <is>
          <t>nyu</t>
        </is>
      </c>
      <c r="T1857" t="inlineStr">
        <is>
          <t xml:space="preserve">PR </t>
        </is>
      </c>
      <c r="U1857" t="n">
        <v>1</v>
      </c>
      <c r="V1857" t="n">
        <v>1</v>
      </c>
      <c r="W1857" t="inlineStr">
        <is>
          <t>1998-11-20</t>
        </is>
      </c>
      <c r="X1857" t="inlineStr">
        <is>
          <t>1998-11-20</t>
        </is>
      </c>
      <c r="Y1857" t="inlineStr">
        <is>
          <t>1997-07-14</t>
        </is>
      </c>
      <c r="Z1857" t="inlineStr">
        <is>
          <t>1997-07-14</t>
        </is>
      </c>
      <c r="AA1857" t="n">
        <v>415</v>
      </c>
      <c r="AB1857" t="n">
        <v>402</v>
      </c>
      <c r="AC1857" t="n">
        <v>584</v>
      </c>
      <c r="AD1857" t="n">
        <v>3</v>
      </c>
      <c r="AE1857" t="n">
        <v>7</v>
      </c>
      <c r="AF1857" t="n">
        <v>25</v>
      </c>
      <c r="AG1857" t="n">
        <v>39</v>
      </c>
      <c r="AH1857" t="n">
        <v>10</v>
      </c>
      <c r="AI1857" t="n">
        <v>16</v>
      </c>
      <c r="AJ1857" t="n">
        <v>5</v>
      </c>
      <c r="AK1857" t="n">
        <v>9</v>
      </c>
      <c r="AL1857" t="n">
        <v>16</v>
      </c>
      <c r="AM1857" t="n">
        <v>22</v>
      </c>
      <c r="AN1857" t="n">
        <v>1</v>
      </c>
      <c r="AO1857" t="n">
        <v>4</v>
      </c>
      <c r="AP1857" t="n">
        <v>0</v>
      </c>
      <c r="AQ1857" t="n">
        <v>0</v>
      </c>
      <c r="AR1857" t="inlineStr">
        <is>
          <t>Yes</t>
        </is>
      </c>
      <c r="AS1857" t="inlineStr">
        <is>
          <t>No</t>
        </is>
      </c>
      <c r="AT1857">
        <f>HYPERLINK("http://catalog.hathitrust.org/Record/100523948","HathiTrust Record")</f>
        <v/>
      </c>
      <c r="AU1857">
        <f>HYPERLINK("https://creighton-primo.hosted.exlibrisgroup.com/primo-explore/search?tab=default_tab&amp;search_scope=EVERYTHING&amp;vid=01CRU&amp;lang=en_US&amp;offset=0&amp;query=any,contains,991003072529702656","Catalog Record")</f>
        <v/>
      </c>
      <c r="AV1857">
        <f>HYPERLINK("http://www.worldcat.org/oclc/626764","WorldCat Record")</f>
        <v/>
      </c>
      <c r="AW1857" t="inlineStr">
        <is>
          <t>3901020023:eng</t>
        </is>
      </c>
      <c r="AX1857" t="inlineStr">
        <is>
          <t>626764</t>
        </is>
      </c>
      <c r="AY1857" t="inlineStr">
        <is>
          <t>991003072529702656</t>
        </is>
      </c>
      <c r="AZ1857" t="inlineStr">
        <is>
          <t>991003072529702656</t>
        </is>
      </c>
      <c r="BA1857" t="inlineStr">
        <is>
          <t>2257260330002656</t>
        </is>
      </c>
      <c r="BB1857" t="inlineStr">
        <is>
          <t>BOOK</t>
        </is>
      </c>
      <c r="BE1857" t="inlineStr">
        <is>
          <t>32285002891918</t>
        </is>
      </c>
      <c r="BF1857" t="inlineStr">
        <is>
          <t>893793290</t>
        </is>
      </c>
    </row>
    <row r="1858">
      <c r="A1858" t="inlineStr">
        <is>
          <t>No</t>
        </is>
      </c>
      <c r="B1858" t="inlineStr">
        <is>
          <t>CURAL</t>
        </is>
      </c>
      <c r="C1858" t="inlineStr">
        <is>
          <t>SHELVES</t>
        </is>
      </c>
      <c r="D1858" t="inlineStr">
        <is>
          <t>PR4588 .C635 1971</t>
        </is>
      </c>
      <c r="E1858" t="inlineStr">
        <is>
          <t>0                      PR 4588000C  635         1971</t>
        </is>
      </c>
      <c r="F1858" t="inlineStr">
        <is>
          <t>Dickens: the critical heritage. Edited by Philip Collins.</t>
        </is>
      </c>
      <c r="H1858" t="inlineStr">
        <is>
          <t>No</t>
        </is>
      </c>
      <c r="I1858" t="inlineStr">
        <is>
          <t>1</t>
        </is>
      </c>
      <c r="J1858" t="inlineStr">
        <is>
          <t>No</t>
        </is>
      </c>
      <c r="K1858" t="inlineStr">
        <is>
          <t>No</t>
        </is>
      </c>
      <c r="L1858" t="inlineStr">
        <is>
          <t>0</t>
        </is>
      </c>
      <c r="M1858" t="inlineStr">
        <is>
          <t>Collins, Philip, 1923-2007 compiler.</t>
        </is>
      </c>
      <c r="N1858" t="inlineStr">
        <is>
          <t>New York, Barnes &amp; Noble [1971]</t>
        </is>
      </c>
      <c r="O1858" t="inlineStr">
        <is>
          <t>1971</t>
        </is>
      </c>
      <c r="Q1858" t="inlineStr">
        <is>
          <t>eng</t>
        </is>
      </c>
      <c r="R1858" t="inlineStr">
        <is>
          <t>nyu</t>
        </is>
      </c>
      <c r="S1858" t="inlineStr">
        <is>
          <t>The Critical heritage series</t>
        </is>
      </c>
      <c r="T1858" t="inlineStr">
        <is>
          <t xml:space="preserve">PR </t>
        </is>
      </c>
      <c r="U1858" t="n">
        <v>1</v>
      </c>
      <c r="V1858" t="n">
        <v>1</v>
      </c>
      <c r="W1858" t="inlineStr">
        <is>
          <t>2003-12-18</t>
        </is>
      </c>
      <c r="X1858" t="inlineStr">
        <is>
          <t>2003-12-18</t>
        </is>
      </c>
      <c r="Y1858" t="inlineStr">
        <is>
          <t>1991-12-12</t>
        </is>
      </c>
      <c r="Z1858" t="inlineStr">
        <is>
          <t>1991-12-12</t>
        </is>
      </c>
      <c r="AA1858" t="n">
        <v>640</v>
      </c>
      <c r="AB1858" t="n">
        <v>589</v>
      </c>
      <c r="AC1858" t="n">
        <v>725</v>
      </c>
      <c r="AD1858" t="n">
        <v>8</v>
      </c>
      <c r="AE1858" t="n">
        <v>9</v>
      </c>
      <c r="AF1858" t="n">
        <v>29</v>
      </c>
      <c r="AG1858" t="n">
        <v>36</v>
      </c>
      <c r="AH1858" t="n">
        <v>9</v>
      </c>
      <c r="AI1858" t="n">
        <v>13</v>
      </c>
      <c r="AJ1858" t="n">
        <v>4</v>
      </c>
      <c r="AK1858" t="n">
        <v>6</v>
      </c>
      <c r="AL1858" t="n">
        <v>14</v>
      </c>
      <c r="AM1858" t="n">
        <v>18</v>
      </c>
      <c r="AN1858" t="n">
        <v>7</v>
      </c>
      <c r="AO1858" t="n">
        <v>8</v>
      </c>
      <c r="AP1858" t="n">
        <v>0</v>
      </c>
      <c r="AQ1858" t="n">
        <v>0</v>
      </c>
      <c r="AR1858" t="inlineStr">
        <is>
          <t>No</t>
        </is>
      </c>
      <c r="AS1858" t="inlineStr">
        <is>
          <t>No</t>
        </is>
      </c>
      <c r="AU1858">
        <f>HYPERLINK("https://creighton-primo.hosted.exlibrisgroup.com/primo-explore/search?tab=default_tab&amp;search_scope=EVERYTHING&amp;vid=01CRU&amp;lang=en_US&amp;offset=0&amp;query=any,contains,991000680559702656","Catalog Record")</f>
        <v/>
      </c>
      <c r="AV1858">
        <f>HYPERLINK("http://www.worldcat.org/oclc/121712","WorldCat Record")</f>
        <v/>
      </c>
      <c r="AW1858" t="inlineStr">
        <is>
          <t>1810111195:eng</t>
        </is>
      </c>
      <c r="AX1858" t="inlineStr">
        <is>
          <t>121712</t>
        </is>
      </c>
      <c r="AY1858" t="inlineStr">
        <is>
          <t>991000680559702656</t>
        </is>
      </c>
      <c r="AZ1858" t="inlineStr">
        <is>
          <t>991000680559702656</t>
        </is>
      </c>
      <c r="BA1858" t="inlineStr">
        <is>
          <t>2262347110002656</t>
        </is>
      </c>
      <c r="BB1858" t="inlineStr">
        <is>
          <t>BOOK</t>
        </is>
      </c>
      <c r="BD1858" t="inlineStr">
        <is>
          <t>9780389040606</t>
        </is>
      </c>
      <c r="BE1858" t="inlineStr">
        <is>
          <t>32285000878214</t>
        </is>
      </c>
      <c r="BF1858" t="inlineStr">
        <is>
          <t>893432201</t>
        </is>
      </c>
    </row>
    <row r="1859">
      <c r="A1859" t="inlineStr">
        <is>
          <t>No</t>
        </is>
      </c>
      <c r="B1859" t="inlineStr">
        <is>
          <t>CURAL</t>
        </is>
      </c>
      <c r="C1859" t="inlineStr">
        <is>
          <t>SHELVES</t>
        </is>
      </c>
      <c r="D1859" t="inlineStr">
        <is>
          <t>PR4588 .C64 1967</t>
        </is>
      </c>
      <c r="E1859" t="inlineStr">
        <is>
          <t>0                      PR 4588000C  64          1967</t>
        </is>
      </c>
      <c r="F1859" t="inlineStr">
        <is>
          <t>Charles Dickens as serial novelist / [by] Archibald C. Coolidge, Jr.</t>
        </is>
      </c>
      <c r="H1859" t="inlineStr">
        <is>
          <t>No</t>
        </is>
      </c>
      <c r="I1859" t="inlineStr">
        <is>
          <t>1</t>
        </is>
      </c>
      <c r="J1859" t="inlineStr">
        <is>
          <t>No</t>
        </is>
      </c>
      <c r="K1859" t="inlineStr">
        <is>
          <t>No</t>
        </is>
      </c>
      <c r="L1859" t="inlineStr">
        <is>
          <t>0</t>
        </is>
      </c>
      <c r="M1859" t="inlineStr">
        <is>
          <t>Coolidge, Archibald Cary, 1928-</t>
        </is>
      </c>
      <c r="N1859" t="inlineStr">
        <is>
          <t>Ames : Iowa State University Press, [1967]</t>
        </is>
      </c>
      <c r="O1859" t="inlineStr">
        <is>
          <t>1967</t>
        </is>
      </c>
      <c r="P1859" t="inlineStr">
        <is>
          <t>[1st ed.]</t>
        </is>
      </c>
      <c r="Q1859" t="inlineStr">
        <is>
          <t>eng</t>
        </is>
      </c>
      <c r="R1859" t="inlineStr">
        <is>
          <t>iau</t>
        </is>
      </c>
      <c r="T1859" t="inlineStr">
        <is>
          <t xml:space="preserve">PR </t>
        </is>
      </c>
      <c r="U1859" t="n">
        <v>1</v>
      </c>
      <c r="V1859" t="n">
        <v>1</v>
      </c>
      <c r="W1859" t="inlineStr">
        <is>
          <t>2002-12-11</t>
        </is>
      </c>
      <c r="X1859" t="inlineStr">
        <is>
          <t>2002-12-11</t>
        </is>
      </c>
      <c r="Y1859" t="inlineStr">
        <is>
          <t>2002-12-11</t>
        </is>
      </c>
      <c r="Z1859" t="inlineStr">
        <is>
          <t>2002-12-11</t>
        </is>
      </c>
      <c r="AA1859" t="n">
        <v>753</v>
      </c>
      <c r="AB1859" t="n">
        <v>627</v>
      </c>
      <c r="AC1859" t="n">
        <v>635</v>
      </c>
      <c r="AD1859" t="n">
        <v>8</v>
      </c>
      <c r="AE1859" t="n">
        <v>8</v>
      </c>
      <c r="AF1859" t="n">
        <v>38</v>
      </c>
      <c r="AG1859" t="n">
        <v>38</v>
      </c>
      <c r="AH1859" t="n">
        <v>13</v>
      </c>
      <c r="AI1859" t="n">
        <v>13</v>
      </c>
      <c r="AJ1859" t="n">
        <v>7</v>
      </c>
      <c r="AK1859" t="n">
        <v>7</v>
      </c>
      <c r="AL1859" t="n">
        <v>23</v>
      </c>
      <c r="AM1859" t="n">
        <v>23</v>
      </c>
      <c r="AN1859" t="n">
        <v>7</v>
      </c>
      <c r="AO1859" t="n">
        <v>7</v>
      </c>
      <c r="AP1859" t="n">
        <v>0</v>
      </c>
      <c r="AQ1859" t="n">
        <v>0</v>
      </c>
      <c r="AR1859" t="inlineStr">
        <is>
          <t>No</t>
        </is>
      </c>
      <c r="AS1859" t="inlineStr">
        <is>
          <t>Yes</t>
        </is>
      </c>
      <c r="AT1859">
        <f>HYPERLINK("http://catalog.hathitrust.org/Record/000557449","HathiTrust Record")</f>
        <v/>
      </c>
      <c r="AU1859">
        <f>HYPERLINK("https://creighton-primo.hosted.exlibrisgroup.com/primo-explore/search?tab=default_tab&amp;search_scope=EVERYTHING&amp;vid=01CRU&amp;lang=en_US&amp;offset=0&amp;query=any,contains,991003960889702656","Catalog Record")</f>
        <v/>
      </c>
      <c r="AV1859">
        <f>HYPERLINK("http://www.worldcat.org/oclc/358012","WorldCat Record")</f>
        <v/>
      </c>
      <c r="AW1859" t="inlineStr">
        <is>
          <t>1405472:eng</t>
        </is>
      </c>
      <c r="AX1859" t="inlineStr">
        <is>
          <t>358012</t>
        </is>
      </c>
      <c r="AY1859" t="inlineStr">
        <is>
          <t>991003960889702656</t>
        </is>
      </c>
      <c r="AZ1859" t="inlineStr">
        <is>
          <t>991003960889702656</t>
        </is>
      </c>
      <c r="BA1859" t="inlineStr">
        <is>
          <t>2265896080002656</t>
        </is>
      </c>
      <c r="BB1859" t="inlineStr">
        <is>
          <t>BOOK</t>
        </is>
      </c>
      <c r="BE1859" t="inlineStr">
        <is>
          <t>32285004690607</t>
        </is>
      </c>
      <c r="BF1859" t="inlineStr">
        <is>
          <t>893888159</t>
        </is>
      </c>
    </row>
    <row r="1860">
      <c r="A1860" t="inlineStr">
        <is>
          <t>No</t>
        </is>
      </c>
      <c r="B1860" t="inlineStr">
        <is>
          <t>CURAL</t>
        </is>
      </c>
      <c r="C1860" t="inlineStr">
        <is>
          <t>SHELVES</t>
        </is>
      </c>
      <c r="D1860" t="inlineStr">
        <is>
          <t>PR4588 .F63</t>
        </is>
      </c>
      <c r="E1860" t="inlineStr">
        <is>
          <t>0                      PR 4588000F  63</t>
        </is>
      </c>
      <c r="F1860" t="inlineStr">
        <is>
          <t>The Dickens critics / edited by George H. Ford and Lauriat Lane, Jr.</t>
        </is>
      </c>
      <c r="H1860" t="inlineStr">
        <is>
          <t>No</t>
        </is>
      </c>
      <c r="I1860" t="inlineStr">
        <is>
          <t>1</t>
        </is>
      </c>
      <c r="J1860" t="inlineStr">
        <is>
          <t>No</t>
        </is>
      </c>
      <c r="K1860" t="inlineStr">
        <is>
          <t>No</t>
        </is>
      </c>
      <c r="L1860" t="inlineStr">
        <is>
          <t>0</t>
        </is>
      </c>
      <c r="M1860" t="inlineStr">
        <is>
          <t>Ford, George H. (George Harry), 1914-1994 editor.</t>
        </is>
      </c>
      <c r="N1860" t="inlineStr">
        <is>
          <t>Ithaca, N.Y. : Cornell University Press, [1961]</t>
        </is>
      </c>
      <c r="O1860" t="inlineStr">
        <is>
          <t>1961</t>
        </is>
      </c>
      <c r="Q1860" t="inlineStr">
        <is>
          <t>eng</t>
        </is>
      </c>
      <c r="R1860" t="inlineStr">
        <is>
          <t>nyu</t>
        </is>
      </c>
      <c r="T1860" t="inlineStr">
        <is>
          <t xml:space="preserve">PR </t>
        </is>
      </c>
      <c r="U1860" t="n">
        <v>1</v>
      </c>
      <c r="V1860" t="n">
        <v>1</v>
      </c>
      <c r="W1860" t="inlineStr">
        <is>
          <t>1997-03-01</t>
        </is>
      </c>
      <c r="X1860" t="inlineStr">
        <is>
          <t>1997-03-01</t>
        </is>
      </c>
      <c r="Y1860" t="inlineStr">
        <is>
          <t>1990-04-25</t>
        </is>
      </c>
      <c r="Z1860" t="inlineStr">
        <is>
          <t>1990-04-25</t>
        </is>
      </c>
      <c r="AA1860" t="n">
        <v>904</v>
      </c>
      <c r="AB1860" t="n">
        <v>738</v>
      </c>
      <c r="AC1860" t="n">
        <v>961</v>
      </c>
      <c r="AD1860" t="n">
        <v>5</v>
      </c>
      <c r="AE1860" t="n">
        <v>6</v>
      </c>
      <c r="AF1860" t="n">
        <v>33</v>
      </c>
      <c r="AG1860" t="n">
        <v>47</v>
      </c>
      <c r="AH1860" t="n">
        <v>12</v>
      </c>
      <c r="AI1860" t="n">
        <v>21</v>
      </c>
      <c r="AJ1860" t="n">
        <v>7</v>
      </c>
      <c r="AK1860" t="n">
        <v>10</v>
      </c>
      <c r="AL1860" t="n">
        <v>16</v>
      </c>
      <c r="AM1860" t="n">
        <v>24</v>
      </c>
      <c r="AN1860" t="n">
        <v>4</v>
      </c>
      <c r="AO1860" t="n">
        <v>5</v>
      </c>
      <c r="AP1860" t="n">
        <v>0</v>
      </c>
      <c r="AQ1860" t="n">
        <v>0</v>
      </c>
      <c r="AR1860" t="inlineStr">
        <is>
          <t>No</t>
        </is>
      </c>
      <c r="AS1860" t="inlineStr">
        <is>
          <t>Yes</t>
        </is>
      </c>
      <c r="AT1860">
        <f>HYPERLINK("http://catalog.hathitrust.org/Record/000539575","HathiTrust Record")</f>
        <v/>
      </c>
      <c r="AU1860">
        <f>HYPERLINK("https://creighton-primo.hosted.exlibrisgroup.com/primo-explore/search?tab=default_tab&amp;search_scope=EVERYTHING&amp;vid=01CRU&amp;lang=en_US&amp;offset=0&amp;query=any,contains,991002467499702656","Catalog Record")</f>
        <v/>
      </c>
      <c r="AV1860">
        <f>HYPERLINK("http://www.worldcat.org/oclc/357978","WorldCat Record")</f>
        <v/>
      </c>
      <c r="AW1860" t="inlineStr">
        <is>
          <t>57212110:eng</t>
        </is>
      </c>
      <c r="AX1860" t="inlineStr">
        <is>
          <t>357978</t>
        </is>
      </c>
      <c r="AY1860" t="inlineStr">
        <is>
          <t>991002467499702656</t>
        </is>
      </c>
      <c r="AZ1860" t="inlineStr">
        <is>
          <t>991002467499702656</t>
        </is>
      </c>
      <c r="BA1860" t="inlineStr">
        <is>
          <t>2265736800002656</t>
        </is>
      </c>
      <c r="BB1860" t="inlineStr">
        <is>
          <t>BOOK</t>
        </is>
      </c>
      <c r="BE1860" t="inlineStr">
        <is>
          <t>32285000119171</t>
        </is>
      </c>
      <c r="BF1860" t="inlineStr">
        <is>
          <t>893779853</t>
        </is>
      </c>
    </row>
    <row r="1861">
      <c r="A1861" t="inlineStr">
        <is>
          <t>No</t>
        </is>
      </c>
      <c r="B1861" t="inlineStr">
        <is>
          <t>CURAL</t>
        </is>
      </c>
      <c r="C1861" t="inlineStr">
        <is>
          <t>SHELVES</t>
        </is>
      </c>
      <c r="D1861" t="inlineStr">
        <is>
          <t>PR4588 .G5 1972</t>
        </is>
      </c>
      <c r="E1861" t="inlineStr">
        <is>
          <t>0                      PR 4588000G  5           1972</t>
        </is>
      </c>
      <c r="F1861" t="inlineStr">
        <is>
          <t>Charles Dickens; a critical study. New York, Dodd, Mead, 1904.</t>
        </is>
      </c>
      <c r="H1861" t="inlineStr">
        <is>
          <t>No</t>
        </is>
      </c>
      <c r="I1861" t="inlineStr">
        <is>
          <t>1</t>
        </is>
      </c>
      <c r="J1861" t="inlineStr">
        <is>
          <t>No</t>
        </is>
      </c>
      <c r="K1861" t="inlineStr">
        <is>
          <t>No</t>
        </is>
      </c>
      <c r="L1861" t="inlineStr">
        <is>
          <t>0</t>
        </is>
      </c>
      <c r="M1861" t="inlineStr">
        <is>
          <t>Gissing, George, 1857-1903.</t>
        </is>
      </c>
      <c r="N1861" t="inlineStr">
        <is>
          <t>St. Clair Shores, Mich., Scholarly Press, 1972 [c1898]</t>
        </is>
      </c>
      <c r="O1861" t="inlineStr">
        <is>
          <t>1972</t>
        </is>
      </c>
      <c r="Q1861" t="inlineStr">
        <is>
          <t>eng</t>
        </is>
      </c>
      <c r="R1861" t="inlineStr">
        <is>
          <t>miu</t>
        </is>
      </c>
      <c r="T1861" t="inlineStr">
        <is>
          <t xml:space="preserve">PR </t>
        </is>
      </c>
      <c r="U1861" t="n">
        <v>0</v>
      </c>
      <c r="V1861" t="n">
        <v>0</v>
      </c>
      <c r="W1861" t="inlineStr">
        <is>
          <t>2010-01-18</t>
        </is>
      </c>
      <c r="X1861" t="inlineStr">
        <is>
          <t>2010-01-18</t>
        </is>
      </c>
      <c r="Y1861" t="inlineStr">
        <is>
          <t>1997-07-14</t>
        </is>
      </c>
      <c r="Z1861" t="inlineStr">
        <is>
          <t>1997-07-14</t>
        </is>
      </c>
      <c r="AA1861" t="n">
        <v>117</v>
      </c>
      <c r="AB1861" t="n">
        <v>105</v>
      </c>
      <c r="AC1861" t="n">
        <v>595</v>
      </c>
      <c r="AD1861" t="n">
        <v>2</v>
      </c>
      <c r="AE1861" t="n">
        <v>7</v>
      </c>
      <c r="AF1861" t="n">
        <v>3</v>
      </c>
      <c r="AG1861" t="n">
        <v>30</v>
      </c>
      <c r="AH1861" t="n">
        <v>0</v>
      </c>
      <c r="AI1861" t="n">
        <v>10</v>
      </c>
      <c r="AJ1861" t="n">
        <v>1</v>
      </c>
      <c r="AK1861" t="n">
        <v>7</v>
      </c>
      <c r="AL1861" t="n">
        <v>1</v>
      </c>
      <c r="AM1861" t="n">
        <v>14</v>
      </c>
      <c r="AN1861" t="n">
        <v>1</v>
      </c>
      <c r="AO1861" t="n">
        <v>6</v>
      </c>
      <c r="AP1861" t="n">
        <v>0</v>
      </c>
      <c r="AQ1861" t="n">
        <v>0</v>
      </c>
      <c r="AR1861" t="inlineStr">
        <is>
          <t>No</t>
        </is>
      </c>
      <c r="AS1861" t="inlineStr">
        <is>
          <t>Yes</t>
        </is>
      </c>
      <c r="AT1861">
        <f>HYPERLINK("http://catalog.hathitrust.org/Record/001419234","HathiTrust Record")</f>
        <v/>
      </c>
      <c r="AU1861">
        <f>HYPERLINK("https://creighton-primo.hosted.exlibrisgroup.com/primo-explore/search?tab=default_tab&amp;search_scope=EVERYTHING&amp;vid=01CRU&amp;lang=en_US&amp;offset=0&amp;query=any,contains,991004323729702656","Catalog Record")</f>
        <v/>
      </c>
      <c r="AV1861">
        <f>HYPERLINK("http://www.worldcat.org/oclc/3028980","WorldCat Record")</f>
        <v/>
      </c>
      <c r="AW1861" t="inlineStr">
        <is>
          <t>1649531:eng</t>
        </is>
      </c>
      <c r="AX1861" t="inlineStr">
        <is>
          <t>3028980</t>
        </is>
      </c>
      <c r="AY1861" t="inlineStr">
        <is>
          <t>991004323729702656</t>
        </is>
      </c>
      <c r="AZ1861" t="inlineStr">
        <is>
          <t>991004323729702656</t>
        </is>
      </c>
      <c r="BA1861" t="inlineStr">
        <is>
          <t>2256378720002656</t>
        </is>
      </c>
      <c r="BB1861" t="inlineStr">
        <is>
          <t>BOOK</t>
        </is>
      </c>
      <c r="BD1861" t="inlineStr">
        <is>
          <t>9780403009893</t>
        </is>
      </c>
      <c r="BE1861" t="inlineStr">
        <is>
          <t>32285002891983</t>
        </is>
      </c>
      <c r="BF1861" t="inlineStr">
        <is>
          <t>893247439</t>
        </is>
      </c>
    </row>
    <row r="1862">
      <c r="A1862" t="inlineStr">
        <is>
          <t>No</t>
        </is>
      </c>
      <c r="B1862" t="inlineStr">
        <is>
          <t>CURAL</t>
        </is>
      </c>
      <c r="C1862" t="inlineStr">
        <is>
          <t>SHELVES</t>
        </is>
      </c>
      <c r="D1862" t="inlineStr">
        <is>
          <t>PR4588 .G6</t>
        </is>
      </c>
      <c r="E1862" t="inlineStr">
        <is>
          <t>0                      PR 4588000G  6</t>
        </is>
      </c>
      <c r="F1862" t="inlineStr">
        <is>
          <t>Charles Dickens : radical moralist.</t>
        </is>
      </c>
      <c r="H1862" t="inlineStr">
        <is>
          <t>No</t>
        </is>
      </c>
      <c r="I1862" t="inlineStr">
        <is>
          <t>1</t>
        </is>
      </c>
      <c r="J1862" t="inlineStr">
        <is>
          <t>No</t>
        </is>
      </c>
      <c r="K1862" t="inlineStr">
        <is>
          <t>No</t>
        </is>
      </c>
      <c r="L1862" t="inlineStr">
        <is>
          <t>0</t>
        </is>
      </c>
      <c r="M1862" t="inlineStr">
        <is>
          <t>Gold, Joseph, 1933-2018.</t>
        </is>
      </c>
      <c r="N1862" t="inlineStr">
        <is>
          <t>Minneapolis : University of Minnesota Press, [1972]</t>
        </is>
      </c>
      <c r="O1862" t="inlineStr">
        <is>
          <t>1972</t>
        </is>
      </c>
      <c r="Q1862" t="inlineStr">
        <is>
          <t>eng</t>
        </is>
      </c>
      <c r="R1862" t="inlineStr">
        <is>
          <t>mnu</t>
        </is>
      </c>
      <c r="T1862" t="inlineStr">
        <is>
          <t xml:space="preserve">PR </t>
        </is>
      </c>
      <c r="U1862" t="n">
        <v>3</v>
      </c>
      <c r="V1862" t="n">
        <v>3</v>
      </c>
      <c r="W1862" t="inlineStr">
        <is>
          <t>2003-10-30</t>
        </is>
      </c>
      <c r="X1862" t="inlineStr">
        <is>
          <t>2003-10-30</t>
        </is>
      </c>
      <c r="Y1862" t="inlineStr">
        <is>
          <t>1990-03-07</t>
        </is>
      </c>
      <c r="Z1862" t="inlineStr">
        <is>
          <t>1990-03-07</t>
        </is>
      </c>
      <c r="AA1862" t="n">
        <v>746</v>
      </c>
      <c r="AB1862" t="n">
        <v>619</v>
      </c>
      <c r="AC1862" t="n">
        <v>672</v>
      </c>
      <c r="AD1862" t="n">
        <v>6</v>
      </c>
      <c r="AE1862" t="n">
        <v>6</v>
      </c>
      <c r="AF1862" t="n">
        <v>32</v>
      </c>
      <c r="AG1862" t="n">
        <v>34</v>
      </c>
      <c r="AH1862" t="n">
        <v>13</v>
      </c>
      <c r="AI1862" t="n">
        <v>13</v>
      </c>
      <c r="AJ1862" t="n">
        <v>5</v>
      </c>
      <c r="AK1862" t="n">
        <v>7</v>
      </c>
      <c r="AL1862" t="n">
        <v>16</v>
      </c>
      <c r="AM1862" t="n">
        <v>17</v>
      </c>
      <c r="AN1862" t="n">
        <v>5</v>
      </c>
      <c r="AO1862" t="n">
        <v>5</v>
      </c>
      <c r="AP1862" t="n">
        <v>0</v>
      </c>
      <c r="AQ1862" t="n">
        <v>0</v>
      </c>
      <c r="AR1862" t="inlineStr">
        <is>
          <t>No</t>
        </is>
      </c>
      <c r="AS1862" t="inlineStr">
        <is>
          <t>No</t>
        </is>
      </c>
      <c r="AU1862">
        <f>HYPERLINK("https://creighton-primo.hosted.exlibrisgroup.com/primo-explore/search?tab=default_tab&amp;search_scope=EVERYTHING&amp;vid=01CRU&amp;lang=en_US&amp;offset=0&amp;query=any,contains,991002872269702656","Catalog Record")</f>
        <v/>
      </c>
      <c r="AV1862">
        <f>HYPERLINK("http://www.worldcat.org/oclc/500303","WorldCat Record")</f>
        <v/>
      </c>
      <c r="AW1862" t="inlineStr">
        <is>
          <t>1427923:eng</t>
        </is>
      </c>
      <c r="AX1862" t="inlineStr">
        <is>
          <t>500303</t>
        </is>
      </c>
      <c r="AY1862" t="inlineStr">
        <is>
          <t>991002872269702656</t>
        </is>
      </c>
      <c r="AZ1862" t="inlineStr">
        <is>
          <t>991002872269702656</t>
        </is>
      </c>
      <c r="BA1862" t="inlineStr">
        <is>
          <t>2254741720002656</t>
        </is>
      </c>
      <c r="BB1862" t="inlineStr">
        <is>
          <t>BOOK</t>
        </is>
      </c>
      <c r="BD1862" t="inlineStr">
        <is>
          <t>9780816606665</t>
        </is>
      </c>
      <c r="BE1862" t="inlineStr">
        <is>
          <t>32285000080365</t>
        </is>
      </c>
      <c r="BF1862" t="inlineStr">
        <is>
          <t>893517862</t>
        </is>
      </c>
    </row>
    <row r="1863">
      <c r="A1863" t="inlineStr">
        <is>
          <t>No</t>
        </is>
      </c>
      <c r="B1863" t="inlineStr">
        <is>
          <t>CURAL</t>
        </is>
      </c>
      <c r="C1863" t="inlineStr">
        <is>
          <t>SHELVES</t>
        </is>
      </c>
      <c r="D1863" t="inlineStr">
        <is>
          <t>PR4588 .H54 1972</t>
        </is>
      </c>
      <c r="E1863" t="inlineStr">
        <is>
          <t>0                      PR 4588000H  54          1972</t>
        </is>
      </c>
      <c r="F1863" t="inlineStr">
        <is>
          <t>A reader's guide to Charles Dickens.</t>
        </is>
      </c>
      <c r="H1863" t="inlineStr">
        <is>
          <t>No</t>
        </is>
      </c>
      <c r="I1863" t="inlineStr">
        <is>
          <t>1</t>
        </is>
      </c>
      <c r="J1863" t="inlineStr">
        <is>
          <t>No</t>
        </is>
      </c>
      <c r="K1863" t="inlineStr">
        <is>
          <t>No</t>
        </is>
      </c>
      <c r="L1863" t="inlineStr">
        <is>
          <t>0</t>
        </is>
      </c>
      <c r="M1863" t="inlineStr">
        <is>
          <t>Hobsbaum, Philip.</t>
        </is>
      </c>
      <c r="N1863" t="inlineStr">
        <is>
          <t>London : Thames and Hudson, [1972]</t>
        </is>
      </c>
      <c r="O1863" t="inlineStr">
        <is>
          <t>1972</t>
        </is>
      </c>
      <c r="Q1863" t="inlineStr">
        <is>
          <t>eng</t>
        </is>
      </c>
      <c r="R1863" t="inlineStr">
        <is>
          <t>enk</t>
        </is>
      </c>
      <c r="T1863" t="inlineStr">
        <is>
          <t xml:space="preserve">PR </t>
        </is>
      </c>
      <c r="U1863" t="n">
        <v>4</v>
      </c>
      <c r="V1863" t="n">
        <v>4</v>
      </c>
      <c r="W1863" t="inlineStr">
        <is>
          <t>1998-06-20</t>
        </is>
      </c>
      <c r="X1863" t="inlineStr">
        <is>
          <t>1998-06-20</t>
        </is>
      </c>
      <c r="Y1863" t="inlineStr">
        <is>
          <t>1990-03-26</t>
        </is>
      </c>
      <c r="Z1863" t="inlineStr">
        <is>
          <t>1990-03-26</t>
        </is>
      </c>
      <c r="AA1863" t="n">
        <v>348</v>
      </c>
      <c r="AB1863" t="n">
        <v>81</v>
      </c>
      <c r="AC1863" t="n">
        <v>642</v>
      </c>
      <c r="AD1863" t="n">
        <v>1</v>
      </c>
      <c r="AE1863" t="n">
        <v>4</v>
      </c>
      <c r="AF1863" t="n">
        <v>3</v>
      </c>
      <c r="AG1863" t="n">
        <v>22</v>
      </c>
      <c r="AH1863" t="n">
        <v>1</v>
      </c>
      <c r="AI1863" t="n">
        <v>8</v>
      </c>
      <c r="AJ1863" t="n">
        <v>1</v>
      </c>
      <c r="AK1863" t="n">
        <v>5</v>
      </c>
      <c r="AL1863" t="n">
        <v>3</v>
      </c>
      <c r="AM1863" t="n">
        <v>14</v>
      </c>
      <c r="AN1863" t="n">
        <v>0</v>
      </c>
      <c r="AO1863" t="n">
        <v>2</v>
      </c>
      <c r="AP1863" t="n">
        <v>0</v>
      </c>
      <c r="AQ1863" t="n">
        <v>0</v>
      </c>
      <c r="AR1863" t="inlineStr">
        <is>
          <t>No</t>
        </is>
      </c>
      <c r="AS1863" t="inlineStr">
        <is>
          <t>No</t>
        </is>
      </c>
      <c r="AU1863">
        <f>HYPERLINK("https://creighton-primo.hosted.exlibrisgroup.com/primo-explore/search?tab=default_tab&amp;search_scope=EVERYTHING&amp;vid=01CRU&amp;lang=en_US&amp;offset=0&amp;query=any,contains,991003117349702656","Catalog Record")</f>
        <v/>
      </c>
      <c r="AV1863">
        <f>HYPERLINK("http://www.worldcat.org/oclc/663516","WorldCat Record")</f>
        <v/>
      </c>
      <c r="AW1863" t="inlineStr">
        <is>
          <t>619105:eng</t>
        </is>
      </c>
      <c r="AX1863" t="inlineStr">
        <is>
          <t>663516</t>
        </is>
      </c>
      <c r="AY1863" t="inlineStr">
        <is>
          <t>991003117349702656</t>
        </is>
      </c>
      <c r="AZ1863" t="inlineStr">
        <is>
          <t>991003117349702656</t>
        </is>
      </c>
      <c r="BA1863" t="inlineStr">
        <is>
          <t>2269999630002656</t>
        </is>
      </c>
      <c r="BB1863" t="inlineStr">
        <is>
          <t>BOOK</t>
        </is>
      </c>
      <c r="BD1863" t="inlineStr">
        <is>
          <t>9780500140178</t>
        </is>
      </c>
      <c r="BE1863" t="inlineStr">
        <is>
          <t>32285000093269</t>
        </is>
      </c>
      <c r="BF1863" t="inlineStr">
        <is>
          <t>893336160</t>
        </is>
      </c>
    </row>
    <row r="1864">
      <c r="A1864" t="inlineStr">
        <is>
          <t>No</t>
        </is>
      </c>
      <c r="B1864" t="inlineStr">
        <is>
          <t>CURAL</t>
        </is>
      </c>
      <c r="C1864" t="inlineStr">
        <is>
          <t>SHELVES</t>
        </is>
      </c>
      <c r="D1864" t="inlineStr">
        <is>
          <t>PR4588 .K5</t>
        </is>
      </c>
      <c r="E1864" t="inlineStr">
        <is>
          <t>0                      PR 4588000K  5</t>
        </is>
      </c>
      <c r="F1864" t="inlineStr">
        <is>
          <t>Dickens and the rhetoric of laughter [by] James R. Kincaid.</t>
        </is>
      </c>
      <c r="H1864" t="inlineStr">
        <is>
          <t>No</t>
        </is>
      </c>
      <c r="I1864" t="inlineStr">
        <is>
          <t>1</t>
        </is>
      </c>
      <c r="J1864" t="inlineStr">
        <is>
          <t>No</t>
        </is>
      </c>
      <c r="K1864" t="inlineStr">
        <is>
          <t>No</t>
        </is>
      </c>
      <c r="L1864" t="inlineStr">
        <is>
          <t>0</t>
        </is>
      </c>
      <c r="M1864" t="inlineStr">
        <is>
          <t>Kincaid, James R. (James Russell)</t>
        </is>
      </c>
      <c r="N1864" t="inlineStr">
        <is>
          <t>Oxford, Clarendon Press, 1971.</t>
        </is>
      </c>
      <c r="O1864" t="inlineStr">
        <is>
          <t>1971</t>
        </is>
      </c>
      <c r="Q1864" t="inlineStr">
        <is>
          <t>eng</t>
        </is>
      </c>
      <c r="R1864" t="inlineStr">
        <is>
          <t>enk</t>
        </is>
      </c>
      <c r="T1864" t="inlineStr">
        <is>
          <t xml:space="preserve">PR </t>
        </is>
      </c>
      <c r="U1864" t="n">
        <v>2</v>
      </c>
      <c r="V1864" t="n">
        <v>2</v>
      </c>
      <c r="W1864" t="inlineStr">
        <is>
          <t>2003-09-18</t>
        </is>
      </c>
      <c r="X1864" t="inlineStr">
        <is>
          <t>2003-09-18</t>
        </is>
      </c>
      <c r="Y1864" t="inlineStr">
        <is>
          <t>1997-07-14</t>
        </is>
      </c>
      <c r="Z1864" t="inlineStr">
        <is>
          <t>1997-07-14</t>
        </is>
      </c>
      <c r="AA1864" t="n">
        <v>898</v>
      </c>
      <c r="AB1864" t="n">
        <v>705</v>
      </c>
      <c r="AC1864" t="n">
        <v>706</v>
      </c>
      <c r="AD1864" t="n">
        <v>6</v>
      </c>
      <c r="AE1864" t="n">
        <v>6</v>
      </c>
      <c r="AF1864" t="n">
        <v>31</v>
      </c>
      <c r="AG1864" t="n">
        <v>31</v>
      </c>
      <c r="AH1864" t="n">
        <v>11</v>
      </c>
      <c r="AI1864" t="n">
        <v>11</v>
      </c>
      <c r="AJ1864" t="n">
        <v>6</v>
      </c>
      <c r="AK1864" t="n">
        <v>6</v>
      </c>
      <c r="AL1864" t="n">
        <v>15</v>
      </c>
      <c r="AM1864" t="n">
        <v>15</v>
      </c>
      <c r="AN1864" t="n">
        <v>5</v>
      </c>
      <c r="AO1864" t="n">
        <v>5</v>
      </c>
      <c r="AP1864" t="n">
        <v>0</v>
      </c>
      <c r="AQ1864" t="n">
        <v>0</v>
      </c>
      <c r="AR1864" t="inlineStr">
        <is>
          <t>No</t>
        </is>
      </c>
      <c r="AS1864" t="inlineStr">
        <is>
          <t>No</t>
        </is>
      </c>
      <c r="AU1864">
        <f>HYPERLINK("https://creighton-primo.hosted.exlibrisgroup.com/primo-explore/search?tab=default_tab&amp;search_scope=EVERYTHING&amp;vid=01CRU&amp;lang=en_US&amp;offset=0&amp;query=any,contains,991002217839702656","Catalog Record")</f>
        <v/>
      </c>
      <c r="AV1864">
        <f>HYPERLINK("http://www.worldcat.org/oclc/289268","WorldCat Record")</f>
        <v/>
      </c>
      <c r="AW1864" t="inlineStr">
        <is>
          <t>1466584:eng</t>
        </is>
      </c>
      <c r="AX1864" t="inlineStr">
        <is>
          <t>289268</t>
        </is>
      </c>
      <c r="AY1864" t="inlineStr">
        <is>
          <t>991002217839702656</t>
        </is>
      </c>
      <c r="AZ1864" t="inlineStr">
        <is>
          <t>991002217839702656</t>
        </is>
      </c>
      <c r="BA1864" t="inlineStr">
        <is>
          <t>2262077900002656</t>
        </is>
      </c>
      <c r="BB1864" t="inlineStr">
        <is>
          <t>BOOK</t>
        </is>
      </c>
      <c r="BD1864" t="inlineStr">
        <is>
          <t>9780198120162</t>
        </is>
      </c>
      <c r="BE1864" t="inlineStr">
        <is>
          <t>32285002892023</t>
        </is>
      </c>
      <c r="BF1864" t="inlineStr">
        <is>
          <t>893421062</t>
        </is>
      </c>
    </row>
    <row r="1865">
      <c r="A1865" t="inlineStr">
        <is>
          <t>No</t>
        </is>
      </c>
      <c r="B1865" t="inlineStr">
        <is>
          <t>CURAL</t>
        </is>
      </c>
      <c r="C1865" t="inlineStr">
        <is>
          <t>SHELVES</t>
        </is>
      </c>
      <c r="D1865" t="inlineStr">
        <is>
          <t>PR4588 .M28</t>
        </is>
      </c>
      <c r="E1865" t="inlineStr">
        <is>
          <t>0                      PR 4588000M  28</t>
        </is>
      </c>
      <c r="F1865" t="inlineStr">
        <is>
          <t>Dickens as satirist.</t>
        </is>
      </c>
      <c r="H1865" t="inlineStr">
        <is>
          <t>No</t>
        </is>
      </c>
      <c r="I1865" t="inlineStr">
        <is>
          <t>1</t>
        </is>
      </c>
      <c r="J1865" t="inlineStr">
        <is>
          <t>No</t>
        </is>
      </c>
      <c r="K1865" t="inlineStr">
        <is>
          <t>No</t>
        </is>
      </c>
      <c r="L1865" t="inlineStr">
        <is>
          <t>0</t>
        </is>
      </c>
      <c r="M1865" t="inlineStr">
        <is>
          <t>Manning, Sylvia Bank, 1943-</t>
        </is>
      </c>
      <c r="N1865" t="inlineStr">
        <is>
          <t>New Haven : Yale University Press, 1971.</t>
        </is>
      </c>
      <c r="O1865" t="inlineStr">
        <is>
          <t>1971</t>
        </is>
      </c>
      <c r="Q1865" t="inlineStr">
        <is>
          <t>eng</t>
        </is>
      </c>
      <c r="R1865" t="inlineStr">
        <is>
          <t>ctu</t>
        </is>
      </c>
      <c r="S1865" t="inlineStr">
        <is>
          <t>Yale studies in English ; v. 176</t>
        </is>
      </c>
      <c r="T1865" t="inlineStr">
        <is>
          <t xml:space="preserve">PR </t>
        </is>
      </c>
      <c r="U1865" t="n">
        <v>1</v>
      </c>
      <c r="V1865" t="n">
        <v>1</v>
      </c>
      <c r="W1865" t="inlineStr">
        <is>
          <t>2006-04-02</t>
        </is>
      </c>
      <c r="X1865" t="inlineStr">
        <is>
          <t>2006-04-02</t>
        </is>
      </c>
      <c r="Y1865" t="inlineStr">
        <is>
          <t>1990-03-12</t>
        </is>
      </c>
      <c r="Z1865" t="inlineStr">
        <is>
          <t>1990-03-12</t>
        </is>
      </c>
      <c r="AA1865" t="n">
        <v>783</v>
      </c>
      <c r="AB1865" t="n">
        <v>626</v>
      </c>
      <c r="AC1865" t="n">
        <v>628</v>
      </c>
      <c r="AD1865" t="n">
        <v>7</v>
      </c>
      <c r="AE1865" t="n">
        <v>7</v>
      </c>
      <c r="AF1865" t="n">
        <v>30</v>
      </c>
      <c r="AG1865" t="n">
        <v>30</v>
      </c>
      <c r="AH1865" t="n">
        <v>11</v>
      </c>
      <c r="AI1865" t="n">
        <v>11</v>
      </c>
      <c r="AJ1865" t="n">
        <v>7</v>
      </c>
      <c r="AK1865" t="n">
        <v>7</v>
      </c>
      <c r="AL1865" t="n">
        <v>16</v>
      </c>
      <c r="AM1865" t="n">
        <v>16</v>
      </c>
      <c r="AN1865" t="n">
        <v>6</v>
      </c>
      <c r="AO1865" t="n">
        <v>6</v>
      </c>
      <c r="AP1865" t="n">
        <v>0</v>
      </c>
      <c r="AQ1865" t="n">
        <v>0</v>
      </c>
      <c r="AR1865" t="inlineStr">
        <is>
          <t>No</t>
        </is>
      </c>
      <c r="AS1865" t="inlineStr">
        <is>
          <t>No</t>
        </is>
      </c>
      <c r="AU1865">
        <f>HYPERLINK("https://creighton-primo.hosted.exlibrisgroup.com/primo-explore/search?tab=default_tab&amp;search_scope=EVERYTHING&amp;vid=01CRU&amp;lang=en_US&amp;offset=0&amp;query=any,contains,991000681619702656","Catalog Record")</f>
        <v/>
      </c>
      <c r="AV1865">
        <f>HYPERLINK("http://www.worldcat.org/oclc/122035","WorldCat Record")</f>
        <v/>
      </c>
      <c r="AW1865" t="inlineStr">
        <is>
          <t>1244222:eng</t>
        </is>
      </c>
      <c r="AX1865" t="inlineStr">
        <is>
          <t>122035</t>
        </is>
      </c>
      <c r="AY1865" t="inlineStr">
        <is>
          <t>991000681619702656</t>
        </is>
      </c>
      <c r="AZ1865" t="inlineStr">
        <is>
          <t>991000681619702656</t>
        </is>
      </c>
      <c r="BA1865" t="inlineStr">
        <is>
          <t>2263077490002656</t>
        </is>
      </c>
      <c r="BB1865" t="inlineStr">
        <is>
          <t>BOOK</t>
        </is>
      </c>
      <c r="BD1865" t="inlineStr">
        <is>
          <t>9780300013429</t>
        </is>
      </c>
      <c r="BE1865" t="inlineStr">
        <is>
          <t>32285000081587</t>
        </is>
      </c>
      <c r="BF1865" t="inlineStr">
        <is>
          <t>893225204</t>
        </is>
      </c>
    </row>
    <row r="1866">
      <c r="A1866" t="inlineStr">
        <is>
          <t>No</t>
        </is>
      </c>
      <c r="B1866" t="inlineStr">
        <is>
          <t>CURAL</t>
        </is>
      </c>
      <c r="C1866" t="inlineStr">
        <is>
          <t>SHELVES</t>
        </is>
      </c>
      <c r="D1866" t="inlineStr">
        <is>
          <t>PR4588 .N36</t>
        </is>
      </c>
      <c r="E1866" t="inlineStr">
        <is>
          <t>0                      PR 4588000N  36</t>
        </is>
      </c>
      <c r="F1866" t="inlineStr">
        <is>
          <t>Charles Dickens / by Harland S. Nelson.</t>
        </is>
      </c>
      <c r="H1866" t="inlineStr">
        <is>
          <t>No</t>
        </is>
      </c>
      <c r="I1866" t="inlineStr">
        <is>
          <t>1</t>
        </is>
      </c>
      <c r="J1866" t="inlineStr">
        <is>
          <t>No</t>
        </is>
      </c>
      <c r="K1866" t="inlineStr">
        <is>
          <t>No</t>
        </is>
      </c>
      <c r="L1866" t="inlineStr">
        <is>
          <t>0</t>
        </is>
      </c>
      <c r="M1866" t="inlineStr">
        <is>
          <t>Nelson, Harland S.</t>
        </is>
      </c>
      <c r="N1866" t="inlineStr">
        <is>
          <t>Boston : Twayne Publishers, 1981.</t>
        </is>
      </c>
      <c r="O1866" t="inlineStr">
        <is>
          <t>1981</t>
        </is>
      </c>
      <c r="Q1866" t="inlineStr">
        <is>
          <t>eng</t>
        </is>
      </c>
      <c r="R1866" t="inlineStr">
        <is>
          <t>mau</t>
        </is>
      </c>
      <c r="S1866" t="inlineStr">
        <is>
          <t>Twayne's English authors series ; TEAS 314</t>
        </is>
      </c>
      <c r="T1866" t="inlineStr">
        <is>
          <t xml:space="preserve">PR </t>
        </is>
      </c>
      <c r="U1866" t="n">
        <v>3</v>
      </c>
      <c r="V1866" t="n">
        <v>3</v>
      </c>
      <c r="W1866" t="inlineStr">
        <is>
          <t>1996-02-19</t>
        </is>
      </c>
      <c r="X1866" t="inlineStr">
        <is>
          <t>1996-02-19</t>
        </is>
      </c>
      <c r="Y1866" t="inlineStr">
        <is>
          <t>1991-11-07</t>
        </is>
      </c>
      <c r="Z1866" t="inlineStr">
        <is>
          <t>1991-11-07</t>
        </is>
      </c>
      <c r="AA1866" t="n">
        <v>1481</v>
      </c>
      <c r="AB1866" t="n">
        <v>1344</v>
      </c>
      <c r="AC1866" t="n">
        <v>1436</v>
      </c>
      <c r="AD1866" t="n">
        <v>6</v>
      </c>
      <c r="AE1866" t="n">
        <v>6</v>
      </c>
      <c r="AF1866" t="n">
        <v>35</v>
      </c>
      <c r="AG1866" t="n">
        <v>36</v>
      </c>
      <c r="AH1866" t="n">
        <v>18</v>
      </c>
      <c r="AI1866" t="n">
        <v>18</v>
      </c>
      <c r="AJ1866" t="n">
        <v>7</v>
      </c>
      <c r="AK1866" t="n">
        <v>7</v>
      </c>
      <c r="AL1866" t="n">
        <v>17</v>
      </c>
      <c r="AM1866" t="n">
        <v>18</v>
      </c>
      <c r="AN1866" t="n">
        <v>4</v>
      </c>
      <c r="AO1866" t="n">
        <v>4</v>
      </c>
      <c r="AP1866" t="n">
        <v>0</v>
      </c>
      <c r="AQ1866" t="n">
        <v>0</v>
      </c>
      <c r="AR1866" t="inlineStr">
        <is>
          <t>No</t>
        </is>
      </c>
      <c r="AS1866" t="inlineStr">
        <is>
          <t>Yes</t>
        </is>
      </c>
      <c r="AT1866">
        <f>HYPERLINK("http://catalog.hathitrust.org/Record/000185312","HathiTrust Record")</f>
        <v/>
      </c>
      <c r="AU1866">
        <f>HYPERLINK("https://creighton-primo.hosted.exlibrisgroup.com/primo-explore/search?tab=default_tab&amp;search_scope=EVERYTHING&amp;vid=01CRU&amp;lang=en_US&amp;offset=0&amp;query=any,contains,991005095369702656","Catalog Record")</f>
        <v/>
      </c>
      <c r="AV1866">
        <f>HYPERLINK("http://www.worldcat.org/oclc/7272485","WorldCat Record")</f>
        <v/>
      </c>
      <c r="AW1866" t="inlineStr">
        <is>
          <t>461576:eng</t>
        </is>
      </c>
      <c r="AX1866" t="inlineStr">
        <is>
          <t>7272485</t>
        </is>
      </c>
      <c r="AY1866" t="inlineStr">
        <is>
          <t>991005095369702656</t>
        </is>
      </c>
      <c r="AZ1866" t="inlineStr">
        <is>
          <t>991005095369702656</t>
        </is>
      </c>
      <c r="BA1866" t="inlineStr">
        <is>
          <t>2261303950002656</t>
        </is>
      </c>
      <c r="BB1866" t="inlineStr">
        <is>
          <t>BOOK</t>
        </is>
      </c>
      <c r="BD1866" t="inlineStr">
        <is>
          <t>9780805768053</t>
        </is>
      </c>
      <c r="BE1866" t="inlineStr">
        <is>
          <t>32285000798586</t>
        </is>
      </c>
      <c r="BF1866" t="inlineStr">
        <is>
          <t>893350697</t>
        </is>
      </c>
    </row>
    <row r="1867">
      <c r="A1867" t="inlineStr">
        <is>
          <t>No</t>
        </is>
      </c>
      <c r="B1867" t="inlineStr">
        <is>
          <t>CURAL</t>
        </is>
      </c>
      <c r="C1867" t="inlineStr">
        <is>
          <t>SHELVES</t>
        </is>
      </c>
      <c r="D1867" t="inlineStr">
        <is>
          <t>PR4588 .P95 2002</t>
        </is>
      </c>
      <c r="E1867" t="inlineStr">
        <is>
          <t>0                      PR 4588000P  95          2002</t>
        </is>
      </c>
      <c r="F1867" t="inlineStr">
        <is>
          <t>Charles Dickens / Lyn Pykett.</t>
        </is>
      </c>
      <c r="H1867" t="inlineStr">
        <is>
          <t>No</t>
        </is>
      </c>
      <c r="I1867" t="inlineStr">
        <is>
          <t>1</t>
        </is>
      </c>
      <c r="J1867" t="inlineStr">
        <is>
          <t>No</t>
        </is>
      </c>
      <c r="K1867" t="inlineStr">
        <is>
          <t>No</t>
        </is>
      </c>
      <c r="L1867" t="inlineStr">
        <is>
          <t>0</t>
        </is>
      </c>
      <c r="M1867" t="inlineStr">
        <is>
          <t>Pykett, Lyn.</t>
        </is>
      </c>
      <c r="N1867" t="inlineStr">
        <is>
          <t>Houndmills, Basingstoke, Hampshire ; New York : Palgrave, 2002.</t>
        </is>
      </c>
      <c r="O1867" t="inlineStr">
        <is>
          <t>2002</t>
        </is>
      </c>
      <c r="Q1867" t="inlineStr">
        <is>
          <t>eng</t>
        </is>
      </c>
      <c r="R1867" t="inlineStr">
        <is>
          <t>enk</t>
        </is>
      </c>
      <c r="S1867" t="inlineStr">
        <is>
          <t>Critical issues</t>
        </is>
      </c>
      <c r="T1867" t="inlineStr">
        <is>
          <t xml:space="preserve">PR </t>
        </is>
      </c>
      <c r="U1867" t="n">
        <v>2</v>
      </c>
      <c r="V1867" t="n">
        <v>2</v>
      </c>
      <c r="W1867" t="inlineStr">
        <is>
          <t>2006-03-21</t>
        </is>
      </c>
      <c r="X1867" t="inlineStr">
        <is>
          <t>2006-03-21</t>
        </is>
      </c>
      <c r="Y1867" t="inlineStr">
        <is>
          <t>2003-11-08</t>
        </is>
      </c>
      <c r="Z1867" t="inlineStr">
        <is>
          <t>2003-11-08</t>
        </is>
      </c>
      <c r="AA1867" t="n">
        <v>594</v>
      </c>
      <c r="AB1867" t="n">
        <v>432</v>
      </c>
      <c r="AC1867" t="n">
        <v>450</v>
      </c>
      <c r="AD1867" t="n">
        <v>3</v>
      </c>
      <c r="AE1867" t="n">
        <v>3</v>
      </c>
      <c r="AF1867" t="n">
        <v>23</v>
      </c>
      <c r="AG1867" t="n">
        <v>23</v>
      </c>
      <c r="AH1867" t="n">
        <v>14</v>
      </c>
      <c r="AI1867" t="n">
        <v>14</v>
      </c>
      <c r="AJ1867" t="n">
        <v>5</v>
      </c>
      <c r="AK1867" t="n">
        <v>5</v>
      </c>
      <c r="AL1867" t="n">
        <v>9</v>
      </c>
      <c r="AM1867" t="n">
        <v>9</v>
      </c>
      <c r="AN1867" t="n">
        <v>2</v>
      </c>
      <c r="AO1867" t="n">
        <v>2</v>
      </c>
      <c r="AP1867" t="n">
        <v>0</v>
      </c>
      <c r="AQ1867" t="n">
        <v>0</v>
      </c>
      <c r="AR1867" t="inlineStr">
        <is>
          <t>No</t>
        </is>
      </c>
      <c r="AS1867" t="inlineStr">
        <is>
          <t>No</t>
        </is>
      </c>
      <c r="AU1867">
        <f>HYPERLINK("https://creighton-primo.hosted.exlibrisgroup.com/primo-explore/search?tab=default_tab&amp;search_scope=EVERYTHING&amp;vid=01CRU&amp;lang=en_US&amp;offset=0&amp;query=any,contains,991004135179702656","Catalog Record")</f>
        <v/>
      </c>
      <c r="AV1867">
        <f>HYPERLINK("http://www.worldcat.org/oclc/49225577","WorldCat Record")</f>
        <v/>
      </c>
      <c r="AW1867" t="inlineStr">
        <is>
          <t>2260983777:eng</t>
        </is>
      </c>
      <c r="AX1867" t="inlineStr">
        <is>
          <t>49225577</t>
        </is>
      </c>
      <c r="AY1867" t="inlineStr">
        <is>
          <t>991004135179702656</t>
        </is>
      </c>
      <c r="AZ1867" t="inlineStr">
        <is>
          <t>991004135179702656</t>
        </is>
      </c>
      <c r="BA1867" t="inlineStr">
        <is>
          <t>2265871470002656</t>
        </is>
      </c>
      <c r="BB1867" t="inlineStr">
        <is>
          <t>BOOK</t>
        </is>
      </c>
      <c r="BD1867" t="inlineStr">
        <is>
          <t>9780333728024</t>
        </is>
      </c>
      <c r="BE1867" t="inlineStr">
        <is>
          <t>32285004795323</t>
        </is>
      </c>
      <c r="BF1867" t="inlineStr">
        <is>
          <t>893894602</t>
        </is>
      </c>
    </row>
    <row r="1868">
      <c r="A1868" t="inlineStr">
        <is>
          <t>No</t>
        </is>
      </c>
      <c r="B1868" t="inlineStr">
        <is>
          <t>CURAL</t>
        </is>
      </c>
      <c r="C1868" t="inlineStr">
        <is>
          <t>SHELVES</t>
        </is>
      </c>
      <c r="D1868" t="inlineStr">
        <is>
          <t>PR4588 .S64</t>
        </is>
      </c>
      <c r="E1868" t="inlineStr">
        <is>
          <t>0                      PR 4588000S  64</t>
        </is>
      </c>
      <c r="F1868" t="inlineStr">
        <is>
          <t>Dickens and Melville in their time.</t>
        </is>
      </c>
      <c r="H1868" t="inlineStr">
        <is>
          <t>No</t>
        </is>
      </c>
      <c r="I1868" t="inlineStr">
        <is>
          <t>1</t>
        </is>
      </c>
      <c r="J1868" t="inlineStr">
        <is>
          <t>No</t>
        </is>
      </c>
      <c r="K1868" t="inlineStr">
        <is>
          <t>No</t>
        </is>
      </c>
      <c r="L1868" t="inlineStr">
        <is>
          <t>0</t>
        </is>
      </c>
      <c r="M1868" t="inlineStr">
        <is>
          <t>Solomon, Pearl Chesler.</t>
        </is>
      </c>
      <c r="N1868" t="inlineStr">
        <is>
          <t>New York, Columbia University Press, 1975.</t>
        </is>
      </c>
      <c r="O1868" t="inlineStr">
        <is>
          <t>1975</t>
        </is>
      </c>
      <c r="Q1868" t="inlineStr">
        <is>
          <t>eng</t>
        </is>
      </c>
      <c r="R1868" t="inlineStr">
        <is>
          <t>nyu</t>
        </is>
      </c>
      <c r="T1868" t="inlineStr">
        <is>
          <t xml:space="preserve">PR </t>
        </is>
      </c>
      <c r="U1868" t="n">
        <v>1</v>
      </c>
      <c r="V1868" t="n">
        <v>1</v>
      </c>
      <c r="W1868" t="inlineStr">
        <is>
          <t>2006-04-18</t>
        </is>
      </c>
      <c r="X1868" t="inlineStr">
        <is>
          <t>2006-04-18</t>
        </is>
      </c>
      <c r="Y1868" t="inlineStr">
        <is>
          <t>1997-07-14</t>
        </is>
      </c>
      <c r="Z1868" t="inlineStr">
        <is>
          <t>1997-07-14</t>
        </is>
      </c>
      <c r="AA1868" t="n">
        <v>752</v>
      </c>
      <c r="AB1868" t="n">
        <v>647</v>
      </c>
      <c r="AC1868" t="n">
        <v>674</v>
      </c>
      <c r="AD1868" t="n">
        <v>6</v>
      </c>
      <c r="AE1868" t="n">
        <v>6</v>
      </c>
      <c r="AF1868" t="n">
        <v>27</v>
      </c>
      <c r="AG1868" t="n">
        <v>28</v>
      </c>
      <c r="AH1868" t="n">
        <v>10</v>
      </c>
      <c r="AI1868" t="n">
        <v>10</v>
      </c>
      <c r="AJ1868" t="n">
        <v>5</v>
      </c>
      <c r="AK1868" t="n">
        <v>6</v>
      </c>
      <c r="AL1868" t="n">
        <v>14</v>
      </c>
      <c r="AM1868" t="n">
        <v>15</v>
      </c>
      <c r="AN1868" t="n">
        <v>5</v>
      </c>
      <c r="AO1868" t="n">
        <v>5</v>
      </c>
      <c r="AP1868" t="n">
        <v>0</v>
      </c>
      <c r="AQ1868" t="n">
        <v>0</v>
      </c>
      <c r="AR1868" t="inlineStr">
        <is>
          <t>No</t>
        </is>
      </c>
      <c r="AS1868" t="inlineStr">
        <is>
          <t>No</t>
        </is>
      </c>
      <c r="AU1868">
        <f>HYPERLINK("https://creighton-primo.hosted.exlibrisgroup.com/primo-explore/search?tab=default_tab&amp;search_scope=EVERYTHING&amp;vid=01CRU&amp;lang=en_US&amp;offset=0&amp;query=any,contains,991003444879702656","Catalog Record")</f>
        <v/>
      </c>
      <c r="AV1868">
        <f>HYPERLINK("http://www.worldcat.org/oclc/980311","WorldCat Record")</f>
        <v/>
      </c>
      <c r="AW1868" t="inlineStr">
        <is>
          <t>1944614:eng</t>
        </is>
      </c>
      <c r="AX1868" t="inlineStr">
        <is>
          <t>980311</t>
        </is>
      </c>
      <c r="AY1868" t="inlineStr">
        <is>
          <t>991003444879702656</t>
        </is>
      </c>
      <c r="AZ1868" t="inlineStr">
        <is>
          <t>991003444879702656</t>
        </is>
      </c>
      <c r="BA1868" t="inlineStr">
        <is>
          <t>2271419720002656</t>
        </is>
      </c>
      <c r="BB1868" t="inlineStr">
        <is>
          <t>BOOK</t>
        </is>
      </c>
      <c r="BD1868" t="inlineStr">
        <is>
          <t>9780231038898</t>
        </is>
      </c>
      <c r="BE1868" t="inlineStr">
        <is>
          <t>32285002892106</t>
        </is>
      </c>
      <c r="BF1868" t="inlineStr">
        <is>
          <t>893868409</t>
        </is>
      </c>
    </row>
    <row r="1869">
      <c r="A1869" t="inlineStr">
        <is>
          <t>No</t>
        </is>
      </c>
      <c r="B1869" t="inlineStr">
        <is>
          <t>CURAL</t>
        </is>
      </c>
      <c r="C1869" t="inlineStr">
        <is>
          <t>SHELVES</t>
        </is>
      </c>
      <c r="D1869" t="inlineStr">
        <is>
          <t>PR4589 .G75 1973</t>
        </is>
      </c>
      <c r="E1869" t="inlineStr">
        <is>
          <t>0                      PR 4589000G  75          1973</t>
        </is>
      </c>
      <c r="F1869" t="inlineStr">
        <is>
          <t>Who's who in Dickens.</t>
        </is>
      </c>
      <c r="H1869" t="inlineStr">
        <is>
          <t>No</t>
        </is>
      </c>
      <c r="I1869" t="inlineStr">
        <is>
          <t>1</t>
        </is>
      </c>
      <c r="J1869" t="inlineStr">
        <is>
          <t>No</t>
        </is>
      </c>
      <c r="K1869" t="inlineStr">
        <is>
          <t>No</t>
        </is>
      </c>
      <c r="L1869" t="inlineStr">
        <is>
          <t>0</t>
        </is>
      </c>
      <c r="M1869" t="inlineStr">
        <is>
          <t>Greaves, John.</t>
        </is>
      </c>
      <c r="N1869" t="inlineStr">
        <is>
          <t>New York, Taplinger Pub. Co. [1973, c1972]</t>
        </is>
      </c>
      <c r="O1869" t="inlineStr">
        <is>
          <t>1973</t>
        </is>
      </c>
      <c r="Q1869" t="inlineStr">
        <is>
          <t>eng</t>
        </is>
      </c>
      <c r="R1869" t="inlineStr">
        <is>
          <t>nyu</t>
        </is>
      </c>
      <c r="T1869" t="inlineStr">
        <is>
          <t xml:space="preserve">PR </t>
        </is>
      </c>
      <c r="U1869" t="n">
        <v>1</v>
      </c>
      <c r="V1869" t="n">
        <v>1</v>
      </c>
      <c r="W1869" t="inlineStr">
        <is>
          <t>1997-03-01</t>
        </is>
      </c>
      <c r="X1869" t="inlineStr">
        <is>
          <t>1997-03-01</t>
        </is>
      </c>
      <c r="Y1869" t="inlineStr">
        <is>
          <t>1991-11-07</t>
        </is>
      </c>
      <c r="Z1869" t="inlineStr">
        <is>
          <t>1991-11-07</t>
        </is>
      </c>
      <c r="AA1869" t="n">
        <v>364</v>
      </c>
      <c r="AB1869" t="n">
        <v>353</v>
      </c>
      <c r="AC1869" t="n">
        <v>489</v>
      </c>
      <c r="AD1869" t="n">
        <v>2</v>
      </c>
      <c r="AE1869" t="n">
        <v>4</v>
      </c>
      <c r="AF1869" t="n">
        <v>3</v>
      </c>
      <c r="AG1869" t="n">
        <v>11</v>
      </c>
      <c r="AH1869" t="n">
        <v>1</v>
      </c>
      <c r="AI1869" t="n">
        <v>2</v>
      </c>
      <c r="AJ1869" t="n">
        <v>1</v>
      </c>
      <c r="AK1869" t="n">
        <v>4</v>
      </c>
      <c r="AL1869" t="n">
        <v>1</v>
      </c>
      <c r="AM1869" t="n">
        <v>5</v>
      </c>
      <c r="AN1869" t="n">
        <v>0</v>
      </c>
      <c r="AO1869" t="n">
        <v>2</v>
      </c>
      <c r="AP1869" t="n">
        <v>0</v>
      </c>
      <c r="AQ1869" t="n">
        <v>0</v>
      </c>
      <c r="AR1869" t="inlineStr">
        <is>
          <t>No</t>
        </is>
      </c>
      <c r="AS1869" t="inlineStr">
        <is>
          <t>Yes</t>
        </is>
      </c>
      <c r="AT1869">
        <f>HYPERLINK("http://catalog.hathitrust.org/Record/000539698","HathiTrust Record")</f>
        <v/>
      </c>
      <c r="AU1869">
        <f>HYPERLINK("https://creighton-primo.hosted.exlibrisgroup.com/primo-explore/search?tab=default_tab&amp;search_scope=EVERYTHING&amp;vid=01CRU&amp;lang=en_US&amp;offset=0&amp;query=any,contains,991003214469702656","Catalog Record")</f>
        <v/>
      </c>
      <c r="AV1869">
        <f>HYPERLINK("http://www.worldcat.org/oclc/740878","WorldCat Record")</f>
        <v/>
      </c>
      <c r="AW1869" t="inlineStr">
        <is>
          <t>449789:eng</t>
        </is>
      </c>
      <c r="AX1869" t="inlineStr">
        <is>
          <t>740878</t>
        </is>
      </c>
      <c r="AY1869" t="inlineStr">
        <is>
          <t>991003214469702656</t>
        </is>
      </c>
      <c r="AZ1869" t="inlineStr">
        <is>
          <t>991003214469702656</t>
        </is>
      </c>
      <c r="BA1869" t="inlineStr">
        <is>
          <t>2272649100002656</t>
        </is>
      </c>
      <c r="BB1869" t="inlineStr">
        <is>
          <t>BOOK</t>
        </is>
      </c>
      <c r="BD1869" t="inlineStr">
        <is>
          <t>9780800882662</t>
        </is>
      </c>
      <c r="BE1869" t="inlineStr">
        <is>
          <t>32285000798636</t>
        </is>
      </c>
      <c r="BF1869" t="inlineStr">
        <is>
          <t>893780725</t>
        </is>
      </c>
    </row>
    <row r="1870">
      <c r="A1870" t="inlineStr">
        <is>
          <t>No</t>
        </is>
      </c>
      <c r="B1870" t="inlineStr">
        <is>
          <t>CURAL</t>
        </is>
      </c>
      <c r="C1870" t="inlineStr">
        <is>
          <t>SHELVES</t>
        </is>
      </c>
      <c r="D1870" t="inlineStr">
        <is>
          <t>PR4589 .H39 1998</t>
        </is>
      </c>
      <c r="E1870" t="inlineStr">
        <is>
          <t>0                      PR 4589000H  39          1998</t>
        </is>
      </c>
      <c r="F1870" t="inlineStr">
        <is>
          <t>Who's who in Dickens / Donald Hawes.</t>
        </is>
      </c>
      <c r="H1870" t="inlineStr">
        <is>
          <t>No</t>
        </is>
      </c>
      <c r="I1870" t="inlineStr">
        <is>
          <t>1</t>
        </is>
      </c>
      <c r="J1870" t="inlineStr">
        <is>
          <t>No</t>
        </is>
      </c>
      <c r="K1870" t="inlineStr">
        <is>
          <t>No</t>
        </is>
      </c>
      <c r="L1870" t="inlineStr">
        <is>
          <t>0</t>
        </is>
      </c>
      <c r="M1870" t="inlineStr">
        <is>
          <t>Hawes, Donald.</t>
        </is>
      </c>
      <c r="N1870" t="inlineStr">
        <is>
          <t>London ; New York : Routledge, 1998.</t>
        </is>
      </c>
      <c r="O1870" t="inlineStr">
        <is>
          <t>1998</t>
        </is>
      </c>
      <c r="Q1870" t="inlineStr">
        <is>
          <t>eng</t>
        </is>
      </c>
      <c r="R1870" t="inlineStr">
        <is>
          <t>enk</t>
        </is>
      </c>
      <c r="S1870" t="inlineStr">
        <is>
          <t>Who's who series</t>
        </is>
      </c>
      <c r="T1870" t="inlineStr">
        <is>
          <t xml:space="preserve">PR </t>
        </is>
      </c>
      <c r="U1870" t="n">
        <v>2</v>
      </c>
      <c r="V1870" t="n">
        <v>2</v>
      </c>
      <c r="W1870" t="inlineStr">
        <is>
          <t>2006-03-22</t>
        </is>
      </c>
      <c r="X1870" t="inlineStr">
        <is>
          <t>2006-03-22</t>
        </is>
      </c>
      <c r="Y1870" t="inlineStr">
        <is>
          <t>1998-05-28</t>
        </is>
      </c>
      <c r="Z1870" t="inlineStr">
        <is>
          <t>1998-05-28</t>
        </is>
      </c>
      <c r="AA1870" t="n">
        <v>295</v>
      </c>
      <c r="AB1870" t="n">
        <v>173</v>
      </c>
      <c r="AC1870" t="n">
        <v>414</v>
      </c>
      <c r="AD1870" t="n">
        <v>1</v>
      </c>
      <c r="AE1870" t="n">
        <v>1</v>
      </c>
      <c r="AF1870" t="n">
        <v>7</v>
      </c>
      <c r="AG1870" t="n">
        <v>19</v>
      </c>
      <c r="AH1870" t="n">
        <v>2</v>
      </c>
      <c r="AI1870" t="n">
        <v>11</v>
      </c>
      <c r="AJ1870" t="n">
        <v>1</v>
      </c>
      <c r="AK1870" t="n">
        <v>5</v>
      </c>
      <c r="AL1870" t="n">
        <v>6</v>
      </c>
      <c r="AM1870" t="n">
        <v>8</v>
      </c>
      <c r="AN1870" t="n">
        <v>0</v>
      </c>
      <c r="AO1870" t="n">
        <v>0</v>
      </c>
      <c r="AP1870" t="n">
        <v>0</v>
      </c>
      <c r="AQ1870" t="n">
        <v>0</v>
      </c>
      <c r="AR1870" t="inlineStr">
        <is>
          <t>No</t>
        </is>
      </c>
      <c r="AS1870" t="inlineStr">
        <is>
          <t>No</t>
        </is>
      </c>
      <c r="AU1870">
        <f>HYPERLINK("https://creighton-primo.hosted.exlibrisgroup.com/primo-explore/search?tab=default_tab&amp;search_scope=EVERYTHING&amp;vid=01CRU&amp;lang=en_US&amp;offset=0&amp;query=any,contains,991002792249702656","Catalog Record")</f>
        <v/>
      </c>
      <c r="AV1870">
        <f>HYPERLINK("http://www.worldcat.org/oclc/36663056","WorldCat Record")</f>
        <v/>
      </c>
      <c r="AW1870" t="inlineStr">
        <is>
          <t>541047:eng</t>
        </is>
      </c>
      <c r="AX1870" t="inlineStr">
        <is>
          <t>36663056</t>
        </is>
      </c>
      <c r="AY1870" t="inlineStr">
        <is>
          <t>991002792249702656</t>
        </is>
      </c>
      <c r="AZ1870" t="inlineStr">
        <is>
          <t>991002792249702656</t>
        </is>
      </c>
      <c r="BA1870" t="inlineStr">
        <is>
          <t>2260554260002656</t>
        </is>
      </c>
      <c r="BB1870" t="inlineStr">
        <is>
          <t>BOOK</t>
        </is>
      </c>
      <c r="BD1870" t="inlineStr">
        <is>
          <t>9780415136044</t>
        </is>
      </c>
      <c r="BE1870" t="inlineStr">
        <is>
          <t>32285003412573</t>
        </is>
      </c>
      <c r="BF1870" t="inlineStr">
        <is>
          <t>893780225</t>
        </is>
      </c>
    </row>
    <row r="1871">
      <c r="A1871" t="inlineStr">
        <is>
          <t>No</t>
        </is>
      </c>
      <c r="B1871" t="inlineStr">
        <is>
          <t>CURAL</t>
        </is>
      </c>
      <c r="C1871" t="inlineStr">
        <is>
          <t>SHELVES</t>
        </is>
      </c>
      <c r="D1871" t="inlineStr">
        <is>
          <t>PR4589 .R6 1996</t>
        </is>
      </c>
      <c r="E1871" t="inlineStr">
        <is>
          <t>0                      PR 4589000R  6           1996</t>
        </is>
      </c>
      <c r="F1871" t="inlineStr">
        <is>
          <t>Little Dorrit's shadows : character and contradiction in Dickens / Brian Rosenberg.</t>
        </is>
      </c>
      <c r="H1871" t="inlineStr">
        <is>
          <t>No</t>
        </is>
      </c>
      <c r="I1871" t="inlineStr">
        <is>
          <t>1</t>
        </is>
      </c>
      <c r="J1871" t="inlineStr">
        <is>
          <t>No</t>
        </is>
      </c>
      <c r="K1871" t="inlineStr">
        <is>
          <t>No</t>
        </is>
      </c>
      <c r="L1871" t="inlineStr">
        <is>
          <t>0</t>
        </is>
      </c>
      <c r="M1871" t="inlineStr">
        <is>
          <t>Rosenberg, Brian, 1955-</t>
        </is>
      </c>
      <c r="N1871" t="inlineStr">
        <is>
          <t>Columbia : University of Missouri Press, c1996.</t>
        </is>
      </c>
      <c r="O1871" t="inlineStr">
        <is>
          <t>1996</t>
        </is>
      </c>
      <c r="Q1871" t="inlineStr">
        <is>
          <t>eng</t>
        </is>
      </c>
      <c r="R1871" t="inlineStr">
        <is>
          <t>mou</t>
        </is>
      </c>
      <c r="T1871" t="inlineStr">
        <is>
          <t xml:space="preserve">PR </t>
        </is>
      </c>
      <c r="U1871" t="n">
        <v>1</v>
      </c>
      <c r="V1871" t="n">
        <v>1</v>
      </c>
      <c r="W1871" t="inlineStr">
        <is>
          <t>2004-09-14</t>
        </is>
      </c>
      <c r="X1871" t="inlineStr">
        <is>
          <t>2004-09-14</t>
        </is>
      </c>
      <c r="Y1871" t="inlineStr">
        <is>
          <t>1996-08-13</t>
        </is>
      </c>
      <c r="Z1871" t="inlineStr">
        <is>
          <t>1996-08-13</t>
        </is>
      </c>
      <c r="AA1871" t="n">
        <v>391</v>
      </c>
      <c r="AB1871" t="n">
        <v>327</v>
      </c>
      <c r="AC1871" t="n">
        <v>333</v>
      </c>
      <c r="AD1871" t="n">
        <v>4</v>
      </c>
      <c r="AE1871" t="n">
        <v>4</v>
      </c>
      <c r="AF1871" t="n">
        <v>21</v>
      </c>
      <c r="AG1871" t="n">
        <v>21</v>
      </c>
      <c r="AH1871" t="n">
        <v>8</v>
      </c>
      <c r="AI1871" t="n">
        <v>8</v>
      </c>
      <c r="AJ1871" t="n">
        <v>5</v>
      </c>
      <c r="AK1871" t="n">
        <v>5</v>
      </c>
      <c r="AL1871" t="n">
        <v>12</v>
      </c>
      <c r="AM1871" t="n">
        <v>12</v>
      </c>
      <c r="AN1871" t="n">
        <v>3</v>
      </c>
      <c r="AO1871" t="n">
        <v>3</v>
      </c>
      <c r="AP1871" t="n">
        <v>0</v>
      </c>
      <c r="AQ1871" t="n">
        <v>0</v>
      </c>
      <c r="AR1871" t="inlineStr">
        <is>
          <t>No</t>
        </is>
      </c>
      <c r="AS1871" t="inlineStr">
        <is>
          <t>Yes</t>
        </is>
      </c>
      <c r="AT1871">
        <f>HYPERLINK("http://catalog.hathitrust.org/Record/003079568","HathiTrust Record")</f>
        <v/>
      </c>
      <c r="AU1871">
        <f>HYPERLINK("https://creighton-primo.hosted.exlibrisgroup.com/primo-explore/search?tab=default_tab&amp;search_scope=EVERYTHING&amp;vid=01CRU&amp;lang=en_US&amp;offset=0&amp;query=any,contains,991002623369702656","Catalog Record")</f>
        <v/>
      </c>
      <c r="AV1871">
        <f>HYPERLINK("http://www.worldcat.org/oclc/34358483","WorldCat Record")</f>
        <v/>
      </c>
      <c r="AW1871" t="inlineStr">
        <is>
          <t>138796222:eng</t>
        </is>
      </c>
      <c r="AX1871" t="inlineStr">
        <is>
          <t>34358483</t>
        </is>
      </c>
      <c r="AY1871" t="inlineStr">
        <is>
          <t>991002623369702656</t>
        </is>
      </c>
      <c r="AZ1871" t="inlineStr">
        <is>
          <t>991002623369702656</t>
        </is>
      </c>
      <c r="BA1871" t="inlineStr">
        <is>
          <t>2258431260002656</t>
        </is>
      </c>
      <c r="BB1871" t="inlineStr">
        <is>
          <t>BOOK</t>
        </is>
      </c>
      <c r="BD1871" t="inlineStr">
        <is>
          <t>9780826210586</t>
        </is>
      </c>
      <c r="BE1871" t="inlineStr">
        <is>
          <t>32285002274784</t>
        </is>
      </c>
      <c r="BF1871" t="inlineStr">
        <is>
          <t>893610060</t>
        </is>
      </c>
    </row>
    <row r="1872">
      <c r="A1872" t="inlineStr">
        <is>
          <t>No</t>
        </is>
      </c>
      <c r="B1872" t="inlineStr">
        <is>
          <t>CURAL</t>
        </is>
      </c>
      <c r="C1872" t="inlineStr">
        <is>
          <t>SHELVES</t>
        </is>
      </c>
      <c r="D1872" t="inlineStr">
        <is>
          <t>PR4591 .M3</t>
        </is>
      </c>
      <c r="E1872" t="inlineStr">
        <is>
          <t>0                      PR 4591000M  3</t>
        </is>
      </c>
      <c r="F1872" t="inlineStr">
        <is>
          <t>Synopses of Dickens's novels / by J. Walker McSpadden.</t>
        </is>
      </c>
      <c r="H1872" t="inlineStr">
        <is>
          <t>No</t>
        </is>
      </c>
      <c r="I1872" t="inlineStr">
        <is>
          <t>1</t>
        </is>
      </c>
      <c r="J1872" t="inlineStr">
        <is>
          <t>No</t>
        </is>
      </c>
      <c r="K1872" t="inlineStr">
        <is>
          <t>No</t>
        </is>
      </c>
      <c r="L1872" t="inlineStr">
        <is>
          <t>0</t>
        </is>
      </c>
      <c r="M1872" t="inlineStr">
        <is>
          <t>McSpadden, J. Walker (Joseph Walker), 1874-1960.</t>
        </is>
      </c>
      <c r="N1872" t="inlineStr">
        <is>
          <t>[Folcroft, Pa.] : Folcroft Library Editions, 1971.</t>
        </is>
      </c>
      <c r="O1872" t="inlineStr">
        <is>
          <t>1971</t>
        </is>
      </c>
      <c r="Q1872" t="inlineStr">
        <is>
          <t>eng</t>
        </is>
      </c>
      <c r="R1872" t="inlineStr">
        <is>
          <t>pau</t>
        </is>
      </c>
      <c r="T1872" t="inlineStr">
        <is>
          <t xml:space="preserve">PR </t>
        </is>
      </c>
      <c r="U1872" t="n">
        <v>2</v>
      </c>
      <c r="V1872" t="n">
        <v>2</v>
      </c>
      <c r="W1872" t="inlineStr">
        <is>
          <t>2006-04-02</t>
        </is>
      </c>
      <c r="X1872" t="inlineStr">
        <is>
          <t>2006-04-02</t>
        </is>
      </c>
      <c r="Y1872" t="inlineStr">
        <is>
          <t>1990-08-09</t>
        </is>
      </c>
      <c r="Z1872" t="inlineStr">
        <is>
          <t>1990-08-09</t>
        </is>
      </c>
      <c r="AA1872" t="n">
        <v>56</v>
      </c>
      <c r="AB1872" t="n">
        <v>54</v>
      </c>
      <c r="AC1872" t="n">
        <v>127</v>
      </c>
      <c r="AD1872" t="n">
        <v>2</v>
      </c>
      <c r="AE1872" t="n">
        <v>3</v>
      </c>
      <c r="AF1872" t="n">
        <v>1</v>
      </c>
      <c r="AG1872" t="n">
        <v>8</v>
      </c>
      <c r="AH1872" t="n">
        <v>0</v>
      </c>
      <c r="AI1872" t="n">
        <v>2</v>
      </c>
      <c r="AJ1872" t="n">
        <v>0</v>
      </c>
      <c r="AK1872" t="n">
        <v>2</v>
      </c>
      <c r="AL1872" t="n">
        <v>0</v>
      </c>
      <c r="AM1872" t="n">
        <v>2</v>
      </c>
      <c r="AN1872" t="n">
        <v>1</v>
      </c>
      <c r="AO1872" t="n">
        <v>2</v>
      </c>
      <c r="AP1872" t="n">
        <v>0</v>
      </c>
      <c r="AQ1872" t="n">
        <v>0</v>
      </c>
      <c r="AR1872" t="inlineStr">
        <is>
          <t>No</t>
        </is>
      </c>
      <c r="AS1872" t="inlineStr">
        <is>
          <t>Yes</t>
        </is>
      </c>
      <c r="AT1872">
        <f>HYPERLINK("http://catalog.hathitrust.org/Record/100116251","HathiTrust Record")</f>
        <v/>
      </c>
      <c r="AU1872">
        <f>HYPERLINK("https://creighton-primo.hosted.exlibrisgroup.com/primo-explore/search?tab=default_tab&amp;search_scope=EVERYTHING&amp;vid=01CRU&amp;lang=en_US&amp;offset=0&amp;query=any,contains,991002886689702656","Catalog Record")</f>
        <v/>
      </c>
      <c r="AV1872">
        <f>HYPERLINK("http://www.worldcat.org/oclc/508878","WorldCat Record")</f>
        <v/>
      </c>
      <c r="AW1872" t="inlineStr">
        <is>
          <t>1464619:eng</t>
        </is>
      </c>
      <c r="AX1872" t="inlineStr">
        <is>
          <t>508878</t>
        </is>
      </c>
      <c r="AY1872" t="inlineStr">
        <is>
          <t>991002886689702656</t>
        </is>
      </c>
      <c r="AZ1872" t="inlineStr">
        <is>
          <t>991002886689702656</t>
        </is>
      </c>
      <c r="BA1872" t="inlineStr">
        <is>
          <t>2261116120002656</t>
        </is>
      </c>
      <c r="BB1872" t="inlineStr">
        <is>
          <t>BOOK</t>
        </is>
      </c>
      <c r="BE1872" t="inlineStr">
        <is>
          <t>32285000242676</t>
        </is>
      </c>
      <c r="BF1872" t="inlineStr">
        <is>
          <t>893341983</t>
        </is>
      </c>
    </row>
    <row r="1873">
      <c r="A1873" t="inlineStr">
        <is>
          <t>No</t>
        </is>
      </c>
      <c r="B1873" t="inlineStr">
        <is>
          <t>CURAL</t>
        </is>
      </c>
      <c r="C1873" t="inlineStr">
        <is>
          <t>SHELVES</t>
        </is>
      </c>
      <c r="D1873" t="inlineStr">
        <is>
          <t>PR4592.C7 C6 1966</t>
        </is>
      </c>
      <c r="E1873" t="inlineStr">
        <is>
          <t>0                      PR 4592000C  7                  C  6           1966</t>
        </is>
      </c>
      <c r="F1873" t="inlineStr">
        <is>
          <t>Dickens and crime / by Philip Collins.</t>
        </is>
      </c>
      <c r="H1873" t="inlineStr">
        <is>
          <t>No</t>
        </is>
      </c>
      <c r="I1873" t="inlineStr">
        <is>
          <t>1</t>
        </is>
      </c>
      <c r="J1873" t="inlineStr">
        <is>
          <t>No</t>
        </is>
      </c>
      <c r="K1873" t="inlineStr">
        <is>
          <t>No</t>
        </is>
      </c>
      <c r="L1873" t="inlineStr">
        <is>
          <t>0</t>
        </is>
      </c>
      <c r="M1873" t="inlineStr">
        <is>
          <t>Collins, Philip, 1923-2007.</t>
        </is>
      </c>
      <c r="N1873" t="inlineStr">
        <is>
          <t>London : Macmillian ; New York : St. Martin's P., 1965 [i. e. 1966]</t>
        </is>
      </c>
      <c r="O1873" t="inlineStr">
        <is>
          <t>1966</t>
        </is>
      </c>
      <c r="P1873" t="inlineStr">
        <is>
          <t>2d ed. reprinted.</t>
        </is>
      </c>
      <c r="Q1873" t="inlineStr">
        <is>
          <t>eng</t>
        </is>
      </c>
      <c r="R1873" t="inlineStr">
        <is>
          <t>nyu</t>
        </is>
      </c>
      <c r="S1873" t="inlineStr">
        <is>
          <t>Cambridge studies in criminology ; v. 17</t>
        </is>
      </c>
      <c r="T1873" t="inlineStr">
        <is>
          <t xml:space="preserve">PR </t>
        </is>
      </c>
      <c r="U1873" t="n">
        <v>2</v>
      </c>
      <c r="V1873" t="n">
        <v>2</v>
      </c>
      <c r="W1873" t="inlineStr">
        <is>
          <t>1997-02-28</t>
        </is>
      </c>
      <c r="X1873" t="inlineStr">
        <is>
          <t>1997-02-28</t>
        </is>
      </c>
      <c r="Y1873" t="inlineStr">
        <is>
          <t>1990-11-14</t>
        </is>
      </c>
      <c r="Z1873" t="inlineStr">
        <is>
          <t>1990-11-14</t>
        </is>
      </c>
      <c r="AA1873" t="n">
        <v>51</v>
      </c>
      <c r="AB1873" t="n">
        <v>47</v>
      </c>
      <c r="AC1873" t="n">
        <v>986</v>
      </c>
      <c r="AD1873" t="n">
        <v>1</v>
      </c>
      <c r="AE1873" t="n">
        <v>8</v>
      </c>
      <c r="AF1873" t="n">
        <v>4</v>
      </c>
      <c r="AG1873" t="n">
        <v>50</v>
      </c>
      <c r="AH1873" t="n">
        <v>1</v>
      </c>
      <c r="AI1873" t="n">
        <v>17</v>
      </c>
      <c r="AJ1873" t="n">
        <v>1</v>
      </c>
      <c r="AK1873" t="n">
        <v>8</v>
      </c>
      <c r="AL1873" t="n">
        <v>3</v>
      </c>
      <c r="AM1873" t="n">
        <v>22</v>
      </c>
      <c r="AN1873" t="n">
        <v>0</v>
      </c>
      <c r="AO1873" t="n">
        <v>5</v>
      </c>
      <c r="AP1873" t="n">
        <v>1</v>
      </c>
      <c r="AQ1873" t="n">
        <v>9</v>
      </c>
      <c r="AR1873" t="inlineStr">
        <is>
          <t>No</t>
        </is>
      </c>
      <c r="AS1873" t="inlineStr">
        <is>
          <t>No</t>
        </is>
      </c>
      <c r="AU1873">
        <f>HYPERLINK("https://creighton-primo.hosted.exlibrisgroup.com/primo-explore/search?tab=default_tab&amp;search_scope=EVERYTHING&amp;vid=01CRU&amp;lang=en_US&amp;offset=0&amp;query=any,contains,991000881409702656","Catalog Record")</f>
        <v/>
      </c>
      <c r="AV1873">
        <f>HYPERLINK("http://www.worldcat.org/oclc/13834294","WorldCat Record")</f>
        <v/>
      </c>
      <c r="AW1873" t="inlineStr">
        <is>
          <t>1410666:eng</t>
        </is>
      </c>
      <c r="AX1873" t="inlineStr">
        <is>
          <t>13834294</t>
        </is>
      </c>
      <c r="AY1873" t="inlineStr">
        <is>
          <t>991000881409702656</t>
        </is>
      </c>
      <c r="AZ1873" t="inlineStr">
        <is>
          <t>991000881409702656</t>
        </is>
      </c>
      <c r="BA1873" t="inlineStr">
        <is>
          <t>2264928800002656</t>
        </is>
      </c>
      <c r="BB1873" t="inlineStr">
        <is>
          <t>BOOK</t>
        </is>
      </c>
      <c r="BE1873" t="inlineStr">
        <is>
          <t>32285000396431</t>
        </is>
      </c>
      <c r="BF1873" t="inlineStr">
        <is>
          <t>893413764</t>
        </is>
      </c>
    </row>
    <row r="1874">
      <c r="A1874" t="inlineStr">
        <is>
          <t>No</t>
        </is>
      </c>
      <c r="B1874" t="inlineStr">
        <is>
          <t>CURAL</t>
        </is>
      </c>
      <c r="C1874" t="inlineStr">
        <is>
          <t>SHELVES</t>
        </is>
      </c>
      <c r="D1874" t="inlineStr">
        <is>
          <t>PR4592.E8 L6 1979</t>
        </is>
      </c>
      <c r="E1874" t="inlineStr">
        <is>
          <t>0                      PR 4592000E  8                  L  6           1979</t>
        </is>
      </c>
      <c r="F1874" t="inlineStr">
        <is>
          <t>Dickens and the seven deadly sins / Theresa R. Love.</t>
        </is>
      </c>
      <c r="H1874" t="inlineStr">
        <is>
          <t>No</t>
        </is>
      </c>
      <c r="I1874" t="inlineStr">
        <is>
          <t>1</t>
        </is>
      </c>
      <c r="J1874" t="inlineStr">
        <is>
          <t>No</t>
        </is>
      </c>
      <c r="K1874" t="inlineStr">
        <is>
          <t>No</t>
        </is>
      </c>
      <c r="L1874" t="inlineStr">
        <is>
          <t>0</t>
        </is>
      </c>
      <c r="M1874" t="inlineStr">
        <is>
          <t>Love, Theresa R.</t>
        </is>
      </c>
      <c r="N1874" t="inlineStr">
        <is>
          <t>Danville, Ill. : Interstate Printers &amp; Publishers, c1979.</t>
        </is>
      </c>
      <c r="O1874" t="inlineStr">
        <is>
          <t>1979</t>
        </is>
      </c>
      <c r="Q1874" t="inlineStr">
        <is>
          <t>eng</t>
        </is>
      </c>
      <c r="R1874" t="inlineStr">
        <is>
          <t>ilu</t>
        </is>
      </c>
      <c r="T1874" t="inlineStr">
        <is>
          <t xml:space="preserve">PR </t>
        </is>
      </c>
      <c r="U1874" t="n">
        <v>3</v>
      </c>
      <c r="V1874" t="n">
        <v>3</v>
      </c>
      <c r="W1874" t="inlineStr">
        <is>
          <t>1997-02-28</t>
        </is>
      </c>
      <c r="X1874" t="inlineStr">
        <is>
          <t>1997-02-28</t>
        </is>
      </c>
      <c r="Y1874" t="inlineStr">
        <is>
          <t>1990-09-05</t>
        </is>
      </c>
      <c r="Z1874" t="inlineStr">
        <is>
          <t>1990-09-05</t>
        </is>
      </c>
      <c r="AA1874" t="n">
        <v>101</v>
      </c>
      <c r="AB1874" t="n">
        <v>93</v>
      </c>
      <c r="AC1874" t="n">
        <v>94</v>
      </c>
      <c r="AD1874" t="n">
        <v>2</v>
      </c>
      <c r="AE1874" t="n">
        <v>2</v>
      </c>
      <c r="AF1874" t="n">
        <v>4</v>
      </c>
      <c r="AG1874" t="n">
        <v>4</v>
      </c>
      <c r="AH1874" t="n">
        <v>2</v>
      </c>
      <c r="AI1874" t="n">
        <v>2</v>
      </c>
      <c r="AJ1874" t="n">
        <v>1</v>
      </c>
      <c r="AK1874" t="n">
        <v>1</v>
      </c>
      <c r="AL1874" t="n">
        <v>1</v>
      </c>
      <c r="AM1874" t="n">
        <v>1</v>
      </c>
      <c r="AN1874" t="n">
        <v>1</v>
      </c>
      <c r="AO1874" t="n">
        <v>1</v>
      </c>
      <c r="AP1874" t="n">
        <v>0</v>
      </c>
      <c r="AQ1874" t="n">
        <v>0</v>
      </c>
      <c r="AR1874" t="inlineStr">
        <is>
          <t>No</t>
        </is>
      </c>
      <c r="AS1874" t="inlineStr">
        <is>
          <t>No</t>
        </is>
      </c>
      <c r="AU1874">
        <f>HYPERLINK("https://creighton-primo.hosted.exlibrisgroup.com/primo-explore/search?tab=default_tab&amp;search_scope=EVERYTHING&amp;vid=01CRU&amp;lang=en_US&amp;offset=0&amp;query=any,contains,991004857689702656","Catalog Record")</f>
        <v/>
      </c>
      <c r="AV1874">
        <f>HYPERLINK("http://www.worldcat.org/oclc/5676469","WorldCat Record")</f>
        <v/>
      </c>
      <c r="AW1874" t="inlineStr">
        <is>
          <t>18919554:eng</t>
        </is>
      </c>
      <c r="AX1874" t="inlineStr">
        <is>
          <t>5676469</t>
        </is>
      </c>
      <c r="AY1874" t="inlineStr">
        <is>
          <t>991004857689702656</t>
        </is>
      </c>
      <c r="AZ1874" t="inlineStr">
        <is>
          <t>991004857689702656</t>
        </is>
      </c>
      <c r="BA1874" t="inlineStr">
        <is>
          <t>2260176370002656</t>
        </is>
      </c>
      <c r="BB1874" t="inlineStr">
        <is>
          <t>BOOK</t>
        </is>
      </c>
      <c r="BE1874" t="inlineStr">
        <is>
          <t>32285000024942</t>
        </is>
      </c>
      <c r="BF1874" t="inlineStr">
        <is>
          <t>893606537</t>
        </is>
      </c>
    </row>
    <row r="1875">
      <c r="A1875" t="inlineStr">
        <is>
          <t>No</t>
        </is>
      </c>
      <c r="B1875" t="inlineStr">
        <is>
          <t>CURAL</t>
        </is>
      </c>
      <c r="C1875" t="inlineStr">
        <is>
          <t>SHELVES</t>
        </is>
      </c>
      <c r="D1875" t="inlineStr">
        <is>
          <t>PR4592.G7 H6 1984</t>
        </is>
      </c>
      <c r="E1875" t="inlineStr">
        <is>
          <t>0                      PR 4592000G  7                  H  6           1984</t>
        </is>
      </c>
      <c r="F1875" t="inlineStr">
        <is>
          <t>Dickens and the grotesque / Michael Hollington.</t>
        </is>
      </c>
      <c r="H1875" t="inlineStr">
        <is>
          <t>No</t>
        </is>
      </c>
      <c r="I1875" t="inlineStr">
        <is>
          <t>1</t>
        </is>
      </c>
      <c r="J1875" t="inlineStr">
        <is>
          <t>No</t>
        </is>
      </c>
      <c r="K1875" t="inlineStr">
        <is>
          <t>No</t>
        </is>
      </c>
      <c r="L1875" t="inlineStr">
        <is>
          <t>0</t>
        </is>
      </c>
      <c r="M1875" t="inlineStr">
        <is>
          <t>Hollington, Michael.</t>
        </is>
      </c>
      <c r="N1875" t="inlineStr">
        <is>
          <t>London : Croom Helm ; Totowa, N.J. : Barnes &amp; Noble, 1984.</t>
        </is>
      </c>
      <c r="O1875" t="inlineStr">
        <is>
          <t>1984</t>
        </is>
      </c>
      <c r="Q1875" t="inlineStr">
        <is>
          <t>eng</t>
        </is>
      </c>
      <c r="R1875" t="inlineStr">
        <is>
          <t>enk</t>
        </is>
      </c>
      <c r="T1875" t="inlineStr">
        <is>
          <t xml:space="preserve">PR </t>
        </is>
      </c>
      <c r="U1875" t="n">
        <v>1</v>
      </c>
      <c r="V1875" t="n">
        <v>1</v>
      </c>
      <c r="W1875" t="inlineStr">
        <is>
          <t>1997-03-01</t>
        </is>
      </c>
      <c r="X1875" t="inlineStr">
        <is>
          <t>1997-03-01</t>
        </is>
      </c>
      <c r="Y1875" t="inlineStr">
        <is>
          <t>1991-11-07</t>
        </is>
      </c>
      <c r="Z1875" t="inlineStr">
        <is>
          <t>1991-11-07</t>
        </is>
      </c>
      <c r="AA1875" t="n">
        <v>591</v>
      </c>
      <c r="AB1875" t="n">
        <v>426</v>
      </c>
      <c r="AC1875" t="n">
        <v>468</v>
      </c>
      <c r="AD1875" t="n">
        <v>3</v>
      </c>
      <c r="AE1875" t="n">
        <v>3</v>
      </c>
      <c r="AF1875" t="n">
        <v>23</v>
      </c>
      <c r="AG1875" t="n">
        <v>23</v>
      </c>
      <c r="AH1875" t="n">
        <v>6</v>
      </c>
      <c r="AI1875" t="n">
        <v>6</v>
      </c>
      <c r="AJ1875" t="n">
        <v>6</v>
      </c>
      <c r="AK1875" t="n">
        <v>6</v>
      </c>
      <c r="AL1875" t="n">
        <v>16</v>
      </c>
      <c r="AM1875" t="n">
        <v>16</v>
      </c>
      <c r="AN1875" t="n">
        <v>2</v>
      </c>
      <c r="AO1875" t="n">
        <v>2</v>
      </c>
      <c r="AP1875" t="n">
        <v>0</v>
      </c>
      <c r="AQ1875" t="n">
        <v>0</v>
      </c>
      <c r="AR1875" t="inlineStr">
        <is>
          <t>No</t>
        </is>
      </c>
      <c r="AS1875" t="inlineStr">
        <is>
          <t>Yes</t>
        </is>
      </c>
      <c r="AT1875">
        <f>HYPERLINK("http://catalog.hathitrust.org/Record/000123913","HathiTrust Record")</f>
        <v/>
      </c>
      <c r="AU1875">
        <f>HYPERLINK("https://creighton-primo.hosted.exlibrisgroup.com/primo-explore/search?tab=default_tab&amp;search_scope=EVERYTHING&amp;vid=01CRU&amp;lang=en_US&amp;offset=0&amp;query=any,contains,991000350179702656","Catalog Record")</f>
        <v/>
      </c>
      <c r="AV1875">
        <f>HYPERLINK("http://www.worldcat.org/oclc/10301011","WorldCat Record")</f>
        <v/>
      </c>
      <c r="AW1875" t="inlineStr">
        <is>
          <t>2860240:eng</t>
        </is>
      </c>
      <c r="AX1875" t="inlineStr">
        <is>
          <t>10301011</t>
        </is>
      </c>
      <c r="AY1875" t="inlineStr">
        <is>
          <t>991000350179702656</t>
        </is>
      </c>
      <c r="AZ1875" t="inlineStr">
        <is>
          <t>991000350179702656</t>
        </is>
      </c>
      <c r="BA1875" t="inlineStr">
        <is>
          <t>2269969540002656</t>
        </is>
      </c>
      <c r="BB1875" t="inlineStr">
        <is>
          <t>BOOK</t>
        </is>
      </c>
      <c r="BD1875" t="inlineStr">
        <is>
          <t>9780389204572</t>
        </is>
      </c>
      <c r="BE1875" t="inlineStr">
        <is>
          <t>32285000798701</t>
        </is>
      </c>
      <c r="BF1875" t="inlineStr">
        <is>
          <t>893444275</t>
        </is>
      </c>
    </row>
    <row r="1876">
      <c r="A1876" t="inlineStr">
        <is>
          <t>No</t>
        </is>
      </c>
      <c r="B1876" t="inlineStr">
        <is>
          <t>CURAL</t>
        </is>
      </c>
      <c r="C1876" t="inlineStr">
        <is>
          <t>SHELVES</t>
        </is>
      </c>
      <c r="D1876" t="inlineStr">
        <is>
          <t>PR4592.P45 V58 1998</t>
        </is>
      </c>
      <c r="E1876" t="inlineStr">
        <is>
          <t>0                      PR 4592000P  45                 V  58          1998</t>
        </is>
      </c>
      <c r="F1876" t="inlineStr">
        <is>
          <t>Dickens, novel reading, and the Victorian popular theatre / Deborah Vlock.</t>
        </is>
      </c>
      <c r="H1876" t="inlineStr">
        <is>
          <t>No</t>
        </is>
      </c>
      <c r="I1876" t="inlineStr">
        <is>
          <t>1</t>
        </is>
      </c>
      <c r="J1876" t="inlineStr">
        <is>
          <t>No</t>
        </is>
      </c>
      <c r="K1876" t="inlineStr">
        <is>
          <t>No</t>
        </is>
      </c>
      <c r="L1876" t="inlineStr">
        <is>
          <t>0</t>
        </is>
      </c>
      <c r="M1876" t="inlineStr">
        <is>
          <t>Vlock, Deborah.</t>
        </is>
      </c>
      <c r="N1876" t="inlineStr">
        <is>
          <t>Cambridge ; New York : Cambridge University Press, 1998.</t>
        </is>
      </c>
      <c r="O1876" t="inlineStr">
        <is>
          <t>1998</t>
        </is>
      </c>
      <c r="Q1876" t="inlineStr">
        <is>
          <t>eng</t>
        </is>
      </c>
      <c r="R1876" t="inlineStr">
        <is>
          <t>enk</t>
        </is>
      </c>
      <c r="S1876" t="inlineStr">
        <is>
          <t>Cambridge studies in nineteenth-century literature and culture ; 19</t>
        </is>
      </c>
      <c r="T1876" t="inlineStr">
        <is>
          <t xml:space="preserve">PR </t>
        </is>
      </c>
      <c r="U1876" t="n">
        <v>1</v>
      </c>
      <c r="V1876" t="n">
        <v>1</v>
      </c>
      <c r="W1876" t="inlineStr">
        <is>
          <t>2001-11-28</t>
        </is>
      </c>
      <c r="X1876" t="inlineStr">
        <is>
          <t>2001-11-28</t>
        </is>
      </c>
      <c r="Y1876" t="inlineStr">
        <is>
          <t>2001-11-27</t>
        </is>
      </c>
      <c r="Z1876" t="inlineStr">
        <is>
          <t>2001-11-27</t>
        </is>
      </c>
      <c r="AA1876" t="n">
        <v>435</v>
      </c>
      <c r="AB1876" t="n">
        <v>302</v>
      </c>
      <c r="AC1876" t="n">
        <v>307</v>
      </c>
      <c r="AD1876" t="n">
        <v>3</v>
      </c>
      <c r="AE1876" t="n">
        <v>3</v>
      </c>
      <c r="AF1876" t="n">
        <v>17</v>
      </c>
      <c r="AG1876" t="n">
        <v>17</v>
      </c>
      <c r="AH1876" t="n">
        <v>3</v>
      </c>
      <c r="AI1876" t="n">
        <v>3</v>
      </c>
      <c r="AJ1876" t="n">
        <v>6</v>
      </c>
      <c r="AK1876" t="n">
        <v>6</v>
      </c>
      <c r="AL1876" t="n">
        <v>10</v>
      </c>
      <c r="AM1876" t="n">
        <v>10</v>
      </c>
      <c r="AN1876" t="n">
        <v>2</v>
      </c>
      <c r="AO1876" t="n">
        <v>2</v>
      </c>
      <c r="AP1876" t="n">
        <v>0</v>
      </c>
      <c r="AQ1876" t="n">
        <v>0</v>
      </c>
      <c r="AR1876" t="inlineStr">
        <is>
          <t>No</t>
        </is>
      </c>
      <c r="AS1876" t="inlineStr">
        <is>
          <t>No</t>
        </is>
      </c>
      <c r="AU1876">
        <f>HYPERLINK("https://creighton-primo.hosted.exlibrisgroup.com/primo-explore/search?tab=default_tab&amp;search_scope=EVERYTHING&amp;vid=01CRU&amp;lang=en_US&amp;offset=0&amp;query=any,contains,991003634179702656","Catalog Record")</f>
        <v/>
      </c>
      <c r="AV1876">
        <f>HYPERLINK("http://www.worldcat.org/oclc/38993018","WorldCat Record")</f>
        <v/>
      </c>
      <c r="AW1876" t="inlineStr">
        <is>
          <t>42587455:eng</t>
        </is>
      </c>
      <c r="AX1876" t="inlineStr">
        <is>
          <t>38993018</t>
        </is>
      </c>
      <c r="AY1876" t="inlineStr">
        <is>
          <t>991003634179702656</t>
        </is>
      </c>
      <c r="AZ1876" t="inlineStr">
        <is>
          <t>991003634179702656</t>
        </is>
      </c>
      <c r="BA1876" t="inlineStr">
        <is>
          <t>2266326410002656</t>
        </is>
      </c>
      <c r="BB1876" t="inlineStr">
        <is>
          <t>BOOK</t>
        </is>
      </c>
      <c r="BD1876" t="inlineStr">
        <is>
          <t>9780521640848</t>
        </is>
      </c>
      <c r="BE1876" t="inlineStr">
        <is>
          <t>32285004413976</t>
        </is>
      </c>
      <c r="BF1876" t="inlineStr">
        <is>
          <t>893252564</t>
        </is>
      </c>
    </row>
    <row r="1877">
      <c r="A1877" t="inlineStr">
        <is>
          <t>No</t>
        </is>
      </c>
      <c r="B1877" t="inlineStr">
        <is>
          <t>CURAL</t>
        </is>
      </c>
      <c r="C1877" t="inlineStr">
        <is>
          <t>SHELVES</t>
        </is>
      </c>
      <c r="D1877" t="inlineStr">
        <is>
          <t>PR4592.R4 P65 1978</t>
        </is>
      </c>
      <c r="E1877" t="inlineStr">
        <is>
          <t>0                      PR 4592000R  4                  P  65          1978</t>
        </is>
      </c>
      <c r="F1877" t="inlineStr">
        <is>
          <t>Dickens and charity / Norris Pope. --</t>
        </is>
      </c>
      <c r="H1877" t="inlineStr">
        <is>
          <t>No</t>
        </is>
      </c>
      <c r="I1877" t="inlineStr">
        <is>
          <t>1</t>
        </is>
      </c>
      <c r="J1877" t="inlineStr">
        <is>
          <t>No</t>
        </is>
      </c>
      <c r="K1877" t="inlineStr">
        <is>
          <t>No</t>
        </is>
      </c>
      <c r="L1877" t="inlineStr">
        <is>
          <t>0</t>
        </is>
      </c>
      <c r="M1877" t="inlineStr">
        <is>
          <t>Pope, Norris, 1945-</t>
        </is>
      </c>
      <c r="N1877" t="inlineStr">
        <is>
          <t>New York : Columbia University Press, 1978.</t>
        </is>
      </c>
      <c r="O1877" t="inlineStr">
        <is>
          <t>1978</t>
        </is>
      </c>
      <c r="Q1877" t="inlineStr">
        <is>
          <t>eng</t>
        </is>
      </c>
      <c r="R1877" t="inlineStr">
        <is>
          <t>nyu</t>
        </is>
      </c>
      <c r="T1877" t="inlineStr">
        <is>
          <t xml:space="preserve">PR </t>
        </is>
      </c>
      <c r="U1877" t="n">
        <v>2</v>
      </c>
      <c r="V1877" t="n">
        <v>2</v>
      </c>
      <c r="W1877" t="inlineStr">
        <is>
          <t>2009-04-07</t>
        </is>
      </c>
      <c r="X1877" t="inlineStr">
        <is>
          <t>2009-04-07</t>
        </is>
      </c>
      <c r="Y1877" t="inlineStr">
        <is>
          <t>1991-11-07</t>
        </is>
      </c>
      <c r="Z1877" t="inlineStr">
        <is>
          <t>1991-11-07</t>
        </is>
      </c>
      <c r="AA1877" t="n">
        <v>684</v>
      </c>
      <c r="AB1877" t="n">
        <v>619</v>
      </c>
      <c r="AC1877" t="n">
        <v>639</v>
      </c>
      <c r="AD1877" t="n">
        <v>5</v>
      </c>
      <c r="AE1877" t="n">
        <v>5</v>
      </c>
      <c r="AF1877" t="n">
        <v>36</v>
      </c>
      <c r="AG1877" t="n">
        <v>36</v>
      </c>
      <c r="AH1877" t="n">
        <v>17</v>
      </c>
      <c r="AI1877" t="n">
        <v>17</v>
      </c>
      <c r="AJ1877" t="n">
        <v>7</v>
      </c>
      <c r="AK1877" t="n">
        <v>7</v>
      </c>
      <c r="AL1877" t="n">
        <v>19</v>
      </c>
      <c r="AM1877" t="n">
        <v>19</v>
      </c>
      <c r="AN1877" t="n">
        <v>4</v>
      </c>
      <c r="AO1877" t="n">
        <v>4</v>
      </c>
      <c r="AP1877" t="n">
        <v>1</v>
      </c>
      <c r="AQ1877" t="n">
        <v>1</v>
      </c>
      <c r="AR1877" t="inlineStr">
        <is>
          <t>No</t>
        </is>
      </c>
      <c r="AS1877" t="inlineStr">
        <is>
          <t>No</t>
        </is>
      </c>
      <c r="AU1877">
        <f>HYPERLINK("https://creighton-primo.hosted.exlibrisgroup.com/primo-explore/search?tab=default_tab&amp;search_scope=EVERYTHING&amp;vid=01CRU&amp;lang=en_US&amp;offset=0&amp;query=any,contains,991004508119702656","Catalog Record")</f>
        <v/>
      </c>
      <c r="AV1877">
        <f>HYPERLINK("http://www.worldcat.org/oclc/3748702","WorldCat Record")</f>
        <v/>
      </c>
      <c r="AW1877" t="inlineStr">
        <is>
          <t>420126:eng</t>
        </is>
      </c>
      <c r="AX1877" t="inlineStr">
        <is>
          <t>3748702</t>
        </is>
      </c>
      <c r="AY1877" t="inlineStr">
        <is>
          <t>991004508119702656</t>
        </is>
      </c>
      <c r="AZ1877" t="inlineStr">
        <is>
          <t>991004508119702656</t>
        </is>
      </c>
      <c r="BA1877" t="inlineStr">
        <is>
          <t>2269308490002656</t>
        </is>
      </c>
      <c r="BB1877" t="inlineStr">
        <is>
          <t>BOOK</t>
        </is>
      </c>
      <c r="BD1877" t="inlineStr">
        <is>
          <t>9780231044783</t>
        </is>
      </c>
      <c r="BE1877" t="inlineStr">
        <is>
          <t>32285000798743</t>
        </is>
      </c>
      <c r="BF1877" t="inlineStr">
        <is>
          <t>893599917</t>
        </is>
      </c>
    </row>
    <row r="1878">
      <c r="A1878" t="inlineStr">
        <is>
          <t>No</t>
        </is>
      </c>
      <c r="B1878" t="inlineStr">
        <is>
          <t>CURAL</t>
        </is>
      </c>
      <c r="C1878" t="inlineStr">
        <is>
          <t>SHELVES</t>
        </is>
      </c>
      <c r="D1878" t="inlineStr">
        <is>
          <t>PR4592.R4 W3</t>
        </is>
      </c>
      <c r="E1878" t="inlineStr">
        <is>
          <t>0                      PR 4592000R  4                  W  3</t>
        </is>
      </c>
      <c r="F1878" t="inlineStr">
        <is>
          <t>Dickens and religion / Dennis Walder.</t>
        </is>
      </c>
      <c r="H1878" t="inlineStr">
        <is>
          <t>No</t>
        </is>
      </c>
      <c r="I1878" t="inlineStr">
        <is>
          <t>1</t>
        </is>
      </c>
      <c r="J1878" t="inlineStr">
        <is>
          <t>No</t>
        </is>
      </c>
      <c r="K1878" t="inlineStr">
        <is>
          <t>No</t>
        </is>
      </c>
      <c r="L1878" t="inlineStr">
        <is>
          <t>0</t>
        </is>
      </c>
      <c r="M1878" t="inlineStr">
        <is>
          <t>Walder, Dennis.</t>
        </is>
      </c>
      <c r="N1878" t="inlineStr">
        <is>
          <t>London ; Boston : Allen &amp; Unwin, 1981.</t>
        </is>
      </c>
      <c r="O1878" t="inlineStr">
        <is>
          <t>1981</t>
        </is>
      </c>
      <c r="Q1878" t="inlineStr">
        <is>
          <t>eng</t>
        </is>
      </c>
      <c r="R1878" t="inlineStr">
        <is>
          <t>enk</t>
        </is>
      </c>
      <c r="T1878" t="inlineStr">
        <is>
          <t xml:space="preserve">PR </t>
        </is>
      </c>
      <c r="U1878" t="n">
        <v>1</v>
      </c>
      <c r="V1878" t="n">
        <v>1</v>
      </c>
      <c r="W1878" t="inlineStr">
        <is>
          <t>2003-10-30</t>
        </is>
      </c>
      <c r="X1878" t="inlineStr">
        <is>
          <t>2003-10-30</t>
        </is>
      </c>
      <c r="Y1878" t="inlineStr">
        <is>
          <t>1991-11-07</t>
        </is>
      </c>
      <c r="Z1878" t="inlineStr">
        <is>
          <t>1991-11-07</t>
        </is>
      </c>
      <c r="AA1878" t="n">
        <v>543</v>
      </c>
      <c r="AB1878" t="n">
        <v>360</v>
      </c>
      <c r="AC1878" t="n">
        <v>427</v>
      </c>
      <c r="AD1878" t="n">
        <v>4</v>
      </c>
      <c r="AE1878" t="n">
        <v>4</v>
      </c>
      <c r="AF1878" t="n">
        <v>18</v>
      </c>
      <c r="AG1878" t="n">
        <v>18</v>
      </c>
      <c r="AH1878" t="n">
        <v>5</v>
      </c>
      <c r="AI1878" t="n">
        <v>5</v>
      </c>
      <c r="AJ1878" t="n">
        <v>5</v>
      </c>
      <c r="AK1878" t="n">
        <v>5</v>
      </c>
      <c r="AL1878" t="n">
        <v>10</v>
      </c>
      <c r="AM1878" t="n">
        <v>10</v>
      </c>
      <c r="AN1878" t="n">
        <v>3</v>
      </c>
      <c r="AO1878" t="n">
        <v>3</v>
      </c>
      <c r="AP1878" t="n">
        <v>0</v>
      </c>
      <c r="AQ1878" t="n">
        <v>0</v>
      </c>
      <c r="AR1878" t="inlineStr">
        <is>
          <t>No</t>
        </is>
      </c>
      <c r="AS1878" t="inlineStr">
        <is>
          <t>No</t>
        </is>
      </c>
      <c r="AU1878">
        <f>HYPERLINK("https://creighton-primo.hosted.exlibrisgroup.com/primo-explore/search?tab=default_tab&amp;search_scope=EVERYTHING&amp;vid=01CRU&amp;lang=en_US&amp;offset=0&amp;query=any,contains,991005156409702656","Catalog Record")</f>
        <v/>
      </c>
      <c r="AV1878">
        <f>HYPERLINK("http://www.worldcat.org/oclc/7740435","WorldCat Record")</f>
        <v/>
      </c>
      <c r="AW1878" t="inlineStr">
        <is>
          <t>29790393:eng</t>
        </is>
      </c>
      <c r="AX1878" t="inlineStr">
        <is>
          <t>7740435</t>
        </is>
      </c>
      <c r="AY1878" t="inlineStr">
        <is>
          <t>991005156409702656</t>
        </is>
      </c>
      <c r="AZ1878" t="inlineStr">
        <is>
          <t>991005156409702656</t>
        </is>
      </c>
      <c r="BA1878" t="inlineStr">
        <is>
          <t>2264176160002656</t>
        </is>
      </c>
      <c r="BB1878" t="inlineStr">
        <is>
          <t>BOOK</t>
        </is>
      </c>
      <c r="BD1878" t="inlineStr">
        <is>
          <t>9780048000064</t>
        </is>
      </c>
      <c r="BE1878" t="inlineStr">
        <is>
          <t>32285000798750</t>
        </is>
      </c>
      <c r="BF1878" t="inlineStr">
        <is>
          <t>893520533</t>
        </is>
      </c>
    </row>
    <row r="1879">
      <c r="A1879" t="inlineStr">
        <is>
          <t>No</t>
        </is>
      </c>
      <c r="B1879" t="inlineStr">
        <is>
          <t>CURAL</t>
        </is>
      </c>
      <c r="C1879" t="inlineStr">
        <is>
          <t>SHELVES</t>
        </is>
      </c>
      <c r="D1879" t="inlineStr">
        <is>
          <t>PR4592.R4 W4</t>
        </is>
      </c>
      <c r="E1879" t="inlineStr">
        <is>
          <t>0                      PR 4592000R  4                  W  4</t>
        </is>
      </c>
      <c r="F1879" t="inlineStr">
        <is>
          <t>The city of Dickens.</t>
        </is>
      </c>
      <c r="H1879" t="inlineStr">
        <is>
          <t>No</t>
        </is>
      </c>
      <c r="I1879" t="inlineStr">
        <is>
          <t>1</t>
        </is>
      </c>
      <c r="J1879" t="inlineStr">
        <is>
          <t>No</t>
        </is>
      </c>
      <c r="K1879" t="inlineStr">
        <is>
          <t>No</t>
        </is>
      </c>
      <c r="L1879" t="inlineStr">
        <is>
          <t>0</t>
        </is>
      </c>
      <c r="M1879" t="inlineStr">
        <is>
          <t>Welsh, Alexander.</t>
        </is>
      </c>
      <c r="N1879" t="inlineStr">
        <is>
          <t>Oxford, Clarendon Press, 1971.</t>
        </is>
      </c>
      <c r="O1879" t="inlineStr">
        <is>
          <t>1971</t>
        </is>
      </c>
      <c r="Q1879" t="inlineStr">
        <is>
          <t>eng</t>
        </is>
      </c>
      <c r="R1879" t="inlineStr">
        <is>
          <t>enk</t>
        </is>
      </c>
      <c r="T1879" t="inlineStr">
        <is>
          <t xml:space="preserve">PR </t>
        </is>
      </c>
      <c r="U1879" t="n">
        <v>4</v>
      </c>
      <c r="V1879" t="n">
        <v>4</v>
      </c>
      <c r="W1879" t="inlineStr">
        <is>
          <t>1997-02-28</t>
        </is>
      </c>
      <c r="X1879" t="inlineStr">
        <is>
          <t>1997-02-28</t>
        </is>
      </c>
      <c r="Y1879" t="inlineStr">
        <is>
          <t>1992-03-02</t>
        </is>
      </c>
      <c r="Z1879" t="inlineStr">
        <is>
          <t>1992-03-02</t>
        </is>
      </c>
      <c r="AA1879" t="n">
        <v>1000</v>
      </c>
      <c r="AB1879" t="n">
        <v>789</v>
      </c>
      <c r="AC1879" t="n">
        <v>900</v>
      </c>
      <c r="AD1879" t="n">
        <v>8</v>
      </c>
      <c r="AE1879" t="n">
        <v>9</v>
      </c>
      <c r="AF1879" t="n">
        <v>39</v>
      </c>
      <c r="AG1879" t="n">
        <v>44</v>
      </c>
      <c r="AH1879" t="n">
        <v>15</v>
      </c>
      <c r="AI1879" t="n">
        <v>19</v>
      </c>
      <c r="AJ1879" t="n">
        <v>9</v>
      </c>
      <c r="AK1879" t="n">
        <v>9</v>
      </c>
      <c r="AL1879" t="n">
        <v>17</v>
      </c>
      <c r="AM1879" t="n">
        <v>20</v>
      </c>
      <c r="AN1879" t="n">
        <v>6</v>
      </c>
      <c r="AO1879" t="n">
        <v>7</v>
      </c>
      <c r="AP1879" t="n">
        <v>0</v>
      </c>
      <c r="AQ1879" t="n">
        <v>0</v>
      </c>
      <c r="AR1879" t="inlineStr">
        <is>
          <t>No</t>
        </is>
      </c>
      <c r="AS1879" t="inlineStr">
        <is>
          <t>No</t>
        </is>
      </c>
      <c r="AU1879">
        <f>HYPERLINK("https://creighton-primo.hosted.exlibrisgroup.com/primo-explore/search?tab=default_tab&amp;search_scope=EVERYTHING&amp;vid=01CRU&amp;lang=en_US&amp;offset=0&amp;query=any,contains,991001224699702656","Catalog Record")</f>
        <v/>
      </c>
      <c r="AV1879">
        <f>HYPERLINK("http://www.worldcat.org/oclc/199433","WorldCat Record")</f>
        <v/>
      </c>
      <c r="AW1879" t="inlineStr">
        <is>
          <t>1379986:eng</t>
        </is>
      </c>
      <c r="AX1879" t="inlineStr">
        <is>
          <t>199433</t>
        </is>
      </c>
      <c r="AY1879" t="inlineStr">
        <is>
          <t>991001224699702656</t>
        </is>
      </c>
      <c r="AZ1879" t="inlineStr">
        <is>
          <t>991001224699702656</t>
        </is>
      </c>
      <c r="BA1879" t="inlineStr">
        <is>
          <t>2269716060002656</t>
        </is>
      </c>
      <c r="BB1879" t="inlineStr">
        <is>
          <t>BOOK</t>
        </is>
      </c>
      <c r="BD1879" t="inlineStr">
        <is>
          <t>9780198120087</t>
        </is>
      </c>
      <c r="BE1879" t="inlineStr">
        <is>
          <t>32285000949627</t>
        </is>
      </c>
      <c r="BF1879" t="inlineStr">
        <is>
          <t>893778652</t>
        </is>
      </c>
    </row>
    <row r="1880">
      <c r="A1880" t="inlineStr">
        <is>
          <t>No</t>
        </is>
      </c>
      <c r="B1880" t="inlineStr">
        <is>
          <t>CURAL</t>
        </is>
      </c>
      <c r="C1880" t="inlineStr">
        <is>
          <t>SHELVES</t>
        </is>
      </c>
      <c r="D1880" t="inlineStr">
        <is>
          <t>PR4592.S58 M35 1985</t>
        </is>
      </c>
      <c r="E1880" t="inlineStr">
        <is>
          <t>0                      PR 4592000S  58                 M  35          1985</t>
        </is>
      </c>
      <c r="F1880" t="inlineStr">
        <is>
          <t>Dickens and the social order / Myron Magnet.</t>
        </is>
      </c>
      <c r="H1880" t="inlineStr">
        <is>
          <t>No</t>
        </is>
      </c>
      <c r="I1880" t="inlineStr">
        <is>
          <t>1</t>
        </is>
      </c>
      <c r="J1880" t="inlineStr">
        <is>
          <t>No</t>
        </is>
      </c>
      <c r="K1880" t="inlineStr">
        <is>
          <t>No</t>
        </is>
      </c>
      <c r="L1880" t="inlineStr">
        <is>
          <t>0</t>
        </is>
      </c>
      <c r="M1880" t="inlineStr">
        <is>
          <t>Magnet, Myron.</t>
        </is>
      </c>
      <c r="N1880" t="inlineStr">
        <is>
          <t>Philadelphia : University of Pennsylvania Press, 1985.</t>
        </is>
      </c>
      <c r="O1880" t="inlineStr">
        <is>
          <t>1985</t>
        </is>
      </c>
      <c r="Q1880" t="inlineStr">
        <is>
          <t>eng</t>
        </is>
      </c>
      <c r="R1880" t="inlineStr">
        <is>
          <t>pau</t>
        </is>
      </c>
      <c r="T1880" t="inlineStr">
        <is>
          <t xml:space="preserve">PR </t>
        </is>
      </c>
      <c r="U1880" t="n">
        <v>4</v>
      </c>
      <c r="V1880" t="n">
        <v>4</v>
      </c>
      <c r="W1880" t="inlineStr">
        <is>
          <t>2009-04-07</t>
        </is>
      </c>
      <c r="X1880" t="inlineStr">
        <is>
          <t>2009-04-07</t>
        </is>
      </c>
      <c r="Y1880" t="inlineStr">
        <is>
          <t>1990-03-29</t>
        </is>
      </c>
      <c r="Z1880" t="inlineStr">
        <is>
          <t>1990-03-29</t>
        </is>
      </c>
      <c r="AA1880" t="n">
        <v>639</v>
      </c>
      <c r="AB1880" t="n">
        <v>550</v>
      </c>
      <c r="AC1880" t="n">
        <v>680</v>
      </c>
      <c r="AD1880" t="n">
        <v>4</v>
      </c>
      <c r="AE1880" t="n">
        <v>4</v>
      </c>
      <c r="AF1880" t="n">
        <v>31</v>
      </c>
      <c r="AG1880" t="n">
        <v>37</v>
      </c>
      <c r="AH1880" t="n">
        <v>12</v>
      </c>
      <c r="AI1880" t="n">
        <v>16</v>
      </c>
      <c r="AJ1880" t="n">
        <v>7</v>
      </c>
      <c r="AK1880" t="n">
        <v>8</v>
      </c>
      <c r="AL1880" t="n">
        <v>20</v>
      </c>
      <c r="AM1880" t="n">
        <v>22</v>
      </c>
      <c r="AN1880" t="n">
        <v>3</v>
      </c>
      <c r="AO1880" t="n">
        <v>3</v>
      </c>
      <c r="AP1880" t="n">
        <v>0</v>
      </c>
      <c r="AQ1880" t="n">
        <v>0</v>
      </c>
      <c r="AR1880" t="inlineStr">
        <is>
          <t>No</t>
        </is>
      </c>
      <c r="AS1880" t="inlineStr">
        <is>
          <t>Yes</t>
        </is>
      </c>
      <c r="AT1880">
        <f>HYPERLINK("http://catalog.hathitrust.org/Record/000349407","HathiTrust Record")</f>
        <v/>
      </c>
      <c r="AU1880">
        <f>HYPERLINK("https://creighton-primo.hosted.exlibrisgroup.com/primo-explore/search?tab=default_tab&amp;search_scope=EVERYTHING&amp;vid=01CRU&amp;lang=en_US&amp;offset=0&amp;query=any,contains,991000539139702656","Catalog Record")</f>
        <v/>
      </c>
      <c r="AV1880">
        <f>HYPERLINK("http://www.worldcat.org/oclc/11469656","WorldCat Record")</f>
        <v/>
      </c>
      <c r="AW1880" t="inlineStr">
        <is>
          <t>3977293:eng</t>
        </is>
      </c>
      <c r="AX1880" t="inlineStr">
        <is>
          <t>11469656</t>
        </is>
      </c>
      <c r="AY1880" t="inlineStr">
        <is>
          <t>991000539139702656</t>
        </is>
      </c>
      <c r="AZ1880" t="inlineStr">
        <is>
          <t>991000539139702656</t>
        </is>
      </c>
      <c r="BA1880" t="inlineStr">
        <is>
          <t>2264426450002656</t>
        </is>
      </c>
      <c r="BB1880" t="inlineStr">
        <is>
          <t>BOOK</t>
        </is>
      </c>
      <c r="BD1880" t="inlineStr">
        <is>
          <t>9780812279849</t>
        </is>
      </c>
      <c r="BE1880" t="inlineStr">
        <is>
          <t>32285000106343</t>
        </is>
      </c>
      <c r="BF1880" t="inlineStr">
        <is>
          <t>893802868</t>
        </is>
      </c>
    </row>
    <row r="1881">
      <c r="A1881" t="inlineStr">
        <is>
          <t>No</t>
        </is>
      </c>
      <c r="B1881" t="inlineStr">
        <is>
          <t>CURAL</t>
        </is>
      </c>
      <c r="C1881" t="inlineStr">
        <is>
          <t>SHELVES</t>
        </is>
      </c>
      <c r="D1881" t="inlineStr">
        <is>
          <t>PR4593 .N57</t>
        </is>
      </c>
      <c r="E1881" t="inlineStr">
        <is>
          <t>0                      PR 4593000N  57</t>
        </is>
      </c>
      <c r="F1881" t="inlineStr">
        <is>
          <t>Dickens centennial essays / edited by Ada Nisbet and Blake Nevius.</t>
        </is>
      </c>
      <c r="H1881" t="inlineStr">
        <is>
          <t>No</t>
        </is>
      </c>
      <c r="I1881" t="inlineStr">
        <is>
          <t>1</t>
        </is>
      </c>
      <c r="J1881" t="inlineStr">
        <is>
          <t>No</t>
        </is>
      </c>
      <c r="K1881" t="inlineStr">
        <is>
          <t>No</t>
        </is>
      </c>
      <c r="L1881" t="inlineStr">
        <is>
          <t>0</t>
        </is>
      </c>
      <c r="N1881" t="inlineStr">
        <is>
          <t>Berkeley : University of California Press, 1971.</t>
        </is>
      </c>
      <c r="O1881" t="inlineStr">
        <is>
          <t>1971</t>
        </is>
      </c>
      <c r="Q1881" t="inlineStr">
        <is>
          <t>eng</t>
        </is>
      </c>
      <c r="R1881" t="inlineStr">
        <is>
          <t xml:space="preserve">xx </t>
        </is>
      </c>
      <c r="T1881" t="inlineStr">
        <is>
          <t xml:space="preserve">PR </t>
        </is>
      </c>
      <c r="U1881" t="n">
        <v>3</v>
      </c>
      <c r="V1881" t="n">
        <v>3</v>
      </c>
      <c r="W1881" t="inlineStr">
        <is>
          <t>1997-03-01</t>
        </is>
      </c>
      <c r="X1881" t="inlineStr">
        <is>
          <t>1997-03-01</t>
        </is>
      </c>
      <c r="Y1881" t="inlineStr">
        <is>
          <t>1990-03-26</t>
        </is>
      </c>
      <c r="Z1881" t="inlineStr">
        <is>
          <t>1990-03-26</t>
        </is>
      </c>
      <c r="AA1881" t="n">
        <v>635</v>
      </c>
      <c r="AB1881" t="n">
        <v>495</v>
      </c>
      <c r="AC1881" t="n">
        <v>502</v>
      </c>
      <c r="AD1881" t="n">
        <v>5</v>
      </c>
      <c r="AE1881" t="n">
        <v>5</v>
      </c>
      <c r="AF1881" t="n">
        <v>27</v>
      </c>
      <c r="AG1881" t="n">
        <v>27</v>
      </c>
      <c r="AH1881" t="n">
        <v>11</v>
      </c>
      <c r="AI1881" t="n">
        <v>11</v>
      </c>
      <c r="AJ1881" t="n">
        <v>5</v>
      </c>
      <c r="AK1881" t="n">
        <v>5</v>
      </c>
      <c r="AL1881" t="n">
        <v>14</v>
      </c>
      <c r="AM1881" t="n">
        <v>14</v>
      </c>
      <c r="AN1881" t="n">
        <v>4</v>
      </c>
      <c r="AO1881" t="n">
        <v>4</v>
      </c>
      <c r="AP1881" t="n">
        <v>0</v>
      </c>
      <c r="AQ1881" t="n">
        <v>0</v>
      </c>
      <c r="AR1881" t="inlineStr">
        <is>
          <t>No</t>
        </is>
      </c>
      <c r="AS1881" t="inlineStr">
        <is>
          <t>Yes</t>
        </is>
      </c>
      <c r="AT1881">
        <f>HYPERLINK("http://catalog.hathitrust.org/Record/000005400","HathiTrust Record")</f>
        <v/>
      </c>
      <c r="AU1881">
        <f>HYPERLINK("https://creighton-primo.hosted.exlibrisgroup.com/primo-explore/search?tab=default_tab&amp;search_scope=EVERYTHING&amp;vid=01CRU&amp;lang=en_US&amp;offset=0&amp;query=any,contains,991002640259702656","Catalog Record")</f>
        <v/>
      </c>
      <c r="AV1881">
        <f>HYPERLINK("http://www.worldcat.org/oclc/1142185","WorldCat Record")</f>
        <v/>
      </c>
      <c r="AW1881" t="inlineStr">
        <is>
          <t>355893155:eng</t>
        </is>
      </c>
      <c r="AX1881" t="inlineStr">
        <is>
          <t>1142185</t>
        </is>
      </c>
      <c r="AY1881" t="inlineStr">
        <is>
          <t>991002640259702656</t>
        </is>
      </c>
      <c r="AZ1881" t="inlineStr">
        <is>
          <t>991002640259702656</t>
        </is>
      </c>
      <c r="BA1881" t="inlineStr">
        <is>
          <t>2260604590002656</t>
        </is>
      </c>
      <c r="BB1881" t="inlineStr">
        <is>
          <t>BOOK</t>
        </is>
      </c>
      <c r="BE1881" t="inlineStr">
        <is>
          <t>32285000093277</t>
        </is>
      </c>
      <c r="BF1881" t="inlineStr">
        <is>
          <t>893498355</t>
        </is>
      </c>
    </row>
    <row r="1882">
      <c r="A1882" t="inlineStr">
        <is>
          <t>No</t>
        </is>
      </c>
      <c r="B1882" t="inlineStr">
        <is>
          <t>CURAL</t>
        </is>
      </c>
      <c r="C1882" t="inlineStr">
        <is>
          <t>SHELVES</t>
        </is>
      </c>
      <c r="D1882" t="inlineStr">
        <is>
          <t>PR461 .B43 1962</t>
        </is>
      </c>
      <c r="E1882" t="inlineStr">
        <is>
          <t>0                      PR 0461000B  43          1962</t>
        </is>
      </c>
      <c r="F1882" t="inlineStr">
        <is>
          <t>English literature of the 19th and the early 20th centuries : 1798 to the first world war / Joseph Warren Beach.</t>
        </is>
      </c>
      <c r="H1882" t="inlineStr">
        <is>
          <t>No</t>
        </is>
      </c>
      <c r="I1882" t="inlineStr">
        <is>
          <t>1</t>
        </is>
      </c>
      <c r="J1882" t="inlineStr">
        <is>
          <t>No</t>
        </is>
      </c>
      <c r="K1882" t="inlineStr">
        <is>
          <t>No</t>
        </is>
      </c>
      <c r="L1882" t="inlineStr">
        <is>
          <t>0</t>
        </is>
      </c>
      <c r="M1882" t="inlineStr">
        <is>
          <t>Beach, Joseph Warren, 1880-1957.</t>
        </is>
      </c>
      <c r="N1882" t="inlineStr">
        <is>
          <t>New York : Collier, [c1962]</t>
        </is>
      </c>
      <c r="O1882" t="inlineStr">
        <is>
          <t>1962</t>
        </is>
      </c>
      <c r="P1882" t="inlineStr">
        <is>
          <t>1st Collier Books ed.</t>
        </is>
      </c>
      <c r="Q1882" t="inlineStr">
        <is>
          <t>eng</t>
        </is>
      </c>
      <c r="R1882" t="inlineStr">
        <is>
          <t>nyu</t>
        </is>
      </c>
      <c r="S1882" t="inlineStr">
        <is>
          <t>A history of English literature. Hardin Craig, general editor. v. 4</t>
        </is>
      </c>
      <c r="T1882" t="inlineStr">
        <is>
          <t xml:space="preserve">PR </t>
        </is>
      </c>
      <c r="U1882" t="n">
        <v>3</v>
      </c>
      <c r="V1882" t="n">
        <v>3</v>
      </c>
      <c r="W1882" t="inlineStr">
        <is>
          <t>2002-04-22</t>
        </is>
      </c>
      <c r="X1882" t="inlineStr">
        <is>
          <t>2002-04-22</t>
        </is>
      </c>
      <c r="Y1882" t="inlineStr">
        <is>
          <t>2002-04-10</t>
        </is>
      </c>
      <c r="Z1882" t="inlineStr">
        <is>
          <t>2002-04-10</t>
        </is>
      </c>
      <c r="AA1882" t="n">
        <v>133</v>
      </c>
      <c r="AB1882" t="n">
        <v>103</v>
      </c>
      <c r="AC1882" t="n">
        <v>107</v>
      </c>
      <c r="AD1882" t="n">
        <v>2</v>
      </c>
      <c r="AE1882" t="n">
        <v>2</v>
      </c>
      <c r="AF1882" t="n">
        <v>3</v>
      </c>
      <c r="AG1882" t="n">
        <v>3</v>
      </c>
      <c r="AH1882" t="n">
        <v>1</v>
      </c>
      <c r="AI1882" t="n">
        <v>1</v>
      </c>
      <c r="AJ1882" t="n">
        <v>0</v>
      </c>
      <c r="AK1882" t="n">
        <v>0</v>
      </c>
      <c r="AL1882" t="n">
        <v>1</v>
      </c>
      <c r="AM1882" t="n">
        <v>1</v>
      </c>
      <c r="AN1882" t="n">
        <v>1</v>
      </c>
      <c r="AO1882" t="n">
        <v>1</v>
      </c>
      <c r="AP1882" t="n">
        <v>0</v>
      </c>
      <c r="AQ1882" t="n">
        <v>0</v>
      </c>
      <c r="AR1882" t="inlineStr">
        <is>
          <t>No</t>
        </is>
      </c>
      <c r="AS1882" t="inlineStr">
        <is>
          <t>Yes</t>
        </is>
      </c>
      <c r="AT1882">
        <f>HYPERLINK("http://catalog.hathitrust.org/Record/101806238","HathiTrust Record")</f>
        <v/>
      </c>
      <c r="AU1882">
        <f>HYPERLINK("https://creighton-primo.hosted.exlibrisgroup.com/primo-explore/search?tab=default_tab&amp;search_scope=EVERYTHING&amp;vid=01CRU&amp;lang=en_US&amp;offset=0&amp;query=any,contains,991003792599702656","Catalog Record")</f>
        <v/>
      </c>
      <c r="AV1882">
        <f>HYPERLINK("http://www.worldcat.org/oclc/1892810","WorldCat Record")</f>
        <v/>
      </c>
      <c r="AW1882" t="inlineStr">
        <is>
          <t>145025319:eng</t>
        </is>
      </c>
      <c r="AX1882" t="inlineStr">
        <is>
          <t>1892810</t>
        </is>
      </c>
      <c r="AY1882" t="inlineStr">
        <is>
          <t>991003792599702656</t>
        </is>
      </c>
      <c r="AZ1882" t="inlineStr">
        <is>
          <t>991003792599702656</t>
        </is>
      </c>
      <c r="BA1882" t="inlineStr">
        <is>
          <t>2260393310002656</t>
        </is>
      </c>
      <c r="BB1882" t="inlineStr">
        <is>
          <t>BOOK</t>
        </is>
      </c>
      <c r="BE1882" t="inlineStr">
        <is>
          <t>32285004478029</t>
        </is>
      </c>
      <c r="BF1882" t="inlineStr">
        <is>
          <t>893617776</t>
        </is>
      </c>
    </row>
    <row r="1883">
      <c r="A1883" t="inlineStr">
        <is>
          <t>No</t>
        </is>
      </c>
      <c r="B1883" t="inlineStr">
        <is>
          <t>CURAL</t>
        </is>
      </c>
      <c r="C1883" t="inlineStr">
        <is>
          <t>SHELVES</t>
        </is>
      </c>
      <c r="D1883" t="inlineStr">
        <is>
          <t>PR461 .B75 1964</t>
        </is>
      </c>
      <c r="E1883" t="inlineStr">
        <is>
          <t>0                      PR 0461000B  75          1964</t>
        </is>
      </c>
      <c r="F1883" t="inlineStr">
        <is>
          <t>The Victorian temper : a study in literary culture / [by] Jerome Hamilton Buckley.</t>
        </is>
      </c>
      <c r="H1883" t="inlineStr">
        <is>
          <t>No</t>
        </is>
      </c>
      <c r="I1883" t="inlineStr">
        <is>
          <t>1</t>
        </is>
      </c>
      <c r="J1883" t="inlineStr">
        <is>
          <t>No</t>
        </is>
      </c>
      <c r="K1883" t="inlineStr">
        <is>
          <t>No</t>
        </is>
      </c>
      <c r="L1883" t="inlineStr">
        <is>
          <t>0</t>
        </is>
      </c>
      <c r="M1883" t="inlineStr">
        <is>
          <t>Buckley, Jerome Hamilton.</t>
        </is>
      </c>
      <c r="N1883" t="inlineStr">
        <is>
          <t>New York, Vintage Books, 1964, c1951.</t>
        </is>
      </c>
      <c r="O1883" t="inlineStr">
        <is>
          <t>1964</t>
        </is>
      </c>
      <c r="Q1883" t="inlineStr">
        <is>
          <t>eng</t>
        </is>
      </c>
      <c r="R1883" t="inlineStr">
        <is>
          <t>nyu</t>
        </is>
      </c>
      <c r="S1883" t="inlineStr">
        <is>
          <t>Vintage books, V259.</t>
        </is>
      </c>
      <c r="T1883" t="inlineStr">
        <is>
          <t xml:space="preserve">PR </t>
        </is>
      </c>
      <c r="U1883" t="n">
        <v>5</v>
      </c>
      <c r="V1883" t="n">
        <v>5</v>
      </c>
      <c r="W1883" t="inlineStr">
        <is>
          <t>2004-12-17</t>
        </is>
      </c>
      <c r="X1883" t="inlineStr">
        <is>
          <t>2004-12-17</t>
        </is>
      </c>
      <c r="Y1883" t="inlineStr">
        <is>
          <t>1992-01-29</t>
        </is>
      </c>
      <c r="Z1883" t="inlineStr">
        <is>
          <t>1992-01-29</t>
        </is>
      </c>
      <c r="AA1883" t="n">
        <v>209</v>
      </c>
      <c r="AB1883" t="n">
        <v>193</v>
      </c>
      <c r="AC1883" t="n">
        <v>1363</v>
      </c>
      <c r="AD1883" t="n">
        <v>2</v>
      </c>
      <c r="AE1883" t="n">
        <v>14</v>
      </c>
      <c r="AF1883" t="n">
        <v>7</v>
      </c>
      <c r="AG1883" t="n">
        <v>58</v>
      </c>
      <c r="AH1883" t="n">
        <v>1</v>
      </c>
      <c r="AI1883" t="n">
        <v>24</v>
      </c>
      <c r="AJ1883" t="n">
        <v>2</v>
      </c>
      <c r="AK1883" t="n">
        <v>9</v>
      </c>
      <c r="AL1883" t="n">
        <v>4</v>
      </c>
      <c r="AM1883" t="n">
        <v>24</v>
      </c>
      <c r="AN1883" t="n">
        <v>1</v>
      </c>
      <c r="AO1883" t="n">
        <v>12</v>
      </c>
      <c r="AP1883" t="n">
        <v>0</v>
      </c>
      <c r="AQ1883" t="n">
        <v>0</v>
      </c>
      <c r="AR1883" t="inlineStr">
        <is>
          <t>No</t>
        </is>
      </c>
      <c r="AS1883" t="inlineStr">
        <is>
          <t>No</t>
        </is>
      </c>
      <c r="AU1883">
        <f>HYPERLINK("https://creighton-primo.hosted.exlibrisgroup.com/primo-explore/search?tab=default_tab&amp;search_scope=EVERYTHING&amp;vid=01CRU&amp;lang=en_US&amp;offset=0&amp;query=any,contains,991004707919702656","Catalog Record")</f>
        <v/>
      </c>
      <c r="AV1883">
        <f>HYPERLINK("http://www.worldcat.org/oclc/4731508","WorldCat Record")</f>
        <v/>
      </c>
      <c r="AW1883" t="inlineStr">
        <is>
          <t>430781:eng</t>
        </is>
      </c>
      <c r="AX1883" t="inlineStr">
        <is>
          <t>4731508</t>
        </is>
      </c>
      <c r="AY1883" t="inlineStr">
        <is>
          <t>991004707919702656</t>
        </is>
      </c>
      <c r="AZ1883" t="inlineStr">
        <is>
          <t>991004707919702656</t>
        </is>
      </c>
      <c r="BA1883" t="inlineStr">
        <is>
          <t>2263350370002656</t>
        </is>
      </c>
      <c r="BB1883" t="inlineStr">
        <is>
          <t>BOOK</t>
        </is>
      </c>
      <c r="BE1883" t="inlineStr">
        <is>
          <t>32285000919992</t>
        </is>
      </c>
      <c r="BF1883" t="inlineStr">
        <is>
          <t>893319551</t>
        </is>
      </c>
    </row>
    <row r="1884">
      <c r="A1884" t="inlineStr">
        <is>
          <t>No</t>
        </is>
      </c>
      <c r="B1884" t="inlineStr">
        <is>
          <t>CURAL</t>
        </is>
      </c>
      <c r="C1884" t="inlineStr">
        <is>
          <t>SHELVES</t>
        </is>
      </c>
      <c r="D1884" t="inlineStr">
        <is>
          <t>PR461 .C47 1968b</t>
        </is>
      </c>
      <c r="E1884" t="inlineStr">
        <is>
          <t>0                      PR 0461000C  47          1968b</t>
        </is>
      </c>
      <c r="F1884" t="inlineStr">
        <is>
          <t>The Victorian debate : English literature and society, 1832-1901.</t>
        </is>
      </c>
      <c r="H1884" t="inlineStr">
        <is>
          <t>No</t>
        </is>
      </c>
      <c r="I1884" t="inlineStr">
        <is>
          <t>1</t>
        </is>
      </c>
      <c r="J1884" t="inlineStr">
        <is>
          <t>No</t>
        </is>
      </c>
      <c r="K1884" t="inlineStr">
        <is>
          <t>No</t>
        </is>
      </c>
      <c r="L1884" t="inlineStr">
        <is>
          <t>0</t>
        </is>
      </c>
      <c r="M1884" t="inlineStr">
        <is>
          <t>Chapman, Raymond.</t>
        </is>
      </c>
      <c r="N1884" t="inlineStr">
        <is>
          <t>New York : Basic Books, [1968]</t>
        </is>
      </c>
      <c r="O1884" t="inlineStr">
        <is>
          <t>1968</t>
        </is>
      </c>
      <c r="Q1884" t="inlineStr">
        <is>
          <t>eng</t>
        </is>
      </c>
      <c r="R1884" t="inlineStr">
        <is>
          <t>nyu</t>
        </is>
      </c>
      <c r="S1884" t="inlineStr">
        <is>
          <t>Literature and society</t>
        </is>
      </c>
      <c r="T1884" t="inlineStr">
        <is>
          <t xml:space="preserve">PR </t>
        </is>
      </c>
      <c r="U1884" t="n">
        <v>2</v>
      </c>
      <c r="V1884" t="n">
        <v>2</v>
      </c>
      <c r="W1884" t="inlineStr">
        <is>
          <t>2003-11-30</t>
        </is>
      </c>
      <c r="X1884" t="inlineStr">
        <is>
          <t>2003-11-30</t>
        </is>
      </c>
      <c r="Y1884" t="inlineStr">
        <is>
          <t>1991-08-29</t>
        </is>
      </c>
      <c r="Z1884" t="inlineStr">
        <is>
          <t>1991-08-29</t>
        </is>
      </c>
      <c r="AA1884" t="n">
        <v>848</v>
      </c>
      <c r="AB1884" t="n">
        <v>809</v>
      </c>
      <c r="AC1884" t="n">
        <v>883</v>
      </c>
      <c r="AD1884" t="n">
        <v>9</v>
      </c>
      <c r="AE1884" t="n">
        <v>9</v>
      </c>
      <c r="AF1884" t="n">
        <v>32</v>
      </c>
      <c r="AG1884" t="n">
        <v>37</v>
      </c>
      <c r="AH1884" t="n">
        <v>11</v>
      </c>
      <c r="AI1884" t="n">
        <v>14</v>
      </c>
      <c r="AJ1884" t="n">
        <v>6</v>
      </c>
      <c r="AK1884" t="n">
        <v>8</v>
      </c>
      <c r="AL1884" t="n">
        <v>12</v>
      </c>
      <c r="AM1884" t="n">
        <v>16</v>
      </c>
      <c r="AN1884" t="n">
        <v>8</v>
      </c>
      <c r="AO1884" t="n">
        <v>8</v>
      </c>
      <c r="AP1884" t="n">
        <v>0</v>
      </c>
      <c r="AQ1884" t="n">
        <v>0</v>
      </c>
      <c r="AR1884" t="inlineStr">
        <is>
          <t>No</t>
        </is>
      </c>
      <c r="AS1884" t="inlineStr">
        <is>
          <t>Yes</t>
        </is>
      </c>
      <c r="AT1884">
        <f>HYPERLINK("http://catalog.hathitrust.org/Record/001016389","HathiTrust Record")</f>
        <v/>
      </c>
      <c r="AU1884">
        <f>HYPERLINK("https://creighton-primo.hosted.exlibrisgroup.com/primo-explore/search?tab=default_tab&amp;search_scope=EVERYTHING&amp;vid=01CRU&amp;lang=en_US&amp;offset=0&amp;query=any,contains,991001056639702656","Catalog Record")</f>
        <v/>
      </c>
      <c r="AV1884">
        <f>HYPERLINK("http://www.worldcat.org/oclc/177306","WorldCat Record")</f>
        <v/>
      </c>
      <c r="AW1884" t="inlineStr">
        <is>
          <t>2101141:eng</t>
        </is>
      </c>
      <c r="AX1884" t="inlineStr">
        <is>
          <t>177306</t>
        </is>
      </c>
      <c r="AY1884" t="inlineStr">
        <is>
          <t>991001056639702656</t>
        </is>
      </c>
      <c r="AZ1884" t="inlineStr">
        <is>
          <t>991001056639702656</t>
        </is>
      </c>
      <c r="BA1884" t="inlineStr">
        <is>
          <t>2268305660002656</t>
        </is>
      </c>
      <c r="BB1884" t="inlineStr">
        <is>
          <t>BOOK</t>
        </is>
      </c>
      <c r="BE1884" t="inlineStr">
        <is>
          <t>32285000732098</t>
        </is>
      </c>
      <c r="BF1884" t="inlineStr">
        <is>
          <t>893503060</t>
        </is>
      </c>
    </row>
    <row r="1885">
      <c r="A1885" t="inlineStr">
        <is>
          <t>No</t>
        </is>
      </c>
      <c r="B1885" t="inlineStr">
        <is>
          <t>CURAL</t>
        </is>
      </c>
      <c r="C1885" t="inlineStr">
        <is>
          <t>SHELVES</t>
        </is>
      </c>
      <c r="D1885" t="inlineStr">
        <is>
          <t>PR461 .T5 1978</t>
        </is>
      </c>
      <c r="E1885" t="inlineStr">
        <is>
          <t>0                      PR 0461000T  5           1978</t>
        </is>
      </c>
      <c r="F1885" t="inlineStr">
        <is>
          <t>A view of Victorian literature / by Geoffrey Tillotson.</t>
        </is>
      </c>
      <c r="H1885" t="inlineStr">
        <is>
          <t>No</t>
        </is>
      </c>
      <c r="I1885" t="inlineStr">
        <is>
          <t>1</t>
        </is>
      </c>
      <c r="J1885" t="inlineStr">
        <is>
          <t>No</t>
        </is>
      </c>
      <c r="K1885" t="inlineStr">
        <is>
          <t>No</t>
        </is>
      </c>
      <c r="L1885" t="inlineStr">
        <is>
          <t>0</t>
        </is>
      </c>
      <c r="M1885" t="inlineStr">
        <is>
          <t>Tillotson, Geoffrey, 1905-1969.</t>
        </is>
      </c>
      <c r="N1885" t="inlineStr">
        <is>
          <t>Oxford [Eng.] : Clarendon Press, 1978.</t>
        </is>
      </c>
      <c r="O1885" t="inlineStr">
        <is>
          <t>1978</t>
        </is>
      </c>
      <c r="Q1885" t="inlineStr">
        <is>
          <t>eng</t>
        </is>
      </c>
      <c r="R1885" t="inlineStr">
        <is>
          <t>enk</t>
        </is>
      </c>
      <c r="T1885" t="inlineStr">
        <is>
          <t xml:space="preserve">PR </t>
        </is>
      </c>
      <c r="U1885" t="n">
        <v>2</v>
      </c>
      <c r="V1885" t="n">
        <v>2</v>
      </c>
      <c r="W1885" t="inlineStr">
        <is>
          <t>1993-07-28</t>
        </is>
      </c>
      <c r="X1885" t="inlineStr">
        <is>
          <t>1993-07-28</t>
        </is>
      </c>
      <c r="Y1885" t="inlineStr">
        <is>
          <t>1991-08-29</t>
        </is>
      </c>
      <c r="Z1885" t="inlineStr">
        <is>
          <t>1991-08-29</t>
        </is>
      </c>
      <c r="AA1885" t="n">
        <v>1157</v>
      </c>
      <c r="AB1885" t="n">
        <v>906</v>
      </c>
      <c r="AC1885" t="n">
        <v>922</v>
      </c>
      <c r="AD1885" t="n">
        <v>11</v>
      </c>
      <c r="AE1885" t="n">
        <v>11</v>
      </c>
      <c r="AF1885" t="n">
        <v>41</v>
      </c>
      <c r="AG1885" t="n">
        <v>42</v>
      </c>
      <c r="AH1885" t="n">
        <v>16</v>
      </c>
      <c r="AI1885" t="n">
        <v>17</v>
      </c>
      <c r="AJ1885" t="n">
        <v>7</v>
      </c>
      <c r="AK1885" t="n">
        <v>7</v>
      </c>
      <c r="AL1885" t="n">
        <v>18</v>
      </c>
      <c r="AM1885" t="n">
        <v>18</v>
      </c>
      <c r="AN1885" t="n">
        <v>9</v>
      </c>
      <c r="AO1885" t="n">
        <v>9</v>
      </c>
      <c r="AP1885" t="n">
        <v>0</v>
      </c>
      <c r="AQ1885" t="n">
        <v>0</v>
      </c>
      <c r="AR1885" t="inlineStr">
        <is>
          <t>No</t>
        </is>
      </c>
      <c r="AS1885" t="inlineStr">
        <is>
          <t>Yes</t>
        </is>
      </c>
      <c r="AT1885">
        <f>HYPERLINK("http://catalog.hathitrust.org/Record/000296035","HathiTrust Record")</f>
        <v/>
      </c>
      <c r="AU1885">
        <f>HYPERLINK("https://creighton-primo.hosted.exlibrisgroup.com/primo-explore/search?tab=default_tab&amp;search_scope=EVERYTHING&amp;vid=01CRU&amp;lang=en_US&amp;offset=0&amp;query=any,contains,991004384759702656","Catalog Record")</f>
        <v/>
      </c>
      <c r="AV1885">
        <f>HYPERLINK("http://www.worldcat.org/oclc/3239900","WorldCat Record")</f>
        <v/>
      </c>
      <c r="AW1885" t="inlineStr">
        <is>
          <t>415727:eng</t>
        </is>
      </c>
      <c r="AX1885" t="inlineStr">
        <is>
          <t>3239900</t>
        </is>
      </c>
      <c r="AY1885" t="inlineStr">
        <is>
          <t>991004384759702656</t>
        </is>
      </c>
      <c r="AZ1885" t="inlineStr">
        <is>
          <t>991004384759702656</t>
        </is>
      </c>
      <c r="BA1885" t="inlineStr">
        <is>
          <t>2256641140002656</t>
        </is>
      </c>
      <c r="BB1885" t="inlineStr">
        <is>
          <t>BOOK</t>
        </is>
      </c>
      <c r="BD1885" t="inlineStr">
        <is>
          <t>9780198120445</t>
        </is>
      </c>
      <c r="BE1885" t="inlineStr">
        <is>
          <t>32285000732197</t>
        </is>
      </c>
      <c r="BF1885" t="inlineStr">
        <is>
          <t>893513158</t>
        </is>
      </c>
    </row>
    <row r="1886">
      <c r="A1886" t="inlineStr">
        <is>
          <t>No</t>
        </is>
      </c>
      <c r="B1886" t="inlineStr">
        <is>
          <t>CURAL</t>
        </is>
      </c>
      <c r="C1886" t="inlineStr">
        <is>
          <t>SHELVES</t>
        </is>
      </c>
      <c r="D1886" t="inlineStr">
        <is>
          <t>PR4612 .C55 1979</t>
        </is>
      </c>
      <c r="E1886" t="inlineStr">
        <is>
          <t>0                      PR 4612000C  55          1979</t>
        </is>
      </c>
      <c r="F1886" t="inlineStr">
        <is>
          <t>Lewis Carroll, a biography / Anne Clark.</t>
        </is>
      </c>
      <c r="H1886" t="inlineStr">
        <is>
          <t>No</t>
        </is>
      </c>
      <c r="I1886" t="inlineStr">
        <is>
          <t>1</t>
        </is>
      </c>
      <c r="J1886" t="inlineStr">
        <is>
          <t>No</t>
        </is>
      </c>
      <c r="K1886" t="inlineStr">
        <is>
          <t>No</t>
        </is>
      </c>
      <c r="L1886" t="inlineStr">
        <is>
          <t>0</t>
        </is>
      </c>
      <c r="M1886" t="inlineStr">
        <is>
          <t>Amor, Anne Clark, 1933-</t>
        </is>
      </c>
      <c r="N1886" t="inlineStr">
        <is>
          <t>New York : Schocken Books, 1979.</t>
        </is>
      </c>
      <c r="O1886" t="inlineStr">
        <is>
          <t>1979</t>
        </is>
      </c>
      <c r="Q1886" t="inlineStr">
        <is>
          <t>eng</t>
        </is>
      </c>
      <c r="R1886" t="inlineStr">
        <is>
          <t>nyu</t>
        </is>
      </c>
      <c r="T1886" t="inlineStr">
        <is>
          <t xml:space="preserve">PR </t>
        </is>
      </c>
      <c r="U1886" t="n">
        <v>5</v>
      </c>
      <c r="V1886" t="n">
        <v>5</v>
      </c>
      <c r="W1886" t="inlineStr">
        <is>
          <t>2010-03-24</t>
        </is>
      </c>
      <c r="X1886" t="inlineStr">
        <is>
          <t>2010-03-24</t>
        </is>
      </c>
      <c r="Y1886" t="inlineStr">
        <is>
          <t>1991-11-07</t>
        </is>
      </c>
      <c r="Z1886" t="inlineStr">
        <is>
          <t>1991-11-07</t>
        </is>
      </c>
      <c r="AA1886" t="n">
        <v>804</v>
      </c>
      <c r="AB1886" t="n">
        <v>760</v>
      </c>
      <c r="AC1886" t="n">
        <v>828</v>
      </c>
      <c r="AD1886" t="n">
        <v>4</v>
      </c>
      <c r="AE1886" t="n">
        <v>5</v>
      </c>
      <c r="AF1886" t="n">
        <v>24</v>
      </c>
      <c r="AG1886" t="n">
        <v>26</v>
      </c>
      <c r="AH1886" t="n">
        <v>8</v>
      </c>
      <c r="AI1886" t="n">
        <v>9</v>
      </c>
      <c r="AJ1886" t="n">
        <v>11</v>
      </c>
      <c r="AK1886" t="n">
        <v>11</v>
      </c>
      <c r="AL1886" t="n">
        <v>12</v>
      </c>
      <c r="AM1886" t="n">
        <v>13</v>
      </c>
      <c r="AN1886" t="n">
        <v>2</v>
      </c>
      <c r="AO1886" t="n">
        <v>3</v>
      </c>
      <c r="AP1886" t="n">
        <v>0</v>
      </c>
      <c r="AQ1886" t="n">
        <v>0</v>
      </c>
      <c r="AR1886" t="inlineStr">
        <is>
          <t>No</t>
        </is>
      </c>
      <c r="AS1886" t="inlineStr">
        <is>
          <t>Yes</t>
        </is>
      </c>
      <c r="AT1886">
        <f>HYPERLINK("http://catalog.hathitrust.org/Record/004543242","HathiTrust Record")</f>
        <v/>
      </c>
      <c r="AU1886">
        <f>HYPERLINK("https://creighton-primo.hosted.exlibrisgroup.com/primo-explore/search?tab=default_tab&amp;search_scope=EVERYTHING&amp;vid=01CRU&amp;lang=en_US&amp;offset=0&amp;query=any,contains,991004745159702656","Catalog Record")</f>
        <v/>
      </c>
      <c r="AV1886">
        <f>HYPERLINK("http://www.worldcat.org/oclc/4907762","WorldCat Record")</f>
        <v/>
      </c>
      <c r="AW1886" t="inlineStr">
        <is>
          <t>2999345611:eng</t>
        </is>
      </c>
      <c r="AX1886" t="inlineStr">
        <is>
          <t>4907762</t>
        </is>
      </c>
      <c r="AY1886" t="inlineStr">
        <is>
          <t>991004745159702656</t>
        </is>
      </c>
      <c r="AZ1886" t="inlineStr">
        <is>
          <t>991004745159702656</t>
        </is>
      </c>
      <c r="BA1886" t="inlineStr">
        <is>
          <t>2258728760002656</t>
        </is>
      </c>
      <c r="BB1886" t="inlineStr">
        <is>
          <t>BOOK</t>
        </is>
      </c>
      <c r="BD1886" t="inlineStr">
        <is>
          <t>9780805237221</t>
        </is>
      </c>
      <c r="BE1886" t="inlineStr">
        <is>
          <t>32285000798842</t>
        </is>
      </c>
      <c r="BF1886" t="inlineStr">
        <is>
          <t>893254049</t>
        </is>
      </c>
    </row>
    <row r="1887">
      <c r="A1887" t="inlineStr">
        <is>
          <t>No</t>
        </is>
      </c>
      <c r="B1887" t="inlineStr">
        <is>
          <t>CURAL</t>
        </is>
      </c>
      <c r="C1887" t="inlineStr">
        <is>
          <t>SHELVES</t>
        </is>
      </c>
      <c r="D1887" t="inlineStr">
        <is>
          <t>PR4612 .C57 1981b</t>
        </is>
      </c>
      <c r="E1887" t="inlineStr">
        <is>
          <t>0                      PR 4612000C  57          1981b</t>
        </is>
      </c>
      <c r="F1887" t="inlineStr">
        <is>
          <t>The real Alice : Lewis Carroll's dream child / Anne Clark.</t>
        </is>
      </c>
      <c r="H1887" t="inlineStr">
        <is>
          <t>No</t>
        </is>
      </c>
      <c r="I1887" t="inlineStr">
        <is>
          <t>1</t>
        </is>
      </c>
      <c r="J1887" t="inlineStr">
        <is>
          <t>No</t>
        </is>
      </c>
      <c r="K1887" t="inlineStr">
        <is>
          <t>No</t>
        </is>
      </c>
      <c r="L1887" t="inlineStr">
        <is>
          <t>0</t>
        </is>
      </c>
      <c r="M1887" t="inlineStr">
        <is>
          <t>Amor, Anne Clark, 1933-</t>
        </is>
      </c>
      <c r="N1887" t="inlineStr">
        <is>
          <t>London : Michael Joseph 1981.</t>
        </is>
      </c>
      <c r="O1887" t="inlineStr">
        <is>
          <t>1981</t>
        </is>
      </c>
      <c r="Q1887" t="inlineStr">
        <is>
          <t>eng</t>
        </is>
      </c>
      <c r="R1887" t="inlineStr">
        <is>
          <t>enk</t>
        </is>
      </c>
      <c r="T1887" t="inlineStr">
        <is>
          <t xml:space="preserve">PR </t>
        </is>
      </c>
      <c r="U1887" t="n">
        <v>1</v>
      </c>
      <c r="V1887" t="n">
        <v>1</v>
      </c>
      <c r="W1887" t="inlineStr">
        <is>
          <t>1999-03-26</t>
        </is>
      </c>
      <c r="X1887" t="inlineStr">
        <is>
          <t>1999-03-26</t>
        </is>
      </c>
      <c r="Y1887" t="inlineStr">
        <is>
          <t>1991-11-07</t>
        </is>
      </c>
      <c r="Z1887" t="inlineStr">
        <is>
          <t>1991-11-07</t>
        </is>
      </c>
      <c r="AA1887" t="n">
        <v>161</v>
      </c>
      <c r="AB1887" t="n">
        <v>54</v>
      </c>
      <c r="AC1887" t="n">
        <v>238</v>
      </c>
      <c r="AD1887" t="n">
        <v>1</v>
      </c>
      <c r="AE1887" t="n">
        <v>2</v>
      </c>
      <c r="AF1887" t="n">
        <v>1</v>
      </c>
      <c r="AG1887" t="n">
        <v>5</v>
      </c>
      <c r="AH1887" t="n">
        <v>0</v>
      </c>
      <c r="AI1887" t="n">
        <v>1</v>
      </c>
      <c r="AJ1887" t="n">
        <v>1</v>
      </c>
      <c r="AK1887" t="n">
        <v>3</v>
      </c>
      <c r="AL1887" t="n">
        <v>1</v>
      </c>
      <c r="AM1887" t="n">
        <v>4</v>
      </c>
      <c r="AN1887" t="n">
        <v>0</v>
      </c>
      <c r="AO1887" t="n">
        <v>0</v>
      </c>
      <c r="AP1887" t="n">
        <v>0</v>
      </c>
      <c r="AQ1887" t="n">
        <v>0</v>
      </c>
      <c r="AR1887" t="inlineStr">
        <is>
          <t>No</t>
        </is>
      </c>
      <c r="AS1887" t="inlineStr">
        <is>
          <t>Yes</t>
        </is>
      </c>
      <c r="AT1887">
        <f>HYPERLINK("http://catalog.hathitrust.org/Record/000762383","HathiTrust Record")</f>
        <v/>
      </c>
      <c r="AU1887">
        <f>HYPERLINK("https://creighton-primo.hosted.exlibrisgroup.com/primo-explore/search?tab=default_tab&amp;search_scope=EVERYTHING&amp;vid=01CRU&amp;lang=en_US&amp;offset=0&amp;query=any,contains,991005224159702656","Catalog Record")</f>
        <v/>
      </c>
      <c r="AV1887">
        <f>HYPERLINK("http://www.worldcat.org/oclc/8270435","WorldCat Record")</f>
        <v/>
      </c>
      <c r="AW1887" t="inlineStr">
        <is>
          <t>20893722:eng</t>
        </is>
      </c>
      <c r="AX1887" t="inlineStr">
        <is>
          <t>8270435</t>
        </is>
      </c>
      <c r="AY1887" t="inlineStr">
        <is>
          <t>991005224159702656</t>
        </is>
      </c>
      <c r="AZ1887" t="inlineStr">
        <is>
          <t>991005224159702656</t>
        </is>
      </c>
      <c r="BA1887" t="inlineStr">
        <is>
          <t>2268844960002656</t>
        </is>
      </c>
      <c r="BB1887" t="inlineStr">
        <is>
          <t>BOOK</t>
        </is>
      </c>
      <c r="BD1887" t="inlineStr">
        <is>
          <t>9780718120641</t>
        </is>
      </c>
      <c r="BE1887" t="inlineStr">
        <is>
          <t>32285000798859</t>
        </is>
      </c>
      <c r="BF1887" t="inlineStr">
        <is>
          <t>893713666</t>
        </is>
      </c>
    </row>
    <row r="1888">
      <c r="A1888" t="inlineStr">
        <is>
          <t>No</t>
        </is>
      </c>
      <c r="B1888" t="inlineStr">
        <is>
          <t>CURAL</t>
        </is>
      </c>
      <c r="C1888" t="inlineStr">
        <is>
          <t>SHELVES</t>
        </is>
      </c>
      <c r="D1888" t="inlineStr">
        <is>
          <t>PR4612 .F5 1973</t>
        </is>
      </c>
      <c r="E1888" t="inlineStr">
        <is>
          <t>0                      PR 4612000F  5           1973</t>
        </is>
      </c>
      <c r="F1888" t="inlineStr">
        <is>
          <t>The magic of Lewis Carroll, edited by John Fisher.</t>
        </is>
      </c>
      <c r="H1888" t="inlineStr">
        <is>
          <t>No</t>
        </is>
      </c>
      <c r="I1888" t="inlineStr">
        <is>
          <t>1</t>
        </is>
      </c>
      <c r="J1888" t="inlineStr">
        <is>
          <t>No</t>
        </is>
      </c>
      <c r="K1888" t="inlineStr">
        <is>
          <t>No</t>
        </is>
      </c>
      <c r="L1888" t="inlineStr">
        <is>
          <t>0</t>
        </is>
      </c>
      <c r="M1888" t="inlineStr">
        <is>
          <t>Fisher, John, 1945-</t>
        </is>
      </c>
      <c r="N1888" t="inlineStr">
        <is>
          <t>London, Nelson, 1973.</t>
        </is>
      </c>
      <c r="O1888" t="inlineStr">
        <is>
          <t>1973</t>
        </is>
      </c>
      <c r="Q1888" t="inlineStr">
        <is>
          <t>eng</t>
        </is>
      </c>
      <c r="R1888" t="inlineStr">
        <is>
          <t>enk</t>
        </is>
      </c>
      <c r="T1888" t="inlineStr">
        <is>
          <t xml:space="preserve">PR </t>
        </is>
      </c>
      <c r="U1888" t="n">
        <v>5</v>
      </c>
      <c r="V1888" t="n">
        <v>5</v>
      </c>
      <c r="W1888" t="inlineStr">
        <is>
          <t>2009-05-05</t>
        </is>
      </c>
      <c r="X1888" t="inlineStr">
        <is>
          <t>2009-05-05</t>
        </is>
      </c>
      <c r="Y1888" t="inlineStr">
        <is>
          <t>1997-07-14</t>
        </is>
      </c>
      <c r="Z1888" t="inlineStr">
        <is>
          <t>1997-07-14</t>
        </is>
      </c>
      <c r="AA1888" t="n">
        <v>225</v>
      </c>
      <c r="AB1888" t="n">
        <v>75</v>
      </c>
      <c r="AC1888" t="n">
        <v>763</v>
      </c>
      <c r="AD1888" t="n">
        <v>4</v>
      </c>
      <c r="AE1888" t="n">
        <v>7</v>
      </c>
      <c r="AF1888" t="n">
        <v>5</v>
      </c>
      <c r="AG1888" t="n">
        <v>24</v>
      </c>
      <c r="AH1888" t="n">
        <v>1</v>
      </c>
      <c r="AI1888" t="n">
        <v>9</v>
      </c>
      <c r="AJ1888" t="n">
        <v>1</v>
      </c>
      <c r="AK1888" t="n">
        <v>6</v>
      </c>
      <c r="AL1888" t="n">
        <v>2</v>
      </c>
      <c r="AM1888" t="n">
        <v>12</v>
      </c>
      <c r="AN1888" t="n">
        <v>3</v>
      </c>
      <c r="AO1888" t="n">
        <v>4</v>
      </c>
      <c r="AP1888" t="n">
        <v>0</v>
      </c>
      <c r="AQ1888" t="n">
        <v>0</v>
      </c>
      <c r="AR1888" t="inlineStr">
        <is>
          <t>No</t>
        </is>
      </c>
      <c r="AS1888" t="inlineStr">
        <is>
          <t>Yes</t>
        </is>
      </c>
      <c r="AT1888">
        <f>HYPERLINK("http://catalog.hathitrust.org/Record/001023640","HathiTrust Record")</f>
        <v/>
      </c>
      <c r="AU1888">
        <f>HYPERLINK("https://creighton-primo.hosted.exlibrisgroup.com/primo-explore/search?tab=default_tab&amp;search_scope=EVERYTHING&amp;vid=01CRU&amp;lang=en_US&amp;offset=0&amp;query=any,contains,991003227629702656","Catalog Record")</f>
        <v/>
      </c>
      <c r="AV1888">
        <f>HYPERLINK("http://www.worldcat.org/oclc/752532","WorldCat Record")</f>
        <v/>
      </c>
      <c r="AW1888" t="inlineStr">
        <is>
          <t>1602791:eng</t>
        </is>
      </c>
      <c r="AX1888" t="inlineStr">
        <is>
          <t>752532</t>
        </is>
      </c>
      <c r="AY1888" t="inlineStr">
        <is>
          <t>991003227629702656</t>
        </is>
      </c>
      <c r="AZ1888" t="inlineStr">
        <is>
          <t>991003227629702656</t>
        </is>
      </c>
      <c r="BA1888" t="inlineStr">
        <is>
          <t>2268995360002656</t>
        </is>
      </c>
      <c r="BB1888" t="inlineStr">
        <is>
          <t>BOOK</t>
        </is>
      </c>
      <c r="BD1888" t="inlineStr">
        <is>
          <t>9780171350029</t>
        </is>
      </c>
      <c r="BE1888" t="inlineStr">
        <is>
          <t>32285002892361</t>
        </is>
      </c>
      <c r="BF1888" t="inlineStr">
        <is>
          <t>893348459</t>
        </is>
      </c>
    </row>
    <row r="1889">
      <c r="A1889" t="inlineStr">
        <is>
          <t>No</t>
        </is>
      </c>
      <c r="B1889" t="inlineStr">
        <is>
          <t>CURAL</t>
        </is>
      </c>
      <c r="C1889" t="inlineStr">
        <is>
          <t>SHELVES</t>
        </is>
      </c>
      <c r="D1889" t="inlineStr">
        <is>
          <t>PR4612 .F67 1988</t>
        </is>
      </c>
      <c r="E1889" t="inlineStr">
        <is>
          <t>0                      PR 4612000F  67          1988</t>
        </is>
      </c>
      <c r="F1889" t="inlineStr">
        <is>
          <t>Lewis Carroll : a reference guide / Rachel Fordyce.</t>
        </is>
      </c>
      <c r="H1889" t="inlineStr">
        <is>
          <t>No</t>
        </is>
      </c>
      <c r="I1889" t="inlineStr">
        <is>
          <t>1</t>
        </is>
      </c>
      <c r="J1889" t="inlineStr">
        <is>
          <t>No</t>
        </is>
      </c>
      <c r="K1889" t="inlineStr">
        <is>
          <t>No</t>
        </is>
      </c>
      <c r="L1889" t="inlineStr">
        <is>
          <t>0</t>
        </is>
      </c>
      <c r="M1889" t="inlineStr">
        <is>
          <t>Fordyce, Rachel.</t>
        </is>
      </c>
      <c r="N1889" t="inlineStr">
        <is>
          <t>Boston, Mass. : G.K. Hall, c1988.</t>
        </is>
      </c>
      <c r="O1889" t="inlineStr">
        <is>
          <t>1988</t>
        </is>
      </c>
      <c r="Q1889" t="inlineStr">
        <is>
          <t>eng</t>
        </is>
      </c>
      <c r="R1889" t="inlineStr">
        <is>
          <t>mau</t>
        </is>
      </c>
      <c r="S1889" t="inlineStr">
        <is>
          <t>A Reference guide to literature</t>
        </is>
      </c>
      <c r="T1889" t="inlineStr">
        <is>
          <t xml:space="preserve">PR </t>
        </is>
      </c>
      <c r="U1889" t="n">
        <v>2</v>
      </c>
      <c r="V1889" t="n">
        <v>2</v>
      </c>
      <c r="W1889" t="inlineStr">
        <is>
          <t>2001-07-24</t>
        </is>
      </c>
      <c r="X1889" t="inlineStr">
        <is>
          <t>2001-07-24</t>
        </is>
      </c>
      <c r="Y1889" t="inlineStr">
        <is>
          <t>1991-11-07</t>
        </is>
      </c>
      <c r="Z1889" t="inlineStr">
        <is>
          <t>1991-11-07</t>
        </is>
      </c>
      <c r="AA1889" t="n">
        <v>378</v>
      </c>
      <c r="AB1889" t="n">
        <v>311</v>
      </c>
      <c r="AC1889" t="n">
        <v>313</v>
      </c>
      <c r="AD1889" t="n">
        <v>3</v>
      </c>
      <c r="AE1889" t="n">
        <v>3</v>
      </c>
      <c r="AF1889" t="n">
        <v>14</v>
      </c>
      <c r="AG1889" t="n">
        <v>14</v>
      </c>
      <c r="AH1889" t="n">
        <v>3</v>
      </c>
      <c r="AI1889" t="n">
        <v>3</v>
      </c>
      <c r="AJ1889" t="n">
        <v>4</v>
      </c>
      <c r="AK1889" t="n">
        <v>4</v>
      </c>
      <c r="AL1889" t="n">
        <v>8</v>
      </c>
      <c r="AM1889" t="n">
        <v>8</v>
      </c>
      <c r="AN1889" t="n">
        <v>2</v>
      </c>
      <c r="AO1889" t="n">
        <v>2</v>
      </c>
      <c r="AP1889" t="n">
        <v>0</v>
      </c>
      <c r="AQ1889" t="n">
        <v>0</v>
      </c>
      <c r="AR1889" t="inlineStr">
        <is>
          <t>No</t>
        </is>
      </c>
      <c r="AS1889" t="inlineStr">
        <is>
          <t>Yes</t>
        </is>
      </c>
      <c r="AT1889">
        <f>HYPERLINK("http://catalog.hathitrust.org/Record/004423294","HathiTrust Record")</f>
        <v/>
      </c>
      <c r="AU1889">
        <f>HYPERLINK("https://creighton-primo.hosted.exlibrisgroup.com/primo-explore/search?tab=default_tab&amp;search_scope=EVERYTHING&amp;vid=01CRU&amp;lang=en_US&amp;offset=0&amp;query=any,contains,991001304839702656","Catalog Record")</f>
        <v/>
      </c>
      <c r="AV1889">
        <f>HYPERLINK("http://www.worldcat.org/oclc/18105613","WorldCat Record")</f>
        <v/>
      </c>
      <c r="AW1889" t="inlineStr">
        <is>
          <t>808414337:eng</t>
        </is>
      </c>
      <c r="AX1889" t="inlineStr">
        <is>
          <t>18105613</t>
        </is>
      </c>
      <c r="AY1889" t="inlineStr">
        <is>
          <t>991001304839702656</t>
        </is>
      </c>
      <c r="AZ1889" t="inlineStr">
        <is>
          <t>991001304839702656</t>
        </is>
      </c>
      <c r="BA1889" t="inlineStr">
        <is>
          <t>2259466900002656</t>
        </is>
      </c>
      <c r="BB1889" t="inlineStr">
        <is>
          <t>BOOK</t>
        </is>
      </c>
      <c r="BD1889" t="inlineStr">
        <is>
          <t>9780816189250</t>
        </is>
      </c>
      <c r="BE1889" t="inlineStr">
        <is>
          <t>32285000798867</t>
        </is>
      </c>
      <c r="BF1889" t="inlineStr">
        <is>
          <t>893797475</t>
        </is>
      </c>
    </row>
    <row r="1890">
      <c r="A1890" t="inlineStr">
        <is>
          <t>No</t>
        </is>
      </c>
      <c r="B1890" t="inlineStr">
        <is>
          <t>CURAL</t>
        </is>
      </c>
      <c r="C1890" t="inlineStr">
        <is>
          <t>SHELVES</t>
        </is>
      </c>
      <c r="D1890" t="inlineStr">
        <is>
          <t>PR4612 .G67</t>
        </is>
      </c>
      <c r="E1890" t="inlineStr">
        <is>
          <t>0                      PR 4612000G  67</t>
        </is>
      </c>
      <c r="F1890" t="inlineStr">
        <is>
          <t>Beyond the looking glass : reflections of Alice and her family / Colin Gordon.</t>
        </is>
      </c>
      <c r="H1890" t="inlineStr">
        <is>
          <t>No</t>
        </is>
      </c>
      <c r="I1890" t="inlineStr">
        <is>
          <t>1</t>
        </is>
      </c>
      <c r="J1890" t="inlineStr">
        <is>
          <t>No</t>
        </is>
      </c>
      <c r="K1890" t="inlineStr">
        <is>
          <t>No</t>
        </is>
      </c>
      <c r="L1890" t="inlineStr">
        <is>
          <t>0</t>
        </is>
      </c>
      <c r="M1890" t="inlineStr">
        <is>
          <t>Gordon, Colin, 1944-</t>
        </is>
      </c>
      <c r="N1890" t="inlineStr">
        <is>
          <t>London : Hodder and Stoughton, 1982.</t>
        </is>
      </c>
      <c r="O1890" t="inlineStr">
        <is>
          <t>1982</t>
        </is>
      </c>
      <c r="Q1890" t="inlineStr">
        <is>
          <t>eng</t>
        </is>
      </c>
      <c r="R1890" t="inlineStr">
        <is>
          <t>enk</t>
        </is>
      </c>
      <c r="T1890" t="inlineStr">
        <is>
          <t xml:space="preserve">PR </t>
        </is>
      </c>
      <c r="U1890" t="n">
        <v>1</v>
      </c>
      <c r="V1890" t="n">
        <v>1</v>
      </c>
      <c r="W1890" t="inlineStr">
        <is>
          <t>2009-03-05</t>
        </is>
      </c>
      <c r="X1890" t="inlineStr">
        <is>
          <t>2009-03-05</t>
        </is>
      </c>
      <c r="Y1890" t="inlineStr">
        <is>
          <t>1991-11-07</t>
        </is>
      </c>
      <c r="Z1890" t="inlineStr">
        <is>
          <t>1991-11-07</t>
        </is>
      </c>
      <c r="AA1890" t="n">
        <v>177</v>
      </c>
      <c r="AB1890" t="n">
        <v>56</v>
      </c>
      <c r="AC1890" t="n">
        <v>319</v>
      </c>
      <c r="AD1890" t="n">
        <v>1</v>
      </c>
      <c r="AE1890" t="n">
        <v>4</v>
      </c>
      <c r="AF1890" t="n">
        <v>0</v>
      </c>
      <c r="AG1890" t="n">
        <v>6</v>
      </c>
      <c r="AH1890" t="n">
        <v>0</v>
      </c>
      <c r="AI1890" t="n">
        <v>1</v>
      </c>
      <c r="AJ1890" t="n">
        <v>0</v>
      </c>
      <c r="AK1890" t="n">
        <v>1</v>
      </c>
      <c r="AL1890" t="n">
        <v>0</v>
      </c>
      <c r="AM1890" t="n">
        <v>3</v>
      </c>
      <c r="AN1890" t="n">
        <v>0</v>
      </c>
      <c r="AO1890" t="n">
        <v>2</v>
      </c>
      <c r="AP1890" t="n">
        <v>0</v>
      </c>
      <c r="AQ1890" t="n">
        <v>0</v>
      </c>
      <c r="AR1890" t="inlineStr">
        <is>
          <t>No</t>
        </is>
      </c>
      <c r="AS1890" t="inlineStr">
        <is>
          <t>No</t>
        </is>
      </c>
      <c r="AU1890">
        <f>HYPERLINK("https://creighton-primo.hosted.exlibrisgroup.com/primo-explore/search?tab=default_tab&amp;search_scope=EVERYTHING&amp;vid=01CRU&amp;lang=en_US&amp;offset=0&amp;query=any,contains,991000107439702656","Catalog Record")</f>
        <v/>
      </c>
      <c r="AV1890">
        <f>HYPERLINK("http://www.worldcat.org/oclc/8987164","WorldCat Record")</f>
        <v/>
      </c>
      <c r="AW1890" t="inlineStr">
        <is>
          <t>42836144:eng</t>
        </is>
      </c>
      <c r="AX1890" t="inlineStr">
        <is>
          <t>8987164</t>
        </is>
      </c>
      <c r="AY1890" t="inlineStr">
        <is>
          <t>991000107439702656</t>
        </is>
      </c>
      <c r="AZ1890" t="inlineStr">
        <is>
          <t>991000107439702656</t>
        </is>
      </c>
      <c r="BA1890" t="inlineStr">
        <is>
          <t>2255689080002656</t>
        </is>
      </c>
      <c r="BB1890" t="inlineStr">
        <is>
          <t>BOOK</t>
        </is>
      </c>
      <c r="BD1890" t="inlineStr">
        <is>
          <t>9780340263785</t>
        </is>
      </c>
      <c r="BE1890" t="inlineStr">
        <is>
          <t>32285000798883</t>
        </is>
      </c>
      <c r="BF1890" t="inlineStr">
        <is>
          <t>893502233</t>
        </is>
      </c>
    </row>
    <row r="1891">
      <c r="A1891" t="inlineStr">
        <is>
          <t>No</t>
        </is>
      </c>
      <c r="B1891" t="inlineStr">
        <is>
          <t>CURAL</t>
        </is>
      </c>
      <c r="C1891" t="inlineStr">
        <is>
          <t>SHELVES</t>
        </is>
      </c>
      <c r="D1891" t="inlineStr">
        <is>
          <t>PR4612 .H8 1978</t>
        </is>
      </c>
      <c r="E1891" t="inlineStr">
        <is>
          <t>0                      PR 4612000H  8           1978</t>
        </is>
      </c>
      <c r="F1891" t="inlineStr">
        <is>
          <t>Lewis Carroll : an illustrated biography / by Derek Hudson.</t>
        </is>
      </c>
      <c r="H1891" t="inlineStr">
        <is>
          <t>No</t>
        </is>
      </c>
      <c r="I1891" t="inlineStr">
        <is>
          <t>1</t>
        </is>
      </c>
      <c r="J1891" t="inlineStr">
        <is>
          <t>No</t>
        </is>
      </c>
      <c r="K1891" t="inlineStr">
        <is>
          <t>Yes</t>
        </is>
      </c>
      <c r="L1891" t="inlineStr">
        <is>
          <t>0</t>
        </is>
      </c>
      <c r="M1891" t="inlineStr">
        <is>
          <t>Hudson, Derek.</t>
        </is>
      </c>
      <c r="N1891" t="inlineStr">
        <is>
          <t>New York : New American Library, 1978, c1977.</t>
        </is>
      </c>
      <c r="O1891" t="inlineStr">
        <is>
          <t>1978</t>
        </is>
      </c>
      <c r="Q1891" t="inlineStr">
        <is>
          <t>eng</t>
        </is>
      </c>
      <c r="R1891" t="inlineStr">
        <is>
          <t>nyu</t>
        </is>
      </c>
      <c r="T1891" t="inlineStr">
        <is>
          <t xml:space="preserve">PR </t>
        </is>
      </c>
      <c r="U1891" t="n">
        <v>1</v>
      </c>
      <c r="V1891" t="n">
        <v>1</v>
      </c>
      <c r="W1891" t="inlineStr">
        <is>
          <t>2009-05-05</t>
        </is>
      </c>
      <c r="X1891" t="inlineStr">
        <is>
          <t>2009-05-05</t>
        </is>
      </c>
      <c r="Y1891" t="inlineStr">
        <is>
          <t>1991-11-07</t>
        </is>
      </c>
      <c r="Z1891" t="inlineStr">
        <is>
          <t>1991-11-07</t>
        </is>
      </c>
      <c r="AA1891" t="n">
        <v>41</v>
      </c>
      <c r="AB1891" t="n">
        <v>36</v>
      </c>
      <c r="AC1891" t="n">
        <v>1314</v>
      </c>
      <c r="AD1891" t="n">
        <v>1</v>
      </c>
      <c r="AE1891" t="n">
        <v>10</v>
      </c>
      <c r="AF1891" t="n">
        <v>0</v>
      </c>
      <c r="AG1891" t="n">
        <v>45</v>
      </c>
      <c r="AH1891" t="n">
        <v>0</v>
      </c>
      <c r="AI1891" t="n">
        <v>20</v>
      </c>
      <c r="AJ1891" t="n">
        <v>0</v>
      </c>
      <c r="AK1891" t="n">
        <v>8</v>
      </c>
      <c r="AL1891" t="n">
        <v>0</v>
      </c>
      <c r="AM1891" t="n">
        <v>20</v>
      </c>
      <c r="AN1891" t="n">
        <v>0</v>
      </c>
      <c r="AO1891" t="n">
        <v>7</v>
      </c>
      <c r="AP1891" t="n">
        <v>0</v>
      </c>
      <c r="AQ1891" t="n">
        <v>0</v>
      </c>
      <c r="AR1891" t="inlineStr">
        <is>
          <t>No</t>
        </is>
      </c>
      <c r="AS1891" t="inlineStr">
        <is>
          <t>No</t>
        </is>
      </c>
      <c r="AU1891">
        <f>HYPERLINK("https://creighton-primo.hosted.exlibrisgroup.com/primo-explore/search?tab=default_tab&amp;search_scope=EVERYTHING&amp;vid=01CRU&amp;lang=en_US&amp;offset=0&amp;query=any,contains,991004674169702656","Catalog Record")</f>
        <v/>
      </c>
      <c r="AV1891">
        <f>HYPERLINK("http://www.worldcat.org/oclc/4527547","WorldCat Record")</f>
        <v/>
      </c>
      <c r="AW1891" t="inlineStr">
        <is>
          <t>4202318159:eng</t>
        </is>
      </c>
      <c r="AX1891" t="inlineStr">
        <is>
          <t>4527547</t>
        </is>
      </c>
      <c r="AY1891" t="inlineStr">
        <is>
          <t>991004674169702656</t>
        </is>
      </c>
      <c r="AZ1891" t="inlineStr">
        <is>
          <t>991004674169702656</t>
        </is>
      </c>
      <c r="BA1891" t="inlineStr">
        <is>
          <t>2269879710002656</t>
        </is>
      </c>
      <c r="BB1891" t="inlineStr">
        <is>
          <t>BOOK</t>
        </is>
      </c>
      <c r="BE1891" t="inlineStr">
        <is>
          <t>32285000798891</t>
        </is>
      </c>
      <c r="BF1891" t="inlineStr">
        <is>
          <t>893876439</t>
        </is>
      </c>
    </row>
    <row r="1892">
      <c r="A1892" t="inlineStr">
        <is>
          <t>No</t>
        </is>
      </c>
      <c r="B1892" t="inlineStr">
        <is>
          <t>CURAL</t>
        </is>
      </c>
      <c r="C1892" t="inlineStr">
        <is>
          <t>SHELVES</t>
        </is>
      </c>
      <c r="D1892" t="inlineStr">
        <is>
          <t>PR4612 .K38 1990</t>
        </is>
      </c>
      <c r="E1892" t="inlineStr">
        <is>
          <t>0                      PR 4612000K  38          1990</t>
        </is>
      </c>
      <c r="F1892" t="inlineStr">
        <is>
          <t>Lewis Carroll / by Richard Kelly.</t>
        </is>
      </c>
      <c r="H1892" t="inlineStr">
        <is>
          <t>No</t>
        </is>
      </c>
      <c r="I1892" t="inlineStr">
        <is>
          <t>1</t>
        </is>
      </c>
      <c r="J1892" t="inlineStr">
        <is>
          <t>No</t>
        </is>
      </c>
      <c r="K1892" t="inlineStr">
        <is>
          <t>No</t>
        </is>
      </c>
      <c r="L1892" t="inlineStr">
        <is>
          <t>0</t>
        </is>
      </c>
      <c r="M1892" t="inlineStr">
        <is>
          <t>Kelly, Richard, 1937-</t>
        </is>
      </c>
      <c r="N1892" t="inlineStr">
        <is>
          <t>Boston : Twayne Publishers, c1990.</t>
        </is>
      </c>
      <c r="O1892" t="inlineStr">
        <is>
          <t>1990</t>
        </is>
      </c>
      <c r="P1892" t="inlineStr">
        <is>
          <t>Rev. ed.</t>
        </is>
      </c>
      <c r="Q1892" t="inlineStr">
        <is>
          <t>eng</t>
        </is>
      </c>
      <c r="R1892" t="inlineStr">
        <is>
          <t>mau</t>
        </is>
      </c>
      <c r="S1892" t="inlineStr">
        <is>
          <t>Twayne's English authors series ; TEAS 212</t>
        </is>
      </c>
      <c r="T1892" t="inlineStr">
        <is>
          <t xml:space="preserve">PR </t>
        </is>
      </c>
      <c r="U1892" t="n">
        <v>1</v>
      </c>
      <c r="V1892" t="n">
        <v>1</v>
      </c>
      <c r="W1892" t="inlineStr">
        <is>
          <t>2009-05-05</t>
        </is>
      </c>
      <c r="X1892" t="inlineStr">
        <is>
          <t>2009-05-05</t>
        </is>
      </c>
      <c r="Y1892" t="inlineStr">
        <is>
          <t>1990-02-07</t>
        </is>
      </c>
      <c r="Z1892" t="inlineStr">
        <is>
          <t>1990-02-07</t>
        </is>
      </c>
      <c r="AA1892" t="n">
        <v>886</v>
      </c>
      <c r="AB1892" t="n">
        <v>797</v>
      </c>
      <c r="AC1892" t="n">
        <v>1454</v>
      </c>
      <c r="AD1892" t="n">
        <v>5</v>
      </c>
      <c r="AE1892" t="n">
        <v>7</v>
      </c>
      <c r="AF1892" t="n">
        <v>30</v>
      </c>
      <c r="AG1892" t="n">
        <v>45</v>
      </c>
      <c r="AH1892" t="n">
        <v>13</v>
      </c>
      <c r="AI1892" t="n">
        <v>20</v>
      </c>
      <c r="AJ1892" t="n">
        <v>6</v>
      </c>
      <c r="AK1892" t="n">
        <v>9</v>
      </c>
      <c r="AL1892" t="n">
        <v>16</v>
      </c>
      <c r="AM1892" t="n">
        <v>22</v>
      </c>
      <c r="AN1892" t="n">
        <v>4</v>
      </c>
      <c r="AO1892" t="n">
        <v>6</v>
      </c>
      <c r="AP1892" t="n">
        <v>0</v>
      </c>
      <c r="AQ1892" t="n">
        <v>0</v>
      </c>
      <c r="AR1892" t="inlineStr">
        <is>
          <t>No</t>
        </is>
      </c>
      <c r="AS1892" t="inlineStr">
        <is>
          <t>Yes</t>
        </is>
      </c>
      <c r="AT1892">
        <f>HYPERLINK("http://catalog.hathitrust.org/Record/001834169","HathiTrust Record")</f>
        <v/>
      </c>
      <c r="AU1892">
        <f>HYPERLINK("https://creighton-primo.hosted.exlibrisgroup.com/primo-explore/search?tab=default_tab&amp;search_scope=EVERYTHING&amp;vid=01CRU&amp;lang=en_US&amp;offset=0&amp;query=any,contains,991001536839702656","Catalog Record")</f>
        <v/>
      </c>
      <c r="AV1892">
        <f>HYPERLINK("http://www.worldcat.org/oclc/20091436","WorldCat Record")</f>
        <v/>
      </c>
      <c r="AW1892" t="inlineStr">
        <is>
          <t>3943614697:eng</t>
        </is>
      </c>
      <c r="AX1892" t="inlineStr">
        <is>
          <t>20091436</t>
        </is>
      </c>
      <c r="AY1892" t="inlineStr">
        <is>
          <t>991001536839702656</t>
        </is>
      </c>
      <c r="AZ1892" t="inlineStr">
        <is>
          <t>991001536839702656</t>
        </is>
      </c>
      <c r="BA1892" t="inlineStr">
        <is>
          <t>2255856220002656</t>
        </is>
      </c>
      <c r="BB1892" t="inlineStr">
        <is>
          <t>BOOK</t>
        </is>
      </c>
      <c r="BD1892" t="inlineStr">
        <is>
          <t>9780805769883</t>
        </is>
      </c>
      <c r="BE1892" t="inlineStr">
        <is>
          <t>32285000021021</t>
        </is>
      </c>
      <c r="BF1892" t="inlineStr">
        <is>
          <t>893414299</t>
        </is>
      </c>
    </row>
    <row r="1893">
      <c r="A1893" t="inlineStr">
        <is>
          <t>No</t>
        </is>
      </c>
      <c r="B1893" t="inlineStr">
        <is>
          <t>CURAL</t>
        </is>
      </c>
      <c r="C1893" t="inlineStr">
        <is>
          <t>SHELVES</t>
        </is>
      </c>
      <c r="D1893" t="inlineStr">
        <is>
          <t>PR4612 .L4</t>
        </is>
      </c>
      <c r="E1893" t="inlineStr">
        <is>
          <t>0                      PR 4612000L  4</t>
        </is>
      </c>
      <c r="F1893" t="inlineStr">
        <is>
          <t>Victoria through the looking-glass; the life of Lewis Carroll, by Florence Becker Lennon.</t>
        </is>
      </c>
      <c r="H1893" t="inlineStr">
        <is>
          <t>No</t>
        </is>
      </c>
      <c r="I1893" t="inlineStr">
        <is>
          <t>1</t>
        </is>
      </c>
      <c r="J1893" t="inlineStr">
        <is>
          <t>No</t>
        </is>
      </c>
      <c r="K1893" t="inlineStr">
        <is>
          <t>No</t>
        </is>
      </c>
      <c r="L1893" t="inlineStr">
        <is>
          <t>0</t>
        </is>
      </c>
      <c r="M1893" t="inlineStr">
        <is>
          <t>Lennon, Florence Becker.</t>
        </is>
      </c>
      <c r="N1893" t="inlineStr">
        <is>
          <t>New York, Simon and Schuster, 1945.</t>
        </is>
      </c>
      <c r="O1893" t="inlineStr">
        <is>
          <t>1945</t>
        </is>
      </c>
      <c r="Q1893" t="inlineStr">
        <is>
          <t>eng</t>
        </is>
      </c>
      <c r="R1893" t="inlineStr">
        <is>
          <t>nyu</t>
        </is>
      </c>
      <c r="T1893" t="inlineStr">
        <is>
          <t xml:space="preserve">PR </t>
        </is>
      </c>
      <c r="U1893" t="n">
        <v>5</v>
      </c>
      <c r="V1893" t="n">
        <v>5</v>
      </c>
      <c r="W1893" t="inlineStr">
        <is>
          <t>2000-02-05</t>
        </is>
      </c>
      <c r="X1893" t="inlineStr">
        <is>
          <t>2000-02-05</t>
        </is>
      </c>
      <c r="Y1893" t="inlineStr">
        <is>
          <t>1997-07-14</t>
        </is>
      </c>
      <c r="Z1893" t="inlineStr">
        <is>
          <t>1997-07-14</t>
        </is>
      </c>
      <c r="AA1893" t="n">
        <v>733</v>
      </c>
      <c r="AB1893" t="n">
        <v>686</v>
      </c>
      <c r="AC1893" t="n">
        <v>701</v>
      </c>
      <c r="AD1893" t="n">
        <v>5</v>
      </c>
      <c r="AE1893" t="n">
        <v>5</v>
      </c>
      <c r="AF1893" t="n">
        <v>33</v>
      </c>
      <c r="AG1893" t="n">
        <v>34</v>
      </c>
      <c r="AH1893" t="n">
        <v>16</v>
      </c>
      <c r="AI1893" t="n">
        <v>17</v>
      </c>
      <c r="AJ1893" t="n">
        <v>7</v>
      </c>
      <c r="AK1893" t="n">
        <v>7</v>
      </c>
      <c r="AL1893" t="n">
        <v>16</v>
      </c>
      <c r="AM1893" t="n">
        <v>17</v>
      </c>
      <c r="AN1893" t="n">
        <v>4</v>
      </c>
      <c r="AO1893" t="n">
        <v>4</v>
      </c>
      <c r="AP1893" t="n">
        <v>0</v>
      </c>
      <c r="AQ1893" t="n">
        <v>0</v>
      </c>
      <c r="AR1893" t="inlineStr">
        <is>
          <t>No</t>
        </is>
      </c>
      <c r="AS1893" t="inlineStr">
        <is>
          <t>Yes</t>
        </is>
      </c>
      <c r="AT1893">
        <f>HYPERLINK("http://catalog.hathitrust.org/Record/001023642","HathiTrust Record")</f>
        <v/>
      </c>
      <c r="AU1893">
        <f>HYPERLINK("https://creighton-primo.hosted.exlibrisgroup.com/primo-explore/search?tab=default_tab&amp;search_scope=EVERYTHING&amp;vid=01CRU&amp;lang=en_US&amp;offset=0&amp;query=any,contains,991002278799702656","Catalog Record")</f>
        <v/>
      </c>
      <c r="AV1893">
        <f>HYPERLINK("http://www.worldcat.org/oclc/310642","WorldCat Record")</f>
        <v/>
      </c>
      <c r="AW1893" t="inlineStr">
        <is>
          <t>3855460238:eng</t>
        </is>
      </c>
      <c r="AX1893" t="inlineStr">
        <is>
          <t>310642</t>
        </is>
      </c>
      <c r="AY1893" t="inlineStr">
        <is>
          <t>991002278799702656</t>
        </is>
      </c>
      <c r="AZ1893" t="inlineStr">
        <is>
          <t>991002278799702656</t>
        </is>
      </c>
      <c r="BA1893" t="inlineStr">
        <is>
          <t>2259763570002656</t>
        </is>
      </c>
      <c r="BB1893" t="inlineStr">
        <is>
          <t>BOOK</t>
        </is>
      </c>
      <c r="BE1893" t="inlineStr">
        <is>
          <t>32285002892387</t>
        </is>
      </c>
      <c r="BF1893" t="inlineStr">
        <is>
          <t>893615928</t>
        </is>
      </c>
    </row>
    <row r="1894">
      <c r="A1894" t="inlineStr">
        <is>
          <t>No</t>
        </is>
      </c>
      <c r="B1894" t="inlineStr">
        <is>
          <t>CURAL</t>
        </is>
      </c>
      <c r="C1894" t="inlineStr">
        <is>
          <t>SHELVES</t>
        </is>
      </c>
      <c r="D1894" t="inlineStr">
        <is>
          <t>PR4612 .L454 1976</t>
        </is>
      </c>
      <c r="E1894" t="inlineStr">
        <is>
          <t>0                      PR 4612000L  454         1976</t>
        </is>
      </c>
      <c r="F1894" t="inlineStr">
        <is>
          <t>Lewis Carroll observed : a collection of unpublished photographs, drawings, poetry, and new essays / edited by Edward Guiliano for the Lewis Carroll Society of North America.</t>
        </is>
      </c>
      <c r="H1894" t="inlineStr">
        <is>
          <t>No</t>
        </is>
      </c>
      <c r="I1894" t="inlineStr">
        <is>
          <t>1</t>
        </is>
      </c>
      <c r="J1894" t="inlineStr">
        <is>
          <t>No</t>
        </is>
      </c>
      <c r="K1894" t="inlineStr">
        <is>
          <t>No</t>
        </is>
      </c>
      <c r="L1894" t="inlineStr">
        <is>
          <t>0</t>
        </is>
      </c>
      <c r="N1894" t="inlineStr">
        <is>
          <t>New York : C. N. Potter : distributed by Crown Publishers, c1976.</t>
        </is>
      </c>
      <c r="O1894" t="inlineStr">
        <is>
          <t>1976</t>
        </is>
      </c>
      <c r="Q1894" t="inlineStr">
        <is>
          <t>eng</t>
        </is>
      </c>
      <c r="R1894" t="inlineStr">
        <is>
          <t>nyu</t>
        </is>
      </c>
      <c r="T1894" t="inlineStr">
        <is>
          <t xml:space="preserve">PR </t>
        </is>
      </c>
      <c r="U1894" t="n">
        <v>1</v>
      </c>
      <c r="V1894" t="n">
        <v>1</v>
      </c>
      <c r="W1894" t="inlineStr">
        <is>
          <t>2009-03-05</t>
        </is>
      </c>
      <c r="X1894" t="inlineStr">
        <is>
          <t>2009-03-05</t>
        </is>
      </c>
      <c r="Y1894" t="inlineStr">
        <is>
          <t>1991-11-07</t>
        </is>
      </c>
      <c r="Z1894" t="inlineStr">
        <is>
          <t>1991-11-07</t>
        </is>
      </c>
      <c r="AA1894" t="n">
        <v>863</v>
      </c>
      <c r="AB1894" t="n">
        <v>748</v>
      </c>
      <c r="AC1894" t="n">
        <v>764</v>
      </c>
      <c r="AD1894" t="n">
        <v>5</v>
      </c>
      <c r="AE1894" t="n">
        <v>5</v>
      </c>
      <c r="AF1894" t="n">
        <v>27</v>
      </c>
      <c r="AG1894" t="n">
        <v>28</v>
      </c>
      <c r="AH1894" t="n">
        <v>12</v>
      </c>
      <c r="AI1894" t="n">
        <v>13</v>
      </c>
      <c r="AJ1894" t="n">
        <v>8</v>
      </c>
      <c r="AK1894" t="n">
        <v>8</v>
      </c>
      <c r="AL1894" t="n">
        <v>12</v>
      </c>
      <c r="AM1894" t="n">
        <v>12</v>
      </c>
      <c r="AN1894" t="n">
        <v>4</v>
      </c>
      <c r="AO1894" t="n">
        <v>4</v>
      </c>
      <c r="AP1894" t="n">
        <v>0</v>
      </c>
      <c r="AQ1894" t="n">
        <v>0</v>
      </c>
      <c r="AR1894" t="inlineStr">
        <is>
          <t>No</t>
        </is>
      </c>
      <c r="AS1894" t="inlineStr">
        <is>
          <t>Yes</t>
        </is>
      </c>
      <c r="AT1894">
        <f>HYPERLINK("http://catalog.hathitrust.org/Record/000702663","HathiTrust Record")</f>
        <v/>
      </c>
      <c r="AU1894">
        <f>HYPERLINK("https://creighton-primo.hosted.exlibrisgroup.com/primo-explore/search?tab=default_tab&amp;search_scope=EVERYTHING&amp;vid=01CRU&amp;lang=en_US&amp;offset=0&amp;query=any,contains,991004042269702656","Catalog Record")</f>
        <v/>
      </c>
      <c r="AV1894">
        <f>HYPERLINK("http://www.worldcat.org/oclc/2189269","WorldCat Record")</f>
        <v/>
      </c>
      <c r="AW1894" t="inlineStr">
        <is>
          <t>909994949:eng</t>
        </is>
      </c>
      <c r="AX1894" t="inlineStr">
        <is>
          <t>2189269</t>
        </is>
      </c>
      <c r="AY1894" t="inlineStr">
        <is>
          <t>991004042269702656</t>
        </is>
      </c>
      <c r="AZ1894" t="inlineStr">
        <is>
          <t>991004042269702656</t>
        </is>
      </c>
      <c r="BA1894" t="inlineStr">
        <is>
          <t>2265391380002656</t>
        </is>
      </c>
      <c r="BB1894" t="inlineStr">
        <is>
          <t>BOOK</t>
        </is>
      </c>
      <c r="BD1894" t="inlineStr">
        <is>
          <t>9780517524978</t>
        </is>
      </c>
      <c r="BE1894" t="inlineStr">
        <is>
          <t>32285000798917</t>
        </is>
      </c>
      <c r="BF1894" t="inlineStr">
        <is>
          <t>893442103</t>
        </is>
      </c>
    </row>
    <row r="1895">
      <c r="A1895" t="inlineStr">
        <is>
          <t>No</t>
        </is>
      </c>
      <c r="B1895" t="inlineStr">
        <is>
          <t>CURAL</t>
        </is>
      </c>
      <c r="C1895" t="inlineStr">
        <is>
          <t>SHELVES</t>
        </is>
      </c>
      <c r="D1895" t="inlineStr">
        <is>
          <t>PR4612 .P8 1976b</t>
        </is>
      </c>
      <c r="E1895" t="inlineStr">
        <is>
          <t>0                      PR 4612000P  8           1976b</t>
        </is>
      </c>
      <c r="F1895" t="inlineStr">
        <is>
          <t>Lewis Carroll and his world / John Pudney.</t>
        </is>
      </c>
      <c r="H1895" t="inlineStr">
        <is>
          <t>No</t>
        </is>
      </c>
      <c r="I1895" t="inlineStr">
        <is>
          <t>1</t>
        </is>
      </c>
      <c r="J1895" t="inlineStr">
        <is>
          <t>No</t>
        </is>
      </c>
      <c r="K1895" t="inlineStr">
        <is>
          <t>No</t>
        </is>
      </c>
      <c r="L1895" t="inlineStr">
        <is>
          <t>0</t>
        </is>
      </c>
      <c r="M1895" t="inlineStr">
        <is>
          <t>Pudney, John, 1909-1977.</t>
        </is>
      </c>
      <c r="N1895" t="inlineStr">
        <is>
          <t>New York : Scribner, c1976.</t>
        </is>
      </c>
      <c r="O1895" t="inlineStr">
        <is>
          <t>1976</t>
        </is>
      </c>
      <c r="Q1895" t="inlineStr">
        <is>
          <t>eng</t>
        </is>
      </c>
      <c r="R1895" t="inlineStr">
        <is>
          <t>nyu</t>
        </is>
      </c>
      <c r="T1895" t="inlineStr">
        <is>
          <t xml:space="preserve">PR </t>
        </is>
      </c>
      <c r="U1895" t="n">
        <v>5</v>
      </c>
      <c r="V1895" t="n">
        <v>5</v>
      </c>
      <c r="W1895" t="inlineStr">
        <is>
          <t>2000-02-05</t>
        </is>
      </c>
      <c r="X1895" t="inlineStr">
        <is>
          <t>2000-02-05</t>
        </is>
      </c>
      <c r="Y1895" t="inlineStr">
        <is>
          <t>1997-07-14</t>
        </is>
      </c>
      <c r="Z1895" t="inlineStr">
        <is>
          <t>1997-07-14</t>
        </is>
      </c>
      <c r="AA1895" t="n">
        <v>745</v>
      </c>
      <c r="AB1895" t="n">
        <v>707</v>
      </c>
      <c r="AC1895" t="n">
        <v>768</v>
      </c>
      <c r="AD1895" t="n">
        <v>6</v>
      </c>
      <c r="AE1895" t="n">
        <v>8</v>
      </c>
      <c r="AF1895" t="n">
        <v>23</v>
      </c>
      <c r="AG1895" t="n">
        <v>27</v>
      </c>
      <c r="AH1895" t="n">
        <v>10</v>
      </c>
      <c r="AI1895" t="n">
        <v>11</v>
      </c>
      <c r="AJ1895" t="n">
        <v>6</v>
      </c>
      <c r="AK1895" t="n">
        <v>6</v>
      </c>
      <c r="AL1895" t="n">
        <v>14</v>
      </c>
      <c r="AM1895" t="n">
        <v>15</v>
      </c>
      <c r="AN1895" t="n">
        <v>3</v>
      </c>
      <c r="AO1895" t="n">
        <v>5</v>
      </c>
      <c r="AP1895" t="n">
        <v>0</v>
      </c>
      <c r="AQ1895" t="n">
        <v>0</v>
      </c>
      <c r="AR1895" t="inlineStr">
        <is>
          <t>No</t>
        </is>
      </c>
      <c r="AS1895" t="inlineStr">
        <is>
          <t>Yes</t>
        </is>
      </c>
      <c r="AT1895">
        <f>HYPERLINK("http://catalog.hathitrust.org/Record/000085199","HathiTrust Record")</f>
        <v/>
      </c>
      <c r="AU1895">
        <f>HYPERLINK("https://creighton-primo.hosted.exlibrisgroup.com/primo-explore/search?tab=default_tab&amp;search_scope=EVERYTHING&amp;vid=01CRU&amp;lang=en_US&amp;offset=0&amp;query=any,contains,991004164239702656","Catalog Record")</f>
        <v/>
      </c>
      <c r="AV1895">
        <f>HYPERLINK("http://www.worldcat.org/oclc/2561557","WorldCat Record")</f>
        <v/>
      </c>
      <c r="AW1895" t="inlineStr">
        <is>
          <t>5259820:eng</t>
        </is>
      </c>
      <c r="AX1895" t="inlineStr">
        <is>
          <t>2561557</t>
        </is>
      </c>
      <c r="AY1895" t="inlineStr">
        <is>
          <t>991004164239702656</t>
        </is>
      </c>
      <c r="AZ1895" t="inlineStr">
        <is>
          <t>991004164239702656</t>
        </is>
      </c>
      <c r="BA1895" t="inlineStr">
        <is>
          <t>2258917710002656</t>
        </is>
      </c>
      <c r="BB1895" t="inlineStr">
        <is>
          <t>BOOK</t>
        </is>
      </c>
      <c r="BD1895" t="inlineStr">
        <is>
          <t>9780684147284</t>
        </is>
      </c>
      <c r="BE1895" t="inlineStr">
        <is>
          <t>32285002892395</t>
        </is>
      </c>
      <c r="BF1895" t="inlineStr">
        <is>
          <t>893423459</t>
        </is>
      </c>
    </row>
    <row r="1896">
      <c r="A1896" t="inlineStr">
        <is>
          <t>No</t>
        </is>
      </c>
      <c r="B1896" t="inlineStr">
        <is>
          <t>CURAL</t>
        </is>
      </c>
      <c r="C1896" t="inlineStr">
        <is>
          <t>SHELVES</t>
        </is>
      </c>
      <c r="D1896" t="inlineStr">
        <is>
          <t>PR4612 .S8</t>
        </is>
      </c>
      <c r="E1896" t="inlineStr">
        <is>
          <t>0                      PR 4612000S  8</t>
        </is>
      </c>
      <c r="F1896" t="inlineStr">
        <is>
          <t>Language and Lewis Carroll. [By] Robert D. Sutherland.</t>
        </is>
      </c>
      <c r="H1896" t="inlineStr">
        <is>
          <t>No</t>
        </is>
      </c>
      <c r="I1896" t="inlineStr">
        <is>
          <t>1</t>
        </is>
      </c>
      <c r="J1896" t="inlineStr">
        <is>
          <t>No</t>
        </is>
      </c>
      <c r="K1896" t="inlineStr">
        <is>
          <t>No</t>
        </is>
      </c>
      <c r="L1896" t="inlineStr">
        <is>
          <t>0</t>
        </is>
      </c>
      <c r="M1896" t="inlineStr">
        <is>
          <t>Sutherland, Robert D. (Robert Donald), 1937-</t>
        </is>
      </c>
      <c r="N1896" t="inlineStr">
        <is>
          <t>The Hague, Mouton, 1970.</t>
        </is>
      </c>
      <c r="O1896" t="inlineStr">
        <is>
          <t>1970</t>
        </is>
      </c>
      <c r="Q1896" t="inlineStr">
        <is>
          <t>eng</t>
        </is>
      </c>
      <c r="R1896" t="inlineStr">
        <is>
          <t xml:space="preserve">ne </t>
        </is>
      </c>
      <c r="S1896" t="inlineStr">
        <is>
          <t>Janua linguarum. Series maior ; 26</t>
        </is>
      </c>
      <c r="T1896" t="inlineStr">
        <is>
          <t xml:space="preserve">PR </t>
        </is>
      </c>
      <c r="U1896" t="n">
        <v>1</v>
      </c>
      <c r="V1896" t="n">
        <v>1</v>
      </c>
      <c r="W1896" t="inlineStr">
        <is>
          <t>1999-03-26</t>
        </is>
      </c>
      <c r="X1896" t="inlineStr">
        <is>
          <t>1999-03-26</t>
        </is>
      </c>
      <c r="Y1896" t="inlineStr">
        <is>
          <t>1997-07-14</t>
        </is>
      </c>
      <c r="Z1896" t="inlineStr">
        <is>
          <t>1997-07-14</t>
        </is>
      </c>
      <c r="AA1896" t="n">
        <v>439</v>
      </c>
      <c r="AB1896" t="n">
        <v>295</v>
      </c>
      <c r="AC1896" t="n">
        <v>303</v>
      </c>
      <c r="AD1896" t="n">
        <v>3</v>
      </c>
      <c r="AE1896" t="n">
        <v>3</v>
      </c>
      <c r="AF1896" t="n">
        <v>15</v>
      </c>
      <c r="AG1896" t="n">
        <v>15</v>
      </c>
      <c r="AH1896" t="n">
        <v>3</v>
      </c>
      <c r="AI1896" t="n">
        <v>3</v>
      </c>
      <c r="AJ1896" t="n">
        <v>5</v>
      </c>
      <c r="AK1896" t="n">
        <v>5</v>
      </c>
      <c r="AL1896" t="n">
        <v>9</v>
      </c>
      <c r="AM1896" t="n">
        <v>9</v>
      </c>
      <c r="AN1896" t="n">
        <v>2</v>
      </c>
      <c r="AO1896" t="n">
        <v>2</v>
      </c>
      <c r="AP1896" t="n">
        <v>0</v>
      </c>
      <c r="AQ1896" t="n">
        <v>0</v>
      </c>
      <c r="AR1896" t="inlineStr">
        <is>
          <t>No</t>
        </is>
      </c>
      <c r="AS1896" t="inlineStr">
        <is>
          <t>Yes</t>
        </is>
      </c>
      <c r="AT1896">
        <f>HYPERLINK("http://catalog.hathitrust.org/Record/001657747","HathiTrust Record")</f>
        <v/>
      </c>
      <c r="AU1896">
        <f>HYPERLINK("https://creighton-primo.hosted.exlibrisgroup.com/primo-explore/search?tab=default_tab&amp;search_scope=EVERYTHING&amp;vid=01CRU&amp;lang=en_US&amp;offset=0&amp;query=any,contains,991000626509702656","Catalog Record")</f>
        <v/>
      </c>
      <c r="AV1896">
        <f>HYPERLINK("http://www.worldcat.org/oclc/104472","WorldCat Record")</f>
        <v/>
      </c>
      <c r="AW1896" t="inlineStr">
        <is>
          <t>20593254:eng</t>
        </is>
      </c>
      <c r="AX1896" t="inlineStr">
        <is>
          <t>104472</t>
        </is>
      </c>
      <c r="AY1896" t="inlineStr">
        <is>
          <t>991000626509702656</t>
        </is>
      </c>
      <c r="AZ1896" t="inlineStr">
        <is>
          <t>991000626509702656</t>
        </is>
      </c>
      <c r="BA1896" t="inlineStr">
        <is>
          <t>2260676670002656</t>
        </is>
      </c>
      <c r="BB1896" t="inlineStr">
        <is>
          <t>BOOK</t>
        </is>
      </c>
      <c r="BE1896" t="inlineStr">
        <is>
          <t>32285002892403</t>
        </is>
      </c>
      <c r="BF1896" t="inlineStr">
        <is>
          <t>893878218</t>
        </is>
      </c>
    </row>
    <row r="1897">
      <c r="A1897" t="inlineStr">
        <is>
          <t>No</t>
        </is>
      </c>
      <c r="B1897" t="inlineStr">
        <is>
          <t>CURAL</t>
        </is>
      </c>
      <c r="C1897" t="inlineStr">
        <is>
          <t>SHELVES</t>
        </is>
      </c>
      <c r="D1897" t="inlineStr">
        <is>
          <t>PR4612.G33 E5 1977</t>
        </is>
      </c>
      <c r="E1897" t="inlineStr">
        <is>
          <t>0                      PR 4612000G  33                 E  5           1977</t>
        </is>
      </c>
      <c r="F1897" t="inlineStr">
        <is>
          <t>Lewis Carroll : fragments of a looking-glass from Alice to Zeno / Jean Gattégno ; translated by Rosemary Sheed.</t>
        </is>
      </c>
      <c r="H1897" t="inlineStr">
        <is>
          <t>No</t>
        </is>
      </c>
      <c r="I1897" t="inlineStr">
        <is>
          <t>1</t>
        </is>
      </c>
      <c r="J1897" t="inlineStr">
        <is>
          <t>No</t>
        </is>
      </c>
      <c r="K1897" t="inlineStr">
        <is>
          <t>No</t>
        </is>
      </c>
      <c r="L1897" t="inlineStr">
        <is>
          <t>0</t>
        </is>
      </c>
      <c r="M1897" t="inlineStr">
        <is>
          <t>Gattégno, Jean.</t>
        </is>
      </c>
      <c r="N1897" t="inlineStr">
        <is>
          <t>London ; Boston : G. Allen, 1977.</t>
        </is>
      </c>
      <c r="O1897" t="inlineStr">
        <is>
          <t>1977</t>
        </is>
      </c>
      <c r="Q1897" t="inlineStr">
        <is>
          <t>eng</t>
        </is>
      </c>
      <c r="R1897" t="inlineStr">
        <is>
          <t>enk</t>
        </is>
      </c>
      <c r="T1897" t="inlineStr">
        <is>
          <t xml:space="preserve">PR </t>
        </is>
      </c>
      <c r="U1897" t="n">
        <v>2</v>
      </c>
      <c r="V1897" t="n">
        <v>2</v>
      </c>
      <c r="W1897" t="inlineStr">
        <is>
          <t>2009-05-05</t>
        </is>
      </c>
      <c r="X1897" t="inlineStr">
        <is>
          <t>2009-05-05</t>
        </is>
      </c>
      <c r="Y1897" t="inlineStr">
        <is>
          <t>1991-11-07</t>
        </is>
      </c>
      <c r="Z1897" t="inlineStr">
        <is>
          <t>1991-11-07</t>
        </is>
      </c>
      <c r="AA1897" t="n">
        <v>146</v>
      </c>
      <c r="AB1897" t="n">
        <v>41</v>
      </c>
      <c r="AC1897" t="n">
        <v>916</v>
      </c>
      <c r="AD1897" t="n">
        <v>1</v>
      </c>
      <c r="AE1897" t="n">
        <v>9</v>
      </c>
      <c r="AF1897" t="n">
        <v>0</v>
      </c>
      <c r="AG1897" t="n">
        <v>35</v>
      </c>
      <c r="AH1897" t="n">
        <v>0</v>
      </c>
      <c r="AI1897" t="n">
        <v>16</v>
      </c>
      <c r="AJ1897" t="n">
        <v>0</v>
      </c>
      <c r="AK1897" t="n">
        <v>6</v>
      </c>
      <c r="AL1897" t="n">
        <v>0</v>
      </c>
      <c r="AM1897" t="n">
        <v>16</v>
      </c>
      <c r="AN1897" t="n">
        <v>0</v>
      </c>
      <c r="AO1897" t="n">
        <v>7</v>
      </c>
      <c r="AP1897" t="n">
        <v>0</v>
      </c>
      <c r="AQ1897" t="n">
        <v>0</v>
      </c>
      <c r="AR1897" t="inlineStr">
        <is>
          <t>No</t>
        </is>
      </c>
      <c r="AS1897" t="inlineStr">
        <is>
          <t>Yes</t>
        </is>
      </c>
      <c r="AT1897">
        <f>HYPERLINK("http://catalog.hathitrust.org/Record/000134376","HathiTrust Record")</f>
        <v/>
      </c>
      <c r="AU1897">
        <f>HYPERLINK("https://creighton-primo.hosted.exlibrisgroup.com/primo-explore/search?tab=default_tab&amp;search_scope=EVERYTHING&amp;vid=01CRU&amp;lang=en_US&amp;offset=0&amp;query=any,contains,991004520099702656","Catalog Record")</f>
        <v/>
      </c>
      <c r="AV1897">
        <f>HYPERLINK("http://www.worldcat.org/oclc/3810715","WorldCat Record")</f>
        <v/>
      </c>
      <c r="AW1897" t="inlineStr">
        <is>
          <t>2999276179:eng</t>
        </is>
      </c>
      <c r="AX1897" t="inlineStr">
        <is>
          <t>3810715</t>
        </is>
      </c>
      <c r="AY1897" t="inlineStr">
        <is>
          <t>991004520099702656</t>
        </is>
      </c>
      <c r="AZ1897" t="inlineStr">
        <is>
          <t>991004520099702656</t>
        </is>
      </c>
      <c r="BA1897" t="inlineStr">
        <is>
          <t>2256586290002656</t>
        </is>
      </c>
      <c r="BB1897" t="inlineStr">
        <is>
          <t>BOOK</t>
        </is>
      </c>
      <c r="BE1897" t="inlineStr">
        <is>
          <t>32285000798875</t>
        </is>
      </c>
      <c r="BF1897" t="inlineStr">
        <is>
          <t>893901317</t>
        </is>
      </c>
    </row>
    <row r="1898">
      <c r="A1898" t="inlineStr">
        <is>
          <t>No</t>
        </is>
      </c>
      <c r="B1898" t="inlineStr">
        <is>
          <t>CURAL</t>
        </is>
      </c>
      <c r="C1898" t="inlineStr">
        <is>
          <t>SHELVES</t>
        </is>
      </c>
      <c r="D1898" t="inlineStr">
        <is>
          <t>PR4613.D5 Z525 2000</t>
        </is>
      </c>
      <c r="E1898" t="inlineStr">
        <is>
          <t>0                      PR 4613000D  5                  Z  525         2000</t>
        </is>
      </c>
      <c r="F1898" t="inlineStr">
        <is>
          <t>Madder music, stronger wine : the life of Ernest Dowson, poet and decadent / Jad Adams.</t>
        </is>
      </c>
      <c r="H1898" t="inlineStr">
        <is>
          <t>No</t>
        </is>
      </c>
      <c r="I1898" t="inlineStr">
        <is>
          <t>1</t>
        </is>
      </c>
      <c r="J1898" t="inlineStr">
        <is>
          <t>No</t>
        </is>
      </c>
      <c r="K1898" t="inlineStr">
        <is>
          <t>No</t>
        </is>
      </c>
      <c r="L1898" t="inlineStr">
        <is>
          <t>0</t>
        </is>
      </c>
      <c r="M1898" t="inlineStr">
        <is>
          <t>Adams, Jad.</t>
        </is>
      </c>
      <c r="N1898" t="inlineStr">
        <is>
          <t>London ; New York : I.B. Tauris ; New York : Distributed by St. Martin's Press, 2000.</t>
        </is>
      </c>
      <c r="O1898" t="inlineStr">
        <is>
          <t>2000</t>
        </is>
      </c>
      <c r="Q1898" t="inlineStr">
        <is>
          <t>eng</t>
        </is>
      </c>
      <c r="R1898" t="inlineStr">
        <is>
          <t>enk</t>
        </is>
      </c>
      <c r="T1898" t="inlineStr">
        <is>
          <t xml:space="preserve">PR </t>
        </is>
      </c>
      <c r="U1898" t="n">
        <v>1</v>
      </c>
      <c r="V1898" t="n">
        <v>1</v>
      </c>
      <c r="W1898" t="inlineStr">
        <is>
          <t>2001-12-05</t>
        </is>
      </c>
      <c r="X1898" t="inlineStr">
        <is>
          <t>2001-12-05</t>
        </is>
      </c>
      <c r="Y1898" t="inlineStr">
        <is>
          <t>2001-12-03</t>
        </is>
      </c>
      <c r="Z1898" t="inlineStr">
        <is>
          <t>2001-12-03</t>
        </is>
      </c>
      <c r="AA1898" t="n">
        <v>354</v>
      </c>
      <c r="AB1898" t="n">
        <v>265</v>
      </c>
      <c r="AC1898" t="n">
        <v>269</v>
      </c>
      <c r="AD1898" t="n">
        <v>2</v>
      </c>
      <c r="AE1898" t="n">
        <v>2</v>
      </c>
      <c r="AF1898" t="n">
        <v>18</v>
      </c>
      <c r="AG1898" t="n">
        <v>18</v>
      </c>
      <c r="AH1898" t="n">
        <v>7</v>
      </c>
      <c r="AI1898" t="n">
        <v>7</v>
      </c>
      <c r="AJ1898" t="n">
        <v>5</v>
      </c>
      <c r="AK1898" t="n">
        <v>5</v>
      </c>
      <c r="AL1898" t="n">
        <v>9</v>
      </c>
      <c r="AM1898" t="n">
        <v>9</v>
      </c>
      <c r="AN1898" t="n">
        <v>1</v>
      </c>
      <c r="AO1898" t="n">
        <v>1</v>
      </c>
      <c r="AP1898" t="n">
        <v>0</v>
      </c>
      <c r="AQ1898" t="n">
        <v>0</v>
      </c>
      <c r="AR1898" t="inlineStr">
        <is>
          <t>No</t>
        </is>
      </c>
      <c r="AS1898" t="inlineStr">
        <is>
          <t>Yes</t>
        </is>
      </c>
      <c r="AT1898">
        <f>HYPERLINK("http://catalog.hathitrust.org/Record/004079879","HathiTrust Record")</f>
        <v/>
      </c>
      <c r="AU1898">
        <f>HYPERLINK("https://creighton-primo.hosted.exlibrisgroup.com/primo-explore/search?tab=default_tab&amp;search_scope=EVERYTHING&amp;vid=01CRU&amp;lang=en_US&amp;offset=0&amp;query=any,contains,991003643979702656","Catalog Record")</f>
        <v/>
      </c>
      <c r="AV1898">
        <f>HYPERLINK("http://www.worldcat.org/oclc/41580956","WorldCat Record")</f>
        <v/>
      </c>
      <c r="AW1898" t="inlineStr">
        <is>
          <t>57852:eng</t>
        </is>
      </c>
      <c r="AX1898" t="inlineStr">
        <is>
          <t>41580956</t>
        </is>
      </c>
      <c r="AY1898" t="inlineStr">
        <is>
          <t>991003643979702656</t>
        </is>
      </c>
      <c r="AZ1898" t="inlineStr">
        <is>
          <t>991003643979702656</t>
        </is>
      </c>
      <c r="BA1898" t="inlineStr">
        <is>
          <t>2268250620002656</t>
        </is>
      </c>
      <c r="BB1898" t="inlineStr">
        <is>
          <t>BOOK</t>
        </is>
      </c>
      <c r="BD1898" t="inlineStr">
        <is>
          <t>9781860644702</t>
        </is>
      </c>
      <c r="BE1898" t="inlineStr">
        <is>
          <t>32285004414933</t>
        </is>
      </c>
      <c r="BF1898" t="inlineStr">
        <is>
          <t>893531412</t>
        </is>
      </c>
    </row>
    <row r="1899">
      <c r="A1899" t="inlineStr">
        <is>
          <t>No</t>
        </is>
      </c>
      <c r="B1899" t="inlineStr">
        <is>
          <t>CURAL</t>
        </is>
      </c>
      <c r="C1899" t="inlineStr">
        <is>
          <t>SHELVES</t>
        </is>
      </c>
      <c r="D1899" t="inlineStr">
        <is>
          <t>PR4613.D5 Z65 1967</t>
        </is>
      </c>
      <c r="E1899" t="inlineStr">
        <is>
          <t>0                      PR 4613000D  5                  Z  65          1967</t>
        </is>
      </c>
      <c r="F1899" t="inlineStr">
        <is>
          <t>Ernest Dowson, by Mark Longaker.</t>
        </is>
      </c>
      <c r="H1899" t="inlineStr">
        <is>
          <t>No</t>
        </is>
      </c>
      <c r="I1899" t="inlineStr">
        <is>
          <t>1</t>
        </is>
      </c>
      <c r="J1899" t="inlineStr">
        <is>
          <t>No</t>
        </is>
      </c>
      <c r="K1899" t="inlineStr">
        <is>
          <t>No</t>
        </is>
      </c>
      <c r="L1899" t="inlineStr">
        <is>
          <t>0</t>
        </is>
      </c>
      <c r="M1899" t="inlineStr">
        <is>
          <t>Longaker, John Mark, 1900-1985.</t>
        </is>
      </c>
      <c r="N1899" t="inlineStr">
        <is>
          <t>Philadelphia, University of Pennsylvania Press [1967, c1945]</t>
        </is>
      </c>
      <c r="O1899" t="inlineStr">
        <is>
          <t>1967</t>
        </is>
      </c>
      <c r="P1899" t="inlineStr">
        <is>
          <t>[3d ed.]</t>
        </is>
      </c>
      <c r="Q1899" t="inlineStr">
        <is>
          <t>eng</t>
        </is>
      </c>
      <c r="R1899" t="inlineStr">
        <is>
          <t>pau</t>
        </is>
      </c>
      <c r="T1899" t="inlineStr">
        <is>
          <t xml:space="preserve">PR </t>
        </is>
      </c>
      <c r="U1899" t="n">
        <v>3</v>
      </c>
      <c r="V1899" t="n">
        <v>3</v>
      </c>
      <c r="W1899" t="inlineStr">
        <is>
          <t>2000-01-16</t>
        </is>
      </c>
      <c r="X1899" t="inlineStr">
        <is>
          <t>2000-01-16</t>
        </is>
      </c>
      <c r="Y1899" t="inlineStr">
        <is>
          <t>1997-07-14</t>
        </is>
      </c>
      <c r="Z1899" t="inlineStr">
        <is>
          <t>1997-07-14</t>
        </is>
      </c>
      <c r="AA1899" t="n">
        <v>394</v>
      </c>
      <c r="AB1899" t="n">
        <v>351</v>
      </c>
      <c r="AC1899" t="n">
        <v>743</v>
      </c>
      <c r="AD1899" t="n">
        <v>4</v>
      </c>
      <c r="AE1899" t="n">
        <v>5</v>
      </c>
      <c r="AF1899" t="n">
        <v>18</v>
      </c>
      <c r="AG1899" t="n">
        <v>36</v>
      </c>
      <c r="AH1899" t="n">
        <v>7</v>
      </c>
      <c r="AI1899" t="n">
        <v>15</v>
      </c>
      <c r="AJ1899" t="n">
        <v>4</v>
      </c>
      <c r="AK1899" t="n">
        <v>10</v>
      </c>
      <c r="AL1899" t="n">
        <v>10</v>
      </c>
      <c r="AM1899" t="n">
        <v>20</v>
      </c>
      <c r="AN1899" t="n">
        <v>2</v>
      </c>
      <c r="AO1899" t="n">
        <v>3</v>
      </c>
      <c r="AP1899" t="n">
        <v>0</v>
      </c>
      <c r="AQ1899" t="n">
        <v>0</v>
      </c>
      <c r="AR1899" t="inlineStr">
        <is>
          <t>No</t>
        </is>
      </c>
      <c r="AS1899" t="inlineStr">
        <is>
          <t>No</t>
        </is>
      </c>
      <c r="AU1899">
        <f>HYPERLINK("https://creighton-primo.hosted.exlibrisgroup.com/primo-explore/search?tab=default_tab&amp;search_scope=EVERYTHING&amp;vid=01CRU&amp;lang=en_US&amp;offset=0&amp;query=any,contains,991002486899702656","Catalog Record")</f>
        <v/>
      </c>
      <c r="AV1899">
        <f>HYPERLINK("http://www.worldcat.org/oclc/361232","WorldCat Record")</f>
        <v/>
      </c>
      <c r="AW1899" t="inlineStr">
        <is>
          <t>1413747:eng</t>
        </is>
      </c>
      <c r="AX1899" t="inlineStr">
        <is>
          <t>361232</t>
        </is>
      </c>
      <c r="AY1899" t="inlineStr">
        <is>
          <t>991002486899702656</t>
        </is>
      </c>
      <c r="AZ1899" t="inlineStr">
        <is>
          <t>991002486899702656</t>
        </is>
      </c>
      <c r="BA1899" t="inlineStr">
        <is>
          <t>2263335680002656</t>
        </is>
      </c>
      <c r="BB1899" t="inlineStr">
        <is>
          <t>BOOK</t>
        </is>
      </c>
      <c r="BE1899" t="inlineStr">
        <is>
          <t>32285002892460</t>
        </is>
      </c>
      <c r="BF1899" t="inlineStr">
        <is>
          <t>893427644</t>
        </is>
      </c>
    </row>
    <row r="1900">
      <c r="A1900" t="inlineStr">
        <is>
          <t>No</t>
        </is>
      </c>
      <c r="B1900" t="inlineStr">
        <is>
          <t>CURAL</t>
        </is>
      </c>
      <c r="C1900" t="inlineStr">
        <is>
          <t>SHELVES</t>
        </is>
      </c>
      <c r="D1900" t="inlineStr">
        <is>
          <t>PR4613.D5 Z8</t>
        </is>
      </c>
      <c r="E1900" t="inlineStr">
        <is>
          <t>0                      PR 4613000D  5                  Z  8</t>
        </is>
      </c>
      <c r="F1900" t="inlineStr">
        <is>
          <t>Ernest Dowson / by Thomas Burnett Swann.</t>
        </is>
      </c>
      <c r="H1900" t="inlineStr">
        <is>
          <t>No</t>
        </is>
      </c>
      <c r="I1900" t="inlineStr">
        <is>
          <t>1</t>
        </is>
      </c>
      <c r="J1900" t="inlineStr">
        <is>
          <t>No</t>
        </is>
      </c>
      <c r="K1900" t="inlineStr">
        <is>
          <t>No</t>
        </is>
      </c>
      <c r="L1900" t="inlineStr">
        <is>
          <t>0</t>
        </is>
      </c>
      <c r="M1900" t="inlineStr">
        <is>
          <t>Swann, Thomas Burnett.</t>
        </is>
      </c>
      <c r="N1900" t="inlineStr">
        <is>
          <t>New York : Twayne Publishers, c1964.</t>
        </is>
      </c>
      <c r="O1900" t="inlineStr">
        <is>
          <t>1964</t>
        </is>
      </c>
      <c r="Q1900" t="inlineStr">
        <is>
          <t>eng</t>
        </is>
      </c>
      <c r="R1900" t="inlineStr">
        <is>
          <t>nyu</t>
        </is>
      </c>
      <c r="S1900" t="inlineStr">
        <is>
          <t>Twayne's English authors series ; TEAS 15</t>
        </is>
      </c>
      <c r="T1900" t="inlineStr">
        <is>
          <t xml:space="preserve">PR </t>
        </is>
      </c>
      <c r="U1900" t="n">
        <v>3</v>
      </c>
      <c r="V1900" t="n">
        <v>3</v>
      </c>
      <c r="W1900" t="inlineStr">
        <is>
          <t>1998-12-07</t>
        </is>
      </c>
      <c r="X1900" t="inlineStr">
        <is>
          <t>1998-12-07</t>
        </is>
      </c>
      <c r="Y1900" t="inlineStr">
        <is>
          <t>1997-07-14</t>
        </is>
      </c>
      <c r="Z1900" t="inlineStr">
        <is>
          <t>1997-07-14</t>
        </is>
      </c>
      <c r="AA1900" t="n">
        <v>194</v>
      </c>
      <c r="AB1900" t="n">
        <v>151</v>
      </c>
      <c r="AC1900" t="n">
        <v>754</v>
      </c>
      <c r="AD1900" t="n">
        <v>1</v>
      </c>
      <c r="AE1900" t="n">
        <v>8</v>
      </c>
      <c r="AF1900" t="n">
        <v>5</v>
      </c>
      <c r="AG1900" t="n">
        <v>37</v>
      </c>
      <c r="AH1900" t="n">
        <v>2</v>
      </c>
      <c r="AI1900" t="n">
        <v>14</v>
      </c>
      <c r="AJ1900" t="n">
        <v>1</v>
      </c>
      <c r="AK1900" t="n">
        <v>7</v>
      </c>
      <c r="AL1900" t="n">
        <v>5</v>
      </c>
      <c r="AM1900" t="n">
        <v>19</v>
      </c>
      <c r="AN1900" t="n">
        <v>0</v>
      </c>
      <c r="AO1900" t="n">
        <v>7</v>
      </c>
      <c r="AP1900" t="n">
        <v>0</v>
      </c>
      <c r="AQ1900" t="n">
        <v>0</v>
      </c>
      <c r="AR1900" t="inlineStr">
        <is>
          <t>No</t>
        </is>
      </c>
      <c r="AS1900" t="inlineStr">
        <is>
          <t>Yes</t>
        </is>
      </c>
      <c r="AT1900">
        <f>HYPERLINK("http://catalog.hathitrust.org/Record/007122524","HathiTrust Record")</f>
        <v/>
      </c>
      <c r="AU1900">
        <f>HYPERLINK("https://creighton-primo.hosted.exlibrisgroup.com/primo-explore/search?tab=default_tab&amp;search_scope=EVERYTHING&amp;vid=01CRU&amp;lang=en_US&amp;offset=0&amp;query=any,contains,991000318239702656","Catalog Record")</f>
        <v/>
      </c>
      <c r="AV1900">
        <f>HYPERLINK("http://www.worldcat.org/oclc/10132671","WorldCat Record")</f>
        <v/>
      </c>
      <c r="AW1900" t="inlineStr">
        <is>
          <t>1406289:eng</t>
        </is>
      </c>
      <c r="AX1900" t="inlineStr">
        <is>
          <t>10132671</t>
        </is>
      </c>
      <c r="AY1900" t="inlineStr">
        <is>
          <t>991000318239702656</t>
        </is>
      </c>
      <c r="AZ1900" t="inlineStr">
        <is>
          <t>991000318239702656</t>
        </is>
      </c>
      <c r="BA1900" t="inlineStr">
        <is>
          <t>2271221110002656</t>
        </is>
      </c>
      <c r="BB1900" t="inlineStr">
        <is>
          <t>BOOK</t>
        </is>
      </c>
      <c r="BE1900" t="inlineStr">
        <is>
          <t>32285002892478</t>
        </is>
      </c>
      <c r="BF1900" t="inlineStr">
        <is>
          <t>893243144</t>
        </is>
      </c>
    </row>
    <row r="1901">
      <c r="A1901" t="inlineStr">
        <is>
          <t>No</t>
        </is>
      </c>
      <c r="B1901" t="inlineStr">
        <is>
          <t>CURAL</t>
        </is>
      </c>
      <c r="C1901" t="inlineStr">
        <is>
          <t>SHELVES</t>
        </is>
      </c>
      <c r="D1901" t="inlineStr">
        <is>
          <t>PR4623 .C3</t>
        </is>
      </c>
      <c r="E1901" t="inlineStr">
        <is>
          <t>0                      PR 4623000C  3</t>
        </is>
      </c>
      <c r="F1901" t="inlineStr">
        <is>
          <t>The life of Sir Arthur Conan Doyle.</t>
        </is>
      </c>
      <c r="H1901" t="inlineStr">
        <is>
          <t>No</t>
        </is>
      </c>
      <c r="I1901" t="inlineStr">
        <is>
          <t>1</t>
        </is>
      </c>
      <c r="J1901" t="inlineStr">
        <is>
          <t>No</t>
        </is>
      </c>
      <c r="K1901" t="inlineStr">
        <is>
          <t>No</t>
        </is>
      </c>
      <c r="L1901" t="inlineStr">
        <is>
          <t>0</t>
        </is>
      </c>
      <c r="M1901" t="inlineStr">
        <is>
          <t>Carr, John Dickson, 1906-1977.</t>
        </is>
      </c>
      <c r="N1901" t="inlineStr">
        <is>
          <t>New York, Harper [1949]</t>
        </is>
      </c>
      <c r="O1901" t="inlineStr">
        <is>
          <t>1949</t>
        </is>
      </c>
      <c r="P1901" t="inlineStr">
        <is>
          <t>[1st ed.]</t>
        </is>
      </c>
      <c r="Q1901" t="inlineStr">
        <is>
          <t>eng</t>
        </is>
      </c>
      <c r="R1901" t="inlineStr">
        <is>
          <t>nyu</t>
        </is>
      </c>
      <c r="T1901" t="inlineStr">
        <is>
          <t xml:space="preserve">PR </t>
        </is>
      </c>
      <c r="U1901" t="n">
        <v>3</v>
      </c>
      <c r="V1901" t="n">
        <v>3</v>
      </c>
      <c r="W1901" t="inlineStr">
        <is>
          <t>1997-12-07</t>
        </is>
      </c>
      <c r="X1901" t="inlineStr">
        <is>
          <t>1997-12-07</t>
        </is>
      </c>
      <c r="Y1901" t="inlineStr">
        <is>
          <t>1997-07-14</t>
        </is>
      </c>
      <c r="Z1901" t="inlineStr">
        <is>
          <t>1997-07-14</t>
        </is>
      </c>
      <c r="AA1901" t="n">
        <v>1183</v>
      </c>
      <c r="AB1901" t="n">
        <v>1127</v>
      </c>
      <c r="AC1901" t="n">
        <v>1406</v>
      </c>
      <c r="AD1901" t="n">
        <v>16</v>
      </c>
      <c r="AE1901" t="n">
        <v>16</v>
      </c>
      <c r="AF1901" t="n">
        <v>43</v>
      </c>
      <c r="AG1901" t="n">
        <v>49</v>
      </c>
      <c r="AH1901" t="n">
        <v>16</v>
      </c>
      <c r="AI1901" t="n">
        <v>18</v>
      </c>
      <c r="AJ1901" t="n">
        <v>6</v>
      </c>
      <c r="AK1901" t="n">
        <v>9</v>
      </c>
      <c r="AL1901" t="n">
        <v>18</v>
      </c>
      <c r="AM1901" t="n">
        <v>23</v>
      </c>
      <c r="AN1901" t="n">
        <v>10</v>
      </c>
      <c r="AO1901" t="n">
        <v>10</v>
      </c>
      <c r="AP1901" t="n">
        <v>0</v>
      </c>
      <c r="AQ1901" t="n">
        <v>0</v>
      </c>
      <c r="AR1901" t="inlineStr">
        <is>
          <t>No</t>
        </is>
      </c>
      <c r="AS1901" t="inlineStr">
        <is>
          <t>Yes</t>
        </is>
      </c>
      <c r="AT1901">
        <f>HYPERLINK("http://catalog.hathitrust.org/Record/001023654","HathiTrust Record")</f>
        <v/>
      </c>
      <c r="AU1901">
        <f>HYPERLINK("https://creighton-primo.hosted.exlibrisgroup.com/primo-explore/search?tab=default_tab&amp;search_scope=EVERYTHING&amp;vid=01CRU&amp;lang=en_US&amp;offset=0&amp;query=any,contains,991002486749702656","Catalog Record")</f>
        <v/>
      </c>
      <c r="AV1901">
        <f>HYPERLINK("http://www.worldcat.org/oclc/361166","WorldCat Record")</f>
        <v/>
      </c>
      <c r="AW1901" t="inlineStr">
        <is>
          <t>771889:eng</t>
        </is>
      </c>
      <c r="AX1901" t="inlineStr">
        <is>
          <t>361166</t>
        </is>
      </c>
      <c r="AY1901" t="inlineStr">
        <is>
          <t>991002486749702656</t>
        </is>
      </c>
      <c r="AZ1901" t="inlineStr">
        <is>
          <t>991002486749702656</t>
        </is>
      </c>
      <c r="BA1901" t="inlineStr">
        <is>
          <t>2263264870002656</t>
        </is>
      </c>
      <c r="BB1901" t="inlineStr">
        <is>
          <t>BOOK</t>
        </is>
      </c>
      <c r="BE1901" t="inlineStr">
        <is>
          <t>32285002892544</t>
        </is>
      </c>
      <c r="BF1901" t="inlineStr">
        <is>
          <t>893898801</t>
        </is>
      </c>
    </row>
    <row r="1902">
      <c r="A1902" t="inlineStr">
        <is>
          <t>No</t>
        </is>
      </c>
      <c r="B1902" t="inlineStr">
        <is>
          <t>CURAL</t>
        </is>
      </c>
      <c r="C1902" t="inlineStr">
        <is>
          <t>SHELVES</t>
        </is>
      </c>
      <c r="D1902" t="inlineStr">
        <is>
          <t>PR4623 .E38 1983</t>
        </is>
      </c>
      <c r="E1902" t="inlineStr">
        <is>
          <t>0                      PR 4623000E  38          1983</t>
        </is>
      </c>
      <c r="F1902" t="inlineStr">
        <is>
          <t>The quest for Sherlock Holmes : a biographical study of Arthur Conan Doyle / by Owen Dudley Edwards.</t>
        </is>
      </c>
      <c r="H1902" t="inlineStr">
        <is>
          <t>No</t>
        </is>
      </c>
      <c r="I1902" t="inlineStr">
        <is>
          <t>1</t>
        </is>
      </c>
      <c r="J1902" t="inlineStr">
        <is>
          <t>No</t>
        </is>
      </c>
      <c r="K1902" t="inlineStr">
        <is>
          <t>No</t>
        </is>
      </c>
      <c r="L1902" t="inlineStr">
        <is>
          <t>0</t>
        </is>
      </c>
      <c r="M1902" t="inlineStr">
        <is>
          <t>Edwards, Owen Dudley.</t>
        </is>
      </c>
      <c r="N1902" t="inlineStr">
        <is>
          <t>Edinburgh : Mainstream, c1983.</t>
        </is>
      </c>
      <c r="O1902" t="inlineStr">
        <is>
          <t>1983</t>
        </is>
      </c>
      <c r="Q1902" t="inlineStr">
        <is>
          <t>eng</t>
        </is>
      </c>
      <c r="R1902" t="inlineStr">
        <is>
          <t>stk</t>
        </is>
      </c>
      <c r="T1902" t="inlineStr">
        <is>
          <t xml:space="preserve">PR </t>
        </is>
      </c>
      <c r="U1902" t="n">
        <v>5</v>
      </c>
      <c r="V1902" t="n">
        <v>5</v>
      </c>
      <c r="W1902" t="inlineStr">
        <is>
          <t>1997-02-18</t>
        </is>
      </c>
      <c r="X1902" t="inlineStr">
        <is>
          <t>1997-02-18</t>
        </is>
      </c>
      <c r="Y1902" t="inlineStr">
        <is>
          <t>1992-01-10</t>
        </is>
      </c>
      <c r="Z1902" t="inlineStr">
        <is>
          <t>1992-01-10</t>
        </is>
      </c>
      <c r="AA1902" t="n">
        <v>190</v>
      </c>
      <c r="AB1902" t="n">
        <v>76</v>
      </c>
      <c r="AC1902" t="n">
        <v>375</v>
      </c>
      <c r="AD1902" t="n">
        <v>2</v>
      </c>
      <c r="AE1902" t="n">
        <v>5</v>
      </c>
      <c r="AF1902" t="n">
        <v>4</v>
      </c>
      <c r="AG1902" t="n">
        <v>17</v>
      </c>
      <c r="AH1902" t="n">
        <v>0</v>
      </c>
      <c r="AI1902" t="n">
        <v>7</v>
      </c>
      <c r="AJ1902" t="n">
        <v>2</v>
      </c>
      <c r="AK1902" t="n">
        <v>2</v>
      </c>
      <c r="AL1902" t="n">
        <v>3</v>
      </c>
      <c r="AM1902" t="n">
        <v>9</v>
      </c>
      <c r="AN1902" t="n">
        <v>1</v>
      </c>
      <c r="AO1902" t="n">
        <v>4</v>
      </c>
      <c r="AP1902" t="n">
        <v>0</v>
      </c>
      <c r="AQ1902" t="n">
        <v>0</v>
      </c>
      <c r="AR1902" t="inlineStr">
        <is>
          <t>No</t>
        </is>
      </c>
      <c r="AS1902" t="inlineStr">
        <is>
          <t>Yes</t>
        </is>
      </c>
      <c r="AT1902">
        <f>HYPERLINK("http://catalog.hathitrust.org/Record/007118360","HathiTrust Record")</f>
        <v/>
      </c>
      <c r="AU1902">
        <f>HYPERLINK("https://creighton-primo.hosted.exlibrisgroup.com/primo-explore/search?tab=default_tab&amp;search_scope=EVERYTHING&amp;vid=01CRU&amp;lang=en_US&amp;offset=0&amp;query=any,contains,991000155079702656","Catalog Record")</f>
        <v/>
      </c>
      <c r="AV1902">
        <f>HYPERLINK("http://www.worldcat.org/oclc/60017741","WorldCat Record")</f>
        <v/>
      </c>
      <c r="AW1902" t="inlineStr">
        <is>
          <t>5001562:eng</t>
        </is>
      </c>
      <c r="AX1902" t="inlineStr">
        <is>
          <t>60017741</t>
        </is>
      </c>
      <c r="AY1902" t="inlineStr">
        <is>
          <t>991000155079702656</t>
        </is>
      </c>
      <c r="AZ1902" t="inlineStr">
        <is>
          <t>991000155079702656</t>
        </is>
      </c>
      <c r="BA1902" t="inlineStr">
        <is>
          <t>2271455580002656</t>
        </is>
      </c>
      <c r="BB1902" t="inlineStr">
        <is>
          <t>BOOK</t>
        </is>
      </c>
      <c r="BD1902" t="inlineStr">
        <is>
          <t>9780851054070</t>
        </is>
      </c>
      <c r="BE1902" t="inlineStr">
        <is>
          <t>32285000911304</t>
        </is>
      </c>
      <c r="BF1902" t="inlineStr">
        <is>
          <t>893320865</t>
        </is>
      </c>
    </row>
    <row r="1903">
      <c r="A1903" t="inlineStr">
        <is>
          <t>No</t>
        </is>
      </c>
      <c r="B1903" t="inlineStr">
        <is>
          <t>CURAL</t>
        </is>
      </c>
      <c r="C1903" t="inlineStr">
        <is>
          <t>SHELVES</t>
        </is>
      </c>
      <c r="D1903" t="inlineStr">
        <is>
          <t>PR4623 .H3 1964a</t>
        </is>
      </c>
      <c r="E1903" t="inlineStr">
        <is>
          <t>0                      PR 4623000H  3           1964a</t>
        </is>
      </c>
      <c r="F1903" t="inlineStr">
        <is>
          <t>The man who was Sherlock Holmes.</t>
        </is>
      </c>
      <c r="H1903" t="inlineStr">
        <is>
          <t>No</t>
        </is>
      </c>
      <c r="I1903" t="inlineStr">
        <is>
          <t>1</t>
        </is>
      </c>
      <c r="J1903" t="inlineStr">
        <is>
          <t>No</t>
        </is>
      </c>
      <c r="K1903" t="inlineStr">
        <is>
          <t>No</t>
        </is>
      </c>
      <c r="L1903" t="inlineStr">
        <is>
          <t>0</t>
        </is>
      </c>
      <c r="M1903" t="inlineStr">
        <is>
          <t>Hardwick, Michael, 1924-1991.</t>
        </is>
      </c>
      <c r="N1903" t="inlineStr">
        <is>
          <t>Garden City, N.Y. : Doubleday, 1964.</t>
        </is>
      </c>
      <c r="O1903" t="inlineStr">
        <is>
          <t>1964</t>
        </is>
      </c>
      <c r="P1903" t="inlineStr">
        <is>
          <t>[1st ed. in the U.S.A.]</t>
        </is>
      </c>
      <c r="Q1903" t="inlineStr">
        <is>
          <t>eng</t>
        </is>
      </c>
      <c r="R1903" t="inlineStr">
        <is>
          <t xml:space="preserve">xx </t>
        </is>
      </c>
      <c r="T1903" t="inlineStr">
        <is>
          <t xml:space="preserve">PR </t>
        </is>
      </c>
      <c r="U1903" t="n">
        <v>4</v>
      </c>
      <c r="V1903" t="n">
        <v>4</v>
      </c>
      <c r="W1903" t="inlineStr">
        <is>
          <t>1996-04-14</t>
        </is>
      </c>
      <c r="X1903" t="inlineStr">
        <is>
          <t>1996-04-14</t>
        </is>
      </c>
      <c r="Y1903" t="inlineStr">
        <is>
          <t>1992-09-30</t>
        </is>
      </c>
      <c r="Z1903" t="inlineStr">
        <is>
          <t>1992-09-30</t>
        </is>
      </c>
      <c r="AA1903" t="n">
        <v>417</v>
      </c>
      <c r="AB1903" t="n">
        <v>400</v>
      </c>
      <c r="AC1903" t="n">
        <v>443</v>
      </c>
      <c r="AD1903" t="n">
        <v>3</v>
      </c>
      <c r="AE1903" t="n">
        <v>3</v>
      </c>
      <c r="AF1903" t="n">
        <v>7</v>
      </c>
      <c r="AG1903" t="n">
        <v>11</v>
      </c>
      <c r="AH1903" t="n">
        <v>1</v>
      </c>
      <c r="AI1903" t="n">
        <v>4</v>
      </c>
      <c r="AJ1903" t="n">
        <v>2</v>
      </c>
      <c r="AK1903" t="n">
        <v>2</v>
      </c>
      <c r="AL1903" t="n">
        <v>6</v>
      </c>
      <c r="AM1903" t="n">
        <v>9</v>
      </c>
      <c r="AN1903" t="n">
        <v>1</v>
      </c>
      <c r="AO1903" t="n">
        <v>1</v>
      </c>
      <c r="AP1903" t="n">
        <v>0</v>
      </c>
      <c r="AQ1903" t="n">
        <v>0</v>
      </c>
      <c r="AR1903" t="inlineStr">
        <is>
          <t>No</t>
        </is>
      </c>
      <c r="AS1903" t="inlineStr">
        <is>
          <t>Yes</t>
        </is>
      </c>
      <c r="AT1903">
        <f>HYPERLINK("http://catalog.hathitrust.org/Record/000005146","HathiTrust Record")</f>
        <v/>
      </c>
      <c r="AU1903">
        <f>HYPERLINK("https://creighton-primo.hosted.exlibrisgroup.com/primo-explore/search?tab=default_tab&amp;search_scope=EVERYTHING&amp;vid=01CRU&amp;lang=en_US&amp;offset=0&amp;query=any,contains,991002486549702656","Catalog Record")</f>
        <v/>
      </c>
      <c r="AV1903">
        <f>HYPERLINK("http://www.worldcat.org/oclc/361140","WorldCat Record")</f>
        <v/>
      </c>
      <c r="AW1903" t="inlineStr">
        <is>
          <t>145020863:eng</t>
        </is>
      </c>
      <c r="AX1903" t="inlineStr">
        <is>
          <t>361140</t>
        </is>
      </c>
      <c r="AY1903" t="inlineStr">
        <is>
          <t>991002486549702656</t>
        </is>
      </c>
      <c r="AZ1903" t="inlineStr">
        <is>
          <t>991002486549702656</t>
        </is>
      </c>
      <c r="BA1903" t="inlineStr">
        <is>
          <t>2263260180002656</t>
        </is>
      </c>
      <c r="BB1903" t="inlineStr">
        <is>
          <t>BOOK</t>
        </is>
      </c>
      <c r="BE1903" t="inlineStr">
        <is>
          <t>32285001323178</t>
        </is>
      </c>
      <c r="BF1903" t="inlineStr">
        <is>
          <t>893597504</t>
        </is>
      </c>
    </row>
    <row r="1904">
      <c r="A1904" t="inlineStr">
        <is>
          <t>No</t>
        </is>
      </c>
      <c r="B1904" t="inlineStr">
        <is>
          <t>CURAL</t>
        </is>
      </c>
      <c r="C1904" t="inlineStr">
        <is>
          <t>SHELVES</t>
        </is>
      </c>
      <c r="D1904" t="inlineStr">
        <is>
          <t>PR4623 .N613 1967</t>
        </is>
      </c>
      <c r="E1904" t="inlineStr">
        <is>
          <t>0                      PR 4623000N  613         1967</t>
        </is>
      </c>
      <c r="F1904" t="inlineStr">
        <is>
          <t>Conan Doyle; a biography. [Translated from the French by Frances Partridge]</t>
        </is>
      </c>
      <c r="H1904" t="inlineStr">
        <is>
          <t>No</t>
        </is>
      </c>
      <c r="I1904" t="inlineStr">
        <is>
          <t>1</t>
        </is>
      </c>
      <c r="J1904" t="inlineStr">
        <is>
          <t>No</t>
        </is>
      </c>
      <c r="K1904" t="inlineStr">
        <is>
          <t>No</t>
        </is>
      </c>
      <c r="L1904" t="inlineStr">
        <is>
          <t>0</t>
        </is>
      </c>
      <c r="M1904" t="inlineStr">
        <is>
          <t>Nordon, Pierre, 1927-</t>
        </is>
      </c>
      <c r="N1904" t="inlineStr">
        <is>
          <t>New York, Holt, Rinehart and Winston [1967, c1966]</t>
        </is>
      </c>
      <c r="O1904" t="inlineStr">
        <is>
          <t>1967</t>
        </is>
      </c>
      <c r="Q1904" t="inlineStr">
        <is>
          <t>eng</t>
        </is>
      </c>
      <c r="R1904" t="inlineStr">
        <is>
          <t>nyu</t>
        </is>
      </c>
      <c r="T1904" t="inlineStr">
        <is>
          <t xml:space="preserve">PR </t>
        </is>
      </c>
      <c r="U1904" t="n">
        <v>3</v>
      </c>
      <c r="V1904" t="n">
        <v>3</v>
      </c>
      <c r="W1904" t="inlineStr">
        <is>
          <t>2008-03-31</t>
        </is>
      </c>
      <c r="X1904" t="inlineStr">
        <is>
          <t>2008-03-31</t>
        </is>
      </c>
      <c r="Y1904" t="inlineStr">
        <is>
          <t>1997-07-14</t>
        </is>
      </c>
      <c r="Z1904" t="inlineStr">
        <is>
          <t>1997-07-14</t>
        </is>
      </c>
      <c r="AA1904" t="n">
        <v>618</v>
      </c>
      <c r="AB1904" t="n">
        <v>605</v>
      </c>
      <c r="AC1904" t="n">
        <v>712</v>
      </c>
      <c r="AD1904" t="n">
        <v>4</v>
      </c>
      <c r="AE1904" t="n">
        <v>4</v>
      </c>
      <c r="AF1904" t="n">
        <v>22</v>
      </c>
      <c r="AG1904" t="n">
        <v>26</v>
      </c>
      <c r="AH1904" t="n">
        <v>9</v>
      </c>
      <c r="AI1904" t="n">
        <v>9</v>
      </c>
      <c r="AJ1904" t="n">
        <v>6</v>
      </c>
      <c r="AK1904" t="n">
        <v>6</v>
      </c>
      <c r="AL1904" t="n">
        <v>11</v>
      </c>
      <c r="AM1904" t="n">
        <v>15</v>
      </c>
      <c r="AN1904" t="n">
        <v>3</v>
      </c>
      <c r="AO1904" t="n">
        <v>3</v>
      </c>
      <c r="AP1904" t="n">
        <v>0</v>
      </c>
      <c r="AQ1904" t="n">
        <v>0</v>
      </c>
      <c r="AR1904" t="inlineStr">
        <is>
          <t>No</t>
        </is>
      </c>
      <c r="AS1904" t="inlineStr">
        <is>
          <t>Yes</t>
        </is>
      </c>
      <c r="AT1904">
        <f>HYPERLINK("http://catalog.hathitrust.org/Record/001375479","HathiTrust Record")</f>
        <v/>
      </c>
      <c r="AU1904">
        <f>HYPERLINK("https://creighton-primo.hosted.exlibrisgroup.com/primo-explore/search?tab=default_tab&amp;search_scope=EVERYTHING&amp;vid=01CRU&amp;lang=en_US&amp;offset=0&amp;query=any,contains,991003384059702656","Catalog Record")</f>
        <v/>
      </c>
      <c r="AV1904">
        <f>HYPERLINK("http://www.worldcat.org/oclc/921499","WorldCat Record")</f>
        <v/>
      </c>
      <c r="AW1904" t="inlineStr">
        <is>
          <t>10792743481:eng</t>
        </is>
      </c>
      <c r="AX1904" t="inlineStr">
        <is>
          <t>921499</t>
        </is>
      </c>
      <c r="AY1904" t="inlineStr">
        <is>
          <t>991003384059702656</t>
        </is>
      </c>
      <c r="AZ1904" t="inlineStr">
        <is>
          <t>991003384059702656</t>
        </is>
      </c>
      <c r="BA1904" t="inlineStr">
        <is>
          <t>2269973450002656</t>
        </is>
      </c>
      <c r="BB1904" t="inlineStr">
        <is>
          <t>BOOK</t>
        </is>
      </c>
      <c r="BE1904" t="inlineStr">
        <is>
          <t>32285002892569</t>
        </is>
      </c>
      <c r="BF1904" t="inlineStr">
        <is>
          <t>893787279</t>
        </is>
      </c>
    </row>
    <row r="1905">
      <c r="A1905" t="inlineStr">
        <is>
          <t>No</t>
        </is>
      </c>
      <c r="B1905" t="inlineStr">
        <is>
          <t>CURAL</t>
        </is>
      </c>
      <c r="C1905" t="inlineStr">
        <is>
          <t>SHELVES</t>
        </is>
      </c>
      <c r="D1905" t="inlineStr">
        <is>
          <t>PR4623 .P4 1943</t>
        </is>
      </c>
      <c r="E1905" t="inlineStr">
        <is>
          <t>0                      PR 4623000P  4           1943</t>
        </is>
      </c>
      <c r="F1905" t="inlineStr">
        <is>
          <t>Conan Doyle, his life and art, by Hesketh Pearson.</t>
        </is>
      </c>
      <c r="H1905" t="inlineStr">
        <is>
          <t>No</t>
        </is>
      </c>
      <c r="I1905" t="inlineStr">
        <is>
          <t>1</t>
        </is>
      </c>
      <c r="J1905" t="inlineStr">
        <is>
          <t>No</t>
        </is>
      </c>
      <c r="K1905" t="inlineStr">
        <is>
          <t>No</t>
        </is>
      </c>
      <c r="L1905" t="inlineStr">
        <is>
          <t>0</t>
        </is>
      </c>
      <c r="M1905" t="inlineStr">
        <is>
          <t>Pearson, Hesketh, 1887-1964.</t>
        </is>
      </c>
      <c r="N1905" t="inlineStr">
        <is>
          <t>London, Methuen, [1943]</t>
        </is>
      </c>
      <c r="O1905" t="inlineStr">
        <is>
          <t>1943</t>
        </is>
      </c>
      <c r="Q1905" t="inlineStr">
        <is>
          <t>eng</t>
        </is>
      </c>
      <c r="R1905" t="inlineStr">
        <is>
          <t>enk</t>
        </is>
      </c>
      <c r="T1905" t="inlineStr">
        <is>
          <t xml:space="preserve">PR </t>
        </is>
      </c>
      <c r="U1905" t="n">
        <v>3</v>
      </c>
      <c r="V1905" t="n">
        <v>3</v>
      </c>
      <c r="W1905" t="inlineStr">
        <is>
          <t>1997-12-07</t>
        </is>
      </c>
      <c r="X1905" t="inlineStr">
        <is>
          <t>1997-12-07</t>
        </is>
      </c>
      <c r="Y1905" t="inlineStr">
        <is>
          <t>1997-07-14</t>
        </is>
      </c>
      <c r="Z1905" t="inlineStr">
        <is>
          <t>1997-07-14</t>
        </is>
      </c>
      <c r="AA1905" t="n">
        <v>142</v>
      </c>
      <c r="AB1905" t="n">
        <v>97</v>
      </c>
      <c r="AC1905" t="n">
        <v>773</v>
      </c>
      <c r="AD1905" t="n">
        <v>1</v>
      </c>
      <c r="AE1905" t="n">
        <v>5</v>
      </c>
      <c r="AF1905" t="n">
        <v>4</v>
      </c>
      <c r="AG1905" t="n">
        <v>28</v>
      </c>
      <c r="AH1905" t="n">
        <v>2</v>
      </c>
      <c r="AI1905" t="n">
        <v>13</v>
      </c>
      <c r="AJ1905" t="n">
        <v>2</v>
      </c>
      <c r="AK1905" t="n">
        <v>8</v>
      </c>
      <c r="AL1905" t="n">
        <v>2</v>
      </c>
      <c r="AM1905" t="n">
        <v>12</v>
      </c>
      <c r="AN1905" t="n">
        <v>0</v>
      </c>
      <c r="AO1905" t="n">
        <v>2</v>
      </c>
      <c r="AP1905" t="n">
        <v>0</v>
      </c>
      <c r="AQ1905" t="n">
        <v>1</v>
      </c>
      <c r="AR1905" t="inlineStr">
        <is>
          <t>No</t>
        </is>
      </c>
      <c r="AS1905" t="inlineStr">
        <is>
          <t>Yes</t>
        </is>
      </c>
      <c r="AT1905">
        <f>HYPERLINK("http://catalog.hathitrust.org/Record/006864358","HathiTrust Record")</f>
        <v/>
      </c>
      <c r="AU1905">
        <f>HYPERLINK("https://creighton-primo.hosted.exlibrisgroup.com/primo-explore/search?tab=default_tab&amp;search_scope=EVERYTHING&amp;vid=01CRU&amp;lang=en_US&amp;offset=0&amp;query=any,contains,991004507469702656","Catalog Record")</f>
        <v/>
      </c>
      <c r="AV1905">
        <f>HYPERLINK("http://www.worldcat.org/oclc/3745427","WorldCat Record")</f>
        <v/>
      </c>
      <c r="AW1905" t="inlineStr">
        <is>
          <t>2553544:eng</t>
        </is>
      </c>
      <c r="AX1905" t="inlineStr">
        <is>
          <t>3745427</t>
        </is>
      </c>
      <c r="AY1905" t="inlineStr">
        <is>
          <t>991004507469702656</t>
        </is>
      </c>
      <c r="AZ1905" t="inlineStr">
        <is>
          <t>991004507469702656</t>
        </is>
      </c>
      <c r="BA1905" t="inlineStr">
        <is>
          <t>2270355930002656</t>
        </is>
      </c>
      <c r="BB1905" t="inlineStr">
        <is>
          <t>BOOK</t>
        </is>
      </c>
      <c r="BE1905" t="inlineStr">
        <is>
          <t>32285002892577</t>
        </is>
      </c>
      <c r="BF1905" t="inlineStr">
        <is>
          <t>893722468</t>
        </is>
      </c>
    </row>
    <row r="1906">
      <c r="A1906" t="inlineStr">
        <is>
          <t>No</t>
        </is>
      </c>
      <c r="B1906" t="inlineStr">
        <is>
          <t>CURAL</t>
        </is>
      </c>
      <c r="C1906" t="inlineStr">
        <is>
          <t>SHELVES</t>
        </is>
      </c>
      <c r="D1906" t="inlineStr">
        <is>
          <t>PR4623.A3 T7</t>
        </is>
      </c>
      <c r="E1906" t="inlineStr">
        <is>
          <t>0                      PR 4623000A  3                  T  7</t>
        </is>
      </c>
      <c r="F1906" t="inlineStr">
        <is>
          <t>The encyclopaedia Sherlockiana, or, A universal dictionary of the state of knowledge of Sherlock Holmes and his biographer John H. Watson M.D. / compiled and edited by Jack Tracy.</t>
        </is>
      </c>
      <c r="H1906" t="inlineStr">
        <is>
          <t>No</t>
        </is>
      </c>
      <c r="I1906" t="inlineStr">
        <is>
          <t>1</t>
        </is>
      </c>
      <c r="J1906" t="inlineStr">
        <is>
          <t>No</t>
        </is>
      </c>
      <c r="K1906" t="inlineStr">
        <is>
          <t>No</t>
        </is>
      </c>
      <c r="L1906" t="inlineStr">
        <is>
          <t>0</t>
        </is>
      </c>
      <c r="M1906" t="inlineStr">
        <is>
          <t>Tracy, Jack, 1945-</t>
        </is>
      </c>
      <c r="N1906" t="inlineStr">
        <is>
          <t>Garden City, N.Y. : Doubleday, c1977.</t>
        </is>
      </c>
      <c r="O1906" t="inlineStr">
        <is>
          <t>1977</t>
        </is>
      </c>
      <c r="P1906" t="inlineStr">
        <is>
          <t>1st ed.</t>
        </is>
      </c>
      <c r="Q1906" t="inlineStr">
        <is>
          <t>eng</t>
        </is>
      </c>
      <c r="R1906" t="inlineStr">
        <is>
          <t>nyu</t>
        </is>
      </c>
      <c r="T1906" t="inlineStr">
        <is>
          <t xml:space="preserve">PR </t>
        </is>
      </c>
      <c r="U1906" t="n">
        <v>2</v>
      </c>
      <c r="V1906" t="n">
        <v>2</v>
      </c>
      <c r="W1906" t="inlineStr">
        <is>
          <t>1997-02-18</t>
        </is>
      </c>
      <c r="X1906" t="inlineStr">
        <is>
          <t>1997-02-18</t>
        </is>
      </c>
      <c r="Y1906" t="inlineStr">
        <is>
          <t>1992-07-03</t>
        </is>
      </c>
      <c r="Z1906" t="inlineStr">
        <is>
          <t>1992-07-03</t>
        </is>
      </c>
      <c r="AA1906" t="n">
        <v>687</v>
      </c>
      <c r="AB1906" t="n">
        <v>643</v>
      </c>
      <c r="AC1906" t="n">
        <v>796</v>
      </c>
      <c r="AD1906" t="n">
        <v>7</v>
      </c>
      <c r="AE1906" t="n">
        <v>7</v>
      </c>
      <c r="AF1906" t="n">
        <v>12</v>
      </c>
      <c r="AG1906" t="n">
        <v>14</v>
      </c>
      <c r="AH1906" t="n">
        <v>5</v>
      </c>
      <c r="AI1906" t="n">
        <v>7</v>
      </c>
      <c r="AJ1906" t="n">
        <v>3</v>
      </c>
      <c r="AK1906" t="n">
        <v>3</v>
      </c>
      <c r="AL1906" t="n">
        <v>6</v>
      </c>
      <c r="AM1906" t="n">
        <v>7</v>
      </c>
      <c r="AN1906" t="n">
        <v>2</v>
      </c>
      <c r="AO1906" t="n">
        <v>2</v>
      </c>
      <c r="AP1906" t="n">
        <v>0</v>
      </c>
      <c r="AQ1906" t="n">
        <v>0</v>
      </c>
      <c r="AR1906" t="inlineStr">
        <is>
          <t>No</t>
        </is>
      </c>
      <c r="AS1906" t="inlineStr">
        <is>
          <t>Yes</t>
        </is>
      </c>
      <c r="AT1906">
        <f>HYPERLINK("http://catalog.hathitrust.org/Record/000254595","HathiTrust Record")</f>
        <v/>
      </c>
      <c r="AU1906">
        <f>HYPERLINK("https://creighton-primo.hosted.exlibrisgroup.com/primo-explore/search?tab=default_tab&amp;search_scope=EVERYTHING&amp;vid=01CRU&amp;lang=en_US&amp;offset=0&amp;query=any,contains,991004347359702656","Catalog Record")</f>
        <v/>
      </c>
      <c r="AV1906">
        <f>HYPERLINK("http://www.worldcat.org/oclc/3104013","WorldCat Record")</f>
        <v/>
      </c>
      <c r="AW1906" t="inlineStr">
        <is>
          <t>7592874:eng</t>
        </is>
      </c>
      <c r="AX1906" t="inlineStr">
        <is>
          <t>3104013</t>
        </is>
      </c>
      <c r="AY1906" t="inlineStr">
        <is>
          <t>991004347359702656</t>
        </is>
      </c>
      <c r="AZ1906" t="inlineStr">
        <is>
          <t>991004347359702656</t>
        </is>
      </c>
      <c r="BA1906" t="inlineStr">
        <is>
          <t>2271229990002656</t>
        </is>
      </c>
      <c r="BB1906" t="inlineStr">
        <is>
          <t>BOOK</t>
        </is>
      </c>
      <c r="BD1906" t="inlineStr">
        <is>
          <t>9780385030618</t>
        </is>
      </c>
      <c r="BE1906" t="inlineStr">
        <is>
          <t>32285001148591</t>
        </is>
      </c>
      <c r="BF1906" t="inlineStr">
        <is>
          <t>893429949</t>
        </is>
      </c>
    </row>
    <row r="1907">
      <c r="A1907" t="inlineStr">
        <is>
          <t>No</t>
        </is>
      </c>
      <c r="B1907" t="inlineStr">
        <is>
          <t>CURAL</t>
        </is>
      </c>
      <c r="C1907" t="inlineStr">
        <is>
          <t>SHELVES</t>
        </is>
      </c>
      <c r="D1907" t="inlineStr">
        <is>
          <t>PR4624 .D3</t>
        </is>
      </c>
      <c r="E1907" t="inlineStr">
        <is>
          <t>0                      PR 4624000D  3</t>
        </is>
      </c>
      <c r="F1907" t="inlineStr">
        <is>
          <t>A Sherlock Holmes commentary [by] D. Martin Dakin.</t>
        </is>
      </c>
      <c r="H1907" t="inlineStr">
        <is>
          <t>No</t>
        </is>
      </c>
      <c r="I1907" t="inlineStr">
        <is>
          <t>1</t>
        </is>
      </c>
      <c r="J1907" t="inlineStr">
        <is>
          <t>No</t>
        </is>
      </c>
      <c r="K1907" t="inlineStr">
        <is>
          <t>No</t>
        </is>
      </c>
      <c r="L1907" t="inlineStr">
        <is>
          <t>0</t>
        </is>
      </c>
      <c r="M1907" t="inlineStr">
        <is>
          <t>Dakin, D. Martin (David Martin)</t>
        </is>
      </c>
      <c r="N1907" t="inlineStr">
        <is>
          <t>Newton Abbot, David and Charles, 1972.</t>
        </is>
      </c>
      <c r="O1907" t="inlineStr">
        <is>
          <t>1972</t>
        </is>
      </c>
      <c r="Q1907" t="inlineStr">
        <is>
          <t>eng</t>
        </is>
      </c>
      <c r="R1907" t="inlineStr">
        <is>
          <t>enk</t>
        </is>
      </c>
      <c r="T1907" t="inlineStr">
        <is>
          <t xml:space="preserve">PR </t>
        </is>
      </c>
      <c r="U1907" t="n">
        <v>2</v>
      </c>
      <c r="V1907" t="n">
        <v>2</v>
      </c>
      <c r="W1907" t="inlineStr">
        <is>
          <t>2007-01-31</t>
        </is>
      </c>
      <c r="X1907" t="inlineStr">
        <is>
          <t>2007-01-31</t>
        </is>
      </c>
      <c r="Y1907" t="inlineStr">
        <is>
          <t>1997-07-14</t>
        </is>
      </c>
      <c r="Z1907" t="inlineStr">
        <is>
          <t>1997-07-14</t>
        </is>
      </c>
      <c r="AA1907" t="n">
        <v>223</v>
      </c>
      <c r="AB1907" t="n">
        <v>138</v>
      </c>
      <c r="AC1907" t="n">
        <v>233</v>
      </c>
      <c r="AD1907" t="n">
        <v>1</v>
      </c>
      <c r="AE1907" t="n">
        <v>2</v>
      </c>
      <c r="AF1907" t="n">
        <v>5</v>
      </c>
      <c r="AG1907" t="n">
        <v>10</v>
      </c>
      <c r="AH1907" t="n">
        <v>0</v>
      </c>
      <c r="AI1907" t="n">
        <v>2</v>
      </c>
      <c r="AJ1907" t="n">
        <v>2</v>
      </c>
      <c r="AK1907" t="n">
        <v>3</v>
      </c>
      <c r="AL1907" t="n">
        <v>5</v>
      </c>
      <c r="AM1907" t="n">
        <v>7</v>
      </c>
      <c r="AN1907" t="n">
        <v>0</v>
      </c>
      <c r="AO1907" t="n">
        <v>1</v>
      </c>
      <c r="AP1907" t="n">
        <v>0</v>
      </c>
      <c r="AQ1907" t="n">
        <v>0</v>
      </c>
      <c r="AR1907" t="inlineStr">
        <is>
          <t>No</t>
        </is>
      </c>
      <c r="AS1907" t="inlineStr">
        <is>
          <t>No</t>
        </is>
      </c>
      <c r="AU1907">
        <f>HYPERLINK("https://creighton-primo.hosted.exlibrisgroup.com/primo-explore/search?tab=default_tab&amp;search_scope=EVERYTHING&amp;vid=01CRU&amp;lang=en_US&amp;offset=0&amp;query=any,contains,991002712659702656","Catalog Record")</f>
        <v/>
      </c>
      <c r="AV1907">
        <f>HYPERLINK("http://www.worldcat.org/oclc/409979","WorldCat Record")</f>
        <v/>
      </c>
      <c r="AW1907" t="inlineStr">
        <is>
          <t>1450558:eng</t>
        </is>
      </c>
      <c r="AX1907" t="inlineStr">
        <is>
          <t>409979</t>
        </is>
      </c>
      <c r="AY1907" t="inlineStr">
        <is>
          <t>991002712659702656</t>
        </is>
      </c>
      <c r="AZ1907" t="inlineStr">
        <is>
          <t>991002712659702656</t>
        </is>
      </c>
      <c r="BA1907" t="inlineStr">
        <is>
          <t>2262242510002656</t>
        </is>
      </c>
      <c r="BB1907" t="inlineStr">
        <is>
          <t>BOOK</t>
        </is>
      </c>
      <c r="BD1907" t="inlineStr">
        <is>
          <t>9780715354933</t>
        </is>
      </c>
      <c r="BE1907" t="inlineStr">
        <is>
          <t>32285002892593</t>
        </is>
      </c>
      <c r="BF1907" t="inlineStr">
        <is>
          <t>893530359</t>
        </is>
      </c>
    </row>
    <row r="1908">
      <c r="A1908" t="inlineStr">
        <is>
          <t>No</t>
        </is>
      </c>
      <c r="B1908" t="inlineStr">
        <is>
          <t>CURAL</t>
        </is>
      </c>
      <c r="C1908" t="inlineStr">
        <is>
          <t>SHELVES</t>
        </is>
      </c>
      <c r="D1908" t="inlineStr">
        <is>
          <t>PR4624 .H255 1978</t>
        </is>
      </c>
      <c r="E1908" t="inlineStr">
        <is>
          <t>0                      PR 4624000H  255         1978</t>
        </is>
      </c>
      <c r="F1908" t="inlineStr">
        <is>
          <t>Sherlock Holmes and his creator / Trevor H. Hall ; with contributions by Charles O. Ellison. --</t>
        </is>
      </c>
      <c r="H1908" t="inlineStr">
        <is>
          <t>No</t>
        </is>
      </c>
      <c r="I1908" t="inlineStr">
        <is>
          <t>1</t>
        </is>
      </c>
      <c r="J1908" t="inlineStr">
        <is>
          <t>No</t>
        </is>
      </c>
      <c r="K1908" t="inlineStr">
        <is>
          <t>No</t>
        </is>
      </c>
      <c r="L1908" t="inlineStr">
        <is>
          <t>0</t>
        </is>
      </c>
      <c r="M1908" t="inlineStr">
        <is>
          <t>Hall, Trevor H.</t>
        </is>
      </c>
      <c r="N1908" t="inlineStr">
        <is>
          <t>London : Duckworth, 1978.</t>
        </is>
      </c>
      <c r="O1908" t="inlineStr">
        <is>
          <t>1978</t>
        </is>
      </c>
      <c r="Q1908" t="inlineStr">
        <is>
          <t>eng</t>
        </is>
      </c>
      <c r="R1908" t="inlineStr">
        <is>
          <t>enk</t>
        </is>
      </c>
      <c r="T1908" t="inlineStr">
        <is>
          <t xml:space="preserve">PR </t>
        </is>
      </c>
      <c r="U1908" t="n">
        <v>5</v>
      </c>
      <c r="V1908" t="n">
        <v>5</v>
      </c>
      <c r="W1908" t="inlineStr">
        <is>
          <t>1997-12-07</t>
        </is>
      </c>
      <c r="X1908" t="inlineStr">
        <is>
          <t>1997-12-07</t>
        </is>
      </c>
      <c r="Y1908" t="inlineStr">
        <is>
          <t>1991-10-28</t>
        </is>
      </c>
      <c r="Z1908" t="inlineStr">
        <is>
          <t>1991-10-28</t>
        </is>
      </c>
      <c r="AA1908" t="n">
        <v>163</v>
      </c>
      <c r="AB1908" t="n">
        <v>79</v>
      </c>
      <c r="AC1908" t="n">
        <v>466</v>
      </c>
      <c r="AD1908" t="n">
        <v>3</v>
      </c>
      <c r="AE1908" t="n">
        <v>3</v>
      </c>
      <c r="AF1908" t="n">
        <v>4</v>
      </c>
      <c r="AG1908" t="n">
        <v>14</v>
      </c>
      <c r="AH1908" t="n">
        <v>1</v>
      </c>
      <c r="AI1908" t="n">
        <v>5</v>
      </c>
      <c r="AJ1908" t="n">
        <v>0</v>
      </c>
      <c r="AK1908" t="n">
        <v>3</v>
      </c>
      <c r="AL1908" t="n">
        <v>2</v>
      </c>
      <c r="AM1908" t="n">
        <v>7</v>
      </c>
      <c r="AN1908" t="n">
        <v>2</v>
      </c>
      <c r="AO1908" t="n">
        <v>2</v>
      </c>
      <c r="AP1908" t="n">
        <v>0</v>
      </c>
      <c r="AQ1908" t="n">
        <v>0</v>
      </c>
      <c r="AR1908" t="inlineStr">
        <is>
          <t>No</t>
        </is>
      </c>
      <c r="AS1908" t="inlineStr">
        <is>
          <t>Yes</t>
        </is>
      </c>
      <c r="AT1908">
        <f>HYPERLINK("http://catalog.hathitrust.org/Record/000175124","HathiTrust Record")</f>
        <v/>
      </c>
      <c r="AU1908">
        <f>HYPERLINK("https://creighton-primo.hosted.exlibrisgroup.com/primo-explore/search?tab=default_tab&amp;search_scope=EVERYTHING&amp;vid=01CRU&amp;lang=en_US&amp;offset=0&amp;query=any,contains,991004553559702656","Catalog Record")</f>
        <v/>
      </c>
      <c r="AV1908">
        <f>HYPERLINK("http://www.worldcat.org/oclc/3955799","WorldCat Record")</f>
        <v/>
      </c>
      <c r="AW1908" t="inlineStr">
        <is>
          <t>11410550:eng</t>
        </is>
      </c>
      <c r="AX1908" t="inlineStr">
        <is>
          <t>3955799</t>
        </is>
      </c>
      <c r="AY1908" t="inlineStr">
        <is>
          <t>991004553559702656</t>
        </is>
      </c>
      <c r="AZ1908" t="inlineStr">
        <is>
          <t>991004553559702656</t>
        </is>
      </c>
      <c r="BA1908" t="inlineStr">
        <is>
          <t>2260073850002656</t>
        </is>
      </c>
      <c r="BB1908" t="inlineStr">
        <is>
          <t>BOOK</t>
        </is>
      </c>
      <c r="BD1908" t="inlineStr">
        <is>
          <t>9780715608739</t>
        </is>
      </c>
      <c r="BE1908" t="inlineStr">
        <is>
          <t>32285000801869</t>
        </is>
      </c>
      <c r="BF1908" t="inlineStr">
        <is>
          <t>893442750</t>
        </is>
      </c>
    </row>
    <row r="1909">
      <c r="A1909" t="inlineStr">
        <is>
          <t>No</t>
        </is>
      </c>
      <c r="B1909" t="inlineStr">
        <is>
          <t>CURAL</t>
        </is>
      </c>
      <c r="C1909" t="inlineStr">
        <is>
          <t>SHELVES</t>
        </is>
      </c>
      <c r="D1909" t="inlineStr">
        <is>
          <t>PR4624 .H3 1972</t>
        </is>
      </c>
      <c r="E1909" t="inlineStr">
        <is>
          <t>0                      PR 4624000H  3           1972</t>
        </is>
      </c>
      <c r="F1909" t="inlineStr">
        <is>
          <t>In the footsteps of Sherlock Holmes.</t>
        </is>
      </c>
      <c r="H1909" t="inlineStr">
        <is>
          <t>No</t>
        </is>
      </c>
      <c r="I1909" t="inlineStr">
        <is>
          <t>1</t>
        </is>
      </c>
      <c r="J1909" t="inlineStr">
        <is>
          <t>No</t>
        </is>
      </c>
      <c r="K1909" t="inlineStr">
        <is>
          <t>No</t>
        </is>
      </c>
      <c r="L1909" t="inlineStr">
        <is>
          <t>0</t>
        </is>
      </c>
      <c r="M1909" t="inlineStr">
        <is>
          <t>Harrison, Michael, 1907-1991.</t>
        </is>
      </c>
      <c r="N1909" t="inlineStr">
        <is>
          <t>New York, Drake Publishers [1972]</t>
        </is>
      </c>
      <c r="O1909" t="inlineStr">
        <is>
          <t>1972</t>
        </is>
      </c>
      <c r="Q1909" t="inlineStr">
        <is>
          <t>eng</t>
        </is>
      </c>
      <c r="R1909" t="inlineStr">
        <is>
          <t>nyu</t>
        </is>
      </c>
      <c r="T1909" t="inlineStr">
        <is>
          <t xml:space="preserve">PR </t>
        </is>
      </c>
      <c r="U1909" t="n">
        <v>2</v>
      </c>
      <c r="V1909" t="n">
        <v>2</v>
      </c>
      <c r="W1909" t="inlineStr">
        <is>
          <t>1997-12-07</t>
        </is>
      </c>
      <c r="X1909" t="inlineStr">
        <is>
          <t>1997-12-07</t>
        </is>
      </c>
      <c r="Y1909" t="inlineStr">
        <is>
          <t>1997-07-14</t>
        </is>
      </c>
      <c r="Z1909" t="inlineStr">
        <is>
          <t>1997-07-14</t>
        </is>
      </c>
      <c r="AA1909" t="n">
        <v>277</v>
      </c>
      <c r="AB1909" t="n">
        <v>266</v>
      </c>
      <c r="AC1909" t="n">
        <v>536</v>
      </c>
      <c r="AD1909" t="n">
        <v>3</v>
      </c>
      <c r="AE1909" t="n">
        <v>6</v>
      </c>
      <c r="AF1909" t="n">
        <v>5</v>
      </c>
      <c r="AG1909" t="n">
        <v>15</v>
      </c>
      <c r="AH1909" t="n">
        <v>3</v>
      </c>
      <c r="AI1909" t="n">
        <v>7</v>
      </c>
      <c r="AJ1909" t="n">
        <v>1</v>
      </c>
      <c r="AK1909" t="n">
        <v>2</v>
      </c>
      <c r="AL1909" t="n">
        <v>2</v>
      </c>
      <c r="AM1909" t="n">
        <v>8</v>
      </c>
      <c r="AN1909" t="n">
        <v>0</v>
      </c>
      <c r="AO1909" t="n">
        <v>1</v>
      </c>
      <c r="AP1909" t="n">
        <v>0</v>
      </c>
      <c r="AQ1909" t="n">
        <v>0</v>
      </c>
      <c r="AR1909" t="inlineStr">
        <is>
          <t>No</t>
        </is>
      </c>
      <c r="AS1909" t="inlineStr">
        <is>
          <t>No</t>
        </is>
      </c>
      <c r="AU1909">
        <f>HYPERLINK("https://creighton-primo.hosted.exlibrisgroup.com/primo-explore/search?tab=default_tab&amp;search_scope=EVERYTHING&amp;vid=01CRU&amp;lang=en_US&amp;offset=0&amp;query=any,contains,991002180729702656","Catalog Record")</f>
        <v/>
      </c>
      <c r="AV1909">
        <f>HYPERLINK("http://www.worldcat.org/oclc/278989","WorldCat Record")</f>
        <v/>
      </c>
      <c r="AW1909" t="inlineStr">
        <is>
          <t>131608315:eng</t>
        </is>
      </c>
      <c r="AX1909" t="inlineStr">
        <is>
          <t>278989</t>
        </is>
      </c>
      <c r="AY1909" t="inlineStr">
        <is>
          <t>991002180729702656</t>
        </is>
      </c>
      <c r="AZ1909" t="inlineStr">
        <is>
          <t>991002180729702656</t>
        </is>
      </c>
      <c r="BA1909" t="inlineStr">
        <is>
          <t>2258259780002656</t>
        </is>
      </c>
      <c r="BB1909" t="inlineStr">
        <is>
          <t>BOOK</t>
        </is>
      </c>
      <c r="BD1909" t="inlineStr">
        <is>
          <t>9780877491569</t>
        </is>
      </c>
      <c r="BE1909" t="inlineStr">
        <is>
          <t>32285002892619</t>
        </is>
      </c>
      <c r="BF1909" t="inlineStr">
        <is>
          <t>893316476</t>
        </is>
      </c>
    </row>
    <row r="1910">
      <c r="A1910" t="inlineStr">
        <is>
          <t>No</t>
        </is>
      </c>
      <c r="B1910" t="inlineStr">
        <is>
          <t>CURAL</t>
        </is>
      </c>
      <c r="C1910" t="inlineStr">
        <is>
          <t>SHELVES</t>
        </is>
      </c>
      <c r="D1910" t="inlineStr">
        <is>
          <t>PR4624 .J28 1987</t>
        </is>
      </c>
      <c r="E1910" t="inlineStr">
        <is>
          <t>0                      PR 4624000J  28          1987</t>
        </is>
      </c>
      <c r="F1910" t="inlineStr">
        <is>
          <t>Arthur Conan Doyle / by Jacqueline A. Jaffe.</t>
        </is>
      </c>
      <c r="H1910" t="inlineStr">
        <is>
          <t>No</t>
        </is>
      </c>
      <c r="I1910" t="inlineStr">
        <is>
          <t>1</t>
        </is>
      </c>
      <c r="J1910" t="inlineStr">
        <is>
          <t>No</t>
        </is>
      </c>
      <c r="K1910" t="inlineStr">
        <is>
          <t>No</t>
        </is>
      </c>
      <c r="L1910" t="inlineStr">
        <is>
          <t>0</t>
        </is>
      </c>
      <c r="M1910" t="inlineStr">
        <is>
          <t>Jaffe, Jacqueline A.</t>
        </is>
      </c>
      <c r="N1910" t="inlineStr">
        <is>
          <t>Boston : Twayne, c1987.</t>
        </is>
      </c>
      <c r="O1910" t="inlineStr">
        <is>
          <t>1987</t>
        </is>
      </c>
      <c r="Q1910" t="inlineStr">
        <is>
          <t>eng</t>
        </is>
      </c>
      <c r="R1910" t="inlineStr">
        <is>
          <t>mau</t>
        </is>
      </c>
      <c r="S1910" t="inlineStr">
        <is>
          <t>Twayne's English authors series ; TEAS 451</t>
        </is>
      </c>
      <c r="T1910" t="inlineStr">
        <is>
          <t xml:space="preserve">PR </t>
        </is>
      </c>
      <c r="U1910" t="n">
        <v>9</v>
      </c>
      <c r="V1910" t="n">
        <v>9</v>
      </c>
      <c r="W1910" t="inlineStr">
        <is>
          <t>1997-12-07</t>
        </is>
      </c>
      <c r="X1910" t="inlineStr">
        <is>
          <t>1997-12-07</t>
        </is>
      </c>
      <c r="Y1910" t="inlineStr">
        <is>
          <t>1991-11-07</t>
        </is>
      </c>
      <c r="Z1910" t="inlineStr">
        <is>
          <t>1991-11-07</t>
        </is>
      </c>
      <c r="AA1910" t="n">
        <v>958</v>
      </c>
      <c r="AB1910" t="n">
        <v>870</v>
      </c>
      <c r="AC1910" t="n">
        <v>958</v>
      </c>
      <c r="AD1910" t="n">
        <v>8</v>
      </c>
      <c r="AE1910" t="n">
        <v>8</v>
      </c>
      <c r="AF1910" t="n">
        <v>27</v>
      </c>
      <c r="AG1910" t="n">
        <v>29</v>
      </c>
      <c r="AH1910" t="n">
        <v>10</v>
      </c>
      <c r="AI1910" t="n">
        <v>11</v>
      </c>
      <c r="AJ1910" t="n">
        <v>5</v>
      </c>
      <c r="AK1910" t="n">
        <v>5</v>
      </c>
      <c r="AL1910" t="n">
        <v>14</v>
      </c>
      <c r="AM1910" t="n">
        <v>16</v>
      </c>
      <c r="AN1910" t="n">
        <v>5</v>
      </c>
      <c r="AO1910" t="n">
        <v>5</v>
      </c>
      <c r="AP1910" t="n">
        <v>0</v>
      </c>
      <c r="AQ1910" t="n">
        <v>0</v>
      </c>
      <c r="AR1910" t="inlineStr">
        <is>
          <t>No</t>
        </is>
      </c>
      <c r="AS1910" t="inlineStr">
        <is>
          <t>Yes</t>
        </is>
      </c>
      <c r="AT1910">
        <f>HYPERLINK("http://catalog.hathitrust.org/Record/000847019","HathiTrust Record")</f>
        <v/>
      </c>
      <c r="AU1910">
        <f>HYPERLINK("https://creighton-primo.hosted.exlibrisgroup.com/primo-explore/search?tab=default_tab&amp;search_scope=EVERYTHING&amp;vid=01CRU&amp;lang=en_US&amp;offset=0&amp;query=any,contains,991001029199702656","Catalog Record")</f>
        <v/>
      </c>
      <c r="AV1910">
        <f>HYPERLINK("http://www.worldcat.org/oclc/15489573","WorldCat Record")</f>
        <v/>
      </c>
      <c r="AW1910" t="inlineStr">
        <is>
          <t>10559884:eng</t>
        </is>
      </c>
      <c r="AX1910" t="inlineStr">
        <is>
          <t>15489573</t>
        </is>
      </c>
      <c r="AY1910" t="inlineStr">
        <is>
          <t>991001029199702656</t>
        </is>
      </c>
      <c r="AZ1910" t="inlineStr">
        <is>
          <t>991001029199702656</t>
        </is>
      </c>
      <c r="BA1910" t="inlineStr">
        <is>
          <t>2272506870002656</t>
        </is>
      </c>
      <c r="BB1910" t="inlineStr">
        <is>
          <t>BOOK</t>
        </is>
      </c>
      <c r="BD1910" t="inlineStr">
        <is>
          <t>9780805769548</t>
        </is>
      </c>
      <c r="BE1910" t="inlineStr">
        <is>
          <t>32285000798974</t>
        </is>
      </c>
      <c r="BF1910" t="inlineStr">
        <is>
          <t>893327812</t>
        </is>
      </c>
    </row>
    <row r="1911">
      <c r="A1911" t="inlineStr">
        <is>
          <t>No</t>
        </is>
      </c>
      <c r="B1911" t="inlineStr">
        <is>
          <t>CURAL</t>
        </is>
      </c>
      <c r="C1911" t="inlineStr">
        <is>
          <t>SHELVES</t>
        </is>
      </c>
      <c r="D1911" t="inlineStr">
        <is>
          <t>PR4624 .M27</t>
        </is>
      </c>
      <c r="E1911" t="inlineStr">
        <is>
          <t>0                      PR 4624000M  27</t>
        </is>
      </c>
      <c r="F1911" t="inlineStr">
        <is>
          <t>Sherlock Holmes detected : the problems of the long stories.</t>
        </is>
      </c>
      <c r="H1911" t="inlineStr">
        <is>
          <t>No</t>
        </is>
      </c>
      <c r="I1911" t="inlineStr">
        <is>
          <t>1</t>
        </is>
      </c>
      <c r="J1911" t="inlineStr">
        <is>
          <t>No</t>
        </is>
      </c>
      <c r="K1911" t="inlineStr">
        <is>
          <t>No</t>
        </is>
      </c>
      <c r="L1911" t="inlineStr">
        <is>
          <t>0</t>
        </is>
      </c>
      <c r="M1911" t="inlineStr">
        <is>
          <t>McQueen, Ian.</t>
        </is>
      </c>
      <c r="N1911" t="inlineStr">
        <is>
          <t>Newton Abbot : David &amp; Charles, [1974]</t>
        </is>
      </c>
      <c r="O1911" t="inlineStr">
        <is>
          <t>1974</t>
        </is>
      </c>
      <c r="Q1911" t="inlineStr">
        <is>
          <t>eng</t>
        </is>
      </c>
      <c r="R1911" t="inlineStr">
        <is>
          <t>enk</t>
        </is>
      </c>
      <c r="T1911" t="inlineStr">
        <is>
          <t xml:space="preserve">PR </t>
        </is>
      </c>
      <c r="U1911" t="n">
        <v>8</v>
      </c>
      <c r="V1911" t="n">
        <v>8</v>
      </c>
      <c r="W1911" t="inlineStr">
        <is>
          <t>1997-02-18</t>
        </is>
      </c>
      <c r="X1911" t="inlineStr">
        <is>
          <t>1997-02-18</t>
        </is>
      </c>
      <c r="Y1911" t="inlineStr">
        <is>
          <t>1992-09-30</t>
        </is>
      </c>
      <c r="Z1911" t="inlineStr">
        <is>
          <t>1992-09-30</t>
        </is>
      </c>
      <c r="AA1911" t="n">
        <v>153</v>
      </c>
      <c r="AB1911" t="n">
        <v>56</v>
      </c>
      <c r="AC1911" t="n">
        <v>366</v>
      </c>
      <c r="AD1911" t="n">
        <v>1</v>
      </c>
      <c r="AE1911" t="n">
        <v>3</v>
      </c>
      <c r="AF1911" t="n">
        <v>2</v>
      </c>
      <c r="AG1911" t="n">
        <v>12</v>
      </c>
      <c r="AH1911" t="n">
        <v>0</v>
      </c>
      <c r="AI1911" t="n">
        <v>3</v>
      </c>
      <c r="AJ1911" t="n">
        <v>1</v>
      </c>
      <c r="AK1911" t="n">
        <v>4</v>
      </c>
      <c r="AL1911" t="n">
        <v>1</v>
      </c>
      <c r="AM1911" t="n">
        <v>6</v>
      </c>
      <c r="AN1911" t="n">
        <v>0</v>
      </c>
      <c r="AO1911" t="n">
        <v>2</v>
      </c>
      <c r="AP1911" t="n">
        <v>0</v>
      </c>
      <c r="AQ1911" t="n">
        <v>0</v>
      </c>
      <c r="AR1911" t="inlineStr">
        <is>
          <t>No</t>
        </is>
      </c>
      <c r="AS1911" t="inlineStr">
        <is>
          <t>Yes</t>
        </is>
      </c>
      <c r="AT1911">
        <f>HYPERLINK("http://catalog.hathitrust.org/Record/001375477","HathiTrust Record")</f>
        <v/>
      </c>
      <c r="AU1911">
        <f>HYPERLINK("https://creighton-primo.hosted.exlibrisgroup.com/primo-explore/search?tab=default_tab&amp;search_scope=EVERYTHING&amp;vid=01CRU&amp;lang=en_US&amp;offset=0&amp;query=any,contains,991003502579702656","Catalog Record")</f>
        <v/>
      </c>
      <c r="AV1911">
        <f>HYPERLINK("http://www.worldcat.org/oclc/1054703","WorldCat Record")</f>
        <v/>
      </c>
      <c r="AW1911" t="inlineStr">
        <is>
          <t>375692922:eng</t>
        </is>
      </c>
      <c r="AX1911" t="inlineStr">
        <is>
          <t>1054703</t>
        </is>
      </c>
      <c r="AY1911" t="inlineStr">
        <is>
          <t>991003502579702656</t>
        </is>
      </c>
      <c r="AZ1911" t="inlineStr">
        <is>
          <t>991003502579702656</t>
        </is>
      </c>
      <c r="BA1911" t="inlineStr">
        <is>
          <t>2269315610002656</t>
        </is>
      </c>
      <c r="BB1911" t="inlineStr">
        <is>
          <t>BOOK</t>
        </is>
      </c>
      <c r="BD1911" t="inlineStr">
        <is>
          <t>9780715364536</t>
        </is>
      </c>
      <c r="BE1911" t="inlineStr">
        <is>
          <t>32285001323160</t>
        </is>
      </c>
      <c r="BF1911" t="inlineStr">
        <is>
          <t>893881229</t>
        </is>
      </c>
    </row>
    <row r="1912">
      <c r="A1912" t="inlineStr">
        <is>
          <t>No</t>
        </is>
      </c>
      <c r="B1912" t="inlineStr">
        <is>
          <t>CURAL</t>
        </is>
      </c>
      <c r="C1912" t="inlineStr">
        <is>
          <t>SHELVES</t>
        </is>
      </c>
      <c r="D1912" t="inlineStr">
        <is>
          <t>PR4624 .V56 1989</t>
        </is>
      </c>
      <c r="E1912" t="inlineStr">
        <is>
          <t>0                      PR 4624000V  56          1989</t>
        </is>
      </c>
      <c r="F1912" t="inlineStr">
        <is>
          <t>Sherlock Holmes in London : a photographic record of Conan Doyle's stories / Charles Viney.</t>
        </is>
      </c>
      <c r="H1912" t="inlineStr">
        <is>
          <t>No</t>
        </is>
      </c>
      <c r="I1912" t="inlineStr">
        <is>
          <t>1</t>
        </is>
      </c>
      <c r="J1912" t="inlineStr">
        <is>
          <t>No</t>
        </is>
      </c>
      <c r="K1912" t="inlineStr">
        <is>
          <t>No</t>
        </is>
      </c>
      <c r="L1912" t="inlineStr">
        <is>
          <t>0</t>
        </is>
      </c>
      <c r="M1912" t="inlineStr">
        <is>
          <t>Viney, Charles.</t>
        </is>
      </c>
      <c r="N1912" t="inlineStr">
        <is>
          <t>Boston : Houghton Mifflin Co., 1989.</t>
        </is>
      </c>
      <c r="O1912" t="inlineStr">
        <is>
          <t>1989</t>
        </is>
      </c>
      <c r="P1912" t="inlineStr">
        <is>
          <t>1st American ed.</t>
        </is>
      </c>
      <c r="Q1912" t="inlineStr">
        <is>
          <t>eng</t>
        </is>
      </c>
      <c r="R1912" t="inlineStr">
        <is>
          <t>mau</t>
        </is>
      </c>
      <c r="T1912" t="inlineStr">
        <is>
          <t xml:space="preserve">PR </t>
        </is>
      </c>
      <c r="U1912" t="n">
        <v>2</v>
      </c>
      <c r="V1912" t="n">
        <v>2</v>
      </c>
      <c r="W1912" t="inlineStr">
        <is>
          <t>2001-05-09</t>
        </is>
      </c>
      <c r="X1912" t="inlineStr">
        <is>
          <t>2001-05-09</t>
        </is>
      </c>
      <c r="Y1912" t="inlineStr">
        <is>
          <t>2001-04-05</t>
        </is>
      </c>
      <c r="Z1912" t="inlineStr">
        <is>
          <t>2001-04-05</t>
        </is>
      </c>
      <c r="AA1912" t="n">
        <v>276</v>
      </c>
      <c r="AB1912" t="n">
        <v>268</v>
      </c>
      <c r="AC1912" t="n">
        <v>310</v>
      </c>
      <c r="AD1912" t="n">
        <v>3</v>
      </c>
      <c r="AE1912" t="n">
        <v>3</v>
      </c>
      <c r="AF1912" t="n">
        <v>6</v>
      </c>
      <c r="AG1912" t="n">
        <v>7</v>
      </c>
      <c r="AH1912" t="n">
        <v>2</v>
      </c>
      <c r="AI1912" t="n">
        <v>3</v>
      </c>
      <c r="AJ1912" t="n">
        <v>2</v>
      </c>
      <c r="AK1912" t="n">
        <v>2</v>
      </c>
      <c r="AL1912" t="n">
        <v>3</v>
      </c>
      <c r="AM1912" t="n">
        <v>3</v>
      </c>
      <c r="AN1912" t="n">
        <v>1</v>
      </c>
      <c r="AO1912" t="n">
        <v>1</v>
      </c>
      <c r="AP1912" t="n">
        <v>0</v>
      </c>
      <c r="AQ1912" t="n">
        <v>0</v>
      </c>
      <c r="AR1912" t="inlineStr">
        <is>
          <t>No</t>
        </is>
      </c>
      <c r="AS1912" t="inlineStr">
        <is>
          <t>Yes</t>
        </is>
      </c>
      <c r="AT1912">
        <f>HYPERLINK("http://catalog.hathitrust.org/Record/004483999","HathiTrust Record")</f>
        <v/>
      </c>
      <c r="AU1912">
        <f>HYPERLINK("https://creighton-primo.hosted.exlibrisgroup.com/primo-explore/search?tab=default_tab&amp;search_scope=EVERYTHING&amp;vid=01CRU&amp;lang=en_US&amp;offset=0&amp;query=any,contains,991003518319702656","Catalog Record")</f>
        <v/>
      </c>
      <c r="AV1912">
        <f>HYPERLINK("http://www.worldcat.org/oclc/20653873","WorldCat Record")</f>
        <v/>
      </c>
      <c r="AW1912" t="inlineStr">
        <is>
          <t>21367639:eng</t>
        </is>
      </c>
      <c r="AX1912" t="inlineStr">
        <is>
          <t>20653873</t>
        </is>
      </c>
      <c r="AY1912" t="inlineStr">
        <is>
          <t>991003518319702656</t>
        </is>
      </c>
      <c r="AZ1912" t="inlineStr">
        <is>
          <t>991003518319702656</t>
        </is>
      </c>
      <c r="BA1912" t="inlineStr">
        <is>
          <t>2257848950002656</t>
        </is>
      </c>
      <c r="BB1912" t="inlineStr">
        <is>
          <t>BOOK</t>
        </is>
      </c>
      <c r="BD1912" t="inlineStr">
        <is>
          <t>9780395515303</t>
        </is>
      </c>
      <c r="BE1912" t="inlineStr">
        <is>
          <t>32285004310156</t>
        </is>
      </c>
      <c r="BF1912" t="inlineStr">
        <is>
          <t>893441374</t>
        </is>
      </c>
    </row>
    <row r="1913">
      <c r="A1913" t="inlineStr">
        <is>
          <t>No</t>
        </is>
      </c>
      <c r="B1913" t="inlineStr">
        <is>
          <t>CURAL</t>
        </is>
      </c>
      <c r="C1913" t="inlineStr">
        <is>
          <t>SHELVES</t>
        </is>
      </c>
      <c r="D1913" t="inlineStr">
        <is>
          <t>PR463 .B8</t>
        </is>
      </c>
      <c r="E1913" t="inlineStr">
        <is>
          <t>0                      PR 0463000B  8</t>
        </is>
      </c>
      <c r="F1913" t="inlineStr">
        <is>
          <t>The Victorian imagination : essays in aesthetic exploration / William E. Buckler.</t>
        </is>
      </c>
      <c r="H1913" t="inlineStr">
        <is>
          <t>No</t>
        </is>
      </c>
      <c r="I1913" t="inlineStr">
        <is>
          <t>1</t>
        </is>
      </c>
      <c r="J1913" t="inlineStr">
        <is>
          <t>No</t>
        </is>
      </c>
      <c r="K1913" t="inlineStr">
        <is>
          <t>No</t>
        </is>
      </c>
      <c r="L1913" t="inlineStr">
        <is>
          <t>0</t>
        </is>
      </c>
      <c r="M1913" t="inlineStr">
        <is>
          <t>Buckler, William E. (William Earl), 1924-1990.</t>
        </is>
      </c>
      <c r="N1913" t="inlineStr">
        <is>
          <t>New York : New York University Press, c1980.</t>
        </is>
      </c>
      <c r="O1913" t="inlineStr">
        <is>
          <t>1980</t>
        </is>
      </c>
      <c r="Q1913" t="inlineStr">
        <is>
          <t>eng</t>
        </is>
      </c>
      <c r="R1913" t="inlineStr">
        <is>
          <t>nyu</t>
        </is>
      </c>
      <c r="S1913" t="inlineStr">
        <is>
          <t>The Gotham library of the New York University Press</t>
        </is>
      </c>
      <c r="T1913" t="inlineStr">
        <is>
          <t xml:space="preserve">PR </t>
        </is>
      </c>
      <c r="U1913" t="n">
        <v>1</v>
      </c>
      <c r="V1913" t="n">
        <v>1</v>
      </c>
      <c r="W1913" t="inlineStr">
        <is>
          <t>2001-03-24</t>
        </is>
      </c>
      <c r="X1913" t="inlineStr">
        <is>
          <t>2001-03-24</t>
        </is>
      </c>
      <c r="Y1913" t="inlineStr">
        <is>
          <t>1991-08-29</t>
        </is>
      </c>
      <c r="Z1913" t="inlineStr">
        <is>
          <t>1991-08-29</t>
        </is>
      </c>
      <c r="AA1913" t="n">
        <v>896</v>
      </c>
      <c r="AB1913" t="n">
        <v>788</v>
      </c>
      <c r="AC1913" t="n">
        <v>793</v>
      </c>
      <c r="AD1913" t="n">
        <v>6</v>
      </c>
      <c r="AE1913" t="n">
        <v>6</v>
      </c>
      <c r="AF1913" t="n">
        <v>40</v>
      </c>
      <c r="AG1913" t="n">
        <v>40</v>
      </c>
      <c r="AH1913" t="n">
        <v>20</v>
      </c>
      <c r="AI1913" t="n">
        <v>20</v>
      </c>
      <c r="AJ1913" t="n">
        <v>5</v>
      </c>
      <c r="AK1913" t="n">
        <v>5</v>
      </c>
      <c r="AL1913" t="n">
        <v>19</v>
      </c>
      <c r="AM1913" t="n">
        <v>19</v>
      </c>
      <c r="AN1913" t="n">
        <v>5</v>
      </c>
      <c r="AO1913" t="n">
        <v>5</v>
      </c>
      <c r="AP1913" t="n">
        <v>0</v>
      </c>
      <c r="AQ1913" t="n">
        <v>0</v>
      </c>
      <c r="AR1913" t="inlineStr">
        <is>
          <t>No</t>
        </is>
      </c>
      <c r="AS1913" t="inlineStr">
        <is>
          <t>Yes</t>
        </is>
      </c>
      <c r="AT1913">
        <f>HYPERLINK("http://catalog.hathitrust.org/Record/000083195","HathiTrust Record")</f>
        <v/>
      </c>
      <c r="AU1913">
        <f>HYPERLINK("https://creighton-primo.hosted.exlibrisgroup.com/primo-explore/search?tab=default_tab&amp;search_scope=EVERYTHING&amp;vid=01CRU&amp;lang=en_US&amp;offset=0&amp;query=any,contains,991004997859702656","Catalog Record")</f>
        <v/>
      </c>
      <c r="AV1913">
        <f>HYPERLINK("http://www.worldcat.org/oclc/6532134","WorldCat Record")</f>
        <v/>
      </c>
      <c r="AW1913" t="inlineStr">
        <is>
          <t>476548:eng</t>
        </is>
      </c>
      <c r="AX1913" t="inlineStr">
        <is>
          <t>6532134</t>
        </is>
      </c>
      <c r="AY1913" t="inlineStr">
        <is>
          <t>991004997859702656</t>
        </is>
      </c>
      <c r="AZ1913" t="inlineStr">
        <is>
          <t>991004997859702656</t>
        </is>
      </c>
      <c r="BA1913" t="inlineStr">
        <is>
          <t>2261954330002656</t>
        </is>
      </c>
      <c r="BB1913" t="inlineStr">
        <is>
          <t>BOOK</t>
        </is>
      </c>
      <c r="BD1913" t="inlineStr">
        <is>
          <t>9780814710326</t>
        </is>
      </c>
      <c r="BE1913" t="inlineStr">
        <is>
          <t>32285000732221</t>
        </is>
      </c>
      <c r="BF1913" t="inlineStr">
        <is>
          <t>893418250</t>
        </is>
      </c>
    </row>
    <row r="1914">
      <c r="A1914" t="inlineStr">
        <is>
          <t>No</t>
        </is>
      </c>
      <c r="B1914" t="inlineStr">
        <is>
          <t>CURAL</t>
        </is>
      </c>
      <c r="C1914" t="inlineStr">
        <is>
          <t>SHELVES</t>
        </is>
      </c>
      <c r="D1914" t="inlineStr">
        <is>
          <t>PR463 .D53 1988b</t>
        </is>
      </c>
      <c r="E1914" t="inlineStr">
        <is>
          <t>0                      PR 0463000D  53          1988b</t>
        </is>
      </c>
      <c r="F1914" t="inlineStr">
        <is>
          <t>Dickens and other Victorians : essays in honour of Philip Collins / edited by Joanne Shattock.</t>
        </is>
      </c>
      <c r="H1914" t="inlineStr">
        <is>
          <t>No</t>
        </is>
      </c>
      <c r="I1914" t="inlineStr">
        <is>
          <t>1</t>
        </is>
      </c>
      <c r="J1914" t="inlineStr">
        <is>
          <t>No</t>
        </is>
      </c>
      <c r="K1914" t="inlineStr">
        <is>
          <t>No</t>
        </is>
      </c>
      <c r="L1914" t="inlineStr">
        <is>
          <t>0</t>
        </is>
      </c>
      <c r="N1914" t="inlineStr">
        <is>
          <t>Basingstoke : Macmillan, 1988.</t>
        </is>
      </c>
      <c r="O1914" t="inlineStr">
        <is>
          <t>1988</t>
        </is>
      </c>
      <c r="Q1914" t="inlineStr">
        <is>
          <t>eng</t>
        </is>
      </c>
      <c r="R1914" t="inlineStr">
        <is>
          <t>enk</t>
        </is>
      </c>
      <c r="T1914" t="inlineStr">
        <is>
          <t xml:space="preserve">PR </t>
        </is>
      </c>
      <c r="U1914" t="n">
        <v>5</v>
      </c>
      <c r="V1914" t="n">
        <v>5</v>
      </c>
      <c r="W1914" t="inlineStr">
        <is>
          <t>1997-09-27</t>
        </is>
      </c>
      <c r="X1914" t="inlineStr">
        <is>
          <t>1997-09-27</t>
        </is>
      </c>
      <c r="Y1914" t="inlineStr">
        <is>
          <t>1990-03-29</t>
        </is>
      </c>
      <c r="Z1914" t="inlineStr">
        <is>
          <t>1990-03-29</t>
        </is>
      </c>
      <c r="AA1914" t="n">
        <v>141</v>
      </c>
      <c r="AB1914" t="n">
        <v>63</v>
      </c>
      <c r="AC1914" t="n">
        <v>212</v>
      </c>
      <c r="AD1914" t="n">
        <v>3</v>
      </c>
      <c r="AE1914" t="n">
        <v>3</v>
      </c>
      <c r="AF1914" t="n">
        <v>3</v>
      </c>
      <c r="AG1914" t="n">
        <v>9</v>
      </c>
      <c r="AH1914" t="n">
        <v>0</v>
      </c>
      <c r="AI1914" t="n">
        <v>1</v>
      </c>
      <c r="AJ1914" t="n">
        <v>1</v>
      </c>
      <c r="AK1914" t="n">
        <v>3</v>
      </c>
      <c r="AL1914" t="n">
        <v>1</v>
      </c>
      <c r="AM1914" t="n">
        <v>5</v>
      </c>
      <c r="AN1914" t="n">
        <v>2</v>
      </c>
      <c r="AO1914" t="n">
        <v>2</v>
      </c>
      <c r="AP1914" t="n">
        <v>0</v>
      </c>
      <c r="AQ1914" t="n">
        <v>0</v>
      </c>
      <c r="AR1914" t="inlineStr">
        <is>
          <t>No</t>
        </is>
      </c>
      <c r="AS1914" t="inlineStr">
        <is>
          <t>Yes</t>
        </is>
      </c>
      <c r="AT1914">
        <f>HYPERLINK("http://catalog.hathitrust.org/Record/001086915","HathiTrust Record")</f>
        <v/>
      </c>
      <c r="AU1914">
        <f>HYPERLINK("https://creighton-primo.hosted.exlibrisgroup.com/primo-explore/search?tab=default_tab&amp;search_scope=EVERYTHING&amp;vid=01CRU&amp;lang=en_US&amp;offset=0&amp;query=any,contains,991001143709702656","Catalog Record")</f>
        <v/>
      </c>
      <c r="AV1914">
        <f>HYPERLINK("http://www.worldcat.org/oclc/16756083","WorldCat Record")</f>
        <v/>
      </c>
      <c r="AW1914" t="inlineStr">
        <is>
          <t>801145898:eng</t>
        </is>
      </c>
      <c r="AX1914" t="inlineStr">
        <is>
          <t>16756083</t>
        </is>
      </c>
      <c r="AY1914" t="inlineStr">
        <is>
          <t>991001143709702656</t>
        </is>
      </c>
      <c r="AZ1914" t="inlineStr">
        <is>
          <t>991001143709702656</t>
        </is>
      </c>
      <c r="BA1914" t="inlineStr">
        <is>
          <t>2263089870002656</t>
        </is>
      </c>
      <c r="BB1914" t="inlineStr">
        <is>
          <t>BOOK</t>
        </is>
      </c>
      <c r="BD1914" t="inlineStr">
        <is>
          <t>9780333447086</t>
        </is>
      </c>
      <c r="BE1914" t="inlineStr">
        <is>
          <t>32285000106327</t>
        </is>
      </c>
      <c r="BF1914" t="inlineStr">
        <is>
          <t>893413993</t>
        </is>
      </c>
    </row>
    <row r="1915">
      <c r="A1915" t="inlineStr">
        <is>
          <t>No</t>
        </is>
      </c>
      <c r="B1915" t="inlineStr">
        <is>
          <t>CURAL</t>
        </is>
      </c>
      <c r="C1915" t="inlineStr">
        <is>
          <t>SHELVES</t>
        </is>
      </c>
      <c r="D1915" t="inlineStr">
        <is>
          <t>PR463 .E5 1968</t>
        </is>
      </c>
      <c r="E1915" t="inlineStr">
        <is>
          <t>0                      PR 0463000E  5           1968</t>
        </is>
      </c>
      <c r="F1915" t="inlineStr">
        <is>
          <t>Wilkie Collins, Le Fanu, and others [by] S. M. Ellis.</t>
        </is>
      </c>
      <c r="H1915" t="inlineStr">
        <is>
          <t>No</t>
        </is>
      </c>
      <c r="I1915" t="inlineStr">
        <is>
          <t>1</t>
        </is>
      </c>
      <c r="J1915" t="inlineStr">
        <is>
          <t>No</t>
        </is>
      </c>
      <c r="K1915" t="inlineStr">
        <is>
          <t>No</t>
        </is>
      </c>
      <c r="L1915" t="inlineStr">
        <is>
          <t>0</t>
        </is>
      </c>
      <c r="M1915" t="inlineStr">
        <is>
          <t>Ellis, S. M. (Stewart Marsh)</t>
        </is>
      </c>
      <c r="N1915" t="inlineStr">
        <is>
          <t>Freeport, N.Y., Books for Libraries Press [1968]</t>
        </is>
      </c>
      <c r="O1915" t="inlineStr">
        <is>
          <t>1968</t>
        </is>
      </c>
      <c r="Q1915" t="inlineStr">
        <is>
          <t>eng</t>
        </is>
      </c>
      <c r="R1915" t="inlineStr">
        <is>
          <t>nyu</t>
        </is>
      </c>
      <c r="S1915" t="inlineStr">
        <is>
          <t>Essay index reprint series</t>
        </is>
      </c>
      <c r="T1915" t="inlineStr">
        <is>
          <t xml:space="preserve">PR </t>
        </is>
      </c>
      <c r="U1915" t="n">
        <v>1</v>
      </c>
      <c r="V1915" t="n">
        <v>1</v>
      </c>
      <c r="W1915" t="inlineStr">
        <is>
          <t>2003-10-26</t>
        </is>
      </c>
      <c r="X1915" t="inlineStr">
        <is>
          <t>2003-10-26</t>
        </is>
      </c>
      <c r="Y1915" t="inlineStr">
        <is>
          <t>1997-08-22</t>
        </is>
      </c>
      <c r="Z1915" t="inlineStr">
        <is>
          <t>1997-08-22</t>
        </is>
      </c>
      <c r="AA1915" t="n">
        <v>303</v>
      </c>
      <c r="AB1915" t="n">
        <v>286</v>
      </c>
      <c r="AC1915" t="n">
        <v>517</v>
      </c>
      <c r="AD1915" t="n">
        <v>2</v>
      </c>
      <c r="AE1915" t="n">
        <v>2</v>
      </c>
      <c r="AF1915" t="n">
        <v>8</v>
      </c>
      <c r="AG1915" t="n">
        <v>21</v>
      </c>
      <c r="AH1915" t="n">
        <v>4</v>
      </c>
      <c r="AI1915" t="n">
        <v>8</v>
      </c>
      <c r="AJ1915" t="n">
        <v>1</v>
      </c>
      <c r="AK1915" t="n">
        <v>5</v>
      </c>
      <c r="AL1915" t="n">
        <v>4</v>
      </c>
      <c r="AM1915" t="n">
        <v>11</v>
      </c>
      <c r="AN1915" t="n">
        <v>1</v>
      </c>
      <c r="AO1915" t="n">
        <v>1</v>
      </c>
      <c r="AP1915" t="n">
        <v>0</v>
      </c>
      <c r="AQ1915" t="n">
        <v>0</v>
      </c>
      <c r="AR1915" t="inlineStr">
        <is>
          <t>No</t>
        </is>
      </c>
      <c r="AS1915" t="inlineStr">
        <is>
          <t>Yes</t>
        </is>
      </c>
      <c r="AT1915">
        <f>HYPERLINK("http://catalog.hathitrust.org/Record/009913150","HathiTrust Record")</f>
        <v/>
      </c>
      <c r="AU1915">
        <f>HYPERLINK("https://creighton-primo.hosted.exlibrisgroup.com/primo-explore/search?tab=default_tab&amp;search_scope=EVERYTHING&amp;vid=01CRU&amp;lang=en_US&amp;offset=0&amp;query=any,contains,991003433049702656","Catalog Record")</f>
        <v/>
      </c>
      <c r="AV1915">
        <f>HYPERLINK("http://www.worldcat.org/oclc/968044","WorldCat Record")</f>
        <v/>
      </c>
      <c r="AW1915" t="inlineStr">
        <is>
          <t>1444669:eng</t>
        </is>
      </c>
      <c r="AX1915" t="inlineStr">
        <is>
          <t>968044</t>
        </is>
      </c>
      <c r="AY1915" t="inlineStr">
        <is>
          <t>991003433049702656</t>
        </is>
      </c>
      <c r="AZ1915" t="inlineStr">
        <is>
          <t>991003433049702656</t>
        </is>
      </c>
      <c r="BA1915" t="inlineStr">
        <is>
          <t>2263512340002656</t>
        </is>
      </c>
      <c r="BB1915" t="inlineStr">
        <is>
          <t>BOOK</t>
        </is>
      </c>
      <c r="BE1915" t="inlineStr">
        <is>
          <t>32285003152492</t>
        </is>
      </c>
      <c r="BF1915" t="inlineStr">
        <is>
          <t>893799707</t>
        </is>
      </c>
    </row>
    <row r="1916">
      <c r="A1916" t="inlineStr">
        <is>
          <t>No</t>
        </is>
      </c>
      <c r="B1916" t="inlineStr">
        <is>
          <t>CURAL</t>
        </is>
      </c>
      <c r="C1916" t="inlineStr">
        <is>
          <t>SHELVES</t>
        </is>
      </c>
      <c r="D1916" t="inlineStr">
        <is>
          <t>PR463 .L57</t>
        </is>
      </c>
      <c r="E1916" t="inlineStr">
        <is>
          <t>0                      PR 0463000L  57</t>
        </is>
      </c>
      <c r="F1916" t="inlineStr">
        <is>
          <t>Backgrounds to Victorian literature / [by] Richard A. Levine.</t>
        </is>
      </c>
      <c r="H1916" t="inlineStr">
        <is>
          <t>No</t>
        </is>
      </c>
      <c r="I1916" t="inlineStr">
        <is>
          <t>1</t>
        </is>
      </c>
      <c r="J1916" t="inlineStr">
        <is>
          <t>No</t>
        </is>
      </c>
      <c r="K1916" t="inlineStr">
        <is>
          <t>No</t>
        </is>
      </c>
      <c r="L1916" t="inlineStr">
        <is>
          <t>0</t>
        </is>
      </c>
      <c r="M1916" t="inlineStr">
        <is>
          <t>Levine, Richard A., editor.</t>
        </is>
      </c>
      <c r="N1916" t="inlineStr">
        <is>
          <t>San Francisco : Chandler Pub. Co, [1967]</t>
        </is>
      </c>
      <c r="O1916" t="inlineStr">
        <is>
          <t>1967</t>
        </is>
      </c>
      <c r="Q1916" t="inlineStr">
        <is>
          <t>eng</t>
        </is>
      </c>
      <c r="R1916" t="inlineStr">
        <is>
          <t>cau</t>
        </is>
      </c>
      <c r="S1916" t="inlineStr">
        <is>
          <t>Chandler publications in backgrounds to literature</t>
        </is>
      </c>
      <c r="T1916" t="inlineStr">
        <is>
          <t xml:space="preserve">PR </t>
        </is>
      </c>
      <c r="U1916" t="n">
        <v>4</v>
      </c>
      <c r="V1916" t="n">
        <v>4</v>
      </c>
      <c r="W1916" t="inlineStr">
        <is>
          <t>1994-03-01</t>
        </is>
      </c>
      <c r="X1916" t="inlineStr">
        <is>
          <t>1994-03-01</t>
        </is>
      </c>
      <c r="Y1916" t="inlineStr">
        <is>
          <t>1992-02-14</t>
        </is>
      </c>
      <c r="Z1916" t="inlineStr">
        <is>
          <t>1992-02-14</t>
        </is>
      </c>
      <c r="AA1916" t="n">
        <v>544</v>
      </c>
      <c r="AB1916" t="n">
        <v>462</v>
      </c>
      <c r="AC1916" t="n">
        <v>472</v>
      </c>
      <c r="AD1916" t="n">
        <v>4</v>
      </c>
      <c r="AE1916" t="n">
        <v>4</v>
      </c>
      <c r="AF1916" t="n">
        <v>21</v>
      </c>
      <c r="AG1916" t="n">
        <v>21</v>
      </c>
      <c r="AH1916" t="n">
        <v>7</v>
      </c>
      <c r="AI1916" t="n">
        <v>7</v>
      </c>
      <c r="AJ1916" t="n">
        <v>5</v>
      </c>
      <c r="AK1916" t="n">
        <v>5</v>
      </c>
      <c r="AL1916" t="n">
        <v>14</v>
      </c>
      <c r="AM1916" t="n">
        <v>14</v>
      </c>
      <c r="AN1916" t="n">
        <v>3</v>
      </c>
      <c r="AO1916" t="n">
        <v>3</v>
      </c>
      <c r="AP1916" t="n">
        <v>0</v>
      </c>
      <c r="AQ1916" t="n">
        <v>0</v>
      </c>
      <c r="AR1916" t="inlineStr">
        <is>
          <t>No</t>
        </is>
      </c>
      <c r="AS1916" t="inlineStr">
        <is>
          <t>No</t>
        </is>
      </c>
      <c r="AU1916">
        <f>HYPERLINK("https://creighton-primo.hosted.exlibrisgroup.com/primo-explore/search?tab=default_tab&amp;search_scope=EVERYTHING&amp;vid=01CRU&amp;lang=en_US&amp;offset=0&amp;query=any,contains,991002439779702656","Catalog Record")</f>
        <v/>
      </c>
      <c r="AV1916">
        <f>HYPERLINK("http://www.worldcat.org/oclc/349802","WorldCat Record")</f>
        <v/>
      </c>
      <c r="AW1916" t="inlineStr">
        <is>
          <t>1510661:eng</t>
        </is>
      </c>
      <c r="AX1916" t="inlineStr">
        <is>
          <t>349802</t>
        </is>
      </c>
      <c r="AY1916" t="inlineStr">
        <is>
          <t>991002439779702656</t>
        </is>
      </c>
      <c r="AZ1916" t="inlineStr">
        <is>
          <t>991002439779702656</t>
        </is>
      </c>
      <c r="BA1916" t="inlineStr">
        <is>
          <t>2267377700002656</t>
        </is>
      </c>
      <c r="BB1916" t="inlineStr">
        <is>
          <t>BOOK</t>
        </is>
      </c>
      <c r="BE1916" t="inlineStr">
        <is>
          <t>32285000958974</t>
        </is>
      </c>
      <c r="BF1916" t="inlineStr">
        <is>
          <t>893798594</t>
        </is>
      </c>
    </row>
    <row r="1917">
      <c r="A1917" t="inlineStr">
        <is>
          <t>No</t>
        </is>
      </c>
      <c r="B1917" t="inlineStr">
        <is>
          <t>CURAL</t>
        </is>
      </c>
      <c r="C1917" t="inlineStr">
        <is>
          <t>SHELVES</t>
        </is>
      </c>
      <c r="D1917" t="inlineStr">
        <is>
          <t>PR4646 .H8 1969b</t>
        </is>
      </c>
      <c r="E1917" t="inlineStr">
        <is>
          <t>0                      PR 4646000H  8           1969b</t>
        </is>
      </c>
      <c r="F1917" t="inlineStr">
        <is>
          <t>Maria Edgeworth and the public scene; intellect, fine feeling and landlordism in the Age of Reform.</t>
        </is>
      </c>
      <c r="H1917" t="inlineStr">
        <is>
          <t>No</t>
        </is>
      </c>
      <c r="I1917" t="inlineStr">
        <is>
          <t>1</t>
        </is>
      </c>
      <c r="J1917" t="inlineStr">
        <is>
          <t>No</t>
        </is>
      </c>
      <c r="K1917" t="inlineStr">
        <is>
          <t>No</t>
        </is>
      </c>
      <c r="L1917" t="inlineStr">
        <is>
          <t>0</t>
        </is>
      </c>
      <c r="M1917" t="inlineStr">
        <is>
          <t>Hurst, Michael.</t>
        </is>
      </c>
      <c r="N1917" t="inlineStr">
        <is>
          <t>Coral Gables, Fla., University of Miami Press [1969]</t>
        </is>
      </c>
      <c r="O1917" t="inlineStr">
        <is>
          <t>1969</t>
        </is>
      </c>
      <c r="Q1917" t="inlineStr">
        <is>
          <t>eng</t>
        </is>
      </c>
      <c r="R1917" t="inlineStr">
        <is>
          <t>flu</t>
        </is>
      </c>
      <c r="T1917" t="inlineStr">
        <is>
          <t xml:space="preserve">PR </t>
        </is>
      </c>
      <c r="U1917" t="n">
        <v>3</v>
      </c>
      <c r="V1917" t="n">
        <v>3</v>
      </c>
      <c r="W1917" t="inlineStr">
        <is>
          <t>2004-10-26</t>
        </is>
      </c>
      <c r="X1917" t="inlineStr">
        <is>
          <t>2004-10-26</t>
        </is>
      </c>
      <c r="Y1917" t="inlineStr">
        <is>
          <t>1997-07-14</t>
        </is>
      </c>
      <c r="Z1917" t="inlineStr">
        <is>
          <t>1997-07-14</t>
        </is>
      </c>
      <c r="AA1917" t="n">
        <v>514</v>
      </c>
      <c r="AB1917" t="n">
        <v>480</v>
      </c>
      <c r="AC1917" t="n">
        <v>516</v>
      </c>
      <c r="AD1917" t="n">
        <v>5</v>
      </c>
      <c r="AE1917" t="n">
        <v>5</v>
      </c>
      <c r="AF1917" t="n">
        <v>32</v>
      </c>
      <c r="AG1917" t="n">
        <v>32</v>
      </c>
      <c r="AH1917" t="n">
        <v>12</v>
      </c>
      <c r="AI1917" t="n">
        <v>12</v>
      </c>
      <c r="AJ1917" t="n">
        <v>6</v>
      </c>
      <c r="AK1917" t="n">
        <v>6</v>
      </c>
      <c r="AL1917" t="n">
        <v>21</v>
      </c>
      <c r="AM1917" t="n">
        <v>21</v>
      </c>
      <c r="AN1917" t="n">
        <v>4</v>
      </c>
      <c r="AO1917" t="n">
        <v>4</v>
      </c>
      <c r="AP1917" t="n">
        <v>0</v>
      </c>
      <c r="AQ1917" t="n">
        <v>0</v>
      </c>
      <c r="AR1917" t="inlineStr">
        <is>
          <t>No</t>
        </is>
      </c>
      <c r="AS1917" t="inlineStr">
        <is>
          <t>Yes</t>
        </is>
      </c>
      <c r="AT1917">
        <f>HYPERLINK("http://catalog.hathitrust.org/Record/001375743","HathiTrust Record")</f>
        <v/>
      </c>
      <c r="AU1917">
        <f>HYPERLINK("https://creighton-primo.hosted.exlibrisgroup.com/primo-explore/search?tab=default_tab&amp;search_scope=EVERYTHING&amp;vid=01CRU&amp;lang=en_US&amp;offset=0&amp;query=any,contains,991000106269702656","Catalog Record")</f>
        <v/>
      </c>
      <c r="AV1917">
        <f>HYPERLINK("http://www.worldcat.org/oclc/46524","WorldCat Record")</f>
        <v/>
      </c>
      <c r="AW1917" t="inlineStr">
        <is>
          <t>1182305:eng</t>
        </is>
      </c>
      <c r="AX1917" t="inlineStr">
        <is>
          <t>46524</t>
        </is>
      </c>
      <c r="AY1917" t="inlineStr">
        <is>
          <t>991000106269702656</t>
        </is>
      </c>
      <c r="AZ1917" t="inlineStr">
        <is>
          <t>991000106269702656</t>
        </is>
      </c>
      <c r="BA1917" t="inlineStr">
        <is>
          <t>2261840620002656</t>
        </is>
      </c>
      <c r="BB1917" t="inlineStr">
        <is>
          <t>BOOK</t>
        </is>
      </c>
      <c r="BD1917" t="inlineStr">
        <is>
          <t>9780870241352</t>
        </is>
      </c>
      <c r="BE1917" t="inlineStr">
        <is>
          <t>32285002892858</t>
        </is>
      </c>
      <c r="BF1917" t="inlineStr">
        <is>
          <t>893714313</t>
        </is>
      </c>
    </row>
    <row r="1918">
      <c r="A1918" t="inlineStr">
        <is>
          <t>No</t>
        </is>
      </c>
      <c r="B1918" t="inlineStr">
        <is>
          <t>CURAL</t>
        </is>
      </c>
      <c r="C1918" t="inlineStr">
        <is>
          <t>SHELVES</t>
        </is>
      </c>
      <c r="D1918" t="inlineStr">
        <is>
          <t>PR4646 .L3 1904a</t>
        </is>
      </c>
      <c r="E1918" t="inlineStr">
        <is>
          <t>0                      PR 4646000L  3           1904a</t>
        </is>
      </c>
      <c r="F1918" t="inlineStr">
        <is>
          <t>Maria Edgeworth / by the Hon. Emily Lawless.</t>
        </is>
      </c>
      <c r="H1918" t="inlineStr">
        <is>
          <t>No</t>
        </is>
      </c>
      <c r="I1918" t="inlineStr">
        <is>
          <t>1</t>
        </is>
      </c>
      <c r="J1918" t="inlineStr">
        <is>
          <t>No</t>
        </is>
      </c>
      <c r="K1918" t="inlineStr">
        <is>
          <t>No</t>
        </is>
      </c>
      <c r="L1918" t="inlineStr">
        <is>
          <t>0</t>
        </is>
      </c>
      <c r="M1918" t="inlineStr">
        <is>
          <t>Lawless, Emily, 1845-1913.</t>
        </is>
      </c>
      <c r="N1918" t="inlineStr">
        <is>
          <t>New York : Macmillan, 1904.</t>
        </is>
      </c>
      <c r="O1918" t="inlineStr">
        <is>
          <t>1904</t>
        </is>
      </c>
      <c r="Q1918" t="inlineStr">
        <is>
          <t>eng</t>
        </is>
      </c>
      <c r="R1918" t="inlineStr">
        <is>
          <t>nyu</t>
        </is>
      </c>
      <c r="S1918" t="inlineStr">
        <is>
          <t>English men of letters</t>
        </is>
      </c>
      <c r="T1918" t="inlineStr">
        <is>
          <t xml:space="preserve">PR </t>
        </is>
      </c>
      <c r="U1918" t="n">
        <v>4</v>
      </c>
      <c r="V1918" t="n">
        <v>4</v>
      </c>
      <c r="W1918" t="inlineStr">
        <is>
          <t>2004-10-26</t>
        </is>
      </c>
      <c r="X1918" t="inlineStr">
        <is>
          <t>2004-10-26</t>
        </is>
      </c>
      <c r="Y1918" t="inlineStr">
        <is>
          <t>1997-07-14</t>
        </is>
      </c>
      <c r="Z1918" t="inlineStr">
        <is>
          <t>1997-07-14</t>
        </is>
      </c>
      <c r="AA1918" t="n">
        <v>181</v>
      </c>
      <c r="AB1918" t="n">
        <v>163</v>
      </c>
      <c r="AC1918" t="n">
        <v>554</v>
      </c>
      <c r="AD1918" t="n">
        <v>1</v>
      </c>
      <c r="AE1918" t="n">
        <v>5</v>
      </c>
      <c r="AF1918" t="n">
        <v>6</v>
      </c>
      <c r="AG1918" t="n">
        <v>29</v>
      </c>
      <c r="AH1918" t="n">
        <v>2</v>
      </c>
      <c r="AI1918" t="n">
        <v>10</v>
      </c>
      <c r="AJ1918" t="n">
        <v>0</v>
      </c>
      <c r="AK1918" t="n">
        <v>6</v>
      </c>
      <c r="AL1918" t="n">
        <v>5</v>
      </c>
      <c r="AM1918" t="n">
        <v>14</v>
      </c>
      <c r="AN1918" t="n">
        <v>0</v>
      </c>
      <c r="AO1918" t="n">
        <v>4</v>
      </c>
      <c r="AP1918" t="n">
        <v>0</v>
      </c>
      <c r="AQ1918" t="n">
        <v>1</v>
      </c>
      <c r="AR1918" t="inlineStr">
        <is>
          <t>Yes</t>
        </is>
      </c>
      <c r="AS1918" t="inlineStr">
        <is>
          <t>No</t>
        </is>
      </c>
      <c r="AT1918">
        <f>HYPERLINK("http://catalog.hathitrust.org/Record/001419546","HathiTrust Record")</f>
        <v/>
      </c>
      <c r="AU1918">
        <f>HYPERLINK("https://creighton-primo.hosted.exlibrisgroup.com/primo-explore/search?tab=default_tab&amp;search_scope=EVERYTHING&amp;vid=01CRU&amp;lang=en_US&amp;offset=0&amp;query=any,contains,991004892739702656","Catalog Record")</f>
        <v/>
      </c>
      <c r="AV1918">
        <f>HYPERLINK("http://www.worldcat.org/oclc/757638","WorldCat Record")</f>
        <v/>
      </c>
      <c r="AW1918" t="inlineStr">
        <is>
          <t>1580099:eng</t>
        </is>
      </c>
      <c r="AX1918" t="inlineStr">
        <is>
          <t>757638</t>
        </is>
      </c>
      <c r="AY1918" t="inlineStr">
        <is>
          <t>991004892739702656</t>
        </is>
      </c>
      <c r="AZ1918" t="inlineStr">
        <is>
          <t>991004892739702656</t>
        </is>
      </c>
      <c r="BA1918" t="inlineStr">
        <is>
          <t>2270855640002656</t>
        </is>
      </c>
      <c r="BB1918" t="inlineStr">
        <is>
          <t>BOOK</t>
        </is>
      </c>
      <c r="BE1918" t="inlineStr">
        <is>
          <t>32285002892866</t>
        </is>
      </c>
      <c r="BF1918" t="inlineStr">
        <is>
          <t>893776547</t>
        </is>
      </c>
    </row>
    <row r="1919">
      <c r="A1919" t="inlineStr">
        <is>
          <t>No</t>
        </is>
      </c>
      <c r="B1919" t="inlineStr">
        <is>
          <t>CURAL</t>
        </is>
      </c>
      <c r="C1919" t="inlineStr">
        <is>
          <t>SHELVES</t>
        </is>
      </c>
      <c r="D1919" t="inlineStr">
        <is>
          <t>PR4646 .N42 1973</t>
        </is>
      </c>
      <c r="E1919" t="inlineStr">
        <is>
          <t>0                      PR 4646000N  42          1973</t>
        </is>
      </c>
      <c r="F1919" t="inlineStr">
        <is>
          <t>Maria Edgeworth / James Newcomer.</t>
        </is>
      </c>
      <c r="H1919" t="inlineStr">
        <is>
          <t>No</t>
        </is>
      </c>
      <c r="I1919" t="inlineStr">
        <is>
          <t>1</t>
        </is>
      </c>
      <c r="J1919" t="inlineStr">
        <is>
          <t>No</t>
        </is>
      </c>
      <c r="K1919" t="inlineStr">
        <is>
          <t>No</t>
        </is>
      </c>
      <c r="L1919" t="inlineStr">
        <is>
          <t>0</t>
        </is>
      </c>
      <c r="M1919" t="inlineStr">
        <is>
          <t>Newcomer, James.</t>
        </is>
      </c>
      <c r="N1919" t="inlineStr">
        <is>
          <t>Lewisburg : Bucknell University Press, [1973]</t>
        </is>
      </c>
      <c r="O1919" t="inlineStr">
        <is>
          <t>1973</t>
        </is>
      </c>
      <c r="Q1919" t="inlineStr">
        <is>
          <t>eng</t>
        </is>
      </c>
      <c r="R1919" t="inlineStr">
        <is>
          <t>pau</t>
        </is>
      </c>
      <c r="S1919" t="inlineStr">
        <is>
          <t>The Irish writers series</t>
        </is>
      </c>
      <c r="T1919" t="inlineStr">
        <is>
          <t xml:space="preserve">PR </t>
        </is>
      </c>
      <c r="U1919" t="n">
        <v>5</v>
      </c>
      <c r="V1919" t="n">
        <v>5</v>
      </c>
      <c r="W1919" t="inlineStr">
        <is>
          <t>2004-10-26</t>
        </is>
      </c>
      <c r="X1919" t="inlineStr">
        <is>
          <t>2004-10-26</t>
        </is>
      </c>
      <c r="Y1919" t="inlineStr">
        <is>
          <t>1991-11-07</t>
        </is>
      </c>
      <c r="Z1919" t="inlineStr">
        <is>
          <t>1991-11-07</t>
        </is>
      </c>
      <c r="AA1919" t="n">
        <v>465</v>
      </c>
      <c r="AB1919" t="n">
        <v>366</v>
      </c>
      <c r="AC1919" t="n">
        <v>368</v>
      </c>
      <c r="AD1919" t="n">
        <v>3</v>
      </c>
      <c r="AE1919" t="n">
        <v>3</v>
      </c>
      <c r="AF1919" t="n">
        <v>19</v>
      </c>
      <c r="AG1919" t="n">
        <v>19</v>
      </c>
      <c r="AH1919" t="n">
        <v>5</v>
      </c>
      <c r="AI1919" t="n">
        <v>5</v>
      </c>
      <c r="AJ1919" t="n">
        <v>6</v>
      </c>
      <c r="AK1919" t="n">
        <v>6</v>
      </c>
      <c r="AL1919" t="n">
        <v>10</v>
      </c>
      <c r="AM1919" t="n">
        <v>10</v>
      </c>
      <c r="AN1919" t="n">
        <v>2</v>
      </c>
      <c r="AO1919" t="n">
        <v>2</v>
      </c>
      <c r="AP1919" t="n">
        <v>0</v>
      </c>
      <c r="AQ1919" t="n">
        <v>0</v>
      </c>
      <c r="AR1919" t="inlineStr">
        <is>
          <t>No</t>
        </is>
      </c>
      <c r="AS1919" t="inlineStr">
        <is>
          <t>Yes</t>
        </is>
      </c>
      <c r="AT1919">
        <f>HYPERLINK("http://catalog.hathitrust.org/Record/001375745","HathiTrust Record")</f>
        <v/>
      </c>
      <c r="AU1919">
        <f>HYPERLINK("https://creighton-primo.hosted.exlibrisgroup.com/primo-explore/search?tab=default_tab&amp;search_scope=EVERYTHING&amp;vid=01CRU&amp;lang=en_US&amp;offset=0&amp;query=any,contains,991003039929702656","Catalog Record")</f>
        <v/>
      </c>
      <c r="AV1919">
        <f>HYPERLINK("http://www.worldcat.org/oclc/601523","WorldCat Record")</f>
        <v/>
      </c>
      <c r="AW1919" t="inlineStr">
        <is>
          <t>1602472:eng</t>
        </is>
      </c>
      <c r="AX1919" t="inlineStr">
        <is>
          <t>601523</t>
        </is>
      </c>
      <c r="AY1919" t="inlineStr">
        <is>
          <t>991003039929702656</t>
        </is>
      </c>
      <c r="AZ1919" t="inlineStr">
        <is>
          <t>991003039929702656</t>
        </is>
      </c>
      <c r="BA1919" t="inlineStr">
        <is>
          <t>2261729520002656</t>
        </is>
      </c>
      <c r="BB1919" t="inlineStr">
        <is>
          <t>BOOK</t>
        </is>
      </c>
      <c r="BD1919" t="inlineStr">
        <is>
          <t>9780838777619</t>
        </is>
      </c>
      <c r="BE1919" t="inlineStr">
        <is>
          <t>32285000799030</t>
        </is>
      </c>
      <c r="BF1919" t="inlineStr">
        <is>
          <t>893887071</t>
        </is>
      </c>
    </row>
    <row r="1920">
      <c r="A1920" t="inlineStr">
        <is>
          <t>No</t>
        </is>
      </c>
      <c r="B1920" t="inlineStr">
        <is>
          <t>CURAL</t>
        </is>
      </c>
      <c r="C1920" t="inlineStr">
        <is>
          <t>SHELVES</t>
        </is>
      </c>
      <c r="D1920" t="inlineStr">
        <is>
          <t>PR4646 .N43</t>
        </is>
      </c>
      <c r="E1920" t="inlineStr">
        <is>
          <t>0                      PR 4646000N  43</t>
        </is>
      </c>
      <c r="F1920" t="inlineStr">
        <is>
          <t>Maria Edgeworth, the novelist, 1767-1849 : a bicentennial study.</t>
        </is>
      </c>
      <c r="H1920" t="inlineStr">
        <is>
          <t>No</t>
        </is>
      </c>
      <c r="I1920" t="inlineStr">
        <is>
          <t>1</t>
        </is>
      </c>
      <c r="J1920" t="inlineStr">
        <is>
          <t>No</t>
        </is>
      </c>
      <c r="K1920" t="inlineStr">
        <is>
          <t>No</t>
        </is>
      </c>
      <c r="L1920" t="inlineStr">
        <is>
          <t>0</t>
        </is>
      </c>
      <c r="M1920" t="inlineStr">
        <is>
          <t>Newcomer, James.</t>
        </is>
      </c>
      <c r="N1920" t="inlineStr">
        <is>
          <t>Forth Worth : Texas Christian University Press, 1967.</t>
        </is>
      </c>
      <c r="O1920" t="inlineStr">
        <is>
          <t>1967</t>
        </is>
      </c>
      <c r="Q1920" t="inlineStr">
        <is>
          <t>eng</t>
        </is>
      </c>
      <c r="R1920" t="inlineStr">
        <is>
          <t>txu</t>
        </is>
      </c>
      <c r="S1920" t="inlineStr">
        <is>
          <t>Texas Christian University monographs in history and culture ; no. 2</t>
        </is>
      </c>
      <c r="T1920" t="inlineStr">
        <is>
          <t xml:space="preserve">PR </t>
        </is>
      </c>
      <c r="U1920" t="n">
        <v>10</v>
      </c>
      <c r="V1920" t="n">
        <v>10</v>
      </c>
      <c r="W1920" t="inlineStr">
        <is>
          <t>2004-12-15</t>
        </is>
      </c>
      <c r="X1920" t="inlineStr">
        <is>
          <t>2004-12-15</t>
        </is>
      </c>
      <c r="Y1920" t="inlineStr">
        <is>
          <t>1992-11-18</t>
        </is>
      </c>
      <c r="Z1920" t="inlineStr">
        <is>
          <t>1992-11-18</t>
        </is>
      </c>
      <c r="AA1920" t="n">
        <v>430</v>
      </c>
      <c r="AB1920" t="n">
        <v>374</v>
      </c>
      <c r="AC1920" t="n">
        <v>383</v>
      </c>
      <c r="AD1920" t="n">
        <v>4</v>
      </c>
      <c r="AE1920" t="n">
        <v>4</v>
      </c>
      <c r="AF1920" t="n">
        <v>23</v>
      </c>
      <c r="AG1920" t="n">
        <v>23</v>
      </c>
      <c r="AH1920" t="n">
        <v>7</v>
      </c>
      <c r="AI1920" t="n">
        <v>7</v>
      </c>
      <c r="AJ1920" t="n">
        <v>6</v>
      </c>
      <c r="AK1920" t="n">
        <v>6</v>
      </c>
      <c r="AL1920" t="n">
        <v>13</v>
      </c>
      <c r="AM1920" t="n">
        <v>13</v>
      </c>
      <c r="AN1920" t="n">
        <v>3</v>
      </c>
      <c r="AO1920" t="n">
        <v>3</v>
      </c>
      <c r="AP1920" t="n">
        <v>0</v>
      </c>
      <c r="AQ1920" t="n">
        <v>0</v>
      </c>
      <c r="AR1920" t="inlineStr">
        <is>
          <t>No</t>
        </is>
      </c>
      <c r="AS1920" t="inlineStr">
        <is>
          <t>Yes</t>
        </is>
      </c>
      <c r="AT1920">
        <f>HYPERLINK("http://catalog.hathitrust.org/Record/101864007","HathiTrust Record")</f>
        <v/>
      </c>
      <c r="AU1920">
        <f>HYPERLINK("https://creighton-primo.hosted.exlibrisgroup.com/primo-explore/search?tab=default_tab&amp;search_scope=EVERYTHING&amp;vid=01CRU&amp;lang=en_US&amp;offset=0&amp;query=any,contains,991002284979702656","Catalog Record")</f>
        <v/>
      </c>
      <c r="AV1920">
        <f>HYPERLINK("http://www.worldcat.org/oclc/311303","WorldCat Record")</f>
        <v/>
      </c>
      <c r="AW1920" t="inlineStr">
        <is>
          <t>3857020401:eng</t>
        </is>
      </c>
      <c r="AX1920" t="inlineStr">
        <is>
          <t>311303</t>
        </is>
      </c>
      <c r="AY1920" t="inlineStr">
        <is>
          <t>991002284979702656</t>
        </is>
      </c>
      <c r="AZ1920" t="inlineStr">
        <is>
          <t>991002284979702656</t>
        </is>
      </c>
      <c r="BA1920" t="inlineStr">
        <is>
          <t>2272425330002656</t>
        </is>
      </c>
      <c r="BB1920" t="inlineStr">
        <is>
          <t>BOOK</t>
        </is>
      </c>
      <c r="BE1920" t="inlineStr">
        <is>
          <t>32285001405702</t>
        </is>
      </c>
      <c r="BF1920" t="inlineStr">
        <is>
          <t>893529779</t>
        </is>
      </c>
    </row>
    <row r="1921">
      <c r="A1921" t="inlineStr">
        <is>
          <t>No</t>
        </is>
      </c>
      <c r="B1921" t="inlineStr">
        <is>
          <t>CURAL</t>
        </is>
      </c>
      <c r="C1921" t="inlineStr">
        <is>
          <t>SHELVES</t>
        </is>
      </c>
      <c r="D1921" t="inlineStr">
        <is>
          <t>PR4647 .H26 1984</t>
        </is>
      </c>
      <c r="E1921" t="inlineStr">
        <is>
          <t>0                      PR 4647000H  26          1984</t>
        </is>
      </c>
      <c r="F1921" t="inlineStr">
        <is>
          <t>Maria Edgeworth / by Elizabeth Harden.</t>
        </is>
      </c>
      <c r="H1921" t="inlineStr">
        <is>
          <t>No</t>
        </is>
      </c>
      <c r="I1921" t="inlineStr">
        <is>
          <t>1</t>
        </is>
      </c>
      <c r="J1921" t="inlineStr">
        <is>
          <t>No</t>
        </is>
      </c>
      <c r="K1921" t="inlineStr">
        <is>
          <t>No</t>
        </is>
      </c>
      <c r="L1921" t="inlineStr">
        <is>
          <t>0</t>
        </is>
      </c>
      <c r="M1921" t="inlineStr">
        <is>
          <t>Harden, O. Elizabeth McWhorter (Oleta Elizabeth McWhorter), 1935-</t>
        </is>
      </c>
      <c r="N1921" t="inlineStr">
        <is>
          <t>Boston : Twayne Publishers, c1984.</t>
        </is>
      </c>
      <c r="O1921" t="inlineStr">
        <is>
          <t>1984</t>
        </is>
      </c>
      <c r="Q1921" t="inlineStr">
        <is>
          <t>eng</t>
        </is>
      </c>
      <c r="R1921" t="inlineStr">
        <is>
          <t>mau</t>
        </is>
      </c>
      <c r="S1921" t="inlineStr">
        <is>
          <t>Twayne's English authors series ; TEAS 375</t>
        </is>
      </c>
      <c r="T1921" t="inlineStr">
        <is>
          <t xml:space="preserve">PR </t>
        </is>
      </c>
      <c r="U1921" t="n">
        <v>8</v>
      </c>
      <c r="V1921" t="n">
        <v>8</v>
      </c>
      <c r="W1921" t="inlineStr">
        <is>
          <t>2004-12-15</t>
        </is>
      </c>
      <c r="X1921" t="inlineStr">
        <is>
          <t>2004-12-15</t>
        </is>
      </c>
      <c r="Y1921" t="inlineStr">
        <is>
          <t>1992-06-10</t>
        </is>
      </c>
      <c r="Z1921" t="inlineStr">
        <is>
          <t>1992-06-10</t>
        </is>
      </c>
      <c r="AA1921" t="n">
        <v>547</v>
      </c>
      <c r="AB1921" t="n">
        <v>475</v>
      </c>
      <c r="AC1921" t="n">
        <v>573</v>
      </c>
      <c r="AD1921" t="n">
        <v>5</v>
      </c>
      <c r="AE1921" t="n">
        <v>5</v>
      </c>
      <c r="AF1921" t="n">
        <v>22</v>
      </c>
      <c r="AG1921" t="n">
        <v>24</v>
      </c>
      <c r="AH1921" t="n">
        <v>6</v>
      </c>
      <c r="AI1921" t="n">
        <v>7</v>
      </c>
      <c r="AJ1921" t="n">
        <v>5</v>
      </c>
      <c r="AK1921" t="n">
        <v>5</v>
      </c>
      <c r="AL1921" t="n">
        <v>14</v>
      </c>
      <c r="AM1921" t="n">
        <v>15</v>
      </c>
      <c r="AN1921" t="n">
        <v>4</v>
      </c>
      <c r="AO1921" t="n">
        <v>4</v>
      </c>
      <c r="AP1921" t="n">
        <v>0</v>
      </c>
      <c r="AQ1921" t="n">
        <v>0</v>
      </c>
      <c r="AR1921" t="inlineStr">
        <is>
          <t>No</t>
        </is>
      </c>
      <c r="AS1921" t="inlineStr">
        <is>
          <t>Yes</t>
        </is>
      </c>
      <c r="AT1921">
        <f>HYPERLINK("http://catalog.hathitrust.org/Record/000337167","HathiTrust Record")</f>
        <v/>
      </c>
      <c r="AU1921">
        <f>HYPERLINK("https://creighton-primo.hosted.exlibrisgroup.com/primo-explore/search?tab=default_tab&amp;search_scope=EVERYTHING&amp;vid=01CRU&amp;lang=en_US&amp;offset=0&amp;query=any,contains,991000433919702656","Catalog Record")</f>
        <v/>
      </c>
      <c r="AV1921">
        <f>HYPERLINK("http://www.worldcat.org/oclc/10780548","WorldCat Record")</f>
        <v/>
      </c>
      <c r="AW1921" t="inlineStr">
        <is>
          <t>3567696:eng</t>
        </is>
      </c>
      <c r="AX1921" t="inlineStr">
        <is>
          <t>10780548</t>
        </is>
      </c>
      <c r="AY1921" t="inlineStr">
        <is>
          <t>991000433919702656</t>
        </is>
      </c>
      <c r="AZ1921" t="inlineStr">
        <is>
          <t>991000433919702656</t>
        </is>
      </c>
      <c r="BA1921" t="inlineStr">
        <is>
          <t>2256497720002656</t>
        </is>
      </c>
      <c r="BB1921" t="inlineStr">
        <is>
          <t>BOOK</t>
        </is>
      </c>
      <c r="BD1921" t="inlineStr">
        <is>
          <t>9780805768794</t>
        </is>
      </c>
      <c r="BE1921" t="inlineStr">
        <is>
          <t>32285001075992</t>
        </is>
      </c>
      <c r="BF1921" t="inlineStr">
        <is>
          <t>893508770</t>
        </is>
      </c>
    </row>
    <row r="1922">
      <c r="A1922" t="inlineStr">
        <is>
          <t>No</t>
        </is>
      </c>
      <c r="B1922" t="inlineStr">
        <is>
          <t>CURAL</t>
        </is>
      </c>
      <c r="C1922" t="inlineStr">
        <is>
          <t>SHELVES</t>
        </is>
      </c>
      <c r="D1922" t="inlineStr">
        <is>
          <t>PR4647 .H27</t>
        </is>
      </c>
      <c r="E1922" t="inlineStr">
        <is>
          <t>0                      PR 4647000H  27</t>
        </is>
      </c>
      <c r="F1922" t="inlineStr">
        <is>
          <t>Maria Edgeworth's art of prose fiction / [by] O. Elizabeth McWhorter Harden.</t>
        </is>
      </c>
      <c r="H1922" t="inlineStr">
        <is>
          <t>No</t>
        </is>
      </c>
      <c r="I1922" t="inlineStr">
        <is>
          <t>1</t>
        </is>
      </c>
      <c r="J1922" t="inlineStr">
        <is>
          <t>No</t>
        </is>
      </c>
      <c r="K1922" t="inlineStr">
        <is>
          <t>No</t>
        </is>
      </c>
      <c r="L1922" t="inlineStr">
        <is>
          <t>0</t>
        </is>
      </c>
      <c r="M1922" t="inlineStr">
        <is>
          <t>Harden, O. Elizabeth McWhorter (Oleta Elizabeth McWhorter), 1935-</t>
        </is>
      </c>
      <c r="N1922" t="inlineStr">
        <is>
          <t>The Hague : Mouton, 1971.</t>
        </is>
      </c>
      <c r="O1922" t="inlineStr">
        <is>
          <t>1971</t>
        </is>
      </c>
      <c r="Q1922" t="inlineStr">
        <is>
          <t>eng</t>
        </is>
      </c>
      <c r="R1922" t="inlineStr">
        <is>
          <t xml:space="preserve">ne </t>
        </is>
      </c>
      <c r="S1922" t="inlineStr">
        <is>
          <t>Studies in English literature ; v. 62</t>
        </is>
      </c>
      <c r="T1922" t="inlineStr">
        <is>
          <t xml:space="preserve">PR </t>
        </is>
      </c>
      <c r="U1922" t="n">
        <v>9</v>
      </c>
      <c r="V1922" t="n">
        <v>9</v>
      </c>
      <c r="W1922" t="inlineStr">
        <is>
          <t>2005-10-09</t>
        </is>
      </c>
      <c r="X1922" t="inlineStr">
        <is>
          <t>2005-10-09</t>
        </is>
      </c>
      <c r="Y1922" t="inlineStr">
        <is>
          <t>1992-11-18</t>
        </is>
      </c>
      <c r="Z1922" t="inlineStr">
        <is>
          <t>1992-11-18</t>
        </is>
      </c>
      <c r="AA1922" t="n">
        <v>466</v>
      </c>
      <c r="AB1922" t="n">
        <v>359</v>
      </c>
      <c r="AC1922" t="n">
        <v>364</v>
      </c>
      <c r="AD1922" t="n">
        <v>5</v>
      </c>
      <c r="AE1922" t="n">
        <v>5</v>
      </c>
      <c r="AF1922" t="n">
        <v>23</v>
      </c>
      <c r="AG1922" t="n">
        <v>23</v>
      </c>
      <c r="AH1922" t="n">
        <v>6</v>
      </c>
      <c r="AI1922" t="n">
        <v>6</v>
      </c>
      <c r="AJ1922" t="n">
        <v>4</v>
      </c>
      <c r="AK1922" t="n">
        <v>4</v>
      </c>
      <c r="AL1922" t="n">
        <v>14</v>
      </c>
      <c r="AM1922" t="n">
        <v>14</v>
      </c>
      <c r="AN1922" t="n">
        <v>4</v>
      </c>
      <c r="AO1922" t="n">
        <v>4</v>
      </c>
      <c r="AP1922" t="n">
        <v>0</v>
      </c>
      <c r="AQ1922" t="n">
        <v>0</v>
      </c>
      <c r="AR1922" t="inlineStr">
        <is>
          <t>No</t>
        </is>
      </c>
      <c r="AS1922" t="inlineStr">
        <is>
          <t>Yes</t>
        </is>
      </c>
      <c r="AT1922">
        <f>HYPERLINK("http://catalog.hathitrust.org/Record/001910176","HathiTrust Record")</f>
        <v/>
      </c>
      <c r="AU1922">
        <f>HYPERLINK("https://creighton-primo.hosted.exlibrisgroup.com/primo-explore/search?tab=default_tab&amp;search_scope=EVERYTHING&amp;vid=01CRU&amp;lang=en_US&amp;offset=0&amp;query=any,contains,991001270859702656","Catalog Record")</f>
        <v/>
      </c>
      <c r="AV1922">
        <f>HYPERLINK("http://www.worldcat.org/oclc/212046","WorldCat Record")</f>
        <v/>
      </c>
      <c r="AW1922" t="inlineStr">
        <is>
          <t>1289732:eng</t>
        </is>
      </c>
      <c r="AX1922" t="inlineStr">
        <is>
          <t>212046</t>
        </is>
      </c>
      <c r="AY1922" t="inlineStr">
        <is>
          <t>991001270859702656</t>
        </is>
      </c>
      <c r="AZ1922" t="inlineStr">
        <is>
          <t>991001270859702656</t>
        </is>
      </c>
      <c r="BA1922" t="inlineStr">
        <is>
          <t>2262015120002656</t>
        </is>
      </c>
      <c r="BB1922" t="inlineStr">
        <is>
          <t>BOOK</t>
        </is>
      </c>
      <c r="BE1922" t="inlineStr">
        <is>
          <t>32285001405694</t>
        </is>
      </c>
      <c r="BF1922" t="inlineStr">
        <is>
          <t>893340301</t>
        </is>
      </c>
    </row>
    <row r="1923">
      <c r="A1923" t="inlineStr">
        <is>
          <t>No</t>
        </is>
      </c>
      <c r="B1923" t="inlineStr">
        <is>
          <t>CURAL</t>
        </is>
      </c>
      <c r="C1923" t="inlineStr">
        <is>
          <t>SHELVES</t>
        </is>
      </c>
      <c r="D1923" t="inlineStr">
        <is>
          <t>PR4649.E45 Z85</t>
        </is>
      </c>
      <c r="E1923" t="inlineStr">
        <is>
          <t>0                      PR 4649000E  45                 Z  85</t>
        </is>
      </c>
      <c r="F1923" t="inlineStr">
        <is>
          <t>Bucks and bruisers: Pierce Egan and Regency England [by] J. C. Reid.</t>
        </is>
      </c>
      <c r="H1923" t="inlineStr">
        <is>
          <t>No</t>
        </is>
      </c>
      <c r="I1923" t="inlineStr">
        <is>
          <t>1</t>
        </is>
      </c>
      <c r="J1923" t="inlineStr">
        <is>
          <t>No</t>
        </is>
      </c>
      <c r="K1923" t="inlineStr">
        <is>
          <t>No</t>
        </is>
      </c>
      <c r="L1923" t="inlineStr">
        <is>
          <t>0</t>
        </is>
      </c>
      <c r="M1923" t="inlineStr">
        <is>
          <t>Reid, J. C. (John Cowie), 1916-1972.</t>
        </is>
      </c>
      <c r="N1923" t="inlineStr">
        <is>
          <t>London, Routledge and K. Paul, 1971.</t>
        </is>
      </c>
      <c r="O1923" t="inlineStr">
        <is>
          <t>1971</t>
        </is>
      </c>
      <c r="Q1923" t="inlineStr">
        <is>
          <t>eng</t>
        </is>
      </c>
      <c r="R1923" t="inlineStr">
        <is>
          <t>enk</t>
        </is>
      </c>
      <c r="T1923" t="inlineStr">
        <is>
          <t xml:space="preserve">PR </t>
        </is>
      </c>
      <c r="U1923" t="n">
        <v>1</v>
      </c>
      <c r="V1923" t="n">
        <v>1</v>
      </c>
      <c r="W1923" t="inlineStr">
        <is>
          <t>1998-05-27</t>
        </is>
      </c>
      <c r="X1923" t="inlineStr">
        <is>
          <t>1998-05-27</t>
        </is>
      </c>
      <c r="Y1923" t="inlineStr">
        <is>
          <t>1997-07-14</t>
        </is>
      </c>
      <c r="Z1923" t="inlineStr">
        <is>
          <t>1997-07-14</t>
        </is>
      </c>
      <c r="AA1923" t="n">
        <v>289</v>
      </c>
      <c r="AB1923" t="n">
        <v>182</v>
      </c>
      <c r="AC1923" t="n">
        <v>187</v>
      </c>
      <c r="AD1923" t="n">
        <v>2</v>
      </c>
      <c r="AE1923" t="n">
        <v>2</v>
      </c>
      <c r="AF1923" t="n">
        <v>5</v>
      </c>
      <c r="AG1923" t="n">
        <v>5</v>
      </c>
      <c r="AH1923" t="n">
        <v>0</v>
      </c>
      <c r="AI1923" t="n">
        <v>0</v>
      </c>
      <c r="AJ1923" t="n">
        <v>2</v>
      </c>
      <c r="AK1923" t="n">
        <v>2</v>
      </c>
      <c r="AL1923" t="n">
        <v>3</v>
      </c>
      <c r="AM1923" t="n">
        <v>3</v>
      </c>
      <c r="AN1923" t="n">
        <v>1</v>
      </c>
      <c r="AO1923" t="n">
        <v>1</v>
      </c>
      <c r="AP1923" t="n">
        <v>0</v>
      </c>
      <c r="AQ1923" t="n">
        <v>0</v>
      </c>
      <c r="AR1923" t="inlineStr">
        <is>
          <t>No</t>
        </is>
      </c>
      <c r="AS1923" t="inlineStr">
        <is>
          <t>No</t>
        </is>
      </c>
      <c r="AU1923">
        <f>HYPERLINK("https://creighton-primo.hosted.exlibrisgroup.com/primo-explore/search?tab=default_tab&amp;search_scope=EVERYTHING&amp;vid=01CRU&amp;lang=en_US&amp;offset=0&amp;query=any,contains,991001217459702656","Catalog Record")</f>
        <v/>
      </c>
      <c r="AV1923">
        <f>HYPERLINK("http://www.worldcat.org/oclc/194908","WorldCat Record")</f>
        <v/>
      </c>
      <c r="AW1923" t="inlineStr">
        <is>
          <t>931665291:eng</t>
        </is>
      </c>
      <c r="AX1923" t="inlineStr">
        <is>
          <t>194908</t>
        </is>
      </c>
      <c r="AY1923" t="inlineStr">
        <is>
          <t>991001217459702656</t>
        </is>
      </c>
      <c r="AZ1923" t="inlineStr">
        <is>
          <t>991001217459702656</t>
        </is>
      </c>
      <c r="BA1923" t="inlineStr">
        <is>
          <t>2269499760002656</t>
        </is>
      </c>
      <c r="BB1923" t="inlineStr">
        <is>
          <t>BOOK</t>
        </is>
      </c>
      <c r="BD1923" t="inlineStr">
        <is>
          <t>9780710069672</t>
        </is>
      </c>
      <c r="BE1923" t="inlineStr">
        <is>
          <t>32285002892882</t>
        </is>
      </c>
      <c r="BF1923" t="inlineStr">
        <is>
          <t>893250063</t>
        </is>
      </c>
    </row>
    <row r="1924">
      <c r="A1924" t="inlineStr">
        <is>
          <t>No</t>
        </is>
      </c>
      <c r="B1924" t="inlineStr">
        <is>
          <t>CURAL</t>
        </is>
      </c>
      <c r="C1924" t="inlineStr">
        <is>
          <t>SHELVES</t>
        </is>
      </c>
      <c r="D1924" t="inlineStr">
        <is>
          <t>PR4662 .M5</t>
        </is>
      </c>
      <c r="E1924" t="inlineStr">
        <is>
          <t>0                      PR 4662000M  5</t>
        </is>
      </c>
      <c r="F1924" t="inlineStr">
        <is>
          <t>George Eliot &amp; the novel of vocation / Alan Mintz.</t>
        </is>
      </c>
      <c r="H1924" t="inlineStr">
        <is>
          <t>No</t>
        </is>
      </c>
      <c r="I1924" t="inlineStr">
        <is>
          <t>1</t>
        </is>
      </c>
      <c r="J1924" t="inlineStr">
        <is>
          <t>No</t>
        </is>
      </c>
      <c r="K1924" t="inlineStr">
        <is>
          <t>No</t>
        </is>
      </c>
      <c r="L1924" t="inlineStr">
        <is>
          <t>0</t>
        </is>
      </c>
      <c r="M1924" t="inlineStr">
        <is>
          <t>Mintz, Alan L.</t>
        </is>
      </c>
      <c r="N1924" t="inlineStr">
        <is>
          <t>Cambridge, Mass. : Harvard University Press, 1978.</t>
        </is>
      </c>
      <c r="O1924" t="inlineStr">
        <is>
          <t>1978</t>
        </is>
      </c>
      <c r="Q1924" t="inlineStr">
        <is>
          <t>eng</t>
        </is>
      </c>
      <c r="R1924" t="inlineStr">
        <is>
          <t>mau</t>
        </is>
      </c>
      <c r="T1924" t="inlineStr">
        <is>
          <t xml:space="preserve">PR </t>
        </is>
      </c>
      <c r="U1924" t="n">
        <v>9</v>
      </c>
      <c r="V1924" t="n">
        <v>9</v>
      </c>
      <c r="W1924" t="inlineStr">
        <is>
          <t>1999-12-14</t>
        </is>
      </c>
      <c r="X1924" t="inlineStr">
        <is>
          <t>1999-12-14</t>
        </is>
      </c>
      <c r="Y1924" t="inlineStr">
        <is>
          <t>1997-07-14</t>
        </is>
      </c>
      <c r="Z1924" t="inlineStr">
        <is>
          <t>1997-07-14</t>
        </is>
      </c>
      <c r="AA1924" t="n">
        <v>789</v>
      </c>
      <c r="AB1924" t="n">
        <v>636</v>
      </c>
      <c r="AC1924" t="n">
        <v>647</v>
      </c>
      <c r="AD1924" t="n">
        <v>6</v>
      </c>
      <c r="AE1924" t="n">
        <v>6</v>
      </c>
      <c r="AF1924" t="n">
        <v>38</v>
      </c>
      <c r="AG1924" t="n">
        <v>38</v>
      </c>
      <c r="AH1924" t="n">
        <v>14</v>
      </c>
      <c r="AI1924" t="n">
        <v>14</v>
      </c>
      <c r="AJ1924" t="n">
        <v>9</v>
      </c>
      <c r="AK1924" t="n">
        <v>9</v>
      </c>
      <c r="AL1924" t="n">
        <v>19</v>
      </c>
      <c r="AM1924" t="n">
        <v>19</v>
      </c>
      <c r="AN1924" t="n">
        <v>5</v>
      </c>
      <c r="AO1924" t="n">
        <v>5</v>
      </c>
      <c r="AP1924" t="n">
        <v>0</v>
      </c>
      <c r="AQ1924" t="n">
        <v>0</v>
      </c>
      <c r="AR1924" t="inlineStr">
        <is>
          <t>No</t>
        </is>
      </c>
      <c r="AS1924" t="inlineStr">
        <is>
          <t>Yes</t>
        </is>
      </c>
      <c r="AT1924">
        <f>HYPERLINK("http://catalog.hathitrust.org/Record/000751992","HathiTrust Record")</f>
        <v/>
      </c>
      <c r="AU1924">
        <f>HYPERLINK("https://creighton-primo.hosted.exlibrisgroup.com/primo-explore/search?tab=default_tab&amp;search_scope=EVERYTHING&amp;vid=01CRU&amp;lang=en_US&amp;offset=0&amp;query=any,contains,991004430029702656","Catalog Record")</f>
        <v/>
      </c>
      <c r="AV1924">
        <f>HYPERLINK("http://www.worldcat.org/oclc/3415336","WorldCat Record")</f>
        <v/>
      </c>
      <c r="AW1924" t="inlineStr">
        <is>
          <t>521369:eng</t>
        </is>
      </c>
      <c r="AX1924" t="inlineStr">
        <is>
          <t>3415336</t>
        </is>
      </c>
      <c r="AY1924" t="inlineStr">
        <is>
          <t>991004430029702656</t>
        </is>
      </c>
      <c r="AZ1924" t="inlineStr">
        <is>
          <t>991004430029702656</t>
        </is>
      </c>
      <c r="BA1924" t="inlineStr">
        <is>
          <t>2260317000002656</t>
        </is>
      </c>
      <c r="BB1924" t="inlineStr">
        <is>
          <t>BOOK</t>
        </is>
      </c>
      <c r="BD1924" t="inlineStr">
        <is>
          <t>9780674348738</t>
        </is>
      </c>
      <c r="BE1924" t="inlineStr">
        <is>
          <t>32285002892957</t>
        </is>
      </c>
      <c r="BF1924" t="inlineStr">
        <is>
          <t>893526094</t>
        </is>
      </c>
    </row>
    <row r="1925">
      <c r="A1925" t="inlineStr">
        <is>
          <t>No</t>
        </is>
      </c>
      <c r="B1925" t="inlineStr">
        <is>
          <t>CURAL</t>
        </is>
      </c>
      <c r="C1925" t="inlineStr">
        <is>
          <t>SHELVES</t>
        </is>
      </c>
      <c r="D1925" t="inlineStr">
        <is>
          <t>PR4662 .S85</t>
        </is>
      </c>
      <c r="E1925" t="inlineStr">
        <is>
          <t>0                      PR 4662000S  85</t>
        </is>
      </c>
      <c r="F1925" t="inlineStr">
        <is>
          <t>George Eliot : Middlemarch : a casebook.</t>
        </is>
      </c>
      <c r="H1925" t="inlineStr">
        <is>
          <t>No</t>
        </is>
      </c>
      <c r="I1925" t="inlineStr">
        <is>
          <t>1</t>
        </is>
      </c>
      <c r="J1925" t="inlineStr">
        <is>
          <t>No</t>
        </is>
      </c>
      <c r="K1925" t="inlineStr">
        <is>
          <t>No</t>
        </is>
      </c>
      <c r="L1925" t="inlineStr">
        <is>
          <t>0</t>
        </is>
      </c>
      <c r="M1925" t="inlineStr">
        <is>
          <t>Swinden, Patrick, compiler.</t>
        </is>
      </c>
      <c r="N1925" t="inlineStr">
        <is>
          <t>[London] : Macmillan, [1972]</t>
        </is>
      </c>
      <c r="O1925" t="inlineStr">
        <is>
          <t>1972</t>
        </is>
      </c>
      <c r="Q1925" t="inlineStr">
        <is>
          <t>eng</t>
        </is>
      </c>
      <c r="R1925" t="inlineStr">
        <is>
          <t>enk</t>
        </is>
      </c>
      <c r="S1925" t="inlineStr">
        <is>
          <t>Casebook series</t>
        </is>
      </c>
      <c r="T1925" t="inlineStr">
        <is>
          <t xml:space="preserve">PR </t>
        </is>
      </c>
      <c r="U1925" t="n">
        <v>7</v>
      </c>
      <c r="V1925" t="n">
        <v>7</v>
      </c>
      <c r="W1925" t="inlineStr">
        <is>
          <t>2003-10-29</t>
        </is>
      </c>
      <c r="X1925" t="inlineStr">
        <is>
          <t>2003-10-29</t>
        </is>
      </c>
      <c r="Y1925" t="inlineStr">
        <is>
          <t>1991-05-15</t>
        </is>
      </c>
      <c r="Z1925" t="inlineStr">
        <is>
          <t>1991-05-15</t>
        </is>
      </c>
      <c r="AA1925" t="n">
        <v>399</v>
      </c>
      <c r="AB1925" t="n">
        <v>132</v>
      </c>
      <c r="AC1925" t="n">
        <v>136</v>
      </c>
      <c r="AD1925" t="n">
        <v>2</v>
      </c>
      <c r="AE1925" t="n">
        <v>2</v>
      </c>
      <c r="AF1925" t="n">
        <v>9</v>
      </c>
      <c r="AG1925" t="n">
        <v>9</v>
      </c>
      <c r="AH1925" t="n">
        <v>1</v>
      </c>
      <c r="AI1925" t="n">
        <v>1</v>
      </c>
      <c r="AJ1925" t="n">
        <v>4</v>
      </c>
      <c r="AK1925" t="n">
        <v>4</v>
      </c>
      <c r="AL1925" t="n">
        <v>5</v>
      </c>
      <c r="AM1925" t="n">
        <v>5</v>
      </c>
      <c r="AN1925" t="n">
        <v>1</v>
      </c>
      <c r="AO1925" t="n">
        <v>1</v>
      </c>
      <c r="AP1925" t="n">
        <v>0</v>
      </c>
      <c r="AQ1925" t="n">
        <v>0</v>
      </c>
      <c r="AR1925" t="inlineStr">
        <is>
          <t>No</t>
        </is>
      </c>
      <c r="AS1925" t="inlineStr">
        <is>
          <t>Yes</t>
        </is>
      </c>
      <c r="AT1925">
        <f>HYPERLINK("http://catalog.hathitrust.org/Record/000389440","HathiTrust Record")</f>
        <v/>
      </c>
      <c r="AU1925">
        <f>HYPERLINK("https://creighton-primo.hosted.exlibrisgroup.com/primo-explore/search?tab=default_tab&amp;search_scope=EVERYTHING&amp;vid=01CRU&amp;lang=en_US&amp;offset=0&amp;query=any,contains,991003066989702656","Catalog Record")</f>
        <v/>
      </c>
      <c r="AV1925">
        <f>HYPERLINK("http://www.worldcat.org/oclc/622743","WorldCat Record")</f>
        <v/>
      </c>
      <c r="AW1925" t="inlineStr">
        <is>
          <t>889676606:eng</t>
        </is>
      </c>
      <c r="AX1925" t="inlineStr">
        <is>
          <t>622743</t>
        </is>
      </c>
      <c r="AY1925" t="inlineStr">
        <is>
          <t>991003066989702656</t>
        </is>
      </c>
      <c r="AZ1925" t="inlineStr">
        <is>
          <t>991003066989702656</t>
        </is>
      </c>
      <c r="BA1925" t="inlineStr">
        <is>
          <t>2257202270002656</t>
        </is>
      </c>
      <c r="BB1925" t="inlineStr">
        <is>
          <t>BOOK</t>
        </is>
      </c>
      <c r="BD1925" t="inlineStr">
        <is>
          <t>9780333021194</t>
        </is>
      </c>
      <c r="BE1925" t="inlineStr">
        <is>
          <t>32285000595206</t>
        </is>
      </c>
      <c r="BF1925" t="inlineStr">
        <is>
          <t>893317614</t>
        </is>
      </c>
    </row>
    <row r="1926">
      <c r="A1926" t="inlineStr">
        <is>
          <t>No</t>
        </is>
      </c>
      <c r="B1926" t="inlineStr">
        <is>
          <t>CURAL</t>
        </is>
      </c>
      <c r="C1926" t="inlineStr">
        <is>
          <t>SHELVES</t>
        </is>
      </c>
      <c r="D1926" t="inlineStr">
        <is>
          <t>PR468.A33 C44 1990</t>
        </is>
      </c>
      <c r="E1926" t="inlineStr">
        <is>
          <t>0                      PR 0468000A  33                 C  44          1990</t>
        </is>
      </c>
      <c r="F1926" t="inlineStr">
        <is>
          <t>Aestheticism : the religion of art in post-romantic literature / Leon Chai.</t>
        </is>
      </c>
      <c r="H1926" t="inlineStr">
        <is>
          <t>No</t>
        </is>
      </c>
      <c r="I1926" t="inlineStr">
        <is>
          <t>1</t>
        </is>
      </c>
      <c r="J1926" t="inlineStr">
        <is>
          <t>No</t>
        </is>
      </c>
      <c r="K1926" t="inlineStr">
        <is>
          <t>No</t>
        </is>
      </c>
      <c r="L1926" t="inlineStr">
        <is>
          <t>0</t>
        </is>
      </c>
      <c r="M1926" t="inlineStr">
        <is>
          <t>Chai, Leon.</t>
        </is>
      </c>
      <c r="N1926" t="inlineStr">
        <is>
          <t>New York : Columbia University Press, c1990.</t>
        </is>
      </c>
      <c r="O1926" t="inlineStr">
        <is>
          <t>1990</t>
        </is>
      </c>
      <c r="Q1926" t="inlineStr">
        <is>
          <t>eng</t>
        </is>
      </c>
      <c r="R1926" t="inlineStr">
        <is>
          <t>nyu</t>
        </is>
      </c>
      <c r="T1926" t="inlineStr">
        <is>
          <t xml:space="preserve">PR </t>
        </is>
      </c>
      <c r="U1926" t="n">
        <v>8</v>
      </c>
      <c r="V1926" t="n">
        <v>8</v>
      </c>
      <c r="W1926" t="inlineStr">
        <is>
          <t>2009-04-21</t>
        </is>
      </c>
      <c r="X1926" t="inlineStr">
        <is>
          <t>2009-04-21</t>
        </is>
      </c>
      <c r="Y1926" t="inlineStr">
        <is>
          <t>1991-06-05</t>
        </is>
      </c>
      <c r="Z1926" t="inlineStr">
        <is>
          <t>1991-06-05</t>
        </is>
      </c>
      <c r="AA1926" t="n">
        <v>401</v>
      </c>
      <c r="AB1926" t="n">
        <v>299</v>
      </c>
      <c r="AC1926" t="n">
        <v>299</v>
      </c>
      <c r="AD1926" t="n">
        <v>4</v>
      </c>
      <c r="AE1926" t="n">
        <v>4</v>
      </c>
      <c r="AF1926" t="n">
        <v>19</v>
      </c>
      <c r="AG1926" t="n">
        <v>19</v>
      </c>
      <c r="AH1926" t="n">
        <v>6</v>
      </c>
      <c r="AI1926" t="n">
        <v>6</v>
      </c>
      <c r="AJ1926" t="n">
        <v>6</v>
      </c>
      <c r="AK1926" t="n">
        <v>6</v>
      </c>
      <c r="AL1926" t="n">
        <v>10</v>
      </c>
      <c r="AM1926" t="n">
        <v>10</v>
      </c>
      <c r="AN1926" t="n">
        <v>3</v>
      </c>
      <c r="AO1926" t="n">
        <v>3</v>
      </c>
      <c r="AP1926" t="n">
        <v>0</v>
      </c>
      <c r="AQ1926" t="n">
        <v>0</v>
      </c>
      <c r="AR1926" t="inlineStr">
        <is>
          <t>No</t>
        </is>
      </c>
      <c r="AS1926" t="inlineStr">
        <is>
          <t>No</t>
        </is>
      </c>
      <c r="AU1926">
        <f>HYPERLINK("https://creighton-primo.hosted.exlibrisgroup.com/primo-explore/search?tab=default_tab&amp;search_scope=EVERYTHING&amp;vid=01CRU&amp;lang=en_US&amp;offset=0&amp;query=any,contains,991001683129702656","Catalog Record")</f>
        <v/>
      </c>
      <c r="AV1926">
        <f>HYPERLINK("http://www.worldcat.org/oclc/21374921","WorldCat Record")</f>
        <v/>
      </c>
      <c r="AW1926" t="inlineStr">
        <is>
          <t>890496596:eng</t>
        </is>
      </c>
      <c r="AX1926" t="inlineStr">
        <is>
          <t>21374921</t>
        </is>
      </c>
      <c r="AY1926" t="inlineStr">
        <is>
          <t>991001683129702656</t>
        </is>
      </c>
      <c r="AZ1926" t="inlineStr">
        <is>
          <t>991001683129702656</t>
        </is>
      </c>
      <c r="BA1926" t="inlineStr">
        <is>
          <t>2263075830002656</t>
        </is>
      </c>
      <c r="BB1926" t="inlineStr">
        <is>
          <t>BOOK</t>
        </is>
      </c>
      <c r="BD1926" t="inlineStr">
        <is>
          <t>9780231072243</t>
        </is>
      </c>
      <c r="BE1926" t="inlineStr">
        <is>
          <t>32285000593219</t>
        </is>
      </c>
      <c r="BF1926" t="inlineStr">
        <is>
          <t>893433031</t>
        </is>
      </c>
    </row>
    <row r="1927">
      <c r="A1927" t="inlineStr">
        <is>
          <t>No</t>
        </is>
      </c>
      <c r="B1927" t="inlineStr">
        <is>
          <t>CURAL</t>
        </is>
      </c>
      <c r="C1927" t="inlineStr">
        <is>
          <t>SHELVES</t>
        </is>
      </c>
      <c r="D1927" t="inlineStr">
        <is>
          <t>PR468.A56 K46 2001</t>
        </is>
      </c>
      <c r="E1927" t="inlineStr">
        <is>
          <t>0                      PR 0468000A  56                 K  46          2001</t>
        </is>
      </c>
      <c r="F1927" t="inlineStr">
        <is>
          <t>Kindred brutes : animals in Romantic-period writing / Christine Kenyon-Jones.</t>
        </is>
      </c>
      <c r="H1927" t="inlineStr">
        <is>
          <t>No</t>
        </is>
      </c>
      <c r="I1927" t="inlineStr">
        <is>
          <t>1</t>
        </is>
      </c>
      <c r="J1927" t="inlineStr">
        <is>
          <t>No</t>
        </is>
      </c>
      <c r="K1927" t="inlineStr">
        <is>
          <t>No</t>
        </is>
      </c>
      <c r="L1927" t="inlineStr">
        <is>
          <t>0</t>
        </is>
      </c>
      <c r="M1927" t="inlineStr">
        <is>
          <t>Kenyon-Jones, Christine.</t>
        </is>
      </c>
      <c r="N1927" t="inlineStr">
        <is>
          <t>Aldershot, England : Ashgate, c2001.</t>
        </is>
      </c>
      <c r="O1927" t="inlineStr">
        <is>
          <t>2001</t>
        </is>
      </c>
      <c r="Q1927" t="inlineStr">
        <is>
          <t>eng</t>
        </is>
      </c>
      <c r="R1927" t="inlineStr">
        <is>
          <t>enk</t>
        </is>
      </c>
      <c r="S1927" t="inlineStr">
        <is>
          <t>The nineteenth century</t>
        </is>
      </c>
      <c r="T1927" t="inlineStr">
        <is>
          <t xml:space="preserve">PR </t>
        </is>
      </c>
      <c r="U1927" t="n">
        <v>5</v>
      </c>
      <c r="V1927" t="n">
        <v>5</v>
      </c>
      <c r="W1927" t="inlineStr">
        <is>
          <t>2007-11-28</t>
        </is>
      </c>
      <c r="X1927" t="inlineStr">
        <is>
          <t>2007-11-28</t>
        </is>
      </c>
      <c r="Y1927" t="inlineStr">
        <is>
          <t>2002-04-01</t>
        </is>
      </c>
      <c r="Z1927" t="inlineStr">
        <is>
          <t>2002-04-01</t>
        </is>
      </c>
      <c r="AA1927" t="n">
        <v>230</v>
      </c>
      <c r="AB1927" t="n">
        <v>162</v>
      </c>
      <c r="AC1927" t="n">
        <v>195</v>
      </c>
      <c r="AD1927" t="n">
        <v>1</v>
      </c>
      <c r="AE1927" t="n">
        <v>1</v>
      </c>
      <c r="AF1927" t="n">
        <v>9</v>
      </c>
      <c r="AG1927" t="n">
        <v>9</v>
      </c>
      <c r="AH1927" t="n">
        <v>1</v>
      </c>
      <c r="AI1927" t="n">
        <v>1</v>
      </c>
      <c r="AJ1927" t="n">
        <v>4</v>
      </c>
      <c r="AK1927" t="n">
        <v>4</v>
      </c>
      <c r="AL1927" t="n">
        <v>6</v>
      </c>
      <c r="AM1927" t="n">
        <v>6</v>
      </c>
      <c r="AN1927" t="n">
        <v>0</v>
      </c>
      <c r="AO1927" t="n">
        <v>0</v>
      </c>
      <c r="AP1927" t="n">
        <v>0</v>
      </c>
      <c r="AQ1927" t="n">
        <v>0</v>
      </c>
      <c r="AR1927" t="inlineStr">
        <is>
          <t>No</t>
        </is>
      </c>
      <c r="AS1927" t="inlineStr">
        <is>
          <t>Yes</t>
        </is>
      </c>
      <c r="AT1927">
        <f>HYPERLINK("http://catalog.hathitrust.org/Record/004205451","HathiTrust Record")</f>
        <v/>
      </c>
      <c r="AU1927">
        <f>HYPERLINK("https://creighton-primo.hosted.exlibrisgroup.com/primo-explore/search?tab=default_tab&amp;search_scope=EVERYTHING&amp;vid=01CRU&amp;lang=en_US&amp;offset=0&amp;query=any,contains,991003780499702656","Catalog Record")</f>
        <v/>
      </c>
      <c r="AV1927">
        <f>HYPERLINK("http://www.worldcat.org/oclc/46319648","WorldCat Record")</f>
        <v/>
      </c>
      <c r="AW1927" t="inlineStr">
        <is>
          <t>198495557:eng</t>
        </is>
      </c>
      <c r="AX1927" t="inlineStr">
        <is>
          <t>46319648</t>
        </is>
      </c>
      <c r="AY1927" t="inlineStr">
        <is>
          <t>991003780499702656</t>
        </is>
      </c>
      <c r="AZ1927" t="inlineStr">
        <is>
          <t>991003780499702656</t>
        </is>
      </c>
      <c r="BA1927" t="inlineStr">
        <is>
          <t>2262399410002656</t>
        </is>
      </c>
      <c r="BB1927" t="inlineStr">
        <is>
          <t>BOOK</t>
        </is>
      </c>
      <c r="BD1927" t="inlineStr">
        <is>
          <t>9780754603320</t>
        </is>
      </c>
      <c r="BE1927" t="inlineStr">
        <is>
          <t>32285004476122</t>
        </is>
      </c>
      <c r="BF1927" t="inlineStr">
        <is>
          <t>893258856</t>
        </is>
      </c>
    </row>
    <row r="1928">
      <c r="A1928" t="inlineStr">
        <is>
          <t>No</t>
        </is>
      </c>
      <c r="B1928" t="inlineStr">
        <is>
          <t>CURAL</t>
        </is>
      </c>
      <c r="C1928" t="inlineStr">
        <is>
          <t>SHELVES</t>
        </is>
      </c>
      <c r="D1928" t="inlineStr">
        <is>
          <t>PR468.C5 P57 2001</t>
        </is>
      </c>
      <c r="E1928" t="inlineStr">
        <is>
          <t>0                      PR 0468000C  5                  P  57          2001</t>
        </is>
      </c>
      <c r="F1928" t="inlineStr">
        <is>
          <t>Romanticism and the vocation of childhood / Judith Plotz.</t>
        </is>
      </c>
      <c r="H1928" t="inlineStr">
        <is>
          <t>No</t>
        </is>
      </c>
      <c r="I1928" t="inlineStr">
        <is>
          <t>1</t>
        </is>
      </c>
      <c r="J1928" t="inlineStr">
        <is>
          <t>No</t>
        </is>
      </c>
      <c r="K1928" t="inlineStr">
        <is>
          <t>No</t>
        </is>
      </c>
      <c r="L1928" t="inlineStr">
        <is>
          <t>0</t>
        </is>
      </c>
      <c r="M1928" t="inlineStr">
        <is>
          <t>Plotz, Judith A. (Judith Ann), 1938-</t>
        </is>
      </c>
      <c r="N1928" t="inlineStr">
        <is>
          <t>New York, N.Y. : Palgrave, 2001.</t>
        </is>
      </c>
      <c r="O1928" t="inlineStr">
        <is>
          <t>2001</t>
        </is>
      </c>
      <c r="P1928" t="inlineStr">
        <is>
          <t>1st ed.</t>
        </is>
      </c>
      <c r="Q1928" t="inlineStr">
        <is>
          <t>eng</t>
        </is>
      </c>
      <c r="R1928" t="inlineStr">
        <is>
          <t>nyu</t>
        </is>
      </c>
      <c r="T1928" t="inlineStr">
        <is>
          <t xml:space="preserve">PR </t>
        </is>
      </c>
      <c r="U1928" t="n">
        <v>6</v>
      </c>
      <c r="V1928" t="n">
        <v>6</v>
      </c>
      <c r="W1928" t="inlineStr">
        <is>
          <t>2010-03-28</t>
        </is>
      </c>
      <c r="X1928" t="inlineStr">
        <is>
          <t>2010-03-28</t>
        </is>
      </c>
      <c r="Y1928" t="inlineStr">
        <is>
          <t>2002-04-01</t>
        </is>
      </c>
      <c r="Z1928" t="inlineStr">
        <is>
          <t>2002-04-01</t>
        </is>
      </c>
      <c r="AA1928" t="n">
        <v>366</v>
      </c>
      <c r="AB1928" t="n">
        <v>296</v>
      </c>
      <c r="AC1928" t="n">
        <v>296</v>
      </c>
      <c r="AD1928" t="n">
        <v>4</v>
      </c>
      <c r="AE1928" t="n">
        <v>4</v>
      </c>
      <c r="AF1928" t="n">
        <v>19</v>
      </c>
      <c r="AG1928" t="n">
        <v>19</v>
      </c>
      <c r="AH1928" t="n">
        <v>5</v>
      </c>
      <c r="AI1928" t="n">
        <v>5</v>
      </c>
      <c r="AJ1928" t="n">
        <v>6</v>
      </c>
      <c r="AK1928" t="n">
        <v>6</v>
      </c>
      <c r="AL1928" t="n">
        <v>10</v>
      </c>
      <c r="AM1928" t="n">
        <v>10</v>
      </c>
      <c r="AN1928" t="n">
        <v>3</v>
      </c>
      <c r="AO1928" t="n">
        <v>3</v>
      </c>
      <c r="AP1928" t="n">
        <v>0</v>
      </c>
      <c r="AQ1928" t="n">
        <v>0</v>
      </c>
      <c r="AR1928" t="inlineStr">
        <is>
          <t>No</t>
        </is>
      </c>
      <c r="AS1928" t="inlineStr">
        <is>
          <t>No</t>
        </is>
      </c>
      <c r="AU1928">
        <f>HYPERLINK("https://creighton-primo.hosted.exlibrisgroup.com/primo-explore/search?tab=default_tab&amp;search_scope=EVERYTHING&amp;vid=01CRU&amp;lang=en_US&amp;offset=0&amp;query=any,contains,991003750809702656","Catalog Record")</f>
        <v/>
      </c>
      <c r="AV1928">
        <f>HYPERLINK("http://www.worldcat.org/oclc/45493231","WorldCat Record")</f>
        <v/>
      </c>
      <c r="AW1928" t="inlineStr">
        <is>
          <t>34988279:eng</t>
        </is>
      </c>
      <c r="AX1928" t="inlineStr">
        <is>
          <t>45493231</t>
        </is>
      </c>
      <c r="AY1928" t="inlineStr">
        <is>
          <t>991003750809702656</t>
        </is>
      </c>
      <c r="AZ1928" t="inlineStr">
        <is>
          <t>991003750809702656</t>
        </is>
      </c>
      <c r="BA1928" t="inlineStr">
        <is>
          <t>2262083880002656</t>
        </is>
      </c>
      <c r="BB1928" t="inlineStr">
        <is>
          <t>BOOK</t>
        </is>
      </c>
      <c r="BD1928" t="inlineStr">
        <is>
          <t>9780312227357</t>
        </is>
      </c>
      <c r="BE1928" t="inlineStr">
        <is>
          <t>32285004476189</t>
        </is>
      </c>
      <c r="BF1928" t="inlineStr">
        <is>
          <t>893512312</t>
        </is>
      </c>
    </row>
    <row r="1929">
      <c r="A1929" t="inlineStr">
        <is>
          <t>No</t>
        </is>
      </c>
      <c r="B1929" t="inlineStr">
        <is>
          <t>CURAL</t>
        </is>
      </c>
      <c r="C1929" t="inlineStr">
        <is>
          <t>SHELVES</t>
        </is>
      </c>
      <c r="D1929" t="inlineStr">
        <is>
          <t>PR468.C66 B44 2003</t>
        </is>
      </c>
      <c r="E1929" t="inlineStr">
        <is>
          <t>0                      PR 0468000C  66                 B  44          2003</t>
        </is>
      </c>
      <c r="F1929" t="inlineStr">
        <is>
          <t>Romantic consciousness : Blake to Mary Shelley / John Beer.</t>
        </is>
      </c>
      <c r="H1929" t="inlineStr">
        <is>
          <t>No</t>
        </is>
      </c>
      <c r="I1929" t="inlineStr">
        <is>
          <t>1</t>
        </is>
      </c>
      <c r="J1929" t="inlineStr">
        <is>
          <t>No</t>
        </is>
      </c>
      <c r="K1929" t="inlineStr">
        <is>
          <t>No</t>
        </is>
      </c>
      <c r="L1929" t="inlineStr">
        <is>
          <t>0</t>
        </is>
      </c>
      <c r="M1929" t="inlineStr">
        <is>
          <t>Beer, John B.</t>
        </is>
      </c>
      <c r="N1929" t="inlineStr">
        <is>
          <t>Houndmills, Basingstoke, Hampshire ; New York : Palgrave Macmillan, c2003.</t>
        </is>
      </c>
      <c r="O1929" t="inlineStr">
        <is>
          <t>2003</t>
        </is>
      </c>
      <c r="Q1929" t="inlineStr">
        <is>
          <t>eng</t>
        </is>
      </c>
      <c r="R1929" t="inlineStr">
        <is>
          <t>enk</t>
        </is>
      </c>
      <c r="T1929" t="inlineStr">
        <is>
          <t xml:space="preserve">PR </t>
        </is>
      </c>
      <c r="U1929" t="n">
        <v>4</v>
      </c>
      <c r="V1929" t="n">
        <v>4</v>
      </c>
      <c r="W1929" t="inlineStr">
        <is>
          <t>2006-03-21</t>
        </is>
      </c>
      <c r="X1929" t="inlineStr">
        <is>
          <t>2006-03-21</t>
        </is>
      </c>
      <c r="Y1929" t="inlineStr">
        <is>
          <t>2005-05-03</t>
        </is>
      </c>
      <c r="Z1929" t="inlineStr">
        <is>
          <t>2005-05-03</t>
        </is>
      </c>
      <c r="AA1929" t="n">
        <v>367</v>
      </c>
      <c r="AB1929" t="n">
        <v>264</v>
      </c>
      <c r="AC1929" t="n">
        <v>315</v>
      </c>
      <c r="AD1929" t="n">
        <v>2</v>
      </c>
      <c r="AE1929" t="n">
        <v>2</v>
      </c>
      <c r="AF1929" t="n">
        <v>17</v>
      </c>
      <c r="AG1929" t="n">
        <v>19</v>
      </c>
      <c r="AH1929" t="n">
        <v>9</v>
      </c>
      <c r="AI1929" t="n">
        <v>11</v>
      </c>
      <c r="AJ1929" t="n">
        <v>4</v>
      </c>
      <c r="AK1929" t="n">
        <v>4</v>
      </c>
      <c r="AL1929" t="n">
        <v>8</v>
      </c>
      <c r="AM1929" t="n">
        <v>8</v>
      </c>
      <c r="AN1929" t="n">
        <v>1</v>
      </c>
      <c r="AO1929" t="n">
        <v>1</v>
      </c>
      <c r="AP1929" t="n">
        <v>0</v>
      </c>
      <c r="AQ1929" t="n">
        <v>0</v>
      </c>
      <c r="AR1929" t="inlineStr">
        <is>
          <t>No</t>
        </is>
      </c>
      <c r="AS1929" t="inlineStr">
        <is>
          <t>No</t>
        </is>
      </c>
      <c r="AU1929">
        <f>HYPERLINK("https://creighton-primo.hosted.exlibrisgroup.com/primo-explore/search?tab=default_tab&amp;search_scope=EVERYTHING&amp;vid=01CRU&amp;lang=en_US&amp;offset=0&amp;query=any,contains,991004361979702656","Catalog Record")</f>
        <v/>
      </c>
      <c r="AV1929">
        <f>HYPERLINK("http://www.worldcat.org/oclc/51726745","WorldCat Record")</f>
        <v/>
      </c>
      <c r="AW1929" t="inlineStr">
        <is>
          <t>793939864:eng</t>
        </is>
      </c>
      <c r="AX1929" t="inlineStr">
        <is>
          <t>51726745</t>
        </is>
      </c>
      <c r="AY1929" t="inlineStr">
        <is>
          <t>991004361979702656</t>
        </is>
      </c>
      <c r="AZ1929" t="inlineStr">
        <is>
          <t>991004361979702656</t>
        </is>
      </c>
      <c r="BA1929" t="inlineStr">
        <is>
          <t>2269558840002656</t>
        </is>
      </c>
      <c r="BB1929" t="inlineStr">
        <is>
          <t>BOOK</t>
        </is>
      </c>
      <c r="BD1929" t="inlineStr">
        <is>
          <t>9781403903242</t>
        </is>
      </c>
      <c r="BE1929" t="inlineStr">
        <is>
          <t>32285005034946</t>
        </is>
      </c>
      <c r="BF1929" t="inlineStr">
        <is>
          <t>893343742</t>
        </is>
      </c>
    </row>
    <row r="1930">
      <c r="A1930" t="inlineStr">
        <is>
          <t>No</t>
        </is>
      </c>
      <c r="B1930" t="inlineStr">
        <is>
          <t>CURAL</t>
        </is>
      </c>
      <c r="C1930" t="inlineStr">
        <is>
          <t>SHELVES</t>
        </is>
      </c>
      <c r="D1930" t="inlineStr">
        <is>
          <t>PR468.C73 C36 1984</t>
        </is>
      </c>
      <c r="E1930" t="inlineStr">
        <is>
          <t>0                      PR 0468000C  73                 C  36          1984</t>
        </is>
      </c>
      <c r="F1930" t="inlineStr">
        <is>
          <t>Creature and creator : myth-making and English romanticism / Paul A. Cantor.</t>
        </is>
      </c>
      <c r="H1930" t="inlineStr">
        <is>
          <t>No</t>
        </is>
      </c>
      <c r="I1930" t="inlineStr">
        <is>
          <t>1</t>
        </is>
      </c>
      <c r="J1930" t="inlineStr">
        <is>
          <t>No</t>
        </is>
      </c>
      <c r="K1930" t="inlineStr">
        <is>
          <t>No</t>
        </is>
      </c>
      <c r="L1930" t="inlineStr">
        <is>
          <t>0</t>
        </is>
      </c>
      <c r="M1930" t="inlineStr">
        <is>
          <t>Cantor, Paul A. (Paul Arthur), 1945-</t>
        </is>
      </c>
      <c r="N1930" t="inlineStr">
        <is>
          <t>Cambridge [Cambridgeshire] ; New York : Cambridge University Press, 1984.</t>
        </is>
      </c>
      <c r="O1930" t="inlineStr">
        <is>
          <t>1984</t>
        </is>
      </c>
      <c r="Q1930" t="inlineStr">
        <is>
          <t>eng</t>
        </is>
      </c>
      <c r="R1930" t="inlineStr">
        <is>
          <t>enk</t>
        </is>
      </c>
      <c r="T1930" t="inlineStr">
        <is>
          <t xml:space="preserve">PR </t>
        </is>
      </c>
      <c r="U1930" t="n">
        <v>3</v>
      </c>
      <c r="V1930" t="n">
        <v>3</v>
      </c>
      <c r="W1930" t="inlineStr">
        <is>
          <t>1995-10-29</t>
        </is>
      </c>
      <c r="X1930" t="inlineStr">
        <is>
          <t>1995-10-29</t>
        </is>
      </c>
      <c r="Y1930" t="inlineStr">
        <is>
          <t>1991-08-30</t>
        </is>
      </c>
      <c r="Z1930" t="inlineStr">
        <is>
          <t>1991-08-30</t>
        </is>
      </c>
      <c r="AA1930" t="n">
        <v>640</v>
      </c>
      <c r="AB1930" t="n">
        <v>477</v>
      </c>
      <c r="AC1930" t="n">
        <v>515</v>
      </c>
      <c r="AD1930" t="n">
        <v>5</v>
      </c>
      <c r="AE1930" t="n">
        <v>5</v>
      </c>
      <c r="AF1930" t="n">
        <v>33</v>
      </c>
      <c r="AG1930" t="n">
        <v>34</v>
      </c>
      <c r="AH1930" t="n">
        <v>13</v>
      </c>
      <c r="AI1930" t="n">
        <v>13</v>
      </c>
      <c r="AJ1930" t="n">
        <v>8</v>
      </c>
      <c r="AK1930" t="n">
        <v>8</v>
      </c>
      <c r="AL1930" t="n">
        <v>18</v>
      </c>
      <c r="AM1930" t="n">
        <v>19</v>
      </c>
      <c r="AN1930" t="n">
        <v>4</v>
      </c>
      <c r="AO1930" t="n">
        <v>4</v>
      </c>
      <c r="AP1930" t="n">
        <v>0</v>
      </c>
      <c r="AQ1930" t="n">
        <v>0</v>
      </c>
      <c r="AR1930" t="inlineStr">
        <is>
          <t>No</t>
        </is>
      </c>
      <c r="AS1930" t="inlineStr">
        <is>
          <t>No</t>
        </is>
      </c>
      <c r="AU1930">
        <f>HYPERLINK("https://creighton-primo.hosted.exlibrisgroup.com/primo-explore/search?tab=default_tab&amp;search_scope=EVERYTHING&amp;vid=01CRU&amp;lang=en_US&amp;offset=0&amp;query=any,contains,991000240159702656","Catalog Record")</f>
        <v/>
      </c>
      <c r="AV1930">
        <f>HYPERLINK("http://www.worldcat.org/oclc/9683182","WorldCat Record")</f>
        <v/>
      </c>
      <c r="AW1930" t="inlineStr">
        <is>
          <t>836623381:eng</t>
        </is>
      </c>
      <c r="AX1930" t="inlineStr">
        <is>
          <t>9683182</t>
        </is>
      </c>
      <c r="AY1930" t="inlineStr">
        <is>
          <t>991000240159702656</t>
        </is>
      </c>
      <c r="AZ1930" t="inlineStr">
        <is>
          <t>991000240159702656</t>
        </is>
      </c>
      <c r="BA1930" t="inlineStr">
        <is>
          <t>2261935830002656</t>
        </is>
      </c>
      <c r="BB1930" t="inlineStr">
        <is>
          <t>BOOK</t>
        </is>
      </c>
      <c r="BD1930" t="inlineStr">
        <is>
          <t>9780521258319</t>
        </is>
      </c>
      <c r="BE1930" t="inlineStr">
        <is>
          <t>32285000732973</t>
        </is>
      </c>
      <c r="BF1930" t="inlineStr">
        <is>
          <t>893413214</t>
        </is>
      </c>
    </row>
    <row r="1931">
      <c r="A1931" t="inlineStr">
        <is>
          <t>No</t>
        </is>
      </c>
      <c r="B1931" t="inlineStr">
        <is>
          <t>CURAL</t>
        </is>
      </c>
      <c r="C1931" t="inlineStr">
        <is>
          <t>SHELVES</t>
        </is>
      </c>
      <c r="D1931" t="inlineStr">
        <is>
          <t>PR468.D42 W4 1990</t>
        </is>
      </c>
      <c r="E1931" t="inlineStr">
        <is>
          <t>0                      PR 0468000D  42                 W  4           1990</t>
        </is>
      </c>
      <c r="F1931" t="inlineStr">
        <is>
          <t>Death and the future life in Victorian literature and theology / Michael Wheeler.</t>
        </is>
      </c>
      <c r="H1931" t="inlineStr">
        <is>
          <t>No</t>
        </is>
      </c>
      <c r="I1931" t="inlineStr">
        <is>
          <t>1</t>
        </is>
      </c>
      <c r="J1931" t="inlineStr">
        <is>
          <t>No</t>
        </is>
      </c>
      <c r="K1931" t="inlineStr">
        <is>
          <t>No</t>
        </is>
      </c>
      <c r="L1931" t="inlineStr">
        <is>
          <t>0</t>
        </is>
      </c>
      <c r="M1931" t="inlineStr">
        <is>
          <t>Wheeler, Michael, 1947-</t>
        </is>
      </c>
      <c r="N1931" t="inlineStr">
        <is>
          <t>Cambridge [England] ; New York, NY, USA : Cambridge University Press, 1990.</t>
        </is>
      </c>
      <c r="O1931" t="inlineStr">
        <is>
          <t>1990</t>
        </is>
      </c>
      <c r="Q1931" t="inlineStr">
        <is>
          <t>eng</t>
        </is>
      </c>
      <c r="R1931" t="inlineStr">
        <is>
          <t>enk</t>
        </is>
      </c>
      <c r="T1931" t="inlineStr">
        <is>
          <t xml:space="preserve">PR </t>
        </is>
      </c>
      <c r="U1931" t="n">
        <v>2</v>
      </c>
      <c r="V1931" t="n">
        <v>2</v>
      </c>
      <c r="W1931" t="inlineStr">
        <is>
          <t>1995-03-01</t>
        </is>
      </c>
      <c r="X1931" t="inlineStr">
        <is>
          <t>1995-03-01</t>
        </is>
      </c>
      <c r="Y1931" t="inlineStr">
        <is>
          <t>1991-04-09</t>
        </is>
      </c>
      <c r="Z1931" t="inlineStr">
        <is>
          <t>1991-04-09</t>
        </is>
      </c>
      <c r="AA1931" t="n">
        <v>613</v>
      </c>
      <c r="AB1931" t="n">
        <v>444</v>
      </c>
      <c r="AC1931" t="n">
        <v>444</v>
      </c>
      <c r="AD1931" t="n">
        <v>6</v>
      </c>
      <c r="AE1931" t="n">
        <v>6</v>
      </c>
      <c r="AF1931" t="n">
        <v>31</v>
      </c>
      <c r="AG1931" t="n">
        <v>31</v>
      </c>
      <c r="AH1931" t="n">
        <v>9</v>
      </c>
      <c r="AI1931" t="n">
        <v>9</v>
      </c>
      <c r="AJ1931" t="n">
        <v>9</v>
      </c>
      <c r="AK1931" t="n">
        <v>9</v>
      </c>
      <c r="AL1931" t="n">
        <v>17</v>
      </c>
      <c r="AM1931" t="n">
        <v>17</v>
      </c>
      <c r="AN1931" t="n">
        <v>5</v>
      </c>
      <c r="AO1931" t="n">
        <v>5</v>
      </c>
      <c r="AP1931" t="n">
        <v>0</v>
      </c>
      <c r="AQ1931" t="n">
        <v>0</v>
      </c>
      <c r="AR1931" t="inlineStr">
        <is>
          <t>No</t>
        </is>
      </c>
      <c r="AS1931" t="inlineStr">
        <is>
          <t>No</t>
        </is>
      </c>
      <c r="AU1931">
        <f>HYPERLINK("https://creighton-primo.hosted.exlibrisgroup.com/primo-explore/search?tab=default_tab&amp;search_scope=EVERYTHING&amp;vid=01CRU&amp;lang=en_US&amp;offset=0&amp;query=any,contains,991001622689702656","Catalog Record")</f>
        <v/>
      </c>
      <c r="AV1931">
        <f>HYPERLINK("http://www.worldcat.org/oclc/20826264","WorldCat Record")</f>
        <v/>
      </c>
      <c r="AW1931" t="inlineStr">
        <is>
          <t>2564830077:eng</t>
        </is>
      </c>
      <c r="AX1931" t="inlineStr">
        <is>
          <t>20826264</t>
        </is>
      </c>
      <c r="AY1931" t="inlineStr">
        <is>
          <t>991001622689702656</t>
        </is>
      </c>
      <c r="AZ1931" t="inlineStr">
        <is>
          <t>991001622689702656</t>
        </is>
      </c>
      <c r="BA1931" t="inlineStr">
        <is>
          <t>2261141980002656</t>
        </is>
      </c>
      <c r="BB1931" t="inlineStr">
        <is>
          <t>BOOK</t>
        </is>
      </c>
      <c r="BD1931" t="inlineStr">
        <is>
          <t>9780521306171</t>
        </is>
      </c>
      <c r="BE1931" t="inlineStr">
        <is>
          <t>32285000566447</t>
        </is>
      </c>
      <c r="BF1931" t="inlineStr">
        <is>
          <t>893696853</t>
        </is>
      </c>
    </row>
    <row r="1932">
      <c r="A1932" t="inlineStr">
        <is>
          <t>No</t>
        </is>
      </c>
      <c r="B1932" t="inlineStr">
        <is>
          <t>CURAL</t>
        </is>
      </c>
      <c r="C1932" t="inlineStr">
        <is>
          <t>SHELVES</t>
        </is>
      </c>
      <c r="D1932" t="inlineStr">
        <is>
          <t>PR468.D43 B43 1992</t>
        </is>
      </c>
      <c r="E1932" t="inlineStr">
        <is>
          <t>0                      PR 0468000D  43                 B  43          1992</t>
        </is>
      </c>
      <c r="F1932" t="inlineStr">
        <is>
          <t>London in the 1890s : a cultural history / Karl Beckson.</t>
        </is>
      </c>
      <c r="H1932" t="inlineStr">
        <is>
          <t>No</t>
        </is>
      </c>
      <c r="I1932" t="inlineStr">
        <is>
          <t>1</t>
        </is>
      </c>
      <c r="J1932" t="inlineStr">
        <is>
          <t>No</t>
        </is>
      </c>
      <c r="K1932" t="inlineStr">
        <is>
          <t>No</t>
        </is>
      </c>
      <c r="L1932" t="inlineStr">
        <is>
          <t>0</t>
        </is>
      </c>
      <c r="M1932" t="inlineStr">
        <is>
          <t>Beckson, Karl, 1926-2008.</t>
        </is>
      </c>
      <c r="N1932" t="inlineStr">
        <is>
          <t>New York : W.W. Norton, c1992.</t>
        </is>
      </c>
      <c r="O1932" t="inlineStr">
        <is>
          <t>1992</t>
        </is>
      </c>
      <c r="P1932" t="inlineStr">
        <is>
          <t>1st ed.</t>
        </is>
      </c>
      <c r="Q1932" t="inlineStr">
        <is>
          <t>eng</t>
        </is>
      </c>
      <c r="R1932" t="inlineStr">
        <is>
          <t>nyu</t>
        </is>
      </c>
      <c r="T1932" t="inlineStr">
        <is>
          <t xml:space="preserve">PR </t>
        </is>
      </c>
      <c r="U1932" t="n">
        <v>6</v>
      </c>
      <c r="V1932" t="n">
        <v>6</v>
      </c>
      <c r="W1932" t="inlineStr">
        <is>
          <t>1995-07-29</t>
        </is>
      </c>
      <c r="X1932" t="inlineStr">
        <is>
          <t>1995-07-29</t>
        </is>
      </c>
      <c r="Y1932" t="inlineStr">
        <is>
          <t>1993-10-16</t>
        </is>
      </c>
      <c r="Z1932" t="inlineStr">
        <is>
          <t>1993-10-16</t>
        </is>
      </c>
      <c r="AA1932" t="n">
        <v>705</v>
      </c>
      <c r="AB1932" t="n">
        <v>575</v>
      </c>
      <c r="AC1932" t="n">
        <v>600</v>
      </c>
      <c r="AD1932" t="n">
        <v>4</v>
      </c>
      <c r="AE1932" t="n">
        <v>4</v>
      </c>
      <c r="AF1932" t="n">
        <v>27</v>
      </c>
      <c r="AG1932" t="n">
        <v>28</v>
      </c>
      <c r="AH1932" t="n">
        <v>12</v>
      </c>
      <c r="AI1932" t="n">
        <v>12</v>
      </c>
      <c r="AJ1932" t="n">
        <v>7</v>
      </c>
      <c r="AK1932" t="n">
        <v>8</v>
      </c>
      <c r="AL1932" t="n">
        <v>14</v>
      </c>
      <c r="AM1932" t="n">
        <v>15</v>
      </c>
      <c r="AN1932" t="n">
        <v>3</v>
      </c>
      <c r="AO1932" t="n">
        <v>3</v>
      </c>
      <c r="AP1932" t="n">
        <v>0</v>
      </c>
      <c r="AQ1932" t="n">
        <v>0</v>
      </c>
      <c r="AR1932" t="inlineStr">
        <is>
          <t>No</t>
        </is>
      </c>
      <c r="AS1932" t="inlineStr">
        <is>
          <t>No</t>
        </is>
      </c>
      <c r="AU1932">
        <f>HYPERLINK("https://creighton-primo.hosted.exlibrisgroup.com/primo-explore/search?tab=default_tab&amp;search_scope=EVERYTHING&amp;vid=01CRU&amp;lang=en_US&amp;offset=0&amp;query=any,contains,991001987359702656","Catalog Record")</f>
        <v/>
      </c>
      <c r="AV1932">
        <f>HYPERLINK("http://www.worldcat.org/oclc/25246302","WorldCat Record")</f>
        <v/>
      </c>
      <c r="AW1932" t="inlineStr">
        <is>
          <t>836866945:eng</t>
        </is>
      </c>
      <c r="AX1932" t="inlineStr">
        <is>
          <t>25246302</t>
        </is>
      </c>
      <c r="AY1932" t="inlineStr">
        <is>
          <t>991001987359702656</t>
        </is>
      </c>
      <c r="AZ1932" t="inlineStr">
        <is>
          <t>991001987359702656</t>
        </is>
      </c>
      <c r="BA1932" t="inlineStr">
        <is>
          <t>2256249170002656</t>
        </is>
      </c>
      <c r="BB1932" t="inlineStr">
        <is>
          <t>BOOK</t>
        </is>
      </c>
      <c r="BD1932" t="inlineStr">
        <is>
          <t>9780393033977</t>
        </is>
      </c>
      <c r="BE1932" t="inlineStr">
        <is>
          <t>32285001786499</t>
        </is>
      </c>
      <c r="BF1932" t="inlineStr">
        <is>
          <t>893603068</t>
        </is>
      </c>
    </row>
    <row r="1933">
      <c r="A1933" t="inlineStr">
        <is>
          <t>No</t>
        </is>
      </c>
      <c r="B1933" t="inlineStr">
        <is>
          <t>CURAL</t>
        </is>
      </c>
      <c r="C1933" t="inlineStr">
        <is>
          <t>SHELVES</t>
        </is>
      </c>
      <c r="D1933" t="inlineStr">
        <is>
          <t>PR468.D43 P5 1993</t>
        </is>
      </c>
      <c r="E1933" t="inlineStr">
        <is>
          <t>0                      PR 0468000D  43                 P  5           1993</t>
        </is>
      </c>
      <c r="F1933" t="inlineStr">
        <is>
          <t>Spectrum of decadence : the literature of the 1890s / Murray G.H. Pittock.</t>
        </is>
      </c>
      <c r="H1933" t="inlineStr">
        <is>
          <t>No</t>
        </is>
      </c>
      <c r="I1933" t="inlineStr">
        <is>
          <t>1</t>
        </is>
      </c>
      <c r="J1933" t="inlineStr">
        <is>
          <t>No</t>
        </is>
      </c>
      <c r="K1933" t="inlineStr">
        <is>
          <t>No</t>
        </is>
      </c>
      <c r="L1933" t="inlineStr">
        <is>
          <t>0</t>
        </is>
      </c>
      <c r="M1933" t="inlineStr">
        <is>
          <t>Pittock, Murray.</t>
        </is>
      </c>
      <c r="N1933" t="inlineStr">
        <is>
          <t>London ; New York : Routledge, 1993.</t>
        </is>
      </c>
      <c r="O1933" t="inlineStr">
        <is>
          <t>1993</t>
        </is>
      </c>
      <c r="Q1933" t="inlineStr">
        <is>
          <t>eng</t>
        </is>
      </c>
      <c r="R1933" t="inlineStr">
        <is>
          <t>enk</t>
        </is>
      </c>
      <c r="T1933" t="inlineStr">
        <is>
          <t xml:space="preserve">PR </t>
        </is>
      </c>
      <c r="U1933" t="n">
        <v>2</v>
      </c>
      <c r="V1933" t="n">
        <v>2</v>
      </c>
      <c r="W1933" t="inlineStr">
        <is>
          <t>1995-06-29</t>
        </is>
      </c>
      <c r="X1933" t="inlineStr">
        <is>
          <t>1995-06-29</t>
        </is>
      </c>
      <c r="Y1933" t="inlineStr">
        <is>
          <t>1994-04-21</t>
        </is>
      </c>
      <c r="Z1933" t="inlineStr">
        <is>
          <t>1994-04-21</t>
        </is>
      </c>
      <c r="AA1933" t="n">
        <v>206</v>
      </c>
      <c r="AB1933" t="n">
        <v>114</v>
      </c>
      <c r="AC1933" t="n">
        <v>136</v>
      </c>
      <c r="AD1933" t="n">
        <v>2</v>
      </c>
      <c r="AE1933" t="n">
        <v>2</v>
      </c>
      <c r="AF1933" t="n">
        <v>4</v>
      </c>
      <c r="AG1933" t="n">
        <v>4</v>
      </c>
      <c r="AH1933" t="n">
        <v>0</v>
      </c>
      <c r="AI1933" t="n">
        <v>0</v>
      </c>
      <c r="AJ1933" t="n">
        <v>1</v>
      </c>
      <c r="AK1933" t="n">
        <v>1</v>
      </c>
      <c r="AL1933" t="n">
        <v>3</v>
      </c>
      <c r="AM1933" t="n">
        <v>3</v>
      </c>
      <c r="AN1933" t="n">
        <v>1</v>
      </c>
      <c r="AO1933" t="n">
        <v>1</v>
      </c>
      <c r="AP1933" t="n">
        <v>0</v>
      </c>
      <c r="AQ1933" t="n">
        <v>0</v>
      </c>
      <c r="AR1933" t="inlineStr">
        <is>
          <t>No</t>
        </is>
      </c>
      <c r="AS1933" t="inlineStr">
        <is>
          <t>Yes</t>
        </is>
      </c>
      <c r="AT1933">
        <f>HYPERLINK("http://catalog.hathitrust.org/Record/002789622","HathiTrust Record")</f>
        <v/>
      </c>
      <c r="AU1933">
        <f>HYPERLINK("https://creighton-primo.hosted.exlibrisgroup.com/primo-explore/search?tab=default_tab&amp;search_scope=EVERYTHING&amp;vid=01CRU&amp;lang=en_US&amp;offset=0&amp;query=any,contains,991002039119702656","Catalog Record")</f>
        <v/>
      </c>
      <c r="AV1933">
        <f>HYPERLINK("http://www.worldcat.org/oclc/26013238","WorldCat Record")</f>
        <v/>
      </c>
      <c r="AW1933" t="inlineStr">
        <is>
          <t>253131229:eng</t>
        </is>
      </c>
      <c r="AX1933" t="inlineStr">
        <is>
          <t>26013238</t>
        </is>
      </c>
      <c r="AY1933" t="inlineStr">
        <is>
          <t>991002039119702656</t>
        </is>
      </c>
      <c r="AZ1933" t="inlineStr">
        <is>
          <t>991002039119702656</t>
        </is>
      </c>
      <c r="BA1933" t="inlineStr">
        <is>
          <t>2258367360002656</t>
        </is>
      </c>
      <c r="BB1933" t="inlineStr">
        <is>
          <t>BOOK</t>
        </is>
      </c>
      <c r="BD1933" t="inlineStr">
        <is>
          <t>9780415077576</t>
        </is>
      </c>
      <c r="BE1933" t="inlineStr">
        <is>
          <t>32285001876985</t>
        </is>
      </c>
      <c r="BF1933" t="inlineStr">
        <is>
          <t>893497654</t>
        </is>
      </c>
    </row>
    <row r="1934">
      <c r="A1934" t="inlineStr">
        <is>
          <t>No</t>
        </is>
      </c>
      <c r="B1934" t="inlineStr">
        <is>
          <t>CURAL</t>
        </is>
      </c>
      <c r="C1934" t="inlineStr">
        <is>
          <t>SHELVES</t>
        </is>
      </c>
      <c r="D1934" t="inlineStr">
        <is>
          <t>PR468.D43 T48 1983</t>
        </is>
      </c>
      <c r="E1934" t="inlineStr">
        <is>
          <t>0                      PR 0468000D  43                 T  48          1983</t>
        </is>
      </c>
      <c r="F1934" t="inlineStr">
        <is>
          <t>The decadent dilemma / R.K.R. Thornton.</t>
        </is>
      </c>
      <c r="H1934" t="inlineStr">
        <is>
          <t>No</t>
        </is>
      </c>
      <c r="I1934" t="inlineStr">
        <is>
          <t>1</t>
        </is>
      </c>
      <c r="J1934" t="inlineStr">
        <is>
          <t>No</t>
        </is>
      </c>
      <c r="K1934" t="inlineStr">
        <is>
          <t>No</t>
        </is>
      </c>
      <c r="L1934" t="inlineStr">
        <is>
          <t>0</t>
        </is>
      </c>
      <c r="M1934" t="inlineStr">
        <is>
          <t>Thornton, R. K. R. (Robert Kelsey Rought)</t>
        </is>
      </c>
      <c r="N1934" t="inlineStr">
        <is>
          <t>London : E. Arnold, 1983.</t>
        </is>
      </c>
      <c r="O1934" t="inlineStr">
        <is>
          <t>1983</t>
        </is>
      </c>
      <c r="Q1934" t="inlineStr">
        <is>
          <t>eng</t>
        </is>
      </c>
      <c r="R1934" t="inlineStr">
        <is>
          <t>enk</t>
        </is>
      </c>
      <c r="T1934" t="inlineStr">
        <is>
          <t xml:space="preserve">PR </t>
        </is>
      </c>
      <c r="U1934" t="n">
        <v>4</v>
      </c>
      <c r="V1934" t="n">
        <v>4</v>
      </c>
      <c r="W1934" t="inlineStr">
        <is>
          <t>1995-07-29</t>
        </is>
      </c>
      <c r="X1934" t="inlineStr">
        <is>
          <t>1995-07-29</t>
        </is>
      </c>
      <c r="Y1934" t="inlineStr">
        <is>
          <t>1991-08-30</t>
        </is>
      </c>
      <c r="Z1934" t="inlineStr">
        <is>
          <t>1991-08-30</t>
        </is>
      </c>
      <c r="AA1934" t="n">
        <v>381</v>
      </c>
      <c r="AB1934" t="n">
        <v>260</v>
      </c>
      <c r="AC1934" t="n">
        <v>260</v>
      </c>
      <c r="AD1934" t="n">
        <v>3</v>
      </c>
      <c r="AE1934" t="n">
        <v>3</v>
      </c>
      <c r="AF1934" t="n">
        <v>14</v>
      </c>
      <c r="AG1934" t="n">
        <v>14</v>
      </c>
      <c r="AH1934" t="n">
        <v>3</v>
      </c>
      <c r="AI1934" t="n">
        <v>3</v>
      </c>
      <c r="AJ1934" t="n">
        <v>5</v>
      </c>
      <c r="AK1934" t="n">
        <v>5</v>
      </c>
      <c r="AL1934" t="n">
        <v>7</v>
      </c>
      <c r="AM1934" t="n">
        <v>7</v>
      </c>
      <c r="AN1934" t="n">
        <v>2</v>
      </c>
      <c r="AO1934" t="n">
        <v>2</v>
      </c>
      <c r="AP1934" t="n">
        <v>0</v>
      </c>
      <c r="AQ1934" t="n">
        <v>0</v>
      </c>
      <c r="AR1934" t="inlineStr">
        <is>
          <t>No</t>
        </is>
      </c>
      <c r="AS1934" t="inlineStr">
        <is>
          <t>No</t>
        </is>
      </c>
      <c r="AU1934">
        <f>HYPERLINK("https://creighton-primo.hosted.exlibrisgroup.com/primo-explore/search?tab=default_tab&amp;search_scope=EVERYTHING&amp;vid=01CRU&amp;lang=en_US&amp;offset=0&amp;query=any,contains,991000362509702656","Catalog Record")</f>
        <v/>
      </c>
      <c r="AV1934">
        <f>HYPERLINK("http://www.worldcat.org/oclc/10375113","WorldCat Record")</f>
        <v/>
      </c>
      <c r="AW1934" t="inlineStr">
        <is>
          <t>3216202:eng</t>
        </is>
      </c>
      <c r="AX1934" t="inlineStr">
        <is>
          <t>10375113</t>
        </is>
      </c>
      <c r="AY1934" t="inlineStr">
        <is>
          <t>991000362509702656</t>
        </is>
      </c>
      <c r="AZ1934" t="inlineStr">
        <is>
          <t>991000362509702656</t>
        </is>
      </c>
      <c r="BA1934" t="inlineStr">
        <is>
          <t>2258115440002656</t>
        </is>
      </c>
      <c r="BB1934" t="inlineStr">
        <is>
          <t>BOOK</t>
        </is>
      </c>
      <c r="BD1934" t="inlineStr">
        <is>
          <t>9780713163728</t>
        </is>
      </c>
      <c r="BE1934" t="inlineStr">
        <is>
          <t>32285000732999</t>
        </is>
      </c>
      <c r="BF1934" t="inlineStr">
        <is>
          <t>893777869</t>
        </is>
      </c>
    </row>
    <row r="1935">
      <c r="A1935" t="inlineStr">
        <is>
          <t>No</t>
        </is>
      </c>
      <c r="B1935" t="inlineStr">
        <is>
          <t>CURAL</t>
        </is>
      </c>
      <c r="C1935" t="inlineStr">
        <is>
          <t>SHELVES</t>
        </is>
      </c>
      <c r="D1935" t="inlineStr">
        <is>
          <t>PR468.F35 P7</t>
        </is>
      </c>
      <c r="E1935" t="inlineStr">
        <is>
          <t>0                      PR 0468000F  35                 P  7</t>
        </is>
      </c>
      <c r="F1935" t="inlineStr">
        <is>
          <t>Victorian fantasy / by Stephen Prickett.</t>
        </is>
      </c>
      <c r="H1935" t="inlineStr">
        <is>
          <t>No</t>
        </is>
      </c>
      <c r="I1935" t="inlineStr">
        <is>
          <t>1</t>
        </is>
      </c>
      <c r="J1935" t="inlineStr">
        <is>
          <t>No</t>
        </is>
      </c>
      <c r="K1935" t="inlineStr">
        <is>
          <t>No</t>
        </is>
      </c>
      <c r="L1935" t="inlineStr">
        <is>
          <t>0</t>
        </is>
      </c>
      <c r="M1935" t="inlineStr">
        <is>
          <t>Prickett, Stephen.</t>
        </is>
      </c>
      <c r="N1935" t="inlineStr">
        <is>
          <t>Bloomington : Indiana University Press, c1979.</t>
        </is>
      </c>
      <c r="O1935" t="inlineStr">
        <is>
          <t>1979</t>
        </is>
      </c>
      <c r="Q1935" t="inlineStr">
        <is>
          <t>eng</t>
        </is>
      </c>
      <c r="R1935" t="inlineStr">
        <is>
          <t>inu</t>
        </is>
      </c>
      <c r="T1935" t="inlineStr">
        <is>
          <t xml:space="preserve">PR </t>
        </is>
      </c>
      <c r="U1935" t="n">
        <v>6</v>
      </c>
      <c r="V1935" t="n">
        <v>6</v>
      </c>
      <c r="W1935" t="inlineStr">
        <is>
          <t>2004-09-15</t>
        </is>
      </c>
      <c r="X1935" t="inlineStr">
        <is>
          <t>2004-09-15</t>
        </is>
      </c>
      <c r="Y1935" t="inlineStr">
        <is>
          <t>1991-08-30</t>
        </is>
      </c>
      <c r="Z1935" t="inlineStr">
        <is>
          <t>1991-08-30</t>
        </is>
      </c>
      <c r="AA1935" t="n">
        <v>786</v>
      </c>
      <c r="AB1935" t="n">
        <v>724</v>
      </c>
      <c r="AC1935" t="n">
        <v>1511</v>
      </c>
      <c r="AD1935" t="n">
        <v>7</v>
      </c>
      <c r="AE1935" t="n">
        <v>23</v>
      </c>
      <c r="AF1935" t="n">
        <v>38</v>
      </c>
      <c r="AG1935" t="n">
        <v>57</v>
      </c>
      <c r="AH1935" t="n">
        <v>16</v>
      </c>
      <c r="AI1935" t="n">
        <v>24</v>
      </c>
      <c r="AJ1935" t="n">
        <v>8</v>
      </c>
      <c r="AK1935" t="n">
        <v>10</v>
      </c>
      <c r="AL1935" t="n">
        <v>17</v>
      </c>
      <c r="AM1935" t="n">
        <v>21</v>
      </c>
      <c r="AN1935" t="n">
        <v>6</v>
      </c>
      <c r="AO1935" t="n">
        <v>15</v>
      </c>
      <c r="AP1935" t="n">
        <v>0</v>
      </c>
      <c r="AQ1935" t="n">
        <v>0</v>
      </c>
      <c r="AR1935" t="inlineStr">
        <is>
          <t>No</t>
        </is>
      </c>
      <c r="AS1935" t="inlineStr">
        <is>
          <t>Yes</t>
        </is>
      </c>
      <c r="AT1935">
        <f>HYPERLINK("http://catalog.hathitrust.org/Record/000688538","HathiTrust Record")</f>
        <v/>
      </c>
      <c r="AU1935">
        <f>HYPERLINK("https://creighton-primo.hosted.exlibrisgroup.com/primo-explore/search?tab=default_tab&amp;search_scope=EVERYTHING&amp;vid=01CRU&amp;lang=en_US&amp;offset=0&amp;query=any,contains,991004650189702656","Catalog Record")</f>
        <v/>
      </c>
      <c r="AV1935">
        <f>HYPERLINK("http://www.worldcat.org/oclc/4493645","WorldCat Record")</f>
        <v/>
      </c>
      <c r="AW1935" t="inlineStr">
        <is>
          <t>14765609:eng</t>
        </is>
      </c>
      <c r="AX1935" t="inlineStr">
        <is>
          <t>4493645</t>
        </is>
      </c>
      <c r="AY1935" t="inlineStr">
        <is>
          <t>991004650189702656</t>
        </is>
      </c>
      <c r="AZ1935" t="inlineStr">
        <is>
          <t>991004650189702656</t>
        </is>
      </c>
      <c r="BA1935" t="inlineStr">
        <is>
          <t>2260906910002656</t>
        </is>
      </c>
      <c r="BB1935" t="inlineStr">
        <is>
          <t>BOOK</t>
        </is>
      </c>
      <c r="BD1935" t="inlineStr">
        <is>
          <t>9780253174611</t>
        </is>
      </c>
      <c r="BE1935" t="inlineStr">
        <is>
          <t>32285000733005</t>
        </is>
      </c>
      <c r="BF1935" t="inlineStr">
        <is>
          <t>893618910</t>
        </is>
      </c>
    </row>
    <row r="1936">
      <c r="A1936" t="inlineStr">
        <is>
          <t>No</t>
        </is>
      </c>
      <c r="B1936" t="inlineStr">
        <is>
          <t>CURAL</t>
        </is>
      </c>
      <c r="C1936" t="inlineStr">
        <is>
          <t>SHELVES</t>
        </is>
      </c>
      <c r="D1936" t="inlineStr">
        <is>
          <t>PR468.F35 V5 1991</t>
        </is>
      </c>
      <c r="E1936" t="inlineStr">
        <is>
          <t>0                      PR 0468000F  35                 V  5           1991</t>
        </is>
      </c>
      <c r="F1936" t="inlineStr">
        <is>
          <t>The Victorian fantasists : essays on culture, society and belief in the mythopoeic fiction of the Victorian age / edited by Kath Filmer ; foreword by David Jasper.</t>
        </is>
      </c>
      <c r="H1936" t="inlineStr">
        <is>
          <t>No</t>
        </is>
      </c>
      <c r="I1936" t="inlineStr">
        <is>
          <t>1</t>
        </is>
      </c>
      <c r="J1936" t="inlineStr">
        <is>
          <t>No</t>
        </is>
      </c>
      <c r="K1936" t="inlineStr">
        <is>
          <t>No</t>
        </is>
      </c>
      <c r="L1936" t="inlineStr">
        <is>
          <t>0</t>
        </is>
      </c>
      <c r="N1936" t="inlineStr">
        <is>
          <t>Basingstoke : Macmillan, 1991.</t>
        </is>
      </c>
      <c r="O1936" t="inlineStr">
        <is>
          <t>1991</t>
        </is>
      </c>
      <c r="Q1936" t="inlineStr">
        <is>
          <t>eng</t>
        </is>
      </c>
      <c r="R1936" t="inlineStr">
        <is>
          <t>enk</t>
        </is>
      </c>
      <c r="T1936" t="inlineStr">
        <is>
          <t xml:space="preserve">PR </t>
        </is>
      </c>
      <c r="U1936" t="n">
        <v>3</v>
      </c>
      <c r="V1936" t="n">
        <v>3</v>
      </c>
      <c r="W1936" t="inlineStr">
        <is>
          <t>1999-11-17</t>
        </is>
      </c>
      <c r="X1936" t="inlineStr">
        <is>
          <t>1999-11-17</t>
        </is>
      </c>
      <c r="Y1936" t="inlineStr">
        <is>
          <t>1991-12-13</t>
        </is>
      </c>
      <c r="Z1936" t="inlineStr">
        <is>
          <t>1991-12-13</t>
        </is>
      </c>
      <c r="AA1936" t="n">
        <v>103</v>
      </c>
      <c r="AB1936" t="n">
        <v>28</v>
      </c>
      <c r="AC1936" t="n">
        <v>254</v>
      </c>
      <c r="AD1936" t="n">
        <v>1</v>
      </c>
      <c r="AE1936" t="n">
        <v>1</v>
      </c>
      <c r="AF1936" t="n">
        <v>0</v>
      </c>
      <c r="AG1936" t="n">
        <v>10</v>
      </c>
      <c r="AH1936" t="n">
        <v>0</v>
      </c>
      <c r="AI1936" t="n">
        <v>5</v>
      </c>
      <c r="AJ1936" t="n">
        <v>0</v>
      </c>
      <c r="AK1936" t="n">
        <v>4</v>
      </c>
      <c r="AL1936" t="n">
        <v>0</v>
      </c>
      <c r="AM1936" t="n">
        <v>5</v>
      </c>
      <c r="AN1936" t="n">
        <v>0</v>
      </c>
      <c r="AO1936" t="n">
        <v>0</v>
      </c>
      <c r="AP1936" t="n">
        <v>0</v>
      </c>
      <c r="AQ1936" t="n">
        <v>0</v>
      </c>
      <c r="AR1936" t="inlineStr">
        <is>
          <t>No</t>
        </is>
      </c>
      <c r="AS1936" t="inlineStr">
        <is>
          <t>No</t>
        </is>
      </c>
      <c r="AU1936">
        <f>HYPERLINK("https://creighton-primo.hosted.exlibrisgroup.com/primo-explore/search?tab=default_tab&amp;search_scope=EVERYTHING&amp;vid=01CRU&amp;lang=en_US&amp;offset=0&amp;query=any,contains,991001670999702656","Catalog Record")</f>
        <v/>
      </c>
      <c r="AV1936">
        <f>HYPERLINK("http://www.worldcat.org/oclc/59104253","WorldCat Record")</f>
        <v/>
      </c>
      <c r="AW1936" t="inlineStr">
        <is>
          <t>839824946:eng</t>
        </is>
      </c>
      <c r="AX1936" t="inlineStr">
        <is>
          <t>59104253</t>
        </is>
      </c>
      <c r="AY1936" t="inlineStr">
        <is>
          <t>991001670999702656</t>
        </is>
      </c>
      <c r="AZ1936" t="inlineStr">
        <is>
          <t>991001670999702656</t>
        </is>
      </c>
      <c r="BA1936" t="inlineStr">
        <is>
          <t>2264794160002656</t>
        </is>
      </c>
      <c r="BB1936" t="inlineStr">
        <is>
          <t>BOOK</t>
        </is>
      </c>
      <c r="BD1936" t="inlineStr">
        <is>
          <t>9780333534106</t>
        </is>
      </c>
      <c r="BE1936" t="inlineStr">
        <is>
          <t>32285000819028</t>
        </is>
      </c>
      <c r="BF1936" t="inlineStr">
        <is>
          <t>893879070</t>
        </is>
      </c>
    </row>
    <row r="1937">
      <c r="A1937" t="inlineStr">
        <is>
          <t>No</t>
        </is>
      </c>
      <c r="B1937" t="inlineStr">
        <is>
          <t>CURAL</t>
        </is>
      </c>
      <c r="C1937" t="inlineStr">
        <is>
          <t>SHELVES</t>
        </is>
      </c>
      <c r="D1937" t="inlineStr">
        <is>
          <t>PR468.G68 S74 2000</t>
        </is>
      </c>
      <c r="E1937" t="inlineStr">
        <is>
          <t>0                      PR 0468000G  68                 S  74          2000</t>
        </is>
      </c>
      <c r="F1937" t="inlineStr">
        <is>
          <t>The gothic tradition / David Stevens.</t>
        </is>
      </c>
      <c r="H1937" t="inlineStr">
        <is>
          <t>No</t>
        </is>
      </c>
      <c r="I1937" t="inlineStr">
        <is>
          <t>1</t>
        </is>
      </c>
      <c r="J1937" t="inlineStr">
        <is>
          <t>No</t>
        </is>
      </c>
      <c r="K1937" t="inlineStr">
        <is>
          <t>No</t>
        </is>
      </c>
      <c r="L1937" t="inlineStr">
        <is>
          <t>0</t>
        </is>
      </c>
      <c r="M1937" t="inlineStr">
        <is>
          <t>Stevens, David, 1947-</t>
        </is>
      </c>
      <c r="N1937" t="inlineStr">
        <is>
          <t>Cambridge ; New York : Cambridge University Press, 2000.</t>
        </is>
      </c>
      <c r="O1937" t="inlineStr">
        <is>
          <t>2000</t>
        </is>
      </c>
      <c r="Q1937" t="inlineStr">
        <is>
          <t>eng</t>
        </is>
      </c>
      <c r="R1937" t="inlineStr">
        <is>
          <t>enk</t>
        </is>
      </c>
      <c r="S1937" t="inlineStr">
        <is>
          <t>Cambridge contexts in literature</t>
        </is>
      </c>
      <c r="T1937" t="inlineStr">
        <is>
          <t xml:space="preserve">PR </t>
        </is>
      </c>
      <c r="U1937" t="n">
        <v>1</v>
      </c>
      <c r="V1937" t="n">
        <v>1</v>
      </c>
      <c r="W1937" t="inlineStr">
        <is>
          <t>2008-12-03</t>
        </is>
      </c>
      <c r="X1937" t="inlineStr">
        <is>
          <t>2008-12-03</t>
        </is>
      </c>
      <c r="Y1937" t="inlineStr">
        <is>
          <t>2008-12-03</t>
        </is>
      </c>
      <c r="Z1937" t="inlineStr">
        <is>
          <t>2008-12-03</t>
        </is>
      </c>
      <c r="AA1937" t="n">
        <v>284</v>
      </c>
      <c r="AB1937" t="n">
        <v>124</v>
      </c>
      <c r="AC1937" t="n">
        <v>131</v>
      </c>
      <c r="AD1937" t="n">
        <v>3</v>
      </c>
      <c r="AE1937" t="n">
        <v>3</v>
      </c>
      <c r="AF1937" t="n">
        <v>6</v>
      </c>
      <c r="AG1937" t="n">
        <v>6</v>
      </c>
      <c r="AH1937" t="n">
        <v>2</v>
      </c>
      <c r="AI1937" t="n">
        <v>2</v>
      </c>
      <c r="AJ1937" t="n">
        <v>2</v>
      </c>
      <c r="AK1937" t="n">
        <v>2</v>
      </c>
      <c r="AL1937" t="n">
        <v>3</v>
      </c>
      <c r="AM1937" t="n">
        <v>3</v>
      </c>
      <c r="AN1937" t="n">
        <v>1</v>
      </c>
      <c r="AO1937" t="n">
        <v>1</v>
      </c>
      <c r="AP1937" t="n">
        <v>0</v>
      </c>
      <c r="AQ1937" t="n">
        <v>0</v>
      </c>
      <c r="AR1937" t="inlineStr">
        <is>
          <t>No</t>
        </is>
      </c>
      <c r="AS1937" t="inlineStr">
        <is>
          <t>No</t>
        </is>
      </c>
      <c r="AU1937">
        <f>HYPERLINK("https://creighton-primo.hosted.exlibrisgroup.com/primo-explore/search?tab=default_tab&amp;search_scope=EVERYTHING&amp;vid=01CRU&amp;lang=en_US&amp;offset=0&amp;query=any,contains,991005279949702656","Catalog Record")</f>
        <v/>
      </c>
      <c r="AV1937">
        <f>HYPERLINK("http://www.worldcat.org/oclc/43186980","WorldCat Record")</f>
        <v/>
      </c>
      <c r="AW1937" t="inlineStr">
        <is>
          <t>138913781:eng</t>
        </is>
      </c>
      <c r="AX1937" t="inlineStr">
        <is>
          <t>43186980</t>
        </is>
      </c>
      <c r="AY1937" t="inlineStr">
        <is>
          <t>991005279949702656</t>
        </is>
      </c>
      <c r="AZ1937" t="inlineStr">
        <is>
          <t>991005279949702656</t>
        </is>
      </c>
      <c r="BA1937" t="inlineStr">
        <is>
          <t>2269741310002656</t>
        </is>
      </c>
      <c r="BB1937" t="inlineStr">
        <is>
          <t>BOOK</t>
        </is>
      </c>
      <c r="BD1937" t="inlineStr">
        <is>
          <t>9780521777322</t>
        </is>
      </c>
      <c r="BE1937" t="inlineStr">
        <is>
          <t>32285005470199</t>
        </is>
      </c>
      <c r="BF1937" t="inlineStr">
        <is>
          <t>893695064</t>
        </is>
      </c>
    </row>
    <row r="1938">
      <c r="A1938" t="inlineStr">
        <is>
          <t>No</t>
        </is>
      </c>
      <c r="B1938" t="inlineStr">
        <is>
          <t>CURAL</t>
        </is>
      </c>
      <c r="C1938" t="inlineStr">
        <is>
          <t>SHELVES</t>
        </is>
      </c>
      <c r="D1938" t="inlineStr">
        <is>
          <t>PR468.H63 L64 2001</t>
        </is>
      </c>
      <c r="E1938" t="inlineStr">
        <is>
          <t>0                      PR 0468000H  63                 L  64          2001</t>
        </is>
      </c>
      <c r="F1938" t="inlineStr">
        <is>
          <t>The Victorian parlour / Thad Logan.</t>
        </is>
      </c>
      <c r="H1938" t="inlineStr">
        <is>
          <t>No</t>
        </is>
      </c>
      <c r="I1938" t="inlineStr">
        <is>
          <t>1</t>
        </is>
      </c>
      <c r="J1938" t="inlineStr">
        <is>
          <t>No</t>
        </is>
      </c>
      <c r="K1938" t="inlineStr">
        <is>
          <t>No</t>
        </is>
      </c>
      <c r="L1938" t="inlineStr">
        <is>
          <t>0</t>
        </is>
      </c>
      <c r="M1938" t="inlineStr">
        <is>
          <t>Logan, Thad.</t>
        </is>
      </c>
      <c r="N1938" t="inlineStr">
        <is>
          <t>Cambridge, UK ; New York : Cambridge University Press, 2001.</t>
        </is>
      </c>
      <c r="O1938" t="inlineStr">
        <is>
          <t>2001</t>
        </is>
      </c>
      <c r="Q1938" t="inlineStr">
        <is>
          <t>eng</t>
        </is>
      </c>
      <c r="R1938" t="inlineStr">
        <is>
          <t>enk</t>
        </is>
      </c>
      <c r="S1938" t="inlineStr">
        <is>
          <t>Cambridge studies in nineteenth-century literature and culture ; 30</t>
        </is>
      </c>
      <c r="T1938" t="inlineStr">
        <is>
          <t xml:space="preserve">PR </t>
        </is>
      </c>
      <c r="U1938" t="n">
        <v>4</v>
      </c>
      <c r="V1938" t="n">
        <v>4</v>
      </c>
      <c r="W1938" t="inlineStr">
        <is>
          <t>2003-10-03</t>
        </is>
      </c>
      <c r="X1938" t="inlineStr">
        <is>
          <t>2003-10-03</t>
        </is>
      </c>
      <c r="Y1938" t="inlineStr">
        <is>
          <t>2002-12-02</t>
        </is>
      </c>
      <c r="Z1938" t="inlineStr">
        <is>
          <t>2002-12-02</t>
        </is>
      </c>
      <c r="AA1938" t="n">
        <v>381</v>
      </c>
      <c r="AB1938" t="n">
        <v>290</v>
      </c>
      <c r="AC1938" t="n">
        <v>300</v>
      </c>
      <c r="AD1938" t="n">
        <v>2</v>
      </c>
      <c r="AE1938" t="n">
        <v>2</v>
      </c>
      <c r="AF1938" t="n">
        <v>17</v>
      </c>
      <c r="AG1938" t="n">
        <v>19</v>
      </c>
      <c r="AH1938" t="n">
        <v>7</v>
      </c>
      <c r="AI1938" t="n">
        <v>9</v>
      </c>
      <c r="AJ1938" t="n">
        <v>5</v>
      </c>
      <c r="AK1938" t="n">
        <v>5</v>
      </c>
      <c r="AL1938" t="n">
        <v>10</v>
      </c>
      <c r="AM1938" t="n">
        <v>11</v>
      </c>
      <c r="AN1938" t="n">
        <v>1</v>
      </c>
      <c r="AO1938" t="n">
        <v>1</v>
      </c>
      <c r="AP1938" t="n">
        <v>0</v>
      </c>
      <c r="AQ1938" t="n">
        <v>0</v>
      </c>
      <c r="AR1938" t="inlineStr">
        <is>
          <t>No</t>
        </is>
      </c>
      <c r="AS1938" t="inlineStr">
        <is>
          <t>No</t>
        </is>
      </c>
      <c r="AU1938">
        <f>HYPERLINK("https://creighton-primo.hosted.exlibrisgroup.com/primo-explore/search?tab=default_tab&amp;search_scope=EVERYTHING&amp;vid=01CRU&amp;lang=en_US&amp;offset=0&amp;query=any,contains,991003920449702656","Catalog Record")</f>
        <v/>
      </c>
      <c r="AV1938">
        <f>HYPERLINK("http://www.worldcat.org/oclc/45201920","WorldCat Record")</f>
        <v/>
      </c>
      <c r="AW1938" t="inlineStr">
        <is>
          <t>34544338:eng</t>
        </is>
      </c>
      <c r="AX1938" t="inlineStr">
        <is>
          <t>45201920</t>
        </is>
      </c>
      <c r="AY1938" t="inlineStr">
        <is>
          <t>991003920449702656</t>
        </is>
      </c>
      <c r="AZ1938" t="inlineStr">
        <is>
          <t>991003920449702656</t>
        </is>
      </c>
      <c r="BA1938" t="inlineStr">
        <is>
          <t>2264171860002656</t>
        </is>
      </c>
      <c r="BB1938" t="inlineStr">
        <is>
          <t>BOOK</t>
        </is>
      </c>
      <c r="BD1938" t="inlineStr">
        <is>
          <t>9780521631822</t>
        </is>
      </c>
      <c r="BE1938" t="inlineStr">
        <is>
          <t>32285004666920</t>
        </is>
      </c>
      <c r="BF1938" t="inlineStr">
        <is>
          <t>893611686</t>
        </is>
      </c>
    </row>
    <row r="1939">
      <c r="A1939" t="inlineStr">
        <is>
          <t>No</t>
        </is>
      </c>
      <c r="B1939" t="inlineStr">
        <is>
          <t>CURAL</t>
        </is>
      </c>
      <c r="C1939" t="inlineStr">
        <is>
          <t>SHELVES</t>
        </is>
      </c>
      <c r="D1939" t="inlineStr">
        <is>
          <t>PR468.H65 D45 1990</t>
        </is>
      </c>
      <c r="E1939" t="inlineStr">
        <is>
          <t>0                      PR 0468000H  65                 D  45          1990</t>
        </is>
      </c>
      <c r="F1939" t="inlineStr">
        <is>
          <t>Masculine desire : the sexual politics of Victorian aestheticism / by Richard Dellamora.</t>
        </is>
      </c>
      <c r="H1939" t="inlineStr">
        <is>
          <t>No</t>
        </is>
      </c>
      <c r="I1939" t="inlineStr">
        <is>
          <t>1</t>
        </is>
      </c>
      <c r="J1939" t="inlineStr">
        <is>
          <t>No</t>
        </is>
      </c>
      <c r="K1939" t="inlineStr">
        <is>
          <t>No</t>
        </is>
      </c>
      <c r="L1939" t="inlineStr">
        <is>
          <t>0</t>
        </is>
      </c>
      <c r="M1939" t="inlineStr">
        <is>
          <t>Dellamora, Richard.</t>
        </is>
      </c>
      <c r="N1939" t="inlineStr">
        <is>
          <t>Chapel Hill : University of North Carolina Press, c1990.</t>
        </is>
      </c>
      <c r="O1939" t="inlineStr">
        <is>
          <t>1990</t>
        </is>
      </c>
      <c r="Q1939" t="inlineStr">
        <is>
          <t>eng</t>
        </is>
      </c>
      <c r="R1939" t="inlineStr">
        <is>
          <t>ncu</t>
        </is>
      </c>
      <c r="T1939" t="inlineStr">
        <is>
          <t xml:space="preserve">PR </t>
        </is>
      </c>
      <c r="U1939" t="n">
        <v>4</v>
      </c>
      <c r="V1939" t="n">
        <v>4</v>
      </c>
      <c r="W1939" t="inlineStr">
        <is>
          <t>2003-10-09</t>
        </is>
      </c>
      <c r="X1939" t="inlineStr">
        <is>
          <t>2003-10-09</t>
        </is>
      </c>
      <c r="Y1939" t="inlineStr">
        <is>
          <t>1990-08-10</t>
        </is>
      </c>
      <c r="Z1939" t="inlineStr">
        <is>
          <t>1990-08-10</t>
        </is>
      </c>
      <c r="AA1939" t="n">
        <v>722</v>
      </c>
      <c r="AB1939" t="n">
        <v>564</v>
      </c>
      <c r="AC1939" t="n">
        <v>571</v>
      </c>
      <c r="AD1939" t="n">
        <v>4</v>
      </c>
      <c r="AE1939" t="n">
        <v>4</v>
      </c>
      <c r="AF1939" t="n">
        <v>23</v>
      </c>
      <c r="AG1939" t="n">
        <v>23</v>
      </c>
      <c r="AH1939" t="n">
        <v>5</v>
      </c>
      <c r="AI1939" t="n">
        <v>5</v>
      </c>
      <c r="AJ1939" t="n">
        <v>8</v>
      </c>
      <c r="AK1939" t="n">
        <v>8</v>
      </c>
      <c r="AL1939" t="n">
        <v>13</v>
      </c>
      <c r="AM1939" t="n">
        <v>13</v>
      </c>
      <c r="AN1939" t="n">
        <v>3</v>
      </c>
      <c r="AO1939" t="n">
        <v>3</v>
      </c>
      <c r="AP1939" t="n">
        <v>0</v>
      </c>
      <c r="AQ1939" t="n">
        <v>0</v>
      </c>
      <c r="AR1939" t="inlineStr">
        <is>
          <t>No</t>
        </is>
      </c>
      <c r="AS1939" t="inlineStr">
        <is>
          <t>Yes</t>
        </is>
      </c>
      <c r="AT1939">
        <f>HYPERLINK("http://catalog.hathitrust.org/Record/002062903","HathiTrust Record")</f>
        <v/>
      </c>
      <c r="AU1939">
        <f>HYPERLINK("https://creighton-primo.hosted.exlibrisgroup.com/primo-explore/search?tab=default_tab&amp;search_scope=EVERYTHING&amp;vid=01CRU&amp;lang=en_US&amp;offset=0&amp;query=any,contains,991001546529702656","Catalog Record")</f>
        <v/>
      </c>
      <c r="AV1939">
        <f>HYPERLINK("http://www.worldcat.org/oclc/20168792","WorldCat Record")</f>
        <v/>
      </c>
      <c r="AW1939" t="inlineStr">
        <is>
          <t>347449877:eng</t>
        </is>
      </c>
      <c r="AX1939" t="inlineStr">
        <is>
          <t>20168792</t>
        </is>
      </c>
      <c r="AY1939" t="inlineStr">
        <is>
          <t>991001546529702656</t>
        </is>
      </c>
      <c r="AZ1939" t="inlineStr">
        <is>
          <t>991001546529702656</t>
        </is>
      </c>
      <c r="BA1939" t="inlineStr">
        <is>
          <t>2266991540002656</t>
        </is>
      </c>
      <c r="BB1939" t="inlineStr">
        <is>
          <t>BOOK</t>
        </is>
      </c>
      <c r="BD1939" t="inlineStr">
        <is>
          <t>9780807842676</t>
        </is>
      </c>
      <c r="BE1939" t="inlineStr">
        <is>
          <t>32285000243013</t>
        </is>
      </c>
      <c r="BF1939" t="inlineStr">
        <is>
          <t>893322032</t>
        </is>
      </c>
    </row>
    <row r="1940">
      <c r="A1940" t="inlineStr">
        <is>
          <t>No</t>
        </is>
      </c>
      <c r="B1940" t="inlineStr">
        <is>
          <t>CURAL</t>
        </is>
      </c>
      <c r="C1940" t="inlineStr">
        <is>
          <t>SHELVES</t>
        </is>
      </c>
      <c r="D1940" t="inlineStr">
        <is>
          <t>PR468.I49 K58 2001</t>
        </is>
      </c>
      <c r="E1940" t="inlineStr">
        <is>
          <t>0                      PR 0468000I  49                 K  58          2001</t>
        </is>
      </c>
      <c r="F1940" t="inlineStr">
        <is>
          <t>Victorian writers and the image of empire : the rose-colored vision / Laurence Kitzan.</t>
        </is>
      </c>
      <c r="H1940" t="inlineStr">
        <is>
          <t>No</t>
        </is>
      </c>
      <c r="I1940" t="inlineStr">
        <is>
          <t>1</t>
        </is>
      </c>
      <c r="J1940" t="inlineStr">
        <is>
          <t>No</t>
        </is>
      </c>
      <c r="K1940" t="inlineStr">
        <is>
          <t>No</t>
        </is>
      </c>
      <c r="L1940" t="inlineStr">
        <is>
          <t>0</t>
        </is>
      </c>
      <c r="M1940" t="inlineStr">
        <is>
          <t>Kitzan, Laurence, 1936-</t>
        </is>
      </c>
      <c r="N1940" t="inlineStr">
        <is>
          <t>Westport, Conn. : Greenwood Press, 2001.</t>
        </is>
      </c>
      <c r="O1940" t="inlineStr">
        <is>
          <t>2001</t>
        </is>
      </c>
      <c r="Q1940" t="inlineStr">
        <is>
          <t>eng</t>
        </is>
      </c>
      <c r="R1940" t="inlineStr">
        <is>
          <t>ctu</t>
        </is>
      </c>
      <c r="S1940" t="inlineStr">
        <is>
          <t>Contributions to the study of world literature, 0738-9345 ; no. 104</t>
        </is>
      </c>
      <c r="T1940" t="inlineStr">
        <is>
          <t xml:space="preserve">PR </t>
        </is>
      </c>
      <c r="U1940" t="n">
        <v>4</v>
      </c>
      <c r="V1940" t="n">
        <v>4</v>
      </c>
      <c r="W1940" t="inlineStr">
        <is>
          <t>2008-04-30</t>
        </is>
      </c>
      <c r="X1940" t="inlineStr">
        <is>
          <t>2008-04-30</t>
        </is>
      </c>
      <c r="Y1940" t="inlineStr">
        <is>
          <t>2002-03-20</t>
        </is>
      </c>
      <c r="Z1940" t="inlineStr">
        <is>
          <t>2002-03-20</t>
        </is>
      </c>
      <c r="AA1940" t="n">
        <v>344</v>
      </c>
      <c r="AB1940" t="n">
        <v>263</v>
      </c>
      <c r="AC1940" t="n">
        <v>269</v>
      </c>
      <c r="AD1940" t="n">
        <v>3</v>
      </c>
      <c r="AE1940" t="n">
        <v>3</v>
      </c>
      <c r="AF1940" t="n">
        <v>21</v>
      </c>
      <c r="AG1940" t="n">
        <v>21</v>
      </c>
      <c r="AH1940" t="n">
        <v>9</v>
      </c>
      <c r="AI1940" t="n">
        <v>9</v>
      </c>
      <c r="AJ1940" t="n">
        <v>5</v>
      </c>
      <c r="AK1940" t="n">
        <v>5</v>
      </c>
      <c r="AL1940" t="n">
        <v>13</v>
      </c>
      <c r="AM1940" t="n">
        <v>13</v>
      </c>
      <c r="AN1940" t="n">
        <v>2</v>
      </c>
      <c r="AO1940" t="n">
        <v>2</v>
      </c>
      <c r="AP1940" t="n">
        <v>0</v>
      </c>
      <c r="AQ1940" t="n">
        <v>0</v>
      </c>
      <c r="AR1940" t="inlineStr">
        <is>
          <t>No</t>
        </is>
      </c>
      <c r="AS1940" t="inlineStr">
        <is>
          <t>Yes</t>
        </is>
      </c>
      <c r="AT1940">
        <f>HYPERLINK("http://catalog.hathitrust.org/Record/004183733","HathiTrust Record")</f>
        <v/>
      </c>
      <c r="AU1940">
        <f>HYPERLINK("https://creighton-primo.hosted.exlibrisgroup.com/primo-explore/search?tab=default_tab&amp;search_scope=EVERYTHING&amp;vid=01CRU&amp;lang=en_US&amp;offset=0&amp;query=any,contains,991003736949702656","Catalog Record")</f>
        <v/>
      </c>
      <c r="AV1940">
        <f>HYPERLINK("http://www.worldcat.org/oclc/44769049","WorldCat Record")</f>
        <v/>
      </c>
      <c r="AW1940" t="inlineStr">
        <is>
          <t>233815382:eng</t>
        </is>
      </c>
      <c r="AX1940" t="inlineStr">
        <is>
          <t>44769049</t>
        </is>
      </c>
      <c r="AY1940" t="inlineStr">
        <is>
          <t>991003736949702656</t>
        </is>
      </c>
      <c r="AZ1940" t="inlineStr">
        <is>
          <t>991003736949702656</t>
        </is>
      </c>
      <c r="BA1940" t="inlineStr">
        <is>
          <t>2260949960002656</t>
        </is>
      </c>
      <c r="BB1940" t="inlineStr">
        <is>
          <t>BOOK</t>
        </is>
      </c>
      <c r="BD1940" t="inlineStr">
        <is>
          <t>9780313317781</t>
        </is>
      </c>
      <c r="BE1940" t="inlineStr">
        <is>
          <t>32285004462593</t>
        </is>
      </c>
      <c r="BF1940" t="inlineStr">
        <is>
          <t>893318345</t>
        </is>
      </c>
    </row>
    <row r="1941">
      <c r="A1941" t="inlineStr">
        <is>
          <t>No</t>
        </is>
      </c>
      <c r="B1941" t="inlineStr">
        <is>
          <t>CURAL</t>
        </is>
      </c>
      <c r="C1941" t="inlineStr">
        <is>
          <t>SHELVES</t>
        </is>
      </c>
      <c r="D1941" t="inlineStr">
        <is>
          <t>PR468.N3 M38 2000</t>
        </is>
      </c>
      <c r="E1941" t="inlineStr">
        <is>
          <t>0                      PR 0468000N  3                  M  38          2000</t>
        </is>
      </c>
      <c r="F1941" t="inlineStr">
        <is>
          <t>Green writing : romanticism and ecology / James C. McKusick.</t>
        </is>
      </c>
      <c r="H1941" t="inlineStr">
        <is>
          <t>No</t>
        </is>
      </c>
      <c r="I1941" t="inlineStr">
        <is>
          <t>1</t>
        </is>
      </c>
      <c r="J1941" t="inlineStr">
        <is>
          <t>No</t>
        </is>
      </c>
      <c r="K1941" t="inlineStr">
        <is>
          <t>No</t>
        </is>
      </c>
      <c r="L1941" t="inlineStr">
        <is>
          <t>0</t>
        </is>
      </c>
      <c r="M1941" t="inlineStr">
        <is>
          <t>McKusick, James C., 1956-</t>
        </is>
      </c>
      <c r="N1941" t="inlineStr">
        <is>
          <t>New York : St. Martin's Press, 2000.</t>
        </is>
      </c>
      <c r="O1941" t="inlineStr">
        <is>
          <t>2000</t>
        </is>
      </c>
      <c r="P1941" t="inlineStr">
        <is>
          <t>1st ed.</t>
        </is>
      </c>
      <c r="Q1941" t="inlineStr">
        <is>
          <t>eng</t>
        </is>
      </c>
      <c r="R1941" t="inlineStr">
        <is>
          <t>nyu</t>
        </is>
      </c>
      <c r="T1941" t="inlineStr">
        <is>
          <t xml:space="preserve">PR </t>
        </is>
      </c>
      <c r="U1941" t="n">
        <v>4</v>
      </c>
      <c r="V1941" t="n">
        <v>4</v>
      </c>
      <c r="W1941" t="inlineStr">
        <is>
          <t>2003-10-18</t>
        </is>
      </c>
      <c r="X1941" t="inlineStr">
        <is>
          <t>2003-10-18</t>
        </is>
      </c>
      <c r="Y1941" t="inlineStr">
        <is>
          <t>2002-04-29</t>
        </is>
      </c>
      <c r="Z1941" t="inlineStr">
        <is>
          <t>2002-04-29</t>
        </is>
      </c>
      <c r="AA1941" t="n">
        <v>616</v>
      </c>
      <c r="AB1941" t="n">
        <v>556</v>
      </c>
      <c r="AC1941" t="n">
        <v>623</v>
      </c>
      <c r="AD1941" t="n">
        <v>3</v>
      </c>
      <c r="AE1941" t="n">
        <v>3</v>
      </c>
      <c r="AF1941" t="n">
        <v>27</v>
      </c>
      <c r="AG1941" t="n">
        <v>28</v>
      </c>
      <c r="AH1941" t="n">
        <v>11</v>
      </c>
      <c r="AI1941" t="n">
        <v>11</v>
      </c>
      <c r="AJ1941" t="n">
        <v>8</v>
      </c>
      <c r="AK1941" t="n">
        <v>9</v>
      </c>
      <c r="AL1941" t="n">
        <v>14</v>
      </c>
      <c r="AM1941" t="n">
        <v>14</v>
      </c>
      <c r="AN1941" t="n">
        <v>2</v>
      </c>
      <c r="AO1941" t="n">
        <v>2</v>
      </c>
      <c r="AP1941" t="n">
        <v>0</v>
      </c>
      <c r="AQ1941" t="n">
        <v>0</v>
      </c>
      <c r="AR1941" t="inlineStr">
        <is>
          <t>No</t>
        </is>
      </c>
      <c r="AS1941" t="inlineStr">
        <is>
          <t>No</t>
        </is>
      </c>
      <c r="AU1941">
        <f>HYPERLINK("https://creighton-primo.hosted.exlibrisgroup.com/primo-explore/search?tab=default_tab&amp;search_scope=EVERYTHING&amp;vid=01CRU&amp;lang=en_US&amp;offset=0&amp;query=any,contains,991003784219702656","Catalog Record")</f>
        <v/>
      </c>
      <c r="AV1941">
        <f>HYPERLINK("http://www.worldcat.org/oclc/43757601","WorldCat Record")</f>
        <v/>
      </c>
      <c r="AW1941" t="inlineStr">
        <is>
          <t>793954258:eng</t>
        </is>
      </c>
      <c r="AX1941" t="inlineStr">
        <is>
          <t>43757601</t>
        </is>
      </c>
      <c r="AY1941" t="inlineStr">
        <is>
          <t>991003784219702656</t>
        </is>
      </c>
      <c r="AZ1941" t="inlineStr">
        <is>
          <t>991003784219702656</t>
        </is>
      </c>
      <c r="BA1941" t="inlineStr">
        <is>
          <t>2270332720002656</t>
        </is>
      </c>
      <c r="BB1941" t="inlineStr">
        <is>
          <t>BOOK</t>
        </is>
      </c>
      <c r="BD1941" t="inlineStr">
        <is>
          <t>9780312234485</t>
        </is>
      </c>
      <c r="BE1941" t="inlineStr">
        <is>
          <t>32285004484126</t>
        </is>
      </c>
      <c r="BF1941" t="inlineStr">
        <is>
          <t>893262930</t>
        </is>
      </c>
    </row>
    <row r="1942">
      <c r="A1942" t="inlineStr">
        <is>
          <t>No</t>
        </is>
      </c>
      <c r="B1942" t="inlineStr">
        <is>
          <t>CURAL</t>
        </is>
      </c>
      <c r="C1942" t="inlineStr">
        <is>
          <t>SHELVES</t>
        </is>
      </c>
      <c r="D1942" t="inlineStr">
        <is>
          <t>PR468.O6 A3 1971</t>
        </is>
      </c>
      <c r="E1942" t="inlineStr">
        <is>
          <t>0                      PR 0468000O  6                  A  3           1971</t>
        </is>
      </c>
      <c r="F1942" t="inlineStr">
        <is>
          <t>The milk of paradise; the effect of opium visions on the works of DeQuincey, Crabbe, Francis Thompson, and Coleridge, by M. H. Abrams.</t>
        </is>
      </c>
      <c r="H1942" t="inlineStr">
        <is>
          <t>No</t>
        </is>
      </c>
      <c r="I1942" t="inlineStr">
        <is>
          <t>1</t>
        </is>
      </c>
      <c r="J1942" t="inlineStr">
        <is>
          <t>No</t>
        </is>
      </c>
      <c r="K1942" t="inlineStr">
        <is>
          <t>No</t>
        </is>
      </c>
      <c r="L1942" t="inlineStr">
        <is>
          <t>0</t>
        </is>
      </c>
      <c r="M1942" t="inlineStr">
        <is>
          <t>Abrams, M. H. (Meyer Howard), 1912-2015.</t>
        </is>
      </c>
      <c r="N1942" t="inlineStr">
        <is>
          <t>New York, Octagon Books, 1971 [c1934]</t>
        </is>
      </c>
      <c r="O1942" t="inlineStr">
        <is>
          <t>1971</t>
        </is>
      </c>
      <c r="Q1942" t="inlineStr">
        <is>
          <t>eng</t>
        </is>
      </c>
      <c r="R1942" t="inlineStr">
        <is>
          <t>nyu</t>
        </is>
      </c>
      <c r="T1942" t="inlineStr">
        <is>
          <t xml:space="preserve">PR </t>
        </is>
      </c>
      <c r="U1942" t="n">
        <v>2</v>
      </c>
      <c r="V1942" t="n">
        <v>2</v>
      </c>
      <c r="W1942" t="inlineStr">
        <is>
          <t>2005-08-22</t>
        </is>
      </c>
      <c r="X1942" t="inlineStr">
        <is>
          <t>2005-08-22</t>
        </is>
      </c>
      <c r="Y1942" t="inlineStr">
        <is>
          <t>1997-08-22</t>
        </is>
      </c>
      <c r="Z1942" t="inlineStr">
        <is>
          <t>1997-08-22</t>
        </is>
      </c>
      <c r="AA1942" t="n">
        <v>387</v>
      </c>
      <c r="AB1942" t="n">
        <v>338</v>
      </c>
      <c r="AC1942" t="n">
        <v>487</v>
      </c>
      <c r="AD1942" t="n">
        <v>2</v>
      </c>
      <c r="AE1942" t="n">
        <v>3</v>
      </c>
      <c r="AF1942" t="n">
        <v>18</v>
      </c>
      <c r="AG1942" t="n">
        <v>26</v>
      </c>
      <c r="AH1942" t="n">
        <v>10</v>
      </c>
      <c r="AI1942" t="n">
        <v>12</v>
      </c>
      <c r="AJ1942" t="n">
        <v>4</v>
      </c>
      <c r="AK1942" t="n">
        <v>7</v>
      </c>
      <c r="AL1942" t="n">
        <v>8</v>
      </c>
      <c r="AM1942" t="n">
        <v>11</v>
      </c>
      <c r="AN1942" t="n">
        <v>1</v>
      </c>
      <c r="AO1942" t="n">
        <v>2</v>
      </c>
      <c r="AP1942" t="n">
        <v>0</v>
      </c>
      <c r="AQ1942" t="n">
        <v>0</v>
      </c>
      <c r="AR1942" t="inlineStr">
        <is>
          <t>No</t>
        </is>
      </c>
      <c r="AS1942" t="inlineStr">
        <is>
          <t>Yes</t>
        </is>
      </c>
      <c r="AT1942">
        <f>HYPERLINK("http://catalog.hathitrust.org/Record/007584664","HathiTrust Record")</f>
        <v/>
      </c>
      <c r="AU1942">
        <f>HYPERLINK("https://creighton-primo.hosted.exlibrisgroup.com/primo-explore/search?tab=default_tab&amp;search_scope=EVERYTHING&amp;vid=01CRU&amp;lang=en_US&amp;offset=0&amp;query=any,contains,991000933519702656","Catalog Record")</f>
        <v/>
      </c>
      <c r="AV1942">
        <f>HYPERLINK("http://www.worldcat.org/oclc/164009","WorldCat Record")</f>
        <v/>
      </c>
      <c r="AW1942" t="inlineStr">
        <is>
          <t>14344577:eng</t>
        </is>
      </c>
      <c r="AX1942" t="inlineStr">
        <is>
          <t>164009</t>
        </is>
      </c>
      <c r="AY1942" t="inlineStr">
        <is>
          <t>991000933519702656</t>
        </is>
      </c>
      <c r="AZ1942" t="inlineStr">
        <is>
          <t>991000933519702656</t>
        </is>
      </c>
      <c r="BA1942" t="inlineStr">
        <is>
          <t>2271984090002656</t>
        </is>
      </c>
      <c r="BB1942" t="inlineStr">
        <is>
          <t>BOOK</t>
        </is>
      </c>
      <c r="BD1942" t="inlineStr">
        <is>
          <t>9780374900281</t>
        </is>
      </c>
      <c r="BE1942" t="inlineStr">
        <is>
          <t>32285003152823</t>
        </is>
      </c>
      <c r="BF1942" t="inlineStr">
        <is>
          <t>893696305</t>
        </is>
      </c>
    </row>
    <row r="1943">
      <c r="A1943" t="inlineStr">
        <is>
          <t>No</t>
        </is>
      </c>
      <c r="B1943" t="inlineStr">
        <is>
          <t>CURAL</t>
        </is>
      </c>
      <c r="C1943" t="inlineStr">
        <is>
          <t>SHELVES</t>
        </is>
      </c>
      <c r="D1943" t="inlineStr">
        <is>
          <t>PR468.P6 M3 1966</t>
        </is>
      </c>
      <c r="E1943" t="inlineStr">
        <is>
          <t>0                      PR 0468000P  6                  M  3           1966</t>
        </is>
      </c>
      <c r="F1943" t="inlineStr">
        <is>
          <t>The other Victorians; a study of sexuality and pornography in mid-nineteenth-century England.</t>
        </is>
      </c>
      <c r="H1943" t="inlineStr">
        <is>
          <t>No</t>
        </is>
      </c>
      <c r="I1943" t="inlineStr">
        <is>
          <t>1</t>
        </is>
      </c>
      <c r="J1943" t="inlineStr">
        <is>
          <t>No</t>
        </is>
      </c>
      <c r="K1943" t="inlineStr">
        <is>
          <t>No</t>
        </is>
      </c>
      <c r="L1943" t="inlineStr">
        <is>
          <t>0</t>
        </is>
      </c>
      <c r="M1943" t="inlineStr">
        <is>
          <t>Marcus, Steven, 1928-2018.</t>
        </is>
      </c>
      <c r="N1943" t="inlineStr">
        <is>
          <t>New York, Basic Books [1966]</t>
        </is>
      </c>
      <c r="O1943" t="inlineStr">
        <is>
          <t>1966</t>
        </is>
      </c>
      <c r="Q1943" t="inlineStr">
        <is>
          <t>eng</t>
        </is>
      </c>
      <c r="R1943" t="inlineStr">
        <is>
          <t>nyu</t>
        </is>
      </c>
      <c r="S1943" t="inlineStr">
        <is>
          <t>Studies in sex and society ; 1</t>
        </is>
      </c>
      <c r="T1943" t="inlineStr">
        <is>
          <t xml:space="preserve">PR </t>
        </is>
      </c>
      <c r="U1943" t="n">
        <v>4</v>
      </c>
      <c r="V1943" t="n">
        <v>4</v>
      </c>
      <c r="W1943" t="inlineStr">
        <is>
          <t>2002-10-21</t>
        </is>
      </c>
      <c r="X1943" t="inlineStr">
        <is>
          <t>2002-10-21</t>
        </is>
      </c>
      <c r="Y1943" t="inlineStr">
        <is>
          <t>1997-08-22</t>
        </is>
      </c>
      <c r="Z1943" t="inlineStr">
        <is>
          <t>1997-08-22</t>
        </is>
      </c>
      <c r="AA1943" t="n">
        <v>933</v>
      </c>
      <c r="AB1943" t="n">
        <v>848</v>
      </c>
      <c r="AC1943" t="n">
        <v>1151</v>
      </c>
      <c r="AD1943" t="n">
        <v>6</v>
      </c>
      <c r="AE1943" t="n">
        <v>10</v>
      </c>
      <c r="AF1943" t="n">
        <v>37</v>
      </c>
      <c r="AG1943" t="n">
        <v>50</v>
      </c>
      <c r="AH1943" t="n">
        <v>14</v>
      </c>
      <c r="AI1943" t="n">
        <v>21</v>
      </c>
      <c r="AJ1943" t="n">
        <v>8</v>
      </c>
      <c r="AK1943" t="n">
        <v>11</v>
      </c>
      <c r="AL1943" t="n">
        <v>20</v>
      </c>
      <c r="AM1943" t="n">
        <v>23</v>
      </c>
      <c r="AN1943" t="n">
        <v>4</v>
      </c>
      <c r="AO1943" t="n">
        <v>7</v>
      </c>
      <c r="AP1943" t="n">
        <v>0</v>
      </c>
      <c r="AQ1943" t="n">
        <v>0</v>
      </c>
      <c r="AR1943" t="inlineStr">
        <is>
          <t>No</t>
        </is>
      </c>
      <c r="AS1943" t="inlineStr">
        <is>
          <t>Yes</t>
        </is>
      </c>
      <c r="AT1943">
        <f>HYPERLINK("http://catalog.hathitrust.org/Record/001371013","HathiTrust Record")</f>
        <v/>
      </c>
      <c r="AU1943">
        <f>HYPERLINK("https://creighton-primo.hosted.exlibrisgroup.com/primo-explore/search?tab=default_tab&amp;search_scope=EVERYTHING&amp;vid=01CRU&amp;lang=en_US&amp;offset=0&amp;query=any,contains,991002275489702656","Catalog Record")</f>
        <v/>
      </c>
      <c r="AV1943">
        <f>HYPERLINK("http://www.worldcat.org/oclc/310139","WorldCat Record")</f>
        <v/>
      </c>
      <c r="AW1943" t="inlineStr">
        <is>
          <t>486631:eng</t>
        </is>
      </c>
      <c r="AX1943" t="inlineStr">
        <is>
          <t>310139</t>
        </is>
      </c>
      <c r="AY1943" t="inlineStr">
        <is>
          <t>991002275489702656</t>
        </is>
      </c>
      <c r="AZ1943" t="inlineStr">
        <is>
          <t>991002275489702656</t>
        </is>
      </c>
      <c r="BA1943" t="inlineStr">
        <is>
          <t>2259583900002656</t>
        </is>
      </c>
      <c r="BB1943" t="inlineStr">
        <is>
          <t>BOOK</t>
        </is>
      </c>
      <c r="BE1943" t="inlineStr">
        <is>
          <t>32285003152831</t>
        </is>
      </c>
      <c r="BF1943" t="inlineStr">
        <is>
          <t>893867007</t>
        </is>
      </c>
    </row>
    <row r="1944">
      <c r="A1944" t="inlineStr">
        <is>
          <t>No</t>
        </is>
      </c>
      <c r="B1944" t="inlineStr">
        <is>
          <t>CURAL</t>
        </is>
      </c>
      <c r="C1944" t="inlineStr">
        <is>
          <t>SHELVES</t>
        </is>
      </c>
      <c r="D1944" t="inlineStr">
        <is>
          <t>PR468.R65 M44</t>
        </is>
      </c>
      <c r="E1944" t="inlineStr">
        <is>
          <t>0                      PR 0468000R  65                 M  44</t>
        </is>
      </c>
      <c r="F1944" t="inlineStr">
        <is>
          <t>English romantic irony / Anne K. Mellor.</t>
        </is>
      </c>
      <c r="H1944" t="inlineStr">
        <is>
          <t>No</t>
        </is>
      </c>
      <c r="I1944" t="inlineStr">
        <is>
          <t>1</t>
        </is>
      </c>
      <c r="J1944" t="inlineStr">
        <is>
          <t>No</t>
        </is>
      </c>
      <c r="K1944" t="inlineStr">
        <is>
          <t>No</t>
        </is>
      </c>
      <c r="L1944" t="inlineStr">
        <is>
          <t>0</t>
        </is>
      </c>
      <c r="M1944" t="inlineStr">
        <is>
          <t>Mellor, Anne Kostelanetz.</t>
        </is>
      </c>
      <c r="N1944" t="inlineStr">
        <is>
          <t>Cambridge, Mass. : Harvard University Press, 1980.</t>
        </is>
      </c>
      <c r="O1944" t="inlineStr">
        <is>
          <t>1980</t>
        </is>
      </c>
      <c r="Q1944" t="inlineStr">
        <is>
          <t>eng</t>
        </is>
      </c>
      <c r="R1944" t="inlineStr">
        <is>
          <t>mau</t>
        </is>
      </c>
      <c r="T1944" t="inlineStr">
        <is>
          <t xml:space="preserve">PR </t>
        </is>
      </c>
      <c r="U1944" t="n">
        <v>4</v>
      </c>
      <c r="V1944" t="n">
        <v>4</v>
      </c>
      <c r="W1944" t="inlineStr">
        <is>
          <t>2004-03-25</t>
        </is>
      </c>
      <c r="X1944" t="inlineStr">
        <is>
          <t>2004-03-25</t>
        </is>
      </c>
      <c r="Y1944" t="inlineStr">
        <is>
          <t>1991-08-30</t>
        </is>
      </c>
      <c r="Z1944" t="inlineStr">
        <is>
          <t>1991-08-30</t>
        </is>
      </c>
      <c r="AA1944" t="n">
        <v>810</v>
      </c>
      <c r="AB1944" t="n">
        <v>646</v>
      </c>
      <c r="AC1944" t="n">
        <v>663</v>
      </c>
      <c r="AD1944" t="n">
        <v>6</v>
      </c>
      <c r="AE1944" t="n">
        <v>6</v>
      </c>
      <c r="AF1944" t="n">
        <v>32</v>
      </c>
      <c r="AG1944" t="n">
        <v>33</v>
      </c>
      <c r="AH1944" t="n">
        <v>12</v>
      </c>
      <c r="AI1944" t="n">
        <v>12</v>
      </c>
      <c r="AJ1944" t="n">
        <v>6</v>
      </c>
      <c r="AK1944" t="n">
        <v>7</v>
      </c>
      <c r="AL1944" t="n">
        <v>17</v>
      </c>
      <c r="AM1944" t="n">
        <v>17</v>
      </c>
      <c r="AN1944" t="n">
        <v>5</v>
      </c>
      <c r="AO1944" t="n">
        <v>5</v>
      </c>
      <c r="AP1944" t="n">
        <v>0</v>
      </c>
      <c r="AQ1944" t="n">
        <v>0</v>
      </c>
      <c r="AR1944" t="inlineStr">
        <is>
          <t>No</t>
        </is>
      </c>
      <c r="AS1944" t="inlineStr">
        <is>
          <t>Yes</t>
        </is>
      </c>
      <c r="AT1944">
        <f>HYPERLINK("http://catalog.hathitrust.org/Record/000738824","HathiTrust Record")</f>
        <v/>
      </c>
      <c r="AU1944">
        <f>HYPERLINK("https://creighton-primo.hosted.exlibrisgroup.com/primo-explore/search?tab=default_tab&amp;search_scope=EVERYTHING&amp;vid=01CRU&amp;lang=en_US&amp;offset=0&amp;query=any,contains,991004916129702656","Catalog Record")</f>
        <v/>
      </c>
      <c r="AV1944">
        <f>HYPERLINK("http://www.worldcat.org/oclc/6016347","WorldCat Record")</f>
        <v/>
      </c>
      <c r="AW1944" t="inlineStr">
        <is>
          <t>57076:eng</t>
        </is>
      </c>
      <c r="AX1944" t="inlineStr">
        <is>
          <t>6016347</t>
        </is>
      </c>
      <c r="AY1944" t="inlineStr">
        <is>
          <t>991004916129702656</t>
        </is>
      </c>
      <c r="AZ1944" t="inlineStr">
        <is>
          <t>991004916129702656</t>
        </is>
      </c>
      <c r="BA1944" t="inlineStr">
        <is>
          <t>2269529710002656</t>
        </is>
      </c>
      <c r="BB1944" t="inlineStr">
        <is>
          <t>BOOK</t>
        </is>
      </c>
      <c r="BD1944" t="inlineStr">
        <is>
          <t>9780674256903</t>
        </is>
      </c>
      <c r="BE1944" t="inlineStr">
        <is>
          <t>32285000733039</t>
        </is>
      </c>
      <c r="BF1944" t="inlineStr">
        <is>
          <t>893254224</t>
        </is>
      </c>
    </row>
    <row r="1945">
      <c r="A1945" t="inlineStr">
        <is>
          <t>No</t>
        </is>
      </c>
      <c r="B1945" t="inlineStr">
        <is>
          <t>CURAL</t>
        </is>
      </c>
      <c r="C1945" t="inlineStr">
        <is>
          <t>SHELVES</t>
        </is>
      </c>
      <c r="D1945" t="inlineStr">
        <is>
          <t>PR468.S34 C43 1986</t>
        </is>
      </c>
      <c r="E1945" t="inlineStr">
        <is>
          <t>0                      PR 0468000S  34                 C  43          1986</t>
        </is>
      </c>
      <c r="F1945" t="inlineStr">
        <is>
          <t>Science and literature in the nineteenth century / J.A.V. Chapple.</t>
        </is>
      </c>
      <c r="H1945" t="inlineStr">
        <is>
          <t>No</t>
        </is>
      </c>
      <c r="I1945" t="inlineStr">
        <is>
          <t>1</t>
        </is>
      </c>
      <c r="J1945" t="inlineStr">
        <is>
          <t>No</t>
        </is>
      </c>
      <c r="K1945" t="inlineStr">
        <is>
          <t>No</t>
        </is>
      </c>
      <c r="L1945" t="inlineStr">
        <is>
          <t>0</t>
        </is>
      </c>
      <c r="M1945" t="inlineStr">
        <is>
          <t>Chapple, J. A. V.</t>
        </is>
      </c>
      <c r="N1945" t="inlineStr">
        <is>
          <t>London : Macmillan, 1986.</t>
        </is>
      </c>
      <c r="O1945" t="inlineStr">
        <is>
          <t>1986</t>
        </is>
      </c>
      <c r="Q1945" t="inlineStr">
        <is>
          <t>eng</t>
        </is>
      </c>
      <c r="R1945" t="inlineStr">
        <is>
          <t>enk</t>
        </is>
      </c>
      <c r="S1945" t="inlineStr">
        <is>
          <t>Context and commentary</t>
        </is>
      </c>
      <c r="T1945" t="inlineStr">
        <is>
          <t xml:space="preserve">PR </t>
        </is>
      </c>
      <c r="U1945" t="n">
        <v>5</v>
      </c>
      <c r="V1945" t="n">
        <v>5</v>
      </c>
      <c r="W1945" t="inlineStr">
        <is>
          <t>2006-11-21</t>
        </is>
      </c>
      <c r="X1945" t="inlineStr">
        <is>
          <t>2006-11-21</t>
        </is>
      </c>
      <c r="Y1945" t="inlineStr">
        <is>
          <t>1991-08-30</t>
        </is>
      </c>
      <c r="Z1945" t="inlineStr">
        <is>
          <t>1991-08-30</t>
        </is>
      </c>
      <c r="AA1945" t="n">
        <v>527</v>
      </c>
      <c r="AB1945" t="n">
        <v>366</v>
      </c>
      <c r="AC1945" t="n">
        <v>378</v>
      </c>
      <c r="AD1945" t="n">
        <v>4</v>
      </c>
      <c r="AE1945" t="n">
        <v>4</v>
      </c>
      <c r="AF1945" t="n">
        <v>15</v>
      </c>
      <c r="AG1945" t="n">
        <v>16</v>
      </c>
      <c r="AH1945" t="n">
        <v>5</v>
      </c>
      <c r="AI1945" t="n">
        <v>6</v>
      </c>
      <c r="AJ1945" t="n">
        <v>5</v>
      </c>
      <c r="AK1945" t="n">
        <v>5</v>
      </c>
      <c r="AL1945" t="n">
        <v>7</v>
      </c>
      <c r="AM1945" t="n">
        <v>8</v>
      </c>
      <c r="AN1945" t="n">
        <v>3</v>
      </c>
      <c r="AO1945" t="n">
        <v>3</v>
      </c>
      <c r="AP1945" t="n">
        <v>0</v>
      </c>
      <c r="AQ1945" t="n">
        <v>0</v>
      </c>
      <c r="AR1945" t="inlineStr">
        <is>
          <t>No</t>
        </is>
      </c>
      <c r="AS1945" t="inlineStr">
        <is>
          <t>Yes</t>
        </is>
      </c>
      <c r="AT1945">
        <f>HYPERLINK("http://catalog.hathitrust.org/Record/000805931","HathiTrust Record")</f>
        <v/>
      </c>
      <c r="AU1945">
        <f>HYPERLINK("https://creighton-primo.hosted.exlibrisgroup.com/primo-explore/search?tab=default_tab&amp;search_scope=EVERYTHING&amp;vid=01CRU&amp;lang=en_US&amp;offset=0&amp;query=any,contains,991000787989702656","Catalog Record")</f>
        <v/>
      </c>
      <c r="AV1945">
        <f>HYPERLINK("http://www.worldcat.org/oclc/16712006","WorldCat Record")</f>
        <v/>
      </c>
      <c r="AW1945" t="inlineStr">
        <is>
          <t>13336894:eng</t>
        </is>
      </c>
      <c r="AX1945" t="inlineStr">
        <is>
          <t>16712006</t>
        </is>
      </c>
      <c r="AY1945" t="inlineStr">
        <is>
          <t>991000787989702656</t>
        </is>
      </c>
      <c r="AZ1945" t="inlineStr">
        <is>
          <t>991000787989702656</t>
        </is>
      </c>
      <c r="BA1945" t="inlineStr">
        <is>
          <t>2258015730002656</t>
        </is>
      </c>
      <c r="BB1945" t="inlineStr">
        <is>
          <t>BOOK</t>
        </is>
      </c>
      <c r="BD1945" t="inlineStr">
        <is>
          <t>9780333375877</t>
        </is>
      </c>
      <c r="BE1945" t="inlineStr">
        <is>
          <t>32285000733047</t>
        </is>
      </c>
      <c r="BF1945" t="inlineStr">
        <is>
          <t>893620795</t>
        </is>
      </c>
    </row>
    <row r="1946">
      <c r="A1946" t="inlineStr">
        <is>
          <t>No</t>
        </is>
      </c>
      <c r="B1946" t="inlineStr">
        <is>
          <t>CURAL</t>
        </is>
      </c>
      <c r="C1946" t="inlineStr">
        <is>
          <t>SHELVES</t>
        </is>
      </c>
      <c r="D1946" t="inlineStr">
        <is>
          <t>PR468.S34 C67 1982</t>
        </is>
      </c>
      <c r="E1946" t="inlineStr">
        <is>
          <t>0                      PR 0468000S  34                 C  67          1982</t>
        </is>
      </c>
      <c r="F1946" t="inlineStr">
        <is>
          <t>The "scientific movement" and Victorian literature / Tess Cosslett.</t>
        </is>
      </c>
      <c r="H1946" t="inlineStr">
        <is>
          <t>No</t>
        </is>
      </c>
      <c r="I1946" t="inlineStr">
        <is>
          <t>1</t>
        </is>
      </c>
      <c r="J1946" t="inlineStr">
        <is>
          <t>No</t>
        </is>
      </c>
      <c r="K1946" t="inlineStr">
        <is>
          <t>No</t>
        </is>
      </c>
      <c r="L1946" t="inlineStr">
        <is>
          <t>0</t>
        </is>
      </c>
      <c r="M1946" t="inlineStr">
        <is>
          <t>Cosslett, Tess.</t>
        </is>
      </c>
      <c r="N1946" t="inlineStr">
        <is>
          <t>[Brighton], Sussex : Harvester Press ; New York : St. Martin's Press, 1982.</t>
        </is>
      </c>
      <c r="O1946" t="inlineStr">
        <is>
          <t>1982</t>
        </is>
      </c>
      <c r="Q1946" t="inlineStr">
        <is>
          <t>eng</t>
        </is>
      </c>
      <c r="R1946" t="inlineStr">
        <is>
          <t>enk</t>
        </is>
      </c>
      <c r="T1946" t="inlineStr">
        <is>
          <t xml:space="preserve">PR </t>
        </is>
      </c>
      <c r="U1946" t="n">
        <v>5</v>
      </c>
      <c r="V1946" t="n">
        <v>5</v>
      </c>
      <c r="W1946" t="inlineStr">
        <is>
          <t>2003-12-19</t>
        </is>
      </c>
      <c r="X1946" t="inlineStr">
        <is>
          <t>2003-12-19</t>
        </is>
      </c>
      <c r="Y1946" t="inlineStr">
        <is>
          <t>1991-08-30</t>
        </is>
      </c>
      <c r="Z1946" t="inlineStr">
        <is>
          <t>1991-08-30</t>
        </is>
      </c>
      <c r="AA1946" t="n">
        <v>676</v>
      </c>
      <c r="AB1946" t="n">
        <v>513</v>
      </c>
      <c r="AC1946" t="n">
        <v>519</v>
      </c>
      <c r="AD1946" t="n">
        <v>4</v>
      </c>
      <c r="AE1946" t="n">
        <v>4</v>
      </c>
      <c r="AF1946" t="n">
        <v>21</v>
      </c>
      <c r="AG1946" t="n">
        <v>21</v>
      </c>
      <c r="AH1946" t="n">
        <v>8</v>
      </c>
      <c r="AI1946" t="n">
        <v>8</v>
      </c>
      <c r="AJ1946" t="n">
        <v>4</v>
      </c>
      <c r="AK1946" t="n">
        <v>4</v>
      </c>
      <c r="AL1946" t="n">
        <v>12</v>
      </c>
      <c r="AM1946" t="n">
        <v>12</v>
      </c>
      <c r="AN1946" t="n">
        <v>3</v>
      </c>
      <c r="AO1946" t="n">
        <v>3</v>
      </c>
      <c r="AP1946" t="n">
        <v>0</v>
      </c>
      <c r="AQ1946" t="n">
        <v>0</v>
      </c>
      <c r="AR1946" t="inlineStr">
        <is>
          <t>No</t>
        </is>
      </c>
      <c r="AS1946" t="inlineStr">
        <is>
          <t>No</t>
        </is>
      </c>
      <c r="AU1946">
        <f>HYPERLINK("https://creighton-primo.hosted.exlibrisgroup.com/primo-explore/search?tab=default_tab&amp;search_scope=EVERYTHING&amp;vid=01CRU&amp;lang=en_US&amp;offset=0&amp;query=any,contains,991000014389702656","Catalog Record")</f>
        <v/>
      </c>
      <c r="AV1946">
        <f>HYPERLINK("http://www.worldcat.org/oclc/8552056","WorldCat Record")</f>
        <v/>
      </c>
      <c r="AW1946" t="inlineStr">
        <is>
          <t>443945:eng</t>
        </is>
      </c>
      <c r="AX1946" t="inlineStr">
        <is>
          <t>8552056</t>
        </is>
      </c>
      <c r="AY1946" t="inlineStr">
        <is>
          <t>991000014389702656</t>
        </is>
      </c>
      <c r="AZ1946" t="inlineStr">
        <is>
          <t>991000014389702656</t>
        </is>
      </c>
      <c r="BA1946" t="inlineStr">
        <is>
          <t>2259657630002656</t>
        </is>
      </c>
      <c r="BB1946" t="inlineStr">
        <is>
          <t>BOOK</t>
        </is>
      </c>
      <c r="BD1946" t="inlineStr">
        <is>
          <t>9780312702984</t>
        </is>
      </c>
      <c r="BE1946" t="inlineStr">
        <is>
          <t>32285000733054</t>
        </is>
      </c>
      <c r="BF1946" t="inlineStr">
        <is>
          <t>893514923</t>
        </is>
      </c>
    </row>
    <row r="1947">
      <c r="A1947" t="inlineStr">
        <is>
          <t>No</t>
        </is>
      </c>
      <c r="B1947" t="inlineStr">
        <is>
          <t>CURAL</t>
        </is>
      </c>
      <c r="C1947" t="inlineStr">
        <is>
          <t>SHELVES</t>
        </is>
      </c>
      <c r="D1947" t="inlineStr">
        <is>
          <t>PR468.S34 M67 1984</t>
        </is>
      </c>
      <c r="E1947" t="inlineStr">
        <is>
          <t>0                      PR 0468000S  34                 M  67          1984</t>
        </is>
      </c>
      <c r="F1947" t="inlineStr">
        <is>
          <t>The vital science : biology and the literary imagination, 1860-1900 / Peter Morton.</t>
        </is>
      </c>
      <c r="H1947" t="inlineStr">
        <is>
          <t>No</t>
        </is>
      </c>
      <c r="I1947" t="inlineStr">
        <is>
          <t>1</t>
        </is>
      </c>
      <c r="J1947" t="inlineStr">
        <is>
          <t>No</t>
        </is>
      </c>
      <c r="K1947" t="inlineStr">
        <is>
          <t>No</t>
        </is>
      </c>
      <c r="L1947" t="inlineStr">
        <is>
          <t>0</t>
        </is>
      </c>
      <c r="M1947" t="inlineStr">
        <is>
          <t>Morton, Peter, 1946 April 10-</t>
        </is>
      </c>
      <c r="N1947" t="inlineStr">
        <is>
          <t>London ; Boston : Allen &amp; Unwin, 1984.</t>
        </is>
      </c>
      <c r="O1947" t="inlineStr">
        <is>
          <t>1984</t>
        </is>
      </c>
      <c r="Q1947" t="inlineStr">
        <is>
          <t>eng</t>
        </is>
      </c>
      <c r="R1947" t="inlineStr">
        <is>
          <t>enk</t>
        </is>
      </c>
      <c r="T1947" t="inlineStr">
        <is>
          <t xml:space="preserve">PR </t>
        </is>
      </c>
      <c r="U1947" t="n">
        <v>4</v>
      </c>
      <c r="V1947" t="n">
        <v>4</v>
      </c>
      <c r="W1947" t="inlineStr">
        <is>
          <t>2003-12-19</t>
        </is>
      </c>
      <c r="X1947" t="inlineStr">
        <is>
          <t>2003-12-19</t>
        </is>
      </c>
      <c r="Y1947" t="inlineStr">
        <is>
          <t>1991-08-30</t>
        </is>
      </c>
      <c r="Z1947" t="inlineStr">
        <is>
          <t>1991-08-30</t>
        </is>
      </c>
      <c r="AA1947" t="n">
        <v>400</v>
      </c>
      <c r="AB1947" t="n">
        <v>285</v>
      </c>
      <c r="AC1947" t="n">
        <v>311</v>
      </c>
      <c r="AD1947" t="n">
        <v>2</v>
      </c>
      <c r="AE1947" t="n">
        <v>2</v>
      </c>
      <c r="AF1947" t="n">
        <v>8</v>
      </c>
      <c r="AG1947" t="n">
        <v>8</v>
      </c>
      <c r="AH1947" t="n">
        <v>1</v>
      </c>
      <c r="AI1947" t="n">
        <v>1</v>
      </c>
      <c r="AJ1947" t="n">
        <v>2</v>
      </c>
      <c r="AK1947" t="n">
        <v>2</v>
      </c>
      <c r="AL1947" t="n">
        <v>6</v>
      </c>
      <c r="AM1947" t="n">
        <v>6</v>
      </c>
      <c r="AN1947" t="n">
        <v>1</v>
      </c>
      <c r="AO1947" t="n">
        <v>1</v>
      </c>
      <c r="AP1947" t="n">
        <v>0</v>
      </c>
      <c r="AQ1947" t="n">
        <v>0</v>
      </c>
      <c r="AR1947" t="inlineStr">
        <is>
          <t>No</t>
        </is>
      </c>
      <c r="AS1947" t="inlineStr">
        <is>
          <t>No</t>
        </is>
      </c>
      <c r="AU1947">
        <f>HYPERLINK("https://creighton-primo.hosted.exlibrisgroup.com/primo-explore/search?tab=default_tab&amp;search_scope=EVERYTHING&amp;vid=01CRU&amp;lang=en_US&amp;offset=0&amp;query=any,contains,991000428909702656","Catalog Record")</f>
        <v/>
      </c>
      <c r="AV1947">
        <f>HYPERLINK("http://www.worldcat.org/oclc/10777132","WorldCat Record")</f>
        <v/>
      </c>
      <c r="AW1947" t="inlineStr">
        <is>
          <t>863372039:eng</t>
        </is>
      </c>
      <c r="AX1947" t="inlineStr">
        <is>
          <t>10777132</t>
        </is>
      </c>
      <c r="AY1947" t="inlineStr">
        <is>
          <t>991000428909702656</t>
        </is>
      </c>
      <c r="AZ1947" t="inlineStr">
        <is>
          <t>991000428909702656</t>
        </is>
      </c>
      <c r="BA1947" t="inlineStr">
        <is>
          <t>2265395510002656</t>
        </is>
      </c>
      <c r="BB1947" t="inlineStr">
        <is>
          <t>BOOK</t>
        </is>
      </c>
      <c r="BD1947" t="inlineStr">
        <is>
          <t>9780048000255</t>
        </is>
      </c>
      <c r="BE1947" t="inlineStr">
        <is>
          <t>32285000733070</t>
        </is>
      </c>
      <c r="BF1947" t="inlineStr">
        <is>
          <t>893714577</t>
        </is>
      </c>
    </row>
    <row r="1948">
      <c r="A1948" t="inlineStr">
        <is>
          <t>No</t>
        </is>
      </c>
      <c r="B1948" t="inlineStr">
        <is>
          <t>CURAL</t>
        </is>
      </c>
      <c r="C1948" t="inlineStr">
        <is>
          <t>SHELVES</t>
        </is>
      </c>
      <c r="D1948" t="inlineStr">
        <is>
          <t>PR468.S46 K36 1987</t>
        </is>
      </c>
      <c r="E1948" t="inlineStr">
        <is>
          <t>0                      PR 0468000S  46                 K  36          1987</t>
        </is>
      </c>
      <c r="F1948" t="inlineStr">
        <is>
          <t>Sacred tears : sentimentality in Victorian literature / Fred Kaplan.</t>
        </is>
      </c>
      <c r="H1948" t="inlineStr">
        <is>
          <t>No</t>
        </is>
      </c>
      <c r="I1948" t="inlineStr">
        <is>
          <t>1</t>
        </is>
      </c>
      <c r="J1948" t="inlineStr">
        <is>
          <t>No</t>
        </is>
      </c>
      <c r="K1948" t="inlineStr">
        <is>
          <t>No</t>
        </is>
      </c>
      <c r="L1948" t="inlineStr">
        <is>
          <t>0</t>
        </is>
      </c>
      <c r="M1948" t="inlineStr">
        <is>
          <t>Kaplan, Fred, 1937-</t>
        </is>
      </c>
      <c r="N1948" t="inlineStr">
        <is>
          <t>Princeton, N.J. : Princeton University Press, 1987.</t>
        </is>
      </c>
      <c r="O1948" t="inlineStr">
        <is>
          <t>1987</t>
        </is>
      </c>
      <c r="Q1948" t="inlineStr">
        <is>
          <t>eng</t>
        </is>
      </c>
      <c r="R1948" t="inlineStr">
        <is>
          <t>nju</t>
        </is>
      </c>
      <c r="T1948" t="inlineStr">
        <is>
          <t xml:space="preserve">PR </t>
        </is>
      </c>
      <c r="U1948" t="n">
        <v>3</v>
      </c>
      <c r="V1948" t="n">
        <v>3</v>
      </c>
      <c r="W1948" t="inlineStr">
        <is>
          <t>2005-03-21</t>
        </is>
      </c>
      <c r="X1948" t="inlineStr">
        <is>
          <t>2005-03-21</t>
        </is>
      </c>
      <c r="Y1948" t="inlineStr">
        <is>
          <t>1991-08-30</t>
        </is>
      </c>
      <c r="Z1948" t="inlineStr">
        <is>
          <t>1991-08-30</t>
        </is>
      </c>
      <c r="AA1948" t="n">
        <v>542</v>
      </c>
      <c r="AB1948" t="n">
        <v>392</v>
      </c>
      <c r="AC1948" t="n">
        <v>458</v>
      </c>
      <c r="AD1948" t="n">
        <v>4</v>
      </c>
      <c r="AE1948" t="n">
        <v>4</v>
      </c>
      <c r="AF1948" t="n">
        <v>21</v>
      </c>
      <c r="AG1948" t="n">
        <v>23</v>
      </c>
      <c r="AH1948" t="n">
        <v>7</v>
      </c>
      <c r="AI1948" t="n">
        <v>9</v>
      </c>
      <c r="AJ1948" t="n">
        <v>5</v>
      </c>
      <c r="AK1948" t="n">
        <v>5</v>
      </c>
      <c r="AL1948" t="n">
        <v>12</v>
      </c>
      <c r="AM1948" t="n">
        <v>12</v>
      </c>
      <c r="AN1948" t="n">
        <v>3</v>
      </c>
      <c r="AO1948" t="n">
        <v>3</v>
      </c>
      <c r="AP1948" t="n">
        <v>0</v>
      </c>
      <c r="AQ1948" t="n">
        <v>0</v>
      </c>
      <c r="AR1948" t="inlineStr">
        <is>
          <t>No</t>
        </is>
      </c>
      <c r="AS1948" t="inlineStr">
        <is>
          <t>No</t>
        </is>
      </c>
      <c r="AU1948">
        <f>HYPERLINK("https://creighton-primo.hosted.exlibrisgroup.com/primo-explore/search?tab=default_tab&amp;search_scope=EVERYTHING&amp;vid=01CRU&amp;lang=en_US&amp;offset=0&amp;query=any,contains,991000917929702656","Catalog Record")</f>
        <v/>
      </c>
      <c r="AV1948">
        <f>HYPERLINK("http://www.worldcat.org/oclc/14187972","WorldCat Record")</f>
        <v/>
      </c>
      <c r="AW1948" t="inlineStr">
        <is>
          <t>836670517:eng</t>
        </is>
      </c>
      <c r="AX1948" t="inlineStr">
        <is>
          <t>14187972</t>
        </is>
      </c>
      <c r="AY1948" t="inlineStr">
        <is>
          <t>991000917929702656</t>
        </is>
      </c>
      <c r="AZ1948" t="inlineStr">
        <is>
          <t>991000917929702656</t>
        </is>
      </c>
      <c r="BA1948" t="inlineStr">
        <is>
          <t>2260322420002656</t>
        </is>
      </c>
      <c r="BB1948" t="inlineStr">
        <is>
          <t>BOOK</t>
        </is>
      </c>
      <c r="BD1948" t="inlineStr">
        <is>
          <t>9780691067001</t>
        </is>
      </c>
      <c r="BE1948" t="inlineStr">
        <is>
          <t>32285000733088</t>
        </is>
      </c>
      <c r="BF1948" t="inlineStr">
        <is>
          <t>893772110</t>
        </is>
      </c>
    </row>
    <row r="1949">
      <c r="A1949" t="inlineStr">
        <is>
          <t>No</t>
        </is>
      </c>
      <c r="B1949" t="inlineStr">
        <is>
          <t>CURAL</t>
        </is>
      </c>
      <c r="C1949" t="inlineStr">
        <is>
          <t>SHELVES</t>
        </is>
      </c>
      <c r="D1949" t="inlineStr">
        <is>
          <t>PR468.S47 S35 1986</t>
        </is>
      </c>
      <c r="E1949" t="inlineStr">
        <is>
          <t>0                      PR 0468000S  47                 S  35          1986</t>
        </is>
      </c>
      <c r="F1949" t="inlineStr">
        <is>
          <t>Closer to home : writers and places in England, 1780-1830 / Roger Sale.</t>
        </is>
      </c>
      <c r="H1949" t="inlineStr">
        <is>
          <t>No</t>
        </is>
      </c>
      <c r="I1949" t="inlineStr">
        <is>
          <t>1</t>
        </is>
      </c>
      <c r="J1949" t="inlineStr">
        <is>
          <t>No</t>
        </is>
      </c>
      <c r="K1949" t="inlineStr">
        <is>
          <t>No</t>
        </is>
      </c>
      <c r="L1949" t="inlineStr">
        <is>
          <t>0</t>
        </is>
      </c>
      <c r="M1949" t="inlineStr">
        <is>
          <t>Sale, Roger.</t>
        </is>
      </c>
      <c r="N1949" t="inlineStr">
        <is>
          <t>Cambridge, Mass. : Harvard University Press, 1986.</t>
        </is>
      </c>
      <c r="O1949" t="inlineStr">
        <is>
          <t>1986</t>
        </is>
      </c>
      <c r="Q1949" t="inlineStr">
        <is>
          <t>eng</t>
        </is>
      </c>
      <c r="R1949" t="inlineStr">
        <is>
          <t>mau</t>
        </is>
      </c>
      <c r="T1949" t="inlineStr">
        <is>
          <t xml:space="preserve">PR </t>
        </is>
      </c>
      <c r="U1949" t="n">
        <v>2</v>
      </c>
      <c r="V1949" t="n">
        <v>2</v>
      </c>
      <c r="W1949" t="inlineStr">
        <is>
          <t>1997-11-14</t>
        </is>
      </c>
      <c r="X1949" t="inlineStr">
        <is>
          <t>1997-11-14</t>
        </is>
      </c>
      <c r="Y1949" t="inlineStr">
        <is>
          <t>1991-08-30</t>
        </is>
      </c>
      <c r="Z1949" t="inlineStr">
        <is>
          <t>1991-08-30</t>
        </is>
      </c>
      <c r="AA1949" t="n">
        <v>566</v>
      </c>
      <c r="AB1949" t="n">
        <v>481</v>
      </c>
      <c r="AC1949" t="n">
        <v>500</v>
      </c>
      <c r="AD1949" t="n">
        <v>6</v>
      </c>
      <c r="AE1949" t="n">
        <v>6</v>
      </c>
      <c r="AF1949" t="n">
        <v>26</v>
      </c>
      <c r="AG1949" t="n">
        <v>28</v>
      </c>
      <c r="AH1949" t="n">
        <v>8</v>
      </c>
      <c r="AI1949" t="n">
        <v>9</v>
      </c>
      <c r="AJ1949" t="n">
        <v>4</v>
      </c>
      <c r="AK1949" t="n">
        <v>5</v>
      </c>
      <c r="AL1949" t="n">
        <v>16</v>
      </c>
      <c r="AM1949" t="n">
        <v>16</v>
      </c>
      <c r="AN1949" t="n">
        <v>5</v>
      </c>
      <c r="AO1949" t="n">
        <v>5</v>
      </c>
      <c r="AP1949" t="n">
        <v>0</v>
      </c>
      <c r="AQ1949" t="n">
        <v>0</v>
      </c>
      <c r="AR1949" t="inlineStr">
        <is>
          <t>No</t>
        </is>
      </c>
      <c r="AS1949" t="inlineStr">
        <is>
          <t>Yes</t>
        </is>
      </c>
      <c r="AT1949">
        <f>HYPERLINK("http://catalog.hathitrust.org/Record/000596759","HathiTrust Record")</f>
        <v/>
      </c>
      <c r="AU1949">
        <f>HYPERLINK("https://creighton-primo.hosted.exlibrisgroup.com/primo-explore/search?tab=default_tab&amp;search_scope=EVERYTHING&amp;vid=01CRU&amp;lang=en_US&amp;offset=0&amp;query=any,contains,991000854789702656","Catalog Record")</f>
        <v/>
      </c>
      <c r="AV1949">
        <f>HYPERLINK("http://www.worldcat.org/oclc/13643259","WorldCat Record")</f>
        <v/>
      </c>
      <c r="AW1949" t="inlineStr">
        <is>
          <t>836643512:eng</t>
        </is>
      </c>
      <c r="AX1949" t="inlineStr">
        <is>
          <t>13643259</t>
        </is>
      </c>
      <c r="AY1949" t="inlineStr">
        <is>
          <t>991000854789702656</t>
        </is>
      </c>
      <c r="AZ1949" t="inlineStr">
        <is>
          <t>991000854789702656</t>
        </is>
      </c>
      <c r="BA1949" t="inlineStr">
        <is>
          <t>2269678300002656</t>
        </is>
      </c>
      <c r="BB1949" t="inlineStr">
        <is>
          <t>BOOK</t>
        </is>
      </c>
      <c r="BD1949" t="inlineStr">
        <is>
          <t>9780674136250</t>
        </is>
      </c>
      <c r="BE1949" t="inlineStr">
        <is>
          <t>32285000733096</t>
        </is>
      </c>
      <c r="BF1949" t="inlineStr">
        <is>
          <t>893714955</t>
        </is>
      </c>
    </row>
    <row r="1950">
      <c r="A1950" t="inlineStr">
        <is>
          <t>No</t>
        </is>
      </c>
      <c r="B1950" t="inlineStr">
        <is>
          <t>CURAL</t>
        </is>
      </c>
      <c r="C1950" t="inlineStr">
        <is>
          <t>SHELVES</t>
        </is>
      </c>
      <c r="D1950" t="inlineStr">
        <is>
          <t>PR468.S48 R67 2003</t>
        </is>
      </c>
      <c r="E1950" t="inlineStr">
        <is>
          <t>0                      PR 0468000S  48                 R  67          2003</t>
        </is>
      </c>
      <c r="F1950" t="inlineStr">
        <is>
          <t>Unauthorized pleasures : accounts of Victorian erotic experience / Ellen Bayuk Rosenman.</t>
        </is>
      </c>
      <c r="H1950" t="inlineStr">
        <is>
          <t>No</t>
        </is>
      </c>
      <c r="I1950" t="inlineStr">
        <is>
          <t>1</t>
        </is>
      </c>
      <c r="J1950" t="inlineStr">
        <is>
          <t>No</t>
        </is>
      </c>
      <c r="K1950" t="inlineStr">
        <is>
          <t>No</t>
        </is>
      </c>
      <c r="L1950" t="inlineStr">
        <is>
          <t>0</t>
        </is>
      </c>
      <c r="M1950" t="inlineStr">
        <is>
          <t>Rosenman, Ellen Bayuk.</t>
        </is>
      </c>
      <c r="N1950" t="inlineStr">
        <is>
          <t>Ithaca : Cornell University Press, 2003.</t>
        </is>
      </c>
      <c r="O1950" t="inlineStr">
        <is>
          <t>2003</t>
        </is>
      </c>
      <c r="Q1950" t="inlineStr">
        <is>
          <t>eng</t>
        </is>
      </c>
      <c r="R1950" t="inlineStr">
        <is>
          <t>nyu</t>
        </is>
      </c>
      <c r="T1950" t="inlineStr">
        <is>
          <t xml:space="preserve">PR </t>
        </is>
      </c>
      <c r="U1950" t="n">
        <v>1</v>
      </c>
      <c r="V1950" t="n">
        <v>1</v>
      </c>
      <c r="W1950" t="inlineStr">
        <is>
          <t>2005-05-12</t>
        </is>
      </c>
      <c r="X1950" t="inlineStr">
        <is>
          <t>2005-05-12</t>
        </is>
      </c>
      <c r="Y1950" t="inlineStr">
        <is>
          <t>2005-05-12</t>
        </is>
      </c>
      <c r="Z1950" t="inlineStr">
        <is>
          <t>2005-05-12</t>
        </is>
      </c>
      <c r="AA1950" t="n">
        <v>391</v>
      </c>
      <c r="AB1950" t="n">
        <v>320</v>
      </c>
      <c r="AC1950" t="n">
        <v>499</v>
      </c>
      <c r="AD1950" t="n">
        <v>3</v>
      </c>
      <c r="AE1950" t="n">
        <v>3</v>
      </c>
      <c r="AF1950" t="n">
        <v>24</v>
      </c>
      <c r="AG1950" t="n">
        <v>31</v>
      </c>
      <c r="AH1950" t="n">
        <v>11</v>
      </c>
      <c r="AI1950" t="n">
        <v>15</v>
      </c>
      <c r="AJ1950" t="n">
        <v>8</v>
      </c>
      <c r="AK1950" t="n">
        <v>9</v>
      </c>
      <c r="AL1950" t="n">
        <v>12</v>
      </c>
      <c r="AM1950" t="n">
        <v>15</v>
      </c>
      <c r="AN1950" t="n">
        <v>2</v>
      </c>
      <c r="AO1950" t="n">
        <v>2</v>
      </c>
      <c r="AP1950" t="n">
        <v>0</v>
      </c>
      <c r="AQ1950" t="n">
        <v>0</v>
      </c>
      <c r="AR1950" t="inlineStr">
        <is>
          <t>No</t>
        </is>
      </c>
      <c r="AS1950" t="inlineStr">
        <is>
          <t>No</t>
        </is>
      </c>
      <c r="AU1950">
        <f>HYPERLINK("https://creighton-primo.hosted.exlibrisgroup.com/primo-explore/search?tab=default_tab&amp;search_scope=EVERYTHING&amp;vid=01CRU&amp;lang=en_US&amp;offset=0&amp;query=any,contains,991004472759702656","Catalog Record")</f>
        <v/>
      </c>
      <c r="AV1950">
        <f>HYPERLINK("http://www.worldcat.org/oclc/50773287","WorldCat Record")</f>
        <v/>
      </c>
      <c r="AW1950" t="inlineStr">
        <is>
          <t>905363361:eng</t>
        </is>
      </c>
      <c r="AX1950" t="inlineStr">
        <is>
          <t>50773287</t>
        </is>
      </c>
      <c r="AY1950" t="inlineStr">
        <is>
          <t>991004472759702656</t>
        </is>
      </c>
      <c r="AZ1950" t="inlineStr">
        <is>
          <t>991004472759702656</t>
        </is>
      </c>
      <c r="BA1950" t="inlineStr">
        <is>
          <t>2263280760002656</t>
        </is>
      </c>
      <c r="BB1950" t="inlineStr">
        <is>
          <t>BOOK</t>
        </is>
      </c>
      <c r="BD1950" t="inlineStr">
        <is>
          <t>9780801441134</t>
        </is>
      </c>
      <c r="BE1950" t="inlineStr">
        <is>
          <t>32285005037790</t>
        </is>
      </c>
      <c r="BF1950" t="inlineStr">
        <is>
          <t>893442648</t>
        </is>
      </c>
    </row>
    <row r="1951">
      <c r="A1951" t="inlineStr">
        <is>
          <t>No</t>
        </is>
      </c>
      <c r="B1951" t="inlineStr">
        <is>
          <t>CURAL</t>
        </is>
      </c>
      <c r="C1951" t="inlineStr">
        <is>
          <t>SHELVES</t>
        </is>
      </c>
      <c r="D1951" t="inlineStr">
        <is>
          <t>PR468.S55 L44 2002</t>
        </is>
      </c>
      <c r="E1951" t="inlineStr">
        <is>
          <t>0                      PR 0468000S  55                 L  44          2002</t>
        </is>
      </c>
      <c r="F1951" t="inlineStr">
        <is>
          <t>Slavery and the Romantic imagination / Debbie Lee.</t>
        </is>
      </c>
      <c r="H1951" t="inlineStr">
        <is>
          <t>No</t>
        </is>
      </c>
      <c r="I1951" t="inlineStr">
        <is>
          <t>1</t>
        </is>
      </c>
      <c r="J1951" t="inlineStr">
        <is>
          <t>No</t>
        </is>
      </c>
      <c r="K1951" t="inlineStr">
        <is>
          <t>No</t>
        </is>
      </c>
      <c r="L1951" t="inlineStr">
        <is>
          <t>0</t>
        </is>
      </c>
      <c r="M1951" t="inlineStr">
        <is>
          <t>Lee, Debbie.</t>
        </is>
      </c>
      <c r="N1951" t="inlineStr">
        <is>
          <t>Philadelphia : University of Pennsylvania Press, c2002.</t>
        </is>
      </c>
      <c r="O1951" t="inlineStr">
        <is>
          <t>2002</t>
        </is>
      </c>
      <c r="Q1951" t="inlineStr">
        <is>
          <t>eng</t>
        </is>
      </c>
      <c r="R1951" t="inlineStr">
        <is>
          <t>pau</t>
        </is>
      </c>
      <c r="T1951" t="inlineStr">
        <is>
          <t xml:space="preserve">PR </t>
        </is>
      </c>
      <c r="U1951" t="n">
        <v>2</v>
      </c>
      <c r="V1951" t="n">
        <v>2</v>
      </c>
      <c r="W1951" t="inlineStr">
        <is>
          <t>2002-11-12</t>
        </is>
      </c>
      <c r="X1951" t="inlineStr">
        <is>
          <t>2002-11-12</t>
        </is>
      </c>
      <c r="Y1951" t="inlineStr">
        <is>
          <t>2002-03-26</t>
        </is>
      </c>
      <c r="Z1951" t="inlineStr">
        <is>
          <t>2002-03-26</t>
        </is>
      </c>
      <c r="AA1951" t="n">
        <v>638</v>
      </c>
      <c r="AB1951" t="n">
        <v>537</v>
      </c>
      <c r="AC1951" t="n">
        <v>722</v>
      </c>
      <c r="AD1951" t="n">
        <v>3</v>
      </c>
      <c r="AE1951" t="n">
        <v>3</v>
      </c>
      <c r="AF1951" t="n">
        <v>35</v>
      </c>
      <c r="AG1951" t="n">
        <v>38</v>
      </c>
      <c r="AH1951" t="n">
        <v>17</v>
      </c>
      <c r="AI1951" t="n">
        <v>19</v>
      </c>
      <c r="AJ1951" t="n">
        <v>9</v>
      </c>
      <c r="AK1951" t="n">
        <v>10</v>
      </c>
      <c r="AL1951" t="n">
        <v>19</v>
      </c>
      <c r="AM1951" t="n">
        <v>20</v>
      </c>
      <c r="AN1951" t="n">
        <v>2</v>
      </c>
      <c r="AO1951" t="n">
        <v>2</v>
      </c>
      <c r="AP1951" t="n">
        <v>0</v>
      </c>
      <c r="AQ1951" t="n">
        <v>0</v>
      </c>
      <c r="AR1951" t="inlineStr">
        <is>
          <t>No</t>
        </is>
      </c>
      <c r="AS1951" t="inlineStr">
        <is>
          <t>Yes</t>
        </is>
      </c>
      <c r="AT1951">
        <f>HYPERLINK("http://catalog.hathitrust.org/Record/004234083","HathiTrust Record")</f>
        <v/>
      </c>
      <c r="AU1951">
        <f>HYPERLINK("https://creighton-primo.hosted.exlibrisgroup.com/primo-explore/search?tab=default_tab&amp;search_scope=EVERYTHING&amp;vid=01CRU&amp;lang=en_US&amp;offset=0&amp;query=any,contains,991003751039702656","Catalog Record")</f>
        <v/>
      </c>
      <c r="AV1951">
        <f>HYPERLINK("http://www.worldcat.org/oclc/47650836","WorldCat Record")</f>
        <v/>
      </c>
      <c r="AW1951" t="inlineStr">
        <is>
          <t>14380339:eng</t>
        </is>
      </c>
      <c r="AX1951" t="inlineStr">
        <is>
          <t>47650836</t>
        </is>
      </c>
      <c r="AY1951" t="inlineStr">
        <is>
          <t>991003751039702656</t>
        </is>
      </c>
      <c r="AZ1951" t="inlineStr">
        <is>
          <t>991003751039702656</t>
        </is>
      </c>
      <c r="BA1951" t="inlineStr">
        <is>
          <t>2260023550002656</t>
        </is>
      </c>
      <c r="BB1951" t="inlineStr">
        <is>
          <t>BOOK</t>
        </is>
      </c>
      <c r="BD1951" t="inlineStr">
        <is>
          <t>9780812236361</t>
        </is>
      </c>
      <c r="BE1951" t="inlineStr">
        <is>
          <t>32285004464680</t>
        </is>
      </c>
      <c r="BF1951" t="inlineStr">
        <is>
          <t>893881496</t>
        </is>
      </c>
    </row>
    <row r="1952">
      <c r="A1952" t="inlineStr">
        <is>
          <t>No</t>
        </is>
      </c>
      <c r="B1952" t="inlineStr">
        <is>
          <t>CURAL</t>
        </is>
      </c>
      <c r="C1952" t="inlineStr">
        <is>
          <t>SHELVES</t>
        </is>
      </c>
      <c r="D1952" t="inlineStr">
        <is>
          <t>PR468.S68 P53 2003</t>
        </is>
      </c>
      <c r="E1952" t="inlineStr">
        <is>
          <t>0                      PR 0468000S  68                 P  53          2003</t>
        </is>
      </c>
      <c r="F1952" t="inlineStr">
        <is>
          <t>Victorian soundscapes / John M. Picker.</t>
        </is>
      </c>
      <c r="H1952" t="inlineStr">
        <is>
          <t>No</t>
        </is>
      </c>
      <c r="I1952" t="inlineStr">
        <is>
          <t>1</t>
        </is>
      </c>
      <c r="J1952" t="inlineStr">
        <is>
          <t>No</t>
        </is>
      </c>
      <c r="K1952" t="inlineStr">
        <is>
          <t>No</t>
        </is>
      </c>
      <c r="L1952" t="inlineStr">
        <is>
          <t>0</t>
        </is>
      </c>
      <c r="M1952" t="inlineStr">
        <is>
          <t>Picker, John M., 1970-</t>
        </is>
      </c>
      <c r="N1952" t="inlineStr">
        <is>
          <t>New York : Oxford University Press, c2003.</t>
        </is>
      </c>
      <c r="O1952" t="inlineStr">
        <is>
          <t>2003</t>
        </is>
      </c>
      <c r="Q1952" t="inlineStr">
        <is>
          <t>eng</t>
        </is>
      </c>
      <c r="R1952" t="inlineStr">
        <is>
          <t>nyu</t>
        </is>
      </c>
      <c r="T1952" t="inlineStr">
        <is>
          <t xml:space="preserve">PR </t>
        </is>
      </c>
      <c r="U1952" t="n">
        <v>1</v>
      </c>
      <c r="V1952" t="n">
        <v>1</v>
      </c>
      <c r="W1952" t="inlineStr">
        <is>
          <t>2005-01-17</t>
        </is>
      </c>
      <c r="X1952" t="inlineStr">
        <is>
          <t>2005-01-17</t>
        </is>
      </c>
      <c r="Y1952" t="inlineStr">
        <is>
          <t>2005-01-17</t>
        </is>
      </c>
      <c r="Z1952" t="inlineStr">
        <is>
          <t>2005-01-17</t>
        </is>
      </c>
      <c r="AA1952" t="n">
        <v>422</v>
      </c>
      <c r="AB1952" t="n">
        <v>322</v>
      </c>
      <c r="AC1952" t="n">
        <v>892</v>
      </c>
      <c r="AD1952" t="n">
        <v>4</v>
      </c>
      <c r="AE1952" t="n">
        <v>20</v>
      </c>
      <c r="AF1952" t="n">
        <v>19</v>
      </c>
      <c r="AG1952" t="n">
        <v>43</v>
      </c>
      <c r="AH1952" t="n">
        <v>8</v>
      </c>
      <c r="AI1952" t="n">
        <v>15</v>
      </c>
      <c r="AJ1952" t="n">
        <v>5</v>
      </c>
      <c r="AK1952" t="n">
        <v>9</v>
      </c>
      <c r="AL1952" t="n">
        <v>10</v>
      </c>
      <c r="AM1952" t="n">
        <v>14</v>
      </c>
      <c r="AN1952" t="n">
        <v>3</v>
      </c>
      <c r="AO1952" t="n">
        <v>12</v>
      </c>
      <c r="AP1952" t="n">
        <v>0</v>
      </c>
      <c r="AQ1952" t="n">
        <v>1</v>
      </c>
      <c r="AR1952" t="inlineStr">
        <is>
          <t>No</t>
        </is>
      </c>
      <c r="AS1952" t="inlineStr">
        <is>
          <t>No</t>
        </is>
      </c>
      <c r="AU1952">
        <f>HYPERLINK("https://creighton-primo.hosted.exlibrisgroup.com/primo-explore/search?tab=default_tab&amp;search_scope=EVERYTHING&amp;vid=01CRU&amp;lang=en_US&amp;offset=0&amp;query=any,contains,991004411989702656","Catalog Record")</f>
        <v/>
      </c>
      <c r="AV1952">
        <f>HYPERLINK("http://www.worldcat.org/oclc/50725369","WorldCat Record")</f>
        <v/>
      </c>
      <c r="AW1952" t="inlineStr">
        <is>
          <t>661722:eng</t>
        </is>
      </c>
      <c r="AX1952" t="inlineStr">
        <is>
          <t>50725369</t>
        </is>
      </c>
      <c r="AY1952" t="inlineStr">
        <is>
          <t>991004411989702656</t>
        </is>
      </c>
      <c r="AZ1952" t="inlineStr">
        <is>
          <t>991004411989702656</t>
        </is>
      </c>
      <c r="BA1952" t="inlineStr">
        <is>
          <t>2258401070002656</t>
        </is>
      </c>
      <c r="BB1952" t="inlineStr">
        <is>
          <t>BOOK</t>
        </is>
      </c>
      <c r="BD1952" t="inlineStr">
        <is>
          <t>9780195151909</t>
        </is>
      </c>
      <c r="BE1952" t="inlineStr">
        <is>
          <t>32285005021281</t>
        </is>
      </c>
      <c r="BF1952" t="inlineStr">
        <is>
          <t>893247560</t>
        </is>
      </c>
    </row>
    <row r="1953">
      <c r="A1953" t="inlineStr">
        <is>
          <t>No</t>
        </is>
      </c>
      <c r="B1953" t="inlineStr">
        <is>
          <t>CURAL</t>
        </is>
      </c>
      <c r="C1953" t="inlineStr">
        <is>
          <t>SHELVES</t>
        </is>
      </c>
      <c r="D1953" t="inlineStr">
        <is>
          <t>PR468.S83 S86 1989</t>
        </is>
      </c>
      <c r="E1953" t="inlineStr">
        <is>
          <t>0                      PR 0468000S  83                 S  86          1989</t>
        </is>
      </c>
      <c r="F1953" t="inlineStr">
        <is>
          <t>The sun is God : painting, literature, and mythology in the nineteenth century / edited by J.B. Bullen.</t>
        </is>
      </c>
      <c r="H1953" t="inlineStr">
        <is>
          <t>No</t>
        </is>
      </c>
      <c r="I1953" t="inlineStr">
        <is>
          <t>1</t>
        </is>
      </c>
      <c r="J1953" t="inlineStr">
        <is>
          <t>No</t>
        </is>
      </c>
      <c r="K1953" t="inlineStr">
        <is>
          <t>No</t>
        </is>
      </c>
      <c r="L1953" t="inlineStr">
        <is>
          <t>0</t>
        </is>
      </c>
      <c r="N1953" t="inlineStr">
        <is>
          <t>Oxford [England] : Clarendon Press ; New York : Oxford University Press, 1989.</t>
        </is>
      </c>
      <c r="O1953" t="inlineStr">
        <is>
          <t>1989</t>
        </is>
      </c>
      <c r="Q1953" t="inlineStr">
        <is>
          <t>eng</t>
        </is>
      </c>
      <c r="R1953" t="inlineStr">
        <is>
          <t>enk</t>
        </is>
      </c>
      <c r="T1953" t="inlineStr">
        <is>
          <t xml:space="preserve">PR </t>
        </is>
      </c>
      <c r="U1953" t="n">
        <v>4</v>
      </c>
      <c r="V1953" t="n">
        <v>4</v>
      </c>
      <c r="W1953" t="inlineStr">
        <is>
          <t>1997-11-19</t>
        </is>
      </c>
      <c r="X1953" t="inlineStr">
        <is>
          <t>1997-11-19</t>
        </is>
      </c>
      <c r="Y1953" t="inlineStr">
        <is>
          <t>1989-11-17</t>
        </is>
      </c>
      <c r="Z1953" t="inlineStr">
        <is>
          <t>1989-11-17</t>
        </is>
      </c>
      <c r="AA1953" t="n">
        <v>389</v>
      </c>
      <c r="AB1953" t="n">
        <v>263</v>
      </c>
      <c r="AC1953" t="n">
        <v>265</v>
      </c>
      <c r="AD1953" t="n">
        <v>4</v>
      </c>
      <c r="AE1953" t="n">
        <v>4</v>
      </c>
      <c r="AF1953" t="n">
        <v>15</v>
      </c>
      <c r="AG1953" t="n">
        <v>15</v>
      </c>
      <c r="AH1953" t="n">
        <v>2</v>
      </c>
      <c r="AI1953" t="n">
        <v>2</v>
      </c>
      <c r="AJ1953" t="n">
        <v>5</v>
      </c>
      <c r="AK1953" t="n">
        <v>5</v>
      </c>
      <c r="AL1953" t="n">
        <v>10</v>
      </c>
      <c r="AM1953" t="n">
        <v>10</v>
      </c>
      <c r="AN1953" t="n">
        <v>3</v>
      </c>
      <c r="AO1953" t="n">
        <v>3</v>
      </c>
      <c r="AP1953" t="n">
        <v>0</v>
      </c>
      <c r="AQ1953" t="n">
        <v>0</v>
      </c>
      <c r="AR1953" t="inlineStr">
        <is>
          <t>No</t>
        </is>
      </c>
      <c r="AS1953" t="inlineStr">
        <is>
          <t>Yes</t>
        </is>
      </c>
      <c r="AT1953">
        <f>HYPERLINK("http://catalog.hathitrust.org/Record/001098129","HathiTrust Record")</f>
        <v/>
      </c>
      <c r="AU1953">
        <f>HYPERLINK("https://creighton-primo.hosted.exlibrisgroup.com/primo-explore/search?tab=default_tab&amp;search_scope=EVERYTHING&amp;vid=01CRU&amp;lang=en_US&amp;offset=0&amp;query=any,contains,991001297729702656","Catalog Record")</f>
        <v/>
      </c>
      <c r="AV1953">
        <f>HYPERLINK("http://www.worldcat.org/oclc/18050665","WorldCat Record")</f>
        <v/>
      </c>
      <c r="AW1953" t="inlineStr">
        <is>
          <t>808263977:eng</t>
        </is>
      </c>
      <c r="AX1953" t="inlineStr">
        <is>
          <t>18050665</t>
        </is>
      </c>
      <c r="AY1953" t="inlineStr">
        <is>
          <t>991001297729702656</t>
        </is>
      </c>
      <c r="AZ1953" t="inlineStr">
        <is>
          <t>991001297729702656</t>
        </is>
      </c>
      <c r="BA1953" t="inlineStr">
        <is>
          <t>2268539950002656</t>
        </is>
      </c>
      <c r="BB1953" t="inlineStr">
        <is>
          <t>BOOK</t>
        </is>
      </c>
      <c r="BD1953" t="inlineStr">
        <is>
          <t>9780198128847</t>
        </is>
      </c>
      <c r="BE1953" t="inlineStr">
        <is>
          <t>32285000014448</t>
        </is>
      </c>
      <c r="BF1953" t="inlineStr">
        <is>
          <t>893897687</t>
        </is>
      </c>
    </row>
    <row r="1954">
      <c r="A1954" t="inlineStr">
        <is>
          <t>No</t>
        </is>
      </c>
      <c r="B1954" t="inlineStr">
        <is>
          <t>CURAL</t>
        </is>
      </c>
      <c r="C1954" t="inlineStr">
        <is>
          <t>SHELVES</t>
        </is>
      </c>
      <c r="D1954" t="inlineStr">
        <is>
          <t>PR468.T4 S8</t>
        </is>
      </c>
      <c r="E1954" t="inlineStr">
        <is>
          <t>0                      PR 0468000T  4                  S  8</t>
        </is>
      </c>
      <c r="F1954" t="inlineStr">
        <is>
          <t>Victorians and the machine : the literary response to technology / by Herbert L. Sussman.</t>
        </is>
      </c>
      <c r="H1954" t="inlineStr">
        <is>
          <t>No</t>
        </is>
      </c>
      <c r="I1954" t="inlineStr">
        <is>
          <t>1</t>
        </is>
      </c>
      <c r="J1954" t="inlineStr">
        <is>
          <t>No</t>
        </is>
      </c>
      <c r="K1954" t="inlineStr">
        <is>
          <t>No</t>
        </is>
      </c>
      <c r="L1954" t="inlineStr">
        <is>
          <t>0</t>
        </is>
      </c>
      <c r="M1954" t="inlineStr">
        <is>
          <t>Sussman, Herbert L.</t>
        </is>
      </c>
      <c r="N1954" t="inlineStr">
        <is>
          <t>Cambridge, Mass. : Harvard University Press, 1968.</t>
        </is>
      </c>
      <c r="O1954" t="inlineStr">
        <is>
          <t>1968</t>
        </is>
      </c>
      <c r="Q1954" t="inlineStr">
        <is>
          <t>eng</t>
        </is>
      </c>
      <c r="R1954" t="inlineStr">
        <is>
          <t>mau</t>
        </is>
      </c>
      <c r="T1954" t="inlineStr">
        <is>
          <t xml:space="preserve">PR </t>
        </is>
      </c>
      <c r="U1954" t="n">
        <v>2</v>
      </c>
      <c r="V1954" t="n">
        <v>2</v>
      </c>
      <c r="W1954" t="inlineStr">
        <is>
          <t>1995-10-29</t>
        </is>
      </c>
      <c r="X1954" t="inlineStr">
        <is>
          <t>1995-10-29</t>
        </is>
      </c>
      <c r="Y1954" t="inlineStr">
        <is>
          <t>1991-08-30</t>
        </is>
      </c>
      <c r="Z1954" t="inlineStr">
        <is>
          <t>1991-08-30</t>
        </is>
      </c>
      <c r="AA1954" t="n">
        <v>1140</v>
      </c>
      <c r="AB1954" t="n">
        <v>967</v>
      </c>
      <c r="AC1954" t="n">
        <v>985</v>
      </c>
      <c r="AD1954" t="n">
        <v>9</v>
      </c>
      <c r="AE1954" t="n">
        <v>9</v>
      </c>
      <c r="AF1954" t="n">
        <v>49</v>
      </c>
      <c r="AG1954" t="n">
        <v>49</v>
      </c>
      <c r="AH1954" t="n">
        <v>19</v>
      </c>
      <c r="AI1954" t="n">
        <v>19</v>
      </c>
      <c r="AJ1954" t="n">
        <v>9</v>
      </c>
      <c r="AK1954" t="n">
        <v>9</v>
      </c>
      <c r="AL1954" t="n">
        <v>23</v>
      </c>
      <c r="AM1954" t="n">
        <v>23</v>
      </c>
      <c r="AN1954" t="n">
        <v>8</v>
      </c>
      <c r="AO1954" t="n">
        <v>8</v>
      </c>
      <c r="AP1954" t="n">
        <v>0</v>
      </c>
      <c r="AQ1954" t="n">
        <v>0</v>
      </c>
      <c r="AR1954" t="inlineStr">
        <is>
          <t>No</t>
        </is>
      </c>
      <c r="AS1954" t="inlineStr">
        <is>
          <t>Yes</t>
        </is>
      </c>
      <c r="AT1954">
        <f>HYPERLINK("http://catalog.hathitrust.org/Record/001010599","HathiTrust Record")</f>
        <v/>
      </c>
      <c r="AU1954">
        <f>HYPERLINK("https://creighton-primo.hosted.exlibrisgroup.com/primo-explore/search?tab=default_tab&amp;search_scope=EVERYTHING&amp;vid=01CRU&amp;lang=en_US&amp;offset=0&amp;query=any,contains,991002439479702656","Catalog Record")</f>
        <v/>
      </c>
      <c r="AV1954">
        <f>HYPERLINK("http://www.worldcat.org/oclc/349730","WorldCat Record")</f>
        <v/>
      </c>
      <c r="AW1954" t="inlineStr">
        <is>
          <t>1510309:eng</t>
        </is>
      </c>
      <c r="AX1954" t="inlineStr">
        <is>
          <t>349730</t>
        </is>
      </c>
      <c r="AY1954" t="inlineStr">
        <is>
          <t>991002439479702656</t>
        </is>
      </c>
      <c r="AZ1954" t="inlineStr">
        <is>
          <t>991002439479702656</t>
        </is>
      </c>
      <c r="BA1954" t="inlineStr">
        <is>
          <t>2267173830002656</t>
        </is>
      </c>
      <c r="BB1954" t="inlineStr">
        <is>
          <t>BOOK</t>
        </is>
      </c>
      <c r="BE1954" t="inlineStr">
        <is>
          <t>32285000733146</t>
        </is>
      </c>
      <c r="BF1954" t="inlineStr">
        <is>
          <t>893523614</t>
        </is>
      </c>
    </row>
    <row r="1955">
      <c r="A1955" t="inlineStr">
        <is>
          <t>No</t>
        </is>
      </c>
      <c r="B1955" t="inlineStr">
        <is>
          <t>CURAL</t>
        </is>
      </c>
      <c r="C1955" t="inlineStr">
        <is>
          <t>SHELVES</t>
        </is>
      </c>
      <c r="D1955" t="inlineStr">
        <is>
          <t>PR4681 .H27</t>
        </is>
      </c>
      <c r="E1955" t="inlineStr">
        <is>
          <t>0                      PR 4681000H  27</t>
        </is>
      </c>
      <c r="F1955" t="inlineStr">
        <is>
          <t>George Eliot; a biography [by] Gordon S. Haight.</t>
        </is>
      </c>
      <c r="H1955" t="inlineStr">
        <is>
          <t>No</t>
        </is>
      </c>
      <c r="I1955" t="inlineStr">
        <is>
          <t>1</t>
        </is>
      </c>
      <c r="J1955" t="inlineStr">
        <is>
          <t>No</t>
        </is>
      </c>
      <c r="K1955" t="inlineStr">
        <is>
          <t>No</t>
        </is>
      </c>
      <c r="L1955" t="inlineStr">
        <is>
          <t>0</t>
        </is>
      </c>
      <c r="M1955" t="inlineStr">
        <is>
          <t>Haight, Gordon Sherman.</t>
        </is>
      </c>
      <c r="N1955" t="inlineStr">
        <is>
          <t>New York, Oxford University Press [1968]</t>
        </is>
      </c>
      <c r="O1955" t="inlineStr">
        <is>
          <t>1968</t>
        </is>
      </c>
      <c r="Q1955" t="inlineStr">
        <is>
          <t>eng</t>
        </is>
      </c>
      <c r="R1955" t="inlineStr">
        <is>
          <t>nyu</t>
        </is>
      </c>
      <c r="T1955" t="inlineStr">
        <is>
          <t xml:space="preserve">PR </t>
        </is>
      </c>
      <c r="U1955" t="n">
        <v>2</v>
      </c>
      <c r="V1955" t="n">
        <v>2</v>
      </c>
      <c r="W1955" t="inlineStr">
        <is>
          <t>2010-12-05</t>
        </is>
      </c>
      <c r="X1955" t="inlineStr">
        <is>
          <t>2010-12-05</t>
        </is>
      </c>
      <c r="Y1955" t="inlineStr">
        <is>
          <t>1997-07-14</t>
        </is>
      </c>
      <c r="Z1955" t="inlineStr">
        <is>
          <t>1997-07-14</t>
        </is>
      </c>
      <c r="AA1955" t="n">
        <v>1541</v>
      </c>
      <c r="AB1955" t="n">
        <v>1472</v>
      </c>
      <c r="AC1955" t="n">
        <v>1639</v>
      </c>
      <c r="AD1955" t="n">
        <v>12</v>
      </c>
      <c r="AE1955" t="n">
        <v>12</v>
      </c>
      <c r="AF1955" t="n">
        <v>51</v>
      </c>
      <c r="AG1955" t="n">
        <v>53</v>
      </c>
      <c r="AH1955" t="n">
        <v>22</v>
      </c>
      <c r="AI1955" t="n">
        <v>23</v>
      </c>
      <c r="AJ1955" t="n">
        <v>11</v>
      </c>
      <c r="AK1955" t="n">
        <v>11</v>
      </c>
      <c r="AL1955" t="n">
        <v>22</v>
      </c>
      <c r="AM1955" t="n">
        <v>23</v>
      </c>
      <c r="AN1955" t="n">
        <v>9</v>
      </c>
      <c r="AO1955" t="n">
        <v>9</v>
      </c>
      <c r="AP1955" t="n">
        <v>0</v>
      </c>
      <c r="AQ1955" t="n">
        <v>0</v>
      </c>
      <c r="AR1955" t="inlineStr">
        <is>
          <t>No</t>
        </is>
      </c>
      <c r="AS1955" t="inlineStr">
        <is>
          <t>Yes</t>
        </is>
      </c>
      <c r="AT1955">
        <f>HYPERLINK("http://catalog.hathitrust.org/Record/001023677","HathiTrust Record")</f>
        <v/>
      </c>
      <c r="AU1955">
        <f>HYPERLINK("https://creighton-primo.hosted.exlibrisgroup.com/primo-explore/search?tab=default_tab&amp;search_scope=EVERYTHING&amp;vid=01CRU&amp;lang=en_US&amp;offset=0&amp;query=any,contains,991002767849702656","Catalog Record")</f>
        <v/>
      </c>
      <c r="AV1955">
        <f>HYPERLINK("http://www.worldcat.org/oclc/435690","WorldCat Record")</f>
        <v/>
      </c>
      <c r="AW1955" t="inlineStr">
        <is>
          <t>2865658661:eng</t>
        </is>
      </c>
      <c r="AX1955" t="inlineStr">
        <is>
          <t>435690</t>
        </is>
      </c>
      <c r="AY1955" t="inlineStr">
        <is>
          <t>991002767849702656</t>
        </is>
      </c>
      <c r="AZ1955" t="inlineStr">
        <is>
          <t>991002767849702656</t>
        </is>
      </c>
      <c r="BA1955" t="inlineStr">
        <is>
          <t>2269367590002656</t>
        </is>
      </c>
      <c r="BB1955" t="inlineStr">
        <is>
          <t>BOOK</t>
        </is>
      </c>
      <c r="BE1955" t="inlineStr">
        <is>
          <t>32285002893138</t>
        </is>
      </c>
      <c r="BF1955" t="inlineStr">
        <is>
          <t>893498511</t>
        </is>
      </c>
    </row>
    <row r="1956">
      <c r="A1956" t="inlineStr">
        <is>
          <t>No</t>
        </is>
      </c>
      <c r="B1956" t="inlineStr">
        <is>
          <t>CURAL</t>
        </is>
      </c>
      <c r="C1956" t="inlineStr">
        <is>
          <t>SHELVES</t>
        </is>
      </c>
      <c r="D1956" t="inlineStr">
        <is>
          <t>PR4681 .H84 1999</t>
        </is>
      </c>
      <c r="E1956" t="inlineStr">
        <is>
          <t>0                      PR 4681000H  84          1999</t>
        </is>
      </c>
      <c r="F1956" t="inlineStr">
        <is>
          <t>George Eliot : the last Victorian / Kathryn Hughes.</t>
        </is>
      </c>
      <c r="H1956" t="inlineStr">
        <is>
          <t>No</t>
        </is>
      </c>
      <c r="I1956" t="inlineStr">
        <is>
          <t>1</t>
        </is>
      </c>
      <c r="J1956" t="inlineStr">
        <is>
          <t>No</t>
        </is>
      </c>
      <c r="K1956" t="inlineStr">
        <is>
          <t>No</t>
        </is>
      </c>
      <c r="L1956" t="inlineStr">
        <is>
          <t>0</t>
        </is>
      </c>
      <c r="M1956" t="inlineStr">
        <is>
          <t>Hughes, Kathryn, 1959-</t>
        </is>
      </c>
      <c r="N1956" t="inlineStr">
        <is>
          <t>New York : Farrar Straus Giroux, 1999.</t>
        </is>
      </c>
      <c r="O1956" t="inlineStr">
        <is>
          <t>1999</t>
        </is>
      </c>
      <c r="P1956" t="inlineStr">
        <is>
          <t>1st Farrar, Straus, and Giroux ed.</t>
        </is>
      </c>
      <c r="Q1956" t="inlineStr">
        <is>
          <t>eng</t>
        </is>
      </c>
      <c r="R1956" t="inlineStr">
        <is>
          <t>nyu</t>
        </is>
      </c>
      <c r="T1956" t="inlineStr">
        <is>
          <t xml:space="preserve">PR </t>
        </is>
      </c>
      <c r="U1956" t="n">
        <v>5</v>
      </c>
      <c r="V1956" t="n">
        <v>5</v>
      </c>
      <c r="W1956" t="inlineStr">
        <is>
          <t>2010-12-08</t>
        </is>
      </c>
      <c r="X1956" t="inlineStr">
        <is>
          <t>2010-12-08</t>
        </is>
      </c>
      <c r="Y1956" t="inlineStr">
        <is>
          <t>1999-08-03</t>
        </is>
      </c>
      <c r="Z1956" t="inlineStr">
        <is>
          <t>1999-08-03</t>
        </is>
      </c>
      <c r="AA1956" t="n">
        <v>1021</v>
      </c>
      <c r="AB1956" t="n">
        <v>970</v>
      </c>
      <c r="AC1956" t="n">
        <v>1102</v>
      </c>
      <c r="AD1956" t="n">
        <v>9</v>
      </c>
      <c r="AE1956" t="n">
        <v>9</v>
      </c>
      <c r="AF1956" t="n">
        <v>42</v>
      </c>
      <c r="AG1956" t="n">
        <v>44</v>
      </c>
      <c r="AH1956" t="n">
        <v>16</v>
      </c>
      <c r="AI1956" t="n">
        <v>17</v>
      </c>
      <c r="AJ1956" t="n">
        <v>9</v>
      </c>
      <c r="AK1956" t="n">
        <v>10</v>
      </c>
      <c r="AL1956" t="n">
        <v>21</v>
      </c>
      <c r="AM1956" t="n">
        <v>22</v>
      </c>
      <c r="AN1956" t="n">
        <v>7</v>
      </c>
      <c r="AO1956" t="n">
        <v>7</v>
      </c>
      <c r="AP1956" t="n">
        <v>0</v>
      </c>
      <c r="AQ1956" t="n">
        <v>0</v>
      </c>
      <c r="AR1956" t="inlineStr">
        <is>
          <t>No</t>
        </is>
      </c>
      <c r="AS1956" t="inlineStr">
        <is>
          <t>No</t>
        </is>
      </c>
      <c r="AU1956">
        <f>HYPERLINK("https://creighton-primo.hosted.exlibrisgroup.com/primo-explore/search?tab=default_tab&amp;search_scope=EVERYTHING&amp;vid=01CRU&amp;lang=en_US&amp;offset=0&amp;query=any,contains,991002970649702656","Catalog Record")</f>
        <v/>
      </c>
      <c r="AV1956">
        <f>HYPERLINK("http://www.worldcat.org/oclc/39765527","WorldCat Record")</f>
        <v/>
      </c>
      <c r="AW1956" t="inlineStr">
        <is>
          <t>796321982:eng</t>
        </is>
      </c>
      <c r="AX1956" t="inlineStr">
        <is>
          <t>39765527</t>
        </is>
      </c>
      <c r="AY1956" t="inlineStr">
        <is>
          <t>991002970649702656</t>
        </is>
      </c>
      <c r="AZ1956" t="inlineStr">
        <is>
          <t>991002970649702656</t>
        </is>
      </c>
      <c r="BA1956" t="inlineStr">
        <is>
          <t>2264755170002656</t>
        </is>
      </c>
      <c r="BB1956" t="inlineStr">
        <is>
          <t>BOOK</t>
        </is>
      </c>
      <c r="BD1956" t="inlineStr">
        <is>
          <t>9780374161385</t>
        </is>
      </c>
      <c r="BE1956" t="inlineStr">
        <is>
          <t>32285003579868</t>
        </is>
      </c>
      <c r="BF1956" t="inlineStr">
        <is>
          <t>893899471</t>
        </is>
      </c>
    </row>
    <row r="1957">
      <c r="A1957" t="inlineStr">
        <is>
          <t>No</t>
        </is>
      </c>
      <c r="B1957" t="inlineStr">
        <is>
          <t>CURAL</t>
        </is>
      </c>
      <c r="C1957" t="inlineStr">
        <is>
          <t>SHELVES</t>
        </is>
      </c>
      <c r="D1957" t="inlineStr">
        <is>
          <t>PR4681 .J6</t>
        </is>
      </c>
      <c r="E1957" t="inlineStr">
        <is>
          <t>0                      PR 4681000J  6</t>
        </is>
      </c>
      <c r="F1957" t="inlineStr">
        <is>
          <t>George Eliot, by R. T. Jones.</t>
        </is>
      </c>
      <c r="H1957" t="inlineStr">
        <is>
          <t>No</t>
        </is>
      </c>
      <c r="I1957" t="inlineStr">
        <is>
          <t>1</t>
        </is>
      </c>
      <c r="J1957" t="inlineStr">
        <is>
          <t>No</t>
        </is>
      </c>
      <c r="K1957" t="inlineStr">
        <is>
          <t>No</t>
        </is>
      </c>
      <c r="L1957" t="inlineStr">
        <is>
          <t>0</t>
        </is>
      </c>
      <c r="M1957" t="inlineStr">
        <is>
          <t>Jones, R. T. (Robert Tudor)</t>
        </is>
      </c>
      <c r="N1957" t="inlineStr">
        <is>
          <t>Cambridge [Eng.] University Press, 1970.</t>
        </is>
      </c>
      <c r="O1957" t="inlineStr">
        <is>
          <t>1970</t>
        </is>
      </c>
      <c r="Q1957" t="inlineStr">
        <is>
          <t>eng</t>
        </is>
      </c>
      <c r="R1957" t="inlineStr">
        <is>
          <t>enk</t>
        </is>
      </c>
      <c r="S1957" t="inlineStr">
        <is>
          <t>British authors, introductory critical studies</t>
        </is>
      </c>
      <c r="T1957" t="inlineStr">
        <is>
          <t xml:space="preserve">PR </t>
        </is>
      </c>
      <c r="U1957" t="n">
        <v>1</v>
      </c>
      <c r="V1957" t="n">
        <v>1</v>
      </c>
      <c r="W1957" t="inlineStr">
        <is>
          <t>2005-07-06</t>
        </is>
      </c>
      <c r="X1957" t="inlineStr">
        <is>
          <t>2005-07-06</t>
        </is>
      </c>
      <c r="Y1957" t="inlineStr">
        <is>
          <t>1997-07-14</t>
        </is>
      </c>
      <c r="Z1957" t="inlineStr">
        <is>
          <t>1997-07-14</t>
        </is>
      </c>
      <c r="AA1957" t="n">
        <v>810</v>
      </c>
      <c r="AB1957" t="n">
        <v>579</v>
      </c>
      <c r="AC1957" t="n">
        <v>587</v>
      </c>
      <c r="AD1957" t="n">
        <v>5</v>
      </c>
      <c r="AE1957" t="n">
        <v>5</v>
      </c>
      <c r="AF1957" t="n">
        <v>25</v>
      </c>
      <c r="AG1957" t="n">
        <v>25</v>
      </c>
      <c r="AH1957" t="n">
        <v>7</v>
      </c>
      <c r="AI1957" t="n">
        <v>7</v>
      </c>
      <c r="AJ1957" t="n">
        <v>7</v>
      </c>
      <c r="AK1957" t="n">
        <v>7</v>
      </c>
      <c r="AL1957" t="n">
        <v>14</v>
      </c>
      <c r="AM1957" t="n">
        <v>14</v>
      </c>
      <c r="AN1957" t="n">
        <v>4</v>
      </c>
      <c r="AO1957" t="n">
        <v>4</v>
      </c>
      <c r="AP1957" t="n">
        <v>0</v>
      </c>
      <c r="AQ1957" t="n">
        <v>0</v>
      </c>
      <c r="AR1957" t="inlineStr">
        <is>
          <t>No</t>
        </is>
      </c>
      <c r="AS1957" t="inlineStr">
        <is>
          <t>No</t>
        </is>
      </c>
      <c r="AU1957">
        <f>HYPERLINK("https://creighton-primo.hosted.exlibrisgroup.com/primo-explore/search?tab=default_tab&amp;search_scope=EVERYTHING&amp;vid=01CRU&amp;lang=en_US&amp;offset=0&amp;query=any,contains,991000627179702656","Catalog Record")</f>
        <v/>
      </c>
      <c r="AV1957">
        <f>HYPERLINK("http://www.worldcat.org/oclc/104736","WorldCat Record")</f>
        <v/>
      </c>
      <c r="AW1957" t="inlineStr">
        <is>
          <t>189829543:eng</t>
        </is>
      </c>
      <c r="AX1957" t="inlineStr">
        <is>
          <t>104736</t>
        </is>
      </c>
      <c r="AY1957" t="inlineStr">
        <is>
          <t>991000627179702656</t>
        </is>
      </c>
      <c r="AZ1957" t="inlineStr">
        <is>
          <t>991000627179702656</t>
        </is>
      </c>
      <c r="BA1957" t="inlineStr">
        <is>
          <t>2260552550002656</t>
        </is>
      </c>
      <c r="BB1957" t="inlineStr">
        <is>
          <t>BOOK</t>
        </is>
      </c>
      <c r="BD1957" t="inlineStr">
        <is>
          <t>9780521078320</t>
        </is>
      </c>
      <c r="BE1957" t="inlineStr">
        <is>
          <t>32285002893153</t>
        </is>
      </c>
      <c r="BF1957" t="inlineStr">
        <is>
          <t>893508958</t>
        </is>
      </c>
    </row>
    <row r="1958">
      <c r="A1958" t="inlineStr">
        <is>
          <t>No</t>
        </is>
      </c>
      <c r="B1958" t="inlineStr">
        <is>
          <t>CURAL</t>
        </is>
      </c>
      <c r="C1958" t="inlineStr">
        <is>
          <t>SHELVES</t>
        </is>
      </c>
      <c r="D1958" t="inlineStr">
        <is>
          <t>PR4681 .K37 1995</t>
        </is>
      </c>
      <c r="E1958" t="inlineStr">
        <is>
          <t>0                      PR 4681000K  37          1995</t>
        </is>
      </c>
      <c r="F1958" t="inlineStr">
        <is>
          <t>George Eliot, voice of a century : a biography / Frederick R. Karl.</t>
        </is>
      </c>
      <c r="H1958" t="inlineStr">
        <is>
          <t>No</t>
        </is>
      </c>
      <c r="I1958" t="inlineStr">
        <is>
          <t>1</t>
        </is>
      </c>
      <c r="J1958" t="inlineStr">
        <is>
          <t>No</t>
        </is>
      </c>
      <c r="K1958" t="inlineStr">
        <is>
          <t>No</t>
        </is>
      </c>
      <c r="L1958" t="inlineStr">
        <is>
          <t>0</t>
        </is>
      </c>
      <c r="M1958" t="inlineStr">
        <is>
          <t>Karl, Frederick R. (Frederick Robert), 1927-2004.</t>
        </is>
      </c>
      <c r="N1958" t="inlineStr">
        <is>
          <t>New York : W.W. Norton, c1995.</t>
        </is>
      </c>
      <c r="O1958" t="inlineStr">
        <is>
          <t>1995</t>
        </is>
      </c>
      <c r="P1958" t="inlineStr">
        <is>
          <t>1st ed.</t>
        </is>
      </c>
      <c r="Q1958" t="inlineStr">
        <is>
          <t>eng</t>
        </is>
      </c>
      <c r="R1958" t="inlineStr">
        <is>
          <t>nyu</t>
        </is>
      </c>
      <c r="T1958" t="inlineStr">
        <is>
          <t xml:space="preserve">PR </t>
        </is>
      </c>
      <c r="U1958" t="n">
        <v>3</v>
      </c>
      <c r="V1958" t="n">
        <v>3</v>
      </c>
      <c r="W1958" t="inlineStr">
        <is>
          <t>2005-07-06</t>
        </is>
      </c>
      <c r="X1958" t="inlineStr">
        <is>
          <t>2005-07-06</t>
        </is>
      </c>
      <c r="Y1958" t="inlineStr">
        <is>
          <t>1995-08-16</t>
        </is>
      </c>
      <c r="Z1958" t="inlineStr">
        <is>
          <t>1995-08-16</t>
        </is>
      </c>
      <c r="AA1958" t="n">
        <v>1211</v>
      </c>
      <c r="AB1958" t="n">
        <v>1104</v>
      </c>
      <c r="AC1958" t="n">
        <v>1133</v>
      </c>
      <c r="AD1958" t="n">
        <v>9</v>
      </c>
      <c r="AE1958" t="n">
        <v>9</v>
      </c>
      <c r="AF1958" t="n">
        <v>47</v>
      </c>
      <c r="AG1958" t="n">
        <v>48</v>
      </c>
      <c r="AH1958" t="n">
        <v>20</v>
      </c>
      <c r="AI1958" t="n">
        <v>21</v>
      </c>
      <c r="AJ1958" t="n">
        <v>9</v>
      </c>
      <c r="AK1958" t="n">
        <v>9</v>
      </c>
      <c r="AL1958" t="n">
        <v>22</v>
      </c>
      <c r="AM1958" t="n">
        <v>22</v>
      </c>
      <c r="AN1958" t="n">
        <v>7</v>
      </c>
      <c r="AO1958" t="n">
        <v>7</v>
      </c>
      <c r="AP1958" t="n">
        <v>0</v>
      </c>
      <c r="AQ1958" t="n">
        <v>0</v>
      </c>
      <c r="AR1958" t="inlineStr">
        <is>
          <t>No</t>
        </is>
      </c>
      <c r="AS1958" t="inlineStr">
        <is>
          <t>No</t>
        </is>
      </c>
      <c r="AU1958">
        <f>HYPERLINK("https://creighton-primo.hosted.exlibrisgroup.com/primo-explore/search?tab=default_tab&amp;search_scope=EVERYTHING&amp;vid=01CRU&amp;lang=en_US&amp;offset=0&amp;query=any,contains,991002400369702656","Catalog Record")</f>
        <v/>
      </c>
      <c r="AV1958">
        <f>HYPERLINK("http://www.worldcat.org/oclc/31206164","WorldCat Record")</f>
        <v/>
      </c>
      <c r="AW1958" t="inlineStr">
        <is>
          <t>3901269693:eng</t>
        </is>
      </c>
      <c r="AX1958" t="inlineStr">
        <is>
          <t>31206164</t>
        </is>
      </c>
      <c r="AY1958" t="inlineStr">
        <is>
          <t>991002400369702656</t>
        </is>
      </c>
      <c r="AZ1958" t="inlineStr">
        <is>
          <t>991002400369702656</t>
        </is>
      </c>
      <c r="BA1958" t="inlineStr">
        <is>
          <t>2258142720002656</t>
        </is>
      </c>
      <c r="BB1958" t="inlineStr">
        <is>
          <t>BOOK</t>
        </is>
      </c>
      <c r="BD1958" t="inlineStr">
        <is>
          <t>9780393037852</t>
        </is>
      </c>
      <c r="BE1958" t="inlineStr">
        <is>
          <t>32285002077716</t>
        </is>
      </c>
      <c r="BF1958" t="inlineStr">
        <is>
          <t>893322889</t>
        </is>
      </c>
    </row>
    <row r="1959">
      <c r="A1959" t="inlineStr">
        <is>
          <t>No</t>
        </is>
      </c>
      <c r="B1959" t="inlineStr">
        <is>
          <t>CURAL</t>
        </is>
      </c>
      <c r="C1959" t="inlineStr">
        <is>
          <t>SHELVES</t>
        </is>
      </c>
      <c r="D1959" t="inlineStr">
        <is>
          <t>PR4681 .K6</t>
        </is>
      </c>
      <c r="E1959" t="inlineStr">
        <is>
          <t>0                      PR 4681000K  6</t>
        </is>
      </c>
      <c r="F1959" t="inlineStr">
        <is>
          <t>George Eliot's early novels : the limits of realism / [by] U. C. Knoepflmacher.</t>
        </is>
      </c>
      <c r="H1959" t="inlineStr">
        <is>
          <t>No</t>
        </is>
      </c>
      <c r="I1959" t="inlineStr">
        <is>
          <t>1</t>
        </is>
      </c>
      <c r="J1959" t="inlineStr">
        <is>
          <t>No</t>
        </is>
      </c>
      <c r="K1959" t="inlineStr">
        <is>
          <t>No</t>
        </is>
      </c>
      <c r="L1959" t="inlineStr">
        <is>
          <t>0</t>
        </is>
      </c>
      <c r="M1959" t="inlineStr">
        <is>
          <t>Knoepflmacher, U. C.</t>
        </is>
      </c>
      <c r="N1959" t="inlineStr">
        <is>
          <t>Berkeley : University of California Press, 1968.</t>
        </is>
      </c>
      <c r="O1959" t="inlineStr">
        <is>
          <t>1968</t>
        </is>
      </c>
      <c r="Q1959" t="inlineStr">
        <is>
          <t>eng</t>
        </is>
      </c>
      <c r="R1959" t="inlineStr">
        <is>
          <t>cau</t>
        </is>
      </c>
      <c r="T1959" t="inlineStr">
        <is>
          <t xml:space="preserve">PR </t>
        </is>
      </c>
      <c r="U1959" t="n">
        <v>2</v>
      </c>
      <c r="V1959" t="n">
        <v>2</v>
      </c>
      <c r="W1959" t="inlineStr">
        <is>
          <t>2005-07-06</t>
        </is>
      </c>
      <c r="X1959" t="inlineStr">
        <is>
          <t>2005-07-06</t>
        </is>
      </c>
      <c r="Y1959" t="inlineStr">
        <is>
          <t>1990-07-12</t>
        </is>
      </c>
      <c r="Z1959" t="inlineStr">
        <is>
          <t>1990-07-12</t>
        </is>
      </c>
      <c r="AA1959" t="n">
        <v>1009</v>
      </c>
      <c r="AB1959" t="n">
        <v>861</v>
      </c>
      <c r="AC1959" t="n">
        <v>869</v>
      </c>
      <c r="AD1959" t="n">
        <v>9</v>
      </c>
      <c r="AE1959" t="n">
        <v>9</v>
      </c>
      <c r="AF1959" t="n">
        <v>40</v>
      </c>
      <c r="AG1959" t="n">
        <v>40</v>
      </c>
      <c r="AH1959" t="n">
        <v>15</v>
      </c>
      <c r="AI1959" t="n">
        <v>15</v>
      </c>
      <c r="AJ1959" t="n">
        <v>8</v>
      </c>
      <c r="AK1959" t="n">
        <v>8</v>
      </c>
      <c r="AL1959" t="n">
        <v>19</v>
      </c>
      <c r="AM1959" t="n">
        <v>19</v>
      </c>
      <c r="AN1959" t="n">
        <v>8</v>
      </c>
      <c r="AO1959" t="n">
        <v>8</v>
      </c>
      <c r="AP1959" t="n">
        <v>0</v>
      </c>
      <c r="AQ1959" t="n">
        <v>0</v>
      </c>
      <c r="AR1959" t="inlineStr">
        <is>
          <t>No</t>
        </is>
      </c>
      <c r="AS1959" t="inlineStr">
        <is>
          <t>Yes</t>
        </is>
      </c>
      <c r="AT1959">
        <f>HYPERLINK("http://catalog.hathitrust.org/Record/000390179","HathiTrust Record")</f>
        <v/>
      </c>
      <c r="AU1959">
        <f>HYPERLINK("https://creighton-primo.hosted.exlibrisgroup.com/primo-explore/search?tab=default_tab&amp;search_scope=EVERYTHING&amp;vid=01CRU&amp;lang=en_US&amp;offset=0&amp;query=any,contains,991001176259702656","Catalog Record")</f>
        <v/>
      </c>
      <c r="AV1959">
        <f>HYPERLINK("http://www.worldcat.org/oclc/188861","WorldCat Record")</f>
        <v/>
      </c>
      <c r="AW1959" t="inlineStr">
        <is>
          <t>365333764:eng</t>
        </is>
      </c>
      <c r="AX1959" t="inlineStr">
        <is>
          <t>188861</t>
        </is>
      </c>
      <c r="AY1959" t="inlineStr">
        <is>
          <t>991001176259702656</t>
        </is>
      </c>
      <c r="AZ1959" t="inlineStr">
        <is>
          <t>991001176259702656</t>
        </is>
      </c>
      <c r="BA1959" t="inlineStr">
        <is>
          <t>2267985940002656</t>
        </is>
      </c>
      <c r="BB1959" t="inlineStr">
        <is>
          <t>BOOK</t>
        </is>
      </c>
      <c r="BE1959" t="inlineStr">
        <is>
          <t>32285000230176</t>
        </is>
      </c>
      <c r="BF1959" t="inlineStr">
        <is>
          <t>893885102</t>
        </is>
      </c>
    </row>
    <row r="1960">
      <c r="A1960" t="inlineStr">
        <is>
          <t>No</t>
        </is>
      </c>
      <c r="B1960" t="inlineStr">
        <is>
          <t>CURAL</t>
        </is>
      </c>
      <c r="C1960" t="inlineStr">
        <is>
          <t>SHELVES</t>
        </is>
      </c>
      <c r="D1960" t="inlineStr">
        <is>
          <t>PR4681 .M37 1991</t>
        </is>
      </c>
      <c r="E1960" t="inlineStr">
        <is>
          <t>0                      PR 4681000M  37          1991</t>
        </is>
      </c>
      <c r="F1960" t="inlineStr">
        <is>
          <t>George Eliot (Marian Evans) : a literary life / Kerry McSweeney.</t>
        </is>
      </c>
      <c r="H1960" t="inlineStr">
        <is>
          <t>No</t>
        </is>
      </c>
      <c r="I1960" t="inlineStr">
        <is>
          <t>1</t>
        </is>
      </c>
      <c r="J1960" t="inlineStr">
        <is>
          <t>No</t>
        </is>
      </c>
      <c r="K1960" t="inlineStr">
        <is>
          <t>No</t>
        </is>
      </c>
      <c r="L1960" t="inlineStr">
        <is>
          <t>0</t>
        </is>
      </c>
      <c r="M1960" t="inlineStr">
        <is>
          <t>McSweeney, Kerry, 1941-</t>
        </is>
      </c>
      <c r="N1960" t="inlineStr">
        <is>
          <t>New York : St. Martin's Press, 1991.</t>
        </is>
      </c>
      <c r="O1960" t="inlineStr">
        <is>
          <t>1991</t>
        </is>
      </c>
      <c r="Q1960" t="inlineStr">
        <is>
          <t>eng</t>
        </is>
      </c>
      <c r="R1960" t="inlineStr">
        <is>
          <t>nyu</t>
        </is>
      </c>
      <c r="S1960" t="inlineStr">
        <is>
          <t>Literary lives</t>
        </is>
      </c>
      <c r="T1960" t="inlineStr">
        <is>
          <t xml:space="preserve">PR </t>
        </is>
      </c>
      <c r="U1960" t="n">
        <v>2</v>
      </c>
      <c r="V1960" t="n">
        <v>2</v>
      </c>
      <c r="W1960" t="inlineStr">
        <is>
          <t>1993-12-15</t>
        </is>
      </c>
      <c r="X1960" t="inlineStr">
        <is>
          <t>1993-12-15</t>
        </is>
      </c>
      <c r="Y1960" t="inlineStr">
        <is>
          <t>1992-06-01</t>
        </is>
      </c>
      <c r="Z1960" t="inlineStr">
        <is>
          <t>1992-06-01</t>
        </is>
      </c>
      <c r="AA1960" t="n">
        <v>546</v>
      </c>
      <c r="AB1960" t="n">
        <v>490</v>
      </c>
      <c r="AC1960" t="n">
        <v>536</v>
      </c>
      <c r="AD1960" t="n">
        <v>4</v>
      </c>
      <c r="AE1960" t="n">
        <v>5</v>
      </c>
      <c r="AF1960" t="n">
        <v>29</v>
      </c>
      <c r="AG1960" t="n">
        <v>31</v>
      </c>
      <c r="AH1960" t="n">
        <v>11</v>
      </c>
      <c r="AI1960" t="n">
        <v>11</v>
      </c>
      <c r="AJ1960" t="n">
        <v>5</v>
      </c>
      <c r="AK1960" t="n">
        <v>6</v>
      </c>
      <c r="AL1960" t="n">
        <v>17</v>
      </c>
      <c r="AM1960" t="n">
        <v>18</v>
      </c>
      <c r="AN1960" t="n">
        <v>3</v>
      </c>
      <c r="AO1960" t="n">
        <v>4</v>
      </c>
      <c r="AP1960" t="n">
        <v>0</v>
      </c>
      <c r="AQ1960" t="n">
        <v>0</v>
      </c>
      <c r="AR1960" t="inlineStr">
        <is>
          <t>No</t>
        </is>
      </c>
      <c r="AS1960" t="inlineStr">
        <is>
          <t>No</t>
        </is>
      </c>
      <c r="AU1960">
        <f>HYPERLINK("https://creighton-primo.hosted.exlibrisgroup.com/primo-explore/search?tab=default_tab&amp;search_scope=EVERYTHING&amp;vid=01CRU&amp;lang=en_US&amp;offset=0&amp;query=any,contains,991001868599702656","Catalog Record")</f>
        <v/>
      </c>
      <c r="AV1960">
        <f>HYPERLINK("http://www.worldcat.org/oclc/23582618","WorldCat Record")</f>
        <v/>
      </c>
      <c r="AW1960" t="inlineStr">
        <is>
          <t>808888634:eng</t>
        </is>
      </c>
      <c r="AX1960" t="inlineStr">
        <is>
          <t>23582618</t>
        </is>
      </c>
      <c r="AY1960" t="inlineStr">
        <is>
          <t>991001868599702656</t>
        </is>
      </c>
      <c r="AZ1960" t="inlineStr">
        <is>
          <t>991001868599702656</t>
        </is>
      </c>
      <c r="BA1960" t="inlineStr">
        <is>
          <t>2255781980002656</t>
        </is>
      </c>
      <c r="BB1960" t="inlineStr">
        <is>
          <t>BOOK</t>
        </is>
      </c>
      <c r="BD1960" t="inlineStr">
        <is>
          <t>9780312065744</t>
        </is>
      </c>
      <c r="BE1960" t="inlineStr">
        <is>
          <t>32285001125359</t>
        </is>
      </c>
      <c r="BF1960" t="inlineStr">
        <is>
          <t>893510016</t>
        </is>
      </c>
    </row>
    <row r="1961">
      <c r="A1961" t="inlineStr">
        <is>
          <t>No</t>
        </is>
      </c>
      <c r="B1961" t="inlineStr">
        <is>
          <t>CURAL</t>
        </is>
      </c>
      <c r="C1961" t="inlineStr">
        <is>
          <t>SHELVES</t>
        </is>
      </c>
      <c r="D1961" t="inlineStr">
        <is>
          <t>PR4681 .S68</t>
        </is>
      </c>
      <c r="E1961" t="inlineStr">
        <is>
          <t>0                      PR 4681000S  68</t>
        </is>
      </c>
      <c r="F1961" t="inlineStr">
        <is>
          <t>Discussions of George Eliot.</t>
        </is>
      </c>
      <c r="H1961" t="inlineStr">
        <is>
          <t>No</t>
        </is>
      </c>
      <c r="I1961" t="inlineStr">
        <is>
          <t>1</t>
        </is>
      </c>
      <c r="J1961" t="inlineStr">
        <is>
          <t>No</t>
        </is>
      </c>
      <c r="K1961" t="inlineStr">
        <is>
          <t>No</t>
        </is>
      </c>
      <c r="L1961" t="inlineStr">
        <is>
          <t>0</t>
        </is>
      </c>
      <c r="M1961" t="inlineStr">
        <is>
          <t>Stang, Richard, 1925- editor.</t>
        </is>
      </c>
      <c r="N1961" t="inlineStr">
        <is>
          <t>Boston : Heath, [1960]</t>
        </is>
      </c>
      <c r="O1961" t="inlineStr">
        <is>
          <t>1960</t>
        </is>
      </c>
      <c r="Q1961" t="inlineStr">
        <is>
          <t>eng</t>
        </is>
      </c>
      <c r="R1961" t="inlineStr">
        <is>
          <t>mau</t>
        </is>
      </c>
      <c r="S1961" t="inlineStr">
        <is>
          <t>Discussions of literature</t>
        </is>
      </c>
      <c r="T1961" t="inlineStr">
        <is>
          <t xml:space="preserve">PR </t>
        </is>
      </c>
      <c r="U1961" t="n">
        <v>3</v>
      </c>
      <c r="V1961" t="n">
        <v>3</v>
      </c>
      <c r="W1961" t="inlineStr">
        <is>
          <t>2005-07-06</t>
        </is>
      </c>
      <c r="X1961" t="inlineStr">
        <is>
          <t>2005-07-06</t>
        </is>
      </c>
      <c r="Y1961" t="inlineStr">
        <is>
          <t>1993-03-18</t>
        </is>
      </c>
      <c r="Z1961" t="inlineStr">
        <is>
          <t>1993-03-18</t>
        </is>
      </c>
      <c r="AA1961" t="n">
        <v>743</v>
      </c>
      <c r="AB1961" t="n">
        <v>658</v>
      </c>
      <c r="AC1961" t="n">
        <v>659</v>
      </c>
      <c r="AD1961" t="n">
        <v>5</v>
      </c>
      <c r="AE1961" t="n">
        <v>5</v>
      </c>
      <c r="AF1961" t="n">
        <v>30</v>
      </c>
      <c r="AG1961" t="n">
        <v>30</v>
      </c>
      <c r="AH1961" t="n">
        <v>11</v>
      </c>
      <c r="AI1961" t="n">
        <v>11</v>
      </c>
      <c r="AJ1961" t="n">
        <v>8</v>
      </c>
      <c r="AK1961" t="n">
        <v>8</v>
      </c>
      <c r="AL1961" t="n">
        <v>14</v>
      </c>
      <c r="AM1961" t="n">
        <v>14</v>
      </c>
      <c r="AN1961" t="n">
        <v>4</v>
      </c>
      <c r="AO1961" t="n">
        <v>4</v>
      </c>
      <c r="AP1961" t="n">
        <v>0</v>
      </c>
      <c r="AQ1961" t="n">
        <v>0</v>
      </c>
      <c r="AR1961" t="inlineStr">
        <is>
          <t>No</t>
        </is>
      </c>
      <c r="AS1961" t="inlineStr">
        <is>
          <t>Yes</t>
        </is>
      </c>
      <c r="AT1961">
        <f>HYPERLINK("http://catalog.hathitrust.org/Record/006059973","HathiTrust Record")</f>
        <v/>
      </c>
      <c r="AU1961">
        <f>HYPERLINK("https://creighton-primo.hosted.exlibrisgroup.com/primo-explore/search?tab=default_tab&amp;search_scope=EVERYTHING&amp;vid=01CRU&amp;lang=en_US&amp;offset=0&amp;query=any,contains,991002468929702656","Catalog Record")</f>
        <v/>
      </c>
      <c r="AV1961">
        <f>HYPERLINK("http://www.worldcat.org/oclc/358300","WorldCat Record")</f>
        <v/>
      </c>
      <c r="AW1961" t="inlineStr">
        <is>
          <t>373977459:eng</t>
        </is>
      </c>
      <c r="AX1961" t="inlineStr">
        <is>
          <t>358300</t>
        </is>
      </c>
      <c r="AY1961" t="inlineStr">
        <is>
          <t>991002468929702656</t>
        </is>
      </c>
      <c r="AZ1961" t="inlineStr">
        <is>
          <t>991002468929702656</t>
        </is>
      </c>
      <c r="BA1961" t="inlineStr">
        <is>
          <t>2266113580002656</t>
        </is>
      </c>
      <c r="BB1961" t="inlineStr">
        <is>
          <t>BOOK</t>
        </is>
      </c>
      <c r="BE1961" t="inlineStr">
        <is>
          <t>32285001498764</t>
        </is>
      </c>
      <c r="BF1961" t="inlineStr">
        <is>
          <t>893609895</t>
        </is>
      </c>
    </row>
    <row r="1962">
      <c r="A1962" t="inlineStr">
        <is>
          <t>No</t>
        </is>
      </c>
      <c r="B1962" t="inlineStr">
        <is>
          <t>CURAL</t>
        </is>
      </c>
      <c r="C1962" t="inlineStr">
        <is>
          <t>SHELVES</t>
        </is>
      </c>
      <c r="D1962" t="inlineStr">
        <is>
          <t>PR4681 .U35 1987b</t>
        </is>
      </c>
      <c r="E1962" t="inlineStr">
        <is>
          <t>0                      PR 4681000U  35          1987b</t>
        </is>
      </c>
      <c r="F1962" t="inlineStr">
        <is>
          <t>George Eliot / Jennifer Uglow.</t>
        </is>
      </c>
      <c r="H1962" t="inlineStr">
        <is>
          <t>No</t>
        </is>
      </c>
      <c r="I1962" t="inlineStr">
        <is>
          <t>1</t>
        </is>
      </c>
      <c r="J1962" t="inlineStr">
        <is>
          <t>No</t>
        </is>
      </c>
      <c r="K1962" t="inlineStr">
        <is>
          <t>No</t>
        </is>
      </c>
      <c r="L1962" t="inlineStr">
        <is>
          <t>0</t>
        </is>
      </c>
      <c r="M1962" t="inlineStr">
        <is>
          <t>Uglow, Jennifer S.</t>
        </is>
      </c>
      <c r="N1962" t="inlineStr">
        <is>
          <t>London : Virago, 1987.</t>
        </is>
      </c>
      <c r="O1962" t="inlineStr">
        <is>
          <t>1987</t>
        </is>
      </c>
      <c r="Q1962" t="inlineStr">
        <is>
          <t>eng</t>
        </is>
      </c>
      <c r="R1962" t="inlineStr">
        <is>
          <t>enk</t>
        </is>
      </c>
      <c r="S1962" t="inlineStr">
        <is>
          <t>Virago pioneers</t>
        </is>
      </c>
      <c r="T1962" t="inlineStr">
        <is>
          <t xml:space="preserve">PR </t>
        </is>
      </c>
      <c r="U1962" t="n">
        <v>1</v>
      </c>
      <c r="V1962" t="n">
        <v>1</v>
      </c>
      <c r="W1962" t="inlineStr">
        <is>
          <t>2010-12-08</t>
        </is>
      </c>
      <c r="X1962" t="inlineStr">
        <is>
          <t>2010-12-08</t>
        </is>
      </c>
      <c r="Y1962" t="inlineStr">
        <is>
          <t>1991-11-07</t>
        </is>
      </c>
      <c r="Z1962" t="inlineStr">
        <is>
          <t>1991-11-07</t>
        </is>
      </c>
      <c r="AA1962" t="n">
        <v>244</v>
      </c>
      <c r="AB1962" t="n">
        <v>60</v>
      </c>
      <c r="AC1962" t="n">
        <v>775</v>
      </c>
      <c r="AD1962" t="n">
        <v>2</v>
      </c>
      <c r="AE1962" t="n">
        <v>8</v>
      </c>
      <c r="AF1962" t="n">
        <v>1</v>
      </c>
      <c r="AG1962" t="n">
        <v>31</v>
      </c>
      <c r="AH1962" t="n">
        <v>0</v>
      </c>
      <c r="AI1962" t="n">
        <v>12</v>
      </c>
      <c r="AJ1962" t="n">
        <v>0</v>
      </c>
      <c r="AK1962" t="n">
        <v>8</v>
      </c>
      <c r="AL1962" t="n">
        <v>0</v>
      </c>
      <c r="AM1962" t="n">
        <v>12</v>
      </c>
      <c r="AN1962" t="n">
        <v>1</v>
      </c>
      <c r="AO1962" t="n">
        <v>6</v>
      </c>
      <c r="AP1962" t="n">
        <v>0</v>
      </c>
      <c r="AQ1962" t="n">
        <v>0</v>
      </c>
      <c r="AR1962" t="inlineStr">
        <is>
          <t>No</t>
        </is>
      </c>
      <c r="AS1962" t="inlineStr">
        <is>
          <t>No</t>
        </is>
      </c>
      <c r="AU1962">
        <f>HYPERLINK("https://creighton-primo.hosted.exlibrisgroup.com/primo-explore/search?tab=default_tab&amp;search_scope=EVERYTHING&amp;vid=01CRU&amp;lang=en_US&amp;offset=0&amp;query=any,contains,991001078109702656","Catalog Record")</f>
        <v/>
      </c>
      <c r="AV1962">
        <f>HYPERLINK("http://www.worldcat.org/oclc/16080530","WorldCat Record")</f>
        <v/>
      </c>
      <c r="AW1962" t="inlineStr">
        <is>
          <t>1005598:eng</t>
        </is>
      </c>
      <c r="AX1962" t="inlineStr">
        <is>
          <t>16080530</t>
        </is>
      </c>
      <c r="AY1962" t="inlineStr">
        <is>
          <t>991001078109702656</t>
        </is>
      </c>
      <c r="AZ1962" t="inlineStr">
        <is>
          <t>991001078109702656</t>
        </is>
      </c>
      <c r="BA1962" t="inlineStr">
        <is>
          <t>2261565790002656</t>
        </is>
      </c>
      <c r="BB1962" t="inlineStr">
        <is>
          <t>BOOK</t>
        </is>
      </c>
      <c r="BD1962" t="inlineStr">
        <is>
          <t>9780860684008</t>
        </is>
      </c>
      <c r="BE1962" t="inlineStr">
        <is>
          <t>32285000799147</t>
        </is>
      </c>
      <c r="BF1962" t="inlineStr">
        <is>
          <t>893509359</t>
        </is>
      </c>
    </row>
    <row r="1963">
      <c r="A1963" t="inlineStr">
        <is>
          <t>No</t>
        </is>
      </c>
      <c r="B1963" t="inlineStr">
        <is>
          <t>CURAL</t>
        </is>
      </c>
      <c r="C1963" t="inlineStr">
        <is>
          <t>SHELVES</t>
        </is>
      </c>
      <c r="D1963" t="inlineStr">
        <is>
          <t>PR4687 .H3 1989</t>
        </is>
      </c>
      <c r="E1963" t="inlineStr">
        <is>
          <t>0                      PR 4687000H  3           1989</t>
        </is>
      </c>
      <c r="F1963" t="inlineStr">
        <is>
          <t>A George Eliot chronology / Timothy Hands.</t>
        </is>
      </c>
      <c r="H1963" t="inlineStr">
        <is>
          <t>No</t>
        </is>
      </c>
      <c r="I1963" t="inlineStr">
        <is>
          <t>1</t>
        </is>
      </c>
      <c r="J1963" t="inlineStr">
        <is>
          <t>No</t>
        </is>
      </c>
      <c r="K1963" t="inlineStr">
        <is>
          <t>No</t>
        </is>
      </c>
      <c r="L1963" t="inlineStr">
        <is>
          <t>0</t>
        </is>
      </c>
      <c r="M1963" t="inlineStr">
        <is>
          <t>Hands, Timothy.</t>
        </is>
      </c>
      <c r="N1963" t="inlineStr">
        <is>
          <t>Boston : G.K. Hall, c1989.</t>
        </is>
      </c>
      <c r="O1963" t="inlineStr">
        <is>
          <t>1989</t>
        </is>
      </c>
      <c r="Q1963" t="inlineStr">
        <is>
          <t>eng</t>
        </is>
      </c>
      <c r="R1963" t="inlineStr">
        <is>
          <t>enk</t>
        </is>
      </c>
      <c r="S1963" t="inlineStr">
        <is>
          <t>Macmillan author chronologies</t>
        </is>
      </c>
      <c r="T1963" t="inlineStr">
        <is>
          <t xml:space="preserve">PR </t>
        </is>
      </c>
      <c r="U1963" t="n">
        <v>1</v>
      </c>
      <c r="V1963" t="n">
        <v>1</v>
      </c>
      <c r="W1963" t="inlineStr">
        <is>
          <t>1997-11-23</t>
        </is>
      </c>
      <c r="X1963" t="inlineStr">
        <is>
          <t>1997-11-23</t>
        </is>
      </c>
      <c r="Y1963" t="inlineStr">
        <is>
          <t>1991-11-07</t>
        </is>
      </c>
      <c r="Z1963" t="inlineStr">
        <is>
          <t>1991-11-07</t>
        </is>
      </c>
      <c r="AA1963" t="n">
        <v>169</v>
      </c>
      <c r="AB1963" t="n">
        <v>142</v>
      </c>
      <c r="AC1963" t="n">
        <v>198</v>
      </c>
      <c r="AD1963" t="n">
        <v>2</v>
      </c>
      <c r="AE1963" t="n">
        <v>3</v>
      </c>
      <c r="AF1963" t="n">
        <v>5</v>
      </c>
      <c r="AG1963" t="n">
        <v>11</v>
      </c>
      <c r="AH1963" t="n">
        <v>0</v>
      </c>
      <c r="AI1963" t="n">
        <v>2</v>
      </c>
      <c r="AJ1963" t="n">
        <v>2</v>
      </c>
      <c r="AK1963" t="n">
        <v>3</v>
      </c>
      <c r="AL1963" t="n">
        <v>3</v>
      </c>
      <c r="AM1963" t="n">
        <v>8</v>
      </c>
      <c r="AN1963" t="n">
        <v>1</v>
      </c>
      <c r="AO1963" t="n">
        <v>2</v>
      </c>
      <c r="AP1963" t="n">
        <v>0</v>
      </c>
      <c r="AQ1963" t="n">
        <v>0</v>
      </c>
      <c r="AR1963" t="inlineStr">
        <is>
          <t>No</t>
        </is>
      </c>
      <c r="AS1963" t="inlineStr">
        <is>
          <t>Yes</t>
        </is>
      </c>
      <c r="AT1963">
        <f>HYPERLINK("http://catalog.hathitrust.org/Record/009503472","HathiTrust Record")</f>
        <v/>
      </c>
      <c r="AU1963">
        <f>HYPERLINK("https://creighton-primo.hosted.exlibrisgroup.com/primo-explore/search?tab=default_tab&amp;search_scope=EVERYTHING&amp;vid=01CRU&amp;lang=en_US&amp;offset=0&amp;query=any,contains,991001232159702656","Catalog Record")</f>
        <v/>
      </c>
      <c r="AV1963">
        <f>HYPERLINK("http://www.worldcat.org/oclc/17547988","WorldCat Record")</f>
        <v/>
      </c>
      <c r="AW1963" t="inlineStr">
        <is>
          <t>16155244:eng</t>
        </is>
      </c>
      <c r="AX1963" t="inlineStr">
        <is>
          <t>17547988</t>
        </is>
      </c>
      <c r="AY1963" t="inlineStr">
        <is>
          <t>991001232159702656</t>
        </is>
      </c>
      <c r="AZ1963" t="inlineStr">
        <is>
          <t>991001232159702656</t>
        </is>
      </c>
      <c r="BA1963" t="inlineStr">
        <is>
          <t>2265227030002656</t>
        </is>
      </c>
      <c r="BB1963" t="inlineStr">
        <is>
          <t>BOOK</t>
        </is>
      </c>
      <c r="BD1963" t="inlineStr">
        <is>
          <t>9780816189830</t>
        </is>
      </c>
      <c r="BE1963" t="inlineStr">
        <is>
          <t>32285000799162</t>
        </is>
      </c>
      <c r="BF1963" t="inlineStr">
        <is>
          <t>893334178</t>
        </is>
      </c>
    </row>
    <row r="1964">
      <c r="A1964" t="inlineStr">
        <is>
          <t>No</t>
        </is>
      </c>
      <c r="B1964" t="inlineStr">
        <is>
          <t>CURAL</t>
        </is>
      </c>
      <c r="C1964" t="inlineStr">
        <is>
          <t>SHELVES</t>
        </is>
      </c>
      <c r="D1964" t="inlineStr">
        <is>
          <t>PR4688 .A76 1996</t>
        </is>
      </c>
      <c r="E1964" t="inlineStr">
        <is>
          <t>0                      PR 4688000A  76          1996</t>
        </is>
      </c>
      <c r="F1964" t="inlineStr">
        <is>
          <t>George Eliot : a life / Rosemary Ashton.</t>
        </is>
      </c>
      <c r="H1964" t="inlineStr">
        <is>
          <t>No</t>
        </is>
      </c>
      <c r="I1964" t="inlineStr">
        <is>
          <t>1</t>
        </is>
      </c>
      <c r="J1964" t="inlineStr">
        <is>
          <t>No</t>
        </is>
      </c>
      <c r="K1964" t="inlineStr">
        <is>
          <t>No</t>
        </is>
      </c>
      <c r="L1964" t="inlineStr">
        <is>
          <t>0</t>
        </is>
      </c>
      <c r="M1964" t="inlineStr">
        <is>
          <t>Ashton, Rosemary, 1947-</t>
        </is>
      </c>
      <c r="N1964" t="inlineStr">
        <is>
          <t>New York : The Penguin Press, 1996.</t>
        </is>
      </c>
      <c r="O1964" t="inlineStr">
        <is>
          <t>1996</t>
        </is>
      </c>
      <c r="Q1964" t="inlineStr">
        <is>
          <t>eng</t>
        </is>
      </c>
      <c r="R1964" t="inlineStr">
        <is>
          <t>nyu</t>
        </is>
      </c>
      <c r="T1964" t="inlineStr">
        <is>
          <t xml:space="preserve">PR </t>
        </is>
      </c>
      <c r="U1964" t="n">
        <v>2</v>
      </c>
      <c r="V1964" t="n">
        <v>2</v>
      </c>
      <c r="W1964" t="inlineStr">
        <is>
          <t>2002-12-05</t>
        </is>
      </c>
      <c r="X1964" t="inlineStr">
        <is>
          <t>2002-12-05</t>
        </is>
      </c>
      <c r="Y1964" t="inlineStr">
        <is>
          <t>1997-05-05</t>
        </is>
      </c>
      <c r="Z1964" t="inlineStr">
        <is>
          <t>1997-05-05</t>
        </is>
      </c>
      <c r="AA1964" t="n">
        <v>567</v>
      </c>
      <c r="AB1964" t="n">
        <v>541</v>
      </c>
      <c r="AC1964" t="n">
        <v>1018</v>
      </c>
      <c r="AD1964" t="n">
        <v>4</v>
      </c>
      <c r="AE1964" t="n">
        <v>8</v>
      </c>
      <c r="AF1964" t="n">
        <v>23</v>
      </c>
      <c r="AG1964" t="n">
        <v>43</v>
      </c>
      <c r="AH1964" t="n">
        <v>10</v>
      </c>
      <c r="AI1964" t="n">
        <v>20</v>
      </c>
      <c r="AJ1964" t="n">
        <v>6</v>
      </c>
      <c r="AK1964" t="n">
        <v>10</v>
      </c>
      <c r="AL1964" t="n">
        <v>13</v>
      </c>
      <c r="AM1964" t="n">
        <v>21</v>
      </c>
      <c r="AN1964" t="n">
        <v>1</v>
      </c>
      <c r="AO1964" t="n">
        <v>5</v>
      </c>
      <c r="AP1964" t="n">
        <v>0</v>
      </c>
      <c r="AQ1964" t="n">
        <v>0</v>
      </c>
      <c r="AR1964" t="inlineStr">
        <is>
          <t>No</t>
        </is>
      </c>
      <c r="AS1964" t="inlineStr">
        <is>
          <t>No</t>
        </is>
      </c>
      <c r="AU1964">
        <f>HYPERLINK("https://creighton-primo.hosted.exlibrisgroup.com/primo-explore/search?tab=default_tab&amp;search_scope=EVERYTHING&amp;vid=01CRU&amp;lang=en_US&amp;offset=0&amp;query=any,contains,991002771599702656","Catalog Record")</f>
        <v/>
      </c>
      <c r="AV1964">
        <f>HYPERLINK("http://www.worldcat.org/oclc/36389313","WorldCat Record")</f>
        <v/>
      </c>
      <c r="AW1964" t="inlineStr">
        <is>
          <t>4020152480:eng</t>
        </is>
      </c>
      <c r="AX1964" t="inlineStr">
        <is>
          <t>36389313</t>
        </is>
      </c>
      <c r="AY1964" t="inlineStr">
        <is>
          <t>991002771599702656</t>
        </is>
      </c>
      <c r="AZ1964" t="inlineStr">
        <is>
          <t>991002771599702656</t>
        </is>
      </c>
      <c r="BA1964" t="inlineStr">
        <is>
          <t>2255226190002656</t>
        </is>
      </c>
      <c r="BB1964" t="inlineStr">
        <is>
          <t>BOOK</t>
        </is>
      </c>
      <c r="BD1964" t="inlineStr">
        <is>
          <t>9780713991949</t>
        </is>
      </c>
      <c r="BE1964" t="inlineStr">
        <is>
          <t>32285002544103</t>
        </is>
      </c>
      <c r="BF1964" t="inlineStr">
        <is>
          <t>893721629</t>
        </is>
      </c>
    </row>
    <row r="1965">
      <c r="A1965" t="inlineStr">
        <is>
          <t>No</t>
        </is>
      </c>
      <c r="B1965" t="inlineStr">
        <is>
          <t>CURAL</t>
        </is>
      </c>
      <c r="C1965" t="inlineStr">
        <is>
          <t>SHELVES</t>
        </is>
      </c>
      <c r="D1965" t="inlineStr">
        <is>
          <t>PR4688 .B73 1992</t>
        </is>
      </c>
      <c r="E1965" t="inlineStr">
        <is>
          <t>0                      PR 4688000B  73          1992</t>
        </is>
      </c>
      <c r="F1965" t="inlineStr">
        <is>
          <t>George Eliot / Kristin Brady.</t>
        </is>
      </c>
      <c r="H1965" t="inlineStr">
        <is>
          <t>No</t>
        </is>
      </c>
      <c r="I1965" t="inlineStr">
        <is>
          <t>1</t>
        </is>
      </c>
      <c r="J1965" t="inlineStr">
        <is>
          <t>No</t>
        </is>
      </c>
      <c r="K1965" t="inlineStr">
        <is>
          <t>No</t>
        </is>
      </c>
      <c r="L1965" t="inlineStr">
        <is>
          <t>0</t>
        </is>
      </c>
      <c r="M1965" t="inlineStr">
        <is>
          <t>Brady, Kristin, 1949-</t>
        </is>
      </c>
      <c r="N1965" t="inlineStr">
        <is>
          <t>New York : St. Martin's Press, 1992.</t>
        </is>
      </c>
      <c r="O1965" t="inlineStr">
        <is>
          <t>1992</t>
        </is>
      </c>
      <c r="Q1965" t="inlineStr">
        <is>
          <t>eng</t>
        </is>
      </c>
      <c r="R1965" t="inlineStr">
        <is>
          <t>nyu</t>
        </is>
      </c>
      <c r="S1965" t="inlineStr">
        <is>
          <t>Women writers</t>
        </is>
      </c>
      <c r="T1965" t="inlineStr">
        <is>
          <t xml:space="preserve">PR </t>
        </is>
      </c>
      <c r="U1965" t="n">
        <v>3</v>
      </c>
      <c r="V1965" t="n">
        <v>3</v>
      </c>
      <c r="W1965" t="inlineStr">
        <is>
          <t>1999-12-14</t>
        </is>
      </c>
      <c r="X1965" t="inlineStr">
        <is>
          <t>1999-12-14</t>
        </is>
      </c>
      <c r="Y1965" t="inlineStr">
        <is>
          <t>1992-04-22</t>
        </is>
      </c>
      <c r="Z1965" t="inlineStr">
        <is>
          <t>1992-04-22</t>
        </is>
      </c>
      <c r="AA1965" t="n">
        <v>334</v>
      </c>
      <c r="AB1965" t="n">
        <v>291</v>
      </c>
      <c r="AC1965" t="n">
        <v>318</v>
      </c>
      <c r="AD1965" t="n">
        <v>2</v>
      </c>
      <c r="AE1965" t="n">
        <v>2</v>
      </c>
      <c r="AF1965" t="n">
        <v>20</v>
      </c>
      <c r="AG1965" t="n">
        <v>20</v>
      </c>
      <c r="AH1965" t="n">
        <v>7</v>
      </c>
      <c r="AI1965" t="n">
        <v>7</v>
      </c>
      <c r="AJ1965" t="n">
        <v>6</v>
      </c>
      <c r="AK1965" t="n">
        <v>6</v>
      </c>
      <c r="AL1965" t="n">
        <v>12</v>
      </c>
      <c r="AM1965" t="n">
        <v>12</v>
      </c>
      <c r="AN1965" t="n">
        <v>1</v>
      </c>
      <c r="AO1965" t="n">
        <v>1</v>
      </c>
      <c r="AP1965" t="n">
        <v>0</v>
      </c>
      <c r="AQ1965" t="n">
        <v>0</v>
      </c>
      <c r="AR1965" t="inlineStr">
        <is>
          <t>No</t>
        </is>
      </c>
      <c r="AS1965" t="inlineStr">
        <is>
          <t>No</t>
        </is>
      </c>
      <c r="AU1965">
        <f>HYPERLINK("https://creighton-primo.hosted.exlibrisgroup.com/primo-explore/search?tab=default_tab&amp;search_scope=EVERYTHING&amp;vid=01CRU&amp;lang=en_US&amp;offset=0&amp;query=any,contains,991001916989702656","Catalog Record")</f>
        <v/>
      </c>
      <c r="AV1965">
        <f>HYPERLINK("http://www.worldcat.org/oclc/24213353","WorldCat Record")</f>
        <v/>
      </c>
      <c r="AW1965" t="inlineStr">
        <is>
          <t>26077828:eng</t>
        </is>
      </c>
      <c r="AX1965" t="inlineStr">
        <is>
          <t>24213353</t>
        </is>
      </c>
      <c r="AY1965" t="inlineStr">
        <is>
          <t>991001916989702656</t>
        </is>
      </c>
      <c r="AZ1965" t="inlineStr">
        <is>
          <t>991001916989702656</t>
        </is>
      </c>
      <c r="BA1965" t="inlineStr">
        <is>
          <t>2256637730002656</t>
        </is>
      </c>
      <c r="BB1965" t="inlineStr">
        <is>
          <t>BOOK</t>
        </is>
      </c>
      <c r="BD1965" t="inlineStr">
        <is>
          <t>9780312060596</t>
        </is>
      </c>
      <c r="BE1965" t="inlineStr">
        <is>
          <t>32285001036317</t>
        </is>
      </c>
      <c r="BF1965" t="inlineStr">
        <is>
          <t>893232376</t>
        </is>
      </c>
    </row>
    <row r="1966">
      <c r="A1966" t="inlineStr">
        <is>
          <t>No</t>
        </is>
      </c>
      <c r="B1966" t="inlineStr">
        <is>
          <t>CURAL</t>
        </is>
      </c>
      <c r="C1966" t="inlineStr">
        <is>
          <t>SHELVES</t>
        </is>
      </c>
      <c r="D1966" t="inlineStr">
        <is>
          <t>PR4688 .C28 1992</t>
        </is>
      </c>
      <c r="E1966" t="inlineStr">
        <is>
          <t>0                      PR 4688000C  28          1992</t>
        </is>
      </c>
      <c r="F1966" t="inlineStr">
        <is>
          <t>George Eliot and the conflict of interpretations : a reading of the novels / David Carroll.</t>
        </is>
      </c>
      <c r="H1966" t="inlineStr">
        <is>
          <t>No</t>
        </is>
      </c>
      <c r="I1966" t="inlineStr">
        <is>
          <t>1</t>
        </is>
      </c>
      <c r="J1966" t="inlineStr">
        <is>
          <t>No</t>
        </is>
      </c>
      <c r="K1966" t="inlineStr">
        <is>
          <t>No</t>
        </is>
      </c>
      <c r="L1966" t="inlineStr">
        <is>
          <t>0</t>
        </is>
      </c>
      <c r="M1966" t="inlineStr">
        <is>
          <t>Carroll, David, 1949-</t>
        </is>
      </c>
      <c r="N1966" t="inlineStr">
        <is>
          <t>Cambridge ; New York : Cambridge University Press, 1992.</t>
        </is>
      </c>
      <c r="O1966" t="inlineStr">
        <is>
          <t>1992</t>
        </is>
      </c>
      <c r="Q1966" t="inlineStr">
        <is>
          <t>eng</t>
        </is>
      </c>
      <c r="R1966" t="inlineStr">
        <is>
          <t>enk</t>
        </is>
      </c>
      <c r="T1966" t="inlineStr">
        <is>
          <t xml:space="preserve">PR </t>
        </is>
      </c>
      <c r="U1966" t="n">
        <v>4</v>
      </c>
      <c r="V1966" t="n">
        <v>4</v>
      </c>
      <c r="W1966" t="inlineStr">
        <is>
          <t>2005-07-06</t>
        </is>
      </c>
      <c r="X1966" t="inlineStr">
        <is>
          <t>2005-07-06</t>
        </is>
      </c>
      <c r="Y1966" t="inlineStr">
        <is>
          <t>1995-06-15</t>
        </is>
      </c>
      <c r="Z1966" t="inlineStr">
        <is>
          <t>1995-06-15</t>
        </is>
      </c>
      <c r="AA1966" t="n">
        <v>522</v>
      </c>
      <c r="AB1966" t="n">
        <v>355</v>
      </c>
      <c r="AC1966" t="n">
        <v>367</v>
      </c>
      <c r="AD1966" t="n">
        <v>5</v>
      </c>
      <c r="AE1966" t="n">
        <v>5</v>
      </c>
      <c r="AF1966" t="n">
        <v>24</v>
      </c>
      <c r="AG1966" t="n">
        <v>24</v>
      </c>
      <c r="AH1966" t="n">
        <v>9</v>
      </c>
      <c r="AI1966" t="n">
        <v>9</v>
      </c>
      <c r="AJ1966" t="n">
        <v>7</v>
      </c>
      <c r="AK1966" t="n">
        <v>7</v>
      </c>
      <c r="AL1966" t="n">
        <v>12</v>
      </c>
      <c r="AM1966" t="n">
        <v>12</v>
      </c>
      <c r="AN1966" t="n">
        <v>4</v>
      </c>
      <c r="AO1966" t="n">
        <v>4</v>
      </c>
      <c r="AP1966" t="n">
        <v>0</v>
      </c>
      <c r="AQ1966" t="n">
        <v>0</v>
      </c>
      <c r="AR1966" t="inlineStr">
        <is>
          <t>No</t>
        </is>
      </c>
      <c r="AS1966" t="inlineStr">
        <is>
          <t>No</t>
        </is>
      </c>
      <c r="AU1966">
        <f>HYPERLINK("https://creighton-primo.hosted.exlibrisgroup.com/primo-explore/search?tab=default_tab&amp;search_scope=EVERYTHING&amp;vid=01CRU&amp;lang=en_US&amp;offset=0&amp;query=any,contains,991001943299702656","Catalog Record")</f>
        <v/>
      </c>
      <c r="AV1966">
        <f>HYPERLINK("http://www.worldcat.org/oclc/24545748","WorldCat Record")</f>
        <v/>
      </c>
      <c r="AW1966" t="inlineStr">
        <is>
          <t>863917656:eng</t>
        </is>
      </c>
      <c r="AX1966" t="inlineStr">
        <is>
          <t>24545748</t>
        </is>
      </c>
      <c r="AY1966" t="inlineStr">
        <is>
          <t>991001943299702656</t>
        </is>
      </c>
      <c r="AZ1966" t="inlineStr">
        <is>
          <t>991001943299702656</t>
        </is>
      </c>
      <c r="BA1966" t="inlineStr">
        <is>
          <t>2264549380002656</t>
        </is>
      </c>
      <c r="BB1966" t="inlineStr">
        <is>
          <t>BOOK</t>
        </is>
      </c>
      <c r="BD1966" t="inlineStr">
        <is>
          <t>9780521403665</t>
        </is>
      </c>
      <c r="BE1966" t="inlineStr">
        <is>
          <t>32285002051075</t>
        </is>
      </c>
      <c r="BF1966" t="inlineStr">
        <is>
          <t>893872916</t>
        </is>
      </c>
    </row>
    <row r="1967">
      <c r="A1967" t="inlineStr">
        <is>
          <t>No</t>
        </is>
      </c>
      <c r="B1967" t="inlineStr">
        <is>
          <t>CURAL</t>
        </is>
      </c>
      <c r="C1967" t="inlineStr">
        <is>
          <t>SHELVES</t>
        </is>
      </c>
      <c r="D1967" t="inlineStr">
        <is>
          <t>PR4688 .C3 1971b</t>
        </is>
      </c>
      <c r="E1967" t="inlineStr">
        <is>
          <t>0                      PR 4688000C  3           1971b</t>
        </is>
      </c>
      <c r="F1967" t="inlineStr">
        <is>
          <t>George Eliot : the critical heritage.</t>
        </is>
      </c>
      <c r="H1967" t="inlineStr">
        <is>
          <t>No</t>
        </is>
      </c>
      <c r="I1967" t="inlineStr">
        <is>
          <t>1</t>
        </is>
      </c>
      <c r="J1967" t="inlineStr">
        <is>
          <t>No</t>
        </is>
      </c>
      <c r="K1967" t="inlineStr">
        <is>
          <t>No</t>
        </is>
      </c>
      <c r="L1967" t="inlineStr">
        <is>
          <t>0</t>
        </is>
      </c>
      <c r="M1967" t="inlineStr">
        <is>
          <t>Carroll, David J., 1953- compiler.</t>
        </is>
      </c>
      <c r="N1967" t="inlineStr">
        <is>
          <t>New York : Barnes &amp; Noble, [1971]</t>
        </is>
      </c>
      <c r="O1967" t="inlineStr">
        <is>
          <t>1971</t>
        </is>
      </c>
      <c r="Q1967" t="inlineStr">
        <is>
          <t>eng</t>
        </is>
      </c>
      <c r="R1967" t="inlineStr">
        <is>
          <t>nyu</t>
        </is>
      </c>
      <c r="S1967" t="inlineStr">
        <is>
          <t>The Critical heritage series</t>
        </is>
      </c>
      <c r="T1967" t="inlineStr">
        <is>
          <t xml:space="preserve">PR </t>
        </is>
      </c>
      <c r="U1967" t="n">
        <v>3</v>
      </c>
      <c r="V1967" t="n">
        <v>3</v>
      </c>
      <c r="W1967" t="inlineStr">
        <is>
          <t>1997-11-23</t>
        </is>
      </c>
      <c r="X1967" t="inlineStr">
        <is>
          <t>1997-11-23</t>
        </is>
      </c>
      <c r="Y1967" t="inlineStr">
        <is>
          <t>1990-07-12</t>
        </is>
      </c>
      <c r="Z1967" t="inlineStr">
        <is>
          <t>1990-07-12</t>
        </is>
      </c>
      <c r="AA1967" t="n">
        <v>755</v>
      </c>
      <c r="AB1967" t="n">
        <v>713</v>
      </c>
      <c r="AC1967" t="n">
        <v>827</v>
      </c>
      <c r="AD1967" t="n">
        <v>5</v>
      </c>
      <c r="AE1967" t="n">
        <v>6</v>
      </c>
      <c r="AF1967" t="n">
        <v>39</v>
      </c>
      <c r="AG1967" t="n">
        <v>44</v>
      </c>
      <c r="AH1967" t="n">
        <v>17</v>
      </c>
      <c r="AI1967" t="n">
        <v>18</v>
      </c>
      <c r="AJ1967" t="n">
        <v>7</v>
      </c>
      <c r="AK1967" t="n">
        <v>10</v>
      </c>
      <c r="AL1967" t="n">
        <v>22</v>
      </c>
      <c r="AM1967" t="n">
        <v>23</v>
      </c>
      <c r="AN1967" t="n">
        <v>4</v>
      </c>
      <c r="AO1967" t="n">
        <v>5</v>
      </c>
      <c r="AP1967" t="n">
        <v>0</v>
      </c>
      <c r="AQ1967" t="n">
        <v>0</v>
      </c>
      <c r="AR1967" t="inlineStr">
        <is>
          <t>No</t>
        </is>
      </c>
      <c r="AS1967" t="inlineStr">
        <is>
          <t>No</t>
        </is>
      </c>
      <c r="AU1967">
        <f>HYPERLINK("https://creighton-primo.hosted.exlibrisgroup.com/primo-explore/search?tab=default_tab&amp;search_scope=EVERYTHING&amp;vid=01CRU&amp;lang=en_US&amp;offset=0&amp;query=any,contains,991000782249702656","Catalog Record")</f>
        <v/>
      </c>
      <c r="AV1967">
        <f>HYPERLINK("http://www.worldcat.org/oclc/135423","WorldCat Record")</f>
        <v/>
      </c>
      <c r="AW1967" t="inlineStr">
        <is>
          <t>2044321112:eng</t>
        </is>
      </c>
      <c r="AX1967" t="inlineStr">
        <is>
          <t>135423</t>
        </is>
      </c>
      <c r="AY1967" t="inlineStr">
        <is>
          <t>991000782249702656</t>
        </is>
      </c>
      <c r="AZ1967" t="inlineStr">
        <is>
          <t>991000782249702656</t>
        </is>
      </c>
      <c r="BA1967" t="inlineStr">
        <is>
          <t>2263442370002656</t>
        </is>
      </c>
      <c r="BB1967" t="inlineStr">
        <is>
          <t>BOOK</t>
        </is>
      </c>
      <c r="BD1967" t="inlineStr">
        <is>
          <t>9780389040736</t>
        </is>
      </c>
      <c r="BE1967" t="inlineStr">
        <is>
          <t>32285000230168</t>
        </is>
      </c>
      <c r="BF1967" t="inlineStr">
        <is>
          <t>893413676</t>
        </is>
      </c>
    </row>
    <row r="1968">
      <c r="A1968" t="inlineStr">
        <is>
          <t>No</t>
        </is>
      </c>
      <c r="B1968" t="inlineStr">
        <is>
          <t>CURAL</t>
        </is>
      </c>
      <c r="C1968" t="inlineStr">
        <is>
          <t>SHELVES</t>
        </is>
      </c>
      <c r="D1968" t="inlineStr">
        <is>
          <t>PR4688 .C7</t>
        </is>
      </c>
      <c r="E1968" t="inlineStr">
        <is>
          <t>0                      PR 4688000C  7</t>
        </is>
      </c>
      <c r="F1968" t="inlineStr">
        <is>
          <t>George Eliot: a collection of critical essays, edited by George R. Creeger.</t>
        </is>
      </c>
      <c r="H1968" t="inlineStr">
        <is>
          <t>No</t>
        </is>
      </c>
      <c r="I1968" t="inlineStr">
        <is>
          <t>1</t>
        </is>
      </c>
      <c r="J1968" t="inlineStr">
        <is>
          <t>No</t>
        </is>
      </c>
      <c r="K1968" t="inlineStr">
        <is>
          <t>No</t>
        </is>
      </c>
      <c r="L1968" t="inlineStr">
        <is>
          <t>0</t>
        </is>
      </c>
      <c r="M1968" t="inlineStr">
        <is>
          <t>Creeger, George R., compiler.</t>
        </is>
      </c>
      <c r="N1968" t="inlineStr">
        <is>
          <t>Englewood Cliffs, N.J., Prentice-Hall [1970]</t>
        </is>
      </c>
      <c r="O1968" t="inlineStr">
        <is>
          <t>1970</t>
        </is>
      </c>
      <c r="Q1968" t="inlineStr">
        <is>
          <t>eng</t>
        </is>
      </c>
      <c r="R1968" t="inlineStr">
        <is>
          <t>nju</t>
        </is>
      </c>
      <c r="S1968" t="inlineStr">
        <is>
          <t>A Spectrum book.</t>
        </is>
      </c>
      <c r="T1968" t="inlineStr">
        <is>
          <t xml:space="preserve">PR </t>
        </is>
      </c>
      <c r="U1968" t="n">
        <v>3</v>
      </c>
      <c r="V1968" t="n">
        <v>3</v>
      </c>
      <c r="W1968" t="inlineStr">
        <is>
          <t>1999-12-14</t>
        </is>
      </c>
      <c r="X1968" t="inlineStr">
        <is>
          <t>1999-12-14</t>
        </is>
      </c>
      <c r="Y1968" t="inlineStr">
        <is>
          <t>1997-07-14</t>
        </is>
      </c>
      <c r="Z1968" t="inlineStr">
        <is>
          <t>1997-07-14</t>
        </is>
      </c>
      <c r="AA1968" t="n">
        <v>1764</v>
      </c>
      <c r="AB1968" t="n">
        <v>1521</v>
      </c>
      <c r="AC1968" t="n">
        <v>1525</v>
      </c>
      <c r="AD1968" t="n">
        <v>13</v>
      </c>
      <c r="AE1968" t="n">
        <v>13</v>
      </c>
      <c r="AF1968" t="n">
        <v>51</v>
      </c>
      <c r="AG1968" t="n">
        <v>51</v>
      </c>
      <c r="AH1968" t="n">
        <v>21</v>
      </c>
      <c r="AI1968" t="n">
        <v>21</v>
      </c>
      <c r="AJ1968" t="n">
        <v>9</v>
      </c>
      <c r="AK1968" t="n">
        <v>9</v>
      </c>
      <c r="AL1968" t="n">
        <v>22</v>
      </c>
      <c r="AM1968" t="n">
        <v>22</v>
      </c>
      <c r="AN1968" t="n">
        <v>9</v>
      </c>
      <c r="AO1968" t="n">
        <v>9</v>
      </c>
      <c r="AP1968" t="n">
        <v>0</v>
      </c>
      <c r="AQ1968" t="n">
        <v>0</v>
      </c>
      <c r="AR1968" t="inlineStr">
        <is>
          <t>No</t>
        </is>
      </c>
      <c r="AS1968" t="inlineStr">
        <is>
          <t>No</t>
        </is>
      </c>
      <c r="AU1968">
        <f>HYPERLINK("https://creighton-primo.hosted.exlibrisgroup.com/primo-explore/search?tab=default_tab&amp;search_scope=EVERYTHING&amp;vid=01CRU&amp;lang=en_US&amp;offset=0&amp;query=any,contains,991000444099702656","Catalog Record")</f>
        <v/>
      </c>
      <c r="AV1968">
        <f>HYPERLINK("http://www.worldcat.org/oclc/76479","WorldCat Record")</f>
        <v/>
      </c>
      <c r="AW1968" t="inlineStr">
        <is>
          <t>1816097843:eng</t>
        </is>
      </c>
      <c r="AX1968" t="inlineStr">
        <is>
          <t>76479</t>
        </is>
      </c>
      <c r="AY1968" t="inlineStr">
        <is>
          <t>991000444099702656</t>
        </is>
      </c>
      <c r="AZ1968" t="inlineStr">
        <is>
          <t>991000444099702656</t>
        </is>
      </c>
      <c r="BA1968" t="inlineStr">
        <is>
          <t>2256983990002656</t>
        </is>
      </c>
      <c r="BB1968" t="inlineStr">
        <is>
          <t>BOOK</t>
        </is>
      </c>
      <c r="BD1968" t="inlineStr">
        <is>
          <t>9780132742900</t>
        </is>
      </c>
      <c r="BE1968" t="inlineStr">
        <is>
          <t>32285002893260</t>
        </is>
      </c>
      <c r="BF1968" t="inlineStr">
        <is>
          <t>893595549</t>
        </is>
      </c>
    </row>
    <row r="1969">
      <c r="A1969" t="inlineStr">
        <is>
          <t>No</t>
        </is>
      </c>
      <c r="B1969" t="inlineStr">
        <is>
          <t>CURAL</t>
        </is>
      </c>
      <c r="C1969" t="inlineStr">
        <is>
          <t>SHELVES</t>
        </is>
      </c>
      <c r="D1969" t="inlineStr">
        <is>
          <t>PR4688 .E76 1985</t>
        </is>
      </c>
      <c r="E1969" t="inlineStr">
        <is>
          <t>0                      PR 4688000E  76          1985</t>
        </is>
      </c>
      <c r="F1969" t="inlineStr">
        <is>
          <t>George Eliot / by Elizabeth Deeds Ermarth.</t>
        </is>
      </c>
      <c r="H1969" t="inlineStr">
        <is>
          <t>No</t>
        </is>
      </c>
      <c r="I1969" t="inlineStr">
        <is>
          <t>1</t>
        </is>
      </c>
      <c r="J1969" t="inlineStr">
        <is>
          <t>No</t>
        </is>
      </c>
      <c r="K1969" t="inlineStr">
        <is>
          <t>No</t>
        </is>
      </c>
      <c r="L1969" t="inlineStr">
        <is>
          <t>0</t>
        </is>
      </c>
      <c r="M1969" t="inlineStr">
        <is>
          <t>Ermarth, Elizabeth Deeds, 1939-</t>
        </is>
      </c>
      <c r="N1969" t="inlineStr">
        <is>
          <t>Boston : Twayne, 1985.</t>
        </is>
      </c>
      <c r="O1969" t="inlineStr">
        <is>
          <t>1985</t>
        </is>
      </c>
      <c r="Q1969" t="inlineStr">
        <is>
          <t>eng</t>
        </is>
      </c>
      <c r="R1969" t="inlineStr">
        <is>
          <t>mau</t>
        </is>
      </c>
      <c r="S1969" t="inlineStr">
        <is>
          <t>Twayne's English authors series ; TEAS 414</t>
        </is>
      </c>
      <c r="T1969" t="inlineStr">
        <is>
          <t xml:space="preserve">PR </t>
        </is>
      </c>
      <c r="U1969" t="n">
        <v>2</v>
      </c>
      <c r="V1969" t="n">
        <v>2</v>
      </c>
      <c r="W1969" t="inlineStr">
        <is>
          <t>1997-10-31</t>
        </is>
      </c>
      <c r="X1969" t="inlineStr">
        <is>
          <t>1997-10-31</t>
        </is>
      </c>
      <c r="Y1969" t="inlineStr">
        <is>
          <t>1991-11-07</t>
        </is>
      </c>
      <c r="Z1969" t="inlineStr">
        <is>
          <t>1991-11-07</t>
        </is>
      </c>
      <c r="AA1969" t="n">
        <v>1304</v>
      </c>
      <c r="AB1969" t="n">
        <v>1167</v>
      </c>
      <c r="AC1969" t="n">
        <v>1248</v>
      </c>
      <c r="AD1969" t="n">
        <v>9</v>
      </c>
      <c r="AE1969" t="n">
        <v>9</v>
      </c>
      <c r="AF1969" t="n">
        <v>36</v>
      </c>
      <c r="AG1969" t="n">
        <v>37</v>
      </c>
      <c r="AH1969" t="n">
        <v>13</v>
      </c>
      <c r="AI1969" t="n">
        <v>13</v>
      </c>
      <c r="AJ1969" t="n">
        <v>6</v>
      </c>
      <c r="AK1969" t="n">
        <v>6</v>
      </c>
      <c r="AL1969" t="n">
        <v>19</v>
      </c>
      <c r="AM1969" t="n">
        <v>20</v>
      </c>
      <c r="AN1969" t="n">
        <v>7</v>
      </c>
      <c r="AO1969" t="n">
        <v>7</v>
      </c>
      <c r="AP1969" t="n">
        <v>0</v>
      </c>
      <c r="AQ1969" t="n">
        <v>0</v>
      </c>
      <c r="AR1969" t="inlineStr">
        <is>
          <t>No</t>
        </is>
      </c>
      <c r="AS1969" t="inlineStr">
        <is>
          <t>Yes</t>
        </is>
      </c>
      <c r="AT1969">
        <f>HYPERLINK("http://catalog.hathitrust.org/Record/000421700","HathiTrust Record")</f>
        <v/>
      </c>
      <c r="AU1969">
        <f>HYPERLINK("https://creighton-primo.hosted.exlibrisgroup.com/primo-explore/search?tab=default_tab&amp;search_scope=EVERYTHING&amp;vid=01CRU&amp;lang=en_US&amp;offset=0&amp;query=any,contains,991000640449702656","Catalog Record")</f>
        <v/>
      </c>
      <c r="AV1969">
        <f>HYPERLINK("http://www.worldcat.org/oclc/12103974","WorldCat Record")</f>
        <v/>
      </c>
      <c r="AW1969" t="inlineStr">
        <is>
          <t>4809221:eng</t>
        </is>
      </c>
      <c r="AX1969" t="inlineStr">
        <is>
          <t>12103974</t>
        </is>
      </c>
      <c r="AY1969" t="inlineStr">
        <is>
          <t>991000640449702656</t>
        </is>
      </c>
      <c r="AZ1969" t="inlineStr">
        <is>
          <t>991000640449702656</t>
        </is>
      </c>
      <c r="BA1969" t="inlineStr">
        <is>
          <t>2260675380002656</t>
        </is>
      </c>
      <c r="BB1969" t="inlineStr">
        <is>
          <t>BOOK</t>
        </is>
      </c>
      <c r="BD1969" t="inlineStr">
        <is>
          <t>9780805769104</t>
        </is>
      </c>
      <c r="BE1969" t="inlineStr">
        <is>
          <t>32285000799170</t>
        </is>
      </c>
      <c r="BF1969" t="inlineStr">
        <is>
          <t>893778094</t>
        </is>
      </c>
    </row>
    <row r="1970">
      <c r="A1970" t="inlineStr">
        <is>
          <t>No</t>
        </is>
      </c>
      <c r="B1970" t="inlineStr">
        <is>
          <t>CURAL</t>
        </is>
      </c>
      <c r="C1970" t="inlineStr">
        <is>
          <t>SHELVES</t>
        </is>
      </c>
      <c r="D1970" t="inlineStr">
        <is>
          <t>PR4688 .G38 1980</t>
        </is>
      </c>
      <c r="E1970" t="inlineStr">
        <is>
          <t>0                      PR 4688000G  38          1980</t>
        </is>
      </c>
      <c r="F1970" t="inlineStr">
        <is>
          <t>George Eliot : centenary essays and an unpublished fragment / edited by Anne Smith.</t>
        </is>
      </c>
      <c r="H1970" t="inlineStr">
        <is>
          <t>No</t>
        </is>
      </c>
      <c r="I1970" t="inlineStr">
        <is>
          <t>1</t>
        </is>
      </c>
      <c r="J1970" t="inlineStr">
        <is>
          <t>No</t>
        </is>
      </c>
      <c r="K1970" t="inlineStr">
        <is>
          <t>No</t>
        </is>
      </c>
      <c r="L1970" t="inlineStr">
        <is>
          <t>0</t>
        </is>
      </c>
      <c r="N1970" t="inlineStr">
        <is>
          <t>Totowa, N.J. : Barnes &amp; Noble, 1980.</t>
        </is>
      </c>
      <c r="O1970" t="inlineStr">
        <is>
          <t>1980</t>
        </is>
      </c>
      <c r="Q1970" t="inlineStr">
        <is>
          <t>eng</t>
        </is>
      </c>
      <c r="R1970" t="inlineStr">
        <is>
          <t>nju</t>
        </is>
      </c>
      <c r="S1970" t="inlineStr">
        <is>
          <t>Barnes &amp; Noble critical studies</t>
        </is>
      </c>
      <c r="T1970" t="inlineStr">
        <is>
          <t xml:space="preserve">PR </t>
        </is>
      </c>
      <c r="U1970" t="n">
        <v>0</v>
      </c>
      <c r="V1970" t="n">
        <v>0</v>
      </c>
      <c r="W1970" t="inlineStr">
        <is>
          <t>2009-01-26</t>
        </is>
      </c>
      <c r="X1970" t="inlineStr">
        <is>
          <t>2009-01-26</t>
        </is>
      </c>
      <c r="Y1970" t="inlineStr">
        <is>
          <t>1991-11-07</t>
        </is>
      </c>
      <c r="Z1970" t="inlineStr">
        <is>
          <t>1991-11-07</t>
        </is>
      </c>
      <c r="AA1970" t="n">
        <v>451</v>
      </c>
      <c r="AB1970" t="n">
        <v>410</v>
      </c>
      <c r="AC1970" t="n">
        <v>475</v>
      </c>
      <c r="AD1970" t="n">
        <v>2</v>
      </c>
      <c r="AE1970" t="n">
        <v>4</v>
      </c>
      <c r="AF1970" t="n">
        <v>19</v>
      </c>
      <c r="AG1970" t="n">
        <v>23</v>
      </c>
      <c r="AH1970" t="n">
        <v>4</v>
      </c>
      <c r="AI1970" t="n">
        <v>4</v>
      </c>
      <c r="AJ1970" t="n">
        <v>9</v>
      </c>
      <c r="AK1970" t="n">
        <v>9</v>
      </c>
      <c r="AL1970" t="n">
        <v>12</v>
      </c>
      <c r="AM1970" t="n">
        <v>14</v>
      </c>
      <c r="AN1970" t="n">
        <v>1</v>
      </c>
      <c r="AO1970" t="n">
        <v>3</v>
      </c>
      <c r="AP1970" t="n">
        <v>0</v>
      </c>
      <c r="AQ1970" t="n">
        <v>0</v>
      </c>
      <c r="AR1970" t="inlineStr">
        <is>
          <t>No</t>
        </is>
      </c>
      <c r="AS1970" t="inlineStr">
        <is>
          <t>Yes</t>
        </is>
      </c>
      <c r="AT1970">
        <f>HYPERLINK("http://catalog.hathitrust.org/Record/000128581","HathiTrust Record")</f>
        <v/>
      </c>
      <c r="AU1970">
        <f>HYPERLINK("https://creighton-primo.hosted.exlibrisgroup.com/primo-explore/search?tab=default_tab&amp;search_scope=EVERYTHING&amp;vid=01CRU&amp;lang=en_US&amp;offset=0&amp;query=any,contains,991005083489702656","Catalog Record")</f>
        <v/>
      </c>
      <c r="AV1970">
        <f>HYPERLINK("http://www.worldcat.org/oclc/7176474","WorldCat Record")</f>
        <v/>
      </c>
      <c r="AW1970" t="inlineStr">
        <is>
          <t>4923900639:eng</t>
        </is>
      </c>
      <c r="AX1970" t="inlineStr">
        <is>
          <t>7176474</t>
        </is>
      </c>
      <c r="AY1970" t="inlineStr">
        <is>
          <t>991005083489702656</t>
        </is>
      </c>
      <c r="AZ1970" t="inlineStr">
        <is>
          <t>991005083489702656</t>
        </is>
      </c>
      <c r="BA1970" t="inlineStr">
        <is>
          <t>2272767970002656</t>
        </is>
      </c>
      <c r="BB1970" t="inlineStr">
        <is>
          <t>BOOK</t>
        </is>
      </c>
      <c r="BD1970" t="inlineStr">
        <is>
          <t>9780389200277</t>
        </is>
      </c>
      <c r="BE1970" t="inlineStr">
        <is>
          <t>32285000799196</t>
        </is>
      </c>
      <c r="BF1970" t="inlineStr">
        <is>
          <t>893248329</t>
        </is>
      </c>
    </row>
    <row r="1971">
      <c r="A1971" t="inlineStr">
        <is>
          <t>No</t>
        </is>
      </c>
      <c r="B1971" t="inlineStr">
        <is>
          <t>CURAL</t>
        </is>
      </c>
      <c r="C1971" t="inlineStr">
        <is>
          <t>SHELVES</t>
        </is>
      </c>
      <c r="D1971" t="inlineStr">
        <is>
          <t>PR4688 .H25</t>
        </is>
      </c>
      <c r="E1971" t="inlineStr">
        <is>
          <t>0                      PR 4688000H  25</t>
        </is>
      </c>
      <c r="F1971" t="inlineStr">
        <is>
          <t>A century of George Eliot criticism / edited by Gordon S. Haight.</t>
        </is>
      </c>
      <c r="H1971" t="inlineStr">
        <is>
          <t>No</t>
        </is>
      </c>
      <c r="I1971" t="inlineStr">
        <is>
          <t>1</t>
        </is>
      </c>
      <c r="J1971" t="inlineStr">
        <is>
          <t>No</t>
        </is>
      </c>
      <c r="K1971" t="inlineStr">
        <is>
          <t>No</t>
        </is>
      </c>
      <c r="L1971" t="inlineStr">
        <is>
          <t>0</t>
        </is>
      </c>
      <c r="M1971" t="inlineStr">
        <is>
          <t>Haight, Gordon Sherman editor.</t>
        </is>
      </c>
      <c r="N1971" t="inlineStr">
        <is>
          <t>Boston : Houghton Mifflin, [1965]</t>
        </is>
      </c>
      <c r="O1971" t="inlineStr">
        <is>
          <t>1965</t>
        </is>
      </c>
      <c r="Q1971" t="inlineStr">
        <is>
          <t>eng</t>
        </is>
      </c>
      <c r="R1971" t="inlineStr">
        <is>
          <t>mau</t>
        </is>
      </c>
      <c r="T1971" t="inlineStr">
        <is>
          <t xml:space="preserve">PR </t>
        </is>
      </c>
      <c r="U1971" t="n">
        <v>1</v>
      </c>
      <c r="V1971" t="n">
        <v>1</v>
      </c>
      <c r="W1971" t="inlineStr">
        <is>
          <t>1997-11-23</t>
        </is>
      </c>
      <c r="X1971" t="inlineStr">
        <is>
          <t>1997-11-23</t>
        </is>
      </c>
      <c r="Y1971" t="inlineStr">
        <is>
          <t>1994-02-24</t>
        </is>
      </c>
      <c r="Z1971" t="inlineStr">
        <is>
          <t>1994-02-24</t>
        </is>
      </c>
      <c r="AA1971" t="n">
        <v>640</v>
      </c>
      <c r="AB1971" t="n">
        <v>556</v>
      </c>
      <c r="AC1971" t="n">
        <v>598</v>
      </c>
      <c r="AD1971" t="n">
        <v>5</v>
      </c>
      <c r="AE1971" t="n">
        <v>5</v>
      </c>
      <c r="AF1971" t="n">
        <v>36</v>
      </c>
      <c r="AG1971" t="n">
        <v>37</v>
      </c>
      <c r="AH1971" t="n">
        <v>12</v>
      </c>
      <c r="AI1971" t="n">
        <v>12</v>
      </c>
      <c r="AJ1971" t="n">
        <v>9</v>
      </c>
      <c r="AK1971" t="n">
        <v>9</v>
      </c>
      <c r="AL1971" t="n">
        <v>21</v>
      </c>
      <c r="AM1971" t="n">
        <v>22</v>
      </c>
      <c r="AN1971" t="n">
        <v>4</v>
      </c>
      <c r="AO1971" t="n">
        <v>4</v>
      </c>
      <c r="AP1971" t="n">
        <v>0</v>
      </c>
      <c r="AQ1971" t="n">
        <v>0</v>
      </c>
      <c r="AR1971" t="inlineStr">
        <is>
          <t>No</t>
        </is>
      </c>
      <c r="AS1971" t="inlineStr">
        <is>
          <t>Yes</t>
        </is>
      </c>
      <c r="AT1971">
        <f>HYPERLINK("http://catalog.hathitrust.org/Record/000390113","HathiTrust Record")</f>
        <v/>
      </c>
      <c r="AU1971">
        <f>HYPERLINK("https://creighton-primo.hosted.exlibrisgroup.com/primo-explore/search?tab=default_tab&amp;search_scope=EVERYTHING&amp;vid=01CRU&amp;lang=en_US&amp;offset=0&amp;query=any,contains,991002482679702656","Catalog Record")</f>
        <v/>
      </c>
      <c r="AV1971">
        <f>HYPERLINK("http://www.worldcat.org/oclc/360152","WorldCat Record")</f>
        <v/>
      </c>
      <c r="AW1971" t="inlineStr">
        <is>
          <t>102292901:eng</t>
        </is>
      </c>
      <c r="AX1971" t="inlineStr">
        <is>
          <t>360152</t>
        </is>
      </c>
      <c r="AY1971" t="inlineStr">
        <is>
          <t>991002482679702656</t>
        </is>
      </c>
      <c r="AZ1971" t="inlineStr">
        <is>
          <t>991002482679702656</t>
        </is>
      </c>
      <c r="BA1971" t="inlineStr">
        <is>
          <t>2263775870002656</t>
        </is>
      </c>
      <c r="BB1971" t="inlineStr">
        <is>
          <t>BOOK</t>
        </is>
      </c>
      <c r="BE1971" t="inlineStr">
        <is>
          <t>32285001850188</t>
        </is>
      </c>
      <c r="BF1971" t="inlineStr">
        <is>
          <t>893498162</t>
        </is>
      </c>
    </row>
    <row r="1972">
      <c r="A1972" t="inlineStr">
        <is>
          <t>No</t>
        </is>
      </c>
      <c r="B1972" t="inlineStr">
        <is>
          <t>CURAL</t>
        </is>
      </c>
      <c r="C1972" t="inlineStr">
        <is>
          <t>SHELVES</t>
        </is>
      </c>
      <c r="D1972" t="inlineStr">
        <is>
          <t>PR4688 .H268 1970</t>
        </is>
      </c>
      <c r="E1972" t="inlineStr">
        <is>
          <t>0                      PR 4688000H  268         1970</t>
        </is>
      </c>
      <c r="F1972" t="inlineStr">
        <is>
          <t>Critical essays on George Eliot.</t>
        </is>
      </c>
      <c r="H1972" t="inlineStr">
        <is>
          <t>No</t>
        </is>
      </c>
      <c r="I1972" t="inlineStr">
        <is>
          <t>1</t>
        </is>
      </c>
      <c r="J1972" t="inlineStr">
        <is>
          <t>No</t>
        </is>
      </c>
      <c r="K1972" t="inlineStr">
        <is>
          <t>No</t>
        </is>
      </c>
      <c r="L1972" t="inlineStr">
        <is>
          <t>0</t>
        </is>
      </c>
      <c r="M1972" t="inlineStr">
        <is>
          <t>Hardy, Barbara, 1924-2016, compiler.</t>
        </is>
      </c>
      <c r="N1972" t="inlineStr">
        <is>
          <t>New York, Barnes &amp; Noble [1970]</t>
        </is>
      </c>
      <c r="O1972" t="inlineStr">
        <is>
          <t>1970</t>
        </is>
      </c>
      <c r="Q1972" t="inlineStr">
        <is>
          <t>eng</t>
        </is>
      </c>
      <c r="R1972" t="inlineStr">
        <is>
          <t>nyu</t>
        </is>
      </c>
      <c r="T1972" t="inlineStr">
        <is>
          <t xml:space="preserve">PR </t>
        </is>
      </c>
      <c r="U1972" t="n">
        <v>2</v>
      </c>
      <c r="V1972" t="n">
        <v>2</v>
      </c>
      <c r="W1972" t="inlineStr">
        <is>
          <t>2005-11-20</t>
        </is>
      </c>
      <c r="X1972" t="inlineStr">
        <is>
          <t>2005-11-20</t>
        </is>
      </c>
      <c r="Y1972" t="inlineStr">
        <is>
          <t>1997-07-14</t>
        </is>
      </c>
      <c r="Z1972" t="inlineStr">
        <is>
          <t>1997-07-14</t>
        </is>
      </c>
      <c r="AA1972" t="n">
        <v>585</v>
      </c>
      <c r="AB1972" t="n">
        <v>557</v>
      </c>
      <c r="AC1972" t="n">
        <v>865</v>
      </c>
      <c r="AD1972" t="n">
        <v>6</v>
      </c>
      <c r="AE1972" t="n">
        <v>9</v>
      </c>
      <c r="AF1972" t="n">
        <v>26</v>
      </c>
      <c r="AG1972" t="n">
        <v>42</v>
      </c>
      <c r="AH1972" t="n">
        <v>10</v>
      </c>
      <c r="AI1972" t="n">
        <v>15</v>
      </c>
      <c r="AJ1972" t="n">
        <v>7</v>
      </c>
      <c r="AK1972" t="n">
        <v>9</v>
      </c>
      <c r="AL1972" t="n">
        <v>9</v>
      </c>
      <c r="AM1972" t="n">
        <v>19</v>
      </c>
      <c r="AN1972" t="n">
        <v>5</v>
      </c>
      <c r="AO1972" t="n">
        <v>8</v>
      </c>
      <c r="AP1972" t="n">
        <v>0</v>
      </c>
      <c r="AQ1972" t="n">
        <v>0</v>
      </c>
      <c r="AR1972" t="inlineStr">
        <is>
          <t>No</t>
        </is>
      </c>
      <c r="AS1972" t="inlineStr">
        <is>
          <t>No</t>
        </is>
      </c>
      <c r="AU1972">
        <f>HYPERLINK("https://creighton-primo.hosted.exlibrisgroup.com/primo-explore/search?tab=default_tab&amp;search_scope=EVERYTHING&amp;vid=01CRU&amp;lang=en_US&amp;offset=0&amp;query=any,contains,991000140209702656","Catalog Record")</f>
        <v/>
      </c>
      <c r="AV1972">
        <f>HYPERLINK("http://www.worldcat.org/oclc/57572","WorldCat Record")</f>
        <v/>
      </c>
      <c r="AW1972" t="inlineStr">
        <is>
          <t>29126710:eng</t>
        </is>
      </c>
      <c r="AX1972" t="inlineStr">
        <is>
          <t>57572</t>
        </is>
      </c>
      <c r="AY1972" t="inlineStr">
        <is>
          <t>991000140209702656</t>
        </is>
      </c>
      <c r="AZ1972" t="inlineStr">
        <is>
          <t>991000140209702656</t>
        </is>
      </c>
      <c r="BA1972" t="inlineStr">
        <is>
          <t>2261826300002656</t>
        </is>
      </c>
      <c r="BB1972" t="inlineStr">
        <is>
          <t>BOOK</t>
        </is>
      </c>
      <c r="BD1972" t="inlineStr">
        <is>
          <t>9780389010852</t>
        </is>
      </c>
      <c r="BE1972" t="inlineStr">
        <is>
          <t>32285002893286</t>
        </is>
      </c>
      <c r="BF1972" t="inlineStr">
        <is>
          <t>893527840</t>
        </is>
      </c>
    </row>
    <row r="1973">
      <c r="A1973" t="inlineStr">
        <is>
          <t>No</t>
        </is>
      </c>
      <c r="B1973" t="inlineStr">
        <is>
          <t>CURAL</t>
        </is>
      </c>
      <c r="C1973" t="inlineStr">
        <is>
          <t>SHELVES</t>
        </is>
      </c>
      <c r="D1973" t="inlineStr">
        <is>
          <t>PR4688 .H27</t>
        </is>
      </c>
      <c r="E1973" t="inlineStr">
        <is>
          <t>0                      PR 4688000H  27</t>
        </is>
      </c>
      <c r="F1973" t="inlineStr">
        <is>
          <t>Particularities : readings in George Eliot / Barbara Hardy.</t>
        </is>
      </c>
      <c r="H1973" t="inlineStr">
        <is>
          <t>No</t>
        </is>
      </c>
      <c r="I1973" t="inlineStr">
        <is>
          <t>1</t>
        </is>
      </c>
      <c r="J1973" t="inlineStr">
        <is>
          <t>No</t>
        </is>
      </c>
      <c r="K1973" t="inlineStr">
        <is>
          <t>No</t>
        </is>
      </c>
      <c r="L1973" t="inlineStr">
        <is>
          <t>0</t>
        </is>
      </c>
      <c r="M1973" t="inlineStr">
        <is>
          <t>Hardy, Barbara, 1924-2016.</t>
        </is>
      </c>
      <c r="N1973" t="inlineStr">
        <is>
          <t>London : Peter Owen, 1982.</t>
        </is>
      </c>
      <c r="O1973" t="inlineStr">
        <is>
          <t>1982</t>
        </is>
      </c>
      <c r="Q1973" t="inlineStr">
        <is>
          <t>eng</t>
        </is>
      </c>
      <c r="R1973" t="inlineStr">
        <is>
          <t>enk</t>
        </is>
      </c>
      <c r="T1973" t="inlineStr">
        <is>
          <t xml:space="preserve">PR </t>
        </is>
      </c>
      <c r="U1973" t="n">
        <v>1</v>
      </c>
      <c r="V1973" t="n">
        <v>1</v>
      </c>
      <c r="W1973" t="inlineStr">
        <is>
          <t>2005-11-20</t>
        </is>
      </c>
      <c r="X1973" t="inlineStr">
        <is>
          <t>2005-11-20</t>
        </is>
      </c>
      <c r="Y1973" t="inlineStr">
        <is>
          <t>1991-11-07</t>
        </is>
      </c>
      <c r="Z1973" t="inlineStr">
        <is>
          <t>1991-11-07</t>
        </is>
      </c>
      <c r="AA1973" t="n">
        <v>267</v>
      </c>
      <c r="AB1973" t="n">
        <v>107</v>
      </c>
      <c r="AC1973" t="n">
        <v>522</v>
      </c>
      <c r="AD1973" t="n">
        <v>3</v>
      </c>
      <c r="AE1973" t="n">
        <v>5</v>
      </c>
      <c r="AF1973" t="n">
        <v>5</v>
      </c>
      <c r="AG1973" t="n">
        <v>35</v>
      </c>
      <c r="AH1973" t="n">
        <v>1</v>
      </c>
      <c r="AI1973" t="n">
        <v>17</v>
      </c>
      <c r="AJ1973" t="n">
        <v>3</v>
      </c>
      <c r="AK1973" t="n">
        <v>7</v>
      </c>
      <c r="AL1973" t="n">
        <v>1</v>
      </c>
      <c r="AM1973" t="n">
        <v>17</v>
      </c>
      <c r="AN1973" t="n">
        <v>2</v>
      </c>
      <c r="AO1973" t="n">
        <v>4</v>
      </c>
      <c r="AP1973" t="n">
        <v>0</v>
      </c>
      <c r="AQ1973" t="n">
        <v>0</v>
      </c>
      <c r="AR1973" t="inlineStr">
        <is>
          <t>No</t>
        </is>
      </c>
      <c r="AS1973" t="inlineStr">
        <is>
          <t>Yes</t>
        </is>
      </c>
      <c r="AT1973">
        <f>HYPERLINK("http://catalog.hathitrust.org/Record/000765735","HathiTrust Record")</f>
        <v/>
      </c>
      <c r="AU1973">
        <f>HYPERLINK("https://creighton-primo.hosted.exlibrisgroup.com/primo-explore/search?tab=default_tab&amp;search_scope=EVERYTHING&amp;vid=01CRU&amp;lang=en_US&amp;offset=0&amp;query=any,contains,991000088809702656","Catalog Record")</f>
        <v/>
      </c>
      <c r="AV1973">
        <f>HYPERLINK("http://www.worldcat.org/oclc/9757127","WorldCat Record")</f>
        <v/>
      </c>
      <c r="AW1973" t="inlineStr">
        <is>
          <t>43072379:eng</t>
        </is>
      </c>
      <c r="AX1973" t="inlineStr">
        <is>
          <t>9757127</t>
        </is>
      </c>
      <c r="AY1973" t="inlineStr">
        <is>
          <t>991000088809702656</t>
        </is>
      </c>
      <c r="AZ1973" t="inlineStr">
        <is>
          <t>991000088809702656</t>
        </is>
      </c>
      <c r="BA1973" t="inlineStr">
        <is>
          <t>2264511200002656</t>
        </is>
      </c>
      <c r="BB1973" t="inlineStr">
        <is>
          <t>BOOK</t>
        </is>
      </c>
      <c r="BD1973" t="inlineStr">
        <is>
          <t>9780720605990</t>
        </is>
      </c>
      <c r="BE1973" t="inlineStr">
        <is>
          <t>32285000799204</t>
        </is>
      </c>
      <c r="BF1973" t="inlineStr">
        <is>
          <t>893689408</t>
        </is>
      </c>
    </row>
    <row r="1974">
      <c r="A1974" t="inlineStr">
        <is>
          <t>No</t>
        </is>
      </c>
      <c r="B1974" t="inlineStr">
        <is>
          <t>CURAL</t>
        </is>
      </c>
      <c r="C1974" t="inlineStr">
        <is>
          <t>SHELVES</t>
        </is>
      </c>
      <c r="D1974" t="inlineStr">
        <is>
          <t>PR4688 .H47 2003</t>
        </is>
      </c>
      <c r="E1974" t="inlineStr">
        <is>
          <t>0                      PR 4688000H  47          2003</t>
        </is>
      </c>
      <c r="F1974" t="inlineStr">
        <is>
          <t>George Eliot's pulse / Neil Hertz.</t>
        </is>
      </c>
      <c r="H1974" t="inlineStr">
        <is>
          <t>No</t>
        </is>
      </c>
      <c r="I1974" t="inlineStr">
        <is>
          <t>1</t>
        </is>
      </c>
      <c r="J1974" t="inlineStr">
        <is>
          <t>No</t>
        </is>
      </c>
      <c r="K1974" t="inlineStr">
        <is>
          <t>No</t>
        </is>
      </c>
      <c r="L1974" t="inlineStr">
        <is>
          <t>0</t>
        </is>
      </c>
      <c r="M1974" t="inlineStr">
        <is>
          <t>Hertz, Neil.</t>
        </is>
      </c>
      <c r="N1974" t="inlineStr">
        <is>
          <t>Stanford, Calif. : Stanford University Press, 2003.</t>
        </is>
      </c>
      <c r="O1974" t="inlineStr">
        <is>
          <t>2003</t>
        </is>
      </c>
      <c r="Q1974" t="inlineStr">
        <is>
          <t>eng</t>
        </is>
      </c>
      <c r="R1974" t="inlineStr">
        <is>
          <t>cau</t>
        </is>
      </c>
      <c r="S1974" t="inlineStr">
        <is>
          <t>Meridian</t>
        </is>
      </c>
      <c r="T1974" t="inlineStr">
        <is>
          <t xml:space="preserve">PR </t>
        </is>
      </c>
      <c r="U1974" t="n">
        <v>3</v>
      </c>
      <c r="V1974" t="n">
        <v>3</v>
      </c>
      <c r="W1974" t="inlineStr">
        <is>
          <t>2005-11-20</t>
        </is>
      </c>
      <c r="X1974" t="inlineStr">
        <is>
          <t>2005-11-20</t>
        </is>
      </c>
      <c r="Y1974" t="inlineStr">
        <is>
          <t>2003-09-30</t>
        </is>
      </c>
      <c r="Z1974" t="inlineStr">
        <is>
          <t>2003-09-30</t>
        </is>
      </c>
      <c r="AA1974" t="n">
        <v>311</v>
      </c>
      <c r="AB1974" t="n">
        <v>226</v>
      </c>
      <c r="AC1974" t="n">
        <v>245</v>
      </c>
      <c r="AD1974" t="n">
        <v>3</v>
      </c>
      <c r="AE1974" t="n">
        <v>5</v>
      </c>
      <c r="AF1974" t="n">
        <v>18</v>
      </c>
      <c r="AG1974" t="n">
        <v>20</v>
      </c>
      <c r="AH1974" t="n">
        <v>6</v>
      </c>
      <c r="AI1974" t="n">
        <v>6</v>
      </c>
      <c r="AJ1974" t="n">
        <v>6</v>
      </c>
      <c r="AK1974" t="n">
        <v>6</v>
      </c>
      <c r="AL1974" t="n">
        <v>10</v>
      </c>
      <c r="AM1974" t="n">
        <v>10</v>
      </c>
      <c r="AN1974" t="n">
        <v>2</v>
      </c>
      <c r="AO1974" t="n">
        <v>4</v>
      </c>
      <c r="AP1974" t="n">
        <v>0</v>
      </c>
      <c r="AQ1974" t="n">
        <v>0</v>
      </c>
      <c r="AR1974" t="inlineStr">
        <is>
          <t>No</t>
        </is>
      </c>
      <c r="AS1974" t="inlineStr">
        <is>
          <t>Yes</t>
        </is>
      </c>
      <c r="AT1974">
        <f>HYPERLINK("http://catalog.hathitrust.org/Record/004316295","HathiTrust Record")</f>
        <v/>
      </c>
      <c r="AU1974">
        <f>HYPERLINK("https://creighton-primo.hosted.exlibrisgroup.com/primo-explore/search?tab=default_tab&amp;search_scope=EVERYTHING&amp;vid=01CRU&amp;lang=en_US&amp;offset=0&amp;query=any,contains,991004142219702656","Catalog Record")</f>
        <v/>
      </c>
      <c r="AV1974">
        <f>HYPERLINK("http://www.worldcat.org/oclc/51234884","WorldCat Record")</f>
        <v/>
      </c>
      <c r="AW1974" t="inlineStr">
        <is>
          <t>783102:eng</t>
        </is>
      </c>
      <c r="AX1974" t="inlineStr">
        <is>
          <t>51234884</t>
        </is>
      </c>
      <c r="AY1974" t="inlineStr">
        <is>
          <t>991004142219702656</t>
        </is>
      </c>
      <c r="AZ1974" t="inlineStr">
        <is>
          <t>991004142219702656</t>
        </is>
      </c>
      <c r="BA1974" t="inlineStr">
        <is>
          <t>2272672630002656</t>
        </is>
      </c>
      <c r="BB1974" t="inlineStr">
        <is>
          <t>BOOK</t>
        </is>
      </c>
      <c r="BD1974" t="inlineStr">
        <is>
          <t>9780804743891</t>
        </is>
      </c>
      <c r="BE1974" t="inlineStr">
        <is>
          <t>32285004791793</t>
        </is>
      </c>
      <c r="BF1974" t="inlineStr">
        <is>
          <t>893618290</t>
        </is>
      </c>
    </row>
    <row r="1975">
      <c r="A1975" t="inlineStr">
        <is>
          <t>No</t>
        </is>
      </c>
      <c r="B1975" t="inlineStr">
        <is>
          <t>CURAL</t>
        </is>
      </c>
      <c r="C1975" t="inlineStr">
        <is>
          <t>SHELVES</t>
        </is>
      </c>
      <c r="D1975" t="inlineStr">
        <is>
          <t>PR4688 .P5 1981</t>
        </is>
      </c>
      <c r="E1975" t="inlineStr">
        <is>
          <t>0                      PR 4688000P  5           1981</t>
        </is>
      </c>
      <c r="F1975" t="inlineStr">
        <is>
          <t>A George Eliot companion : literary achievement and modern significance / F.B. Pinion.</t>
        </is>
      </c>
      <c r="H1975" t="inlineStr">
        <is>
          <t>No</t>
        </is>
      </c>
      <c r="I1975" t="inlineStr">
        <is>
          <t>1</t>
        </is>
      </c>
      <c r="J1975" t="inlineStr">
        <is>
          <t>No</t>
        </is>
      </c>
      <c r="K1975" t="inlineStr">
        <is>
          <t>No</t>
        </is>
      </c>
      <c r="L1975" t="inlineStr">
        <is>
          <t>0</t>
        </is>
      </c>
      <c r="M1975" t="inlineStr">
        <is>
          <t>Pinion, F. B.</t>
        </is>
      </c>
      <c r="N1975" t="inlineStr">
        <is>
          <t>Totowa, N.J. : Barnes &amp; Noble, 1981.</t>
        </is>
      </c>
      <c r="O1975" t="inlineStr">
        <is>
          <t>1981</t>
        </is>
      </c>
      <c r="Q1975" t="inlineStr">
        <is>
          <t>eng</t>
        </is>
      </c>
      <c r="R1975" t="inlineStr">
        <is>
          <t>nju</t>
        </is>
      </c>
      <c r="T1975" t="inlineStr">
        <is>
          <t xml:space="preserve">PR </t>
        </is>
      </c>
      <c r="U1975" t="n">
        <v>1</v>
      </c>
      <c r="V1975" t="n">
        <v>1</v>
      </c>
      <c r="W1975" t="inlineStr">
        <is>
          <t>2005-11-20</t>
        </is>
      </c>
      <c r="X1975" t="inlineStr">
        <is>
          <t>2005-11-20</t>
        </is>
      </c>
      <c r="Y1975" t="inlineStr">
        <is>
          <t>1990-07-03</t>
        </is>
      </c>
      <c r="Z1975" t="inlineStr">
        <is>
          <t>1990-07-03</t>
        </is>
      </c>
      <c r="AA1975" t="n">
        <v>356</v>
      </c>
      <c r="AB1975" t="n">
        <v>315</v>
      </c>
      <c r="AC1975" t="n">
        <v>372</v>
      </c>
      <c r="AD1975" t="n">
        <v>4</v>
      </c>
      <c r="AE1975" t="n">
        <v>5</v>
      </c>
      <c r="AF1975" t="n">
        <v>16</v>
      </c>
      <c r="AG1975" t="n">
        <v>18</v>
      </c>
      <c r="AH1975" t="n">
        <v>4</v>
      </c>
      <c r="AI1975" t="n">
        <v>5</v>
      </c>
      <c r="AJ1975" t="n">
        <v>5</v>
      </c>
      <c r="AK1975" t="n">
        <v>5</v>
      </c>
      <c r="AL1975" t="n">
        <v>10</v>
      </c>
      <c r="AM1975" t="n">
        <v>11</v>
      </c>
      <c r="AN1975" t="n">
        <v>3</v>
      </c>
      <c r="AO1975" t="n">
        <v>4</v>
      </c>
      <c r="AP1975" t="n">
        <v>0</v>
      </c>
      <c r="AQ1975" t="n">
        <v>0</v>
      </c>
      <c r="AR1975" t="inlineStr">
        <is>
          <t>No</t>
        </is>
      </c>
      <c r="AS1975" t="inlineStr">
        <is>
          <t>No</t>
        </is>
      </c>
      <c r="AU1975">
        <f>HYPERLINK("https://creighton-primo.hosted.exlibrisgroup.com/primo-explore/search?tab=default_tab&amp;search_scope=EVERYTHING&amp;vid=01CRU&amp;lang=en_US&amp;offset=0&amp;query=any,contains,991005135689702656","Catalog Record")</f>
        <v/>
      </c>
      <c r="AV1975">
        <f>HYPERLINK("http://www.worldcat.org/oclc/7576750","WorldCat Record")</f>
        <v/>
      </c>
      <c r="AW1975" t="inlineStr">
        <is>
          <t>149785912:eng</t>
        </is>
      </c>
      <c r="AX1975" t="inlineStr">
        <is>
          <t>7576750</t>
        </is>
      </c>
      <c r="AY1975" t="inlineStr">
        <is>
          <t>991005135689702656</t>
        </is>
      </c>
      <c r="AZ1975" t="inlineStr">
        <is>
          <t>991005135689702656</t>
        </is>
      </c>
      <c r="BA1975" t="inlineStr">
        <is>
          <t>2262523860002656</t>
        </is>
      </c>
      <c r="BB1975" t="inlineStr">
        <is>
          <t>BOOK</t>
        </is>
      </c>
      <c r="BD1975" t="inlineStr">
        <is>
          <t>9780389202080</t>
        </is>
      </c>
      <c r="BE1975" t="inlineStr">
        <is>
          <t>32285000220862</t>
        </is>
      </c>
      <c r="BF1975" t="inlineStr">
        <is>
          <t>893236343</t>
        </is>
      </c>
    </row>
    <row r="1976">
      <c r="A1976" t="inlineStr">
        <is>
          <t>No</t>
        </is>
      </c>
      <c r="B1976" t="inlineStr">
        <is>
          <t>CURAL</t>
        </is>
      </c>
      <c r="C1976" t="inlineStr">
        <is>
          <t>SHELVES</t>
        </is>
      </c>
      <c r="D1976" t="inlineStr">
        <is>
          <t>PR469.D4 D4 1980</t>
        </is>
      </c>
      <c r="E1976" t="inlineStr">
        <is>
          <t>0                      PR 0469000D  4                  D  4           1980</t>
        </is>
      </c>
      <c r="F1976" t="inlineStr">
        <is>
          <t>Decadence and the 1890s / associate editor, Ian Fletcher.</t>
        </is>
      </c>
      <c r="H1976" t="inlineStr">
        <is>
          <t>No</t>
        </is>
      </c>
      <c r="I1976" t="inlineStr">
        <is>
          <t>1</t>
        </is>
      </c>
      <c r="J1976" t="inlineStr">
        <is>
          <t>No</t>
        </is>
      </c>
      <c r="K1976" t="inlineStr">
        <is>
          <t>No</t>
        </is>
      </c>
      <c r="L1976" t="inlineStr">
        <is>
          <t>0</t>
        </is>
      </c>
      <c r="N1976" t="inlineStr">
        <is>
          <t>New York : Holmes &amp; Meier Publishers, 1980, c1979.</t>
        </is>
      </c>
      <c r="O1976" t="inlineStr">
        <is>
          <t>1980</t>
        </is>
      </c>
      <c r="Q1976" t="inlineStr">
        <is>
          <t>eng</t>
        </is>
      </c>
      <c r="R1976" t="inlineStr">
        <is>
          <t>nyu</t>
        </is>
      </c>
      <c r="S1976" t="inlineStr">
        <is>
          <t>Stratford-upon-Avon studies ; 17</t>
        </is>
      </c>
      <c r="T1976" t="inlineStr">
        <is>
          <t xml:space="preserve">PR </t>
        </is>
      </c>
      <c r="U1976" t="n">
        <v>2</v>
      </c>
      <c r="V1976" t="n">
        <v>2</v>
      </c>
      <c r="W1976" t="inlineStr">
        <is>
          <t>1995-06-29</t>
        </is>
      </c>
      <c r="X1976" t="inlineStr">
        <is>
          <t>1995-06-29</t>
        </is>
      </c>
      <c r="Y1976" t="inlineStr">
        <is>
          <t>1990-04-10</t>
        </is>
      </c>
      <c r="Z1976" t="inlineStr">
        <is>
          <t>1990-04-10</t>
        </is>
      </c>
      <c r="AA1976" t="n">
        <v>267</v>
      </c>
      <c r="AB1976" t="n">
        <v>231</v>
      </c>
      <c r="AC1976" t="n">
        <v>344</v>
      </c>
      <c r="AD1976" t="n">
        <v>2</v>
      </c>
      <c r="AE1976" t="n">
        <v>4</v>
      </c>
      <c r="AF1976" t="n">
        <v>16</v>
      </c>
      <c r="AG1976" t="n">
        <v>23</v>
      </c>
      <c r="AH1976" t="n">
        <v>9</v>
      </c>
      <c r="AI1976" t="n">
        <v>9</v>
      </c>
      <c r="AJ1976" t="n">
        <v>3</v>
      </c>
      <c r="AK1976" t="n">
        <v>5</v>
      </c>
      <c r="AL1976" t="n">
        <v>7</v>
      </c>
      <c r="AM1976" t="n">
        <v>12</v>
      </c>
      <c r="AN1976" t="n">
        <v>1</v>
      </c>
      <c r="AO1976" t="n">
        <v>3</v>
      </c>
      <c r="AP1976" t="n">
        <v>0</v>
      </c>
      <c r="AQ1976" t="n">
        <v>0</v>
      </c>
      <c r="AR1976" t="inlineStr">
        <is>
          <t>No</t>
        </is>
      </c>
      <c r="AS1976" t="inlineStr">
        <is>
          <t>No</t>
        </is>
      </c>
      <c r="AU1976">
        <f>HYPERLINK("https://creighton-primo.hosted.exlibrisgroup.com/primo-explore/search?tab=default_tab&amp;search_scope=EVERYTHING&amp;vid=01CRU&amp;lang=en_US&amp;offset=0&amp;query=any,contains,991004822699702656","Catalog Record")</f>
        <v/>
      </c>
      <c r="AV1976">
        <f>HYPERLINK("http://www.worldcat.org/oclc/5336860","WorldCat Record")</f>
        <v/>
      </c>
      <c r="AW1976" t="inlineStr">
        <is>
          <t>54315290:eng</t>
        </is>
      </c>
      <c r="AX1976" t="inlineStr">
        <is>
          <t>5336860</t>
        </is>
      </c>
      <c r="AY1976" t="inlineStr">
        <is>
          <t>991004822699702656</t>
        </is>
      </c>
      <c r="AZ1976" t="inlineStr">
        <is>
          <t>991004822699702656</t>
        </is>
      </c>
      <c r="BA1976" t="inlineStr">
        <is>
          <t>2265222780002656</t>
        </is>
      </c>
      <c r="BB1976" t="inlineStr">
        <is>
          <t>BOOK</t>
        </is>
      </c>
      <c r="BD1976" t="inlineStr">
        <is>
          <t>9780841905689</t>
        </is>
      </c>
      <c r="BE1976" t="inlineStr">
        <is>
          <t>32285000120575</t>
        </is>
      </c>
      <c r="BF1976" t="inlineStr">
        <is>
          <t>893688205</t>
        </is>
      </c>
    </row>
    <row r="1977">
      <c r="A1977" t="inlineStr">
        <is>
          <t>No</t>
        </is>
      </c>
      <c r="B1977" t="inlineStr">
        <is>
          <t>CURAL</t>
        </is>
      </c>
      <c r="C1977" t="inlineStr">
        <is>
          <t>SHELVES</t>
        </is>
      </c>
      <c r="D1977" t="inlineStr">
        <is>
          <t>PR469.D4 M8</t>
        </is>
      </c>
      <c r="E1977" t="inlineStr">
        <is>
          <t>0                      PR 0469000D  4                  M  8</t>
        </is>
      </c>
      <c r="F1977" t="inlineStr">
        <is>
          <t>The decadent poetry of the eighteen-nineties / [by] John M. Munro.</t>
        </is>
      </c>
      <c r="H1977" t="inlineStr">
        <is>
          <t>No</t>
        </is>
      </c>
      <c r="I1977" t="inlineStr">
        <is>
          <t>1</t>
        </is>
      </c>
      <c r="J1977" t="inlineStr">
        <is>
          <t>No</t>
        </is>
      </c>
      <c r="K1977" t="inlineStr">
        <is>
          <t>No</t>
        </is>
      </c>
      <c r="L1977" t="inlineStr">
        <is>
          <t>0</t>
        </is>
      </c>
      <c r="M1977" t="inlineStr">
        <is>
          <t>Munro, John Murchison.</t>
        </is>
      </c>
      <c r="N1977" t="inlineStr">
        <is>
          <t>Beirut, Lebanon : American University of Beirut, 1970.</t>
        </is>
      </c>
      <c r="O1977" t="inlineStr">
        <is>
          <t>1970</t>
        </is>
      </c>
      <c r="Q1977" t="inlineStr">
        <is>
          <t>eng</t>
        </is>
      </c>
      <c r="R1977" t="inlineStr">
        <is>
          <t xml:space="preserve">le </t>
        </is>
      </c>
      <c r="T1977" t="inlineStr">
        <is>
          <t xml:space="preserve">PR </t>
        </is>
      </c>
      <c r="U1977" t="n">
        <v>1</v>
      </c>
      <c r="V1977" t="n">
        <v>1</v>
      </c>
      <c r="W1977" t="inlineStr">
        <is>
          <t>1995-04-03</t>
        </is>
      </c>
      <c r="X1977" t="inlineStr">
        <is>
          <t>1995-04-03</t>
        </is>
      </c>
      <c r="Y1977" t="inlineStr">
        <is>
          <t>1991-08-30</t>
        </is>
      </c>
      <c r="Z1977" t="inlineStr">
        <is>
          <t>1991-08-30</t>
        </is>
      </c>
      <c r="AA1977" t="n">
        <v>167</v>
      </c>
      <c r="AB1977" t="n">
        <v>106</v>
      </c>
      <c r="AC1977" t="n">
        <v>108</v>
      </c>
      <c r="AD1977" t="n">
        <v>2</v>
      </c>
      <c r="AE1977" t="n">
        <v>2</v>
      </c>
      <c r="AF1977" t="n">
        <v>6</v>
      </c>
      <c r="AG1977" t="n">
        <v>6</v>
      </c>
      <c r="AH1977" t="n">
        <v>1</v>
      </c>
      <c r="AI1977" t="n">
        <v>1</v>
      </c>
      <c r="AJ1977" t="n">
        <v>3</v>
      </c>
      <c r="AK1977" t="n">
        <v>3</v>
      </c>
      <c r="AL1977" t="n">
        <v>3</v>
      </c>
      <c r="AM1977" t="n">
        <v>3</v>
      </c>
      <c r="AN1977" t="n">
        <v>1</v>
      </c>
      <c r="AO1977" t="n">
        <v>1</v>
      </c>
      <c r="AP1977" t="n">
        <v>0</v>
      </c>
      <c r="AQ1977" t="n">
        <v>0</v>
      </c>
      <c r="AR1977" t="inlineStr">
        <is>
          <t>No</t>
        </is>
      </c>
      <c r="AS1977" t="inlineStr">
        <is>
          <t>No</t>
        </is>
      </c>
      <c r="AU1977">
        <f>HYPERLINK("https://creighton-primo.hosted.exlibrisgroup.com/primo-explore/search?tab=default_tab&amp;search_scope=EVERYTHING&amp;vid=01CRU&amp;lang=en_US&amp;offset=0&amp;query=any,contains,991000629759702656","Catalog Record")</f>
        <v/>
      </c>
      <c r="AV1977">
        <f>HYPERLINK("http://www.worldcat.org/oclc/105621","WorldCat Record")</f>
        <v/>
      </c>
      <c r="AW1977" t="inlineStr">
        <is>
          <t>1186670:eng</t>
        </is>
      </c>
      <c r="AX1977" t="inlineStr">
        <is>
          <t>105621</t>
        </is>
      </c>
      <c r="AY1977" t="inlineStr">
        <is>
          <t>991000629759702656</t>
        </is>
      </c>
      <c r="AZ1977" t="inlineStr">
        <is>
          <t>991000629759702656</t>
        </is>
      </c>
      <c r="BA1977" t="inlineStr">
        <is>
          <t>2263146930002656</t>
        </is>
      </c>
      <c r="BB1977" t="inlineStr">
        <is>
          <t>BOOK</t>
        </is>
      </c>
      <c r="BE1977" t="inlineStr">
        <is>
          <t>32285000733161</t>
        </is>
      </c>
      <c r="BF1977" t="inlineStr">
        <is>
          <t>893345828</t>
        </is>
      </c>
    </row>
    <row r="1978">
      <c r="A1978" t="inlineStr">
        <is>
          <t>No</t>
        </is>
      </c>
      <c r="B1978" t="inlineStr">
        <is>
          <t>CURAL</t>
        </is>
      </c>
      <c r="C1978" t="inlineStr">
        <is>
          <t>SHELVES</t>
        </is>
      </c>
      <c r="D1978" t="inlineStr">
        <is>
          <t>PR469.I3 J3 1969</t>
        </is>
      </c>
      <c r="E1978" t="inlineStr">
        <is>
          <t>0                      PR 0469000I  3                  J  3           1969</t>
        </is>
      </c>
      <c r="F1978" t="inlineStr">
        <is>
          <t>The rise and fall of 19th century idealism.</t>
        </is>
      </c>
      <c r="H1978" t="inlineStr">
        <is>
          <t>No</t>
        </is>
      </c>
      <c r="I1978" t="inlineStr">
        <is>
          <t>1</t>
        </is>
      </c>
      <c r="J1978" t="inlineStr">
        <is>
          <t>No</t>
        </is>
      </c>
      <c r="K1978" t="inlineStr">
        <is>
          <t>No</t>
        </is>
      </c>
      <c r="L1978" t="inlineStr">
        <is>
          <t>0</t>
        </is>
      </c>
      <c r="M1978" t="inlineStr">
        <is>
          <t>Jackson, Holbrook, 1874-1948.</t>
        </is>
      </c>
      <c r="N1978" t="inlineStr">
        <is>
          <t>New York, Citadel Press [1969]</t>
        </is>
      </c>
      <c r="O1978" t="inlineStr">
        <is>
          <t>1969</t>
        </is>
      </c>
      <c r="Q1978" t="inlineStr">
        <is>
          <t>eng</t>
        </is>
      </c>
      <c r="R1978" t="inlineStr">
        <is>
          <t xml:space="preserve">xx </t>
        </is>
      </c>
      <c r="T1978" t="inlineStr">
        <is>
          <t xml:space="preserve">PR </t>
        </is>
      </c>
      <c r="U1978" t="n">
        <v>5</v>
      </c>
      <c r="V1978" t="n">
        <v>5</v>
      </c>
      <c r="W1978" t="inlineStr">
        <is>
          <t>1999-08-31</t>
        </is>
      </c>
      <c r="X1978" t="inlineStr">
        <is>
          <t>1999-08-31</t>
        </is>
      </c>
      <c r="Y1978" t="inlineStr">
        <is>
          <t>1997-08-22</t>
        </is>
      </c>
      <c r="Z1978" t="inlineStr">
        <is>
          <t>1997-08-22</t>
        </is>
      </c>
      <c r="AA1978" t="n">
        <v>68</v>
      </c>
      <c r="AB1978" t="n">
        <v>52</v>
      </c>
      <c r="AC1978" t="n">
        <v>55</v>
      </c>
      <c r="AD1978" t="n">
        <v>1</v>
      </c>
      <c r="AE1978" t="n">
        <v>1</v>
      </c>
      <c r="AF1978" t="n">
        <v>3</v>
      </c>
      <c r="AG1978" t="n">
        <v>3</v>
      </c>
      <c r="AH1978" t="n">
        <v>1</v>
      </c>
      <c r="AI1978" t="n">
        <v>1</v>
      </c>
      <c r="AJ1978" t="n">
        <v>2</v>
      </c>
      <c r="AK1978" t="n">
        <v>2</v>
      </c>
      <c r="AL1978" t="n">
        <v>1</v>
      </c>
      <c r="AM1978" t="n">
        <v>1</v>
      </c>
      <c r="AN1978" t="n">
        <v>0</v>
      </c>
      <c r="AO1978" t="n">
        <v>0</v>
      </c>
      <c r="AP1978" t="n">
        <v>0</v>
      </c>
      <c r="AQ1978" t="n">
        <v>0</v>
      </c>
      <c r="AR1978" t="inlineStr">
        <is>
          <t>No</t>
        </is>
      </c>
      <c r="AS1978" t="inlineStr">
        <is>
          <t>No</t>
        </is>
      </c>
      <c r="AU1978">
        <f>HYPERLINK("https://creighton-primo.hosted.exlibrisgroup.com/primo-explore/search?tab=default_tab&amp;search_scope=EVERYTHING&amp;vid=01CRU&amp;lang=en_US&amp;offset=0&amp;query=any,contains,991002194109702656","Catalog Record")</f>
        <v/>
      </c>
      <c r="AV1978">
        <f>HYPERLINK("http://www.worldcat.org/oclc/282416","WorldCat Record")</f>
        <v/>
      </c>
      <c r="AW1978" t="inlineStr">
        <is>
          <t>3901430016:eng</t>
        </is>
      </c>
      <c r="AX1978" t="inlineStr">
        <is>
          <t>282416</t>
        </is>
      </c>
      <c r="AY1978" t="inlineStr">
        <is>
          <t>991002194109702656</t>
        </is>
      </c>
      <c r="AZ1978" t="inlineStr">
        <is>
          <t>991002194109702656</t>
        </is>
      </c>
      <c r="BA1978" t="inlineStr">
        <is>
          <t>2266241640002656</t>
        </is>
      </c>
      <c r="BB1978" t="inlineStr">
        <is>
          <t>BOOK</t>
        </is>
      </c>
      <c r="BE1978" t="inlineStr">
        <is>
          <t>32285003152864</t>
        </is>
      </c>
      <c r="BF1978" t="inlineStr">
        <is>
          <t>893226562</t>
        </is>
      </c>
    </row>
    <row r="1979">
      <c r="A1979" t="inlineStr">
        <is>
          <t>No</t>
        </is>
      </c>
      <c r="B1979" t="inlineStr">
        <is>
          <t>CURAL</t>
        </is>
      </c>
      <c r="C1979" t="inlineStr">
        <is>
          <t>SHELVES</t>
        </is>
      </c>
      <c r="D1979" t="inlineStr">
        <is>
          <t>PR469.M55 E2 1988</t>
        </is>
      </c>
      <c r="E1979" t="inlineStr">
        <is>
          <t>0                      PR 0469000M  55                 E  2           1988</t>
        </is>
      </c>
      <c r="F1979" t="inlineStr">
        <is>
          <t>The road to Armageddon : the martial spirit in English popular literature, 1870-1914 / Cecil DeGrotte Eby.</t>
        </is>
      </c>
      <c r="H1979" t="inlineStr">
        <is>
          <t>No</t>
        </is>
      </c>
      <c r="I1979" t="inlineStr">
        <is>
          <t>1</t>
        </is>
      </c>
      <c r="J1979" t="inlineStr">
        <is>
          <t>No</t>
        </is>
      </c>
      <c r="K1979" t="inlineStr">
        <is>
          <t>No</t>
        </is>
      </c>
      <c r="L1979" t="inlineStr">
        <is>
          <t>0</t>
        </is>
      </c>
      <c r="M1979" t="inlineStr">
        <is>
          <t>Eby, Cecil D.</t>
        </is>
      </c>
      <c r="N1979" t="inlineStr">
        <is>
          <t>Durham : Duke University Press, 1987, c1988.</t>
        </is>
      </c>
      <c r="O1979" t="inlineStr">
        <is>
          <t>1987</t>
        </is>
      </c>
      <c r="Q1979" t="inlineStr">
        <is>
          <t>eng</t>
        </is>
      </c>
      <c r="R1979" t="inlineStr">
        <is>
          <t>ncu</t>
        </is>
      </c>
      <c r="T1979" t="inlineStr">
        <is>
          <t xml:space="preserve">PR </t>
        </is>
      </c>
      <c r="U1979" t="n">
        <v>3</v>
      </c>
      <c r="V1979" t="n">
        <v>3</v>
      </c>
      <c r="W1979" t="inlineStr">
        <is>
          <t>1995-11-16</t>
        </is>
      </c>
      <c r="X1979" t="inlineStr">
        <is>
          <t>1995-11-16</t>
        </is>
      </c>
      <c r="Y1979" t="inlineStr">
        <is>
          <t>1991-08-30</t>
        </is>
      </c>
      <c r="Z1979" t="inlineStr">
        <is>
          <t>1991-08-30</t>
        </is>
      </c>
      <c r="AA1979" t="n">
        <v>379</v>
      </c>
      <c r="AB1979" t="n">
        <v>288</v>
      </c>
      <c r="AC1979" t="n">
        <v>290</v>
      </c>
      <c r="AD1979" t="n">
        <v>3</v>
      </c>
      <c r="AE1979" t="n">
        <v>3</v>
      </c>
      <c r="AF1979" t="n">
        <v>15</v>
      </c>
      <c r="AG1979" t="n">
        <v>15</v>
      </c>
      <c r="AH1979" t="n">
        <v>3</v>
      </c>
      <c r="AI1979" t="n">
        <v>3</v>
      </c>
      <c r="AJ1979" t="n">
        <v>5</v>
      </c>
      <c r="AK1979" t="n">
        <v>5</v>
      </c>
      <c r="AL1979" t="n">
        <v>10</v>
      </c>
      <c r="AM1979" t="n">
        <v>10</v>
      </c>
      <c r="AN1979" t="n">
        <v>2</v>
      </c>
      <c r="AO1979" t="n">
        <v>2</v>
      </c>
      <c r="AP1979" t="n">
        <v>0</v>
      </c>
      <c r="AQ1979" t="n">
        <v>0</v>
      </c>
      <c r="AR1979" t="inlineStr">
        <is>
          <t>No</t>
        </is>
      </c>
      <c r="AS1979" t="inlineStr">
        <is>
          <t>Yes</t>
        </is>
      </c>
      <c r="AT1979">
        <f>HYPERLINK("http://catalog.hathitrust.org/Record/000866392","HathiTrust Record")</f>
        <v/>
      </c>
      <c r="AU1979">
        <f>HYPERLINK("https://creighton-primo.hosted.exlibrisgroup.com/primo-explore/search?tab=default_tab&amp;search_scope=EVERYTHING&amp;vid=01CRU&amp;lang=en_US&amp;offset=0&amp;query=any,contains,991001050419702656","Catalog Record")</f>
        <v/>
      </c>
      <c r="AV1979">
        <f>HYPERLINK("http://www.worldcat.org/oclc/15652627","WorldCat Record")</f>
        <v/>
      </c>
      <c r="AW1979" t="inlineStr">
        <is>
          <t>20776653:eng</t>
        </is>
      </c>
      <c r="AX1979" t="inlineStr">
        <is>
          <t>15652627</t>
        </is>
      </c>
      <c r="AY1979" t="inlineStr">
        <is>
          <t>991001050419702656</t>
        </is>
      </c>
      <c r="AZ1979" t="inlineStr">
        <is>
          <t>991001050419702656</t>
        </is>
      </c>
      <c r="BA1979" t="inlineStr">
        <is>
          <t>2268536010002656</t>
        </is>
      </c>
      <c r="BB1979" t="inlineStr">
        <is>
          <t>BOOK</t>
        </is>
      </c>
      <c r="BD1979" t="inlineStr">
        <is>
          <t>9780822307754</t>
        </is>
      </c>
      <c r="BE1979" t="inlineStr">
        <is>
          <t>32285000733211</t>
        </is>
      </c>
      <c r="BF1979" t="inlineStr">
        <is>
          <t>893897460</t>
        </is>
      </c>
    </row>
    <row r="1980">
      <c r="A1980" t="inlineStr">
        <is>
          <t>No</t>
        </is>
      </c>
      <c r="B1980" t="inlineStr">
        <is>
          <t>CURAL</t>
        </is>
      </c>
      <c r="C1980" t="inlineStr">
        <is>
          <t>SHELVES</t>
        </is>
      </c>
      <c r="D1980" t="inlineStr">
        <is>
          <t>PR469.R4 M5</t>
        </is>
      </c>
      <c r="E1980" t="inlineStr">
        <is>
          <t>0                      PR 0469000R  4                  M  5</t>
        </is>
      </c>
      <c r="F1980" t="inlineStr">
        <is>
          <t>The disappearance of God; five nineteenth-century writers.</t>
        </is>
      </c>
      <c r="H1980" t="inlineStr">
        <is>
          <t>No</t>
        </is>
      </c>
      <c r="I1980" t="inlineStr">
        <is>
          <t>1</t>
        </is>
      </c>
      <c r="J1980" t="inlineStr">
        <is>
          <t>No</t>
        </is>
      </c>
      <c r="K1980" t="inlineStr">
        <is>
          <t>No</t>
        </is>
      </c>
      <c r="L1980" t="inlineStr">
        <is>
          <t>0</t>
        </is>
      </c>
      <c r="M1980" t="inlineStr">
        <is>
          <t>Miller, J. Hillis (Joseph Hillis), 1928-</t>
        </is>
      </c>
      <c r="N1980" t="inlineStr">
        <is>
          <t>Cambridge, Mass., Belknap Press of Harvard University Press, 1963.</t>
        </is>
      </c>
      <c r="O1980" t="inlineStr">
        <is>
          <t>1963</t>
        </is>
      </c>
      <c r="Q1980" t="inlineStr">
        <is>
          <t>eng</t>
        </is>
      </c>
      <c r="R1980" t="inlineStr">
        <is>
          <t>mau</t>
        </is>
      </c>
      <c r="T1980" t="inlineStr">
        <is>
          <t xml:space="preserve">PR </t>
        </is>
      </c>
      <c r="U1980" t="n">
        <v>1</v>
      </c>
      <c r="V1980" t="n">
        <v>1</v>
      </c>
      <c r="W1980" t="inlineStr">
        <is>
          <t>2004-12-17</t>
        </is>
      </c>
      <c r="X1980" t="inlineStr">
        <is>
          <t>2004-12-17</t>
        </is>
      </c>
      <c r="Y1980" t="inlineStr">
        <is>
          <t>1997-08-22</t>
        </is>
      </c>
      <c r="Z1980" t="inlineStr">
        <is>
          <t>1997-08-22</t>
        </is>
      </c>
      <c r="AA1980" t="n">
        <v>1231</v>
      </c>
      <c r="AB1980" t="n">
        <v>1060</v>
      </c>
      <c r="AC1980" t="n">
        <v>1247</v>
      </c>
      <c r="AD1980" t="n">
        <v>10</v>
      </c>
      <c r="AE1980" t="n">
        <v>10</v>
      </c>
      <c r="AF1980" t="n">
        <v>51</v>
      </c>
      <c r="AG1980" t="n">
        <v>54</v>
      </c>
      <c r="AH1980" t="n">
        <v>21</v>
      </c>
      <c r="AI1980" t="n">
        <v>23</v>
      </c>
      <c r="AJ1980" t="n">
        <v>10</v>
      </c>
      <c r="AK1980" t="n">
        <v>10</v>
      </c>
      <c r="AL1980" t="n">
        <v>23</v>
      </c>
      <c r="AM1980" t="n">
        <v>26</v>
      </c>
      <c r="AN1980" t="n">
        <v>9</v>
      </c>
      <c r="AO1980" t="n">
        <v>9</v>
      </c>
      <c r="AP1980" t="n">
        <v>0</v>
      </c>
      <c r="AQ1980" t="n">
        <v>0</v>
      </c>
      <c r="AR1980" t="inlineStr">
        <is>
          <t>No</t>
        </is>
      </c>
      <c r="AS1980" t="inlineStr">
        <is>
          <t>Yes</t>
        </is>
      </c>
      <c r="AT1980">
        <f>HYPERLINK("http://catalog.hathitrust.org/Record/001016409","HathiTrust Record")</f>
        <v/>
      </c>
      <c r="AU1980">
        <f>HYPERLINK("https://creighton-primo.hosted.exlibrisgroup.com/primo-explore/search?tab=default_tab&amp;search_scope=EVERYTHING&amp;vid=01CRU&amp;lang=en_US&amp;offset=0&amp;query=any,contains,991002165689702656","Catalog Record")</f>
        <v/>
      </c>
      <c r="AV1980">
        <f>HYPERLINK("http://www.worldcat.org/oclc/275197","WorldCat Record")</f>
        <v/>
      </c>
      <c r="AW1980" t="inlineStr">
        <is>
          <t>1409728:eng</t>
        </is>
      </c>
      <c r="AX1980" t="inlineStr">
        <is>
          <t>275197</t>
        </is>
      </c>
      <c r="AY1980" t="inlineStr">
        <is>
          <t>991002165689702656</t>
        </is>
      </c>
      <c r="AZ1980" t="inlineStr">
        <is>
          <t>991002165689702656</t>
        </is>
      </c>
      <c r="BA1980" t="inlineStr">
        <is>
          <t>2263619850002656</t>
        </is>
      </c>
      <c r="BB1980" t="inlineStr">
        <is>
          <t>BOOK</t>
        </is>
      </c>
      <c r="BE1980" t="inlineStr">
        <is>
          <t>32285003152880</t>
        </is>
      </c>
      <c r="BF1980" t="inlineStr">
        <is>
          <t>893903733</t>
        </is>
      </c>
    </row>
    <row r="1981">
      <c r="A1981" t="inlineStr">
        <is>
          <t>No</t>
        </is>
      </c>
      <c r="B1981" t="inlineStr">
        <is>
          <t>CURAL</t>
        </is>
      </c>
      <c r="C1981" t="inlineStr">
        <is>
          <t>SHELVES</t>
        </is>
      </c>
      <c r="D1981" t="inlineStr">
        <is>
          <t>PR469.S4 G6</t>
        </is>
      </c>
      <c r="E1981" t="inlineStr">
        <is>
          <t>0                      PR 0469000S  4                  G  6</t>
        </is>
      </c>
      <c r="F1981" t="inlineStr">
        <is>
          <t>Sexual repression and victorian literature / [by] Russell M. Goldfarb.</t>
        </is>
      </c>
      <c r="H1981" t="inlineStr">
        <is>
          <t>No</t>
        </is>
      </c>
      <c r="I1981" t="inlineStr">
        <is>
          <t>1</t>
        </is>
      </c>
      <c r="J1981" t="inlineStr">
        <is>
          <t>No</t>
        </is>
      </c>
      <c r="K1981" t="inlineStr">
        <is>
          <t>No</t>
        </is>
      </c>
      <c r="L1981" t="inlineStr">
        <is>
          <t>0</t>
        </is>
      </c>
      <c r="M1981" t="inlineStr">
        <is>
          <t>Goldfarb, Russell M., 1934-</t>
        </is>
      </c>
      <c r="N1981" t="inlineStr">
        <is>
          <t>Lewisburg : Bucknell University Press, [1970]</t>
        </is>
      </c>
      <c r="O1981" t="inlineStr">
        <is>
          <t>1970</t>
        </is>
      </c>
      <c r="Q1981" t="inlineStr">
        <is>
          <t>eng</t>
        </is>
      </c>
      <c r="R1981" t="inlineStr">
        <is>
          <t>pau</t>
        </is>
      </c>
      <c r="T1981" t="inlineStr">
        <is>
          <t xml:space="preserve">PR </t>
        </is>
      </c>
      <c r="U1981" t="n">
        <v>3</v>
      </c>
      <c r="V1981" t="n">
        <v>3</v>
      </c>
      <c r="W1981" t="inlineStr">
        <is>
          <t>2003-03-23</t>
        </is>
      </c>
      <c r="X1981" t="inlineStr">
        <is>
          <t>2003-03-23</t>
        </is>
      </c>
      <c r="Y1981" t="inlineStr">
        <is>
          <t>1991-09-03</t>
        </is>
      </c>
      <c r="Z1981" t="inlineStr">
        <is>
          <t>1991-09-03</t>
        </is>
      </c>
      <c r="AA1981" t="n">
        <v>822</v>
      </c>
      <c r="AB1981" t="n">
        <v>718</v>
      </c>
      <c r="AC1981" t="n">
        <v>720</v>
      </c>
      <c r="AD1981" t="n">
        <v>8</v>
      </c>
      <c r="AE1981" t="n">
        <v>8</v>
      </c>
      <c r="AF1981" t="n">
        <v>28</v>
      </c>
      <c r="AG1981" t="n">
        <v>28</v>
      </c>
      <c r="AH1981" t="n">
        <v>10</v>
      </c>
      <c r="AI1981" t="n">
        <v>10</v>
      </c>
      <c r="AJ1981" t="n">
        <v>4</v>
      </c>
      <c r="AK1981" t="n">
        <v>4</v>
      </c>
      <c r="AL1981" t="n">
        <v>12</v>
      </c>
      <c r="AM1981" t="n">
        <v>12</v>
      </c>
      <c r="AN1981" t="n">
        <v>7</v>
      </c>
      <c r="AO1981" t="n">
        <v>7</v>
      </c>
      <c r="AP1981" t="n">
        <v>0</v>
      </c>
      <c r="AQ1981" t="n">
        <v>0</v>
      </c>
      <c r="AR1981" t="inlineStr">
        <is>
          <t>No</t>
        </is>
      </c>
      <c r="AS1981" t="inlineStr">
        <is>
          <t>Yes</t>
        </is>
      </c>
      <c r="AT1981">
        <f>HYPERLINK("http://catalog.hathitrust.org/Record/001370851","HathiTrust Record")</f>
        <v/>
      </c>
      <c r="AU1981">
        <f>HYPERLINK("https://creighton-primo.hosted.exlibrisgroup.com/primo-explore/search?tab=default_tab&amp;search_scope=EVERYTHING&amp;vid=01CRU&amp;lang=en_US&amp;offset=0&amp;query=any,contains,991000555449702656","Catalog Record")</f>
        <v/>
      </c>
      <c r="AV1981">
        <f>HYPERLINK("http://www.worldcat.org/oclc/93063","WorldCat Record")</f>
        <v/>
      </c>
      <c r="AW1981" t="inlineStr">
        <is>
          <t>351574771:eng</t>
        </is>
      </c>
      <c r="AX1981" t="inlineStr">
        <is>
          <t>93063</t>
        </is>
      </c>
      <c r="AY1981" t="inlineStr">
        <is>
          <t>991000555449702656</t>
        </is>
      </c>
      <c r="AZ1981" t="inlineStr">
        <is>
          <t>991000555449702656</t>
        </is>
      </c>
      <c r="BA1981" t="inlineStr">
        <is>
          <t>2265576690002656</t>
        </is>
      </c>
      <c r="BB1981" t="inlineStr">
        <is>
          <t>BOOK</t>
        </is>
      </c>
      <c r="BD1981" t="inlineStr">
        <is>
          <t>9780838776193</t>
        </is>
      </c>
      <c r="BE1981" t="inlineStr">
        <is>
          <t>32285000733252</t>
        </is>
      </c>
      <c r="BF1981" t="inlineStr">
        <is>
          <t>893683530</t>
        </is>
      </c>
    </row>
    <row r="1982">
      <c r="A1982" t="inlineStr">
        <is>
          <t>No</t>
        </is>
      </c>
      <c r="B1982" t="inlineStr">
        <is>
          <t>CURAL</t>
        </is>
      </c>
      <c r="C1982" t="inlineStr">
        <is>
          <t>SHELVES</t>
        </is>
      </c>
      <c r="D1982" t="inlineStr">
        <is>
          <t>PR469.W65 A93 1982</t>
        </is>
      </c>
      <c r="E1982" t="inlineStr">
        <is>
          <t>0                      PR 0469000W  65                 A  93          1982</t>
        </is>
      </c>
      <c r="F1982" t="inlineStr">
        <is>
          <t>Woman and the demon : the life of a Victorian myth / Nina Auerbach.</t>
        </is>
      </c>
      <c r="H1982" t="inlineStr">
        <is>
          <t>No</t>
        </is>
      </c>
      <c r="I1982" t="inlineStr">
        <is>
          <t>1</t>
        </is>
      </c>
      <c r="J1982" t="inlineStr">
        <is>
          <t>No</t>
        </is>
      </c>
      <c r="K1982" t="inlineStr">
        <is>
          <t>No</t>
        </is>
      </c>
      <c r="L1982" t="inlineStr">
        <is>
          <t>0</t>
        </is>
      </c>
      <c r="M1982" t="inlineStr">
        <is>
          <t>Auerbach, Nina, 1943-2017.</t>
        </is>
      </c>
      <c r="N1982" t="inlineStr">
        <is>
          <t>Cambridge, Mass. : Harvard University Press, 1982.</t>
        </is>
      </c>
      <c r="O1982" t="inlineStr">
        <is>
          <t>1982</t>
        </is>
      </c>
      <c r="Q1982" t="inlineStr">
        <is>
          <t>eng</t>
        </is>
      </c>
      <c r="R1982" t="inlineStr">
        <is>
          <t>mau</t>
        </is>
      </c>
      <c r="T1982" t="inlineStr">
        <is>
          <t xml:space="preserve">PR </t>
        </is>
      </c>
      <c r="U1982" t="n">
        <v>4</v>
      </c>
      <c r="V1982" t="n">
        <v>4</v>
      </c>
      <c r="W1982" t="inlineStr">
        <is>
          <t>2006-06-08</t>
        </is>
      </c>
      <c r="X1982" t="inlineStr">
        <is>
          <t>2006-06-08</t>
        </is>
      </c>
      <c r="Y1982" t="inlineStr">
        <is>
          <t>1991-08-30</t>
        </is>
      </c>
      <c r="Z1982" t="inlineStr">
        <is>
          <t>1991-08-30</t>
        </is>
      </c>
      <c r="AA1982" t="n">
        <v>1296</v>
      </c>
      <c r="AB1982" t="n">
        <v>1057</v>
      </c>
      <c r="AC1982" t="n">
        <v>1064</v>
      </c>
      <c r="AD1982" t="n">
        <v>8</v>
      </c>
      <c r="AE1982" t="n">
        <v>8</v>
      </c>
      <c r="AF1982" t="n">
        <v>50</v>
      </c>
      <c r="AG1982" t="n">
        <v>50</v>
      </c>
      <c r="AH1982" t="n">
        <v>24</v>
      </c>
      <c r="AI1982" t="n">
        <v>24</v>
      </c>
      <c r="AJ1982" t="n">
        <v>10</v>
      </c>
      <c r="AK1982" t="n">
        <v>10</v>
      </c>
      <c r="AL1982" t="n">
        <v>24</v>
      </c>
      <c r="AM1982" t="n">
        <v>24</v>
      </c>
      <c r="AN1982" t="n">
        <v>6</v>
      </c>
      <c r="AO1982" t="n">
        <v>6</v>
      </c>
      <c r="AP1982" t="n">
        <v>0</v>
      </c>
      <c r="AQ1982" t="n">
        <v>0</v>
      </c>
      <c r="AR1982" t="inlineStr">
        <is>
          <t>No</t>
        </is>
      </c>
      <c r="AS1982" t="inlineStr">
        <is>
          <t>No</t>
        </is>
      </c>
      <c r="AU1982">
        <f>HYPERLINK("https://creighton-primo.hosted.exlibrisgroup.com/primo-explore/search?tab=default_tab&amp;search_scope=EVERYTHING&amp;vid=01CRU&amp;lang=en_US&amp;offset=0&amp;query=any,contains,991005252609702656","Catalog Record")</f>
        <v/>
      </c>
      <c r="AV1982">
        <f>HYPERLINK("http://www.worldcat.org/oclc/8495210","WorldCat Record")</f>
        <v/>
      </c>
      <c r="AW1982" t="inlineStr">
        <is>
          <t>287799361:eng</t>
        </is>
      </c>
      <c r="AX1982" t="inlineStr">
        <is>
          <t>8495210</t>
        </is>
      </c>
      <c r="AY1982" t="inlineStr">
        <is>
          <t>991005252609702656</t>
        </is>
      </c>
      <c r="AZ1982" t="inlineStr">
        <is>
          <t>991005252609702656</t>
        </is>
      </c>
      <c r="BA1982" t="inlineStr">
        <is>
          <t>2260740230002656</t>
        </is>
      </c>
      <c r="BB1982" t="inlineStr">
        <is>
          <t>BOOK</t>
        </is>
      </c>
      <c r="BD1982" t="inlineStr">
        <is>
          <t>9780674954069</t>
        </is>
      </c>
      <c r="BE1982" t="inlineStr">
        <is>
          <t>32285000733278</t>
        </is>
      </c>
      <c r="BF1982" t="inlineStr">
        <is>
          <t>893520724</t>
        </is>
      </c>
    </row>
    <row r="1983">
      <c r="A1983" t="inlineStr">
        <is>
          <t>No</t>
        </is>
      </c>
      <c r="B1983" t="inlineStr">
        <is>
          <t>CURAL</t>
        </is>
      </c>
      <c r="C1983" t="inlineStr">
        <is>
          <t>SHELVES</t>
        </is>
      </c>
      <c r="D1983" t="inlineStr">
        <is>
          <t>PR469.W65 B57 1983</t>
        </is>
      </c>
      <c r="E1983" t="inlineStr">
        <is>
          <t>0                      PR 0469000W  65                 B  57          1983</t>
        </is>
      </c>
      <c r="F1983" t="inlineStr">
        <is>
          <t>Love and the woman question in Victorian literature : the art of self-postponement / Kathleen Blake.</t>
        </is>
      </c>
      <c r="H1983" t="inlineStr">
        <is>
          <t>No</t>
        </is>
      </c>
      <c r="I1983" t="inlineStr">
        <is>
          <t>1</t>
        </is>
      </c>
      <c r="J1983" t="inlineStr">
        <is>
          <t>No</t>
        </is>
      </c>
      <c r="K1983" t="inlineStr">
        <is>
          <t>No</t>
        </is>
      </c>
      <c r="L1983" t="inlineStr">
        <is>
          <t>0</t>
        </is>
      </c>
      <c r="M1983" t="inlineStr">
        <is>
          <t>Blake, Kathleen.</t>
        </is>
      </c>
      <c r="N1983" t="inlineStr">
        <is>
          <t>Totowa, N.J. : Barnes &amp; Noble Books ; Brighton, Sussex : Harvester Press, 1983.</t>
        </is>
      </c>
      <c r="O1983" t="inlineStr">
        <is>
          <t>1983</t>
        </is>
      </c>
      <c r="Q1983" t="inlineStr">
        <is>
          <t>eng</t>
        </is>
      </c>
      <c r="R1983" t="inlineStr">
        <is>
          <t>nju</t>
        </is>
      </c>
      <c r="T1983" t="inlineStr">
        <is>
          <t xml:space="preserve">PR </t>
        </is>
      </c>
      <c r="U1983" t="n">
        <v>4</v>
      </c>
      <c r="V1983" t="n">
        <v>4</v>
      </c>
      <c r="W1983" t="inlineStr">
        <is>
          <t>2006-06-28</t>
        </is>
      </c>
      <c r="X1983" t="inlineStr">
        <is>
          <t>2006-06-28</t>
        </is>
      </c>
      <c r="Y1983" t="inlineStr">
        <is>
          <t>1991-08-30</t>
        </is>
      </c>
      <c r="Z1983" t="inlineStr">
        <is>
          <t>1991-08-30</t>
        </is>
      </c>
      <c r="AA1983" t="n">
        <v>809</v>
      </c>
      <c r="AB1983" t="n">
        <v>656</v>
      </c>
      <c r="AC1983" t="n">
        <v>670</v>
      </c>
      <c r="AD1983" t="n">
        <v>8</v>
      </c>
      <c r="AE1983" t="n">
        <v>8</v>
      </c>
      <c r="AF1983" t="n">
        <v>35</v>
      </c>
      <c r="AG1983" t="n">
        <v>35</v>
      </c>
      <c r="AH1983" t="n">
        <v>14</v>
      </c>
      <c r="AI1983" t="n">
        <v>14</v>
      </c>
      <c r="AJ1983" t="n">
        <v>7</v>
      </c>
      <c r="AK1983" t="n">
        <v>7</v>
      </c>
      <c r="AL1983" t="n">
        <v>18</v>
      </c>
      <c r="AM1983" t="n">
        <v>18</v>
      </c>
      <c r="AN1983" t="n">
        <v>7</v>
      </c>
      <c r="AO1983" t="n">
        <v>7</v>
      </c>
      <c r="AP1983" t="n">
        <v>0</v>
      </c>
      <c r="AQ1983" t="n">
        <v>0</v>
      </c>
      <c r="AR1983" t="inlineStr">
        <is>
          <t>No</t>
        </is>
      </c>
      <c r="AS1983" t="inlineStr">
        <is>
          <t>Yes</t>
        </is>
      </c>
      <c r="AT1983">
        <f>HYPERLINK("http://catalog.hathitrust.org/Record/000411329","HathiTrust Record")</f>
        <v/>
      </c>
      <c r="AU1983">
        <f>HYPERLINK("https://creighton-primo.hosted.exlibrisgroup.com/primo-explore/search?tab=default_tab&amp;search_scope=EVERYTHING&amp;vid=01CRU&amp;lang=en_US&amp;offset=0&amp;query=any,contains,991000228379702656","Catalog Record")</f>
        <v/>
      </c>
      <c r="AV1983">
        <f>HYPERLINK("http://www.worldcat.org/oclc/9622387","WorldCat Record")</f>
        <v/>
      </c>
      <c r="AW1983" t="inlineStr">
        <is>
          <t>4869802:eng</t>
        </is>
      </c>
      <c r="AX1983" t="inlineStr">
        <is>
          <t>9622387</t>
        </is>
      </c>
      <c r="AY1983" t="inlineStr">
        <is>
          <t>991000228379702656</t>
        </is>
      </c>
      <c r="AZ1983" t="inlineStr">
        <is>
          <t>991000228379702656</t>
        </is>
      </c>
      <c r="BA1983" t="inlineStr">
        <is>
          <t>2269302500002656</t>
        </is>
      </c>
      <c r="BB1983" t="inlineStr">
        <is>
          <t>BOOK</t>
        </is>
      </c>
      <c r="BD1983" t="inlineStr">
        <is>
          <t>9780389204251</t>
        </is>
      </c>
      <c r="BE1983" t="inlineStr">
        <is>
          <t>32285000733286</t>
        </is>
      </c>
      <c r="BF1983" t="inlineStr">
        <is>
          <t>893444251</t>
        </is>
      </c>
    </row>
    <row r="1984">
      <c r="A1984" t="inlineStr">
        <is>
          <t>No</t>
        </is>
      </c>
      <c r="B1984" t="inlineStr">
        <is>
          <t>CURAL</t>
        </is>
      </c>
      <c r="C1984" t="inlineStr">
        <is>
          <t>SHELVES</t>
        </is>
      </c>
      <c r="D1984" t="inlineStr">
        <is>
          <t>PR469.W65 P66 1985</t>
        </is>
      </c>
      <c r="E1984" t="inlineStr">
        <is>
          <t>0                      PR 0469000W  65                 P  66          1985</t>
        </is>
      </c>
      <c r="F1984" t="inlineStr">
        <is>
          <t>The proper lady and the woman writer : ideology as style in the works of Mary Wollstonecraft, Mary Shelley, and Jane Austen / Mary Poovey.</t>
        </is>
      </c>
      <c r="H1984" t="inlineStr">
        <is>
          <t>No</t>
        </is>
      </c>
      <c r="I1984" t="inlineStr">
        <is>
          <t>1</t>
        </is>
      </c>
      <c r="J1984" t="inlineStr">
        <is>
          <t>No</t>
        </is>
      </c>
      <c r="K1984" t="inlineStr">
        <is>
          <t>No</t>
        </is>
      </c>
      <c r="L1984" t="inlineStr">
        <is>
          <t>0</t>
        </is>
      </c>
      <c r="M1984" t="inlineStr">
        <is>
          <t>Poovey, Mary.</t>
        </is>
      </c>
      <c r="N1984" t="inlineStr">
        <is>
          <t>Chicago : University of Chicago Press, 1985, c1984.</t>
        </is>
      </c>
      <c r="O1984" t="inlineStr">
        <is>
          <t>1985</t>
        </is>
      </c>
      <c r="P1984" t="inlineStr">
        <is>
          <t>Paperback ed.</t>
        </is>
      </c>
      <c r="Q1984" t="inlineStr">
        <is>
          <t>eng</t>
        </is>
      </c>
      <c r="R1984" t="inlineStr">
        <is>
          <t>ilu</t>
        </is>
      </c>
      <c r="S1984" t="inlineStr">
        <is>
          <t>Women in culture and society</t>
        </is>
      </c>
      <c r="T1984" t="inlineStr">
        <is>
          <t xml:space="preserve">PR </t>
        </is>
      </c>
      <c r="U1984" t="n">
        <v>6</v>
      </c>
      <c r="V1984" t="n">
        <v>6</v>
      </c>
      <c r="W1984" t="inlineStr">
        <is>
          <t>2007-11-27</t>
        </is>
      </c>
      <c r="X1984" t="inlineStr">
        <is>
          <t>2007-11-27</t>
        </is>
      </c>
      <c r="Y1984" t="inlineStr">
        <is>
          <t>1991-08-30</t>
        </is>
      </c>
      <c r="Z1984" t="inlineStr">
        <is>
          <t>1991-08-30</t>
        </is>
      </c>
      <c r="AA1984" t="n">
        <v>113</v>
      </c>
      <c r="AB1984" t="n">
        <v>85</v>
      </c>
      <c r="AC1984" t="n">
        <v>825</v>
      </c>
      <c r="AD1984" t="n">
        <v>1</v>
      </c>
      <c r="AE1984" t="n">
        <v>5</v>
      </c>
      <c r="AF1984" t="n">
        <v>4</v>
      </c>
      <c r="AG1984" t="n">
        <v>37</v>
      </c>
      <c r="AH1984" t="n">
        <v>2</v>
      </c>
      <c r="AI1984" t="n">
        <v>16</v>
      </c>
      <c r="AJ1984" t="n">
        <v>0</v>
      </c>
      <c r="AK1984" t="n">
        <v>10</v>
      </c>
      <c r="AL1984" t="n">
        <v>2</v>
      </c>
      <c r="AM1984" t="n">
        <v>17</v>
      </c>
      <c r="AN1984" t="n">
        <v>0</v>
      </c>
      <c r="AO1984" t="n">
        <v>4</v>
      </c>
      <c r="AP1984" t="n">
        <v>0</v>
      </c>
      <c r="AQ1984" t="n">
        <v>0</v>
      </c>
      <c r="AR1984" t="inlineStr">
        <is>
          <t>No</t>
        </is>
      </c>
      <c r="AS1984" t="inlineStr">
        <is>
          <t>No</t>
        </is>
      </c>
      <c r="AU1984">
        <f>HYPERLINK("https://creighton-primo.hosted.exlibrisgroup.com/primo-explore/search?tab=default_tab&amp;search_scope=EVERYTHING&amp;vid=01CRU&amp;lang=en_US&amp;offset=0&amp;query=any,contains,991000916329702656","Catalog Record")</f>
        <v/>
      </c>
      <c r="AV1984">
        <f>HYPERLINK("http://www.worldcat.org/oclc/14176296","WorldCat Record")</f>
        <v/>
      </c>
      <c r="AW1984" t="inlineStr">
        <is>
          <t>479351913:eng</t>
        </is>
      </c>
      <c r="AX1984" t="inlineStr">
        <is>
          <t>14176296</t>
        </is>
      </c>
      <c r="AY1984" t="inlineStr">
        <is>
          <t>991000916329702656</t>
        </is>
      </c>
      <c r="AZ1984" t="inlineStr">
        <is>
          <t>991000916329702656</t>
        </is>
      </c>
      <c r="BA1984" t="inlineStr">
        <is>
          <t>2259854960002656</t>
        </is>
      </c>
      <c r="BB1984" t="inlineStr">
        <is>
          <t>BOOK</t>
        </is>
      </c>
      <c r="BD1984" t="inlineStr">
        <is>
          <t>9780226675282</t>
        </is>
      </c>
      <c r="BE1984" t="inlineStr">
        <is>
          <t>32285000733302</t>
        </is>
      </c>
      <c r="BF1984" t="inlineStr">
        <is>
          <t>893327708</t>
        </is>
      </c>
    </row>
    <row r="1985">
      <c r="A1985" t="inlineStr">
        <is>
          <t>No</t>
        </is>
      </c>
      <c r="B1985" t="inlineStr">
        <is>
          <t>CURAL</t>
        </is>
      </c>
      <c r="C1985" t="inlineStr">
        <is>
          <t>SHELVES</t>
        </is>
      </c>
      <c r="D1985" t="inlineStr">
        <is>
          <t>PR4692.E4 R63 1997</t>
        </is>
      </c>
      <c r="E1985" t="inlineStr">
        <is>
          <t>0                      PR 4692000E  4                  R  63          1997</t>
        </is>
      </c>
      <c r="F1985" t="inlineStr">
        <is>
          <t>The power of knowledge : George Eliot and education / Linda K. Robertson.</t>
        </is>
      </c>
      <c r="H1985" t="inlineStr">
        <is>
          <t>No</t>
        </is>
      </c>
      <c r="I1985" t="inlineStr">
        <is>
          <t>1</t>
        </is>
      </c>
      <c r="J1985" t="inlineStr">
        <is>
          <t>No</t>
        </is>
      </c>
      <c r="K1985" t="inlineStr">
        <is>
          <t>No</t>
        </is>
      </c>
      <c r="L1985" t="inlineStr">
        <is>
          <t>0</t>
        </is>
      </c>
      <c r="M1985" t="inlineStr">
        <is>
          <t>Robertson, Linda Kathryn.</t>
        </is>
      </c>
      <c r="N1985" t="inlineStr">
        <is>
          <t>New York : P. Lang, c1997.</t>
        </is>
      </c>
      <c r="O1985" t="inlineStr">
        <is>
          <t>1997</t>
        </is>
      </c>
      <c r="Q1985" t="inlineStr">
        <is>
          <t>eng</t>
        </is>
      </c>
      <c r="R1985" t="inlineStr">
        <is>
          <t>nyu</t>
        </is>
      </c>
      <c r="S1985" t="inlineStr">
        <is>
          <t>University of Kansas humanistic studies ; vol. 61</t>
        </is>
      </c>
      <c r="T1985" t="inlineStr">
        <is>
          <t xml:space="preserve">PR </t>
        </is>
      </c>
      <c r="U1985" t="n">
        <v>1</v>
      </c>
      <c r="V1985" t="n">
        <v>1</v>
      </c>
      <c r="W1985" t="inlineStr">
        <is>
          <t>2001-01-15</t>
        </is>
      </c>
      <c r="X1985" t="inlineStr">
        <is>
          <t>2001-01-15</t>
        </is>
      </c>
      <c r="Y1985" t="inlineStr">
        <is>
          <t>2001-01-15</t>
        </is>
      </c>
      <c r="Z1985" t="inlineStr">
        <is>
          <t>2001-01-15</t>
        </is>
      </c>
      <c r="AA1985" t="n">
        <v>217</v>
      </c>
      <c r="AB1985" t="n">
        <v>169</v>
      </c>
      <c r="AC1985" t="n">
        <v>171</v>
      </c>
      <c r="AD1985" t="n">
        <v>2</v>
      </c>
      <c r="AE1985" t="n">
        <v>2</v>
      </c>
      <c r="AF1985" t="n">
        <v>12</v>
      </c>
      <c r="AG1985" t="n">
        <v>12</v>
      </c>
      <c r="AH1985" t="n">
        <v>3</v>
      </c>
      <c r="AI1985" t="n">
        <v>3</v>
      </c>
      <c r="AJ1985" t="n">
        <v>4</v>
      </c>
      <c r="AK1985" t="n">
        <v>4</v>
      </c>
      <c r="AL1985" t="n">
        <v>8</v>
      </c>
      <c r="AM1985" t="n">
        <v>8</v>
      </c>
      <c r="AN1985" t="n">
        <v>1</v>
      </c>
      <c r="AO1985" t="n">
        <v>1</v>
      </c>
      <c r="AP1985" t="n">
        <v>0</v>
      </c>
      <c r="AQ1985" t="n">
        <v>0</v>
      </c>
      <c r="AR1985" t="inlineStr">
        <is>
          <t>No</t>
        </is>
      </c>
      <c r="AS1985" t="inlineStr">
        <is>
          <t>Yes</t>
        </is>
      </c>
      <c r="AT1985">
        <f>HYPERLINK("http://catalog.hathitrust.org/Record/003942021","HathiTrust Record")</f>
        <v/>
      </c>
      <c r="AU1985">
        <f>HYPERLINK("https://creighton-primo.hosted.exlibrisgroup.com/primo-explore/search?tab=default_tab&amp;search_scope=EVERYTHING&amp;vid=01CRU&amp;lang=en_US&amp;offset=0&amp;query=any,contains,991003323249702656","Catalog Record")</f>
        <v/>
      </c>
      <c r="AV1985">
        <f>HYPERLINK("http://www.worldcat.org/oclc/35145899","WorldCat Record")</f>
        <v/>
      </c>
      <c r="AW1985" t="inlineStr">
        <is>
          <t>290063887:eng</t>
        </is>
      </c>
      <c r="AX1985" t="inlineStr">
        <is>
          <t>35145899</t>
        </is>
      </c>
      <c r="AY1985" t="inlineStr">
        <is>
          <t>991003323249702656</t>
        </is>
      </c>
      <c r="AZ1985" t="inlineStr">
        <is>
          <t>991003323249702656</t>
        </is>
      </c>
      <c r="BA1985" t="inlineStr">
        <is>
          <t>2263113770002656</t>
        </is>
      </c>
      <c r="BB1985" t="inlineStr">
        <is>
          <t>BOOK</t>
        </is>
      </c>
      <c r="BD1985" t="inlineStr">
        <is>
          <t>9780820430645</t>
        </is>
      </c>
      <c r="BE1985" t="inlineStr">
        <is>
          <t>32285004283247</t>
        </is>
      </c>
      <c r="BF1985" t="inlineStr">
        <is>
          <t>893234057</t>
        </is>
      </c>
    </row>
    <row r="1986">
      <c r="A1986" t="inlineStr">
        <is>
          <t>No</t>
        </is>
      </c>
      <c r="B1986" t="inlineStr">
        <is>
          <t>CURAL</t>
        </is>
      </c>
      <c r="C1986" t="inlineStr">
        <is>
          <t>SHELVES</t>
        </is>
      </c>
      <c r="D1986" t="inlineStr">
        <is>
          <t>PR4692.E8 B7 1969</t>
        </is>
      </c>
      <c r="E1986" t="inlineStr">
        <is>
          <t>0                      PR 4692000E  8                  B  7           1969</t>
        </is>
      </c>
      <c r="F1986" t="inlineStr">
        <is>
          <t>The ethics of George Eliot's works.</t>
        </is>
      </c>
      <c r="H1986" t="inlineStr">
        <is>
          <t>No</t>
        </is>
      </c>
      <c r="I1986" t="inlineStr">
        <is>
          <t>1</t>
        </is>
      </c>
      <c r="J1986" t="inlineStr">
        <is>
          <t>No</t>
        </is>
      </c>
      <c r="K1986" t="inlineStr">
        <is>
          <t>No</t>
        </is>
      </c>
      <c r="L1986" t="inlineStr">
        <is>
          <t>0</t>
        </is>
      </c>
      <c r="M1986" t="inlineStr">
        <is>
          <t>Brown, John Crombie, -1879?</t>
        </is>
      </c>
      <c r="N1986" t="inlineStr">
        <is>
          <t>Port Washington, N.Y., Kennikat Press [1969]</t>
        </is>
      </c>
      <c r="O1986" t="inlineStr">
        <is>
          <t>1969</t>
        </is>
      </c>
      <c r="Q1986" t="inlineStr">
        <is>
          <t>eng</t>
        </is>
      </c>
      <c r="R1986" t="inlineStr">
        <is>
          <t>nyu</t>
        </is>
      </c>
      <c r="T1986" t="inlineStr">
        <is>
          <t xml:space="preserve">PR </t>
        </is>
      </c>
      <c r="U1986" t="n">
        <v>1</v>
      </c>
      <c r="V1986" t="n">
        <v>1</v>
      </c>
      <c r="W1986" t="inlineStr">
        <is>
          <t>2005-11-20</t>
        </is>
      </c>
      <c r="X1986" t="inlineStr">
        <is>
          <t>2005-11-20</t>
        </is>
      </c>
      <c r="Y1986" t="inlineStr">
        <is>
          <t>1997-07-14</t>
        </is>
      </c>
      <c r="Z1986" t="inlineStr">
        <is>
          <t>1997-07-14</t>
        </is>
      </c>
      <c r="AA1986" t="n">
        <v>280</v>
      </c>
      <c r="AB1986" t="n">
        <v>251</v>
      </c>
      <c r="AC1986" t="n">
        <v>489</v>
      </c>
      <c r="AD1986" t="n">
        <v>3</v>
      </c>
      <c r="AE1986" t="n">
        <v>4</v>
      </c>
      <c r="AF1986" t="n">
        <v>11</v>
      </c>
      <c r="AG1986" t="n">
        <v>24</v>
      </c>
      <c r="AH1986" t="n">
        <v>2</v>
      </c>
      <c r="AI1986" t="n">
        <v>6</v>
      </c>
      <c r="AJ1986" t="n">
        <v>3</v>
      </c>
      <c r="AK1986" t="n">
        <v>5</v>
      </c>
      <c r="AL1986" t="n">
        <v>7</v>
      </c>
      <c r="AM1986" t="n">
        <v>14</v>
      </c>
      <c r="AN1986" t="n">
        <v>2</v>
      </c>
      <c r="AO1986" t="n">
        <v>3</v>
      </c>
      <c r="AP1986" t="n">
        <v>0</v>
      </c>
      <c r="AQ1986" t="n">
        <v>1</v>
      </c>
      <c r="AR1986" t="inlineStr">
        <is>
          <t>No</t>
        </is>
      </c>
      <c r="AS1986" t="inlineStr">
        <is>
          <t>Yes</t>
        </is>
      </c>
      <c r="AT1986">
        <f>HYPERLINK("http://catalog.hathitrust.org/Record/009495071","HathiTrust Record")</f>
        <v/>
      </c>
      <c r="AU1986">
        <f>HYPERLINK("https://creighton-primo.hosted.exlibrisgroup.com/primo-explore/search?tab=default_tab&amp;search_scope=EVERYTHING&amp;vid=01CRU&amp;lang=en_US&amp;offset=0&amp;query=any,contains,991000072329702656","Catalog Record")</f>
        <v/>
      </c>
      <c r="AV1986">
        <f>HYPERLINK("http://www.worldcat.org/oclc/28440","WorldCat Record")</f>
        <v/>
      </c>
      <c r="AW1986" t="inlineStr">
        <is>
          <t>4918406667:eng</t>
        </is>
      </c>
      <c r="AX1986" t="inlineStr">
        <is>
          <t>28440</t>
        </is>
      </c>
      <c r="AY1986" t="inlineStr">
        <is>
          <t>991000072329702656</t>
        </is>
      </c>
      <c r="AZ1986" t="inlineStr">
        <is>
          <t>991000072329702656</t>
        </is>
      </c>
      <c r="BA1986" t="inlineStr">
        <is>
          <t>2264825500002656</t>
        </is>
      </c>
      <c r="BB1986" t="inlineStr">
        <is>
          <t>BOOK</t>
        </is>
      </c>
      <c r="BD1986" t="inlineStr">
        <is>
          <t>9780804606479</t>
        </is>
      </c>
      <c r="BE1986" t="inlineStr">
        <is>
          <t>32285002896164</t>
        </is>
      </c>
      <c r="BF1986" t="inlineStr">
        <is>
          <t>893230850</t>
        </is>
      </c>
    </row>
    <row r="1987">
      <c r="A1987" t="inlineStr">
        <is>
          <t>No</t>
        </is>
      </c>
      <c r="B1987" t="inlineStr">
        <is>
          <t>CURAL</t>
        </is>
      </c>
      <c r="C1987" t="inlineStr">
        <is>
          <t>SHELVES</t>
        </is>
      </c>
      <c r="D1987" t="inlineStr">
        <is>
          <t>PR4692.R4 S67 1993</t>
        </is>
      </c>
      <c r="E1987" t="inlineStr">
        <is>
          <t>0                      PR 4692000R  4                  S  67          1993</t>
        </is>
      </c>
      <c r="F1987" t="inlineStr">
        <is>
          <t>George Eliot : godless woman / Brian Spittles.</t>
        </is>
      </c>
      <c r="H1987" t="inlineStr">
        <is>
          <t>No</t>
        </is>
      </c>
      <c r="I1987" t="inlineStr">
        <is>
          <t>1</t>
        </is>
      </c>
      <c r="J1987" t="inlineStr">
        <is>
          <t>No</t>
        </is>
      </c>
      <c r="K1987" t="inlineStr">
        <is>
          <t>No</t>
        </is>
      </c>
      <c r="L1987" t="inlineStr">
        <is>
          <t>0</t>
        </is>
      </c>
      <c r="M1987" t="inlineStr">
        <is>
          <t>Spittles, Brian.</t>
        </is>
      </c>
      <c r="N1987" t="inlineStr">
        <is>
          <t>New York : St. Martin's Press, 1993.</t>
        </is>
      </c>
      <c r="O1987" t="inlineStr">
        <is>
          <t>1993</t>
        </is>
      </c>
      <c r="Q1987" t="inlineStr">
        <is>
          <t>eng</t>
        </is>
      </c>
      <c r="R1987" t="inlineStr">
        <is>
          <t>nyu</t>
        </is>
      </c>
      <c r="S1987" t="inlineStr">
        <is>
          <t>Writers in their time</t>
        </is>
      </c>
      <c r="T1987" t="inlineStr">
        <is>
          <t xml:space="preserve">PR </t>
        </is>
      </c>
      <c r="U1987" t="n">
        <v>1</v>
      </c>
      <c r="V1987" t="n">
        <v>1</v>
      </c>
      <c r="W1987" t="inlineStr">
        <is>
          <t>2000-10-23</t>
        </is>
      </c>
      <c r="X1987" t="inlineStr">
        <is>
          <t>2000-10-23</t>
        </is>
      </c>
      <c r="Y1987" t="inlineStr">
        <is>
          <t>1996-02-02</t>
        </is>
      </c>
      <c r="Z1987" t="inlineStr">
        <is>
          <t>1996-02-02</t>
        </is>
      </c>
      <c r="AA1987" t="n">
        <v>202</v>
      </c>
      <c r="AB1987" t="n">
        <v>168</v>
      </c>
      <c r="AC1987" t="n">
        <v>201</v>
      </c>
      <c r="AD1987" t="n">
        <v>3</v>
      </c>
      <c r="AE1987" t="n">
        <v>3</v>
      </c>
      <c r="AF1987" t="n">
        <v>13</v>
      </c>
      <c r="AG1987" t="n">
        <v>14</v>
      </c>
      <c r="AH1987" t="n">
        <v>3</v>
      </c>
      <c r="AI1987" t="n">
        <v>4</v>
      </c>
      <c r="AJ1987" t="n">
        <v>4</v>
      </c>
      <c r="AK1987" t="n">
        <v>4</v>
      </c>
      <c r="AL1987" t="n">
        <v>8</v>
      </c>
      <c r="AM1987" t="n">
        <v>9</v>
      </c>
      <c r="AN1987" t="n">
        <v>2</v>
      </c>
      <c r="AO1987" t="n">
        <v>2</v>
      </c>
      <c r="AP1987" t="n">
        <v>0</v>
      </c>
      <c r="AQ1987" t="n">
        <v>0</v>
      </c>
      <c r="AR1987" t="inlineStr">
        <is>
          <t>No</t>
        </is>
      </c>
      <c r="AS1987" t="inlineStr">
        <is>
          <t>No</t>
        </is>
      </c>
      <c r="AU1987">
        <f>HYPERLINK("https://creighton-primo.hosted.exlibrisgroup.com/primo-explore/search?tab=default_tab&amp;search_scope=EVERYTHING&amp;vid=01CRU&amp;lang=en_US&amp;offset=0&amp;query=any,contains,991002118369702656","Catalog Record")</f>
        <v/>
      </c>
      <c r="AV1987">
        <f>HYPERLINK("http://www.worldcat.org/oclc/27147035","WorldCat Record")</f>
        <v/>
      </c>
      <c r="AW1987" t="inlineStr">
        <is>
          <t>836894556:eng</t>
        </is>
      </c>
      <c r="AX1987" t="inlineStr">
        <is>
          <t>27147035</t>
        </is>
      </c>
      <c r="AY1987" t="inlineStr">
        <is>
          <t>991002118369702656</t>
        </is>
      </c>
      <c r="AZ1987" t="inlineStr">
        <is>
          <t>991002118369702656</t>
        </is>
      </c>
      <c r="BA1987" t="inlineStr">
        <is>
          <t>2255996700002656</t>
        </is>
      </c>
      <c r="BB1987" t="inlineStr">
        <is>
          <t>BOOK</t>
        </is>
      </c>
      <c r="BD1987" t="inlineStr">
        <is>
          <t>9780312095291</t>
        </is>
      </c>
      <c r="BE1987" t="inlineStr">
        <is>
          <t>32285002127693</t>
        </is>
      </c>
      <c r="BF1987" t="inlineStr">
        <is>
          <t>893226484</t>
        </is>
      </c>
    </row>
    <row r="1988">
      <c r="A1988" t="inlineStr">
        <is>
          <t>No</t>
        </is>
      </c>
      <c r="B1988" t="inlineStr">
        <is>
          <t>CURAL</t>
        </is>
      </c>
      <c r="C1988" t="inlineStr">
        <is>
          <t>SHELVES</t>
        </is>
      </c>
      <c r="D1988" t="inlineStr">
        <is>
          <t>PR4692.S38 F7 1986</t>
        </is>
      </c>
      <c r="E1988" t="inlineStr">
        <is>
          <t>0                      PR 4692000S  38                 F  7           1986</t>
        </is>
      </c>
      <c r="F1988" t="inlineStr">
        <is>
          <t>Eliot, James, and the fictional self : a study in character and narration / Richard Freadman.</t>
        </is>
      </c>
      <c r="H1988" t="inlineStr">
        <is>
          <t>No</t>
        </is>
      </c>
      <c r="I1988" t="inlineStr">
        <is>
          <t>1</t>
        </is>
      </c>
      <c r="J1988" t="inlineStr">
        <is>
          <t>No</t>
        </is>
      </c>
      <c r="K1988" t="inlineStr">
        <is>
          <t>No</t>
        </is>
      </c>
      <c r="L1988" t="inlineStr">
        <is>
          <t>0</t>
        </is>
      </c>
      <c r="M1988" t="inlineStr">
        <is>
          <t>Freadman, Richard, 1951-</t>
        </is>
      </c>
      <c r="N1988" t="inlineStr">
        <is>
          <t>New York : St. Martin's Press, 1986.</t>
        </is>
      </c>
      <c r="O1988" t="inlineStr">
        <is>
          <t>1986</t>
        </is>
      </c>
      <c r="Q1988" t="inlineStr">
        <is>
          <t>eng</t>
        </is>
      </c>
      <c r="R1988" t="inlineStr">
        <is>
          <t>nyu</t>
        </is>
      </c>
      <c r="T1988" t="inlineStr">
        <is>
          <t xml:space="preserve">PR </t>
        </is>
      </c>
      <c r="U1988" t="n">
        <v>7</v>
      </c>
      <c r="V1988" t="n">
        <v>7</v>
      </c>
      <c r="W1988" t="inlineStr">
        <is>
          <t>2004-09-27</t>
        </is>
      </c>
      <c r="X1988" t="inlineStr">
        <is>
          <t>2004-09-27</t>
        </is>
      </c>
      <c r="Y1988" t="inlineStr">
        <is>
          <t>1991-11-07</t>
        </is>
      </c>
      <c r="Z1988" t="inlineStr">
        <is>
          <t>1991-11-07</t>
        </is>
      </c>
      <c r="AA1988" t="n">
        <v>243</v>
      </c>
      <c r="AB1988" t="n">
        <v>217</v>
      </c>
      <c r="AC1988" t="n">
        <v>293</v>
      </c>
      <c r="AD1988" t="n">
        <v>2</v>
      </c>
      <c r="AE1988" t="n">
        <v>3</v>
      </c>
      <c r="AF1988" t="n">
        <v>15</v>
      </c>
      <c r="AG1988" t="n">
        <v>19</v>
      </c>
      <c r="AH1988" t="n">
        <v>6</v>
      </c>
      <c r="AI1988" t="n">
        <v>7</v>
      </c>
      <c r="AJ1988" t="n">
        <v>3</v>
      </c>
      <c r="AK1988" t="n">
        <v>4</v>
      </c>
      <c r="AL1988" t="n">
        <v>10</v>
      </c>
      <c r="AM1988" t="n">
        <v>13</v>
      </c>
      <c r="AN1988" t="n">
        <v>1</v>
      </c>
      <c r="AO1988" t="n">
        <v>2</v>
      </c>
      <c r="AP1988" t="n">
        <v>0</v>
      </c>
      <c r="AQ1988" t="n">
        <v>0</v>
      </c>
      <c r="AR1988" t="inlineStr">
        <is>
          <t>No</t>
        </is>
      </c>
      <c r="AS1988" t="inlineStr">
        <is>
          <t>No</t>
        </is>
      </c>
      <c r="AU1988">
        <f>HYPERLINK("https://creighton-primo.hosted.exlibrisgroup.com/primo-explore/search?tab=default_tab&amp;search_scope=EVERYTHING&amp;vid=01CRU&amp;lang=en_US&amp;offset=0&amp;query=any,contains,991000821219702656","Catalog Record")</f>
        <v/>
      </c>
      <c r="AV1988">
        <f>HYPERLINK("http://www.worldcat.org/oclc/13395425","WorldCat Record")</f>
        <v/>
      </c>
      <c r="AW1988" t="inlineStr">
        <is>
          <t>796735851:eng</t>
        </is>
      </c>
      <c r="AX1988" t="inlineStr">
        <is>
          <t>13395425</t>
        </is>
      </c>
      <c r="AY1988" t="inlineStr">
        <is>
          <t>991000821219702656</t>
        </is>
      </c>
      <c r="AZ1988" t="inlineStr">
        <is>
          <t>991000821219702656</t>
        </is>
      </c>
      <c r="BA1988" t="inlineStr">
        <is>
          <t>2261973720002656</t>
        </is>
      </c>
      <c r="BB1988" t="inlineStr">
        <is>
          <t>BOOK</t>
        </is>
      </c>
      <c r="BD1988" t="inlineStr">
        <is>
          <t>9780312242374</t>
        </is>
      </c>
      <c r="BE1988" t="inlineStr">
        <is>
          <t>32285000799295</t>
        </is>
      </c>
      <c r="BF1988" t="inlineStr">
        <is>
          <t>893237633</t>
        </is>
      </c>
    </row>
    <row r="1989">
      <c r="A1989" t="inlineStr">
        <is>
          <t>No</t>
        </is>
      </c>
      <c r="B1989" t="inlineStr">
        <is>
          <t>CURAL</t>
        </is>
      </c>
      <c r="C1989" t="inlineStr">
        <is>
          <t>SHELVES</t>
        </is>
      </c>
      <c r="D1989" t="inlineStr">
        <is>
          <t>PR4699.F4 Z54 1984</t>
        </is>
      </c>
      <c r="E1989" t="inlineStr">
        <is>
          <t>0                      PR 4699000F  4                  Z  54          1984</t>
        </is>
      </c>
      <c r="F1989" t="inlineStr">
        <is>
          <t>Susan Ferrier / by Mary Cullinan.</t>
        </is>
      </c>
      <c r="H1989" t="inlineStr">
        <is>
          <t>No</t>
        </is>
      </c>
      <c r="I1989" t="inlineStr">
        <is>
          <t>1</t>
        </is>
      </c>
      <c r="J1989" t="inlineStr">
        <is>
          <t>No</t>
        </is>
      </c>
      <c r="K1989" t="inlineStr">
        <is>
          <t>No</t>
        </is>
      </c>
      <c r="L1989" t="inlineStr">
        <is>
          <t>0</t>
        </is>
      </c>
      <c r="M1989" t="inlineStr">
        <is>
          <t>Cullinan, Mary.</t>
        </is>
      </c>
      <c r="N1989" t="inlineStr">
        <is>
          <t>Boston : Twayne Publishers, c1984.</t>
        </is>
      </c>
      <c r="O1989" t="inlineStr">
        <is>
          <t>1984</t>
        </is>
      </c>
      <c r="Q1989" t="inlineStr">
        <is>
          <t>eng</t>
        </is>
      </c>
      <c r="R1989" t="inlineStr">
        <is>
          <t>mau</t>
        </is>
      </c>
      <c r="S1989" t="inlineStr">
        <is>
          <t>Twayne's English authors series ; TEAS 392</t>
        </is>
      </c>
      <c r="T1989" t="inlineStr">
        <is>
          <t xml:space="preserve">PR </t>
        </is>
      </c>
      <c r="U1989" t="n">
        <v>2</v>
      </c>
      <c r="V1989" t="n">
        <v>2</v>
      </c>
      <c r="W1989" t="inlineStr">
        <is>
          <t>1996-01-05</t>
        </is>
      </c>
      <c r="X1989" t="inlineStr">
        <is>
          <t>1996-01-05</t>
        </is>
      </c>
      <c r="Y1989" t="inlineStr">
        <is>
          <t>1991-11-07</t>
        </is>
      </c>
      <c r="Z1989" t="inlineStr">
        <is>
          <t>1991-11-07</t>
        </is>
      </c>
      <c r="AA1989" t="n">
        <v>419</v>
      </c>
      <c r="AB1989" t="n">
        <v>362</v>
      </c>
      <c r="AC1989" t="n">
        <v>365</v>
      </c>
      <c r="AD1989" t="n">
        <v>5</v>
      </c>
      <c r="AE1989" t="n">
        <v>5</v>
      </c>
      <c r="AF1989" t="n">
        <v>18</v>
      </c>
      <c r="AG1989" t="n">
        <v>18</v>
      </c>
      <c r="AH1989" t="n">
        <v>4</v>
      </c>
      <c r="AI1989" t="n">
        <v>4</v>
      </c>
      <c r="AJ1989" t="n">
        <v>3</v>
      </c>
      <c r="AK1989" t="n">
        <v>3</v>
      </c>
      <c r="AL1989" t="n">
        <v>13</v>
      </c>
      <c r="AM1989" t="n">
        <v>13</v>
      </c>
      <c r="AN1989" t="n">
        <v>4</v>
      </c>
      <c r="AO1989" t="n">
        <v>4</v>
      </c>
      <c r="AP1989" t="n">
        <v>0</v>
      </c>
      <c r="AQ1989" t="n">
        <v>0</v>
      </c>
      <c r="AR1989" t="inlineStr">
        <is>
          <t>No</t>
        </is>
      </c>
      <c r="AS1989" t="inlineStr">
        <is>
          <t>Yes</t>
        </is>
      </c>
      <c r="AT1989">
        <f>HYPERLINK("http://catalog.hathitrust.org/Record/000337166","HathiTrust Record")</f>
        <v/>
      </c>
      <c r="AU1989">
        <f>HYPERLINK("https://creighton-primo.hosted.exlibrisgroup.com/primo-explore/search?tab=default_tab&amp;search_scope=EVERYTHING&amp;vid=01CRU&amp;lang=en_US&amp;offset=0&amp;query=any,contains,991000433539702656","Catalog Record")</f>
        <v/>
      </c>
      <c r="AV1989">
        <f>HYPERLINK("http://www.worldcat.org/oclc/10780393","WorldCat Record")</f>
        <v/>
      </c>
      <c r="AW1989" t="inlineStr">
        <is>
          <t>3558397:eng</t>
        </is>
      </c>
      <c r="AX1989" t="inlineStr">
        <is>
          <t>10780393</t>
        </is>
      </c>
      <c r="AY1989" t="inlineStr">
        <is>
          <t>991000433539702656</t>
        </is>
      </c>
      <c r="AZ1989" t="inlineStr">
        <is>
          <t>991000433539702656</t>
        </is>
      </c>
      <c r="BA1989" t="inlineStr">
        <is>
          <t>2255186020002656</t>
        </is>
      </c>
      <c r="BB1989" t="inlineStr">
        <is>
          <t>BOOK</t>
        </is>
      </c>
      <c r="BD1989" t="inlineStr">
        <is>
          <t>9780805768787</t>
        </is>
      </c>
      <c r="BE1989" t="inlineStr">
        <is>
          <t>32285000799360</t>
        </is>
      </c>
      <c r="BF1989" t="inlineStr">
        <is>
          <t>893784204</t>
        </is>
      </c>
    </row>
    <row r="1990">
      <c r="A1990" t="inlineStr">
        <is>
          <t>No</t>
        </is>
      </c>
      <c r="B1990" t="inlineStr">
        <is>
          <t>CURAL</t>
        </is>
      </c>
      <c r="C1990" t="inlineStr">
        <is>
          <t>SHELVES</t>
        </is>
      </c>
      <c r="D1990" t="inlineStr">
        <is>
          <t>PR471 .B35 2004</t>
        </is>
      </c>
      <c r="E1990" t="inlineStr">
        <is>
          <t>0                      PR 0471000B  35          2004</t>
        </is>
      </c>
      <c r="F1990" t="inlineStr">
        <is>
          <t>The modern movement / Chris Baldick.</t>
        </is>
      </c>
      <c r="H1990" t="inlineStr">
        <is>
          <t>No</t>
        </is>
      </c>
      <c r="I1990" t="inlineStr">
        <is>
          <t>1</t>
        </is>
      </c>
      <c r="J1990" t="inlineStr">
        <is>
          <t>No</t>
        </is>
      </c>
      <c r="K1990" t="inlineStr">
        <is>
          <t>No</t>
        </is>
      </c>
      <c r="L1990" t="inlineStr">
        <is>
          <t>0</t>
        </is>
      </c>
      <c r="M1990" t="inlineStr">
        <is>
          <t>Baldick, Chris.</t>
        </is>
      </c>
      <c r="N1990" t="inlineStr">
        <is>
          <t>Oxford : Oxford University Press, 2004.</t>
        </is>
      </c>
      <c r="O1990" t="inlineStr">
        <is>
          <t>2004</t>
        </is>
      </c>
      <c r="Q1990" t="inlineStr">
        <is>
          <t>eng</t>
        </is>
      </c>
      <c r="R1990" t="inlineStr">
        <is>
          <t>enk</t>
        </is>
      </c>
      <c r="S1990" t="inlineStr">
        <is>
          <t>The Oxford English literary history ; v. 10, 1910-1940</t>
        </is>
      </c>
      <c r="T1990" t="inlineStr">
        <is>
          <t xml:space="preserve">PR </t>
        </is>
      </c>
      <c r="U1990" t="n">
        <v>2</v>
      </c>
      <c r="V1990" t="n">
        <v>2</v>
      </c>
      <c r="W1990" t="inlineStr">
        <is>
          <t>2005-02-08</t>
        </is>
      </c>
      <c r="X1990" t="inlineStr">
        <is>
          <t>2005-02-08</t>
        </is>
      </c>
      <c r="Y1990" t="inlineStr">
        <is>
          <t>2005-02-08</t>
        </is>
      </c>
      <c r="Z1990" t="inlineStr">
        <is>
          <t>2005-02-08</t>
        </is>
      </c>
      <c r="AA1990" t="n">
        <v>139</v>
      </c>
      <c r="AB1990" t="n">
        <v>107</v>
      </c>
      <c r="AC1990" t="n">
        <v>907</v>
      </c>
      <c r="AD1990" t="n">
        <v>1</v>
      </c>
      <c r="AE1990" t="n">
        <v>15</v>
      </c>
      <c r="AF1990" t="n">
        <v>3</v>
      </c>
      <c r="AG1990" t="n">
        <v>36</v>
      </c>
      <c r="AH1990" t="n">
        <v>0</v>
      </c>
      <c r="AI1990" t="n">
        <v>10</v>
      </c>
      <c r="AJ1990" t="n">
        <v>1</v>
      </c>
      <c r="AK1990" t="n">
        <v>6</v>
      </c>
      <c r="AL1990" t="n">
        <v>3</v>
      </c>
      <c r="AM1990" t="n">
        <v>11</v>
      </c>
      <c r="AN1990" t="n">
        <v>0</v>
      </c>
      <c r="AO1990" t="n">
        <v>13</v>
      </c>
      <c r="AP1990" t="n">
        <v>0</v>
      </c>
      <c r="AQ1990" t="n">
        <v>2</v>
      </c>
      <c r="AR1990" t="inlineStr">
        <is>
          <t>No</t>
        </is>
      </c>
      <c r="AS1990" t="inlineStr">
        <is>
          <t>No</t>
        </is>
      </c>
      <c r="AU1990">
        <f>HYPERLINK("https://creighton-primo.hosted.exlibrisgroup.com/primo-explore/search?tab=default_tab&amp;search_scope=EVERYTHING&amp;vid=01CRU&amp;lang=en_US&amp;offset=0&amp;query=any,contains,991004455519702656","Catalog Record")</f>
        <v/>
      </c>
      <c r="AV1990">
        <f>HYPERLINK("http://www.worldcat.org/oclc/56654500","WorldCat Record")</f>
        <v/>
      </c>
      <c r="AW1990" t="inlineStr">
        <is>
          <t>892042:eng</t>
        </is>
      </c>
      <c r="AX1990" t="inlineStr">
        <is>
          <t>56654500</t>
        </is>
      </c>
      <c r="AY1990" t="inlineStr">
        <is>
          <t>991004455519702656</t>
        </is>
      </c>
      <c r="AZ1990" t="inlineStr">
        <is>
          <t>991004455519702656</t>
        </is>
      </c>
      <c r="BA1990" t="inlineStr">
        <is>
          <t>2256518520002656</t>
        </is>
      </c>
      <c r="BB1990" t="inlineStr">
        <is>
          <t>BOOK</t>
        </is>
      </c>
      <c r="BD1990" t="inlineStr">
        <is>
          <t>9780198183105</t>
        </is>
      </c>
      <c r="BE1990" t="inlineStr">
        <is>
          <t>32285005025407</t>
        </is>
      </c>
      <c r="BF1990" t="inlineStr">
        <is>
          <t>893606047</t>
        </is>
      </c>
    </row>
    <row r="1991">
      <c r="A1991" t="inlineStr">
        <is>
          <t>No</t>
        </is>
      </c>
      <c r="B1991" t="inlineStr">
        <is>
          <t>CURAL</t>
        </is>
      </c>
      <c r="C1991" t="inlineStr">
        <is>
          <t>SHELVES</t>
        </is>
      </c>
      <c r="D1991" t="inlineStr">
        <is>
          <t>PR471 .B67</t>
        </is>
      </c>
      <c r="E1991" t="inlineStr">
        <is>
          <t>0                      PR 0471000B  67</t>
        </is>
      </c>
      <c r="F1991" t="inlineStr">
        <is>
          <t>The social context of modern English literature.</t>
        </is>
      </c>
      <c r="H1991" t="inlineStr">
        <is>
          <t>No</t>
        </is>
      </c>
      <c r="I1991" t="inlineStr">
        <is>
          <t>1</t>
        </is>
      </c>
      <c r="J1991" t="inlineStr">
        <is>
          <t>No</t>
        </is>
      </c>
      <c r="K1991" t="inlineStr">
        <is>
          <t>No</t>
        </is>
      </c>
      <c r="L1991" t="inlineStr">
        <is>
          <t>0</t>
        </is>
      </c>
      <c r="M1991" t="inlineStr">
        <is>
          <t>Bradbury, Malcolm, 1932-2000.</t>
        </is>
      </c>
      <c r="N1991" t="inlineStr">
        <is>
          <t>New York : Schocken Books, [1971]</t>
        </is>
      </c>
      <c r="O1991" t="inlineStr">
        <is>
          <t>1971</t>
        </is>
      </c>
      <c r="Q1991" t="inlineStr">
        <is>
          <t>eng</t>
        </is>
      </c>
      <c r="R1991" t="inlineStr">
        <is>
          <t>nyu</t>
        </is>
      </c>
      <c r="T1991" t="inlineStr">
        <is>
          <t xml:space="preserve">PR </t>
        </is>
      </c>
      <c r="U1991" t="n">
        <v>2</v>
      </c>
      <c r="V1991" t="n">
        <v>2</v>
      </c>
      <c r="W1991" t="inlineStr">
        <is>
          <t>2004-11-11</t>
        </is>
      </c>
      <c r="X1991" t="inlineStr">
        <is>
          <t>2004-11-11</t>
        </is>
      </c>
      <c r="Y1991" t="inlineStr">
        <is>
          <t>1991-09-03</t>
        </is>
      </c>
      <c r="Z1991" t="inlineStr">
        <is>
          <t>1991-09-03</t>
        </is>
      </c>
      <c r="AA1991" t="n">
        <v>552</v>
      </c>
      <c r="AB1991" t="n">
        <v>498</v>
      </c>
      <c r="AC1991" t="n">
        <v>552</v>
      </c>
      <c r="AD1991" t="n">
        <v>7</v>
      </c>
      <c r="AE1991" t="n">
        <v>7</v>
      </c>
      <c r="AF1991" t="n">
        <v>26</v>
      </c>
      <c r="AG1991" t="n">
        <v>28</v>
      </c>
      <c r="AH1991" t="n">
        <v>8</v>
      </c>
      <c r="AI1991" t="n">
        <v>8</v>
      </c>
      <c r="AJ1991" t="n">
        <v>5</v>
      </c>
      <c r="AK1991" t="n">
        <v>6</v>
      </c>
      <c r="AL1991" t="n">
        <v>11</v>
      </c>
      <c r="AM1991" t="n">
        <v>13</v>
      </c>
      <c r="AN1991" t="n">
        <v>6</v>
      </c>
      <c r="AO1991" t="n">
        <v>6</v>
      </c>
      <c r="AP1991" t="n">
        <v>0</v>
      </c>
      <c r="AQ1991" t="n">
        <v>0</v>
      </c>
      <c r="AR1991" t="inlineStr">
        <is>
          <t>No</t>
        </is>
      </c>
      <c r="AS1991" t="inlineStr">
        <is>
          <t>Yes</t>
        </is>
      </c>
      <c r="AT1991">
        <f>HYPERLINK("http://catalog.hathitrust.org/Record/001370673","HathiTrust Record")</f>
        <v/>
      </c>
      <c r="AU1991">
        <f>HYPERLINK("https://creighton-primo.hosted.exlibrisgroup.com/primo-explore/search?tab=default_tab&amp;search_scope=EVERYTHING&amp;vid=01CRU&amp;lang=en_US&amp;offset=0&amp;query=any,contains,991001219299702656","Catalog Record")</f>
        <v/>
      </c>
      <c r="AV1991">
        <f>HYPERLINK("http://www.worldcat.org/oclc/196017","WorldCat Record")</f>
        <v/>
      </c>
      <c r="AW1991" t="inlineStr">
        <is>
          <t>149567453:eng</t>
        </is>
      </c>
      <c r="AX1991" t="inlineStr">
        <is>
          <t>196017</t>
        </is>
      </c>
      <c r="AY1991" t="inlineStr">
        <is>
          <t>991001219299702656</t>
        </is>
      </c>
      <c r="AZ1991" t="inlineStr">
        <is>
          <t>991001219299702656</t>
        </is>
      </c>
      <c r="BA1991" t="inlineStr">
        <is>
          <t>2270006840002656</t>
        </is>
      </c>
      <c r="BB1991" t="inlineStr">
        <is>
          <t>BOOK</t>
        </is>
      </c>
      <c r="BE1991" t="inlineStr">
        <is>
          <t>32285000733336</t>
        </is>
      </c>
      <c r="BF1991" t="inlineStr">
        <is>
          <t>893414071</t>
        </is>
      </c>
    </row>
    <row r="1992">
      <c r="A1992" t="inlineStr">
        <is>
          <t>No</t>
        </is>
      </c>
      <c r="B1992" t="inlineStr">
        <is>
          <t>CURAL</t>
        </is>
      </c>
      <c r="C1992" t="inlineStr">
        <is>
          <t>SHELVES</t>
        </is>
      </c>
      <c r="D1992" t="inlineStr">
        <is>
          <t>PR471 .P43 2000</t>
        </is>
      </c>
      <c r="E1992" t="inlineStr">
        <is>
          <t>0                      PR 0471000P  43          2000</t>
        </is>
      </c>
      <c r="F1992" t="inlineStr">
        <is>
          <t>Literary converts : spiritual inspiration in an age of unbelief / Joseph Pearce.</t>
        </is>
      </c>
      <c r="H1992" t="inlineStr">
        <is>
          <t>No</t>
        </is>
      </c>
      <c r="I1992" t="inlineStr">
        <is>
          <t>1</t>
        </is>
      </c>
      <c r="J1992" t="inlineStr">
        <is>
          <t>No</t>
        </is>
      </c>
      <c r="K1992" t="inlineStr">
        <is>
          <t>No</t>
        </is>
      </c>
      <c r="L1992" t="inlineStr">
        <is>
          <t>0</t>
        </is>
      </c>
      <c r="M1992" t="inlineStr">
        <is>
          <t>Pearce, Joseph, 1961-</t>
        </is>
      </c>
      <c r="N1992" t="inlineStr">
        <is>
          <t>San Francisco : Ignatius Press, 2000.</t>
        </is>
      </c>
      <c r="O1992" t="inlineStr">
        <is>
          <t>2000</t>
        </is>
      </c>
      <c r="Q1992" t="inlineStr">
        <is>
          <t>eng</t>
        </is>
      </c>
      <c r="R1992" t="inlineStr">
        <is>
          <t>cau</t>
        </is>
      </c>
      <c r="T1992" t="inlineStr">
        <is>
          <t xml:space="preserve">PR </t>
        </is>
      </c>
      <c r="U1992" t="n">
        <v>1</v>
      </c>
      <c r="V1992" t="n">
        <v>1</v>
      </c>
      <c r="W1992" t="inlineStr">
        <is>
          <t>2001-08-21</t>
        </is>
      </c>
      <c r="X1992" t="inlineStr">
        <is>
          <t>2001-08-21</t>
        </is>
      </c>
      <c r="Y1992" t="inlineStr">
        <is>
          <t>2001-08-20</t>
        </is>
      </c>
      <c r="Z1992" t="inlineStr">
        <is>
          <t>2001-08-20</t>
        </is>
      </c>
      <c r="AA1992" t="n">
        <v>293</v>
      </c>
      <c r="AB1992" t="n">
        <v>272</v>
      </c>
      <c r="AC1992" t="n">
        <v>395</v>
      </c>
      <c r="AD1992" t="n">
        <v>7</v>
      </c>
      <c r="AE1992" t="n">
        <v>7</v>
      </c>
      <c r="AF1992" t="n">
        <v>22</v>
      </c>
      <c r="AG1992" t="n">
        <v>27</v>
      </c>
      <c r="AH1992" t="n">
        <v>8</v>
      </c>
      <c r="AI1992" t="n">
        <v>9</v>
      </c>
      <c r="AJ1992" t="n">
        <v>3</v>
      </c>
      <c r="AK1992" t="n">
        <v>6</v>
      </c>
      <c r="AL1992" t="n">
        <v>12</v>
      </c>
      <c r="AM1992" t="n">
        <v>15</v>
      </c>
      <c r="AN1992" t="n">
        <v>3</v>
      </c>
      <c r="AO1992" t="n">
        <v>3</v>
      </c>
      <c r="AP1992" t="n">
        <v>0</v>
      </c>
      <c r="AQ1992" t="n">
        <v>0</v>
      </c>
      <c r="AR1992" t="inlineStr">
        <is>
          <t>No</t>
        </is>
      </c>
      <c r="AS1992" t="inlineStr">
        <is>
          <t>No</t>
        </is>
      </c>
      <c r="AU1992">
        <f>HYPERLINK("https://creighton-primo.hosted.exlibrisgroup.com/primo-explore/search?tab=default_tab&amp;search_scope=EVERYTHING&amp;vid=01CRU&amp;lang=en_US&amp;offset=0&amp;query=any,contains,991003575559702656","Catalog Record")</f>
        <v/>
      </c>
      <c r="AV1992">
        <f>HYPERLINK("http://www.worldcat.org/oclc/44053183","WorldCat Record")</f>
        <v/>
      </c>
      <c r="AW1992" t="inlineStr">
        <is>
          <t>25287310:eng</t>
        </is>
      </c>
      <c r="AX1992" t="inlineStr">
        <is>
          <t>44053183</t>
        </is>
      </c>
      <c r="AY1992" t="inlineStr">
        <is>
          <t>991003575559702656</t>
        </is>
      </c>
      <c r="AZ1992" t="inlineStr">
        <is>
          <t>991003575559702656</t>
        </is>
      </c>
      <c r="BA1992" t="inlineStr">
        <is>
          <t>2254915420002656</t>
        </is>
      </c>
      <c r="BB1992" t="inlineStr">
        <is>
          <t>BOOK</t>
        </is>
      </c>
      <c r="BD1992" t="inlineStr">
        <is>
          <t>9780898707908</t>
        </is>
      </c>
      <c r="BE1992" t="inlineStr">
        <is>
          <t>32285004378435</t>
        </is>
      </c>
      <c r="BF1992" t="inlineStr">
        <is>
          <t>893422712</t>
        </is>
      </c>
    </row>
    <row r="1993">
      <c r="A1993" t="inlineStr">
        <is>
          <t>No</t>
        </is>
      </c>
      <c r="B1993" t="inlineStr">
        <is>
          <t>CURAL</t>
        </is>
      </c>
      <c r="C1993" t="inlineStr">
        <is>
          <t>SHELVES</t>
        </is>
      </c>
      <c r="D1993" t="inlineStr">
        <is>
          <t>PR471 .P8 1985</t>
        </is>
      </c>
      <c r="E1993" t="inlineStr">
        <is>
          <t>0                      PR 0471000P  8           1985</t>
        </is>
      </c>
      <c r="F1993" t="inlineStr">
        <is>
          <t>The hidden script : writing and the unconscious / David Punter.</t>
        </is>
      </c>
      <c r="H1993" t="inlineStr">
        <is>
          <t>No</t>
        </is>
      </c>
      <c r="I1993" t="inlineStr">
        <is>
          <t>1</t>
        </is>
      </c>
      <c r="J1993" t="inlineStr">
        <is>
          <t>No</t>
        </is>
      </c>
      <c r="K1993" t="inlineStr">
        <is>
          <t>No</t>
        </is>
      </c>
      <c r="L1993" t="inlineStr">
        <is>
          <t>0</t>
        </is>
      </c>
      <c r="M1993" t="inlineStr">
        <is>
          <t>Punter, David.</t>
        </is>
      </c>
      <c r="N1993" t="inlineStr">
        <is>
          <t>London ; Boston : Routledge &amp; Kegan Paul, 1985.</t>
        </is>
      </c>
      <c r="O1993" t="inlineStr">
        <is>
          <t>1985</t>
        </is>
      </c>
      <c r="Q1993" t="inlineStr">
        <is>
          <t>eng</t>
        </is>
      </c>
      <c r="R1993" t="inlineStr">
        <is>
          <t>enk</t>
        </is>
      </c>
      <c r="T1993" t="inlineStr">
        <is>
          <t xml:space="preserve">PR </t>
        </is>
      </c>
      <c r="U1993" t="n">
        <v>1</v>
      </c>
      <c r="V1993" t="n">
        <v>1</v>
      </c>
      <c r="W1993" t="inlineStr">
        <is>
          <t>2000-11-21</t>
        </is>
      </c>
      <c r="X1993" t="inlineStr">
        <is>
          <t>2000-11-21</t>
        </is>
      </c>
      <c r="Y1993" t="inlineStr">
        <is>
          <t>1991-08-30</t>
        </is>
      </c>
      <c r="Z1993" t="inlineStr">
        <is>
          <t>1991-08-30</t>
        </is>
      </c>
      <c r="AA1993" t="n">
        <v>332</v>
      </c>
      <c r="AB1993" t="n">
        <v>237</v>
      </c>
      <c r="AC1993" t="n">
        <v>244</v>
      </c>
      <c r="AD1993" t="n">
        <v>3</v>
      </c>
      <c r="AE1993" t="n">
        <v>3</v>
      </c>
      <c r="AF1993" t="n">
        <v>12</v>
      </c>
      <c r="AG1993" t="n">
        <v>12</v>
      </c>
      <c r="AH1993" t="n">
        <v>3</v>
      </c>
      <c r="AI1993" t="n">
        <v>3</v>
      </c>
      <c r="AJ1993" t="n">
        <v>3</v>
      </c>
      <c r="AK1993" t="n">
        <v>3</v>
      </c>
      <c r="AL1993" t="n">
        <v>6</v>
      </c>
      <c r="AM1993" t="n">
        <v>6</v>
      </c>
      <c r="AN1993" t="n">
        <v>2</v>
      </c>
      <c r="AO1993" t="n">
        <v>2</v>
      </c>
      <c r="AP1993" t="n">
        <v>0</v>
      </c>
      <c r="AQ1993" t="n">
        <v>0</v>
      </c>
      <c r="AR1993" t="inlineStr">
        <is>
          <t>No</t>
        </is>
      </c>
      <c r="AS1993" t="inlineStr">
        <is>
          <t>Yes</t>
        </is>
      </c>
      <c r="AT1993">
        <f>HYPERLINK("http://catalog.hathitrust.org/Record/000346092","HathiTrust Record")</f>
        <v/>
      </c>
      <c r="AU1993">
        <f>HYPERLINK("https://creighton-primo.hosted.exlibrisgroup.com/primo-explore/search?tab=default_tab&amp;search_scope=EVERYTHING&amp;vid=01CRU&amp;lang=en_US&amp;offset=0&amp;query=any,contains,991000470769702656","Catalog Record")</f>
        <v/>
      </c>
      <c r="AV1993">
        <f>HYPERLINK("http://www.worldcat.org/oclc/10996851","WorldCat Record")</f>
        <v/>
      </c>
      <c r="AW1993" t="inlineStr">
        <is>
          <t>346064734:eng</t>
        </is>
      </c>
      <c r="AX1993" t="inlineStr">
        <is>
          <t>10996851</t>
        </is>
      </c>
      <c r="AY1993" t="inlineStr">
        <is>
          <t>991000470769702656</t>
        </is>
      </c>
      <c r="AZ1993" t="inlineStr">
        <is>
          <t>991000470769702656</t>
        </is>
      </c>
      <c r="BA1993" t="inlineStr">
        <is>
          <t>2262005140002656</t>
        </is>
      </c>
      <c r="BB1993" t="inlineStr">
        <is>
          <t>BOOK</t>
        </is>
      </c>
      <c r="BD1993" t="inlineStr">
        <is>
          <t>9780710099518</t>
        </is>
      </c>
      <c r="BE1993" t="inlineStr">
        <is>
          <t>32285000733393</t>
        </is>
      </c>
      <c r="BF1993" t="inlineStr">
        <is>
          <t>893321057</t>
        </is>
      </c>
    </row>
    <row r="1994">
      <c r="A1994" t="inlineStr">
        <is>
          <t>No</t>
        </is>
      </c>
      <c r="B1994" t="inlineStr">
        <is>
          <t>CURAL</t>
        </is>
      </c>
      <c r="C1994" t="inlineStr">
        <is>
          <t>SHELVES</t>
        </is>
      </c>
      <c r="D1994" t="inlineStr">
        <is>
          <t>PR471 .T76 1991</t>
        </is>
      </c>
      <c r="E1994" t="inlineStr">
        <is>
          <t>0                      PR 0471000T  76          1991</t>
        </is>
      </c>
      <c r="F1994" t="inlineStr">
        <is>
          <t>A reader's guide to Edwardian literature / Anthea Trodd.</t>
        </is>
      </c>
      <c r="H1994" t="inlineStr">
        <is>
          <t>No</t>
        </is>
      </c>
      <c r="I1994" t="inlineStr">
        <is>
          <t>1</t>
        </is>
      </c>
      <c r="J1994" t="inlineStr">
        <is>
          <t>No</t>
        </is>
      </c>
      <c r="K1994" t="inlineStr">
        <is>
          <t>No</t>
        </is>
      </c>
      <c r="L1994" t="inlineStr">
        <is>
          <t>0</t>
        </is>
      </c>
      <c r="M1994" t="inlineStr">
        <is>
          <t>Trodd, Anthea.</t>
        </is>
      </c>
      <c r="N1994" t="inlineStr">
        <is>
          <t>New York ; London : Harvester Wheatsheaf, 1991.</t>
        </is>
      </c>
      <c r="O1994" t="inlineStr">
        <is>
          <t>1991</t>
        </is>
      </c>
      <c r="Q1994" t="inlineStr">
        <is>
          <t>eng</t>
        </is>
      </c>
      <c r="R1994" t="inlineStr">
        <is>
          <t>enk</t>
        </is>
      </c>
      <c r="T1994" t="inlineStr">
        <is>
          <t xml:space="preserve">PR </t>
        </is>
      </c>
      <c r="U1994" t="n">
        <v>1</v>
      </c>
      <c r="V1994" t="n">
        <v>1</v>
      </c>
      <c r="W1994" t="inlineStr">
        <is>
          <t>1995-09-27</t>
        </is>
      </c>
      <c r="X1994" t="inlineStr">
        <is>
          <t>1995-09-27</t>
        </is>
      </c>
      <c r="Y1994" t="inlineStr">
        <is>
          <t>1992-01-10</t>
        </is>
      </c>
      <c r="Z1994" t="inlineStr">
        <is>
          <t>1992-01-10</t>
        </is>
      </c>
      <c r="AA1994" t="n">
        <v>62</v>
      </c>
      <c r="AB1994" t="n">
        <v>25</v>
      </c>
      <c r="AC1994" t="n">
        <v>891</v>
      </c>
      <c r="AD1994" t="n">
        <v>1</v>
      </c>
      <c r="AE1994" t="n">
        <v>3</v>
      </c>
      <c r="AF1994" t="n">
        <v>0</v>
      </c>
      <c r="AG1994" t="n">
        <v>16</v>
      </c>
      <c r="AH1994" t="n">
        <v>0</v>
      </c>
      <c r="AI1994" t="n">
        <v>7</v>
      </c>
      <c r="AJ1994" t="n">
        <v>0</v>
      </c>
      <c r="AK1994" t="n">
        <v>2</v>
      </c>
      <c r="AL1994" t="n">
        <v>0</v>
      </c>
      <c r="AM1994" t="n">
        <v>8</v>
      </c>
      <c r="AN1994" t="n">
        <v>0</v>
      </c>
      <c r="AO1994" t="n">
        <v>2</v>
      </c>
      <c r="AP1994" t="n">
        <v>0</v>
      </c>
      <c r="AQ1994" t="n">
        <v>0</v>
      </c>
      <c r="AR1994" t="inlineStr">
        <is>
          <t>No</t>
        </is>
      </c>
      <c r="AS1994" t="inlineStr">
        <is>
          <t>Yes</t>
        </is>
      </c>
      <c r="AT1994">
        <f>HYPERLINK("http://catalog.hathitrust.org/Record/102605739","HathiTrust Record")</f>
        <v/>
      </c>
      <c r="AU1994">
        <f>HYPERLINK("https://creighton-primo.hosted.exlibrisgroup.com/primo-explore/search?tab=default_tab&amp;search_scope=EVERYTHING&amp;vid=01CRU&amp;lang=en_US&amp;offset=0&amp;query=any,contains,991001764319702656","Catalog Record")</f>
        <v/>
      </c>
      <c r="AV1994">
        <f>HYPERLINK("http://www.worldcat.org/oclc/59986768","WorldCat Record")</f>
        <v/>
      </c>
      <c r="AW1994" t="inlineStr">
        <is>
          <t>1039272:eng</t>
        </is>
      </c>
      <c r="AX1994" t="inlineStr">
        <is>
          <t>59986768</t>
        </is>
      </c>
      <c r="AY1994" t="inlineStr">
        <is>
          <t>991001764319702656</t>
        </is>
      </c>
      <c r="AZ1994" t="inlineStr">
        <is>
          <t>991001764319702656</t>
        </is>
      </c>
      <c r="BA1994" t="inlineStr">
        <is>
          <t>2260970240002656</t>
        </is>
      </c>
      <c r="BB1994" t="inlineStr">
        <is>
          <t>BOOK</t>
        </is>
      </c>
      <c r="BD1994" t="inlineStr">
        <is>
          <t>9780710813367</t>
        </is>
      </c>
      <c r="BE1994" t="inlineStr">
        <is>
          <t>32285000863588</t>
        </is>
      </c>
      <c r="BF1994" t="inlineStr">
        <is>
          <t>893503670</t>
        </is>
      </c>
    </row>
    <row r="1995">
      <c r="A1995" t="inlineStr">
        <is>
          <t>No</t>
        </is>
      </c>
      <c r="B1995" t="inlineStr">
        <is>
          <t>CURAL</t>
        </is>
      </c>
      <c r="C1995" t="inlineStr">
        <is>
          <t>SHELVES</t>
        </is>
      </c>
      <c r="D1995" t="inlineStr">
        <is>
          <t>PR471 .T894 1992</t>
        </is>
      </c>
      <c r="E1995" t="inlineStr">
        <is>
          <t>0                      PR 0471000T  894         1992</t>
        </is>
      </c>
      <c r="F1995" t="inlineStr">
        <is>
          <t>The Twentieth century : a guide to literature from 1900 to the present day / edited by Linda R. Williams.</t>
        </is>
      </c>
      <c r="H1995" t="inlineStr">
        <is>
          <t>No</t>
        </is>
      </c>
      <c r="I1995" t="inlineStr">
        <is>
          <t>1</t>
        </is>
      </c>
      <c r="J1995" t="inlineStr">
        <is>
          <t>No</t>
        </is>
      </c>
      <c r="K1995" t="inlineStr">
        <is>
          <t>No</t>
        </is>
      </c>
      <c r="L1995" t="inlineStr">
        <is>
          <t>0</t>
        </is>
      </c>
      <c r="N1995" t="inlineStr">
        <is>
          <t>London : Bloomsbury, 1992.</t>
        </is>
      </c>
      <c r="O1995" t="inlineStr">
        <is>
          <t>1992</t>
        </is>
      </c>
      <c r="Q1995" t="inlineStr">
        <is>
          <t>eng</t>
        </is>
      </c>
      <c r="R1995" t="inlineStr">
        <is>
          <t>enk</t>
        </is>
      </c>
      <c r="S1995" t="inlineStr">
        <is>
          <t>Bloomsbury guides to English literature</t>
        </is>
      </c>
      <c r="T1995" t="inlineStr">
        <is>
          <t xml:space="preserve">PR </t>
        </is>
      </c>
      <c r="U1995" t="n">
        <v>2</v>
      </c>
      <c r="V1995" t="n">
        <v>2</v>
      </c>
      <c r="W1995" t="inlineStr">
        <is>
          <t>2008-11-23</t>
        </is>
      </c>
      <c r="X1995" t="inlineStr">
        <is>
          <t>2008-11-23</t>
        </is>
      </c>
      <c r="Y1995" t="inlineStr">
        <is>
          <t>1993-11-01</t>
        </is>
      </c>
      <c r="Z1995" t="inlineStr">
        <is>
          <t>1993-11-01</t>
        </is>
      </c>
      <c r="AA1995" t="n">
        <v>128</v>
      </c>
      <c r="AB1995" t="n">
        <v>37</v>
      </c>
      <c r="AC1995" t="n">
        <v>49</v>
      </c>
      <c r="AD1995" t="n">
        <v>1</v>
      </c>
      <c r="AE1995" t="n">
        <v>2</v>
      </c>
      <c r="AF1995" t="n">
        <v>1</v>
      </c>
      <c r="AG1995" t="n">
        <v>2</v>
      </c>
      <c r="AH1995" t="n">
        <v>0</v>
      </c>
      <c r="AI1995" t="n">
        <v>0</v>
      </c>
      <c r="AJ1995" t="n">
        <v>0</v>
      </c>
      <c r="AK1995" t="n">
        <v>0</v>
      </c>
      <c r="AL1995" t="n">
        <v>1</v>
      </c>
      <c r="AM1995" t="n">
        <v>1</v>
      </c>
      <c r="AN1995" t="n">
        <v>0</v>
      </c>
      <c r="AO1995" t="n">
        <v>1</v>
      </c>
      <c r="AP1995" t="n">
        <v>0</v>
      </c>
      <c r="AQ1995" t="n">
        <v>0</v>
      </c>
      <c r="AR1995" t="inlineStr">
        <is>
          <t>No</t>
        </is>
      </c>
      <c r="AS1995" t="inlineStr">
        <is>
          <t>No</t>
        </is>
      </c>
      <c r="AU1995">
        <f>HYPERLINK("https://creighton-primo.hosted.exlibrisgroup.com/primo-explore/search?tab=default_tab&amp;search_scope=EVERYTHING&amp;vid=01CRU&amp;lang=en_US&amp;offset=0&amp;query=any,contains,991002100689702656","Catalog Record")</f>
        <v/>
      </c>
      <c r="AV1995">
        <f>HYPERLINK("http://www.worldcat.org/oclc/26965733","WorldCat Record")</f>
        <v/>
      </c>
      <c r="AW1995" t="inlineStr">
        <is>
          <t>155611629:eng</t>
        </is>
      </c>
      <c r="AX1995" t="inlineStr">
        <is>
          <t>26965733</t>
        </is>
      </c>
      <c r="AY1995" t="inlineStr">
        <is>
          <t>991002100689702656</t>
        </is>
      </c>
      <c r="AZ1995" t="inlineStr">
        <is>
          <t>991002100689702656</t>
        </is>
      </c>
      <c r="BA1995" t="inlineStr">
        <is>
          <t>2263219030002656</t>
        </is>
      </c>
      <c r="BB1995" t="inlineStr">
        <is>
          <t>BOOK</t>
        </is>
      </c>
      <c r="BD1995" t="inlineStr">
        <is>
          <t>9780747512875</t>
        </is>
      </c>
      <c r="BE1995" t="inlineStr">
        <is>
          <t>32285001789360</t>
        </is>
      </c>
      <c r="BF1995" t="inlineStr">
        <is>
          <t>893427204</t>
        </is>
      </c>
    </row>
    <row r="1996">
      <c r="A1996" t="inlineStr">
        <is>
          <t>No</t>
        </is>
      </c>
      <c r="B1996" t="inlineStr">
        <is>
          <t>CURAL</t>
        </is>
      </c>
      <c r="C1996" t="inlineStr">
        <is>
          <t>SHELVES</t>
        </is>
      </c>
      <c r="D1996" t="inlineStr">
        <is>
          <t>PR4711 .A7 1960</t>
        </is>
      </c>
      <c r="E1996" t="inlineStr">
        <is>
          <t>0                      PR 4711000A  7           1960</t>
        </is>
      </c>
      <c r="F1996" t="inlineStr">
        <is>
          <t>Elizabeth Gaskell.</t>
        </is>
      </c>
      <c r="H1996" t="inlineStr">
        <is>
          <t>No</t>
        </is>
      </c>
      <c r="I1996" t="inlineStr">
        <is>
          <t>1</t>
        </is>
      </c>
      <c r="J1996" t="inlineStr">
        <is>
          <t>No</t>
        </is>
      </c>
      <c r="K1996" t="inlineStr">
        <is>
          <t>No</t>
        </is>
      </c>
      <c r="L1996" t="inlineStr">
        <is>
          <t>0</t>
        </is>
      </c>
      <c r="M1996" t="inlineStr">
        <is>
          <t>Allott, Miriam Farris.</t>
        </is>
      </c>
      <c r="N1996" t="inlineStr">
        <is>
          <t>London Longmans, Green [1960]</t>
        </is>
      </c>
      <c r="O1996" t="inlineStr">
        <is>
          <t>1960</t>
        </is>
      </c>
      <c r="Q1996" t="inlineStr">
        <is>
          <t>eng</t>
        </is>
      </c>
      <c r="R1996" t="inlineStr">
        <is>
          <t>enk</t>
        </is>
      </c>
      <c r="S1996" t="inlineStr">
        <is>
          <t>Bibliographical series of supplements to British book news on writers and their work ; no. 124</t>
        </is>
      </c>
      <c r="T1996" t="inlineStr">
        <is>
          <t xml:space="preserve">PR </t>
        </is>
      </c>
      <c r="U1996" t="n">
        <v>5</v>
      </c>
      <c r="V1996" t="n">
        <v>5</v>
      </c>
      <c r="W1996" t="inlineStr">
        <is>
          <t>2009-04-18</t>
        </is>
      </c>
      <c r="X1996" t="inlineStr">
        <is>
          <t>2009-04-18</t>
        </is>
      </c>
      <c r="Y1996" t="inlineStr">
        <is>
          <t>1997-07-14</t>
        </is>
      </c>
      <c r="Z1996" t="inlineStr">
        <is>
          <t>1997-07-14</t>
        </is>
      </c>
      <c r="AA1996" t="n">
        <v>640</v>
      </c>
      <c r="AB1996" t="n">
        <v>500</v>
      </c>
      <c r="AC1996" t="n">
        <v>519</v>
      </c>
      <c r="AD1996" t="n">
        <v>4</v>
      </c>
      <c r="AE1996" t="n">
        <v>4</v>
      </c>
      <c r="AF1996" t="n">
        <v>27</v>
      </c>
      <c r="AG1996" t="n">
        <v>28</v>
      </c>
      <c r="AH1996" t="n">
        <v>12</v>
      </c>
      <c r="AI1996" t="n">
        <v>12</v>
      </c>
      <c r="AJ1996" t="n">
        <v>6</v>
      </c>
      <c r="AK1996" t="n">
        <v>6</v>
      </c>
      <c r="AL1996" t="n">
        <v>15</v>
      </c>
      <c r="AM1996" t="n">
        <v>16</v>
      </c>
      <c r="AN1996" t="n">
        <v>3</v>
      </c>
      <c r="AO1996" t="n">
        <v>3</v>
      </c>
      <c r="AP1996" t="n">
        <v>0</v>
      </c>
      <c r="AQ1996" t="n">
        <v>0</v>
      </c>
      <c r="AR1996" t="inlineStr">
        <is>
          <t>No</t>
        </is>
      </c>
      <c r="AS1996" t="inlineStr">
        <is>
          <t>Yes</t>
        </is>
      </c>
      <c r="AT1996">
        <f>HYPERLINK("http://catalog.hathitrust.org/Record/000433184","HathiTrust Record")</f>
        <v/>
      </c>
      <c r="AU1996">
        <f>HYPERLINK("https://creighton-primo.hosted.exlibrisgroup.com/primo-explore/search?tab=default_tab&amp;search_scope=EVERYTHING&amp;vid=01CRU&amp;lang=en_US&amp;offset=0&amp;query=any,contains,991001027249702656","Catalog Record")</f>
        <v/>
      </c>
      <c r="AV1996">
        <f>HYPERLINK("http://www.worldcat.org/oclc/174749","WorldCat Record")</f>
        <v/>
      </c>
      <c r="AW1996" t="inlineStr">
        <is>
          <t>19973826:eng</t>
        </is>
      </c>
      <c r="AX1996" t="inlineStr">
        <is>
          <t>174749</t>
        </is>
      </c>
      <c r="AY1996" t="inlineStr">
        <is>
          <t>991001027249702656</t>
        </is>
      </c>
      <c r="AZ1996" t="inlineStr">
        <is>
          <t>991001027249702656</t>
        </is>
      </c>
      <c r="BA1996" t="inlineStr">
        <is>
          <t>2266556020002656</t>
        </is>
      </c>
      <c r="BB1996" t="inlineStr">
        <is>
          <t>BOOK</t>
        </is>
      </c>
      <c r="BE1996" t="inlineStr">
        <is>
          <t>32285002896438</t>
        </is>
      </c>
      <c r="BF1996" t="inlineStr">
        <is>
          <t>893327809</t>
        </is>
      </c>
    </row>
    <row r="1997">
      <c r="A1997" t="inlineStr">
        <is>
          <t>No</t>
        </is>
      </c>
      <c r="B1997" t="inlineStr">
        <is>
          <t>CURAL</t>
        </is>
      </c>
      <c r="C1997" t="inlineStr">
        <is>
          <t>SHELVES</t>
        </is>
      </c>
      <c r="D1997" t="inlineStr">
        <is>
          <t>PR4711 .C55 1997</t>
        </is>
      </c>
      <c r="E1997" t="inlineStr">
        <is>
          <t>0                      PR 4711000C  55          1997</t>
        </is>
      </c>
      <c r="F1997" t="inlineStr">
        <is>
          <t>Elizabeth Gaskell : the early years / John Chapple.</t>
        </is>
      </c>
      <c r="H1997" t="inlineStr">
        <is>
          <t>No</t>
        </is>
      </c>
      <c r="I1997" t="inlineStr">
        <is>
          <t>1</t>
        </is>
      </c>
      <c r="J1997" t="inlineStr">
        <is>
          <t>No</t>
        </is>
      </c>
      <c r="K1997" t="inlineStr">
        <is>
          <t>No</t>
        </is>
      </c>
      <c r="L1997" t="inlineStr">
        <is>
          <t>0</t>
        </is>
      </c>
      <c r="M1997" t="inlineStr">
        <is>
          <t>Chapple, J. A. V.</t>
        </is>
      </c>
      <c r="N1997" t="inlineStr">
        <is>
          <t>Manchester, UK ; New York : Manchester University Press ; New York : Distributed exclusively in the USA by St. Martin's Press, 1997.</t>
        </is>
      </c>
      <c r="O1997" t="inlineStr">
        <is>
          <t>1997</t>
        </is>
      </c>
      <c r="Q1997" t="inlineStr">
        <is>
          <t>eng</t>
        </is>
      </c>
      <c r="R1997" t="inlineStr">
        <is>
          <t>enk</t>
        </is>
      </c>
      <c r="T1997" t="inlineStr">
        <is>
          <t xml:space="preserve">PR </t>
        </is>
      </c>
      <c r="U1997" t="n">
        <v>6</v>
      </c>
      <c r="V1997" t="n">
        <v>6</v>
      </c>
      <c r="W1997" t="inlineStr">
        <is>
          <t>2009-01-13</t>
        </is>
      </c>
      <c r="X1997" t="inlineStr">
        <is>
          <t>2009-01-13</t>
        </is>
      </c>
      <c r="Y1997" t="inlineStr">
        <is>
          <t>2000-12-19</t>
        </is>
      </c>
      <c r="Z1997" t="inlineStr">
        <is>
          <t>2000-12-19</t>
        </is>
      </c>
      <c r="AA1997" t="n">
        <v>432</v>
      </c>
      <c r="AB1997" t="n">
        <v>314</v>
      </c>
      <c r="AC1997" t="n">
        <v>330</v>
      </c>
      <c r="AD1997" t="n">
        <v>2</v>
      </c>
      <c r="AE1997" t="n">
        <v>2</v>
      </c>
      <c r="AF1997" t="n">
        <v>18</v>
      </c>
      <c r="AG1997" t="n">
        <v>18</v>
      </c>
      <c r="AH1997" t="n">
        <v>6</v>
      </c>
      <c r="AI1997" t="n">
        <v>6</v>
      </c>
      <c r="AJ1997" t="n">
        <v>6</v>
      </c>
      <c r="AK1997" t="n">
        <v>6</v>
      </c>
      <c r="AL1997" t="n">
        <v>11</v>
      </c>
      <c r="AM1997" t="n">
        <v>11</v>
      </c>
      <c r="AN1997" t="n">
        <v>1</v>
      </c>
      <c r="AO1997" t="n">
        <v>1</v>
      </c>
      <c r="AP1997" t="n">
        <v>0</v>
      </c>
      <c r="AQ1997" t="n">
        <v>0</v>
      </c>
      <c r="AR1997" t="inlineStr">
        <is>
          <t>No</t>
        </is>
      </c>
      <c r="AS1997" t="inlineStr">
        <is>
          <t>Yes</t>
        </is>
      </c>
      <c r="AT1997">
        <f>HYPERLINK("http://catalog.hathitrust.org/Record/003298702","HathiTrust Record")</f>
        <v/>
      </c>
      <c r="AU1997">
        <f>HYPERLINK("https://creighton-primo.hosted.exlibrisgroup.com/primo-explore/search?tab=default_tab&amp;search_scope=EVERYTHING&amp;vid=01CRU&amp;lang=en_US&amp;offset=0&amp;query=any,contains,991003322839702656","Catalog Record")</f>
        <v/>
      </c>
      <c r="AV1997">
        <f>HYPERLINK("http://www.worldcat.org/oclc/35593865","WorldCat Record")</f>
        <v/>
      </c>
      <c r="AW1997" t="inlineStr">
        <is>
          <t>807330683:eng</t>
        </is>
      </c>
      <c r="AX1997" t="inlineStr">
        <is>
          <t>35593865</t>
        </is>
      </c>
      <c r="AY1997" t="inlineStr">
        <is>
          <t>991003322839702656</t>
        </is>
      </c>
      <c r="AZ1997" t="inlineStr">
        <is>
          <t>991003322839702656</t>
        </is>
      </c>
      <c r="BA1997" t="inlineStr">
        <is>
          <t>2272003700002656</t>
        </is>
      </c>
      <c r="BB1997" t="inlineStr">
        <is>
          <t>BOOK</t>
        </is>
      </c>
      <c r="BD1997" t="inlineStr">
        <is>
          <t>9780719025501</t>
        </is>
      </c>
      <c r="BE1997" t="inlineStr">
        <is>
          <t>32285004277702</t>
        </is>
      </c>
      <c r="BF1997" t="inlineStr">
        <is>
          <t>893499192</t>
        </is>
      </c>
    </row>
    <row r="1998">
      <c r="A1998" t="inlineStr">
        <is>
          <t>No</t>
        </is>
      </c>
      <c r="B1998" t="inlineStr">
        <is>
          <t>CURAL</t>
        </is>
      </c>
      <c r="C1998" t="inlineStr">
        <is>
          <t>SHELVES</t>
        </is>
      </c>
      <c r="D1998" t="inlineStr">
        <is>
          <t>PR4711 .D85 1980</t>
        </is>
      </c>
      <c r="E1998" t="inlineStr">
        <is>
          <t>0                      PR 4711000D  85          1980</t>
        </is>
      </c>
      <c r="F1998" t="inlineStr">
        <is>
          <t>The themes of Elizabeth Gaskell / Enid L. Duthie.</t>
        </is>
      </c>
      <c r="H1998" t="inlineStr">
        <is>
          <t>No</t>
        </is>
      </c>
      <c r="I1998" t="inlineStr">
        <is>
          <t>1</t>
        </is>
      </c>
      <c r="J1998" t="inlineStr">
        <is>
          <t>No</t>
        </is>
      </c>
      <c r="K1998" t="inlineStr">
        <is>
          <t>No</t>
        </is>
      </c>
      <c r="L1998" t="inlineStr">
        <is>
          <t>0</t>
        </is>
      </c>
      <c r="M1998" t="inlineStr">
        <is>
          <t>Duthie, Enid Lowry.</t>
        </is>
      </c>
      <c r="N1998" t="inlineStr">
        <is>
          <t>Totowa, N.J. : Rowman and Littlefield, 1980.</t>
        </is>
      </c>
      <c r="O1998" t="inlineStr">
        <is>
          <t>1980</t>
        </is>
      </c>
      <c r="Q1998" t="inlineStr">
        <is>
          <t>eng</t>
        </is>
      </c>
      <c r="R1998" t="inlineStr">
        <is>
          <t>nju</t>
        </is>
      </c>
      <c r="T1998" t="inlineStr">
        <is>
          <t xml:space="preserve">PR </t>
        </is>
      </c>
      <c r="U1998" t="n">
        <v>6</v>
      </c>
      <c r="V1998" t="n">
        <v>6</v>
      </c>
      <c r="W1998" t="inlineStr">
        <is>
          <t>2009-01-13</t>
        </is>
      </c>
      <c r="X1998" t="inlineStr">
        <is>
          <t>2009-01-13</t>
        </is>
      </c>
      <c r="Y1998" t="inlineStr">
        <is>
          <t>1991-11-07</t>
        </is>
      </c>
      <c r="Z1998" t="inlineStr">
        <is>
          <t>1991-11-07</t>
        </is>
      </c>
      <c r="AA1998" t="n">
        <v>340</v>
      </c>
      <c r="AB1998" t="n">
        <v>298</v>
      </c>
      <c r="AC1998" t="n">
        <v>370</v>
      </c>
      <c r="AD1998" t="n">
        <v>1</v>
      </c>
      <c r="AE1998" t="n">
        <v>3</v>
      </c>
      <c r="AF1998" t="n">
        <v>15</v>
      </c>
      <c r="AG1998" t="n">
        <v>20</v>
      </c>
      <c r="AH1998" t="n">
        <v>7</v>
      </c>
      <c r="AI1998" t="n">
        <v>8</v>
      </c>
      <c r="AJ1998" t="n">
        <v>7</v>
      </c>
      <c r="AK1998" t="n">
        <v>8</v>
      </c>
      <c r="AL1998" t="n">
        <v>8</v>
      </c>
      <c r="AM1998" t="n">
        <v>10</v>
      </c>
      <c r="AN1998" t="n">
        <v>0</v>
      </c>
      <c r="AO1998" t="n">
        <v>2</v>
      </c>
      <c r="AP1998" t="n">
        <v>0</v>
      </c>
      <c r="AQ1998" t="n">
        <v>0</v>
      </c>
      <c r="AR1998" t="inlineStr">
        <is>
          <t>No</t>
        </is>
      </c>
      <c r="AS1998" t="inlineStr">
        <is>
          <t>No</t>
        </is>
      </c>
      <c r="AU1998">
        <f>HYPERLINK("https://creighton-primo.hosted.exlibrisgroup.com/primo-explore/search?tab=default_tab&amp;search_scope=EVERYTHING&amp;vid=01CRU&amp;lang=en_US&amp;offset=0&amp;query=any,contains,991004911719702656","Catalog Record")</f>
        <v/>
      </c>
      <c r="AV1998">
        <f>HYPERLINK("http://www.worldcat.org/oclc/5992450","WorldCat Record")</f>
        <v/>
      </c>
      <c r="AW1998" t="inlineStr">
        <is>
          <t>508042:eng</t>
        </is>
      </c>
      <c r="AX1998" t="inlineStr">
        <is>
          <t>5992450</t>
        </is>
      </c>
      <c r="AY1998" t="inlineStr">
        <is>
          <t>991004911719702656</t>
        </is>
      </c>
      <c r="AZ1998" t="inlineStr">
        <is>
          <t>991004911719702656</t>
        </is>
      </c>
      <c r="BA1998" t="inlineStr">
        <is>
          <t>2261564560002656</t>
        </is>
      </c>
      <c r="BB1998" t="inlineStr">
        <is>
          <t>BOOK</t>
        </is>
      </c>
      <c r="BD1998" t="inlineStr">
        <is>
          <t>9780847662241</t>
        </is>
      </c>
      <c r="BE1998" t="inlineStr">
        <is>
          <t>32285000799493</t>
        </is>
      </c>
      <c r="BF1998" t="inlineStr">
        <is>
          <t>893513793</t>
        </is>
      </c>
    </row>
    <row r="1999">
      <c r="A1999" t="inlineStr">
        <is>
          <t>No</t>
        </is>
      </c>
      <c r="B1999" t="inlineStr">
        <is>
          <t>CURAL</t>
        </is>
      </c>
      <c r="C1999" t="inlineStr">
        <is>
          <t>SHELVES</t>
        </is>
      </c>
      <c r="D1999" t="inlineStr">
        <is>
          <t>PR4711 .H3 1970</t>
        </is>
      </c>
      <c r="E1999" t="inlineStr">
        <is>
          <t>0                      PR 4711000H  3           1970</t>
        </is>
      </c>
      <c r="F1999" t="inlineStr">
        <is>
          <t>Mrs. Gaskell and her friends.</t>
        </is>
      </c>
      <c r="H1999" t="inlineStr">
        <is>
          <t>No</t>
        </is>
      </c>
      <c r="I1999" t="inlineStr">
        <is>
          <t>1</t>
        </is>
      </c>
      <c r="J1999" t="inlineStr">
        <is>
          <t>No</t>
        </is>
      </c>
      <c r="K1999" t="inlineStr">
        <is>
          <t>No</t>
        </is>
      </c>
      <c r="L1999" t="inlineStr">
        <is>
          <t>0</t>
        </is>
      </c>
      <c r="M1999" t="inlineStr">
        <is>
          <t>Haldane, Elizabeth Sanderson, 1862-1937.</t>
        </is>
      </c>
      <c r="N1999" t="inlineStr">
        <is>
          <t>Freeport, N.Y. : Books for Libraries Press, [1970]</t>
        </is>
      </c>
      <c r="O1999" t="inlineStr">
        <is>
          <t>1970</t>
        </is>
      </c>
      <c r="Q1999" t="inlineStr">
        <is>
          <t>eng</t>
        </is>
      </c>
      <c r="R1999" t="inlineStr">
        <is>
          <t>nyu</t>
        </is>
      </c>
      <c r="T1999" t="inlineStr">
        <is>
          <t xml:space="preserve">PR </t>
        </is>
      </c>
      <c r="U1999" t="n">
        <v>7</v>
      </c>
      <c r="V1999" t="n">
        <v>7</v>
      </c>
      <c r="W1999" t="inlineStr">
        <is>
          <t>2009-01-13</t>
        </is>
      </c>
      <c r="X1999" t="inlineStr">
        <is>
          <t>2009-01-13</t>
        </is>
      </c>
      <c r="Y1999" t="inlineStr">
        <is>
          <t>1992-01-29</t>
        </is>
      </c>
      <c r="Z1999" t="inlineStr">
        <is>
          <t>1992-01-29</t>
        </is>
      </c>
      <c r="AA1999" t="n">
        <v>133</v>
      </c>
      <c r="AB1999" t="n">
        <v>120</v>
      </c>
      <c r="AC1999" t="n">
        <v>361</v>
      </c>
      <c r="AD1999" t="n">
        <v>1</v>
      </c>
      <c r="AE1999" t="n">
        <v>3</v>
      </c>
      <c r="AF1999" t="n">
        <v>2</v>
      </c>
      <c r="AG1999" t="n">
        <v>9</v>
      </c>
      <c r="AH1999" t="n">
        <v>0</v>
      </c>
      <c r="AI1999" t="n">
        <v>1</v>
      </c>
      <c r="AJ1999" t="n">
        <v>1</v>
      </c>
      <c r="AK1999" t="n">
        <v>2</v>
      </c>
      <c r="AL1999" t="n">
        <v>2</v>
      </c>
      <c r="AM1999" t="n">
        <v>5</v>
      </c>
      <c r="AN1999" t="n">
        <v>0</v>
      </c>
      <c r="AO1999" t="n">
        <v>2</v>
      </c>
      <c r="AP1999" t="n">
        <v>0</v>
      </c>
      <c r="AQ1999" t="n">
        <v>0</v>
      </c>
      <c r="AR1999" t="inlineStr">
        <is>
          <t>No</t>
        </is>
      </c>
      <c r="AS1999" t="inlineStr">
        <is>
          <t>Yes</t>
        </is>
      </c>
      <c r="AT1999">
        <f>HYPERLINK("http://catalog.hathitrust.org/Record/000348953","HathiTrust Record")</f>
        <v/>
      </c>
      <c r="AU1999">
        <f>HYPERLINK("https://creighton-primo.hosted.exlibrisgroup.com/primo-explore/search?tab=default_tab&amp;search_scope=EVERYTHING&amp;vid=01CRU&amp;lang=en_US&amp;offset=0&amp;query=any,contains,991000678719702656","Catalog Record")</f>
        <v/>
      </c>
      <c r="AV1999">
        <f>HYPERLINK("http://www.worldcat.org/oclc/120783","WorldCat Record")</f>
        <v/>
      </c>
      <c r="AW1999" t="inlineStr">
        <is>
          <t>1242002:eng</t>
        </is>
      </c>
      <c r="AX1999" t="inlineStr">
        <is>
          <t>120783</t>
        </is>
      </c>
      <c r="AY1999" t="inlineStr">
        <is>
          <t>991000678719702656</t>
        </is>
      </c>
      <c r="AZ1999" t="inlineStr">
        <is>
          <t>991000678719702656</t>
        </is>
      </c>
      <c r="BA1999" t="inlineStr">
        <is>
          <t>2264249840002656</t>
        </is>
      </c>
      <c r="BB1999" t="inlineStr">
        <is>
          <t>BOOK</t>
        </is>
      </c>
      <c r="BD1999" t="inlineStr">
        <is>
          <t>9780836955996</t>
        </is>
      </c>
      <c r="BE1999" t="inlineStr">
        <is>
          <t>32285000919943</t>
        </is>
      </c>
      <c r="BF1999" t="inlineStr">
        <is>
          <t>893708610</t>
        </is>
      </c>
    </row>
    <row r="2000">
      <c r="A2000" t="inlineStr">
        <is>
          <t>No</t>
        </is>
      </c>
      <c r="B2000" t="inlineStr">
        <is>
          <t>CURAL</t>
        </is>
      </c>
      <c r="C2000" t="inlineStr">
        <is>
          <t>SHELVES</t>
        </is>
      </c>
      <c r="D2000" t="inlineStr">
        <is>
          <t>PR4711 .L29 1984</t>
        </is>
      </c>
      <c r="E2000" t="inlineStr">
        <is>
          <t>0                      PR 4711000L  29          1984</t>
        </is>
      </c>
      <c r="F2000" t="inlineStr">
        <is>
          <t>Elizabeth Gaskell / Coral Lansbury.</t>
        </is>
      </c>
      <c r="H2000" t="inlineStr">
        <is>
          <t>No</t>
        </is>
      </c>
      <c r="I2000" t="inlineStr">
        <is>
          <t>1</t>
        </is>
      </c>
      <c r="J2000" t="inlineStr">
        <is>
          <t>No</t>
        </is>
      </c>
      <c r="K2000" t="inlineStr">
        <is>
          <t>No</t>
        </is>
      </c>
      <c r="L2000" t="inlineStr">
        <is>
          <t>0</t>
        </is>
      </c>
      <c r="M2000" t="inlineStr">
        <is>
          <t>Lansbury, Coral.</t>
        </is>
      </c>
      <c r="N2000" t="inlineStr">
        <is>
          <t>Boston : Twayne Publishers, c1984.</t>
        </is>
      </c>
      <c r="O2000" t="inlineStr">
        <is>
          <t>1984</t>
        </is>
      </c>
      <c r="Q2000" t="inlineStr">
        <is>
          <t>eng</t>
        </is>
      </c>
      <c r="R2000" t="inlineStr">
        <is>
          <t>mau</t>
        </is>
      </c>
      <c r="S2000" t="inlineStr">
        <is>
          <t>Twayne's English authors series ; TEAS 371</t>
        </is>
      </c>
      <c r="T2000" t="inlineStr">
        <is>
          <t xml:space="preserve">PR </t>
        </is>
      </c>
      <c r="U2000" t="n">
        <v>2</v>
      </c>
      <c r="V2000" t="n">
        <v>2</v>
      </c>
      <c r="W2000" t="inlineStr">
        <is>
          <t>1992-09-25</t>
        </is>
      </c>
      <c r="X2000" t="inlineStr">
        <is>
          <t>1992-09-25</t>
        </is>
      </c>
      <c r="Y2000" t="inlineStr">
        <is>
          <t>1991-11-07</t>
        </is>
      </c>
      <c r="Z2000" t="inlineStr">
        <is>
          <t>1991-11-07</t>
        </is>
      </c>
      <c r="AA2000" t="n">
        <v>647</v>
      </c>
      <c r="AB2000" t="n">
        <v>546</v>
      </c>
      <c r="AC2000" t="n">
        <v>825</v>
      </c>
      <c r="AD2000" t="n">
        <v>6</v>
      </c>
      <c r="AE2000" t="n">
        <v>7</v>
      </c>
      <c r="AF2000" t="n">
        <v>24</v>
      </c>
      <c r="AG2000" t="n">
        <v>37</v>
      </c>
      <c r="AH2000" t="n">
        <v>9</v>
      </c>
      <c r="AI2000" t="n">
        <v>13</v>
      </c>
      <c r="AJ2000" t="n">
        <v>5</v>
      </c>
      <c r="AK2000" t="n">
        <v>9</v>
      </c>
      <c r="AL2000" t="n">
        <v>14</v>
      </c>
      <c r="AM2000" t="n">
        <v>21</v>
      </c>
      <c r="AN2000" t="n">
        <v>5</v>
      </c>
      <c r="AO2000" t="n">
        <v>6</v>
      </c>
      <c r="AP2000" t="n">
        <v>0</v>
      </c>
      <c r="AQ2000" t="n">
        <v>0</v>
      </c>
      <c r="AR2000" t="inlineStr">
        <is>
          <t>No</t>
        </is>
      </c>
      <c r="AS2000" t="inlineStr">
        <is>
          <t>Yes</t>
        </is>
      </c>
      <c r="AT2000">
        <f>HYPERLINK("http://catalog.hathitrust.org/Record/000168881","HathiTrust Record")</f>
        <v/>
      </c>
      <c r="AU2000">
        <f>HYPERLINK("https://creighton-primo.hosted.exlibrisgroup.com/primo-explore/search?tab=default_tab&amp;search_scope=EVERYTHING&amp;vid=01CRU&amp;lang=en_US&amp;offset=0&amp;query=any,contains,991000377799702656","Catalog Record")</f>
        <v/>
      </c>
      <c r="AV2000">
        <f>HYPERLINK("http://www.worldcat.org/oclc/10483024","WorldCat Record")</f>
        <v/>
      </c>
      <c r="AW2000" t="inlineStr">
        <is>
          <t>10132512637:eng</t>
        </is>
      </c>
      <c r="AX2000" t="inlineStr">
        <is>
          <t>10483024</t>
        </is>
      </c>
      <c r="AY2000" t="inlineStr">
        <is>
          <t>991000377799702656</t>
        </is>
      </c>
      <c r="AZ2000" t="inlineStr">
        <is>
          <t>991000377799702656</t>
        </is>
      </c>
      <c r="BA2000" t="inlineStr">
        <is>
          <t>2263467780002656</t>
        </is>
      </c>
      <c r="BB2000" t="inlineStr">
        <is>
          <t>BOOK</t>
        </is>
      </c>
      <c r="BD2000" t="inlineStr">
        <is>
          <t>9780805768572</t>
        </is>
      </c>
      <c r="BE2000" t="inlineStr">
        <is>
          <t>32285000799519</t>
        </is>
      </c>
      <c r="BF2000" t="inlineStr">
        <is>
          <t>893419401</t>
        </is>
      </c>
    </row>
    <row r="2001">
      <c r="A2001" t="inlineStr">
        <is>
          <t>No</t>
        </is>
      </c>
      <c r="B2001" t="inlineStr">
        <is>
          <t>CURAL</t>
        </is>
      </c>
      <c r="C2001" t="inlineStr">
        <is>
          <t>SHELVES</t>
        </is>
      </c>
      <c r="D2001" t="inlineStr">
        <is>
          <t>PR4711 .R8</t>
        </is>
      </c>
      <c r="E2001" t="inlineStr">
        <is>
          <t>0                      PR 4711000R  8</t>
        </is>
      </c>
      <c r="F2001" t="inlineStr">
        <is>
          <t>The woman question in Mrs. Gaskell's life and works.</t>
        </is>
      </c>
      <c r="H2001" t="inlineStr">
        <is>
          <t>No</t>
        </is>
      </c>
      <c r="I2001" t="inlineStr">
        <is>
          <t>1</t>
        </is>
      </c>
      <c r="J2001" t="inlineStr">
        <is>
          <t>No</t>
        </is>
      </c>
      <c r="K2001" t="inlineStr">
        <is>
          <t>No</t>
        </is>
      </c>
      <c r="L2001" t="inlineStr">
        <is>
          <t>0</t>
        </is>
      </c>
      <c r="M2001" t="inlineStr">
        <is>
          <t>Rubenius, Aina.</t>
        </is>
      </c>
      <c r="N2001" t="inlineStr">
        <is>
          <t>Uppsala : Lundequist ; Cambridge : Harvard University Press, [1950]</t>
        </is>
      </c>
      <c r="O2001" t="inlineStr">
        <is>
          <t>1950</t>
        </is>
      </c>
      <c r="Q2001" t="inlineStr">
        <is>
          <t>eng</t>
        </is>
      </c>
      <c r="R2001" t="inlineStr">
        <is>
          <t xml:space="preserve">sw </t>
        </is>
      </c>
      <c r="S2001" t="inlineStr">
        <is>
          <t>Essays and studies on English language and literature ; 5</t>
        </is>
      </c>
      <c r="T2001" t="inlineStr">
        <is>
          <t xml:space="preserve">PR </t>
        </is>
      </c>
      <c r="U2001" t="n">
        <v>3</v>
      </c>
      <c r="V2001" t="n">
        <v>3</v>
      </c>
      <c r="W2001" t="inlineStr">
        <is>
          <t>2008-10-07</t>
        </is>
      </c>
      <c r="X2001" t="inlineStr">
        <is>
          <t>2008-10-07</t>
        </is>
      </c>
      <c r="Y2001" t="inlineStr">
        <is>
          <t>1997-07-14</t>
        </is>
      </c>
      <c r="Z2001" t="inlineStr">
        <is>
          <t>1997-07-14</t>
        </is>
      </c>
      <c r="AA2001" t="n">
        <v>134</v>
      </c>
      <c r="AB2001" t="n">
        <v>90</v>
      </c>
      <c r="AC2001" t="n">
        <v>258</v>
      </c>
      <c r="AD2001" t="n">
        <v>1</v>
      </c>
      <c r="AE2001" t="n">
        <v>2</v>
      </c>
      <c r="AF2001" t="n">
        <v>8</v>
      </c>
      <c r="AG2001" t="n">
        <v>19</v>
      </c>
      <c r="AH2001" t="n">
        <v>1</v>
      </c>
      <c r="AI2001" t="n">
        <v>6</v>
      </c>
      <c r="AJ2001" t="n">
        <v>3</v>
      </c>
      <c r="AK2001" t="n">
        <v>6</v>
      </c>
      <c r="AL2001" t="n">
        <v>6</v>
      </c>
      <c r="AM2001" t="n">
        <v>10</v>
      </c>
      <c r="AN2001" t="n">
        <v>0</v>
      </c>
      <c r="AO2001" t="n">
        <v>1</v>
      </c>
      <c r="AP2001" t="n">
        <v>0</v>
      </c>
      <c r="AQ2001" t="n">
        <v>0</v>
      </c>
      <c r="AR2001" t="inlineStr">
        <is>
          <t>No</t>
        </is>
      </c>
      <c r="AS2001" t="inlineStr">
        <is>
          <t>No</t>
        </is>
      </c>
      <c r="AU2001">
        <f>HYPERLINK("https://creighton-primo.hosted.exlibrisgroup.com/primo-explore/search?tab=default_tab&amp;search_scope=EVERYTHING&amp;vid=01CRU&amp;lang=en_US&amp;offset=0&amp;query=any,contains,991005034439702656","Catalog Record")</f>
        <v/>
      </c>
      <c r="AV2001">
        <f>HYPERLINK("http://www.worldcat.org/oclc/6741275","WorldCat Record")</f>
        <v/>
      </c>
      <c r="AW2001" t="inlineStr">
        <is>
          <t>1676647:eng</t>
        </is>
      </c>
      <c r="AX2001" t="inlineStr">
        <is>
          <t>6741275</t>
        </is>
      </c>
      <c r="AY2001" t="inlineStr">
        <is>
          <t>991005034439702656</t>
        </is>
      </c>
      <c r="AZ2001" t="inlineStr">
        <is>
          <t>991005034439702656</t>
        </is>
      </c>
      <c r="BA2001" t="inlineStr">
        <is>
          <t>2264320550002656</t>
        </is>
      </c>
      <c r="BB2001" t="inlineStr">
        <is>
          <t>BOOK</t>
        </is>
      </c>
      <c r="BE2001" t="inlineStr">
        <is>
          <t>32285002896503</t>
        </is>
      </c>
      <c r="BF2001" t="inlineStr">
        <is>
          <t>893501220</t>
        </is>
      </c>
    </row>
    <row r="2002">
      <c r="A2002" t="inlineStr">
        <is>
          <t>No</t>
        </is>
      </c>
      <c r="B2002" t="inlineStr">
        <is>
          <t>CURAL</t>
        </is>
      </c>
      <c r="C2002" t="inlineStr">
        <is>
          <t>SHELVES</t>
        </is>
      </c>
      <c r="D2002" t="inlineStr">
        <is>
          <t>PR4711 .S5</t>
        </is>
      </c>
      <c r="E2002" t="inlineStr">
        <is>
          <t>0                      PR 4711000S  5</t>
        </is>
      </c>
      <c r="F2002" t="inlineStr">
        <is>
          <t>Mrs. Gaskell's observation and invention : a study of her non-biographic works / by John Geoffrey Sharps ; with a foreword by A. Stanton Whitfield.</t>
        </is>
      </c>
      <c r="H2002" t="inlineStr">
        <is>
          <t>No</t>
        </is>
      </c>
      <c r="I2002" t="inlineStr">
        <is>
          <t>1</t>
        </is>
      </c>
      <c r="J2002" t="inlineStr">
        <is>
          <t>No</t>
        </is>
      </c>
      <c r="K2002" t="inlineStr">
        <is>
          <t>No</t>
        </is>
      </c>
      <c r="L2002" t="inlineStr">
        <is>
          <t>0</t>
        </is>
      </c>
      <c r="M2002" t="inlineStr">
        <is>
          <t>Sharps, John Geoffrey.</t>
        </is>
      </c>
      <c r="N2002" t="inlineStr">
        <is>
          <t>[Fontwell, Sussex] : Linden P. ; London : Distributed by Centaur Press, 1970.</t>
        </is>
      </c>
      <c r="O2002" t="inlineStr">
        <is>
          <t>1970</t>
        </is>
      </c>
      <c r="Q2002" t="inlineStr">
        <is>
          <t>eng</t>
        </is>
      </c>
      <c r="R2002" t="inlineStr">
        <is>
          <t>enk</t>
        </is>
      </c>
      <c r="S2002" t="inlineStr">
        <is>
          <t>New studies, 2</t>
        </is>
      </c>
      <c r="T2002" t="inlineStr">
        <is>
          <t xml:space="preserve">PR </t>
        </is>
      </c>
      <c r="U2002" t="n">
        <v>4</v>
      </c>
      <c r="V2002" t="n">
        <v>4</v>
      </c>
      <c r="W2002" t="inlineStr">
        <is>
          <t>1995-07-28</t>
        </is>
      </c>
      <c r="X2002" t="inlineStr">
        <is>
          <t>1995-07-28</t>
        </is>
      </c>
      <c r="Y2002" t="inlineStr">
        <is>
          <t>1992-06-23</t>
        </is>
      </c>
      <c r="Z2002" t="inlineStr">
        <is>
          <t>1992-06-23</t>
        </is>
      </c>
      <c r="AA2002" t="n">
        <v>367</v>
      </c>
      <c r="AB2002" t="n">
        <v>213</v>
      </c>
      <c r="AC2002" t="n">
        <v>220</v>
      </c>
      <c r="AD2002" t="n">
        <v>2</v>
      </c>
      <c r="AE2002" t="n">
        <v>2</v>
      </c>
      <c r="AF2002" t="n">
        <v>8</v>
      </c>
      <c r="AG2002" t="n">
        <v>8</v>
      </c>
      <c r="AH2002" t="n">
        <v>2</v>
      </c>
      <c r="AI2002" t="n">
        <v>2</v>
      </c>
      <c r="AJ2002" t="n">
        <v>4</v>
      </c>
      <c r="AK2002" t="n">
        <v>4</v>
      </c>
      <c r="AL2002" t="n">
        <v>4</v>
      </c>
      <c r="AM2002" t="n">
        <v>4</v>
      </c>
      <c r="AN2002" t="n">
        <v>1</v>
      </c>
      <c r="AO2002" t="n">
        <v>1</v>
      </c>
      <c r="AP2002" t="n">
        <v>0</v>
      </c>
      <c r="AQ2002" t="n">
        <v>0</v>
      </c>
      <c r="AR2002" t="inlineStr">
        <is>
          <t>No</t>
        </is>
      </c>
      <c r="AS2002" t="inlineStr">
        <is>
          <t>Yes</t>
        </is>
      </c>
      <c r="AT2002">
        <f>HYPERLINK("http://catalog.hathitrust.org/Record/000433489","HathiTrust Record")</f>
        <v/>
      </c>
      <c r="AU2002">
        <f>HYPERLINK("https://creighton-primo.hosted.exlibrisgroup.com/primo-explore/search?tab=default_tab&amp;search_scope=EVERYTHING&amp;vid=01CRU&amp;lang=en_US&amp;offset=0&amp;query=any,contains,991001222579702656","Catalog Record")</f>
        <v/>
      </c>
      <c r="AV2002">
        <f>HYPERLINK("http://www.worldcat.org/oclc/197784","WorldCat Record")</f>
        <v/>
      </c>
      <c r="AW2002" t="inlineStr">
        <is>
          <t>836679890:eng</t>
        </is>
      </c>
      <c r="AX2002" t="inlineStr">
        <is>
          <t>197784</t>
        </is>
      </c>
      <c r="AY2002" t="inlineStr">
        <is>
          <t>991001222579702656</t>
        </is>
      </c>
      <c r="AZ2002" t="inlineStr">
        <is>
          <t>991001222579702656</t>
        </is>
      </c>
      <c r="BA2002" t="inlineStr">
        <is>
          <t>2272353450002656</t>
        </is>
      </c>
      <c r="BB2002" t="inlineStr">
        <is>
          <t>BOOK</t>
        </is>
      </c>
      <c r="BD2002" t="inlineStr">
        <is>
          <t>9780900001000</t>
        </is>
      </c>
      <c r="BE2002" t="inlineStr">
        <is>
          <t>32285001133718</t>
        </is>
      </c>
      <c r="BF2002" t="inlineStr">
        <is>
          <t>893803455</t>
        </is>
      </c>
    </row>
    <row r="2003">
      <c r="A2003" t="inlineStr">
        <is>
          <t>No</t>
        </is>
      </c>
      <c r="B2003" t="inlineStr">
        <is>
          <t>CURAL</t>
        </is>
      </c>
      <c r="C2003" t="inlineStr">
        <is>
          <t>SHELVES</t>
        </is>
      </c>
      <c r="D2003" t="inlineStr">
        <is>
          <t>PR4711 .U55 1993b</t>
        </is>
      </c>
      <c r="E2003" t="inlineStr">
        <is>
          <t>0                      PR 4711000U  55          1993b</t>
        </is>
      </c>
      <c r="F2003" t="inlineStr">
        <is>
          <t>Elizabeth Gaskell : a habit of stories / Jenny Uglow.</t>
        </is>
      </c>
      <c r="H2003" t="inlineStr">
        <is>
          <t>No</t>
        </is>
      </c>
      <c r="I2003" t="inlineStr">
        <is>
          <t>1</t>
        </is>
      </c>
      <c r="J2003" t="inlineStr">
        <is>
          <t>No</t>
        </is>
      </c>
      <c r="K2003" t="inlineStr">
        <is>
          <t>No</t>
        </is>
      </c>
      <c r="L2003" t="inlineStr">
        <is>
          <t>0</t>
        </is>
      </c>
      <c r="M2003" t="inlineStr">
        <is>
          <t>Uglow, Jennifer S.</t>
        </is>
      </c>
      <c r="N2003" t="inlineStr">
        <is>
          <t>New York : Farrar Straus Giroux, c1993.</t>
        </is>
      </c>
      <c r="O2003" t="inlineStr">
        <is>
          <t>1993</t>
        </is>
      </c>
      <c r="Q2003" t="inlineStr">
        <is>
          <t>eng</t>
        </is>
      </c>
      <c r="R2003" t="inlineStr">
        <is>
          <t>nyu</t>
        </is>
      </c>
      <c r="T2003" t="inlineStr">
        <is>
          <t xml:space="preserve">PR </t>
        </is>
      </c>
      <c r="U2003" t="n">
        <v>6</v>
      </c>
      <c r="V2003" t="n">
        <v>6</v>
      </c>
      <c r="W2003" t="inlineStr">
        <is>
          <t>2009-04-07</t>
        </is>
      </c>
      <c r="X2003" t="inlineStr">
        <is>
          <t>2009-04-07</t>
        </is>
      </c>
      <c r="Y2003" t="inlineStr">
        <is>
          <t>1993-10-21</t>
        </is>
      </c>
      <c r="Z2003" t="inlineStr">
        <is>
          <t>1993-10-21</t>
        </is>
      </c>
      <c r="AA2003" t="n">
        <v>370</v>
      </c>
      <c r="AB2003" t="n">
        <v>350</v>
      </c>
      <c r="AC2003" t="n">
        <v>465</v>
      </c>
      <c r="AD2003" t="n">
        <v>4</v>
      </c>
      <c r="AE2003" t="n">
        <v>5</v>
      </c>
      <c r="AF2003" t="n">
        <v>21</v>
      </c>
      <c r="AG2003" t="n">
        <v>25</v>
      </c>
      <c r="AH2003" t="n">
        <v>10</v>
      </c>
      <c r="AI2003" t="n">
        <v>10</v>
      </c>
      <c r="AJ2003" t="n">
        <v>4</v>
      </c>
      <c r="AK2003" t="n">
        <v>5</v>
      </c>
      <c r="AL2003" t="n">
        <v>11</v>
      </c>
      <c r="AM2003" t="n">
        <v>14</v>
      </c>
      <c r="AN2003" t="n">
        <v>2</v>
      </c>
      <c r="AO2003" t="n">
        <v>3</v>
      </c>
      <c r="AP2003" t="n">
        <v>0</v>
      </c>
      <c r="AQ2003" t="n">
        <v>0</v>
      </c>
      <c r="AR2003" t="inlineStr">
        <is>
          <t>No</t>
        </is>
      </c>
      <c r="AS2003" t="inlineStr">
        <is>
          <t>No</t>
        </is>
      </c>
      <c r="AU2003">
        <f>HYPERLINK("https://creighton-primo.hosted.exlibrisgroup.com/primo-explore/search?tab=default_tab&amp;search_scope=EVERYTHING&amp;vid=01CRU&amp;lang=en_US&amp;offset=0&amp;query=any,contains,991002241309702656","Catalog Record")</f>
        <v/>
      </c>
      <c r="AV2003">
        <f>HYPERLINK("http://www.worldcat.org/oclc/28898229","WorldCat Record")</f>
        <v/>
      </c>
      <c r="AW2003" t="inlineStr">
        <is>
          <t>796502870:eng</t>
        </is>
      </c>
      <c r="AX2003" t="inlineStr">
        <is>
          <t>28898229</t>
        </is>
      </c>
      <c r="AY2003" t="inlineStr">
        <is>
          <t>991002241309702656</t>
        </is>
      </c>
      <c r="AZ2003" t="inlineStr">
        <is>
          <t>991002241309702656</t>
        </is>
      </c>
      <c r="BA2003" t="inlineStr">
        <is>
          <t>2258197970002656</t>
        </is>
      </c>
      <c r="BB2003" t="inlineStr">
        <is>
          <t>BOOK</t>
        </is>
      </c>
      <c r="BD2003" t="inlineStr">
        <is>
          <t>9780374147518</t>
        </is>
      </c>
      <c r="BE2003" t="inlineStr">
        <is>
          <t>32285001787299</t>
        </is>
      </c>
      <c r="BF2003" t="inlineStr">
        <is>
          <t>893898527</t>
        </is>
      </c>
    </row>
    <row r="2004">
      <c r="A2004" t="inlineStr">
        <is>
          <t>No</t>
        </is>
      </c>
      <c r="B2004" t="inlineStr">
        <is>
          <t>CURAL</t>
        </is>
      </c>
      <c r="C2004" t="inlineStr">
        <is>
          <t>SHELVES</t>
        </is>
      </c>
      <c r="D2004" t="inlineStr">
        <is>
          <t>PR4711 .W7</t>
        </is>
      </c>
      <c r="E2004" t="inlineStr">
        <is>
          <t>0                      PR 4711000W  7</t>
        </is>
      </c>
      <c r="F2004" t="inlineStr">
        <is>
          <t>Mrs. Gaskell : the basis for reassessment.</t>
        </is>
      </c>
      <c r="H2004" t="inlineStr">
        <is>
          <t>No</t>
        </is>
      </c>
      <c r="I2004" t="inlineStr">
        <is>
          <t>1</t>
        </is>
      </c>
      <c r="J2004" t="inlineStr">
        <is>
          <t>No</t>
        </is>
      </c>
      <c r="K2004" t="inlineStr">
        <is>
          <t>No</t>
        </is>
      </c>
      <c r="L2004" t="inlineStr">
        <is>
          <t>0</t>
        </is>
      </c>
      <c r="M2004" t="inlineStr">
        <is>
          <t>Wright, Edgar, 1920-</t>
        </is>
      </c>
      <c r="N2004" t="inlineStr">
        <is>
          <t>London ; New York : Oxford University Press, 1965.</t>
        </is>
      </c>
      <c r="O2004" t="inlineStr">
        <is>
          <t>1965</t>
        </is>
      </c>
      <c r="Q2004" t="inlineStr">
        <is>
          <t>eng</t>
        </is>
      </c>
      <c r="R2004" t="inlineStr">
        <is>
          <t xml:space="preserve">xx </t>
        </is>
      </c>
      <c r="T2004" t="inlineStr">
        <is>
          <t xml:space="preserve">PR </t>
        </is>
      </c>
      <c r="U2004" t="n">
        <v>4</v>
      </c>
      <c r="V2004" t="n">
        <v>4</v>
      </c>
      <c r="W2004" t="inlineStr">
        <is>
          <t>2008-09-02</t>
        </is>
      </c>
      <c r="X2004" t="inlineStr">
        <is>
          <t>2008-09-02</t>
        </is>
      </c>
      <c r="Y2004" t="inlineStr">
        <is>
          <t>1993-04-27</t>
        </is>
      </c>
      <c r="Z2004" t="inlineStr">
        <is>
          <t>1993-04-27</t>
        </is>
      </c>
      <c r="AA2004" t="n">
        <v>650</v>
      </c>
      <c r="AB2004" t="n">
        <v>479</v>
      </c>
      <c r="AC2004" t="n">
        <v>495</v>
      </c>
      <c r="AD2004" t="n">
        <v>3</v>
      </c>
      <c r="AE2004" t="n">
        <v>3</v>
      </c>
      <c r="AF2004" t="n">
        <v>23</v>
      </c>
      <c r="AG2004" t="n">
        <v>23</v>
      </c>
      <c r="AH2004" t="n">
        <v>9</v>
      </c>
      <c r="AI2004" t="n">
        <v>9</v>
      </c>
      <c r="AJ2004" t="n">
        <v>4</v>
      </c>
      <c r="AK2004" t="n">
        <v>4</v>
      </c>
      <c r="AL2004" t="n">
        <v>14</v>
      </c>
      <c r="AM2004" t="n">
        <v>14</v>
      </c>
      <c r="AN2004" t="n">
        <v>2</v>
      </c>
      <c r="AO2004" t="n">
        <v>2</v>
      </c>
      <c r="AP2004" t="n">
        <v>0</v>
      </c>
      <c r="AQ2004" t="n">
        <v>0</v>
      </c>
      <c r="AR2004" t="inlineStr">
        <is>
          <t>No</t>
        </is>
      </c>
      <c r="AS2004" t="inlineStr">
        <is>
          <t>Yes</t>
        </is>
      </c>
      <c r="AT2004">
        <f>HYPERLINK("http://catalog.hathitrust.org/Record/000393267","HathiTrust Record")</f>
        <v/>
      </c>
      <c r="AU2004">
        <f>HYPERLINK("https://creighton-primo.hosted.exlibrisgroup.com/primo-explore/search?tab=default_tab&amp;search_scope=EVERYTHING&amp;vid=01CRU&amp;lang=en_US&amp;offset=0&amp;query=any,contains,991002490119702656","Catalog Record")</f>
        <v/>
      </c>
      <c r="AV2004">
        <f>HYPERLINK("http://www.worldcat.org/oclc/362286","WorldCat Record")</f>
        <v/>
      </c>
      <c r="AW2004" t="inlineStr">
        <is>
          <t>197559093:eng</t>
        </is>
      </c>
      <c r="AX2004" t="inlineStr">
        <is>
          <t>362286</t>
        </is>
      </c>
      <c r="AY2004" t="inlineStr">
        <is>
          <t>991002490119702656</t>
        </is>
      </c>
      <c r="AZ2004" t="inlineStr">
        <is>
          <t>991002490119702656</t>
        </is>
      </c>
      <c r="BA2004" t="inlineStr">
        <is>
          <t>2262402340002656</t>
        </is>
      </c>
      <c r="BB2004" t="inlineStr">
        <is>
          <t>BOOK</t>
        </is>
      </c>
      <c r="BE2004" t="inlineStr">
        <is>
          <t>32285001627586</t>
        </is>
      </c>
      <c r="BF2004" t="inlineStr">
        <is>
          <t>893622348</t>
        </is>
      </c>
    </row>
    <row r="2005">
      <c r="A2005" t="inlineStr">
        <is>
          <t>No</t>
        </is>
      </c>
      <c r="B2005" t="inlineStr">
        <is>
          <t>CURAL</t>
        </is>
      </c>
      <c r="C2005" t="inlineStr">
        <is>
          <t>SHELVES</t>
        </is>
      </c>
      <c r="D2005" t="inlineStr">
        <is>
          <t>PR4714 .D3 1923a</t>
        </is>
      </c>
      <c r="E2005" t="inlineStr">
        <is>
          <t>0                      PR 4714000D  3           1923a</t>
        </is>
      </c>
      <c r="F2005" t="inlineStr">
        <is>
          <t>W.S. Gilbert, his life and letters, by Sidney Dark and Rowland Grey [pseud.] with eight full-page plates and some illustrations in the text.</t>
        </is>
      </c>
      <c r="H2005" t="inlineStr">
        <is>
          <t>No</t>
        </is>
      </c>
      <c r="I2005" t="inlineStr">
        <is>
          <t>1</t>
        </is>
      </c>
      <c r="J2005" t="inlineStr">
        <is>
          <t>No</t>
        </is>
      </c>
      <c r="K2005" t="inlineStr">
        <is>
          <t>No</t>
        </is>
      </c>
      <c r="L2005" t="inlineStr">
        <is>
          <t>0</t>
        </is>
      </c>
      <c r="M2005" t="inlineStr">
        <is>
          <t>Dark, Sidney, 1874-1947.</t>
        </is>
      </c>
      <c r="N2005" t="inlineStr">
        <is>
          <t>London, Methuen &amp; co. ltd. [1924]</t>
        </is>
      </c>
      <c r="O2005" t="inlineStr">
        <is>
          <t>1924</t>
        </is>
      </c>
      <c r="P2005" t="inlineStr">
        <is>
          <t>2nd ed.</t>
        </is>
      </c>
      <c r="Q2005" t="inlineStr">
        <is>
          <t>eng</t>
        </is>
      </c>
      <c r="R2005" t="inlineStr">
        <is>
          <t>enk</t>
        </is>
      </c>
      <c r="T2005" t="inlineStr">
        <is>
          <t xml:space="preserve">PR </t>
        </is>
      </c>
      <c r="U2005" t="n">
        <v>2</v>
      </c>
      <c r="V2005" t="n">
        <v>2</v>
      </c>
      <c r="W2005" t="inlineStr">
        <is>
          <t>1999-03-12</t>
        </is>
      </c>
      <c r="X2005" t="inlineStr">
        <is>
          <t>1999-03-12</t>
        </is>
      </c>
      <c r="Y2005" t="inlineStr">
        <is>
          <t>1997-07-14</t>
        </is>
      </c>
      <c r="Z2005" t="inlineStr">
        <is>
          <t>1997-07-14</t>
        </is>
      </c>
      <c r="AA2005" t="n">
        <v>48</v>
      </c>
      <c r="AB2005" t="n">
        <v>31</v>
      </c>
      <c r="AC2005" t="n">
        <v>465</v>
      </c>
      <c r="AD2005" t="n">
        <v>2</v>
      </c>
      <c r="AE2005" t="n">
        <v>4</v>
      </c>
      <c r="AF2005" t="n">
        <v>1</v>
      </c>
      <c r="AG2005" t="n">
        <v>20</v>
      </c>
      <c r="AH2005" t="n">
        <v>0</v>
      </c>
      <c r="AI2005" t="n">
        <v>4</v>
      </c>
      <c r="AJ2005" t="n">
        <v>0</v>
      </c>
      <c r="AK2005" t="n">
        <v>7</v>
      </c>
      <c r="AL2005" t="n">
        <v>0</v>
      </c>
      <c r="AM2005" t="n">
        <v>12</v>
      </c>
      <c r="AN2005" t="n">
        <v>1</v>
      </c>
      <c r="AO2005" t="n">
        <v>3</v>
      </c>
      <c r="AP2005" t="n">
        <v>0</v>
      </c>
      <c r="AQ2005" t="n">
        <v>0</v>
      </c>
      <c r="AR2005" t="inlineStr">
        <is>
          <t>No</t>
        </is>
      </c>
      <c r="AS2005" t="inlineStr">
        <is>
          <t>No</t>
        </is>
      </c>
      <c r="AU2005">
        <f>HYPERLINK("https://creighton-primo.hosted.exlibrisgroup.com/primo-explore/search?tab=default_tab&amp;search_scope=EVERYTHING&amp;vid=01CRU&amp;lang=en_US&amp;offset=0&amp;query=any,contains,991000247589702656","Catalog Record")</f>
        <v/>
      </c>
      <c r="AV2005">
        <f>HYPERLINK("http://www.worldcat.org/oclc/9729584","WorldCat Record")</f>
        <v/>
      </c>
      <c r="AW2005" t="inlineStr">
        <is>
          <t>1415511:eng</t>
        </is>
      </c>
      <c r="AX2005" t="inlineStr">
        <is>
          <t>9729584</t>
        </is>
      </c>
      <c r="AY2005" t="inlineStr">
        <is>
          <t>991000247589702656</t>
        </is>
      </c>
      <c r="AZ2005" t="inlineStr">
        <is>
          <t>991000247589702656</t>
        </is>
      </c>
      <c r="BA2005" t="inlineStr">
        <is>
          <t>2264817030002656</t>
        </is>
      </c>
      <c r="BB2005" t="inlineStr">
        <is>
          <t>BOOK</t>
        </is>
      </c>
      <c r="BE2005" t="inlineStr">
        <is>
          <t>32285002896552</t>
        </is>
      </c>
      <c r="BF2005" t="inlineStr">
        <is>
          <t>893784090</t>
        </is>
      </c>
    </row>
    <row r="2006">
      <c r="A2006" t="inlineStr">
        <is>
          <t>No</t>
        </is>
      </c>
      <c r="B2006" t="inlineStr">
        <is>
          <t>CURAL</t>
        </is>
      </c>
      <c r="C2006" t="inlineStr">
        <is>
          <t>SHELVES</t>
        </is>
      </c>
      <c r="D2006" t="inlineStr">
        <is>
          <t>PR4714 .J6</t>
        </is>
      </c>
      <c r="E2006" t="inlineStr">
        <is>
          <t>0                      PR 4714000J  6</t>
        </is>
      </c>
      <c r="F2006" t="inlineStr">
        <is>
          <t>W. S. Gilbert: a century of scholarship and commentary. Edited and with an introd. by John Bush Jones. Foreword by Bridget D'Oyly Carte.</t>
        </is>
      </c>
      <c r="H2006" t="inlineStr">
        <is>
          <t>No</t>
        </is>
      </c>
      <c r="I2006" t="inlineStr">
        <is>
          <t>1</t>
        </is>
      </c>
      <c r="J2006" t="inlineStr">
        <is>
          <t>No</t>
        </is>
      </c>
      <c r="K2006" t="inlineStr">
        <is>
          <t>No</t>
        </is>
      </c>
      <c r="L2006" t="inlineStr">
        <is>
          <t>0</t>
        </is>
      </c>
      <c r="M2006" t="inlineStr">
        <is>
          <t>Jones, John Bush, compiler.</t>
        </is>
      </c>
      <c r="N2006" t="inlineStr">
        <is>
          <t>New York, New York University Press, 1970.</t>
        </is>
      </c>
      <c r="O2006" t="inlineStr">
        <is>
          <t>1970</t>
        </is>
      </c>
      <c r="Q2006" t="inlineStr">
        <is>
          <t>eng</t>
        </is>
      </c>
      <c r="R2006" t="inlineStr">
        <is>
          <t>nyu</t>
        </is>
      </c>
      <c r="T2006" t="inlineStr">
        <is>
          <t xml:space="preserve">PR </t>
        </is>
      </c>
      <c r="U2006" t="n">
        <v>2</v>
      </c>
      <c r="V2006" t="n">
        <v>2</v>
      </c>
      <c r="W2006" t="inlineStr">
        <is>
          <t>1999-03-12</t>
        </is>
      </c>
      <c r="X2006" t="inlineStr">
        <is>
          <t>1999-03-12</t>
        </is>
      </c>
      <c r="Y2006" t="inlineStr">
        <is>
          <t>1997-07-14</t>
        </is>
      </c>
      <c r="Z2006" t="inlineStr">
        <is>
          <t>1997-07-14</t>
        </is>
      </c>
      <c r="AA2006" t="n">
        <v>578</v>
      </c>
      <c r="AB2006" t="n">
        <v>508</v>
      </c>
      <c r="AC2006" t="n">
        <v>513</v>
      </c>
      <c r="AD2006" t="n">
        <v>3</v>
      </c>
      <c r="AE2006" t="n">
        <v>3</v>
      </c>
      <c r="AF2006" t="n">
        <v>25</v>
      </c>
      <c r="AG2006" t="n">
        <v>25</v>
      </c>
      <c r="AH2006" t="n">
        <v>10</v>
      </c>
      <c r="AI2006" t="n">
        <v>10</v>
      </c>
      <c r="AJ2006" t="n">
        <v>8</v>
      </c>
      <c r="AK2006" t="n">
        <v>8</v>
      </c>
      <c r="AL2006" t="n">
        <v>13</v>
      </c>
      <c r="AM2006" t="n">
        <v>13</v>
      </c>
      <c r="AN2006" t="n">
        <v>2</v>
      </c>
      <c r="AO2006" t="n">
        <v>2</v>
      </c>
      <c r="AP2006" t="n">
        <v>0</v>
      </c>
      <c r="AQ2006" t="n">
        <v>0</v>
      </c>
      <c r="AR2006" t="inlineStr">
        <is>
          <t>No</t>
        </is>
      </c>
      <c r="AS2006" t="inlineStr">
        <is>
          <t>No</t>
        </is>
      </c>
      <c r="AU2006">
        <f>HYPERLINK("https://creighton-primo.hosted.exlibrisgroup.com/primo-explore/search?tab=default_tab&amp;search_scope=EVERYTHING&amp;vid=01CRU&amp;lang=en_US&amp;offset=0&amp;query=any,contains,991000695379702656","Catalog Record")</f>
        <v/>
      </c>
      <c r="AV2006">
        <f>HYPERLINK("http://www.worldcat.org/oclc/123923","WorldCat Record")</f>
        <v/>
      </c>
      <c r="AW2006" t="inlineStr">
        <is>
          <t>473592860:eng</t>
        </is>
      </c>
      <c r="AX2006" t="inlineStr">
        <is>
          <t>123923</t>
        </is>
      </c>
      <c r="AY2006" t="inlineStr">
        <is>
          <t>991000695379702656</t>
        </is>
      </c>
      <c r="AZ2006" t="inlineStr">
        <is>
          <t>991000695379702656</t>
        </is>
      </c>
      <c r="BA2006" t="inlineStr">
        <is>
          <t>2263721390002656</t>
        </is>
      </c>
      <c r="BB2006" t="inlineStr">
        <is>
          <t>BOOK</t>
        </is>
      </c>
      <c r="BD2006" t="inlineStr">
        <is>
          <t>9780814704646</t>
        </is>
      </c>
      <c r="BE2006" t="inlineStr">
        <is>
          <t>32285002896578</t>
        </is>
      </c>
      <c r="BF2006" t="inlineStr">
        <is>
          <t>893890939</t>
        </is>
      </c>
    </row>
    <row r="2007">
      <c r="A2007" t="inlineStr">
        <is>
          <t>No</t>
        </is>
      </c>
      <c r="B2007" t="inlineStr">
        <is>
          <t>CURAL</t>
        </is>
      </c>
      <c r="C2007" t="inlineStr">
        <is>
          <t>SHELVES</t>
        </is>
      </c>
      <c r="D2007" t="inlineStr">
        <is>
          <t>PR4714 .S87</t>
        </is>
      </c>
      <c r="E2007" t="inlineStr">
        <is>
          <t>0                      PR 4714000S  87</t>
        </is>
      </c>
      <c r="F2007" t="inlineStr">
        <is>
          <t>W. S. Gilbert / by Max Keith Sutton.</t>
        </is>
      </c>
      <c r="H2007" t="inlineStr">
        <is>
          <t>No</t>
        </is>
      </c>
      <c r="I2007" t="inlineStr">
        <is>
          <t>1</t>
        </is>
      </c>
      <c r="J2007" t="inlineStr">
        <is>
          <t>No</t>
        </is>
      </c>
      <c r="K2007" t="inlineStr">
        <is>
          <t>No</t>
        </is>
      </c>
      <c r="L2007" t="inlineStr">
        <is>
          <t>0</t>
        </is>
      </c>
      <c r="M2007" t="inlineStr">
        <is>
          <t>Sutton, Max Keith.</t>
        </is>
      </c>
      <c r="N2007" t="inlineStr">
        <is>
          <t>Boston : Twayne Publishers, [1975]</t>
        </is>
      </c>
      <c r="O2007" t="inlineStr">
        <is>
          <t>1975</t>
        </is>
      </c>
      <c r="Q2007" t="inlineStr">
        <is>
          <t>eng</t>
        </is>
      </c>
      <c r="R2007" t="inlineStr">
        <is>
          <t>mau</t>
        </is>
      </c>
      <c r="S2007" t="inlineStr">
        <is>
          <t>Twayne's English authors series ; TEAS 178</t>
        </is>
      </c>
      <c r="T2007" t="inlineStr">
        <is>
          <t xml:space="preserve">PR </t>
        </is>
      </c>
      <c r="U2007" t="n">
        <v>2</v>
      </c>
      <c r="V2007" t="n">
        <v>2</v>
      </c>
      <c r="W2007" t="inlineStr">
        <is>
          <t>1999-03-12</t>
        </is>
      </c>
      <c r="X2007" t="inlineStr">
        <is>
          <t>1999-03-12</t>
        </is>
      </c>
      <c r="Y2007" t="inlineStr">
        <is>
          <t>1997-07-14</t>
        </is>
      </c>
      <c r="Z2007" t="inlineStr">
        <is>
          <t>1997-07-14</t>
        </is>
      </c>
      <c r="AA2007" t="n">
        <v>681</v>
      </c>
      <c r="AB2007" t="n">
        <v>605</v>
      </c>
      <c r="AC2007" t="n">
        <v>620</v>
      </c>
      <c r="AD2007" t="n">
        <v>6</v>
      </c>
      <c r="AE2007" t="n">
        <v>6</v>
      </c>
      <c r="AF2007" t="n">
        <v>29</v>
      </c>
      <c r="AG2007" t="n">
        <v>30</v>
      </c>
      <c r="AH2007" t="n">
        <v>9</v>
      </c>
      <c r="AI2007" t="n">
        <v>10</v>
      </c>
      <c r="AJ2007" t="n">
        <v>7</v>
      </c>
      <c r="AK2007" t="n">
        <v>7</v>
      </c>
      <c r="AL2007" t="n">
        <v>15</v>
      </c>
      <c r="AM2007" t="n">
        <v>15</v>
      </c>
      <c r="AN2007" t="n">
        <v>5</v>
      </c>
      <c r="AO2007" t="n">
        <v>5</v>
      </c>
      <c r="AP2007" t="n">
        <v>0</v>
      </c>
      <c r="AQ2007" t="n">
        <v>0</v>
      </c>
      <c r="AR2007" t="inlineStr">
        <is>
          <t>No</t>
        </is>
      </c>
      <c r="AS2007" t="inlineStr">
        <is>
          <t>Yes</t>
        </is>
      </c>
      <c r="AT2007">
        <f>HYPERLINK("http://catalog.hathitrust.org/Record/000030570","HathiTrust Record")</f>
        <v/>
      </c>
      <c r="AU2007">
        <f>HYPERLINK("https://creighton-primo.hosted.exlibrisgroup.com/primo-explore/search?tab=default_tab&amp;search_scope=EVERYTHING&amp;vid=01CRU&amp;lang=en_US&amp;offset=0&amp;query=any,contains,991003531509702656","Catalog Record")</f>
        <v/>
      </c>
      <c r="AV2007">
        <f>HYPERLINK("http://www.worldcat.org/oclc/1093737","WorldCat Record")</f>
        <v/>
      </c>
      <c r="AW2007" t="inlineStr">
        <is>
          <t>2068033:eng</t>
        </is>
      </c>
      <c r="AX2007" t="inlineStr">
        <is>
          <t>1093737</t>
        </is>
      </c>
      <c r="AY2007" t="inlineStr">
        <is>
          <t>991003531509702656</t>
        </is>
      </c>
      <c r="AZ2007" t="inlineStr">
        <is>
          <t>991003531509702656</t>
        </is>
      </c>
      <c r="BA2007" t="inlineStr">
        <is>
          <t>2264912090002656</t>
        </is>
      </c>
      <c r="BB2007" t="inlineStr">
        <is>
          <t>BOOK</t>
        </is>
      </c>
      <c r="BD2007" t="inlineStr">
        <is>
          <t>9780805712179</t>
        </is>
      </c>
      <c r="BE2007" t="inlineStr">
        <is>
          <t>32285002896586</t>
        </is>
      </c>
      <c r="BF2007" t="inlineStr">
        <is>
          <t>893604887</t>
        </is>
      </c>
    </row>
    <row r="2008">
      <c r="A2008" t="inlineStr">
        <is>
          <t>No</t>
        </is>
      </c>
      <c r="B2008" t="inlineStr">
        <is>
          <t>CURAL</t>
        </is>
      </c>
      <c r="C2008" t="inlineStr">
        <is>
          <t>SHELVES</t>
        </is>
      </c>
      <c r="D2008" t="inlineStr">
        <is>
          <t>PR4717 .G4</t>
        </is>
      </c>
      <c r="E2008" t="inlineStr">
        <is>
          <t>0                      PR 4717000G  4</t>
        </is>
      </c>
      <c r="F2008" t="inlineStr">
        <is>
          <t>George Gissing : critical essays / edited by Jean-Pierre Michaux.</t>
        </is>
      </c>
      <c r="H2008" t="inlineStr">
        <is>
          <t>No</t>
        </is>
      </c>
      <c r="I2008" t="inlineStr">
        <is>
          <t>1</t>
        </is>
      </c>
      <c r="J2008" t="inlineStr">
        <is>
          <t>No</t>
        </is>
      </c>
      <c r="K2008" t="inlineStr">
        <is>
          <t>No</t>
        </is>
      </c>
      <c r="L2008" t="inlineStr">
        <is>
          <t>0</t>
        </is>
      </c>
      <c r="N2008" t="inlineStr">
        <is>
          <t>London : Vision ; Totowa, N.J. : Barnes &amp; Noble, 1981.</t>
        </is>
      </c>
      <c r="O2008" t="inlineStr">
        <is>
          <t>1981</t>
        </is>
      </c>
      <c r="Q2008" t="inlineStr">
        <is>
          <t>eng</t>
        </is>
      </c>
      <c r="R2008" t="inlineStr">
        <is>
          <t>enk</t>
        </is>
      </c>
      <c r="S2008" t="inlineStr">
        <is>
          <t>Critical studies series</t>
        </is>
      </c>
      <c r="T2008" t="inlineStr">
        <is>
          <t xml:space="preserve">PR </t>
        </is>
      </c>
      <c r="U2008" t="n">
        <v>2</v>
      </c>
      <c r="V2008" t="n">
        <v>2</v>
      </c>
      <c r="W2008" t="inlineStr">
        <is>
          <t>1994-09-06</t>
        </is>
      </c>
      <c r="X2008" t="inlineStr">
        <is>
          <t>1994-09-06</t>
        </is>
      </c>
      <c r="Y2008" t="inlineStr">
        <is>
          <t>1991-11-07</t>
        </is>
      </c>
      <c r="Z2008" t="inlineStr">
        <is>
          <t>1991-11-07</t>
        </is>
      </c>
      <c r="AA2008" t="n">
        <v>428</v>
      </c>
      <c r="AB2008" t="n">
        <v>328</v>
      </c>
      <c r="AC2008" t="n">
        <v>334</v>
      </c>
      <c r="AD2008" t="n">
        <v>3</v>
      </c>
      <c r="AE2008" t="n">
        <v>3</v>
      </c>
      <c r="AF2008" t="n">
        <v>18</v>
      </c>
      <c r="AG2008" t="n">
        <v>18</v>
      </c>
      <c r="AH2008" t="n">
        <v>8</v>
      </c>
      <c r="AI2008" t="n">
        <v>8</v>
      </c>
      <c r="AJ2008" t="n">
        <v>5</v>
      </c>
      <c r="AK2008" t="n">
        <v>5</v>
      </c>
      <c r="AL2008" t="n">
        <v>9</v>
      </c>
      <c r="AM2008" t="n">
        <v>9</v>
      </c>
      <c r="AN2008" t="n">
        <v>2</v>
      </c>
      <c r="AO2008" t="n">
        <v>2</v>
      </c>
      <c r="AP2008" t="n">
        <v>0</v>
      </c>
      <c r="AQ2008" t="n">
        <v>0</v>
      </c>
      <c r="AR2008" t="inlineStr">
        <is>
          <t>No</t>
        </is>
      </c>
      <c r="AS2008" t="inlineStr">
        <is>
          <t>Yes</t>
        </is>
      </c>
      <c r="AT2008">
        <f>HYPERLINK("http://catalog.hathitrust.org/Record/000106737","HathiTrust Record")</f>
        <v/>
      </c>
      <c r="AU2008">
        <f>HYPERLINK("https://creighton-primo.hosted.exlibrisgroup.com/primo-explore/search?tab=default_tab&amp;search_scope=EVERYTHING&amp;vid=01CRU&amp;lang=en_US&amp;offset=0&amp;query=any,contains,991005129579702656","Catalog Record")</f>
        <v/>
      </c>
      <c r="AV2008">
        <f>HYPERLINK("http://www.worldcat.org/oclc/7557693","WorldCat Record")</f>
        <v/>
      </c>
      <c r="AW2008" t="inlineStr">
        <is>
          <t>4915679090:eng</t>
        </is>
      </c>
      <c r="AX2008" t="inlineStr">
        <is>
          <t>7557693</t>
        </is>
      </c>
      <c r="AY2008" t="inlineStr">
        <is>
          <t>991005129579702656</t>
        </is>
      </c>
      <c r="AZ2008" t="inlineStr">
        <is>
          <t>991005129579702656</t>
        </is>
      </c>
      <c r="BA2008" t="inlineStr">
        <is>
          <t>2262466020002656</t>
        </is>
      </c>
      <c r="BB2008" t="inlineStr">
        <is>
          <t>BOOK</t>
        </is>
      </c>
      <c r="BD2008" t="inlineStr">
        <is>
          <t>9780389200611</t>
        </is>
      </c>
      <c r="BE2008" t="inlineStr">
        <is>
          <t>32285000799576</t>
        </is>
      </c>
      <c r="BF2008" t="inlineStr">
        <is>
          <t>893625496</t>
        </is>
      </c>
    </row>
    <row r="2009">
      <c r="A2009" t="inlineStr">
        <is>
          <t>No</t>
        </is>
      </c>
      <c r="B2009" t="inlineStr">
        <is>
          <t>CURAL</t>
        </is>
      </c>
      <c r="C2009" t="inlineStr">
        <is>
          <t>SHELVES</t>
        </is>
      </c>
      <c r="D2009" t="inlineStr">
        <is>
          <t>PR4719.G5 G6</t>
        </is>
      </c>
      <c r="E2009" t="inlineStr">
        <is>
          <t>0                      PR 4719000G  5                  G  6</t>
        </is>
      </c>
      <c r="F2009" t="inlineStr">
        <is>
          <t>Memoirs of Mary Wollstonecraft / by William Godwin ; with a preface by John Middleton Murry.</t>
        </is>
      </c>
      <c r="H2009" t="inlineStr">
        <is>
          <t>No</t>
        </is>
      </c>
      <c r="I2009" t="inlineStr">
        <is>
          <t>1</t>
        </is>
      </c>
      <c r="J2009" t="inlineStr">
        <is>
          <t>No</t>
        </is>
      </c>
      <c r="K2009" t="inlineStr">
        <is>
          <t>No</t>
        </is>
      </c>
      <c r="L2009" t="inlineStr">
        <is>
          <t>0</t>
        </is>
      </c>
      <c r="M2009" t="inlineStr">
        <is>
          <t>Godwin, William, 1756-1836.</t>
        </is>
      </c>
      <c r="N2009" t="inlineStr">
        <is>
          <t>New York : Richard R. Smith, inc., [1930]</t>
        </is>
      </c>
      <c r="O2009" t="inlineStr">
        <is>
          <t>1930</t>
        </is>
      </c>
      <c r="Q2009" t="inlineStr">
        <is>
          <t>eng</t>
        </is>
      </c>
      <c r="R2009" t="inlineStr">
        <is>
          <t>nyu</t>
        </is>
      </c>
      <c r="T2009" t="inlineStr">
        <is>
          <t xml:space="preserve">PR </t>
        </is>
      </c>
      <c r="U2009" t="n">
        <v>1</v>
      </c>
      <c r="V2009" t="n">
        <v>1</v>
      </c>
      <c r="W2009" t="inlineStr">
        <is>
          <t>2005-02-01</t>
        </is>
      </c>
      <c r="X2009" t="inlineStr">
        <is>
          <t>2005-02-01</t>
        </is>
      </c>
      <c r="Y2009" t="inlineStr">
        <is>
          <t>1998-07-14</t>
        </is>
      </c>
      <c r="Z2009" t="inlineStr">
        <is>
          <t>1998-07-14</t>
        </is>
      </c>
      <c r="AA2009" t="n">
        <v>70</v>
      </c>
      <c r="AB2009" t="n">
        <v>70</v>
      </c>
      <c r="AC2009" t="n">
        <v>322</v>
      </c>
      <c r="AD2009" t="n">
        <v>1</v>
      </c>
      <c r="AE2009" t="n">
        <v>3</v>
      </c>
      <c r="AF2009" t="n">
        <v>2</v>
      </c>
      <c r="AG2009" t="n">
        <v>12</v>
      </c>
      <c r="AH2009" t="n">
        <v>0</v>
      </c>
      <c r="AI2009" t="n">
        <v>2</v>
      </c>
      <c r="AJ2009" t="n">
        <v>1</v>
      </c>
      <c r="AK2009" t="n">
        <v>4</v>
      </c>
      <c r="AL2009" t="n">
        <v>2</v>
      </c>
      <c r="AM2009" t="n">
        <v>7</v>
      </c>
      <c r="AN2009" t="n">
        <v>0</v>
      </c>
      <c r="AO2009" t="n">
        <v>2</v>
      </c>
      <c r="AP2009" t="n">
        <v>0</v>
      </c>
      <c r="AQ2009" t="n">
        <v>0</v>
      </c>
      <c r="AR2009" t="inlineStr">
        <is>
          <t>No</t>
        </is>
      </c>
      <c r="AS2009" t="inlineStr">
        <is>
          <t>No</t>
        </is>
      </c>
      <c r="AU2009">
        <f>HYPERLINK("https://creighton-primo.hosted.exlibrisgroup.com/primo-explore/search?tab=default_tab&amp;search_scope=EVERYTHING&amp;vid=01CRU&amp;lang=en_US&amp;offset=0&amp;query=any,contains,991004634869702656","Catalog Record")</f>
        <v/>
      </c>
      <c r="AV2009">
        <f>HYPERLINK("http://www.worldcat.org/oclc/4401180","WorldCat Record")</f>
        <v/>
      </c>
      <c r="AW2009" t="inlineStr">
        <is>
          <t>2908586536:eng</t>
        </is>
      </c>
      <c r="AX2009" t="inlineStr">
        <is>
          <t>4401180</t>
        </is>
      </c>
      <c r="AY2009" t="inlineStr">
        <is>
          <t>991004634869702656</t>
        </is>
      </c>
      <c r="AZ2009" t="inlineStr">
        <is>
          <t>991004634869702656</t>
        </is>
      </c>
      <c r="BA2009" t="inlineStr">
        <is>
          <t>2257503680002656</t>
        </is>
      </c>
      <c r="BB2009" t="inlineStr">
        <is>
          <t>BOOK</t>
        </is>
      </c>
      <c r="BE2009" t="inlineStr">
        <is>
          <t>32285003435293</t>
        </is>
      </c>
      <c r="BF2009" t="inlineStr">
        <is>
          <t>893801170</t>
        </is>
      </c>
    </row>
    <row r="2010">
      <c r="A2010" t="inlineStr">
        <is>
          <t>No</t>
        </is>
      </c>
      <c r="B2010" t="inlineStr">
        <is>
          <t>CURAL</t>
        </is>
      </c>
      <c r="C2010" t="inlineStr">
        <is>
          <t>SHELVES</t>
        </is>
      </c>
      <c r="D2010" t="inlineStr">
        <is>
          <t>PR4723 .B7</t>
        </is>
      </c>
      <c r="E2010" t="inlineStr">
        <is>
          <t>0                      PR 4723000B  7</t>
        </is>
      </c>
      <c r="F2010" t="inlineStr">
        <is>
          <t>The life of William Godwin, by Ford K. Brown. Illustrated with six photogravure plates.</t>
        </is>
      </c>
      <c r="H2010" t="inlineStr">
        <is>
          <t>No</t>
        </is>
      </c>
      <c r="I2010" t="inlineStr">
        <is>
          <t>1</t>
        </is>
      </c>
      <c r="J2010" t="inlineStr">
        <is>
          <t>No</t>
        </is>
      </c>
      <c r="K2010" t="inlineStr">
        <is>
          <t>No</t>
        </is>
      </c>
      <c r="L2010" t="inlineStr">
        <is>
          <t>0</t>
        </is>
      </c>
      <c r="M2010" t="inlineStr">
        <is>
          <t>Brown, Ford K. (Ford Keeler)</t>
        </is>
      </c>
      <c r="N2010" t="inlineStr">
        <is>
          <t>London and Toronto, J. M. Dent &amp; sons, ltd.; New York, E. P. Dutton &amp; co., 1926.</t>
        </is>
      </c>
      <c r="O2010" t="inlineStr">
        <is>
          <t>1926</t>
        </is>
      </c>
      <c r="Q2010" t="inlineStr">
        <is>
          <t>eng</t>
        </is>
      </c>
      <c r="R2010" t="inlineStr">
        <is>
          <t xml:space="preserve">xx </t>
        </is>
      </c>
      <c r="T2010" t="inlineStr">
        <is>
          <t xml:space="preserve">PR </t>
        </is>
      </c>
      <c r="U2010" t="n">
        <v>1</v>
      </c>
      <c r="V2010" t="n">
        <v>1</v>
      </c>
      <c r="W2010" t="inlineStr">
        <is>
          <t>2001-06-11</t>
        </is>
      </c>
      <c r="X2010" t="inlineStr">
        <is>
          <t>2001-06-11</t>
        </is>
      </c>
      <c r="Y2010" t="inlineStr">
        <is>
          <t>1997-07-14</t>
        </is>
      </c>
      <c r="Z2010" t="inlineStr">
        <is>
          <t>1997-07-14</t>
        </is>
      </c>
      <c r="AA2010" t="n">
        <v>333</v>
      </c>
      <c r="AB2010" t="n">
        <v>262</v>
      </c>
      <c r="AC2010" t="n">
        <v>284</v>
      </c>
      <c r="AD2010" t="n">
        <v>2</v>
      </c>
      <c r="AE2010" t="n">
        <v>2</v>
      </c>
      <c r="AF2010" t="n">
        <v>11</v>
      </c>
      <c r="AG2010" t="n">
        <v>12</v>
      </c>
      <c r="AH2010" t="n">
        <v>1</v>
      </c>
      <c r="AI2010" t="n">
        <v>1</v>
      </c>
      <c r="AJ2010" t="n">
        <v>2</v>
      </c>
      <c r="AK2010" t="n">
        <v>3</v>
      </c>
      <c r="AL2010" t="n">
        <v>8</v>
      </c>
      <c r="AM2010" t="n">
        <v>8</v>
      </c>
      <c r="AN2010" t="n">
        <v>1</v>
      </c>
      <c r="AO2010" t="n">
        <v>1</v>
      </c>
      <c r="AP2010" t="n">
        <v>0</v>
      </c>
      <c r="AQ2010" t="n">
        <v>0</v>
      </c>
      <c r="AR2010" t="inlineStr">
        <is>
          <t>No</t>
        </is>
      </c>
      <c r="AS2010" t="inlineStr">
        <is>
          <t>Yes</t>
        </is>
      </c>
      <c r="AT2010">
        <f>HYPERLINK("http://catalog.hathitrust.org/Record/000392932","HathiTrust Record")</f>
        <v/>
      </c>
      <c r="AU2010">
        <f>HYPERLINK("https://creighton-primo.hosted.exlibrisgroup.com/primo-explore/search?tab=default_tab&amp;search_scope=EVERYTHING&amp;vid=01CRU&amp;lang=en_US&amp;offset=0&amp;query=any,contains,991003237229702656","Catalog Record")</f>
        <v/>
      </c>
      <c r="AV2010">
        <f>HYPERLINK("http://www.worldcat.org/oclc/761578","WorldCat Record")</f>
        <v/>
      </c>
      <c r="AW2010" t="inlineStr">
        <is>
          <t>355501853:eng</t>
        </is>
      </c>
      <c r="AX2010" t="inlineStr">
        <is>
          <t>761578</t>
        </is>
      </c>
      <c r="AY2010" t="inlineStr">
        <is>
          <t>991003237229702656</t>
        </is>
      </c>
      <c r="AZ2010" t="inlineStr">
        <is>
          <t>991003237229702656</t>
        </is>
      </c>
      <c r="BA2010" t="inlineStr">
        <is>
          <t>2267929730002656</t>
        </is>
      </c>
      <c r="BB2010" t="inlineStr">
        <is>
          <t>BOOK</t>
        </is>
      </c>
      <c r="BD2010" t="inlineStr">
        <is>
          <t>9780841406414</t>
        </is>
      </c>
      <c r="BE2010" t="inlineStr">
        <is>
          <t>32285002896859</t>
        </is>
      </c>
      <c r="BF2010" t="inlineStr">
        <is>
          <t>893904302</t>
        </is>
      </c>
    </row>
    <row r="2011">
      <c r="A2011" t="inlineStr">
        <is>
          <t>No</t>
        </is>
      </c>
      <c r="B2011" t="inlineStr">
        <is>
          <t>CURAL</t>
        </is>
      </c>
      <c r="C2011" t="inlineStr">
        <is>
          <t>SHELVES</t>
        </is>
      </c>
      <c r="D2011" t="inlineStr">
        <is>
          <t>PR4723 .S7 1989b</t>
        </is>
      </c>
      <c r="E2011" t="inlineStr">
        <is>
          <t>0                      PR 4723000S  7           1989b</t>
        </is>
      </c>
      <c r="F2011" t="inlineStr">
        <is>
          <t>The Godwins and the Shelleys : the biography of a family / William St. Clair.</t>
        </is>
      </c>
      <c r="H2011" t="inlineStr">
        <is>
          <t>No</t>
        </is>
      </c>
      <c r="I2011" t="inlineStr">
        <is>
          <t>1</t>
        </is>
      </c>
      <c r="J2011" t="inlineStr">
        <is>
          <t>No</t>
        </is>
      </c>
      <c r="K2011" t="inlineStr">
        <is>
          <t>No</t>
        </is>
      </c>
      <c r="L2011" t="inlineStr">
        <is>
          <t>0</t>
        </is>
      </c>
      <c r="M2011" t="inlineStr">
        <is>
          <t>St. Clair, William.</t>
        </is>
      </c>
      <c r="N2011" t="inlineStr">
        <is>
          <t>London : Faber, 1989.</t>
        </is>
      </c>
      <c r="O2011" t="inlineStr">
        <is>
          <t>1989</t>
        </is>
      </c>
      <c r="Q2011" t="inlineStr">
        <is>
          <t>eng</t>
        </is>
      </c>
      <c r="R2011" t="inlineStr">
        <is>
          <t>enk</t>
        </is>
      </c>
      <c r="T2011" t="inlineStr">
        <is>
          <t xml:space="preserve">PR </t>
        </is>
      </c>
      <c r="U2011" t="n">
        <v>2</v>
      </c>
      <c r="V2011" t="n">
        <v>2</v>
      </c>
      <c r="W2011" t="inlineStr">
        <is>
          <t>2002-01-16</t>
        </is>
      </c>
      <c r="X2011" t="inlineStr">
        <is>
          <t>2002-01-16</t>
        </is>
      </c>
      <c r="Y2011" t="inlineStr">
        <is>
          <t>1989-11-13</t>
        </is>
      </c>
      <c r="Z2011" t="inlineStr">
        <is>
          <t>1989-11-13</t>
        </is>
      </c>
      <c r="AA2011" t="n">
        <v>213</v>
      </c>
      <c r="AB2011" t="n">
        <v>71</v>
      </c>
      <c r="AC2011" t="n">
        <v>972</v>
      </c>
      <c r="AD2011" t="n">
        <v>3</v>
      </c>
      <c r="AE2011" t="n">
        <v>9</v>
      </c>
      <c r="AF2011" t="n">
        <v>4</v>
      </c>
      <c r="AG2011" t="n">
        <v>36</v>
      </c>
      <c r="AH2011" t="n">
        <v>0</v>
      </c>
      <c r="AI2011" t="n">
        <v>10</v>
      </c>
      <c r="AJ2011" t="n">
        <v>1</v>
      </c>
      <c r="AK2011" t="n">
        <v>9</v>
      </c>
      <c r="AL2011" t="n">
        <v>2</v>
      </c>
      <c r="AM2011" t="n">
        <v>19</v>
      </c>
      <c r="AN2011" t="n">
        <v>2</v>
      </c>
      <c r="AO2011" t="n">
        <v>7</v>
      </c>
      <c r="AP2011" t="n">
        <v>0</v>
      </c>
      <c r="AQ2011" t="n">
        <v>0</v>
      </c>
      <c r="AR2011" t="inlineStr">
        <is>
          <t>No</t>
        </is>
      </c>
      <c r="AS2011" t="inlineStr">
        <is>
          <t>No</t>
        </is>
      </c>
      <c r="AU2011">
        <f>HYPERLINK("https://creighton-primo.hosted.exlibrisgroup.com/primo-explore/search?tab=default_tab&amp;search_scope=EVERYTHING&amp;vid=01CRU&amp;lang=en_US&amp;offset=0&amp;query=any,contains,991001428629702656","Catalog Record")</f>
        <v/>
      </c>
      <c r="AV2011">
        <f>HYPERLINK("http://www.worldcat.org/oclc/23049537","WorldCat Record")</f>
        <v/>
      </c>
      <c r="AW2011" t="inlineStr">
        <is>
          <t>19950506:eng</t>
        </is>
      </c>
      <c r="AX2011" t="inlineStr">
        <is>
          <t>23049537</t>
        </is>
      </c>
      <c r="AY2011" t="inlineStr">
        <is>
          <t>991001428629702656</t>
        </is>
      </c>
      <c r="AZ2011" t="inlineStr">
        <is>
          <t>991001428629702656</t>
        </is>
      </c>
      <c r="BA2011" t="inlineStr">
        <is>
          <t>2261935480002656</t>
        </is>
      </c>
      <c r="BB2011" t="inlineStr">
        <is>
          <t>BOOK</t>
        </is>
      </c>
      <c r="BD2011" t="inlineStr">
        <is>
          <t>9780571154227</t>
        </is>
      </c>
      <c r="BE2011" t="inlineStr">
        <is>
          <t>32285000012335</t>
        </is>
      </c>
      <c r="BF2011" t="inlineStr">
        <is>
          <t>893244131</t>
        </is>
      </c>
    </row>
    <row r="2012">
      <c r="A2012" t="inlineStr">
        <is>
          <t>No</t>
        </is>
      </c>
      <c r="B2012" t="inlineStr">
        <is>
          <t>CURAL</t>
        </is>
      </c>
      <c r="C2012" t="inlineStr">
        <is>
          <t>SHELVES</t>
        </is>
      </c>
      <c r="D2012" t="inlineStr">
        <is>
          <t>PR4725.G7 Z52 1963</t>
        </is>
      </c>
      <c r="E2012" t="inlineStr">
        <is>
          <t>0                      PR 4725000G  7                  Z  52          1963</t>
        </is>
      </c>
      <c r="F2012" t="inlineStr">
        <is>
          <t>Father and son : a study of two temperaments / [by] Edmund Gosse.</t>
        </is>
      </c>
      <c r="H2012" t="inlineStr">
        <is>
          <t>No</t>
        </is>
      </c>
      <c r="I2012" t="inlineStr">
        <is>
          <t>1</t>
        </is>
      </c>
      <c r="J2012" t="inlineStr">
        <is>
          <t>No</t>
        </is>
      </c>
      <c r="K2012" t="inlineStr">
        <is>
          <t>No</t>
        </is>
      </c>
      <c r="L2012" t="inlineStr">
        <is>
          <t>0</t>
        </is>
      </c>
      <c r="M2012" t="inlineStr">
        <is>
          <t>Gosse, Edmund, 1849-1928.</t>
        </is>
      </c>
      <c r="N2012" t="inlineStr">
        <is>
          <t>New York : Norton, [1963]</t>
        </is>
      </c>
      <c r="O2012" t="inlineStr">
        <is>
          <t>1963</t>
        </is>
      </c>
      <c r="Q2012" t="inlineStr">
        <is>
          <t>eng</t>
        </is>
      </c>
      <c r="R2012" t="inlineStr">
        <is>
          <t>nyu</t>
        </is>
      </c>
      <c r="S2012" t="inlineStr">
        <is>
          <t>Norton library ; N195</t>
        </is>
      </c>
      <c r="T2012" t="inlineStr">
        <is>
          <t xml:space="preserve">PR </t>
        </is>
      </c>
      <c r="U2012" t="n">
        <v>2</v>
      </c>
      <c r="V2012" t="n">
        <v>2</v>
      </c>
      <c r="W2012" t="inlineStr">
        <is>
          <t>1997-11-13</t>
        </is>
      </c>
      <c r="X2012" t="inlineStr">
        <is>
          <t>1997-11-13</t>
        </is>
      </c>
      <c r="Y2012" t="inlineStr">
        <is>
          <t>1991-11-07</t>
        </is>
      </c>
      <c r="Z2012" t="inlineStr">
        <is>
          <t>1991-11-07</t>
        </is>
      </c>
      <c r="AA2012" t="n">
        <v>218</v>
      </c>
      <c r="AB2012" t="n">
        <v>194</v>
      </c>
      <c r="AC2012" t="n">
        <v>1001</v>
      </c>
      <c r="AD2012" t="n">
        <v>2</v>
      </c>
      <c r="AE2012" t="n">
        <v>4</v>
      </c>
      <c r="AF2012" t="n">
        <v>9</v>
      </c>
      <c r="AG2012" t="n">
        <v>36</v>
      </c>
      <c r="AH2012" t="n">
        <v>7</v>
      </c>
      <c r="AI2012" t="n">
        <v>19</v>
      </c>
      <c r="AJ2012" t="n">
        <v>1</v>
      </c>
      <c r="AK2012" t="n">
        <v>8</v>
      </c>
      <c r="AL2012" t="n">
        <v>2</v>
      </c>
      <c r="AM2012" t="n">
        <v>15</v>
      </c>
      <c r="AN2012" t="n">
        <v>1</v>
      </c>
      <c r="AO2012" t="n">
        <v>3</v>
      </c>
      <c r="AP2012" t="n">
        <v>0</v>
      </c>
      <c r="AQ2012" t="n">
        <v>0</v>
      </c>
      <c r="AR2012" t="inlineStr">
        <is>
          <t>No</t>
        </is>
      </c>
      <c r="AS2012" t="inlineStr">
        <is>
          <t>No</t>
        </is>
      </c>
      <c r="AU2012">
        <f>HYPERLINK("https://creighton-primo.hosted.exlibrisgroup.com/primo-explore/search?tab=default_tab&amp;search_scope=EVERYTHING&amp;vid=01CRU&amp;lang=en_US&amp;offset=0&amp;query=any,contains,991003896389702656","Catalog Record")</f>
        <v/>
      </c>
      <c r="AV2012">
        <f>HYPERLINK("http://www.worldcat.org/oclc/1810521","WorldCat Record")</f>
        <v/>
      </c>
      <c r="AW2012" t="inlineStr">
        <is>
          <t>2160231:eng</t>
        </is>
      </c>
      <c r="AX2012" t="inlineStr">
        <is>
          <t>1810521</t>
        </is>
      </c>
      <c r="AY2012" t="inlineStr">
        <is>
          <t>991003896389702656</t>
        </is>
      </c>
      <c r="AZ2012" t="inlineStr">
        <is>
          <t>991003896389702656</t>
        </is>
      </c>
      <c r="BA2012" t="inlineStr">
        <is>
          <t>2256453340002656</t>
        </is>
      </c>
      <c r="BB2012" t="inlineStr">
        <is>
          <t>BOOK</t>
        </is>
      </c>
      <c r="BE2012" t="inlineStr">
        <is>
          <t>32285000799634</t>
        </is>
      </c>
      <c r="BF2012" t="inlineStr">
        <is>
          <t>893693292</t>
        </is>
      </c>
    </row>
    <row r="2013">
      <c r="A2013" t="inlineStr">
        <is>
          <t>No</t>
        </is>
      </c>
      <c r="B2013" t="inlineStr">
        <is>
          <t>CURAL</t>
        </is>
      </c>
      <c r="C2013" t="inlineStr">
        <is>
          <t>SHELVES</t>
        </is>
      </c>
      <c r="D2013" t="inlineStr">
        <is>
          <t>PR4728.G5 Z534 1976</t>
        </is>
      </c>
      <c r="E2013" t="inlineStr">
        <is>
          <t>0                      PR 4728000G  5                  Z  534         1976</t>
        </is>
      </c>
      <c r="F2013" t="inlineStr">
        <is>
          <t>Seventy years : being the autobiography of Lady Gregory / edited and with a foreword by Colin Smythe.</t>
        </is>
      </c>
      <c r="H2013" t="inlineStr">
        <is>
          <t>No</t>
        </is>
      </c>
      <c r="I2013" t="inlineStr">
        <is>
          <t>1</t>
        </is>
      </c>
      <c r="J2013" t="inlineStr">
        <is>
          <t>No</t>
        </is>
      </c>
      <c r="K2013" t="inlineStr">
        <is>
          <t>No</t>
        </is>
      </c>
      <c r="L2013" t="inlineStr">
        <is>
          <t>0</t>
        </is>
      </c>
      <c r="M2013" t="inlineStr">
        <is>
          <t>Gregory, Lady, 1852-1932.</t>
        </is>
      </c>
      <c r="N2013" t="inlineStr">
        <is>
          <t>New York : Macmillan, 1976, c1974.</t>
        </is>
      </c>
      <c r="O2013" t="inlineStr">
        <is>
          <t>1976</t>
        </is>
      </c>
      <c r="P2013" t="inlineStr">
        <is>
          <t>1st American ed.</t>
        </is>
      </c>
      <c r="Q2013" t="inlineStr">
        <is>
          <t>eng</t>
        </is>
      </c>
      <c r="R2013" t="inlineStr">
        <is>
          <t>nyu</t>
        </is>
      </c>
      <c r="T2013" t="inlineStr">
        <is>
          <t xml:space="preserve">PR </t>
        </is>
      </c>
      <c r="U2013" t="n">
        <v>8</v>
      </c>
      <c r="V2013" t="n">
        <v>8</v>
      </c>
      <c r="W2013" t="inlineStr">
        <is>
          <t>2006-04-19</t>
        </is>
      </c>
      <c r="X2013" t="inlineStr">
        <is>
          <t>2006-04-19</t>
        </is>
      </c>
      <c r="Y2013" t="inlineStr">
        <is>
          <t>1997-07-14</t>
        </is>
      </c>
      <c r="Z2013" t="inlineStr">
        <is>
          <t>1997-07-14</t>
        </is>
      </c>
      <c r="AA2013" t="n">
        <v>601</v>
      </c>
      <c r="AB2013" t="n">
        <v>574</v>
      </c>
      <c r="AC2013" t="n">
        <v>711</v>
      </c>
      <c r="AD2013" t="n">
        <v>3</v>
      </c>
      <c r="AE2013" t="n">
        <v>4</v>
      </c>
      <c r="AF2013" t="n">
        <v>24</v>
      </c>
      <c r="AG2013" t="n">
        <v>32</v>
      </c>
      <c r="AH2013" t="n">
        <v>12</v>
      </c>
      <c r="AI2013" t="n">
        <v>14</v>
      </c>
      <c r="AJ2013" t="n">
        <v>7</v>
      </c>
      <c r="AK2013" t="n">
        <v>10</v>
      </c>
      <c r="AL2013" t="n">
        <v>12</v>
      </c>
      <c r="AM2013" t="n">
        <v>18</v>
      </c>
      <c r="AN2013" t="n">
        <v>2</v>
      </c>
      <c r="AO2013" t="n">
        <v>3</v>
      </c>
      <c r="AP2013" t="n">
        <v>0</v>
      </c>
      <c r="AQ2013" t="n">
        <v>0</v>
      </c>
      <c r="AR2013" t="inlineStr">
        <is>
          <t>No</t>
        </is>
      </c>
      <c r="AS2013" t="inlineStr">
        <is>
          <t>Yes</t>
        </is>
      </c>
      <c r="AT2013">
        <f>HYPERLINK("http://catalog.hathitrust.org/Record/000700790","HathiTrust Record")</f>
        <v/>
      </c>
      <c r="AU2013">
        <f>HYPERLINK("https://creighton-primo.hosted.exlibrisgroup.com/primo-explore/search?tab=default_tab&amp;search_scope=EVERYTHING&amp;vid=01CRU&amp;lang=en_US&amp;offset=0&amp;query=any,contains,991003975049702656","Catalog Record")</f>
        <v/>
      </c>
      <c r="AV2013">
        <f>HYPERLINK("http://www.worldcat.org/oclc/2001407","WorldCat Record")</f>
        <v/>
      </c>
      <c r="AW2013" t="inlineStr">
        <is>
          <t>2043431:eng</t>
        </is>
      </c>
      <c r="AX2013" t="inlineStr">
        <is>
          <t>2001407</t>
        </is>
      </c>
      <c r="AY2013" t="inlineStr">
        <is>
          <t>991003975049702656</t>
        </is>
      </c>
      <c r="AZ2013" t="inlineStr">
        <is>
          <t>991003975049702656</t>
        </is>
      </c>
      <c r="BA2013" t="inlineStr">
        <is>
          <t>2260203370002656</t>
        </is>
      </c>
      <c r="BB2013" t="inlineStr">
        <is>
          <t>BOOK</t>
        </is>
      </c>
      <c r="BD2013" t="inlineStr">
        <is>
          <t>9780025455504</t>
        </is>
      </c>
      <c r="BE2013" t="inlineStr">
        <is>
          <t>32285002897030</t>
        </is>
      </c>
      <c r="BF2013" t="inlineStr">
        <is>
          <t>893627923</t>
        </is>
      </c>
    </row>
    <row r="2014">
      <c r="A2014" t="inlineStr">
        <is>
          <t>No</t>
        </is>
      </c>
      <c r="B2014" t="inlineStr">
        <is>
          <t>CURAL</t>
        </is>
      </c>
      <c r="C2014" t="inlineStr">
        <is>
          <t>SHELVES</t>
        </is>
      </c>
      <c r="D2014" t="inlineStr">
        <is>
          <t>PR4728.G5 Z548 1973</t>
        </is>
      </c>
      <c r="E2014" t="inlineStr">
        <is>
          <t>0                      PR 4728000G  5                  Z  548         1973</t>
        </is>
      </c>
      <c r="F2014" t="inlineStr">
        <is>
          <t>Lady Gregory / Hazard Adams.</t>
        </is>
      </c>
      <c r="H2014" t="inlineStr">
        <is>
          <t>No</t>
        </is>
      </c>
      <c r="I2014" t="inlineStr">
        <is>
          <t>1</t>
        </is>
      </c>
      <c r="J2014" t="inlineStr">
        <is>
          <t>No</t>
        </is>
      </c>
      <c r="K2014" t="inlineStr">
        <is>
          <t>No</t>
        </is>
      </c>
      <c r="L2014" t="inlineStr">
        <is>
          <t>0</t>
        </is>
      </c>
      <c r="M2014" t="inlineStr">
        <is>
          <t>Adams, Hazard, 1926-</t>
        </is>
      </c>
      <c r="N2014" t="inlineStr">
        <is>
          <t>Lewisburg : Bucknell University Press, c1973, 1975 printing.</t>
        </is>
      </c>
      <c r="O2014" t="inlineStr">
        <is>
          <t>1973</t>
        </is>
      </c>
      <c r="Q2014" t="inlineStr">
        <is>
          <t>eng</t>
        </is>
      </c>
      <c r="R2014" t="inlineStr">
        <is>
          <t>pau</t>
        </is>
      </c>
      <c r="S2014" t="inlineStr">
        <is>
          <t>The Irish writers series</t>
        </is>
      </c>
      <c r="T2014" t="inlineStr">
        <is>
          <t xml:space="preserve">PR </t>
        </is>
      </c>
      <c r="U2014" t="n">
        <v>4</v>
      </c>
      <c r="V2014" t="n">
        <v>4</v>
      </c>
      <c r="W2014" t="inlineStr">
        <is>
          <t>2006-03-13</t>
        </is>
      </c>
      <c r="X2014" t="inlineStr">
        <is>
          <t>2006-03-13</t>
        </is>
      </c>
      <c r="Y2014" t="inlineStr">
        <is>
          <t>1991-11-07</t>
        </is>
      </c>
      <c r="Z2014" t="inlineStr">
        <is>
          <t>1991-11-07</t>
        </is>
      </c>
      <c r="AA2014" t="n">
        <v>694</v>
      </c>
      <c r="AB2014" t="n">
        <v>580</v>
      </c>
      <c r="AC2014" t="n">
        <v>586</v>
      </c>
      <c r="AD2014" t="n">
        <v>7</v>
      </c>
      <c r="AE2014" t="n">
        <v>7</v>
      </c>
      <c r="AF2014" t="n">
        <v>34</v>
      </c>
      <c r="AG2014" t="n">
        <v>34</v>
      </c>
      <c r="AH2014" t="n">
        <v>12</v>
      </c>
      <c r="AI2014" t="n">
        <v>12</v>
      </c>
      <c r="AJ2014" t="n">
        <v>8</v>
      </c>
      <c r="AK2014" t="n">
        <v>8</v>
      </c>
      <c r="AL2014" t="n">
        <v>15</v>
      </c>
      <c r="AM2014" t="n">
        <v>15</v>
      </c>
      <c r="AN2014" t="n">
        <v>6</v>
      </c>
      <c r="AO2014" t="n">
        <v>6</v>
      </c>
      <c r="AP2014" t="n">
        <v>0</v>
      </c>
      <c r="AQ2014" t="n">
        <v>0</v>
      </c>
      <c r="AR2014" t="inlineStr">
        <is>
          <t>No</t>
        </is>
      </c>
      <c r="AS2014" t="inlineStr">
        <is>
          <t>Yes</t>
        </is>
      </c>
      <c r="AT2014">
        <f>HYPERLINK("http://catalog.hathitrust.org/Record/001372924","HathiTrust Record")</f>
        <v/>
      </c>
      <c r="AU2014">
        <f>HYPERLINK("https://creighton-primo.hosted.exlibrisgroup.com/primo-explore/search?tab=default_tab&amp;search_scope=EVERYTHING&amp;vid=01CRU&amp;lang=en_US&amp;offset=0&amp;query=any,contains,991003024189702656","Catalog Record")</f>
        <v/>
      </c>
      <c r="AV2014">
        <f>HYPERLINK("http://www.worldcat.org/oclc/588884","WorldCat Record")</f>
        <v/>
      </c>
      <c r="AW2014" t="inlineStr">
        <is>
          <t>503496:eng</t>
        </is>
      </c>
      <c r="AX2014" t="inlineStr">
        <is>
          <t>588884</t>
        </is>
      </c>
      <c r="AY2014" t="inlineStr">
        <is>
          <t>991003024189702656</t>
        </is>
      </c>
      <c r="AZ2014" t="inlineStr">
        <is>
          <t>991003024189702656</t>
        </is>
      </c>
      <c r="BA2014" t="inlineStr">
        <is>
          <t>2270139630002656</t>
        </is>
      </c>
      <c r="BB2014" t="inlineStr">
        <is>
          <t>BOOK</t>
        </is>
      </c>
      <c r="BD2014" t="inlineStr">
        <is>
          <t>9780838710852</t>
        </is>
      </c>
      <c r="BE2014" t="inlineStr">
        <is>
          <t>32285000799691</t>
        </is>
      </c>
      <c r="BF2014" t="inlineStr">
        <is>
          <t>893348258</t>
        </is>
      </c>
    </row>
    <row r="2015">
      <c r="A2015" t="inlineStr">
        <is>
          <t>No</t>
        </is>
      </c>
      <c r="B2015" t="inlineStr">
        <is>
          <t>CURAL</t>
        </is>
      </c>
      <c r="C2015" t="inlineStr">
        <is>
          <t>SHELVES</t>
        </is>
      </c>
      <c r="D2015" t="inlineStr">
        <is>
          <t>PR4728.G5 Z635</t>
        </is>
      </c>
      <c r="E2015" t="inlineStr">
        <is>
          <t>0                      PR 4728000G  5                  Z  635</t>
        </is>
      </c>
      <c r="F2015" t="inlineStr">
        <is>
          <t>Lady Gregory : an annotated bibliography of criticism / by E. H. Mikhail.</t>
        </is>
      </c>
      <c r="H2015" t="inlineStr">
        <is>
          <t>No</t>
        </is>
      </c>
      <c r="I2015" t="inlineStr">
        <is>
          <t>1</t>
        </is>
      </c>
      <c r="J2015" t="inlineStr">
        <is>
          <t>No</t>
        </is>
      </c>
      <c r="K2015" t="inlineStr">
        <is>
          <t>No</t>
        </is>
      </c>
      <c r="L2015" t="inlineStr">
        <is>
          <t>0</t>
        </is>
      </c>
      <c r="M2015" t="inlineStr">
        <is>
          <t>Mikhail, E. H.</t>
        </is>
      </c>
      <c r="N2015" t="inlineStr">
        <is>
          <t>Troy, N.Y. : Whitson, 1982.</t>
        </is>
      </c>
      <c r="O2015" t="inlineStr">
        <is>
          <t>1982</t>
        </is>
      </c>
      <c r="Q2015" t="inlineStr">
        <is>
          <t>eng</t>
        </is>
      </c>
      <c r="R2015" t="inlineStr">
        <is>
          <t>nyu</t>
        </is>
      </c>
      <c r="T2015" t="inlineStr">
        <is>
          <t xml:space="preserve">PR </t>
        </is>
      </c>
      <c r="U2015" t="n">
        <v>4</v>
      </c>
      <c r="V2015" t="n">
        <v>4</v>
      </c>
      <c r="W2015" t="inlineStr">
        <is>
          <t>2004-09-24</t>
        </is>
      </c>
      <c r="X2015" t="inlineStr">
        <is>
          <t>2004-09-24</t>
        </is>
      </c>
      <c r="Y2015" t="inlineStr">
        <is>
          <t>1991-11-07</t>
        </is>
      </c>
      <c r="Z2015" t="inlineStr">
        <is>
          <t>1991-11-07</t>
        </is>
      </c>
      <c r="AA2015" t="n">
        <v>106</v>
      </c>
      <c r="AB2015" t="n">
        <v>97</v>
      </c>
      <c r="AC2015" t="n">
        <v>217</v>
      </c>
      <c r="AD2015" t="n">
        <v>1</v>
      </c>
      <c r="AE2015" t="n">
        <v>2</v>
      </c>
      <c r="AF2015" t="n">
        <v>3</v>
      </c>
      <c r="AG2015" t="n">
        <v>11</v>
      </c>
      <c r="AH2015" t="n">
        <v>1</v>
      </c>
      <c r="AI2015" t="n">
        <v>2</v>
      </c>
      <c r="AJ2015" t="n">
        <v>0</v>
      </c>
      <c r="AK2015" t="n">
        <v>6</v>
      </c>
      <c r="AL2015" t="n">
        <v>3</v>
      </c>
      <c r="AM2015" t="n">
        <v>6</v>
      </c>
      <c r="AN2015" t="n">
        <v>0</v>
      </c>
      <c r="AO2015" t="n">
        <v>1</v>
      </c>
      <c r="AP2015" t="n">
        <v>0</v>
      </c>
      <c r="AQ2015" t="n">
        <v>0</v>
      </c>
      <c r="AR2015" t="inlineStr">
        <is>
          <t>No</t>
        </is>
      </c>
      <c r="AS2015" t="inlineStr">
        <is>
          <t>Yes</t>
        </is>
      </c>
      <c r="AT2015">
        <f>HYPERLINK("http://catalog.hathitrust.org/Record/000144870","HathiTrust Record")</f>
        <v/>
      </c>
      <c r="AU2015">
        <f>HYPERLINK("https://creighton-primo.hosted.exlibrisgroup.com/primo-explore/search?tab=default_tab&amp;search_scope=EVERYTHING&amp;vid=01CRU&amp;lang=en_US&amp;offset=0&amp;query=any,contains,991005192099702656","Catalog Record")</f>
        <v/>
      </c>
      <c r="AV2015">
        <f>HYPERLINK("http://www.worldcat.org/oclc/8015341","WorldCat Record")</f>
        <v/>
      </c>
      <c r="AW2015" t="inlineStr">
        <is>
          <t>197894051:eng</t>
        </is>
      </c>
      <c r="AX2015" t="inlineStr">
        <is>
          <t>8015341</t>
        </is>
      </c>
      <c r="AY2015" t="inlineStr">
        <is>
          <t>991005192099702656</t>
        </is>
      </c>
      <c r="AZ2015" t="inlineStr">
        <is>
          <t>991005192099702656</t>
        </is>
      </c>
      <c r="BA2015" t="inlineStr">
        <is>
          <t>2260524100002656</t>
        </is>
      </c>
      <c r="BB2015" t="inlineStr">
        <is>
          <t>BOOK</t>
        </is>
      </c>
      <c r="BE2015" t="inlineStr">
        <is>
          <t>32285000799725</t>
        </is>
      </c>
      <c r="BF2015" t="inlineStr">
        <is>
          <t>893527073</t>
        </is>
      </c>
    </row>
    <row r="2016">
      <c r="A2016" t="inlineStr">
        <is>
          <t>No</t>
        </is>
      </c>
      <c r="B2016" t="inlineStr">
        <is>
          <t>CURAL</t>
        </is>
      </c>
      <c r="C2016" t="inlineStr">
        <is>
          <t>SHELVES</t>
        </is>
      </c>
      <c r="D2016" t="inlineStr">
        <is>
          <t>PR4728.G5 Z64</t>
        </is>
      </c>
      <c r="E2016" t="inlineStr">
        <is>
          <t>0                      PR 4728000G  5                  Z  64</t>
        </is>
      </c>
      <c r="F2016" t="inlineStr">
        <is>
          <t>Lady Gregory : interviews and recollections / edited by E. H. Mikhail.</t>
        </is>
      </c>
      <c r="H2016" t="inlineStr">
        <is>
          <t>No</t>
        </is>
      </c>
      <c r="I2016" t="inlineStr">
        <is>
          <t>1</t>
        </is>
      </c>
      <c r="J2016" t="inlineStr">
        <is>
          <t>No</t>
        </is>
      </c>
      <c r="K2016" t="inlineStr">
        <is>
          <t>No</t>
        </is>
      </c>
      <c r="L2016" t="inlineStr">
        <is>
          <t>0</t>
        </is>
      </c>
      <c r="N2016" t="inlineStr">
        <is>
          <t>Totowa, N.J. : Rowman and Littlefield, 1977.</t>
        </is>
      </c>
      <c r="O2016" t="inlineStr">
        <is>
          <t>1977</t>
        </is>
      </c>
      <c r="Q2016" t="inlineStr">
        <is>
          <t>eng</t>
        </is>
      </c>
      <c r="R2016" t="inlineStr">
        <is>
          <t>nju</t>
        </is>
      </c>
      <c r="T2016" t="inlineStr">
        <is>
          <t xml:space="preserve">PR </t>
        </is>
      </c>
      <c r="U2016" t="n">
        <v>5</v>
      </c>
      <c r="V2016" t="n">
        <v>5</v>
      </c>
      <c r="W2016" t="inlineStr">
        <is>
          <t>2009-10-14</t>
        </is>
      </c>
      <c r="X2016" t="inlineStr">
        <is>
          <t>2009-10-14</t>
        </is>
      </c>
      <c r="Y2016" t="inlineStr">
        <is>
          <t>1997-07-14</t>
        </is>
      </c>
      <c r="Z2016" t="inlineStr">
        <is>
          <t>1997-07-14</t>
        </is>
      </c>
      <c r="AA2016" t="n">
        <v>342</v>
      </c>
      <c r="AB2016" t="n">
        <v>319</v>
      </c>
      <c r="AC2016" t="n">
        <v>364</v>
      </c>
      <c r="AD2016" t="n">
        <v>3</v>
      </c>
      <c r="AE2016" t="n">
        <v>3</v>
      </c>
      <c r="AF2016" t="n">
        <v>22</v>
      </c>
      <c r="AG2016" t="n">
        <v>23</v>
      </c>
      <c r="AH2016" t="n">
        <v>8</v>
      </c>
      <c r="AI2016" t="n">
        <v>8</v>
      </c>
      <c r="AJ2016" t="n">
        <v>8</v>
      </c>
      <c r="AK2016" t="n">
        <v>9</v>
      </c>
      <c r="AL2016" t="n">
        <v>11</v>
      </c>
      <c r="AM2016" t="n">
        <v>11</v>
      </c>
      <c r="AN2016" t="n">
        <v>2</v>
      </c>
      <c r="AO2016" t="n">
        <v>2</v>
      </c>
      <c r="AP2016" t="n">
        <v>0</v>
      </c>
      <c r="AQ2016" t="n">
        <v>0</v>
      </c>
      <c r="AR2016" t="inlineStr">
        <is>
          <t>No</t>
        </is>
      </c>
      <c r="AS2016" t="inlineStr">
        <is>
          <t>Yes</t>
        </is>
      </c>
      <c r="AT2016">
        <f>HYPERLINK("http://catalog.hathitrust.org/Record/000173540","HathiTrust Record")</f>
        <v/>
      </c>
      <c r="AU2016">
        <f>HYPERLINK("https://creighton-primo.hosted.exlibrisgroup.com/primo-explore/search?tab=default_tab&amp;search_scope=EVERYTHING&amp;vid=01CRU&amp;lang=en_US&amp;offset=0&amp;query=any,contains,991004247519702656","Catalog Record")</f>
        <v/>
      </c>
      <c r="AV2016">
        <f>HYPERLINK("http://www.worldcat.org/oclc/2798902","WorldCat Record")</f>
        <v/>
      </c>
      <c r="AW2016" t="inlineStr">
        <is>
          <t>4915145324:eng</t>
        </is>
      </c>
      <c r="AX2016" t="inlineStr">
        <is>
          <t>2798902</t>
        </is>
      </c>
      <c r="AY2016" t="inlineStr">
        <is>
          <t>991004247519702656</t>
        </is>
      </c>
      <c r="AZ2016" t="inlineStr">
        <is>
          <t>991004247519702656</t>
        </is>
      </c>
      <c r="BA2016" t="inlineStr">
        <is>
          <t>2270916310002656</t>
        </is>
      </c>
      <c r="BB2016" t="inlineStr">
        <is>
          <t>BOOK</t>
        </is>
      </c>
      <c r="BD2016" t="inlineStr">
        <is>
          <t>9780874719611</t>
        </is>
      </c>
      <c r="BE2016" t="inlineStr">
        <is>
          <t>32285002897055</t>
        </is>
      </c>
      <c r="BF2016" t="inlineStr">
        <is>
          <t>893599607</t>
        </is>
      </c>
    </row>
    <row r="2017">
      <c r="A2017" t="inlineStr">
        <is>
          <t>No</t>
        </is>
      </c>
      <c r="B2017" t="inlineStr">
        <is>
          <t>CURAL</t>
        </is>
      </c>
      <c r="C2017" t="inlineStr">
        <is>
          <t>SHELVES</t>
        </is>
      </c>
      <c r="D2017" t="inlineStr">
        <is>
          <t>PR4728.G8 Z59</t>
        </is>
      </c>
      <c r="E2017" t="inlineStr">
        <is>
          <t>0                      PR 4728000G  8                  Z  59</t>
        </is>
      </c>
      <c r="F2017" t="inlineStr">
        <is>
          <t>Gerald Griffin / by Robert B. Davis.</t>
        </is>
      </c>
      <c r="H2017" t="inlineStr">
        <is>
          <t>No</t>
        </is>
      </c>
      <c r="I2017" t="inlineStr">
        <is>
          <t>1</t>
        </is>
      </c>
      <c r="J2017" t="inlineStr">
        <is>
          <t>No</t>
        </is>
      </c>
      <c r="K2017" t="inlineStr">
        <is>
          <t>No</t>
        </is>
      </c>
      <c r="L2017" t="inlineStr">
        <is>
          <t>0</t>
        </is>
      </c>
      <c r="M2017" t="inlineStr">
        <is>
          <t>Davis, Robert Bernard, 1917-</t>
        </is>
      </c>
      <c r="N2017" t="inlineStr">
        <is>
          <t>Boston : Twayne Publishers, 1980.</t>
        </is>
      </c>
      <c r="O2017" t="inlineStr">
        <is>
          <t>1980</t>
        </is>
      </c>
      <c r="Q2017" t="inlineStr">
        <is>
          <t>eng</t>
        </is>
      </c>
      <c r="R2017" t="inlineStr">
        <is>
          <t>mau</t>
        </is>
      </c>
      <c r="S2017" t="inlineStr">
        <is>
          <t>Twayne's English authors series ; TEAS 307</t>
        </is>
      </c>
      <c r="T2017" t="inlineStr">
        <is>
          <t xml:space="preserve">PR </t>
        </is>
      </c>
      <c r="U2017" t="n">
        <v>7</v>
      </c>
      <c r="V2017" t="n">
        <v>7</v>
      </c>
      <c r="W2017" t="inlineStr">
        <is>
          <t>2000-02-16</t>
        </is>
      </c>
      <c r="X2017" t="inlineStr">
        <is>
          <t>2000-02-16</t>
        </is>
      </c>
      <c r="Y2017" t="inlineStr">
        <is>
          <t>1991-11-07</t>
        </is>
      </c>
      <c r="Z2017" t="inlineStr">
        <is>
          <t>1991-11-07</t>
        </is>
      </c>
      <c r="AA2017" t="n">
        <v>432</v>
      </c>
      <c r="AB2017" t="n">
        <v>375</v>
      </c>
      <c r="AC2017" t="n">
        <v>377</v>
      </c>
      <c r="AD2017" t="n">
        <v>5</v>
      </c>
      <c r="AE2017" t="n">
        <v>5</v>
      </c>
      <c r="AF2017" t="n">
        <v>20</v>
      </c>
      <c r="AG2017" t="n">
        <v>20</v>
      </c>
      <c r="AH2017" t="n">
        <v>6</v>
      </c>
      <c r="AI2017" t="n">
        <v>6</v>
      </c>
      <c r="AJ2017" t="n">
        <v>4</v>
      </c>
      <c r="AK2017" t="n">
        <v>4</v>
      </c>
      <c r="AL2017" t="n">
        <v>11</v>
      </c>
      <c r="AM2017" t="n">
        <v>11</v>
      </c>
      <c r="AN2017" t="n">
        <v>4</v>
      </c>
      <c r="AO2017" t="n">
        <v>4</v>
      </c>
      <c r="AP2017" t="n">
        <v>0</v>
      </c>
      <c r="AQ2017" t="n">
        <v>0</v>
      </c>
      <c r="AR2017" t="inlineStr">
        <is>
          <t>No</t>
        </is>
      </c>
      <c r="AS2017" t="inlineStr">
        <is>
          <t>Yes</t>
        </is>
      </c>
      <c r="AT2017">
        <f>HYPERLINK("http://catalog.hathitrust.org/Record/000742318","HathiTrust Record")</f>
        <v/>
      </c>
      <c r="AU2017">
        <f>HYPERLINK("https://creighton-primo.hosted.exlibrisgroup.com/primo-explore/search?tab=default_tab&amp;search_scope=EVERYTHING&amp;vid=01CRU&amp;lang=en_US&amp;offset=0&amp;query=any,contains,991004997979702656","Catalog Record")</f>
        <v/>
      </c>
      <c r="AV2017">
        <f>HYPERLINK("http://www.worldcat.org/oclc/6532231","WorldCat Record")</f>
        <v/>
      </c>
      <c r="AW2017" t="inlineStr">
        <is>
          <t>23100697:eng</t>
        </is>
      </c>
      <c r="AX2017" t="inlineStr">
        <is>
          <t>6532231</t>
        </is>
      </c>
      <c r="AY2017" t="inlineStr">
        <is>
          <t>991004997979702656</t>
        </is>
      </c>
      <c r="AZ2017" t="inlineStr">
        <is>
          <t>991004997979702656</t>
        </is>
      </c>
      <c r="BA2017" t="inlineStr">
        <is>
          <t>2262068080002656</t>
        </is>
      </c>
      <c r="BB2017" t="inlineStr">
        <is>
          <t>BOOK</t>
        </is>
      </c>
      <c r="BD2017" t="inlineStr">
        <is>
          <t>9780805767995</t>
        </is>
      </c>
      <c r="BE2017" t="inlineStr">
        <is>
          <t>32285000799733</t>
        </is>
      </c>
      <c r="BF2017" t="inlineStr">
        <is>
          <t>893905164</t>
        </is>
      </c>
    </row>
    <row r="2018">
      <c r="A2018" t="inlineStr">
        <is>
          <t>No</t>
        </is>
      </c>
      <c r="B2018" t="inlineStr">
        <is>
          <t>CURAL</t>
        </is>
      </c>
      <c r="C2018" t="inlineStr">
        <is>
          <t>SHELVES</t>
        </is>
      </c>
      <c r="D2018" t="inlineStr">
        <is>
          <t>PR4728.G8 Z7 1954</t>
        </is>
      </c>
      <c r="E2018" t="inlineStr">
        <is>
          <t>0                      PR 4728000G  8                  Z  7           1954</t>
        </is>
      </c>
      <c r="F2018" t="inlineStr">
        <is>
          <t>Two studies in integrity: Gerald Griffin and the Rev. Francis Mahony ("Father Prout")</t>
        </is>
      </c>
      <c r="H2018" t="inlineStr">
        <is>
          <t>No</t>
        </is>
      </c>
      <c r="I2018" t="inlineStr">
        <is>
          <t>1</t>
        </is>
      </c>
      <c r="J2018" t="inlineStr">
        <is>
          <t>No</t>
        </is>
      </c>
      <c r="K2018" t="inlineStr">
        <is>
          <t>No</t>
        </is>
      </c>
      <c r="L2018" t="inlineStr">
        <is>
          <t>0</t>
        </is>
      </c>
      <c r="M2018" t="inlineStr">
        <is>
          <t>Mannin, Ethel, 1900-1984.</t>
        </is>
      </c>
      <c r="N2018" t="inlineStr">
        <is>
          <t>London, Jarrolds [1954]</t>
        </is>
      </c>
      <c r="O2018" t="inlineStr">
        <is>
          <t>1954</t>
        </is>
      </c>
      <c r="Q2018" t="inlineStr">
        <is>
          <t>eng</t>
        </is>
      </c>
      <c r="R2018" t="inlineStr">
        <is>
          <t>enk</t>
        </is>
      </c>
      <c r="T2018" t="inlineStr">
        <is>
          <t xml:space="preserve">PR </t>
        </is>
      </c>
      <c r="U2018" t="n">
        <v>3</v>
      </c>
      <c r="V2018" t="n">
        <v>3</v>
      </c>
      <c r="W2018" t="inlineStr">
        <is>
          <t>2000-02-18</t>
        </is>
      </c>
      <c r="X2018" t="inlineStr">
        <is>
          <t>2000-02-18</t>
        </is>
      </c>
      <c r="Y2018" t="inlineStr">
        <is>
          <t>1997-07-14</t>
        </is>
      </c>
      <c r="Z2018" t="inlineStr">
        <is>
          <t>1997-07-14</t>
        </is>
      </c>
      <c r="AA2018" t="n">
        <v>123</v>
      </c>
      <c r="AB2018" t="n">
        <v>72</v>
      </c>
      <c r="AC2018" t="n">
        <v>208</v>
      </c>
      <c r="AD2018" t="n">
        <v>1</v>
      </c>
      <c r="AE2018" t="n">
        <v>2</v>
      </c>
      <c r="AF2018" t="n">
        <v>9</v>
      </c>
      <c r="AG2018" t="n">
        <v>27</v>
      </c>
      <c r="AH2018" t="n">
        <v>2</v>
      </c>
      <c r="AI2018" t="n">
        <v>7</v>
      </c>
      <c r="AJ2018" t="n">
        <v>4</v>
      </c>
      <c r="AK2018" t="n">
        <v>8</v>
      </c>
      <c r="AL2018" t="n">
        <v>6</v>
      </c>
      <c r="AM2018" t="n">
        <v>21</v>
      </c>
      <c r="AN2018" t="n">
        <v>0</v>
      </c>
      <c r="AO2018" t="n">
        <v>1</v>
      </c>
      <c r="AP2018" t="n">
        <v>0</v>
      </c>
      <c r="AQ2018" t="n">
        <v>0</v>
      </c>
      <c r="AR2018" t="inlineStr">
        <is>
          <t>No</t>
        </is>
      </c>
      <c r="AS2018" t="inlineStr">
        <is>
          <t>Yes</t>
        </is>
      </c>
      <c r="AT2018">
        <f>HYPERLINK("http://catalog.hathitrust.org/Record/000394468","HathiTrust Record")</f>
        <v/>
      </c>
      <c r="AU2018">
        <f>HYPERLINK("https://creighton-primo.hosted.exlibrisgroup.com/primo-explore/search?tab=default_tab&amp;search_scope=EVERYTHING&amp;vid=01CRU&amp;lang=en_US&amp;offset=0&amp;query=any,contains,991004366749702656","Catalog Record")</f>
        <v/>
      </c>
      <c r="AV2018">
        <f>HYPERLINK("http://www.worldcat.org/oclc/3171952","WorldCat Record")</f>
        <v/>
      </c>
      <c r="AW2018" t="inlineStr">
        <is>
          <t>344693948:eng</t>
        </is>
      </c>
      <c r="AX2018" t="inlineStr">
        <is>
          <t>3171952</t>
        </is>
      </c>
      <c r="AY2018" t="inlineStr">
        <is>
          <t>991004366749702656</t>
        </is>
      </c>
      <c r="AZ2018" t="inlineStr">
        <is>
          <t>991004366749702656</t>
        </is>
      </c>
      <c r="BA2018" t="inlineStr">
        <is>
          <t>2262654910002656</t>
        </is>
      </c>
      <c r="BB2018" t="inlineStr">
        <is>
          <t>BOOK</t>
        </is>
      </c>
      <c r="BE2018" t="inlineStr">
        <is>
          <t>32285002897139</t>
        </is>
      </c>
      <c r="BF2018" t="inlineStr">
        <is>
          <t>893353359</t>
        </is>
      </c>
    </row>
    <row r="2019">
      <c r="A2019" t="inlineStr">
        <is>
          <t>No</t>
        </is>
      </c>
      <c r="B2019" t="inlineStr">
        <is>
          <t>CURAL</t>
        </is>
      </c>
      <c r="C2019" t="inlineStr">
        <is>
          <t>SHELVES</t>
        </is>
      </c>
      <c r="D2019" t="inlineStr">
        <is>
          <t>PR4728.G8 Z82 1896</t>
        </is>
      </c>
      <c r="E2019" t="inlineStr">
        <is>
          <t>0                      PR 4728000G  8                  Z  82          1896</t>
        </is>
      </c>
      <c r="F2019" t="inlineStr">
        <is>
          <t>The life of Gerald Griffin / by his brother.</t>
        </is>
      </c>
      <c r="H2019" t="inlineStr">
        <is>
          <t>No</t>
        </is>
      </c>
      <c r="I2019" t="inlineStr">
        <is>
          <t>1</t>
        </is>
      </c>
      <c r="J2019" t="inlineStr">
        <is>
          <t>No</t>
        </is>
      </c>
      <c r="K2019" t="inlineStr">
        <is>
          <t>No</t>
        </is>
      </c>
      <c r="L2019" t="inlineStr">
        <is>
          <t>0</t>
        </is>
      </c>
      <c r="M2019" t="inlineStr">
        <is>
          <t>Griffin, Daniel.</t>
        </is>
      </c>
      <c r="N2019" t="inlineStr">
        <is>
          <t>New York : Excelsior Publishing House, 1896, c1885.</t>
        </is>
      </c>
      <c r="O2019" t="inlineStr">
        <is>
          <t>1896</t>
        </is>
      </c>
      <c r="Q2019" t="inlineStr">
        <is>
          <t>eng</t>
        </is>
      </c>
      <c r="R2019" t="inlineStr">
        <is>
          <t>nyu</t>
        </is>
      </c>
      <c r="T2019" t="inlineStr">
        <is>
          <t xml:space="preserve">PR </t>
        </is>
      </c>
      <c r="U2019" t="n">
        <v>3</v>
      </c>
      <c r="V2019" t="n">
        <v>3</v>
      </c>
      <c r="W2019" t="inlineStr">
        <is>
          <t>2000-02-18</t>
        </is>
      </c>
      <c r="X2019" t="inlineStr">
        <is>
          <t>2000-02-18</t>
        </is>
      </c>
      <c r="Y2019" t="inlineStr">
        <is>
          <t>1997-07-14</t>
        </is>
      </c>
      <c r="Z2019" t="inlineStr">
        <is>
          <t>1997-07-14</t>
        </is>
      </c>
      <c r="AA2019" t="n">
        <v>6</v>
      </c>
      <c r="AB2019" t="n">
        <v>6</v>
      </c>
      <c r="AC2019" t="n">
        <v>113</v>
      </c>
      <c r="AD2019" t="n">
        <v>1</v>
      </c>
      <c r="AE2019" t="n">
        <v>1</v>
      </c>
      <c r="AF2019" t="n">
        <v>1</v>
      </c>
      <c r="AG2019" t="n">
        <v>11</v>
      </c>
      <c r="AH2019" t="n">
        <v>1</v>
      </c>
      <c r="AI2019" t="n">
        <v>3</v>
      </c>
      <c r="AJ2019" t="n">
        <v>0</v>
      </c>
      <c r="AK2019" t="n">
        <v>2</v>
      </c>
      <c r="AL2019" t="n">
        <v>1</v>
      </c>
      <c r="AM2019" t="n">
        <v>9</v>
      </c>
      <c r="AN2019" t="n">
        <v>0</v>
      </c>
      <c r="AO2019" t="n">
        <v>0</v>
      </c>
      <c r="AP2019" t="n">
        <v>0</v>
      </c>
      <c r="AQ2019" t="n">
        <v>0</v>
      </c>
      <c r="AR2019" t="inlineStr">
        <is>
          <t>No</t>
        </is>
      </c>
      <c r="AS2019" t="inlineStr">
        <is>
          <t>No</t>
        </is>
      </c>
      <c r="AU2019">
        <f>HYPERLINK("https://creighton-primo.hosted.exlibrisgroup.com/primo-explore/search?tab=default_tab&amp;search_scope=EVERYTHING&amp;vid=01CRU&amp;lang=en_US&amp;offset=0&amp;query=any,contains,991004795529702656","Catalog Record")</f>
        <v/>
      </c>
      <c r="AV2019">
        <f>HYPERLINK("http://www.worldcat.org/oclc/5183317","WorldCat Record")</f>
        <v/>
      </c>
      <c r="AW2019" t="inlineStr">
        <is>
          <t>2078753:eng</t>
        </is>
      </c>
      <c r="AX2019" t="inlineStr">
        <is>
          <t>5183317</t>
        </is>
      </c>
      <c r="AY2019" t="inlineStr">
        <is>
          <t>991004795529702656</t>
        </is>
      </c>
      <c r="AZ2019" t="inlineStr">
        <is>
          <t>991004795529702656</t>
        </is>
      </c>
      <c r="BA2019" t="inlineStr">
        <is>
          <t>2255377800002656</t>
        </is>
      </c>
      <c r="BB2019" t="inlineStr">
        <is>
          <t>BOOK</t>
        </is>
      </c>
      <c r="BE2019" t="inlineStr">
        <is>
          <t>32285002897147</t>
        </is>
      </c>
      <c r="BF2019" t="inlineStr">
        <is>
          <t>893319647</t>
        </is>
      </c>
    </row>
    <row r="2020">
      <c r="A2020" t="inlineStr">
        <is>
          <t>No</t>
        </is>
      </c>
      <c r="B2020" t="inlineStr">
        <is>
          <t>CURAL</t>
        </is>
      </c>
      <c r="C2020" t="inlineStr">
        <is>
          <t>SHELVES</t>
        </is>
      </c>
      <c r="D2020" t="inlineStr">
        <is>
          <t>PR473 .B56 1958</t>
        </is>
      </c>
      <c r="E2020" t="inlineStr">
        <is>
          <t>0                      PR 0473000B  56          1958</t>
        </is>
      </c>
      <c r="F2020" t="inlineStr">
        <is>
          <t>The expense of greatness.</t>
        </is>
      </c>
      <c r="H2020" t="inlineStr">
        <is>
          <t>No</t>
        </is>
      </c>
      <c r="I2020" t="inlineStr">
        <is>
          <t>1</t>
        </is>
      </c>
      <c r="J2020" t="inlineStr">
        <is>
          <t>No</t>
        </is>
      </c>
      <c r="K2020" t="inlineStr">
        <is>
          <t>No</t>
        </is>
      </c>
      <c r="L2020" t="inlineStr">
        <is>
          <t>0</t>
        </is>
      </c>
      <c r="M2020" t="inlineStr">
        <is>
          <t>Blackmur, R. P. (Richard P.), 1904-1965.</t>
        </is>
      </c>
      <c r="N2020" t="inlineStr">
        <is>
          <t>Gloucester, Mass. Peter Smith, 1958 [c1940]</t>
        </is>
      </c>
      <c r="O2020" t="inlineStr">
        <is>
          <t>1958</t>
        </is>
      </c>
      <c r="Q2020" t="inlineStr">
        <is>
          <t>eng</t>
        </is>
      </c>
      <c r="R2020" t="inlineStr">
        <is>
          <t>mau</t>
        </is>
      </c>
      <c r="T2020" t="inlineStr">
        <is>
          <t xml:space="preserve">PR </t>
        </is>
      </c>
      <c r="U2020" t="n">
        <v>1</v>
      </c>
      <c r="V2020" t="n">
        <v>1</v>
      </c>
      <c r="W2020" t="inlineStr">
        <is>
          <t>2004-12-17</t>
        </is>
      </c>
      <c r="X2020" t="inlineStr">
        <is>
          <t>2004-12-17</t>
        </is>
      </c>
      <c r="Y2020" t="inlineStr">
        <is>
          <t>1997-08-26</t>
        </is>
      </c>
      <c r="Z2020" t="inlineStr">
        <is>
          <t>1997-08-26</t>
        </is>
      </c>
      <c r="AA2020" t="n">
        <v>539</v>
      </c>
      <c r="AB2020" t="n">
        <v>467</v>
      </c>
      <c r="AC2020" t="n">
        <v>795</v>
      </c>
      <c r="AD2020" t="n">
        <v>3</v>
      </c>
      <c r="AE2020" t="n">
        <v>5</v>
      </c>
      <c r="AF2020" t="n">
        <v>21</v>
      </c>
      <c r="AG2020" t="n">
        <v>39</v>
      </c>
      <c r="AH2020" t="n">
        <v>10</v>
      </c>
      <c r="AI2020" t="n">
        <v>17</v>
      </c>
      <c r="AJ2020" t="n">
        <v>2</v>
      </c>
      <c r="AK2020" t="n">
        <v>9</v>
      </c>
      <c r="AL2020" t="n">
        <v>10</v>
      </c>
      <c r="AM2020" t="n">
        <v>18</v>
      </c>
      <c r="AN2020" t="n">
        <v>2</v>
      </c>
      <c r="AO2020" t="n">
        <v>4</v>
      </c>
      <c r="AP2020" t="n">
        <v>0</v>
      </c>
      <c r="AQ2020" t="n">
        <v>0</v>
      </c>
      <c r="AR2020" t="inlineStr">
        <is>
          <t>No</t>
        </is>
      </c>
      <c r="AS2020" t="inlineStr">
        <is>
          <t>Yes</t>
        </is>
      </c>
      <c r="AT2020">
        <f>HYPERLINK("http://catalog.hathitrust.org/Record/001370005","HathiTrust Record")</f>
        <v/>
      </c>
      <c r="AU2020">
        <f>HYPERLINK("https://creighton-primo.hosted.exlibrisgroup.com/primo-explore/search?tab=default_tab&amp;search_scope=EVERYTHING&amp;vid=01CRU&amp;lang=en_US&amp;offset=0&amp;query=any,contains,991002967859702656","Catalog Record")</f>
        <v/>
      </c>
      <c r="AV2020">
        <f>HYPERLINK("http://www.worldcat.org/oclc/40317614","WorldCat Record")</f>
        <v/>
      </c>
      <c r="AW2020" t="inlineStr">
        <is>
          <t>1382611:eng</t>
        </is>
      </c>
      <c r="AX2020" t="inlineStr">
        <is>
          <t>40317614</t>
        </is>
      </c>
      <c r="AY2020" t="inlineStr">
        <is>
          <t>991002967859702656</t>
        </is>
      </c>
      <c r="AZ2020" t="inlineStr">
        <is>
          <t>991002967859702656</t>
        </is>
      </c>
      <c r="BA2020" t="inlineStr">
        <is>
          <t>2264978480002656</t>
        </is>
      </c>
      <c r="BB2020" t="inlineStr">
        <is>
          <t>BOOK</t>
        </is>
      </c>
      <c r="BE2020" t="inlineStr">
        <is>
          <t>32285003153037</t>
        </is>
      </c>
      <c r="BF2020" t="inlineStr">
        <is>
          <t>893440761</t>
        </is>
      </c>
    </row>
    <row r="2021">
      <c r="A2021" t="inlineStr">
        <is>
          <t>No</t>
        </is>
      </c>
      <c r="B2021" t="inlineStr">
        <is>
          <t>CURAL</t>
        </is>
      </c>
      <c r="C2021" t="inlineStr">
        <is>
          <t>SHELVES</t>
        </is>
      </c>
      <c r="D2021" t="inlineStr">
        <is>
          <t>PR473 .F6 1967</t>
        </is>
      </c>
      <c r="E2021" t="inlineStr">
        <is>
          <t>0                      PR 0473000F  6           1967</t>
        </is>
      </c>
      <c r="F2021" t="inlineStr">
        <is>
          <t>The critical attitude.</t>
        </is>
      </c>
      <c r="H2021" t="inlineStr">
        <is>
          <t>No</t>
        </is>
      </c>
      <c r="I2021" t="inlineStr">
        <is>
          <t>1</t>
        </is>
      </c>
      <c r="J2021" t="inlineStr">
        <is>
          <t>No</t>
        </is>
      </c>
      <c r="K2021" t="inlineStr">
        <is>
          <t>No</t>
        </is>
      </c>
      <c r="L2021" t="inlineStr">
        <is>
          <t>0</t>
        </is>
      </c>
      <c r="M2021" t="inlineStr">
        <is>
          <t>Ford, Ford Madox, 1873-1939.</t>
        </is>
      </c>
      <c r="N2021" t="inlineStr">
        <is>
          <t>Freeport, N.Y., Books for Libraries Press [1967]</t>
        </is>
      </c>
      <c r="O2021" t="inlineStr">
        <is>
          <t>1967</t>
        </is>
      </c>
      <c r="Q2021" t="inlineStr">
        <is>
          <t>eng</t>
        </is>
      </c>
      <c r="R2021" t="inlineStr">
        <is>
          <t>nyu</t>
        </is>
      </c>
      <c r="S2021" t="inlineStr">
        <is>
          <t>Essay index reprint series</t>
        </is>
      </c>
      <c r="T2021" t="inlineStr">
        <is>
          <t xml:space="preserve">PR </t>
        </is>
      </c>
      <c r="U2021" t="n">
        <v>2</v>
      </c>
      <c r="V2021" t="n">
        <v>2</v>
      </c>
      <c r="W2021" t="inlineStr">
        <is>
          <t>1999-10-06</t>
        </is>
      </c>
      <c r="X2021" t="inlineStr">
        <is>
          <t>1999-10-06</t>
        </is>
      </c>
      <c r="Y2021" t="inlineStr">
        <is>
          <t>1997-08-26</t>
        </is>
      </c>
      <c r="Z2021" t="inlineStr">
        <is>
          <t>1997-08-26</t>
        </is>
      </c>
      <c r="AA2021" t="n">
        <v>375</v>
      </c>
      <c r="AB2021" t="n">
        <v>357</v>
      </c>
      <c r="AC2021" t="n">
        <v>468</v>
      </c>
      <c r="AD2021" t="n">
        <v>2</v>
      </c>
      <c r="AE2021" t="n">
        <v>4</v>
      </c>
      <c r="AF2021" t="n">
        <v>19</v>
      </c>
      <c r="AG2021" t="n">
        <v>23</v>
      </c>
      <c r="AH2021" t="n">
        <v>7</v>
      </c>
      <c r="AI2021" t="n">
        <v>8</v>
      </c>
      <c r="AJ2021" t="n">
        <v>5</v>
      </c>
      <c r="AK2021" t="n">
        <v>6</v>
      </c>
      <c r="AL2021" t="n">
        <v>11</v>
      </c>
      <c r="AM2021" t="n">
        <v>12</v>
      </c>
      <c r="AN2021" t="n">
        <v>1</v>
      </c>
      <c r="AO2021" t="n">
        <v>3</v>
      </c>
      <c r="AP2021" t="n">
        <v>0</v>
      </c>
      <c r="AQ2021" t="n">
        <v>0</v>
      </c>
      <c r="AR2021" t="inlineStr">
        <is>
          <t>No</t>
        </is>
      </c>
      <c r="AS2021" t="inlineStr">
        <is>
          <t>Yes</t>
        </is>
      </c>
      <c r="AT2021">
        <f>HYPERLINK("http://catalog.hathitrust.org/Record/009523822","HathiTrust Record")</f>
        <v/>
      </c>
      <c r="AU2021">
        <f>HYPERLINK("https://creighton-primo.hosted.exlibrisgroup.com/primo-explore/search?tab=default_tab&amp;search_scope=EVERYTHING&amp;vid=01CRU&amp;lang=en_US&amp;offset=0&amp;query=any,contains,991003415249702656","Catalog Record")</f>
        <v/>
      </c>
      <c r="AV2021">
        <f>HYPERLINK("http://www.worldcat.org/oclc/953542","WorldCat Record")</f>
        <v/>
      </c>
      <c r="AW2021" t="inlineStr">
        <is>
          <t>1704681:eng</t>
        </is>
      </c>
      <c r="AX2021" t="inlineStr">
        <is>
          <t>953542</t>
        </is>
      </c>
      <c r="AY2021" t="inlineStr">
        <is>
          <t>991003415249702656</t>
        </is>
      </c>
      <c r="AZ2021" t="inlineStr">
        <is>
          <t>991003415249702656</t>
        </is>
      </c>
      <c r="BA2021" t="inlineStr">
        <is>
          <t>2261135800002656</t>
        </is>
      </c>
      <c r="BB2021" t="inlineStr">
        <is>
          <t>BOOK</t>
        </is>
      </c>
      <c r="BE2021" t="inlineStr">
        <is>
          <t>32285003153078</t>
        </is>
      </c>
      <c r="BF2021" t="inlineStr">
        <is>
          <t>893805758</t>
        </is>
      </c>
    </row>
    <row r="2022">
      <c r="A2022" t="inlineStr">
        <is>
          <t>No</t>
        </is>
      </c>
      <c r="B2022" t="inlineStr">
        <is>
          <t>CURAL</t>
        </is>
      </c>
      <c r="C2022" t="inlineStr">
        <is>
          <t>SHELVES</t>
        </is>
      </c>
      <c r="D2022" t="inlineStr">
        <is>
          <t>PR473 .H9 1972b</t>
        </is>
      </c>
      <c r="E2022" t="inlineStr">
        <is>
          <t>0                      PR 0473000H  9           1972b</t>
        </is>
      </c>
      <c r="F2022" t="inlineStr">
        <is>
          <t>Edwardian occasions; essays on English writing in the early twentieth century [by] Samuel Hynes.</t>
        </is>
      </c>
      <c r="H2022" t="inlineStr">
        <is>
          <t>No</t>
        </is>
      </c>
      <c r="I2022" t="inlineStr">
        <is>
          <t>1</t>
        </is>
      </c>
      <c r="J2022" t="inlineStr">
        <is>
          <t>No</t>
        </is>
      </c>
      <c r="K2022" t="inlineStr">
        <is>
          <t>No</t>
        </is>
      </c>
      <c r="L2022" t="inlineStr">
        <is>
          <t>0</t>
        </is>
      </c>
      <c r="M2022" t="inlineStr">
        <is>
          <t>Hynes, Samuel, 1924-2019.</t>
        </is>
      </c>
      <c r="N2022" t="inlineStr">
        <is>
          <t>New York, Oxford University Press, 1972.</t>
        </is>
      </c>
      <c r="O2022" t="inlineStr">
        <is>
          <t>1972</t>
        </is>
      </c>
      <c r="Q2022" t="inlineStr">
        <is>
          <t>eng</t>
        </is>
      </c>
      <c r="R2022" t="inlineStr">
        <is>
          <t>nyu</t>
        </is>
      </c>
      <c r="T2022" t="inlineStr">
        <is>
          <t xml:space="preserve">PR </t>
        </is>
      </c>
      <c r="U2022" t="n">
        <v>1</v>
      </c>
      <c r="V2022" t="n">
        <v>1</v>
      </c>
      <c r="W2022" t="inlineStr">
        <is>
          <t>2001-02-20</t>
        </is>
      </c>
      <c r="X2022" t="inlineStr">
        <is>
          <t>2001-02-20</t>
        </is>
      </c>
      <c r="Y2022" t="inlineStr">
        <is>
          <t>1997-08-26</t>
        </is>
      </c>
      <c r="Z2022" t="inlineStr">
        <is>
          <t>1997-08-26</t>
        </is>
      </c>
      <c r="AA2022" t="n">
        <v>783</v>
      </c>
      <c r="AB2022" t="n">
        <v>742</v>
      </c>
      <c r="AC2022" t="n">
        <v>770</v>
      </c>
      <c r="AD2022" t="n">
        <v>8</v>
      </c>
      <c r="AE2022" t="n">
        <v>8</v>
      </c>
      <c r="AF2022" t="n">
        <v>33</v>
      </c>
      <c r="AG2022" t="n">
        <v>34</v>
      </c>
      <c r="AH2022" t="n">
        <v>9</v>
      </c>
      <c r="AI2022" t="n">
        <v>9</v>
      </c>
      <c r="AJ2022" t="n">
        <v>9</v>
      </c>
      <c r="AK2022" t="n">
        <v>9</v>
      </c>
      <c r="AL2022" t="n">
        <v>14</v>
      </c>
      <c r="AM2022" t="n">
        <v>15</v>
      </c>
      <c r="AN2022" t="n">
        <v>7</v>
      </c>
      <c r="AO2022" t="n">
        <v>7</v>
      </c>
      <c r="AP2022" t="n">
        <v>0</v>
      </c>
      <c r="AQ2022" t="n">
        <v>0</v>
      </c>
      <c r="AR2022" t="inlineStr">
        <is>
          <t>No</t>
        </is>
      </c>
      <c r="AS2022" t="inlineStr">
        <is>
          <t>Yes</t>
        </is>
      </c>
      <c r="AT2022">
        <f>HYPERLINK("http://catalog.hathitrust.org/Record/001016421","HathiTrust Record")</f>
        <v/>
      </c>
      <c r="AU2022">
        <f>HYPERLINK("https://creighton-primo.hosted.exlibrisgroup.com/primo-explore/search?tab=default_tab&amp;search_scope=EVERYTHING&amp;vid=01CRU&amp;lang=en_US&amp;offset=0&amp;query=any,contains,991003004959702656","Catalog Record")</f>
        <v/>
      </c>
      <c r="AV2022">
        <f>HYPERLINK("http://www.worldcat.org/oclc/572252","WorldCat Record")</f>
        <v/>
      </c>
      <c r="AW2022" t="inlineStr">
        <is>
          <t>1640408:eng</t>
        </is>
      </c>
      <c r="AX2022" t="inlineStr">
        <is>
          <t>572252</t>
        </is>
      </c>
      <c r="AY2022" t="inlineStr">
        <is>
          <t>991003004959702656</t>
        </is>
      </c>
      <c r="AZ2022" t="inlineStr">
        <is>
          <t>991003004959702656</t>
        </is>
      </c>
      <c r="BA2022" t="inlineStr">
        <is>
          <t>2272369870002656</t>
        </is>
      </c>
      <c r="BB2022" t="inlineStr">
        <is>
          <t>BOOK</t>
        </is>
      </c>
      <c r="BD2022" t="inlineStr">
        <is>
          <t>9780195197099</t>
        </is>
      </c>
      <c r="BE2022" t="inlineStr">
        <is>
          <t>32285003153086</t>
        </is>
      </c>
      <c r="BF2022" t="inlineStr">
        <is>
          <t>893717207</t>
        </is>
      </c>
    </row>
    <row r="2023">
      <c r="A2023" t="inlineStr">
        <is>
          <t>No</t>
        </is>
      </c>
      <c r="B2023" t="inlineStr">
        <is>
          <t>CURAL</t>
        </is>
      </c>
      <c r="C2023" t="inlineStr">
        <is>
          <t>SHELVES</t>
        </is>
      </c>
      <c r="D2023" t="inlineStr">
        <is>
          <t>PR473 .K38 1987</t>
        </is>
      </c>
      <c r="E2023" t="inlineStr">
        <is>
          <t>0                      PR 0473000K  38          1987</t>
        </is>
      </c>
      <c r="F2023" t="inlineStr">
        <is>
          <t>The mechanic muse / Hugh Kenner.</t>
        </is>
      </c>
      <c r="H2023" t="inlineStr">
        <is>
          <t>No</t>
        </is>
      </c>
      <c r="I2023" t="inlineStr">
        <is>
          <t>1</t>
        </is>
      </c>
      <c r="J2023" t="inlineStr">
        <is>
          <t>No</t>
        </is>
      </c>
      <c r="K2023" t="inlineStr">
        <is>
          <t>No</t>
        </is>
      </c>
      <c r="L2023" t="inlineStr">
        <is>
          <t>0</t>
        </is>
      </c>
      <c r="M2023" t="inlineStr">
        <is>
          <t>Kenner, Hugh.</t>
        </is>
      </c>
      <c r="N2023" t="inlineStr">
        <is>
          <t>New York : Oxford University Press, 1987.</t>
        </is>
      </c>
      <c r="O2023" t="inlineStr">
        <is>
          <t>1987</t>
        </is>
      </c>
      <c r="Q2023" t="inlineStr">
        <is>
          <t>eng</t>
        </is>
      </c>
      <c r="R2023" t="inlineStr">
        <is>
          <t>nyu</t>
        </is>
      </c>
      <c r="T2023" t="inlineStr">
        <is>
          <t xml:space="preserve">PR </t>
        </is>
      </c>
      <c r="U2023" t="n">
        <v>2</v>
      </c>
      <c r="V2023" t="n">
        <v>2</v>
      </c>
      <c r="W2023" t="inlineStr">
        <is>
          <t>2006-09-14</t>
        </is>
      </c>
      <c r="X2023" t="inlineStr">
        <is>
          <t>2006-09-14</t>
        </is>
      </c>
      <c r="Y2023" t="inlineStr">
        <is>
          <t>1991-08-30</t>
        </is>
      </c>
      <c r="Z2023" t="inlineStr">
        <is>
          <t>1991-08-30</t>
        </is>
      </c>
      <c r="AA2023" t="n">
        <v>736</v>
      </c>
      <c r="AB2023" t="n">
        <v>618</v>
      </c>
      <c r="AC2023" t="n">
        <v>628</v>
      </c>
      <c r="AD2023" t="n">
        <v>3</v>
      </c>
      <c r="AE2023" t="n">
        <v>3</v>
      </c>
      <c r="AF2023" t="n">
        <v>31</v>
      </c>
      <c r="AG2023" t="n">
        <v>31</v>
      </c>
      <c r="AH2023" t="n">
        <v>14</v>
      </c>
      <c r="AI2023" t="n">
        <v>14</v>
      </c>
      <c r="AJ2023" t="n">
        <v>8</v>
      </c>
      <c r="AK2023" t="n">
        <v>8</v>
      </c>
      <c r="AL2023" t="n">
        <v>18</v>
      </c>
      <c r="AM2023" t="n">
        <v>18</v>
      </c>
      <c r="AN2023" t="n">
        <v>2</v>
      </c>
      <c r="AO2023" t="n">
        <v>2</v>
      </c>
      <c r="AP2023" t="n">
        <v>0</v>
      </c>
      <c r="AQ2023" t="n">
        <v>0</v>
      </c>
      <c r="AR2023" t="inlineStr">
        <is>
          <t>No</t>
        </is>
      </c>
      <c r="AS2023" t="inlineStr">
        <is>
          <t>Yes</t>
        </is>
      </c>
      <c r="AT2023">
        <f>HYPERLINK("http://catalog.hathitrust.org/Record/000594153","HathiTrust Record")</f>
        <v/>
      </c>
      <c r="AU2023">
        <f>HYPERLINK("https://creighton-primo.hosted.exlibrisgroup.com/primo-explore/search?tab=default_tab&amp;search_scope=EVERYTHING&amp;vid=01CRU&amp;lang=en_US&amp;offset=0&amp;query=any,contains,991000842829702656","Catalog Record")</f>
        <v/>
      </c>
      <c r="AV2023">
        <f>HYPERLINK("http://www.worldcat.org/oclc/13526295","WorldCat Record")</f>
        <v/>
      </c>
      <c r="AW2023" t="inlineStr">
        <is>
          <t>7381449:eng</t>
        </is>
      </c>
      <c r="AX2023" t="inlineStr">
        <is>
          <t>13526295</t>
        </is>
      </c>
      <c r="AY2023" t="inlineStr">
        <is>
          <t>991000842829702656</t>
        </is>
      </c>
      <c r="AZ2023" t="inlineStr">
        <is>
          <t>991000842829702656</t>
        </is>
      </c>
      <c r="BA2023" t="inlineStr">
        <is>
          <t>2260967720002656</t>
        </is>
      </c>
      <c r="BB2023" t="inlineStr">
        <is>
          <t>BOOK</t>
        </is>
      </c>
      <c r="BD2023" t="inlineStr">
        <is>
          <t>9780195041422</t>
        </is>
      </c>
      <c r="BE2023" t="inlineStr">
        <is>
          <t>32285000733443</t>
        </is>
      </c>
      <c r="BF2023" t="inlineStr">
        <is>
          <t>893690087</t>
        </is>
      </c>
    </row>
    <row r="2024">
      <c r="A2024" t="inlineStr">
        <is>
          <t>No</t>
        </is>
      </c>
      <c r="B2024" t="inlineStr">
        <is>
          <t>CURAL</t>
        </is>
      </c>
      <c r="C2024" t="inlineStr">
        <is>
          <t>SHELVES</t>
        </is>
      </c>
      <c r="D2024" t="inlineStr">
        <is>
          <t>PR4732 .E86 1984</t>
        </is>
      </c>
      <c r="E2024" t="inlineStr">
        <is>
          <t>0                      PR 4732000E  86          1984</t>
        </is>
      </c>
      <c r="F2024" t="inlineStr">
        <is>
          <t>Rider Haggard / by Norman Etherington.</t>
        </is>
      </c>
      <c r="H2024" t="inlineStr">
        <is>
          <t>No</t>
        </is>
      </c>
      <c r="I2024" t="inlineStr">
        <is>
          <t>1</t>
        </is>
      </c>
      <c r="J2024" t="inlineStr">
        <is>
          <t>No</t>
        </is>
      </c>
      <c r="K2024" t="inlineStr">
        <is>
          <t>No</t>
        </is>
      </c>
      <c r="L2024" t="inlineStr">
        <is>
          <t>0</t>
        </is>
      </c>
      <c r="M2024" t="inlineStr">
        <is>
          <t>Etherington, Norman.</t>
        </is>
      </c>
      <c r="N2024" t="inlineStr">
        <is>
          <t>Boston : Twayne Publishers, c1984.</t>
        </is>
      </c>
      <c r="O2024" t="inlineStr">
        <is>
          <t>1984</t>
        </is>
      </c>
      <c r="Q2024" t="inlineStr">
        <is>
          <t>eng</t>
        </is>
      </c>
      <c r="R2024" t="inlineStr">
        <is>
          <t>mau</t>
        </is>
      </c>
      <c r="S2024" t="inlineStr">
        <is>
          <t>Twayne's English authors series ; TEAS 383</t>
        </is>
      </c>
      <c r="T2024" t="inlineStr">
        <is>
          <t xml:space="preserve">PR </t>
        </is>
      </c>
      <c r="U2024" t="n">
        <v>1</v>
      </c>
      <c r="V2024" t="n">
        <v>1</v>
      </c>
      <c r="W2024" t="inlineStr">
        <is>
          <t>2010-11-02</t>
        </is>
      </c>
      <c r="X2024" t="inlineStr">
        <is>
          <t>2010-11-02</t>
        </is>
      </c>
      <c r="Y2024" t="inlineStr">
        <is>
          <t>1991-11-07</t>
        </is>
      </c>
      <c r="Z2024" t="inlineStr">
        <is>
          <t>1991-11-07</t>
        </is>
      </c>
      <c r="AA2024" t="n">
        <v>526</v>
      </c>
      <c r="AB2024" t="n">
        <v>450</v>
      </c>
      <c r="AC2024" t="n">
        <v>457</v>
      </c>
      <c r="AD2024" t="n">
        <v>5</v>
      </c>
      <c r="AE2024" t="n">
        <v>5</v>
      </c>
      <c r="AF2024" t="n">
        <v>20</v>
      </c>
      <c r="AG2024" t="n">
        <v>20</v>
      </c>
      <c r="AH2024" t="n">
        <v>6</v>
      </c>
      <c r="AI2024" t="n">
        <v>6</v>
      </c>
      <c r="AJ2024" t="n">
        <v>4</v>
      </c>
      <c r="AK2024" t="n">
        <v>4</v>
      </c>
      <c r="AL2024" t="n">
        <v>13</v>
      </c>
      <c r="AM2024" t="n">
        <v>13</v>
      </c>
      <c r="AN2024" t="n">
        <v>4</v>
      </c>
      <c r="AO2024" t="n">
        <v>4</v>
      </c>
      <c r="AP2024" t="n">
        <v>0</v>
      </c>
      <c r="AQ2024" t="n">
        <v>0</v>
      </c>
      <c r="AR2024" t="inlineStr">
        <is>
          <t>No</t>
        </is>
      </c>
      <c r="AS2024" t="inlineStr">
        <is>
          <t>Yes</t>
        </is>
      </c>
      <c r="AT2024">
        <f>HYPERLINK("http://catalog.hathitrust.org/Record/000448347","HathiTrust Record")</f>
        <v/>
      </c>
      <c r="AU2024">
        <f>HYPERLINK("https://creighton-primo.hosted.exlibrisgroup.com/primo-explore/search?tab=default_tab&amp;search_scope=EVERYTHING&amp;vid=01CRU&amp;lang=en_US&amp;offset=0&amp;query=any,contains,991000337309702656","Catalog Record")</f>
        <v/>
      </c>
      <c r="AV2024">
        <f>HYPERLINK("http://www.worldcat.org/oclc/10230657","WorldCat Record")</f>
        <v/>
      </c>
      <c r="AW2024" t="inlineStr">
        <is>
          <t>3365416:eng</t>
        </is>
      </c>
      <c r="AX2024" t="inlineStr">
        <is>
          <t>10230657</t>
        </is>
      </c>
      <c r="AY2024" t="inlineStr">
        <is>
          <t>991000337309702656</t>
        </is>
      </c>
      <c r="AZ2024" t="inlineStr">
        <is>
          <t>991000337309702656</t>
        </is>
      </c>
      <c r="BA2024" t="inlineStr">
        <is>
          <t>2256084090002656</t>
        </is>
      </c>
      <c r="BB2024" t="inlineStr">
        <is>
          <t>BOOK</t>
        </is>
      </c>
      <c r="BD2024" t="inlineStr">
        <is>
          <t>9780805768695</t>
        </is>
      </c>
      <c r="BE2024" t="inlineStr">
        <is>
          <t>32285000799956</t>
        </is>
      </c>
      <c r="BF2024" t="inlineStr">
        <is>
          <t>893865270</t>
        </is>
      </c>
    </row>
    <row r="2025">
      <c r="A2025" t="inlineStr">
        <is>
          <t>No</t>
        </is>
      </c>
      <c r="B2025" t="inlineStr">
        <is>
          <t>CURAL</t>
        </is>
      </c>
      <c r="C2025" t="inlineStr">
        <is>
          <t>SHELVES</t>
        </is>
      </c>
      <c r="D2025" t="inlineStr">
        <is>
          <t>PR4739.H77 Z5 1972</t>
        </is>
      </c>
      <c r="E2025" t="inlineStr">
        <is>
          <t>0                      PR 4739000H  77                 Z  5           1972</t>
        </is>
      </c>
      <c r="F2025" t="inlineStr">
        <is>
          <t>Some recollections by Emma Hardy, with notes by Evelyn Hardy. Together with some relevant poems by Thomas Hardy, with notes by Robert Gittings. Jointly edited by Evelyn Hardy and Robert Gittings.</t>
        </is>
      </c>
      <c r="H2025" t="inlineStr">
        <is>
          <t>No</t>
        </is>
      </c>
      <c r="I2025" t="inlineStr">
        <is>
          <t>1</t>
        </is>
      </c>
      <c r="J2025" t="inlineStr">
        <is>
          <t>No</t>
        </is>
      </c>
      <c r="K2025" t="inlineStr">
        <is>
          <t>No</t>
        </is>
      </c>
      <c r="L2025" t="inlineStr">
        <is>
          <t>0</t>
        </is>
      </c>
      <c r="M2025" t="inlineStr">
        <is>
          <t>Hardy, Emma Lavinia Gifford, 1840-1912.</t>
        </is>
      </c>
      <c r="N2025" t="inlineStr">
        <is>
          <t>Freeport, N.Y., Books for Libraries Press [1972, c1961]</t>
        </is>
      </c>
      <c r="O2025" t="inlineStr">
        <is>
          <t>1972</t>
        </is>
      </c>
      <c r="Q2025" t="inlineStr">
        <is>
          <t>eng</t>
        </is>
      </c>
      <c r="R2025" t="inlineStr">
        <is>
          <t>nyu</t>
        </is>
      </c>
      <c r="T2025" t="inlineStr">
        <is>
          <t xml:space="preserve">PR </t>
        </is>
      </c>
      <c r="U2025" t="n">
        <v>1</v>
      </c>
      <c r="V2025" t="n">
        <v>1</v>
      </c>
      <c r="W2025" t="inlineStr">
        <is>
          <t>1992-06-02</t>
        </is>
      </c>
      <c r="X2025" t="inlineStr">
        <is>
          <t>1992-06-02</t>
        </is>
      </c>
      <c r="Y2025" t="inlineStr">
        <is>
          <t>1992-05-21</t>
        </is>
      </c>
      <c r="Z2025" t="inlineStr">
        <is>
          <t>1992-05-21</t>
        </is>
      </c>
      <c r="AA2025" t="n">
        <v>64</v>
      </c>
      <c r="AB2025" t="n">
        <v>58</v>
      </c>
      <c r="AC2025" t="n">
        <v>439</v>
      </c>
      <c r="AD2025" t="n">
        <v>2</v>
      </c>
      <c r="AE2025" t="n">
        <v>3</v>
      </c>
      <c r="AF2025" t="n">
        <v>1</v>
      </c>
      <c r="AG2025" t="n">
        <v>23</v>
      </c>
      <c r="AH2025" t="n">
        <v>0</v>
      </c>
      <c r="AI2025" t="n">
        <v>7</v>
      </c>
      <c r="AJ2025" t="n">
        <v>0</v>
      </c>
      <c r="AK2025" t="n">
        <v>6</v>
      </c>
      <c r="AL2025" t="n">
        <v>0</v>
      </c>
      <c r="AM2025" t="n">
        <v>13</v>
      </c>
      <c r="AN2025" t="n">
        <v>1</v>
      </c>
      <c r="AO2025" t="n">
        <v>2</v>
      </c>
      <c r="AP2025" t="n">
        <v>0</v>
      </c>
      <c r="AQ2025" t="n">
        <v>0</v>
      </c>
      <c r="AR2025" t="inlineStr">
        <is>
          <t>No</t>
        </is>
      </c>
      <c r="AS2025" t="inlineStr">
        <is>
          <t>No</t>
        </is>
      </c>
      <c r="AU2025">
        <f>HYPERLINK("https://creighton-primo.hosted.exlibrisgroup.com/primo-explore/search?tab=default_tab&amp;search_scope=EVERYTHING&amp;vid=01CRU&amp;lang=en_US&amp;offset=0&amp;query=any,contains,991002455719702656","Catalog Record")</f>
        <v/>
      </c>
      <c r="AV2025">
        <f>HYPERLINK("http://www.worldcat.org/oclc/354240","WorldCat Record")</f>
        <v/>
      </c>
      <c r="AW2025" t="inlineStr">
        <is>
          <t>5612959537:eng</t>
        </is>
      </c>
      <c r="AX2025" t="inlineStr">
        <is>
          <t>354240</t>
        </is>
      </c>
      <c r="AY2025" t="inlineStr">
        <is>
          <t>991002455719702656</t>
        </is>
      </c>
      <c r="AZ2025" t="inlineStr">
        <is>
          <t>991002455719702656</t>
        </is>
      </c>
      <c r="BA2025" t="inlineStr">
        <is>
          <t>2266309970002656</t>
        </is>
      </c>
      <c r="BB2025" t="inlineStr">
        <is>
          <t>BOOK</t>
        </is>
      </c>
      <c r="BD2025" t="inlineStr">
        <is>
          <t>9780836969139</t>
        </is>
      </c>
      <c r="BE2025" t="inlineStr">
        <is>
          <t>32285001098234</t>
        </is>
      </c>
      <c r="BF2025" t="inlineStr">
        <is>
          <t>893616136</t>
        </is>
      </c>
    </row>
    <row r="2026">
      <c r="A2026" t="inlineStr">
        <is>
          <t>No</t>
        </is>
      </c>
      <c r="B2026" t="inlineStr">
        <is>
          <t>CURAL</t>
        </is>
      </c>
      <c r="C2026" t="inlineStr">
        <is>
          <t>SHELVES</t>
        </is>
      </c>
      <c r="D2026" t="inlineStr">
        <is>
          <t>PR4739.H77 Z5 1979</t>
        </is>
      </c>
      <c r="E2026" t="inlineStr">
        <is>
          <t>0                      PR 4739000H  77                 Z  5           1979</t>
        </is>
      </c>
      <c r="F2026" t="inlineStr">
        <is>
          <t>Some recollections / by Emma Hardy ; with an introd. by Robert Gittings ; together with Some relevant poems by Thomas Hardy ; edited by Evelyn Hardy and Robert Gittings.</t>
        </is>
      </c>
      <c r="H2026" t="inlineStr">
        <is>
          <t>No</t>
        </is>
      </c>
      <c r="I2026" t="inlineStr">
        <is>
          <t>1</t>
        </is>
      </c>
      <c r="J2026" t="inlineStr">
        <is>
          <t>No</t>
        </is>
      </c>
      <c r="K2026" t="inlineStr">
        <is>
          <t>No</t>
        </is>
      </c>
      <c r="L2026" t="inlineStr">
        <is>
          <t>0</t>
        </is>
      </c>
      <c r="M2026" t="inlineStr">
        <is>
          <t>Hardy, Emma Lavinia Gifford, 1840-1912.</t>
        </is>
      </c>
      <c r="N2026" t="inlineStr">
        <is>
          <t>Oxford ; New York : Oxford University Press, 1979.</t>
        </is>
      </c>
      <c r="O2026" t="inlineStr">
        <is>
          <t>1979</t>
        </is>
      </c>
      <c r="P2026" t="inlineStr">
        <is>
          <t>Rev. ed.</t>
        </is>
      </c>
      <c r="Q2026" t="inlineStr">
        <is>
          <t>eng</t>
        </is>
      </c>
      <c r="R2026" t="inlineStr">
        <is>
          <t>enk</t>
        </is>
      </c>
      <c r="T2026" t="inlineStr">
        <is>
          <t xml:space="preserve">PR </t>
        </is>
      </c>
      <c r="U2026" t="n">
        <v>1</v>
      </c>
      <c r="V2026" t="n">
        <v>1</v>
      </c>
      <c r="W2026" t="inlineStr">
        <is>
          <t>1992-05-21</t>
        </is>
      </c>
      <c r="X2026" t="inlineStr">
        <is>
          <t>1992-05-21</t>
        </is>
      </c>
      <c r="Y2026" t="inlineStr">
        <is>
          <t>1991-11-07</t>
        </is>
      </c>
      <c r="Z2026" t="inlineStr">
        <is>
          <t>1991-11-07</t>
        </is>
      </c>
      <c r="AA2026" t="n">
        <v>302</v>
      </c>
      <c r="AB2026" t="n">
        <v>238</v>
      </c>
      <c r="AC2026" t="n">
        <v>253</v>
      </c>
      <c r="AD2026" t="n">
        <v>4</v>
      </c>
      <c r="AE2026" t="n">
        <v>4</v>
      </c>
      <c r="AF2026" t="n">
        <v>8</v>
      </c>
      <c r="AG2026" t="n">
        <v>8</v>
      </c>
      <c r="AH2026" t="n">
        <v>0</v>
      </c>
      <c r="AI2026" t="n">
        <v>0</v>
      </c>
      <c r="AJ2026" t="n">
        <v>3</v>
      </c>
      <c r="AK2026" t="n">
        <v>3</v>
      </c>
      <c r="AL2026" t="n">
        <v>3</v>
      </c>
      <c r="AM2026" t="n">
        <v>3</v>
      </c>
      <c r="AN2026" t="n">
        <v>3</v>
      </c>
      <c r="AO2026" t="n">
        <v>3</v>
      </c>
      <c r="AP2026" t="n">
        <v>0</v>
      </c>
      <c r="AQ2026" t="n">
        <v>0</v>
      </c>
      <c r="AR2026" t="inlineStr">
        <is>
          <t>No</t>
        </is>
      </c>
      <c r="AS2026" t="inlineStr">
        <is>
          <t>Yes</t>
        </is>
      </c>
      <c r="AT2026">
        <f>HYPERLINK("http://catalog.hathitrust.org/Record/000754553","HathiTrust Record")</f>
        <v/>
      </c>
      <c r="AU2026">
        <f>HYPERLINK("https://creighton-primo.hosted.exlibrisgroup.com/primo-explore/search?tab=default_tab&amp;search_scope=EVERYTHING&amp;vid=01CRU&amp;lang=en_US&amp;offset=0&amp;query=any,contains,991004789129702656","Catalog Record")</f>
        <v/>
      </c>
      <c r="AV2026">
        <f>HYPERLINK("http://www.worldcat.org/oclc/5170306","WorldCat Record")</f>
        <v/>
      </c>
      <c r="AW2026" t="inlineStr">
        <is>
          <t>16389222:eng</t>
        </is>
      </c>
      <c r="AX2026" t="inlineStr">
        <is>
          <t>5170306</t>
        </is>
      </c>
      <c r="AY2026" t="inlineStr">
        <is>
          <t>991004789129702656</t>
        </is>
      </c>
      <c r="AZ2026" t="inlineStr">
        <is>
          <t>991004789129702656</t>
        </is>
      </c>
      <c r="BA2026" t="inlineStr">
        <is>
          <t>2256842590002656</t>
        </is>
      </c>
      <c r="BB2026" t="inlineStr">
        <is>
          <t>BOOK</t>
        </is>
      </c>
      <c r="BD2026" t="inlineStr">
        <is>
          <t>9780192117649</t>
        </is>
      </c>
      <c r="BE2026" t="inlineStr">
        <is>
          <t>32285000799980</t>
        </is>
      </c>
      <c r="BF2026" t="inlineStr">
        <is>
          <t>893619092</t>
        </is>
      </c>
    </row>
    <row r="2027">
      <c r="A2027" t="inlineStr">
        <is>
          <t>No</t>
        </is>
      </c>
      <c r="B2027" t="inlineStr">
        <is>
          <t>CURAL</t>
        </is>
      </c>
      <c r="C2027" t="inlineStr">
        <is>
          <t>SHELVES</t>
        </is>
      </c>
      <c r="D2027" t="inlineStr">
        <is>
          <t>PR474 .E2</t>
        </is>
      </c>
      <c r="E2027" t="inlineStr">
        <is>
          <t>0                      PR 0474000E  2</t>
        </is>
      </c>
      <c r="F2027" t="inlineStr">
        <is>
          <t>Exiles and émigrés : studies in modern literature / by Terry Eagleton.</t>
        </is>
      </c>
      <c r="H2027" t="inlineStr">
        <is>
          <t>No</t>
        </is>
      </c>
      <c r="I2027" t="inlineStr">
        <is>
          <t>1</t>
        </is>
      </c>
      <c r="J2027" t="inlineStr">
        <is>
          <t>No</t>
        </is>
      </c>
      <c r="K2027" t="inlineStr">
        <is>
          <t>No</t>
        </is>
      </c>
      <c r="L2027" t="inlineStr">
        <is>
          <t>0</t>
        </is>
      </c>
      <c r="M2027" t="inlineStr">
        <is>
          <t>Eagleton, Terry, 1943-</t>
        </is>
      </c>
      <c r="N2027" t="inlineStr">
        <is>
          <t>New York : Schocken Books, [1970]</t>
        </is>
      </c>
      <c r="O2027" t="inlineStr">
        <is>
          <t>1970</t>
        </is>
      </c>
      <c r="Q2027" t="inlineStr">
        <is>
          <t>eng</t>
        </is>
      </c>
      <c r="R2027" t="inlineStr">
        <is>
          <t>nyu</t>
        </is>
      </c>
      <c r="T2027" t="inlineStr">
        <is>
          <t xml:space="preserve">PR </t>
        </is>
      </c>
      <c r="U2027" t="n">
        <v>2</v>
      </c>
      <c r="V2027" t="n">
        <v>2</v>
      </c>
      <c r="W2027" t="inlineStr">
        <is>
          <t>1999-11-20</t>
        </is>
      </c>
      <c r="X2027" t="inlineStr">
        <is>
          <t>1999-11-20</t>
        </is>
      </c>
      <c r="Y2027" t="inlineStr">
        <is>
          <t>1991-09-03</t>
        </is>
      </c>
      <c r="Z2027" t="inlineStr">
        <is>
          <t>1991-09-03</t>
        </is>
      </c>
      <c r="AA2027" t="n">
        <v>758</v>
      </c>
      <c r="AB2027" t="n">
        <v>717</v>
      </c>
      <c r="AC2027" t="n">
        <v>767</v>
      </c>
      <c r="AD2027" t="n">
        <v>10</v>
      </c>
      <c r="AE2027" t="n">
        <v>10</v>
      </c>
      <c r="AF2027" t="n">
        <v>32</v>
      </c>
      <c r="AG2027" t="n">
        <v>36</v>
      </c>
      <c r="AH2027" t="n">
        <v>10</v>
      </c>
      <c r="AI2027" t="n">
        <v>11</v>
      </c>
      <c r="AJ2027" t="n">
        <v>4</v>
      </c>
      <c r="AK2027" t="n">
        <v>6</v>
      </c>
      <c r="AL2027" t="n">
        <v>13</v>
      </c>
      <c r="AM2027" t="n">
        <v>15</v>
      </c>
      <c r="AN2027" t="n">
        <v>9</v>
      </c>
      <c r="AO2027" t="n">
        <v>9</v>
      </c>
      <c r="AP2027" t="n">
        <v>0</v>
      </c>
      <c r="AQ2027" t="n">
        <v>0</v>
      </c>
      <c r="AR2027" t="inlineStr">
        <is>
          <t>No</t>
        </is>
      </c>
      <c r="AS2027" t="inlineStr">
        <is>
          <t>No</t>
        </is>
      </c>
      <c r="AU2027">
        <f>HYPERLINK("https://creighton-primo.hosted.exlibrisgroup.com/primo-explore/search?tab=default_tab&amp;search_scope=EVERYTHING&amp;vid=01CRU&amp;lang=en_US&amp;offset=0&amp;query=any,contains,991000613859702656","Catalog Record")</f>
        <v/>
      </c>
      <c r="AV2027">
        <f>HYPERLINK("http://www.worldcat.org/oclc/101064","WorldCat Record")</f>
        <v/>
      </c>
      <c r="AW2027" t="inlineStr">
        <is>
          <t>1170155:eng</t>
        </is>
      </c>
      <c r="AX2027" t="inlineStr">
        <is>
          <t>101064</t>
        </is>
      </c>
      <c r="AY2027" t="inlineStr">
        <is>
          <t>991000613859702656</t>
        </is>
      </c>
      <c r="AZ2027" t="inlineStr">
        <is>
          <t>991000613859702656</t>
        </is>
      </c>
      <c r="BA2027" t="inlineStr">
        <is>
          <t>2261413310002656</t>
        </is>
      </c>
      <c r="BB2027" t="inlineStr">
        <is>
          <t>BOOK</t>
        </is>
      </c>
      <c r="BD2027" t="inlineStr">
        <is>
          <t>9780805233780</t>
        </is>
      </c>
      <c r="BE2027" t="inlineStr">
        <is>
          <t>32285000733468</t>
        </is>
      </c>
      <c r="BF2027" t="inlineStr">
        <is>
          <t>893249507</t>
        </is>
      </c>
    </row>
    <row r="2028">
      <c r="A2028" t="inlineStr">
        <is>
          <t>No</t>
        </is>
      </c>
      <c r="B2028" t="inlineStr">
        <is>
          <t>CURAL</t>
        </is>
      </c>
      <c r="C2028" t="inlineStr">
        <is>
          <t>SHELVES</t>
        </is>
      </c>
      <c r="D2028" t="inlineStr">
        <is>
          <t>PR4746 .T48 1987</t>
        </is>
      </c>
      <c r="E2028" t="inlineStr">
        <is>
          <t>0                      PR 4746000T  48          1987</t>
        </is>
      </c>
      <c r="F2028" t="inlineStr">
        <is>
          <t>Thomas Hardy's Jude the obscure / edited and with an introduction by Harold Bloom.</t>
        </is>
      </c>
      <c r="H2028" t="inlineStr">
        <is>
          <t>No</t>
        </is>
      </c>
      <c r="I2028" t="inlineStr">
        <is>
          <t>1</t>
        </is>
      </c>
      <c r="J2028" t="inlineStr">
        <is>
          <t>No</t>
        </is>
      </c>
      <c r="K2028" t="inlineStr">
        <is>
          <t>No</t>
        </is>
      </c>
      <c r="L2028" t="inlineStr">
        <is>
          <t>0</t>
        </is>
      </c>
      <c r="N2028" t="inlineStr">
        <is>
          <t>New York : Chelsea House Publishers, 1987.</t>
        </is>
      </c>
      <c r="O2028" t="inlineStr">
        <is>
          <t>1987</t>
        </is>
      </c>
      <c r="Q2028" t="inlineStr">
        <is>
          <t>eng</t>
        </is>
      </c>
      <c r="R2028" t="inlineStr">
        <is>
          <t>nyu</t>
        </is>
      </c>
      <c r="S2028" t="inlineStr">
        <is>
          <t>Modern critical interpretations</t>
        </is>
      </c>
      <c r="T2028" t="inlineStr">
        <is>
          <t xml:space="preserve">PR </t>
        </is>
      </c>
      <c r="U2028" t="n">
        <v>1</v>
      </c>
      <c r="V2028" t="n">
        <v>1</v>
      </c>
      <c r="W2028" t="inlineStr">
        <is>
          <t>1992-04-09</t>
        </is>
      </c>
      <c r="X2028" t="inlineStr">
        <is>
          <t>1992-04-09</t>
        </is>
      </c>
      <c r="Y2028" t="inlineStr">
        <is>
          <t>1990-03-16</t>
        </is>
      </c>
      <c r="Z2028" t="inlineStr">
        <is>
          <t>1990-03-16</t>
        </is>
      </c>
      <c r="AA2028" t="n">
        <v>786</v>
      </c>
      <c r="AB2028" t="n">
        <v>709</v>
      </c>
      <c r="AC2028" t="n">
        <v>718</v>
      </c>
      <c r="AD2028" t="n">
        <v>4</v>
      </c>
      <c r="AE2028" t="n">
        <v>4</v>
      </c>
      <c r="AF2028" t="n">
        <v>31</v>
      </c>
      <c r="AG2028" t="n">
        <v>31</v>
      </c>
      <c r="AH2028" t="n">
        <v>17</v>
      </c>
      <c r="AI2028" t="n">
        <v>17</v>
      </c>
      <c r="AJ2028" t="n">
        <v>5</v>
      </c>
      <c r="AK2028" t="n">
        <v>5</v>
      </c>
      <c r="AL2028" t="n">
        <v>14</v>
      </c>
      <c r="AM2028" t="n">
        <v>14</v>
      </c>
      <c r="AN2028" t="n">
        <v>3</v>
      </c>
      <c r="AO2028" t="n">
        <v>3</v>
      </c>
      <c r="AP2028" t="n">
        <v>0</v>
      </c>
      <c r="AQ2028" t="n">
        <v>0</v>
      </c>
      <c r="AR2028" t="inlineStr">
        <is>
          <t>No</t>
        </is>
      </c>
      <c r="AS2028" t="inlineStr">
        <is>
          <t>Yes</t>
        </is>
      </c>
      <c r="AT2028">
        <f>HYPERLINK("http://catalog.hathitrust.org/Record/000827299","HathiTrust Record")</f>
        <v/>
      </c>
      <c r="AU2028">
        <f>HYPERLINK("https://creighton-primo.hosted.exlibrisgroup.com/primo-explore/search?tab=default_tab&amp;search_scope=EVERYTHING&amp;vid=01CRU&amp;lang=en_US&amp;offset=0&amp;query=any,contains,991000902879702656","Catalog Record")</f>
        <v/>
      </c>
      <c r="AV2028">
        <f>HYPERLINK("http://www.worldcat.org/oclc/14068965","WorldCat Record")</f>
        <v/>
      </c>
      <c r="AW2028" t="inlineStr">
        <is>
          <t>5090514698:eng</t>
        </is>
      </c>
      <c r="AX2028" t="inlineStr">
        <is>
          <t>14068965</t>
        </is>
      </c>
      <c r="AY2028" t="inlineStr">
        <is>
          <t>991000902879702656</t>
        </is>
      </c>
      <c r="AZ2028" t="inlineStr">
        <is>
          <t>991000902879702656</t>
        </is>
      </c>
      <c r="BA2028" t="inlineStr">
        <is>
          <t>2257041160002656</t>
        </is>
      </c>
      <c r="BB2028" t="inlineStr">
        <is>
          <t>BOOK</t>
        </is>
      </c>
      <c r="BD2028" t="inlineStr">
        <is>
          <t>9780877547419</t>
        </is>
      </c>
      <c r="BE2028" t="inlineStr">
        <is>
          <t>32285000081777</t>
        </is>
      </c>
      <c r="BF2028" t="inlineStr">
        <is>
          <t>893589843</t>
        </is>
      </c>
    </row>
    <row r="2029">
      <c r="A2029" t="inlineStr">
        <is>
          <t>No</t>
        </is>
      </c>
      <c r="B2029" t="inlineStr">
        <is>
          <t>CURAL</t>
        </is>
      </c>
      <c r="C2029" t="inlineStr">
        <is>
          <t>SHELVES</t>
        </is>
      </c>
      <c r="D2029" t="inlineStr">
        <is>
          <t>PR4748 .L3</t>
        </is>
      </c>
      <c r="E2029" t="inlineStr">
        <is>
          <t>0                      PR 4748000L  3</t>
        </is>
      </c>
      <c r="F2029" t="inlineStr">
        <is>
          <t>Twentieth century interpretations of Tess of the d'Urbervilles : a collection of critical essays / edited by Albert J. LaValley.</t>
        </is>
      </c>
      <c r="H2029" t="inlineStr">
        <is>
          <t>No</t>
        </is>
      </c>
      <c r="I2029" t="inlineStr">
        <is>
          <t>1</t>
        </is>
      </c>
      <c r="J2029" t="inlineStr">
        <is>
          <t>No</t>
        </is>
      </c>
      <c r="K2029" t="inlineStr">
        <is>
          <t>No</t>
        </is>
      </c>
      <c r="L2029" t="inlineStr">
        <is>
          <t>0</t>
        </is>
      </c>
      <c r="M2029" t="inlineStr">
        <is>
          <t>LaValley, Albert J., compiler.</t>
        </is>
      </c>
      <c r="N2029" t="inlineStr">
        <is>
          <t>Englewood Cliffs, N.J. : Prentice-Hall, [1969]</t>
        </is>
      </c>
      <c r="O2029" t="inlineStr">
        <is>
          <t>1969</t>
        </is>
      </c>
      <c r="Q2029" t="inlineStr">
        <is>
          <t>eng</t>
        </is>
      </c>
      <c r="R2029" t="inlineStr">
        <is>
          <t>nju</t>
        </is>
      </c>
      <c r="S2029" t="inlineStr">
        <is>
          <t>A Spectrum book.</t>
        </is>
      </c>
      <c r="T2029" t="inlineStr">
        <is>
          <t xml:space="preserve">PR </t>
        </is>
      </c>
      <c r="U2029" t="n">
        <v>2</v>
      </c>
      <c r="V2029" t="n">
        <v>2</v>
      </c>
      <c r="W2029" t="inlineStr">
        <is>
          <t>2010-12-01</t>
        </is>
      </c>
      <c r="X2029" t="inlineStr">
        <is>
          <t>2010-12-01</t>
        </is>
      </c>
      <c r="Y2029" t="inlineStr">
        <is>
          <t>1990-10-08</t>
        </is>
      </c>
      <c r="Z2029" t="inlineStr">
        <is>
          <t>1990-10-08</t>
        </is>
      </c>
      <c r="AA2029" t="n">
        <v>1390</v>
      </c>
      <c r="AB2029" t="n">
        <v>1238</v>
      </c>
      <c r="AC2029" t="n">
        <v>1249</v>
      </c>
      <c r="AD2029" t="n">
        <v>13</v>
      </c>
      <c r="AE2029" t="n">
        <v>13</v>
      </c>
      <c r="AF2029" t="n">
        <v>45</v>
      </c>
      <c r="AG2029" t="n">
        <v>45</v>
      </c>
      <c r="AH2029" t="n">
        <v>17</v>
      </c>
      <c r="AI2029" t="n">
        <v>17</v>
      </c>
      <c r="AJ2029" t="n">
        <v>8</v>
      </c>
      <c r="AK2029" t="n">
        <v>8</v>
      </c>
      <c r="AL2029" t="n">
        <v>19</v>
      </c>
      <c r="AM2029" t="n">
        <v>19</v>
      </c>
      <c r="AN2029" t="n">
        <v>11</v>
      </c>
      <c r="AO2029" t="n">
        <v>11</v>
      </c>
      <c r="AP2029" t="n">
        <v>0</v>
      </c>
      <c r="AQ2029" t="n">
        <v>0</v>
      </c>
      <c r="AR2029" t="inlineStr">
        <is>
          <t>No</t>
        </is>
      </c>
      <c r="AS2029" t="inlineStr">
        <is>
          <t>Yes</t>
        </is>
      </c>
      <c r="AT2029">
        <f>HYPERLINK("http://catalog.hathitrust.org/Record/000435407","HathiTrust Record")</f>
        <v/>
      </c>
      <c r="AU2029">
        <f>HYPERLINK("https://creighton-primo.hosted.exlibrisgroup.com/primo-explore/search?tab=default_tab&amp;search_scope=EVERYTHING&amp;vid=01CRU&amp;lang=en_US&amp;offset=0&amp;query=any,contains,991000066739702656","Catalog Record")</f>
        <v/>
      </c>
      <c r="AV2029">
        <f>HYPERLINK("http://www.worldcat.org/oclc/27199","WorldCat Record")</f>
        <v/>
      </c>
      <c r="AW2029" t="inlineStr">
        <is>
          <t>314126283:eng</t>
        </is>
      </c>
      <c r="AX2029" t="inlineStr">
        <is>
          <t>27199</t>
        </is>
      </c>
      <c r="AY2029" t="inlineStr">
        <is>
          <t>991000066739702656</t>
        </is>
      </c>
      <c r="AZ2029" t="inlineStr">
        <is>
          <t>991000066739702656</t>
        </is>
      </c>
      <c r="BA2029" t="inlineStr">
        <is>
          <t>2262723360002656</t>
        </is>
      </c>
      <c r="BB2029" t="inlineStr">
        <is>
          <t>BOOK</t>
        </is>
      </c>
      <c r="BD2029" t="inlineStr">
        <is>
          <t>9780139068188</t>
        </is>
      </c>
      <c r="BE2029" t="inlineStr">
        <is>
          <t>32285000334507</t>
        </is>
      </c>
      <c r="BF2029" t="inlineStr">
        <is>
          <t>893877768</t>
        </is>
      </c>
    </row>
    <row r="2030">
      <c r="A2030" t="inlineStr">
        <is>
          <t>No</t>
        </is>
      </c>
      <c r="B2030" t="inlineStr">
        <is>
          <t>CURAL</t>
        </is>
      </c>
      <c r="C2030" t="inlineStr">
        <is>
          <t>SHELVES</t>
        </is>
      </c>
      <c r="D2030" t="inlineStr">
        <is>
          <t>PR4748 .W75 1987</t>
        </is>
      </c>
      <c r="E2030" t="inlineStr">
        <is>
          <t>0                      PR 4748000W  75          1987</t>
        </is>
      </c>
      <c r="F2030" t="inlineStr">
        <is>
          <t>Tess of the d'Urbervilles / Terence Wright.</t>
        </is>
      </c>
      <c r="H2030" t="inlineStr">
        <is>
          <t>No</t>
        </is>
      </c>
      <c r="I2030" t="inlineStr">
        <is>
          <t>1</t>
        </is>
      </c>
      <c r="J2030" t="inlineStr">
        <is>
          <t>No</t>
        </is>
      </c>
      <c r="K2030" t="inlineStr">
        <is>
          <t>No</t>
        </is>
      </c>
      <c r="L2030" t="inlineStr">
        <is>
          <t>0</t>
        </is>
      </c>
      <c r="M2030" t="inlineStr">
        <is>
          <t>Wright, Terence, 1942-</t>
        </is>
      </c>
      <c r="N2030" t="inlineStr">
        <is>
          <t>London : Macmillan, 1987.</t>
        </is>
      </c>
      <c r="O2030" t="inlineStr">
        <is>
          <t>1987</t>
        </is>
      </c>
      <c r="Q2030" t="inlineStr">
        <is>
          <t>eng</t>
        </is>
      </c>
      <c r="R2030" t="inlineStr">
        <is>
          <t>enk</t>
        </is>
      </c>
      <c r="S2030" t="inlineStr">
        <is>
          <t>The Critics debate</t>
        </is>
      </c>
      <c r="T2030" t="inlineStr">
        <is>
          <t xml:space="preserve">PR </t>
        </is>
      </c>
      <c r="U2030" t="n">
        <v>4</v>
      </c>
      <c r="V2030" t="n">
        <v>4</v>
      </c>
      <c r="W2030" t="inlineStr">
        <is>
          <t>2010-12-01</t>
        </is>
      </c>
      <c r="X2030" t="inlineStr">
        <is>
          <t>2010-12-01</t>
        </is>
      </c>
      <c r="Y2030" t="inlineStr">
        <is>
          <t>1991-09-26</t>
        </is>
      </c>
      <c r="Z2030" t="inlineStr">
        <is>
          <t>1991-09-26</t>
        </is>
      </c>
      <c r="AA2030" t="n">
        <v>151</v>
      </c>
      <c r="AB2030" t="n">
        <v>70</v>
      </c>
      <c r="AC2030" t="n">
        <v>437</v>
      </c>
      <c r="AD2030" t="n">
        <v>2</v>
      </c>
      <c r="AE2030" t="n">
        <v>4</v>
      </c>
      <c r="AF2030" t="n">
        <v>4</v>
      </c>
      <c r="AG2030" t="n">
        <v>20</v>
      </c>
      <c r="AH2030" t="n">
        <v>0</v>
      </c>
      <c r="AI2030" t="n">
        <v>8</v>
      </c>
      <c r="AJ2030" t="n">
        <v>1</v>
      </c>
      <c r="AK2030" t="n">
        <v>5</v>
      </c>
      <c r="AL2030" t="n">
        <v>3</v>
      </c>
      <c r="AM2030" t="n">
        <v>9</v>
      </c>
      <c r="AN2030" t="n">
        <v>1</v>
      </c>
      <c r="AO2030" t="n">
        <v>3</v>
      </c>
      <c r="AP2030" t="n">
        <v>0</v>
      </c>
      <c r="AQ2030" t="n">
        <v>0</v>
      </c>
      <c r="AR2030" t="inlineStr">
        <is>
          <t>No</t>
        </is>
      </c>
      <c r="AS2030" t="inlineStr">
        <is>
          <t>Yes</t>
        </is>
      </c>
      <c r="AT2030">
        <f>HYPERLINK("http://catalog.hathitrust.org/Record/000851789","HathiTrust Record")</f>
        <v/>
      </c>
      <c r="AU2030">
        <f>HYPERLINK("https://creighton-primo.hosted.exlibrisgroup.com/primo-explore/search?tab=default_tab&amp;search_scope=EVERYTHING&amp;vid=01CRU&amp;lang=en_US&amp;offset=0&amp;query=any,contains,991000998499702656","Catalog Record")</f>
        <v/>
      </c>
      <c r="AV2030">
        <f>HYPERLINK("http://www.worldcat.org/oclc/21079122","WorldCat Record")</f>
        <v/>
      </c>
      <c r="AW2030" t="inlineStr">
        <is>
          <t>6934723:eng</t>
        </is>
      </c>
      <c r="AX2030" t="inlineStr">
        <is>
          <t>21079122</t>
        </is>
      </c>
      <c r="AY2030" t="inlineStr">
        <is>
          <t>991000998499702656</t>
        </is>
      </c>
      <c r="AZ2030" t="inlineStr">
        <is>
          <t>991000998499702656</t>
        </is>
      </c>
      <c r="BA2030" t="inlineStr">
        <is>
          <t>2256082750002656</t>
        </is>
      </c>
      <c r="BB2030" t="inlineStr">
        <is>
          <t>BOOK</t>
        </is>
      </c>
      <c r="BD2030" t="inlineStr">
        <is>
          <t>9780333395844</t>
        </is>
      </c>
      <c r="BE2030" t="inlineStr">
        <is>
          <t>32285000762186</t>
        </is>
      </c>
      <c r="BF2030" t="inlineStr">
        <is>
          <t>893903244</t>
        </is>
      </c>
    </row>
    <row r="2031">
      <c r="A2031" t="inlineStr">
        <is>
          <t>No</t>
        </is>
      </c>
      <c r="B2031" t="inlineStr">
        <is>
          <t>CURAL</t>
        </is>
      </c>
      <c r="C2031" t="inlineStr">
        <is>
          <t>SHELVES</t>
        </is>
      </c>
      <c r="D2031" t="inlineStr">
        <is>
          <t>PR4750.M3 T48 1988</t>
        </is>
      </c>
      <c r="E2031" t="inlineStr">
        <is>
          <t>0                      PR 4750000M  3                  T  48          1988</t>
        </is>
      </c>
      <c r="F2031" t="inlineStr">
        <is>
          <t>Thomas Hardy's The mayor of Casterbridge / edited and with an introduction by Harold Bloom.</t>
        </is>
      </c>
      <c r="H2031" t="inlineStr">
        <is>
          <t>No</t>
        </is>
      </c>
      <c r="I2031" t="inlineStr">
        <is>
          <t>1</t>
        </is>
      </c>
      <c r="J2031" t="inlineStr">
        <is>
          <t>No</t>
        </is>
      </c>
      <c r="K2031" t="inlineStr">
        <is>
          <t>No</t>
        </is>
      </c>
      <c r="L2031" t="inlineStr">
        <is>
          <t>0</t>
        </is>
      </c>
      <c r="N2031" t="inlineStr">
        <is>
          <t>New York : Chelsea House, 1988.</t>
        </is>
      </c>
      <c r="O2031" t="inlineStr">
        <is>
          <t>1988</t>
        </is>
      </c>
      <c r="Q2031" t="inlineStr">
        <is>
          <t>eng</t>
        </is>
      </c>
      <c r="R2031" t="inlineStr">
        <is>
          <t>nyu</t>
        </is>
      </c>
      <c r="S2031" t="inlineStr">
        <is>
          <t>Modern critical interpretations</t>
        </is>
      </c>
      <c r="T2031" t="inlineStr">
        <is>
          <t xml:space="preserve">PR </t>
        </is>
      </c>
      <c r="U2031" t="n">
        <v>4</v>
      </c>
      <c r="V2031" t="n">
        <v>4</v>
      </c>
      <c r="W2031" t="inlineStr">
        <is>
          <t>1996-02-15</t>
        </is>
      </c>
      <c r="X2031" t="inlineStr">
        <is>
          <t>1996-02-15</t>
        </is>
      </c>
      <c r="Y2031" t="inlineStr">
        <is>
          <t>1990-03-16</t>
        </is>
      </c>
      <c r="Z2031" t="inlineStr">
        <is>
          <t>1990-03-16</t>
        </is>
      </c>
      <c r="AA2031" t="n">
        <v>502</v>
      </c>
      <c r="AB2031" t="n">
        <v>447</v>
      </c>
      <c r="AC2031" t="n">
        <v>454</v>
      </c>
      <c r="AD2031" t="n">
        <v>3</v>
      </c>
      <c r="AE2031" t="n">
        <v>3</v>
      </c>
      <c r="AF2031" t="n">
        <v>15</v>
      </c>
      <c r="AG2031" t="n">
        <v>15</v>
      </c>
      <c r="AH2031" t="n">
        <v>7</v>
      </c>
      <c r="AI2031" t="n">
        <v>7</v>
      </c>
      <c r="AJ2031" t="n">
        <v>3</v>
      </c>
      <c r="AK2031" t="n">
        <v>3</v>
      </c>
      <c r="AL2031" t="n">
        <v>7</v>
      </c>
      <c r="AM2031" t="n">
        <v>7</v>
      </c>
      <c r="AN2031" t="n">
        <v>1</v>
      </c>
      <c r="AO2031" t="n">
        <v>1</v>
      </c>
      <c r="AP2031" t="n">
        <v>0</v>
      </c>
      <c r="AQ2031" t="n">
        <v>0</v>
      </c>
      <c r="AR2031" t="inlineStr">
        <is>
          <t>No</t>
        </is>
      </c>
      <c r="AS2031" t="inlineStr">
        <is>
          <t>Yes</t>
        </is>
      </c>
      <c r="AT2031">
        <f>HYPERLINK("http://catalog.hathitrust.org/Record/000926414","HathiTrust Record")</f>
        <v/>
      </c>
      <c r="AU2031">
        <f>HYPERLINK("https://creighton-primo.hosted.exlibrisgroup.com/primo-explore/search?tab=default_tab&amp;search_scope=EVERYTHING&amp;vid=01CRU&amp;lang=en_US&amp;offset=0&amp;query=any,contains,991001084629702656","Catalog Record")</f>
        <v/>
      </c>
      <c r="AV2031">
        <f>HYPERLINK("http://www.worldcat.org/oclc/16093633","WorldCat Record")</f>
        <v/>
      </c>
      <c r="AW2031" t="inlineStr">
        <is>
          <t>2286684858:eng</t>
        </is>
      </c>
      <c r="AX2031" t="inlineStr">
        <is>
          <t>16093633</t>
        </is>
      </c>
      <c r="AY2031" t="inlineStr">
        <is>
          <t>991001084629702656</t>
        </is>
      </c>
      <c r="AZ2031" t="inlineStr">
        <is>
          <t>991001084629702656</t>
        </is>
      </c>
      <c r="BA2031" t="inlineStr">
        <is>
          <t>2260148190002656</t>
        </is>
      </c>
      <c r="BB2031" t="inlineStr">
        <is>
          <t>BOOK</t>
        </is>
      </c>
      <c r="BD2031" t="inlineStr">
        <is>
          <t>9780877547426</t>
        </is>
      </c>
      <c r="BE2031" t="inlineStr">
        <is>
          <t>32285000081751</t>
        </is>
      </c>
      <c r="BF2031" t="inlineStr">
        <is>
          <t>893891287</t>
        </is>
      </c>
    </row>
    <row r="2032">
      <c r="A2032" t="inlineStr">
        <is>
          <t>No</t>
        </is>
      </c>
      <c r="B2032" t="inlineStr">
        <is>
          <t>CURAL</t>
        </is>
      </c>
      <c r="C2032" t="inlineStr">
        <is>
          <t>SHELVES</t>
        </is>
      </c>
      <c r="D2032" t="inlineStr">
        <is>
          <t>PR4752 .P54 1989</t>
        </is>
      </c>
      <c r="E2032" t="inlineStr">
        <is>
          <t>0                      PR 4752000P  54          1989</t>
        </is>
      </c>
      <c r="F2032" t="inlineStr">
        <is>
          <t>A Thomas Hardy dictionary : with maps and a chronology / F.B. Pinion.</t>
        </is>
      </c>
      <c r="H2032" t="inlineStr">
        <is>
          <t>No</t>
        </is>
      </c>
      <c r="I2032" t="inlineStr">
        <is>
          <t>1</t>
        </is>
      </c>
      <c r="J2032" t="inlineStr">
        <is>
          <t>No</t>
        </is>
      </c>
      <c r="K2032" t="inlineStr">
        <is>
          <t>No</t>
        </is>
      </c>
      <c r="L2032" t="inlineStr">
        <is>
          <t>0</t>
        </is>
      </c>
      <c r="M2032" t="inlineStr">
        <is>
          <t>Pinion, F. B.</t>
        </is>
      </c>
      <c r="N2032" t="inlineStr">
        <is>
          <t>Washington Square, N.Y. : New York University Press, 1989.</t>
        </is>
      </c>
      <c r="O2032" t="inlineStr">
        <is>
          <t>1989</t>
        </is>
      </c>
      <c r="Q2032" t="inlineStr">
        <is>
          <t>eng</t>
        </is>
      </c>
      <c r="R2032" t="inlineStr">
        <is>
          <t>nyu</t>
        </is>
      </c>
      <c r="T2032" t="inlineStr">
        <is>
          <t xml:space="preserve">PR </t>
        </is>
      </c>
      <c r="U2032" t="n">
        <v>1</v>
      </c>
      <c r="V2032" t="n">
        <v>1</v>
      </c>
      <c r="W2032" t="inlineStr">
        <is>
          <t>2000-12-07</t>
        </is>
      </c>
      <c r="X2032" t="inlineStr">
        <is>
          <t>2000-12-07</t>
        </is>
      </c>
      <c r="Y2032" t="inlineStr">
        <is>
          <t>1990-03-27</t>
        </is>
      </c>
      <c r="Z2032" t="inlineStr">
        <is>
          <t>1990-03-27</t>
        </is>
      </c>
      <c r="AA2032" t="n">
        <v>232</v>
      </c>
      <c r="AB2032" t="n">
        <v>206</v>
      </c>
      <c r="AC2032" t="n">
        <v>261</v>
      </c>
      <c r="AD2032" t="n">
        <v>2</v>
      </c>
      <c r="AE2032" t="n">
        <v>2</v>
      </c>
      <c r="AF2032" t="n">
        <v>16</v>
      </c>
      <c r="AG2032" t="n">
        <v>17</v>
      </c>
      <c r="AH2032" t="n">
        <v>5</v>
      </c>
      <c r="AI2032" t="n">
        <v>5</v>
      </c>
      <c r="AJ2032" t="n">
        <v>4</v>
      </c>
      <c r="AK2032" t="n">
        <v>5</v>
      </c>
      <c r="AL2032" t="n">
        <v>9</v>
      </c>
      <c r="AM2032" t="n">
        <v>10</v>
      </c>
      <c r="AN2032" t="n">
        <v>1</v>
      </c>
      <c r="AO2032" t="n">
        <v>1</v>
      </c>
      <c r="AP2032" t="n">
        <v>0</v>
      </c>
      <c r="AQ2032" t="n">
        <v>0</v>
      </c>
      <c r="AR2032" t="inlineStr">
        <is>
          <t>No</t>
        </is>
      </c>
      <c r="AS2032" t="inlineStr">
        <is>
          <t>No</t>
        </is>
      </c>
      <c r="AU2032">
        <f>HYPERLINK("https://creighton-primo.hosted.exlibrisgroup.com/primo-explore/search?tab=default_tab&amp;search_scope=EVERYTHING&amp;vid=01CRU&amp;lang=en_US&amp;offset=0&amp;query=any,contains,991001483009702656","Catalog Record")</f>
        <v/>
      </c>
      <c r="AV2032">
        <f>HYPERLINK("http://www.worldcat.org/oclc/19629042","WorldCat Record")</f>
        <v/>
      </c>
      <c r="AW2032" t="inlineStr">
        <is>
          <t>2061994826:eng</t>
        </is>
      </c>
      <c r="AX2032" t="inlineStr">
        <is>
          <t>19629042</t>
        </is>
      </c>
      <c r="AY2032" t="inlineStr">
        <is>
          <t>991001483009702656</t>
        </is>
      </c>
      <c r="AZ2032" t="inlineStr">
        <is>
          <t>991001483009702656</t>
        </is>
      </c>
      <c r="BA2032" t="inlineStr">
        <is>
          <t>2262628710002656</t>
        </is>
      </c>
      <c r="BB2032" t="inlineStr">
        <is>
          <t>BOOK</t>
        </is>
      </c>
      <c r="BD2032" t="inlineStr">
        <is>
          <t>9780814766101</t>
        </is>
      </c>
      <c r="BE2032" t="inlineStr">
        <is>
          <t>32285000090604</t>
        </is>
      </c>
      <c r="BF2032" t="inlineStr">
        <is>
          <t>893715479</t>
        </is>
      </c>
    </row>
    <row r="2033">
      <c r="A2033" t="inlineStr">
        <is>
          <t>No</t>
        </is>
      </c>
      <c r="B2033" t="inlineStr">
        <is>
          <t>CURAL</t>
        </is>
      </c>
      <c r="C2033" t="inlineStr">
        <is>
          <t>SHELVES</t>
        </is>
      </c>
      <c r="D2033" t="inlineStr">
        <is>
          <t>PR4752 .W75 2002</t>
        </is>
      </c>
      <c r="E2033" t="inlineStr">
        <is>
          <t>0                      PR 4752000W  75          2002</t>
        </is>
      </c>
      <c r="F2033" t="inlineStr">
        <is>
          <t>Thomas Hardy A to Z : the essential reference to his life and work / Sarah Bird Wright.</t>
        </is>
      </c>
      <c r="H2033" t="inlineStr">
        <is>
          <t>No</t>
        </is>
      </c>
      <c r="I2033" t="inlineStr">
        <is>
          <t>1</t>
        </is>
      </c>
      <c r="J2033" t="inlineStr">
        <is>
          <t>No</t>
        </is>
      </c>
      <c r="K2033" t="inlineStr">
        <is>
          <t>No</t>
        </is>
      </c>
      <c r="L2033" t="inlineStr">
        <is>
          <t>0</t>
        </is>
      </c>
      <c r="M2033" t="inlineStr">
        <is>
          <t>Wright, Sarah Bird.</t>
        </is>
      </c>
      <c r="N2033" t="inlineStr">
        <is>
          <t>New York : Checkmark Books/Facts on File, c2002.</t>
        </is>
      </c>
      <c r="O2033" t="inlineStr">
        <is>
          <t>2002</t>
        </is>
      </c>
      <c r="Q2033" t="inlineStr">
        <is>
          <t>eng</t>
        </is>
      </c>
      <c r="R2033" t="inlineStr">
        <is>
          <t>nyu</t>
        </is>
      </c>
      <c r="T2033" t="inlineStr">
        <is>
          <t xml:space="preserve">PR </t>
        </is>
      </c>
      <c r="U2033" t="n">
        <v>1</v>
      </c>
      <c r="V2033" t="n">
        <v>1</v>
      </c>
      <c r="W2033" t="inlineStr">
        <is>
          <t>2003-02-03</t>
        </is>
      </c>
      <c r="X2033" t="inlineStr">
        <is>
          <t>2003-02-03</t>
        </is>
      </c>
      <c r="Y2033" t="inlineStr">
        <is>
          <t>2003-02-03</t>
        </is>
      </c>
      <c r="Z2033" t="inlineStr">
        <is>
          <t>2003-02-03</t>
        </is>
      </c>
      <c r="AA2033" t="n">
        <v>539</v>
      </c>
      <c r="AB2033" t="n">
        <v>482</v>
      </c>
      <c r="AC2033" t="n">
        <v>487</v>
      </c>
      <c r="AD2033" t="n">
        <v>5</v>
      </c>
      <c r="AE2033" t="n">
        <v>5</v>
      </c>
      <c r="AF2033" t="n">
        <v>20</v>
      </c>
      <c r="AG2033" t="n">
        <v>21</v>
      </c>
      <c r="AH2033" t="n">
        <v>6</v>
      </c>
      <c r="AI2033" t="n">
        <v>6</v>
      </c>
      <c r="AJ2033" t="n">
        <v>4</v>
      </c>
      <c r="AK2033" t="n">
        <v>5</v>
      </c>
      <c r="AL2033" t="n">
        <v>11</v>
      </c>
      <c r="AM2033" t="n">
        <v>12</v>
      </c>
      <c r="AN2033" t="n">
        <v>4</v>
      </c>
      <c r="AO2033" t="n">
        <v>4</v>
      </c>
      <c r="AP2033" t="n">
        <v>0</v>
      </c>
      <c r="AQ2033" t="n">
        <v>0</v>
      </c>
      <c r="AR2033" t="inlineStr">
        <is>
          <t>No</t>
        </is>
      </c>
      <c r="AS2033" t="inlineStr">
        <is>
          <t>No</t>
        </is>
      </c>
      <c r="AU2033">
        <f>HYPERLINK("https://creighton-primo.hosted.exlibrisgroup.com/primo-explore/search?tab=default_tab&amp;search_scope=EVERYTHING&amp;vid=01CRU&amp;lang=en_US&amp;offset=0&amp;query=any,contains,991003962919702656","Catalog Record")</f>
        <v/>
      </c>
      <c r="AV2033">
        <f>HYPERLINK("http://www.worldcat.org/oclc/49386292","WorldCat Record")</f>
        <v/>
      </c>
      <c r="AW2033" t="inlineStr">
        <is>
          <t>1015233:eng</t>
        </is>
      </c>
      <c r="AX2033" t="inlineStr">
        <is>
          <t>49386292</t>
        </is>
      </c>
      <c r="AY2033" t="inlineStr">
        <is>
          <t>991003962919702656</t>
        </is>
      </c>
      <c r="AZ2033" t="inlineStr">
        <is>
          <t>991003962919702656</t>
        </is>
      </c>
      <c r="BA2033" t="inlineStr">
        <is>
          <t>2270908300002656</t>
        </is>
      </c>
      <c r="BB2033" t="inlineStr">
        <is>
          <t>BOOK</t>
        </is>
      </c>
      <c r="BD2033" t="inlineStr">
        <is>
          <t>9780816042890</t>
        </is>
      </c>
      <c r="BE2033" t="inlineStr">
        <is>
          <t>32285004697081</t>
        </is>
      </c>
      <c r="BF2033" t="inlineStr">
        <is>
          <t>893429485</t>
        </is>
      </c>
    </row>
    <row r="2034">
      <c r="A2034" t="inlineStr">
        <is>
          <t>No</t>
        </is>
      </c>
      <c r="B2034" t="inlineStr">
        <is>
          <t>CURAL</t>
        </is>
      </c>
      <c r="C2034" t="inlineStr">
        <is>
          <t>SHELVES</t>
        </is>
      </c>
      <c r="D2034" t="inlineStr">
        <is>
          <t>PR4753 .B27</t>
        </is>
      </c>
      <c r="E2034" t="inlineStr">
        <is>
          <t>0                      PR 4753000B  27</t>
        </is>
      </c>
      <c r="F2034" t="inlineStr">
        <is>
          <t>The poetry of Thomas Hardy : a handbook and commentary / by J. O. Bailey.</t>
        </is>
      </c>
      <c r="H2034" t="inlineStr">
        <is>
          <t>No</t>
        </is>
      </c>
      <c r="I2034" t="inlineStr">
        <is>
          <t>1</t>
        </is>
      </c>
      <c r="J2034" t="inlineStr">
        <is>
          <t>No</t>
        </is>
      </c>
      <c r="K2034" t="inlineStr">
        <is>
          <t>No</t>
        </is>
      </c>
      <c r="L2034" t="inlineStr">
        <is>
          <t>0</t>
        </is>
      </c>
      <c r="M2034" t="inlineStr">
        <is>
          <t>Bailey, J. O. (James Osler), 1903-1979.</t>
        </is>
      </c>
      <c r="N2034" t="inlineStr">
        <is>
          <t>Chapel Hill : University of North Carolina Press, [1970]</t>
        </is>
      </c>
      <c r="O2034" t="inlineStr">
        <is>
          <t>1970</t>
        </is>
      </c>
      <c r="Q2034" t="inlineStr">
        <is>
          <t>eng</t>
        </is>
      </c>
      <c r="R2034" t="inlineStr">
        <is>
          <t>ncu</t>
        </is>
      </c>
      <c r="T2034" t="inlineStr">
        <is>
          <t xml:space="preserve">PR </t>
        </is>
      </c>
      <c r="U2034" t="n">
        <v>3</v>
      </c>
      <c r="V2034" t="n">
        <v>3</v>
      </c>
      <c r="W2034" t="inlineStr">
        <is>
          <t>1994-09-10</t>
        </is>
      </c>
      <c r="X2034" t="inlineStr">
        <is>
          <t>1994-09-10</t>
        </is>
      </c>
      <c r="Y2034" t="inlineStr">
        <is>
          <t>1991-02-06</t>
        </is>
      </c>
      <c r="Z2034" t="inlineStr">
        <is>
          <t>1991-02-06</t>
        </is>
      </c>
      <c r="AA2034" t="n">
        <v>1243</v>
      </c>
      <c r="AB2034" t="n">
        <v>1043</v>
      </c>
      <c r="AC2034" t="n">
        <v>1052</v>
      </c>
      <c r="AD2034" t="n">
        <v>12</v>
      </c>
      <c r="AE2034" t="n">
        <v>12</v>
      </c>
      <c r="AF2034" t="n">
        <v>51</v>
      </c>
      <c r="AG2034" t="n">
        <v>51</v>
      </c>
      <c r="AH2034" t="n">
        <v>20</v>
      </c>
      <c r="AI2034" t="n">
        <v>20</v>
      </c>
      <c r="AJ2034" t="n">
        <v>9</v>
      </c>
      <c r="AK2034" t="n">
        <v>9</v>
      </c>
      <c r="AL2034" t="n">
        <v>23</v>
      </c>
      <c r="AM2034" t="n">
        <v>23</v>
      </c>
      <c r="AN2034" t="n">
        <v>11</v>
      </c>
      <c r="AO2034" t="n">
        <v>11</v>
      </c>
      <c r="AP2034" t="n">
        <v>0</v>
      </c>
      <c r="AQ2034" t="n">
        <v>0</v>
      </c>
      <c r="AR2034" t="inlineStr">
        <is>
          <t>No</t>
        </is>
      </c>
      <c r="AS2034" t="inlineStr">
        <is>
          <t>Yes</t>
        </is>
      </c>
      <c r="AT2034">
        <f>HYPERLINK("http://catalog.hathitrust.org/Record/000437057","HathiTrust Record")</f>
        <v/>
      </c>
      <c r="AU2034">
        <f>HYPERLINK("https://creighton-primo.hosted.exlibrisgroup.com/primo-explore/search?tab=default_tab&amp;search_scope=EVERYTHING&amp;vid=01CRU&amp;lang=en_US&amp;offset=0&amp;query=any,contains,991000543119702656","Catalog Record")</f>
        <v/>
      </c>
      <c r="AV2034">
        <f>HYPERLINK("http://www.worldcat.org/oclc/90945","WorldCat Record")</f>
        <v/>
      </c>
      <c r="AW2034" t="inlineStr">
        <is>
          <t>317421772:eng</t>
        </is>
      </c>
      <c r="AX2034" t="inlineStr">
        <is>
          <t>90945</t>
        </is>
      </c>
      <c r="AY2034" t="inlineStr">
        <is>
          <t>991000543119702656</t>
        </is>
      </c>
      <c r="AZ2034" t="inlineStr">
        <is>
          <t>991000543119702656</t>
        </is>
      </c>
      <c r="BA2034" t="inlineStr">
        <is>
          <t>2266357810002656</t>
        </is>
      </c>
      <c r="BB2034" t="inlineStr">
        <is>
          <t>BOOK</t>
        </is>
      </c>
      <c r="BD2034" t="inlineStr">
        <is>
          <t>9780807811351</t>
        </is>
      </c>
      <c r="BE2034" t="inlineStr">
        <is>
          <t>32285000473362</t>
        </is>
      </c>
      <c r="BF2034" t="inlineStr">
        <is>
          <t>893419559</t>
        </is>
      </c>
    </row>
    <row r="2035">
      <c r="A2035" t="inlineStr">
        <is>
          <t>No</t>
        </is>
      </c>
      <c r="B2035" t="inlineStr">
        <is>
          <t>CURAL</t>
        </is>
      </c>
      <c r="C2035" t="inlineStr">
        <is>
          <t>SHELVES</t>
        </is>
      </c>
      <c r="D2035" t="inlineStr">
        <is>
          <t>PR4753 .B69</t>
        </is>
      </c>
      <c r="E2035" t="inlineStr">
        <is>
          <t>0                      PR 4753000B  69</t>
        </is>
      </c>
      <c r="F2035" t="inlineStr">
        <is>
          <t>The lyrical poetry of Thomas Hardy / by C. M. Bowra.</t>
        </is>
      </c>
      <c r="H2035" t="inlineStr">
        <is>
          <t>No</t>
        </is>
      </c>
      <c r="I2035" t="inlineStr">
        <is>
          <t>1</t>
        </is>
      </c>
      <c r="J2035" t="inlineStr">
        <is>
          <t>No</t>
        </is>
      </c>
      <c r="K2035" t="inlineStr">
        <is>
          <t>No</t>
        </is>
      </c>
      <c r="L2035" t="inlineStr">
        <is>
          <t>0</t>
        </is>
      </c>
      <c r="M2035" t="inlineStr">
        <is>
          <t>Bowra, C. M. (Cecil Maurice), 1898-1971.</t>
        </is>
      </c>
      <c r="N2035" t="inlineStr">
        <is>
          <t>[Folcroft, Pa.] : Folcroft Library Editions, 1971.</t>
        </is>
      </c>
      <c r="O2035" t="inlineStr">
        <is>
          <t>1971</t>
        </is>
      </c>
      <c r="Q2035" t="inlineStr">
        <is>
          <t>eng</t>
        </is>
      </c>
      <c r="R2035" t="inlineStr">
        <is>
          <t>pau</t>
        </is>
      </c>
      <c r="S2035" t="inlineStr">
        <is>
          <t>University College (Nottingham, Nottinghamshire) Byron Foundation lecture, 1946</t>
        </is>
      </c>
      <c r="T2035" t="inlineStr">
        <is>
          <t xml:space="preserve">PR </t>
        </is>
      </c>
      <c r="U2035" t="n">
        <v>2</v>
      </c>
      <c r="V2035" t="n">
        <v>2</v>
      </c>
      <c r="W2035" t="inlineStr">
        <is>
          <t>1994-09-10</t>
        </is>
      </c>
      <c r="X2035" t="inlineStr">
        <is>
          <t>1994-09-10</t>
        </is>
      </c>
      <c r="Y2035" t="inlineStr">
        <is>
          <t>1990-10-08</t>
        </is>
      </c>
      <c r="Z2035" t="inlineStr">
        <is>
          <t>1990-10-08</t>
        </is>
      </c>
      <c r="AA2035" t="n">
        <v>44</v>
      </c>
      <c r="AB2035" t="n">
        <v>39</v>
      </c>
      <c r="AC2035" t="n">
        <v>210</v>
      </c>
      <c r="AD2035" t="n">
        <v>1</v>
      </c>
      <c r="AE2035" t="n">
        <v>2</v>
      </c>
      <c r="AF2035" t="n">
        <v>0</v>
      </c>
      <c r="AG2035" t="n">
        <v>9</v>
      </c>
      <c r="AH2035" t="n">
        <v>0</v>
      </c>
      <c r="AI2035" t="n">
        <v>2</v>
      </c>
      <c r="AJ2035" t="n">
        <v>0</v>
      </c>
      <c r="AK2035" t="n">
        <v>1</v>
      </c>
      <c r="AL2035" t="n">
        <v>0</v>
      </c>
      <c r="AM2035" t="n">
        <v>7</v>
      </c>
      <c r="AN2035" t="n">
        <v>0</v>
      </c>
      <c r="AO2035" t="n">
        <v>1</v>
      </c>
      <c r="AP2035" t="n">
        <v>0</v>
      </c>
      <c r="AQ2035" t="n">
        <v>0</v>
      </c>
      <c r="AR2035" t="inlineStr">
        <is>
          <t>No</t>
        </is>
      </c>
      <c r="AS2035" t="inlineStr">
        <is>
          <t>No</t>
        </is>
      </c>
      <c r="AU2035">
        <f>HYPERLINK("https://creighton-primo.hosted.exlibrisgroup.com/primo-explore/search?tab=default_tab&amp;search_scope=EVERYTHING&amp;vid=01CRU&amp;lang=en_US&amp;offset=0&amp;query=any,contains,991004727329702656","Catalog Record")</f>
        <v/>
      </c>
      <c r="AV2035">
        <f>HYPERLINK("http://www.worldcat.org/oclc/4823061","WorldCat Record")</f>
        <v/>
      </c>
      <c r="AW2035" t="inlineStr">
        <is>
          <t>1596254:eng</t>
        </is>
      </c>
      <c r="AX2035" t="inlineStr">
        <is>
          <t>4823061</t>
        </is>
      </c>
      <c r="AY2035" t="inlineStr">
        <is>
          <t>991004727329702656</t>
        </is>
      </c>
      <c r="AZ2035" t="inlineStr">
        <is>
          <t>991004727329702656</t>
        </is>
      </c>
      <c r="BA2035" t="inlineStr">
        <is>
          <t>2260706430002656</t>
        </is>
      </c>
      <c r="BB2035" t="inlineStr">
        <is>
          <t>BOOK</t>
        </is>
      </c>
      <c r="BE2035" t="inlineStr">
        <is>
          <t>32285000334515</t>
        </is>
      </c>
      <c r="BF2035" t="inlineStr">
        <is>
          <t>893235859</t>
        </is>
      </c>
    </row>
    <row r="2036">
      <c r="A2036" t="inlineStr">
        <is>
          <t>No</t>
        </is>
      </c>
      <c r="B2036" t="inlineStr">
        <is>
          <t>CURAL</t>
        </is>
      </c>
      <c r="C2036" t="inlineStr">
        <is>
          <t>SHELVES</t>
        </is>
      </c>
      <c r="D2036" t="inlineStr">
        <is>
          <t>PR4753 .D7 1989b</t>
        </is>
      </c>
      <c r="E2036" t="inlineStr">
        <is>
          <t>0                      PR 4753000D  7           1989b</t>
        </is>
      </c>
      <c r="F2036" t="inlineStr">
        <is>
          <t>An annotated critical bibliography of Thomas Hardy / Ronald P. Draper, Martin S. Ray.</t>
        </is>
      </c>
      <c r="H2036" t="inlineStr">
        <is>
          <t>No</t>
        </is>
      </c>
      <c r="I2036" t="inlineStr">
        <is>
          <t>1</t>
        </is>
      </c>
      <c r="J2036" t="inlineStr">
        <is>
          <t>No</t>
        </is>
      </c>
      <c r="K2036" t="inlineStr">
        <is>
          <t>No</t>
        </is>
      </c>
      <c r="L2036" t="inlineStr">
        <is>
          <t>0</t>
        </is>
      </c>
      <c r="M2036" t="inlineStr">
        <is>
          <t>Draper, Ronald P., 1928-</t>
        </is>
      </c>
      <c r="N2036" t="inlineStr">
        <is>
          <t>New York ; London : Harvester Wheatsheaf, 1989.</t>
        </is>
      </c>
      <c r="O2036" t="inlineStr">
        <is>
          <t>1989</t>
        </is>
      </c>
      <c r="Q2036" t="inlineStr">
        <is>
          <t>eng</t>
        </is>
      </c>
      <c r="R2036" t="inlineStr">
        <is>
          <t>enk</t>
        </is>
      </c>
      <c r="S2036" t="inlineStr">
        <is>
          <t>Harvester annotated critical bibliographies</t>
        </is>
      </c>
      <c r="T2036" t="inlineStr">
        <is>
          <t xml:space="preserve">PR </t>
        </is>
      </c>
      <c r="U2036" t="n">
        <v>7</v>
      </c>
      <c r="V2036" t="n">
        <v>7</v>
      </c>
      <c r="W2036" t="inlineStr">
        <is>
          <t>2008-09-05</t>
        </is>
      </c>
      <c r="X2036" t="inlineStr">
        <is>
          <t>2008-09-05</t>
        </is>
      </c>
      <c r="Y2036" t="inlineStr">
        <is>
          <t>1989-11-27</t>
        </is>
      </c>
      <c r="Z2036" t="inlineStr">
        <is>
          <t>1989-11-27</t>
        </is>
      </c>
      <c r="AA2036" t="n">
        <v>107</v>
      </c>
      <c r="AB2036" t="n">
        <v>31</v>
      </c>
      <c r="AC2036" t="n">
        <v>228</v>
      </c>
      <c r="AD2036" t="n">
        <v>2</v>
      </c>
      <c r="AE2036" t="n">
        <v>3</v>
      </c>
      <c r="AF2036" t="n">
        <v>2</v>
      </c>
      <c r="AG2036" t="n">
        <v>15</v>
      </c>
      <c r="AH2036" t="n">
        <v>0</v>
      </c>
      <c r="AI2036" t="n">
        <v>4</v>
      </c>
      <c r="AJ2036" t="n">
        <v>1</v>
      </c>
      <c r="AK2036" t="n">
        <v>5</v>
      </c>
      <c r="AL2036" t="n">
        <v>1</v>
      </c>
      <c r="AM2036" t="n">
        <v>10</v>
      </c>
      <c r="AN2036" t="n">
        <v>1</v>
      </c>
      <c r="AO2036" t="n">
        <v>2</v>
      </c>
      <c r="AP2036" t="n">
        <v>0</v>
      </c>
      <c r="AQ2036" t="n">
        <v>0</v>
      </c>
      <c r="AR2036" t="inlineStr">
        <is>
          <t>No</t>
        </is>
      </c>
      <c r="AS2036" t="inlineStr">
        <is>
          <t>Yes</t>
        </is>
      </c>
      <c r="AT2036">
        <f>HYPERLINK("http://catalog.hathitrust.org/Record/001100062","HathiTrust Record")</f>
        <v/>
      </c>
      <c r="AU2036">
        <f>HYPERLINK("https://creighton-primo.hosted.exlibrisgroup.com/primo-explore/search?tab=default_tab&amp;search_scope=EVERYTHING&amp;vid=01CRU&amp;lang=en_US&amp;offset=0&amp;query=any,contains,991001429119702656","Catalog Record")</f>
        <v/>
      </c>
      <c r="AV2036">
        <f>HYPERLINK("http://www.worldcat.org/oclc/19066834","WorldCat Record")</f>
        <v/>
      </c>
      <c r="AW2036" t="inlineStr">
        <is>
          <t>18320734:eng</t>
        </is>
      </c>
      <c r="AX2036" t="inlineStr">
        <is>
          <t>19066834</t>
        </is>
      </c>
      <c r="AY2036" t="inlineStr">
        <is>
          <t>991001429119702656</t>
        </is>
      </c>
      <c r="AZ2036" t="inlineStr">
        <is>
          <t>991001429119702656</t>
        </is>
      </c>
      <c r="BA2036" t="inlineStr">
        <is>
          <t>2264107170002656</t>
        </is>
      </c>
      <c r="BB2036" t="inlineStr">
        <is>
          <t>BOOK</t>
        </is>
      </c>
      <c r="BD2036" t="inlineStr">
        <is>
          <t>9780710810106</t>
        </is>
      </c>
      <c r="BE2036" t="inlineStr">
        <is>
          <t>32285000015262</t>
        </is>
      </c>
      <c r="BF2036" t="inlineStr">
        <is>
          <t>893703030</t>
        </is>
      </c>
    </row>
    <row r="2037">
      <c r="A2037" t="inlineStr">
        <is>
          <t>No</t>
        </is>
      </c>
      <c r="B2037" t="inlineStr">
        <is>
          <t>CURAL</t>
        </is>
      </c>
      <c r="C2037" t="inlineStr">
        <is>
          <t>SHELVES</t>
        </is>
      </c>
      <c r="D2037" t="inlineStr">
        <is>
          <t>PR4753 .F68 1984</t>
        </is>
      </c>
      <c r="E2037" t="inlineStr">
        <is>
          <t>0                      PR 4753000F  68          1984</t>
        </is>
      </c>
      <c r="F2037" t="inlineStr">
        <is>
          <t>Thomas Hardy's England / Introduced and ed. by John Fowles, written by Jo Draper.</t>
        </is>
      </c>
      <c r="H2037" t="inlineStr">
        <is>
          <t>No</t>
        </is>
      </c>
      <c r="I2037" t="inlineStr">
        <is>
          <t>1</t>
        </is>
      </c>
      <c r="J2037" t="inlineStr">
        <is>
          <t>No</t>
        </is>
      </c>
      <c r="K2037" t="inlineStr">
        <is>
          <t>No</t>
        </is>
      </c>
      <c r="L2037" t="inlineStr">
        <is>
          <t>0</t>
        </is>
      </c>
      <c r="M2037" t="inlineStr">
        <is>
          <t>Fournier, Edith, 1943-</t>
        </is>
      </c>
      <c r="N2037" t="inlineStr">
        <is>
          <t>London : Cape, [1984].</t>
        </is>
      </c>
      <c r="O2037" t="inlineStr">
        <is>
          <t>1984</t>
        </is>
      </c>
      <c r="Q2037" t="inlineStr">
        <is>
          <t>eng</t>
        </is>
      </c>
      <c r="R2037" t="inlineStr">
        <is>
          <t>enk</t>
        </is>
      </c>
      <c r="T2037" t="inlineStr">
        <is>
          <t xml:space="preserve">PR </t>
        </is>
      </c>
      <c r="U2037" t="n">
        <v>1</v>
      </c>
      <c r="V2037" t="n">
        <v>1</v>
      </c>
      <c r="W2037" t="inlineStr">
        <is>
          <t>1992-04-09</t>
        </is>
      </c>
      <c r="X2037" t="inlineStr">
        <is>
          <t>1992-04-09</t>
        </is>
      </c>
      <c r="Y2037" t="inlineStr">
        <is>
          <t>1991-11-08</t>
        </is>
      </c>
      <c r="Z2037" t="inlineStr">
        <is>
          <t>1991-11-08</t>
        </is>
      </c>
      <c r="AA2037" t="n">
        <v>177</v>
      </c>
      <c r="AB2037" t="n">
        <v>61</v>
      </c>
      <c r="AC2037" t="n">
        <v>358</v>
      </c>
      <c r="AD2037" t="n">
        <v>1</v>
      </c>
      <c r="AE2037" t="n">
        <v>3</v>
      </c>
      <c r="AF2037" t="n">
        <v>0</v>
      </c>
      <c r="AG2037" t="n">
        <v>9</v>
      </c>
      <c r="AH2037" t="n">
        <v>0</v>
      </c>
      <c r="AI2037" t="n">
        <v>5</v>
      </c>
      <c r="AJ2037" t="n">
        <v>0</v>
      </c>
      <c r="AK2037" t="n">
        <v>2</v>
      </c>
      <c r="AL2037" t="n">
        <v>0</v>
      </c>
      <c r="AM2037" t="n">
        <v>4</v>
      </c>
      <c r="AN2037" t="n">
        <v>0</v>
      </c>
      <c r="AO2037" t="n">
        <v>1</v>
      </c>
      <c r="AP2037" t="n">
        <v>0</v>
      </c>
      <c r="AQ2037" t="n">
        <v>0</v>
      </c>
      <c r="AR2037" t="inlineStr">
        <is>
          <t>No</t>
        </is>
      </c>
      <c r="AS2037" t="inlineStr">
        <is>
          <t>No</t>
        </is>
      </c>
      <c r="AU2037">
        <f>HYPERLINK("https://creighton-primo.hosted.exlibrisgroup.com/primo-explore/search?tab=default_tab&amp;search_scope=EVERYTHING&amp;vid=01CRU&amp;lang=en_US&amp;offset=0&amp;query=any,contains,991000490779702656","Catalog Record")</f>
        <v/>
      </c>
      <c r="AV2037">
        <f>HYPERLINK("http://www.worldcat.org/oclc/12507562","WorldCat Record")</f>
        <v/>
      </c>
      <c r="AW2037" t="inlineStr">
        <is>
          <t>4157123:eng</t>
        </is>
      </c>
      <c r="AX2037" t="inlineStr">
        <is>
          <t>12507562</t>
        </is>
      </c>
      <c r="AY2037" t="inlineStr">
        <is>
          <t>991000490779702656</t>
        </is>
      </c>
      <c r="AZ2037" t="inlineStr">
        <is>
          <t>991000490779702656</t>
        </is>
      </c>
      <c r="BA2037" t="inlineStr">
        <is>
          <t>2271735140002656</t>
        </is>
      </c>
      <c r="BB2037" t="inlineStr">
        <is>
          <t>BOOK</t>
        </is>
      </c>
      <c r="BD2037" t="inlineStr">
        <is>
          <t>9780224029742</t>
        </is>
      </c>
      <c r="BE2037" t="inlineStr">
        <is>
          <t>32285000820232</t>
        </is>
      </c>
      <c r="BF2037" t="inlineStr">
        <is>
          <t>893345705</t>
        </is>
      </c>
    </row>
    <row r="2038">
      <c r="A2038" t="inlineStr">
        <is>
          <t>No</t>
        </is>
      </c>
      <c r="B2038" t="inlineStr">
        <is>
          <t>CURAL</t>
        </is>
      </c>
      <c r="C2038" t="inlineStr">
        <is>
          <t>SHELVES</t>
        </is>
      </c>
      <c r="D2038" t="inlineStr">
        <is>
          <t>PR4753 .G4 1976</t>
        </is>
      </c>
      <c r="E2038" t="inlineStr">
        <is>
          <t>0                      PR 4753000G  4           1976</t>
        </is>
      </c>
      <c r="F2038" t="inlineStr">
        <is>
          <t>The Genius of Thomas Hardy / edited by Margaret Drabble.</t>
        </is>
      </c>
      <c r="H2038" t="inlineStr">
        <is>
          <t>No</t>
        </is>
      </c>
      <c r="I2038" t="inlineStr">
        <is>
          <t>1</t>
        </is>
      </c>
      <c r="J2038" t="inlineStr">
        <is>
          <t>No</t>
        </is>
      </c>
      <c r="K2038" t="inlineStr">
        <is>
          <t>No</t>
        </is>
      </c>
      <c r="L2038" t="inlineStr">
        <is>
          <t>0</t>
        </is>
      </c>
      <c r="N2038" t="inlineStr">
        <is>
          <t>New York : Knopf, 1976.</t>
        </is>
      </c>
      <c r="O2038" t="inlineStr">
        <is>
          <t>1976</t>
        </is>
      </c>
      <c r="P2038" t="inlineStr">
        <is>
          <t>1st American ed.</t>
        </is>
      </c>
      <c r="Q2038" t="inlineStr">
        <is>
          <t>eng</t>
        </is>
      </c>
      <c r="R2038" t="inlineStr">
        <is>
          <t>nyu</t>
        </is>
      </c>
      <c r="T2038" t="inlineStr">
        <is>
          <t xml:space="preserve">PR </t>
        </is>
      </c>
      <c r="U2038" t="n">
        <v>4</v>
      </c>
      <c r="V2038" t="n">
        <v>4</v>
      </c>
      <c r="W2038" t="inlineStr">
        <is>
          <t>1998-12-09</t>
        </is>
      </c>
      <c r="X2038" t="inlineStr">
        <is>
          <t>1998-12-09</t>
        </is>
      </c>
      <c r="Y2038" t="inlineStr">
        <is>
          <t>1991-08-02</t>
        </is>
      </c>
      <c r="Z2038" t="inlineStr">
        <is>
          <t>1991-08-02</t>
        </is>
      </c>
      <c r="AA2038" t="n">
        <v>1047</v>
      </c>
      <c r="AB2038" t="n">
        <v>1001</v>
      </c>
      <c r="AC2038" t="n">
        <v>1067</v>
      </c>
      <c r="AD2038" t="n">
        <v>8</v>
      </c>
      <c r="AE2038" t="n">
        <v>10</v>
      </c>
      <c r="AF2038" t="n">
        <v>37</v>
      </c>
      <c r="AG2038" t="n">
        <v>42</v>
      </c>
      <c r="AH2038" t="n">
        <v>15</v>
      </c>
      <c r="AI2038" t="n">
        <v>16</v>
      </c>
      <c r="AJ2038" t="n">
        <v>6</v>
      </c>
      <c r="AK2038" t="n">
        <v>8</v>
      </c>
      <c r="AL2038" t="n">
        <v>19</v>
      </c>
      <c r="AM2038" t="n">
        <v>21</v>
      </c>
      <c r="AN2038" t="n">
        <v>6</v>
      </c>
      <c r="AO2038" t="n">
        <v>8</v>
      </c>
      <c r="AP2038" t="n">
        <v>0</v>
      </c>
      <c r="AQ2038" t="n">
        <v>0</v>
      </c>
      <c r="AR2038" t="inlineStr">
        <is>
          <t>No</t>
        </is>
      </c>
      <c r="AS2038" t="inlineStr">
        <is>
          <t>Yes</t>
        </is>
      </c>
      <c r="AT2038">
        <f>HYPERLINK("http://catalog.hathitrust.org/Record/000712606","HathiTrust Record")</f>
        <v/>
      </c>
      <c r="AU2038">
        <f>HYPERLINK("https://creighton-primo.hosted.exlibrisgroup.com/primo-explore/search?tab=default_tab&amp;search_scope=EVERYTHING&amp;vid=01CRU&amp;lang=en_US&amp;offset=0&amp;query=any,contains,991004018199702656","Catalog Record")</f>
        <v/>
      </c>
      <c r="AV2038">
        <f>HYPERLINK("http://www.worldcat.org/oclc/2009459","WorldCat Record")</f>
        <v/>
      </c>
      <c r="AW2038" t="inlineStr">
        <is>
          <t>54096613:eng</t>
        </is>
      </c>
      <c r="AX2038" t="inlineStr">
        <is>
          <t>2009459</t>
        </is>
      </c>
      <c r="AY2038" t="inlineStr">
        <is>
          <t>991004018199702656</t>
        </is>
      </c>
      <c r="AZ2038" t="inlineStr">
        <is>
          <t>991004018199702656</t>
        </is>
      </c>
      <c r="BA2038" t="inlineStr">
        <is>
          <t>2265357690002656</t>
        </is>
      </c>
      <c r="BB2038" t="inlineStr">
        <is>
          <t>BOOK</t>
        </is>
      </c>
      <c r="BD2038" t="inlineStr">
        <is>
          <t>9780394495569</t>
        </is>
      </c>
      <c r="BE2038" t="inlineStr">
        <is>
          <t>32285000680743</t>
        </is>
      </c>
      <c r="BF2038" t="inlineStr">
        <is>
          <t>893705911</t>
        </is>
      </c>
    </row>
    <row r="2039">
      <c r="A2039" t="inlineStr">
        <is>
          <t>No</t>
        </is>
      </c>
      <c r="B2039" t="inlineStr">
        <is>
          <t>CURAL</t>
        </is>
      </c>
      <c r="C2039" t="inlineStr">
        <is>
          <t>SHELVES</t>
        </is>
      </c>
      <c r="D2039" t="inlineStr">
        <is>
          <t>PR4753 .G49 1978</t>
        </is>
      </c>
      <c r="E2039" t="inlineStr">
        <is>
          <t>0                      PR 4753000G  49          1978</t>
        </is>
      </c>
      <c r="F2039" t="inlineStr">
        <is>
          <t>Thomas Hardy's later years / by Robert Gittings.</t>
        </is>
      </c>
      <c r="H2039" t="inlineStr">
        <is>
          <t>No</t>
        </is>
      </c>
      <c r="I2039" t="inlineStr">
        <is>
          <t>1</t>
        </is>
      </c>
      <c r="J2039" t="inlineStr">
        <is>
          <t>No</t>
        </is>
      </c>
      <c r="K2039" t="inlineStr">
        <is>
          <t>No</t>
        </is>
      </c>
      <c r="L2039" t="inlineStr">
        <is>
          <t>0</t>
        </is>
      </c>
      <c r="M2039" t="inlineStr">
        <is>
          <t>Gittings, Robert.</t>
        </is>
      </c>
      <c r="N2039" t="inlineStr">
        <is>
          <t>Boston : Little, Brown, c1978.</t>
        </is>
      </c>
      <c r="O2039" t="inlineStr">
        <is>
          <t>1978</t>
        </is>
      </c>
      <c r="P2039" t="inlineStr">
        <is>
          <t>1st American ed.</t>
        </is>
      </c>
      <c r="Q2039" t="inlineStr">
        <is>
          <t>eng</t>
        </is>
      </c>
      <c r="R2039" t="inlineStr">
        <is>
          <t>mau</t>
        </is>
      </c>
      <c r="T2039" t="inlineStr">
        <is>
          <t xml:space="preserve">PR </t>
        </is>
      </c>
      <c r="U2039" t="n">
        <v>1</v>
      </c>
      <c r="V2039" t="n">
        <v>1</v>
      </c>
      <c r="W2039" t="inlineStr">
        <is>
          <t>2002-12-11</t>
        </is>
      </c>
      <c r="X2039" t="inlineStr">
        <is>
          <t>2002-12-11</t>
        </is>
      </c>
      <c r="Y2039" t="inlineStr">
        <is>
          <t>2002-12-11</t>
        </is>
      </c>
      <c r="Z2039" t="inlineStr">
        <is>
          <t>2002-12-11</t>
        </is>
      </c>
      <c r="AA2039" t="n">
        <v>1121</v>
      </c>
      <c r="AB2039" t="n">
        <v>1049</v>
      </c>
      <c r="AC2039" t="n">
        <v>1052</v>
      </c>
      <c r="AD2039" t="n">
        <v>9</v>
      </c>
      <c r="AE2039" t="n">
        <v>9</v>
      </c>
      <c r="AF2039" t="n">
        <v>42</v>
      </c>
      <c r="AG2039" t="n">
        <v>42</v>
      </c>
      <c r="AH2039" t="n">
        <v>18</v>
      </c>
      <c r="AI2039" t="n">
        <v>18</v>
      </c>
      <c r="AJ2039" t="n">
        <v>10</v>
      </c>
      <c r="AK2039" t="n">
        <v>10</v>
      </c>
      <c r="AL2039" t="n">
        <v>18</v>
      </c>
      <c r="AM2039" t="n">
        <v>18</v>
      </c>
      <c r="AN2039" t="n">
        <v>8</v>
      </c>
      <c r="AO2039" t="n">
        <v>8</v>
      </c>
      <c r="AP2039" t="n">
        <v>0</v>
      </c>
      <c r="AQ2039" t="n">
        <v>0</v>
      </c>
      <c r="AR2039" t="inlineStr">
        <is>
          <t>No</t>
        </is>
      </c>
      <c r="AS2039" t="inlineStr">
        <is>
          <t>Yes</t>
        </is>
      </c>
      <c r="AT2039">
        <f>HYPERLINK("http://catalog.hathitrust.org/Record/000090138","HathiTrust Record")</f>
        <v/>
      </c>
      <c r="AU2039">
        <f>HYPERLINK("https://creighton-primo.hosted.exlibrisgroup.com/primo-explore/search?tab=default_tab&amp;search_scope=EVERYTHING&amp;vid=01CRU&amp;lang=en_US&amp;offset=0&amp;query=any,contains,991003960199702656","Catalog Record")</f>
        <v/>
      </c>
      <c r="AV2039">
        <f>HYPERLINK("http://www.worldcat.org/oclc/3558897","WorldCat Record")</f>
        <v/>
      </c>
      <c r="AW2039" t="inlineStr">
        <is>
          <t>10673698248:eng</t>
        </is>
      </c>
      <c r="AX2039" t="inlineStr">
        <is>
          <t>3558897</t>
        </is>
      </c>
      <c r="AY2039" t="inlineStr">
        <is>
          <t>991003960199702656</t>
        </is>
      </c>
      <c r="AZ2039" t="inlineStr">
        <is>
          <t>991003960199702656</t>
        </is>
      </c>
      <c r="BA2039" t="inlineStr">
        <is>
          <t>2262196900002656</t>
        </is>
      </c>
      <c r="BB2039" t="inlineStr">
        <is>
          <t>BOOK</t>
        </is>
      </c>
      <c r="BD2039" t="inlineStr">
        <is>
          <t>9780316314541</t>
        </is>
      </c>
      <c r="BE2039" t="inlineStr">
        <is>
          <t>32285004690326</t>
        </is>
      </c>
      <c r="BF2039" t="inlineStr">
        <is>
          <t>893605461</t>
        </is>
      </c>
    </row>
    <row r="2040">
      <c r="A2040" t="inlineStr">
        <is>
          <t>No</t>
        </is>
      </c>
      <c r="B2040" t="inlineStr">
        <is>
          <t>CURAL</t>
        </is>
      </c>
      <c r="C2040" t="inlineStr">
        <is>
          <t>SHELVES</t>
        </is>
      </c>
      <c r="D2040" t="inlineStr">
        <is>
          <t>PR4753 .H3</t>
        </is>
      </c>
      <c r="E2040" t="inlineStr">
        <is>
          <t>0                      PR 4753000H  3</t>
        </is>
      </c>
      <c r="F2040" t="inlineStr">
        <is>
          <t>The early life of Thomas Hardy, 1840-1891, compiled largely from contemporary notes, letters, diaries, and biographical memoranda, as well as from oral information in conversations extending over many years, by Florence Emily Hardy.</t>
        </is>
      </c>
      <c r="H2040" t="inlineStr">
        <is>
          <t>No</t>
        </is>
      </c>
      <c r="I2040" t="inlineStr">
        <is>
          <t>1</t>
        </is>
      </c>
      <c r="J2040" t="inlineStr">
        <is>
          <t>No</t>
        </is>
      </c>
      <c r="K2040" t="inlineStr">
        <is>
          <t>No</t>
        </is>
      </c>
      <c r="L2040" t="inlineStr">
        <is>
          <t>0</t>
        </is>
      </c>
      <c r="M2040" t="inlineStr">
        <is>
          <t>Hardy, Florence Emily, 1879-1937.</t>
        </is>
      </c>
      <c r="N2040" t="inlineStr">
        <is>
          <t>New York, Macmillan and co., limited, 1928.</t>
        </is>
      </c>
      <c r="O2040" t="inlineStr">
        <is>
          <t>1928</t>
        </is>
      </c>
      <c r="Q2040" t="inlineStr">
        <is>
          <t>eng</t>
        </is>
      </c>
      <c r="R2040" t="inlineStr">
        <is>
          <t xml:space="preserve">xx </t>
        </is>
      </c>
      <c r="T2040" t="inlineStr">
        <is>
          <t xml:space="preserve">PR </t>
        </is>
      </c>
      <c r="U2040" t="n">
        <v>2</v>
      </c>
      <c r="V2040" t="n">
        <v>2</v>
      </c>
      <c r="W2040" t="inlineStr">
        <is>
          <t>1992-06-02</t>
        </is>
      </c>
      <c r="X2040" t="inlineStr">
        <is>
          <t>1992-06-02</t>
        </is>
      </c>
      <c r="Y2040" t="inlineStr">
        <is>
          <t>1992-05-21</t>
        </is>
      </c>
      <c r="Z2040" t="inlineStr">
        <is>
          <t>1992-05-21</t>
        </is>
      </c>
      <c r="AA2040" t="n">
        <v>200</v>
      </c>
      <c r="AB2040" t="n">
        <v>128</v>
      </c>
      <c r="AC2040" t="n">
        <v>818</v>
      </c>
      <c r="AD2040" t="n">
        <v>1</v>
      </c>
      <c r="AE2040" t="n">
        <v>7</v>
      </c>
      <c r="AF2040" t="n">
        <v>2</v>
      </c>
      <c r="AG2040" t="n">
        <v>40</v>
      </c>
      <c r="AH2040" t="n">
        <v>0</v>
      </c>
      <c r="AI2040" t="n">
        <v>18</v>
      </c>
      <c r="AJ2040" t="n">
        <v>0</v>
      </c>
      <c r="AK2040" t="n">
        <v>9</v>
      </c>
      <c r="AL2040" t="n">
        <v>2</v>
      </c>
      <c r="AM2040" t="n">
        <v>17</v>
      </c>
      <c r="AN2040" t="n">
        <v>0</v>
      </c>
      <c r="AO2040" t="n">
        <v>6</v>
      </c>
      <c r="AP2040" t="n">
        <v>0</v>
      </c>
      <c r="AQ2040" t="n">
        <v>0</v>
      </c>
      <c r="AR2040" t="inlineStr">
        <is>
          <t>No</t>
        </is>
      </c>
      <c r="AS2040" t="inlineStr">
        <is>
          <t>No</t>
        </is>
      </c>
      <c r="AT2040">
        <f>HYPERLINK("http://catalog.hathitrust.org/Record/006155118","HathiTrust Record")</f>
        <v/>
      </c>
      <c r="AU2040">
        <f>HYPERLINK("https://creighton-primo.hosted.exlibrisgroup.com/primo-explore/search?tab=default_tab&amp;search_scope=EVERYTHING&amp;vid=01CRU&amp;lang=en_US&amp;offset=0&amp;query=any,contains,991003207749702656","Catalog Record")</f>
        <v/>
      </c>
      <c r="AV2040">
        <f>HYPERLINK("http://www.worldcat.org/oclc/732907","WorldCat Record")</f>
        <v/>
      </c>
      <c r="AW2040" t="inlineStr">
        <is>
          <t>3855417967:eng</t>
        </is>
      </c>
      <c r="AX2040" t="inlineStr">
        <is>
          <t>732907</t>
        </is>
      </c>
      <c r="AY2040" t="inlineStr">
        <is>
          <t>991003207749702656</t>
        </is>
      </c>
      <c r="AZ2040" t="inlineStr">
        <is>
          <t>991003207749702656</t>
        </is>
      </c>
      <c r="BA2040" t="inlineStr">
        <is>
          <t>2256411180002656</t>
        </is>
      </c>
      <c r="BB2040" t="inlineStr">
        <is>
          <t>BOOK</t>
        </is>
      </c>
      <c r="BE2040" t="inlineStr">
        <is>
          <t>32285001098267</t>
        </is>
      </c>
      <c r="BF2040" t="inlineStr">
        <is>
          <t>893887240</t>
        </is>
      </c>
    </row>
    <row r="2041">
      <c r="A2041" t="inlineStr">
        <is>
          <t>No</t>
        </is>
      </c>
      <c r="B2041" t="inlineStr">
        <is>
          <t>CURAL</t>
        </is>
      </c>
      <c r="C2041" t="inlineStr">
        <is>
          <t>SHELVES</t>
        </is>
      </c>
      <c r="D2041" t="inlineStr">
        <is>
          <t>PR4753 .H32 1930</t>
        </is>
      </c>
      <c r="E2041" t="inlineStr">
        <is>
          <t>0                      PR 4753000H  32          1930</t>
        </is>
      </c>
      <c r="F2041" t="inlineStr">
        <is>
          <t>The later years of Thomas Hardy, 1892-1928, by Florence Emily Hardy.</t>
        </is>
      </c>
      <c r="H2041" t="inlineStr">
        <is>
          <t>No</t>
        </is>
      </c>
      <c r="I2041" t="inlineStr">
        <is>
          <t>1</t>
        </is>
      </c>
      <c r="J2041" t="inlineStr">
        <is>
          <t>No</t>
        </is>
      </c>
      <c r="K2041" t="inlineStr">
        <is>
          <t>No</t>
        </is>
      </c>
      <c r="L2041" t="inlineStr">
        <is>
          <t>0</t>
        </is>
      </c>
      <c r="M2041" t="inlineStr">
        <is>
          <t>Hardy, Florence Emily, 1879-1937.</t>
        </is>
      </c>
      <c r="N2041" t="inlineStr">
        <is>
          <t>New York, The Macmillan company, 1930.</t>
        </is>
      </c>
      <c r="O2041" t="inlineStr">
        <is>
          <t>1930</t>
        </is>
      </c>
      <c r="Q2041" t="inlineStr">
        <is>
          <t>eng</t>
        </is>
      </c>
      <c r="R2041" t="inlineStr">
        <is>
          <t>nyu</t>
        </is>
      </c>
      <c r="T2041" t="inlineStr">
        <is>
          <t xml:space="preserve">PR </t>
        </is>
      </c>
      <c r="U2041" t="n">
        <v>1</v>
      </c>
      <c r="V2041" t="n">
        <v>1</v>
      </c>
      <c r="W2041" t="inlineStr">
        <is>
          <t>1992-06-02</t>
        </is>
      </c>
      <c r="X2041" t="inlineStr">
        <is>
          <t>1992-06-02</t>
        </is>
      </c>
      <c r="Y2041" t="inlineStr">
        <is>
          <t>1992-05-21</t>
        </is>
      </c>
      <c r="Z2041" t="inlineStr">
        <is>
          <t>1992-05-21</t>
        </is>
      </c>
      <c r="AA2041" t="n">
        <v>641</v>
      </c>
      <c r="AB2041" t="n">
        <v>617</v>
      </c>
      <c r="AC2041" t="n">
        <v>758</v>
      </c>
      <c r="AD2041" t="n">
        <v>5</v>
      </c>
      <c r="AE2041" t="n">
        <v>6</v>
      </c>
      <c r="AF2041" t="n">
        <v>33</v>
      </c>
      <c r="AG2041" t="n">
        <v>40</v>
      </c>
      <c r="AH2041" t="n">
        <v>15</v>
      </c>
      <c r="AI2041" t="n">
        <v>18</v>
      </c>
      <c r="AJ2041" t="n">
        <v>6</v>
      </c>
      <c r="AK2041" t="n">
        <v>9</v>
      </c>
      <c r="AL2041" t="n">
        <v>16</v>
      </c>
      <c r="AM2041" t="n">
        <v>17</v>
      </c>
      <c r="AN2041" t="n">
        <v>4</v>
      </c>
      <c r="AO2041" t="n">
        <v>5</v>
      </c>
      <c r="AP2041" t="n">
        <v>0</v>
      </c>
      <c r="AQ2041" t="n">
        <v>0</v>
      </c>
      <c r="AR2041" t="inlineStr">
        <is>
          <t>No</t>
        </is>
      </c>
      <c r="AS2041" t="inlineStr">
        <is>
          <t>Yes</t>
        </is>
      </c>
      <c r="AT2041">
        <f>HYPERLINK("http://catalog.hathitrust.org/Record/001421417","HathiTrust Record")</f>
        <v/>
      </c>
      <c r="AU2041">
        <f>HYPERLINK("https://creighton-primo.hosted.exlibrisgroup.com/primo-explore/search?tab=default_tab&amp;search_scope=EVERYTHING&amp;vid=01CRU&amp;lang=en_US&amp;offset=0&amp;query=any,contains,991003475909702656","Catalog Record")</f>
        <v/>
      </c>
      <c r="AV2041">
        <f>HYPERLINK("http://www.worldcat.org/oclc/1020497","WorldCat Record")</f>
        <v/>
      </c>
      <c r="AW2041" t="inlineStr">
        <is>
          <t>1747030:eng</t>
        </is>
      </c>
      <c r="AX2041" t="inlineStr">
        <is>
          <t>1020497</t>
        </is>
      </c>
      <c r="AY2041" t="inlineStr">
        <is>
          <t>991003475909702656</t>
        </is>
      </c>
      <c r="AZ2041" t="inlineStr">
        <is>
          <t>991003475909702656</t>
        </is>
      </c>
      <c r="BA2041" t="inlineStr">
        <is>
          <t>2267258230002656</t>
        </is>
      </c>
      <c r="BB2041" t="inlineStr">
        <is>
          <t>BOOK</t>
        </is>
      </c>
      <c r="BE2041" t="inlineStr">
        <is>
          <t>32285001098259</t>
        </is>
      </c>
      <c r="BF2041" t="inlineStr">
        <is>
          <t>893711393</t>
        </is>
      </c>
    </row>
    <row r="2042">
      <c r="A2042" t="inlineStr">
        <is>
          <t>No</t>
        </is>
      </c>
      <c r="B2042" t="inlineStr">
        <is>
          <t>CURAL</t>
        </is>
      </c>
      <c r="C2042" t="inlineStr">
        <is>
          <t>SHELVES</t>
        </is>
      </c>
      <c r="D2042" t="inlineStr">
        <is>
          <t>PR4753 .P56 1992</t>
        </is>
      </c>
      <c r="E2042" t="inlineStr">
        <is>
          <t>0                      PR 4753000P  56          1992</t>
        </is>
      </c>
      <c r="F2042" t="inlineStr">
        <is>
          <t>Thomas Hardy : his life and friends / F.B. Pinion.</t>
        </is>
      </c>
      <c r="H2042" t="inlineStr">
        <is>
          <t>No</t>
        </is>
      </c>
      <c r="I2042" t="inlineStr">
        <is>
          <t>1</t>
        </is>
      </c>
      <c r="J2042" t="inlineStr">
        <is>
          <t>No</t>
        </is>
      </c>
      <c r="K2042" t="inlineStr">
        <is>
          <t>No</t>
        </is>
      </c>
      <c r="L2042" t="inlineStr">
        <is>
          <t>0</t>
        </is>
      </c>
      <c r="M2042" t="inlineStr">
        <is>
          <t>Pinion, F. B.</t>
        </is>
      </c>
      <c r="N2042" t="inlineStr">
        <is>
          <t>New York : St. Martin's Press, 1992.</t>
        </is>
      </c>
      <c r="O2042" t="inlineStr">
        <is>
          <t>1992</t>
        </is>
      </c>
      <c r="Q2042" t="inlineStr">
        <is>
          <t>eng</t>
        </is>
      </c>
      <c r="R2042" t="inlineStr">
        <is>
          <t>nyu</t>
        </is>
      </c>
      <c r="T2042" t="inlineStr">
        <is>
          <t xml:space="preserve">PR </t>
        </is>
      </c>
      <c r="U2042" t="n">
        <v>2</v>
      </c>
      <c r="V2042" t="n">
        <v>2</v>
      </c>
      <c r="W2042" t="inlineStr">
        <is>
          <t>1995-12-13</t>
        </is>
      </c>
      <c r="X2042" t="inlineStr">
        <is>
          <t>1995-12-13</t>
        </is>
      </c>
      <c r="Y2042" t="inlineStr">
        <is>
          <t>1992-11-30</t>
        </is>
      </c>
      <c r="Z2042" t="inlineStr">
        <is>
          <t>1992-11-30</t>
        </is>
      </c>
      <c r="AA2042" t="n">
        <v>428</v>
      </c>
      <c r="AB2042" t="n">
        <v>393</v>
      </c>
      <c r="AC2042" t="n">
        <v>438</v>
      </c>
      <c r="AD2042" t="n">
        <v>3</v>
      </c>
      <c r="AE2042" t="n">
        <v>3</v>
      </c>
      <c r="AF2042" t="n">
        <v>19</v>
      </c>
      <c r="AG2042" t="n">
        <v>21</v>
      </c>
      <c r="AH2042" t="n">
        <v>6</v>
      </c>
      <c r="AI2042" t="n">
        <v>6</v>
      </c>
      <c r="AJ2042" t="n">
        <v>7</v>
      </c>
      <c r="AK2042" t="n">
        <v>7</v>
      </c>
      <c r="AL2042" t="n">
        <v>10</v>
      </c>
      <c r="AM2042" t="n">
        <v>12</v>
      </c>
      <c r="AN2042" t="n">
        <v>2</v>
      </c>
      <c r="AO2042" t="n">
        <v>2</v>
      </c>
      <c r="AP2042" t="n">
        <v>0</v>
      </c>
      <c r="AQ2042" t="n">
        <v>0</v>
      </c>
      <c r="AR2042" t="inlineStr">
        <is>
          <t>No</t>
        </is>
      </c>
      <c r="AS2042" t="inlineStr">
        <is>
          <t>No</t>
        </is>
      </c>
      <c r="AU2042">
        <f>HYPERLINK("https://creighton-primo.hosted.exlibrisgroup.com/primo-explore/search?tab=default_tab&amp;search_scope=EVERYTHING&amp;vid=01CRU&amp;lang=en_US&amp;offset=0&amp;query=any,contains,991001948869702656","Catalog Record")</f>
        <v/>
      </c>
      <c r="AV2042">
        <f>HYPERLINK("http://www.worldcat.org/oclc/24629476","WorldCat Record")</f>
        <v/>
      </c>
      <c r="AW2042" t="inlineStr">
        <is>
          <t>3943550487:eng</t>
        </is>
      </c>
      <c r="AX2042" t="inlineStr">
        <is>
          <t>24629476</t>
        </is>
      </c>
      <c r="AY2042" t="inlineStr">
        <is>
          <t>991001948869702656</t>
        </is>
      </c>
      <c r="AZ2042" t="inlineStr">
        <is>
          <t>991001948869702656</t>
        </is>
      </c>
      <c r="BA2042" t="inlineStr">
        <is>
          <t>2258459800002656</t>
        </is>
      </c>
      <c r="BB2042" t="inlineStr">
        <is>
          <t>BOOK</t>
        </is>
      </c>
      <c r="BD2042" t="inlineStr">
        <is>
          <t>9780312075705</t>
        </is>
      </c>
      <c r="BE2042" t="inlineStr">
        <is>
          <t>32285001400190</t>
        </is>
      </c>
      <c r="BF2042" t="inlineStr">
        <is>
          <t>893244580</t>
        </is>
      </c>
    </row>
    <row r="2043">
      <c r="A2043" t="inlineStr">
        <is>
          <t>No</t>
        </is>
      </c>
      <c r="B2043" t="inlineStr">
        <is>
          <t>CURAL</t>
        </is>
      </c>
      <c r="C2043" t="inlineStr">
        <is>
          <t>SHELVES</t>
        </is>
      </c>
      <c r="D2043" t="inlineStr">
        <is>
          <t>PR4753 .T87 1998</t>
        </is>
      </c>
      <c r="E2043" t="inlineStr">
        <is>
          <t>0                      PR 4753000T  87          1998</t>
        </is>
      </c>
      <c r="F2043" t="inlineStr">
        <is>
          <t>The life of Thomas Hardy : a critical biography / Paul Turner.</t>
        </is>
      </c>
      <c r="H2043" t="inlineStr">
        <is>
          <t>No</t>
        </is>
      </c>
      <c r="I2043" t="inlineStr">
        <is>
          <t>1</t>
        </is>
      </c>
      <c r="J2043" t="inlineStr">
        <is>
          <t>No</t>
        </is>
      </c>
      <c r="K2043" t="inlineStr">
        <is>
          <t>No</t>
        </is>
      </c>
      <c r="L2043" t="inlineStr">
        <is>
          <t>0</t>
        </is>
      </c>
      <c r="M2043" t="inlineStr">
        <is>
          <t>Turner, Paul, 1917-2005.</t>
        </is>
      </c>
      <c r="N2043" t="inlineStr">
        <is>
          <t>Oxford, UK ; Malden, Mass. : Blackwell Publishers, 1998.</t>
        </is>
      </c>
      <c r="O2043" t="inlineStr">
        <is>
          <t>1998</t>
        </is>
      </c>
      <c r="Q2043" t="inlineStr">
        <is>
          <t>eng</t>
        </is>
      </c>
      <c r="R2043" t="inlineStr">
        <is>
          <t>enk</t>
        </is>
      </c>
      <c r="S2043" t="inlineStr">
        <is>
          <t>Blackwell critical biographies ; 9</t>
        </is>
      </c>
      <c r="T2043" t="inlineStr">
        <is>
          <t xml:space="preserve">PR </t>
        </is>
      </c>
      <c r="U2043" t="n">
        <v>0</v>
      </c>
      <c r="V2043" t="n">
        <v>0</v>
      </c>
      <c r="W2043" t="inlineStr">
        <is>
          <t>2009-03-25</t>
        </is>
      </c>
      <c r="X2043" t="inlineStr">
        <is>
          <t>2009-03-25</t>
        </is>
      </c>
      <c r="Y2043" t="inlineStr">
        <is>
          <t>1999-02-25</t>
        </is>
      </c>
      <c r="Z2043" t="inlineStr">
        <is>
          <t>1999-02-25</t>
        </is>
      </c>
      <c r="AA2043" t="n">
        <v>615</v>
      </c>
      <c r="AB2043" t="n">
        <v>474</v>
      </c>
      <c r="AC2043" t="n">
        <v>963</v>
      </c>
      <c r="AD2043" t="n">
        <v>5</v>
      </c>
      <c r="AE2043" t="n">
        <v>5</v>
      </c>
      <c r="AF2043" t="n">
        <v>28</v>
      </c>
      <c r="AG2043" t="n">
        <v>30</v>
      </c>
      <c r="AH2043" t="n">
        <v>10</v>
      </c>
      <c r="AI2043" t="n">
        <v>12</v>
      </c>
      <c r="AJ2043" t="n">
        <v>6</v>
      </c>
      <c r="AK2043" t="n">
        <v>6</v>
      </c>
      <c r="AL2043" t="n">
        <v>13</v>
      </c>
      <c r="AM2043" t="n">
        <v>13</v>
      </c>
      <c r="AN2043" t="n">
        <v>4</v>
      </c>
      <c r="AO2043" t="n">
        <v>4</v>
      </c>
      <c r="AP2043" t="n">
        <v>0</v>
      </c>
      <c r="AQ2043" t="n">
        <v>0</v>
      </c>
      <c r="AR2043" t="inlineStr">
        <is>
          <t>No</t>
        </is>
      </c>
      <c r="AS2043" t="inlineStr">
        <is>
          <t>No</t>
        </is>
      </c>
      <c r="AU2043">
        <f>HYPERLINK("https://creighton-primo.hosted.exlibrisgroup.com/primo-explore/search?tab=default_tab&amp;search_scope=EVERYTHING&amp;vid=01CRU&amp;lang=en_US&amp;offset=0&amp;query=any,contains,991002824729702656","Catalog Record")</f>
        <v/>
      </c>
      <c r="AV2043">
        <f>HYPERLINK("http://www.worldcat.org/oclc/37187477","WorldCat Record")</f>
        <v/>
      </c>
      <c r="AW2043" t="inlineStr">
        <is>
          <t>799952303:eng</t>
        </is>
      </c>
      <c r="AX2043" t="inlineStr">
        <is>
          <t>37187477</t>
        </is>
      </c>
      <c r="AY2043" t="inlineStr">
        <is>
          <t>991002824729702656</t>
        </is>
      </c>
      <c r="AZ2043" t="inlineStr">
        <is>
          <t>991002824729702656</t>
        </is>
      </c>
      <c r="BA2043" t="inlineStr">
        <is>
          <t>2258638440002656</t>
        </is>
      </c>
      <c r="BB2043" t="inlineStr">
        <is>
          <t>BOOK</t>
        </is>
      </c>
      <c r="BD2043" t="inlineStr">
        <is>
          <t>9780631168812</t>
        </is>
      </c>
      <c r="BE2043" t="inlineStr">
        <is>
          <t>32285003527065</t>
        </is>
      </c>
      <c r="BF2043" t="inlineStr">
        <is>
          <t>893227331</t>
        </is>
      </c>
    </row>
    <row r="2044">
      <c r="A2044" t="inlineStr">
        <is>
          <t>No</t>
        </is>
      </c>
      <c r="B2044" t="inlineStr">
        <is>
          <t>CURAL</t>
        </is>
      </c>
      <c r="C2044" t="inlineStr">
        <is>
          <t>SHELVES</t>
        </is>
      </c>
      <c r="D2044" t="inlineStr">
        <is>
          <t>PR4753 .W27</t>
        </is>
      </c>
      <c r="E2044" t="inlineStr">
        <is>
          <t>0                      PR 4753000W  27</t>
        </is>
      </c>
      <c r="F2044" t="inlineStr">
        <is>
          <t>Hardy of Wessex, his life and literary career, by Carl J. Weber.</t>
        </is>
      </c>
      <c r="H2044" t="inlineStr">
        <is>
          <t>No</t>
        </is>
      </c>
      <c r="I2044" t="inlineStr">
        <is>
          <t>1</t>
        </is>
      </c>
      <c r="J2044" t="inlineStr">
        <is>
          <t>No</t>
        </is>
      </c>
      <c r="K2044" t="inlineStr">
        <is>
          <t>No</t>
        </is>
      </c>
      <c r="L2044" t="inlineStr">
        <is>
          <t>0</t>
        </is>
      </c>
      <c r="M2044" t="inlineStr">
        <is>
          <t>Weber, Carl J. (Carl Jefferson), 1894-1966.</t>
        </is>
      </c>
      <c r="N2044" t="inlineStr">
        <is>
          <t>New York, Columbia University Press [1965]</t>
        </is>
      </c>
      <c r="O2044" t="inlineStr">
        <is>
          <t>1965</t>
        </is>
      </c>
      <c r="P2044" t="inlineStr">
        <is>
          <t>[Rev. ed.]</t>
        </is>
      </c>
      <c r="Q2044" t="inlineStr">
        <is>
          <t>eng</t>
        </is>
      </c>
      <c r="R2044" t="inlineStr">
        <is>
          <t>nyu</t>
        </is>
      </c>
      <c r="T2044" t="inlineStr">
        <is>
          <t xml:space="preserve">PR </t>
        </is>
      </c>
      <c r="U2044" t="n">
        <v>3</v>
      </c>
      <c r="V2044" t="n">
        <v>3</v>
      </c>
      <c r="W2044" t="inlineStr">
        <is>
          <t>1994-04-27</t>
        </is>
      </c>
      <c r="X2044" t="inlineStr">
        <is>
          <t>1994-04-27</t>
        </is>
      </c>
      <c r="Y2044" t="inlineStr">
        <is>
          <t>1992-05-21</t>
        </is>
      </c>
      <c r="Z2044" t="inlineStr">
        <is>
          <t>1992-05-21</t>
        </is>
      </c>
      <c r="AA2044" t="n">
        <v>997</v>
      </c>
      <c r="AB2044" t="n">
        <v>863</v>
      </c>
      <c r="AC2044" t="n">
        <v>1164</v>
      </c>
      <c r="AD2044" t="n">
        <v>9</v>
      </c>
      <c r="AE2044" t="n">
        <v>10</v>
      </c>
      <c r="AF2044" t="n">
        <v>41</v>
      </c>
      <c r="AG2044" t="n">
        <v>51</v>
      </c>
      <c r="AH2044" t="n">
        <v>14</v>
      </c>
      <c r="AI2044" t="n">
        <v>21</v>
      </c>
      <c r="AJ2044" t="n">
        <v>7</v>
      </c>
      <c r="AK2044" t="n">
        <v>8</v>
      </c>
      <c r="AL2044" t="n">
        <v>21</v>
      </c>
      <c r="AM2044" t="n">
        <v>23</v>
      </c>
      <c r="AN2044" t="n">
        <v>8</v>
      </c>
      <c r="AO2044" t="n">
        <v>9</v>
      </c>
      <c r="AP2044" t="n">
        <v>0</v>
      </c>
      <c r="AQ2044" t="n">
        <v>0</v>
      </c>
      <c r="AR2044" t="inlineStr">
        <is>
          <t>No</t>
        </is>
      </c>
      <c r="AS2044" t="inlineStr">
        <is>
          <t>Yes</t>
        </is>
      </c>
      <c r="AT2044">
        <f>HYPERLINK("http://catalog.hathitrust.org/Record/000434897","HathiTrust Record")</f>
        <v/>
      </c>
      <c r="AU2044">
        <f>HYPERLINK("https://creighton-primo.hosted.exlibrisgroup.com/primo-explore/search?tab=default_tab&amp;search_scope=EVERYTHING&amp;vid=01CRU&amp;lang=en_US&amp;offset=0&amp;query=any,contains,991003179889702656","Catalog Record")</f>
        <v/>
      </c>
      <c r="AV2044">
        <f>HYPERLINK("http://www.worldcat.org/oclc/711536","WorldCat Record")</f>
        <v/>
      </c>
      <c r="AW2044" t="inlineStr">
        <is>
          <t>1658807:eng</t>
        </is>
      </c>
      <c r="AX2044" t="inlineStr">
        <is>
          <t>711536</t>
        </is>
      </c>
      <c r="AY2044" t="inlineStr">
        <is>
          <t>991003179889702656</t>
        </is>
      </c>
      <c r="AZ2044" t="inlineStr">
        <is>
          <t>991003179889702656</t>
        </is>
      </c>
      <c r="BA2044" t="inlineStr">
        <is>
          <t>2261912730002656</t>
        </is>
      </c>
      <c r="BB2044" t="inlineStr">
        <is>
          <t>BOOK</t>
        </is>
      </c>
      <c r="BE2044" t="inlineStr">
        <is>
          <t>32285001098242</t>
        </is>
      </c>
      <c r="BF2044" t="inlineStr">
        <is>
          <t>893330046</t>
        </is>
      </c>
    </row>
    <row r="2045">
      <c r="A2045" t="inlineStr">
        <is>
          <t>No</t>
        </is>
      </c>
      <c r="B2045" t="inlineStr">
        <is>
          <t>CURAL</t>
        </is>
      </c>
      <c r="C2045" t="inlineStr">
        <is>
          <t>SHELVES</t>
        </is>
      </c>
      <c r="D2045" t="inlineStr">
        <is>
          <t>PR4753.H3 T7</t>
        </is>
      </c>
      <c r="E2045" t="inlineStr">
        <is>
          <t>0                      PR 4753000H  3                  T  7</t>
        </is>
      </c>
      <c r="F2045" t="inlineStr">
        <is>
          <t>Thomas Hardy; a critical biography.</t>
        </is>
      </c>
      <c r="H2045" t="inlineStr">
        <is>
          <t>No</t>
        </is>
      </c>
      <c r="I2045" t="inlineStr">
        <is>
          <t>1</t>
        </is>
      </c>
      <c r="J2045" t="inlineStr">
        <is>
          <t>No</t>
        </is>
      </c>
      <c r="K2045" t="inlineStr">
        <is>
          <t>No</t>
        </is>
      </c>
      <c r="L2045" t="inlineStr">
        <is>
          <t>0</t>
        </is>
      </c>
      <c r="M2045" t="inlineStr">
        <is>
          <t>Hardy, Evelyn, 1902-</t>
        </is>
      </c>
      <c r="N2045" t="inlineStr">
        <is>
          <t>London, Hogarth Press, 1954.</t>
        </is>
      </c>
      <c r="O2045" t="inlineStr">
        <is>
          <t>1954</t>
        </is>
      </c>
      <c r="Q2045" t="inlineStr">
        <is>
          <t>eng</t>
        </is>
      </c>
      <c r="R2045" t="inlineStr">
        <is>
          <t>enk</t>
        </is>
      </c>
      <c r="T2045" t="inlineStr">
        <is>
          <t xml:space="preserve">PR </t>
        </is>
      </c>
      <c r="U2045" t="n">
        <v>1</v>
      </c>
      <c r="V2045" t="n">
        <v>1</v>
      </c>
      <c r="W2045" t="inlineStr">
        <is>
          <t>1992-06-02</t>
        </is>
      </c>
      <c r="X2045" t="inlineStr">
        <is>
          <t>1992-06-02</t>
        </is>
      </c>
      <c r="Y2045" t="inlineStr">
        <is>
          <t>1992-05-21</t>
        </is>
      </c>
      <c r="Z2045" t="inlineStr">
        <is>
          <t>1992-05-21</t>
        </is>
      </c>
      <c r="AA2045" t="n">
        <v>330</v>
      </c>
      <c r="AB2045" t="n">
        <v>199</v>
      </c>
      <c r="AC2045" t="n">
        <v>693</v>
      </c>
      <c r="AD2045" t="n">
        <v>4</v>
      </c>
      <c r="AE2045" t="n">
        <v>8</v>
      </c>
      <c r="AF2045" t="n">
        <v>15</v>
      </c>
      <c r="AG2045" t="n">
        <v>38</v>
      </c>
      <c r="AH2045" t="n">
        <v>6</v>
      </c>
      <c r="AI2045" t="n">
        <v>14</v>
      </c>
      <c r="AJ2045" t="n">
        <v>2</v>
      </c>
      <c r="AK2045" t="n">
        <v>6</v>
      </c>
      <c r="AL2045" t="n">
        <v>10</v>
      </c>
      <c r="AM2045" t="n">
        <v>21</v>
      </c>
      <c r="AN2045" t="n">
        <v>3</v>
      </c>
      <c r="AO2045" t="n">
        <v>7</v>
      </c>
      <c r="AP2045" t="n">
        <v>0</v>
      </c>
      <c r="AQ2045" t="n">
        <v>0</v>
      </c>
      <c r="AR2045" t="inlineStr">
        <is>
          <t>No</t>
        </is>
      </c>
      <c r="AS2045" t="inlineStr">
        <is>
          <t>Yes</t>
        </is>
      </c>
      <c r="AT2045">
        <f>HYPERLINK("http://catalog.hathitrust.org/Record/000478153","HathiTrust Record")</f>
        <v/>
      </c>
      <c r="AU2045">
        <f>HYPERLINK("https://creighton-primo.hosted.exlibrisgroup.com/primo-explore/search?tab=default_tab&amp;search_scope=EVERYTHING&amp;vid=01CRU&amp;lang=en_US&amp;offset=0&amp;query=any,contains,991004257319702656","Catalog Record")</f>
        <v/>
      </c>
      <c r="AV2045">
        <f>HYPERLINK("http://www.worldcat.org/oclc/2829530","WorldCat Record")</f>
        <v/>
      </c>
      <c r="AW2045" t="inlineStr">
        <is>
          <t>1808543604:eng</t>
        </is>
      </c>
      <c r="AX2045" t="inlineStr">
        <is>
          <t>2829530</t>
        </is>
      </c>
      <c r="AY2045" t="inlineStr">
        <is>
          <t>991004257319702656</t>
        </is>
      </c>
      <c r="AZ2045" t="inlineStr">
        <is>
          <t>991004257319702656</t>
        </is>
      </c>
      <c r="BA2045" t="inlineStr">
        <is>
          <t>2258107930002656</t>
        </is>
      </c>
      <c r="BB2045" t="inlineStr">
        <is>
          <t>BOOK</t>
        </is>
      </c>
      <c r="BE2045" t="inlineStr">
        <is>
          <t>32285001098283</t>
        </is>
      </c>
      <c r="BF2045" t="inlineStr">
        <is>
          <t>893618451</t>
        </is>
      </c>
    </row>
    <row r="2046">
      <c r="A2046" t="inlineStr">
        <is>
          <t>No</t>
        </is>
      </c>
      <c r="B2046" t="inlineStr">
        <is>
          <t>CURAL</t>
        </is>
      </c>
      <c r="C2046" t="inlineStr">
        <is>
          <t>SHELVES</t>
        </is>
      </c>
      <c r="D2046" t="inlineStr">
        <is>
          <t>PR4754 .C25</t>
        </is>
      </c>
      <c r="E2046" t="inlineStr">
        <is>
          <t>0                      PR 4754000C  25</t>
        </is>
      </c>
      <c r="F2046" t="inlineStr">
        <is>
          <t>Thomas Hardy / by Richard Carpenter.</t>
        </is>
      </c>
      <c r="H2046" t="inlineStr">
        <is>
          <t>No</t>
        </is>
      </c>
      <c r="I2046" t="inlineStr">
        <is>
          <t>1</t>
        </is>
      </c>
      <c r="J2046" t="inlineStr">
        <is>
          <t>No</t>
        </is>
      </c>
      <c r="K2046" t="inlineStr">
        <is>
          <t>No</t>
        </is>
      </c>
      <c r="L2046" t="inlineStr">
        <is>
          <t>0</t>
        </is>
      </c>
      <c r="M2046" t="inlineStr">
        <is>
          <t>Carpenter, Richard C.</t>
        </is>
      </c>
      <c r="N2046" t="inlineStr">
        <is>
          <t>New York : Twayne Publishers, [1964]</t>
        </is>
      </c>
      <c r="O2046" t="inlineStr">
        <is>
          <t>1964</t>
        </is>
      </c>
      <c r="Q2046" t="inlineStr">
        <is>
          <t>eng</t>
        </is>
      </c>
      <c r="R2046" t="inlineStr">
        <is>
          <t>nyu</t>
        </is>
      </c>
      <c r="S2046" t="inlineStr">
        <is>
          <t>Twayne's English authors series, 13</t>
        </is>
      </c>
      <c r="T2046" t="inlineStr">
        <is>
          <t xml:space="preserve">PR </t>
        </is>
      </c>
      <c r="U2046" t="n">
        <v>5</v>
      </c>
      <c r="V2046" t="n">
        <v>5</v>
      </c>
      <c r="W2046" t="inlineStr">
        <is>
          <t>1998-09-10</t>
        </is>
      </c>
      <c r="X2046" t="inlineStr">
        <is>
          <t>1998-09-10</t>
        </is>
      </c>
      <c r="Y2046" t="inlineStr">
        <is>
          <t>1992-11-24</t>
        </is>
      </c>
      <c r="Z2046" t="inlineStr">
        <is>
          <t>1992-11-24</t>
        </is>
      </c>
      <c r="AA2046" t="n">
        <v>1957</v>
      </c>
      <c r="AB2046" t="n">
        <v>1783</v>
      </c>
      <c r="AC2046" t="n">
        <v>1890</v>
      </c>
      <c r="AD2046" t="n">
        <v>14</v>
      </c>
      <c r="AE2046" t="n">
        <v>14</v>
      </c>
      <c r="AF2046" t="n">
        <v>51</v>
      </c>
      <c r="AG2046" t="n">
        <v>54</v>
      </c>
      <c r="AH2046" t="n">
        <v>23</v>
      </c>
      <c r="AI2046" t="n">
        <v>24</v>
      </c>
      <c r="AJ2046" t="n">
        <v>9</v>
      </c>
      <c r="AK2046" t="n">
        <v>10</v>
      </c>
      <c r="AL2046" t="n">
        <v>20</v>
      </c>
      <c r="AM2046" t="n">
        <v>21</v>
      </c>
      <c r="AN2046" t="n">
        <v>11</v>
      </c>
      <c r="AO2046" t="n">
        <v>11</v>
      </c>
      <c r="AP2046" t="n">
        <v>0</v>
      </c>
      <c r="AQ2046" t="n">
        <v>0</v>
      </c>
      <c r="AR2046" t="inlineStr">
        <is>
          <t>No</t>
        </is>
      </c>
      <c r="AS2046" t="inlineStr">
        <is>
          <t>Yes</t>
        </is>
      </c>
      <c r="AT2046">
        <f>HYPERLINK("http://catalog.hathitrust.org/Record/000435652","HathiTrust Record")</f>
        <v/>
      </c>
      <c r="AU2046">
        <f>HYPERLINK("https://creighton-primo.hosted.exlibrisgroup.com/primo-explore/search?tab=default_tab&amp;search_scope=EVERYTHING&amp;vid=01CRU&amp;lang=en_US&amp;offset=0&amp;query=any,contains,991002469259702656","Catalog Record")</f>
        <v/>
      </c>
      <c r="AV2046">
        <f>HYPERLINK("http://www.worldcat.org/oclc/358353","WorldCat Record")</f>
        <v/>
      </c>
      <c r="AW2046" t="inlineStr">
        <is>
          <t>4919610512:eng</t>
        </is>
      </c>
      <c r="AX2046" t="inlineStr">
        <is>
          <t>358353</t>
        </is>
      </c>
      <c r="AY2046" t="inlineStr">
        <is>
          <t>991002469259702656</t>
        </is>
      </c>
      <c r="AZ2046" t="inlineStr">
        <is>
          <t>991002469259702656</t>
        </is>
      </c>
      <c r="BA2046" t="inlineStr">
        <is>
          <t>2266104730002656</t>
        </is>
      </c>
      <c r="BB2046" t="inlineStr">
        <is>
          <t>BOOK</t>
        </is>
      </c>
      <c r="BE2046" t="inlineStr">
        <is>
          <t>32285001408607</t>
        </is>
      </c>
      <c r="BF2046" t="inlineStr">
        <is>
          <t>893510777</t>
        </is>
      </c>
    </row>
    <row r="2047">
      <c r="A2047" t="inlineStr">
        <is>
          <t>No</t>
        </is>
      </c>
      <c r="B2047" t="inlineStr">
        <is>
          <t>CURAL</t>
        </is>
      </c>
      <c r="C2047" t="inlineStr">
        <is>
          <t>SHELVES</t>
        </is>
      </c>
      <c r="D2047" t="inlineStr">
        <is>
          <t>PR4754 .G78</t>
        </is>
      </c>
      <c r="E2047" t="inlineStr">
        <is>
          <t>0                      PR 4754000G  78</t>
        </is>
      </c>
      <c r="F2047" t="inlineStr">
        <is>
          <t>Hardy : a collection of critical essays.</t>
        </is>
      </c>
      <c r="H2047" t="inlineStr">
        <is>
          <t>No</t>
        </is>
      </c>
      <c r="I2047" t="inlineStr">
        <is>
          <t>1</t>
        </is>
      </c>
      <c r="J2047" t="inlineStr">
        <is>
          <t>No</t>
        </is>
      </c>
      <c r="K2047" t="inlineStr">
        <is>
          <t>No</t>
        </is>
      </c>
      <c r="L2047" t="inlineStr">
        <is>
          <t>0</t>
        </is>
      </c>
      <c r="M2047" t="inlineStr">
        <is>
          <t>Guérard, Albert J. (Albert Joseph), 1914-2000 editor.</t>
        </is>
      </c>
      <c r="N2047" t="inlineStr">
        <is>
          <t>Englewood Cliffs, N.J. : Prentice-Hall, [1963]</t>
        </is>
      </c>
      <c r="O2047" t="inlineStr">
        <is>
          <t>1963</t>
        </is>
      </c>
      <c r="Q2047" t="inlineStr">
        <is>
          <t>eng</t>
        </is>
      </c>
      <c r="R2047" t="inlineStr">
        <is>
          <t>nju</t>
        </is>
      </c>
      <c r="S2047" t="inlineStr">
        <is>
          <t>A Spectrum book</t>
        </is>
      </c>
      <c r="T2047" t="inlineStr">
        <is>
          <t xml:space="preserve">PR </t>
        </is>
      </c>
      <c r="U2047" t="n">
        <v>3</v>
      </c>
      <c r="V2047" t="n">
        <v>3</v>
      </c>
      <c r="W2047" t="inlineStr">
        <is>
          <t>1996-03-31</t>
        </is>
      </c>
      <c r="X2047" t="inlineStr">
        <is>
          <t>1996-03-31</t>
        </is>
      </c>
      <c r="Y2047" t="inlineStr">
        <is>
          <t>1992-05-19</t>
        </is>
      </c>
      <c r="Z2047" t="inlineStr">
        <is>
          <t>1992-05-19</t>
        </is>
      </c>
      <c r="AA2047" t="n">
        <v>2232</v>
      </c>
      <c r="AB2047" t="n">
        <v>1935</v>
      </c>
      <c r="AC2047" t="n">
        <v>1951</v>
      </c>
      <c r="AD2047" t="n">
        <v>17</v>
      </c>
      <c r="AE2047" t="n">
        <v>17</v>
      </c>
      <c r="AF2047" t="n">
        <v>58</v>
      </c>
      <c r="AG2047" t="n">
        <v>58</v>
      </c>
      <c r="AH2047" t="n">
        <v>24</v>
      </c>
      <c r="AI2047" t="n">
        <v>24</v>
      </c>
      <c r="AJ2047" t="n">
        <v>8</v>
      </c>
      <c r="AK2047" t="n">
        <v>8</v>
      </c>
      <c r="AL2047" t="n">
        <v>25</v>
      </c>
      <c r="AM2047" t="n">
        <v>25</v>
      </c>
      <c r="AN2047" t="n">
        <v>14</v>
      </c>
      <c r="AO2047" t="n">
        <v>14</v>
      </c>
      <c r="AP2047" t="n">
        <v>0</v>
      </c>
      <c r="AQ2047" t="n">
        <v>0</v>
      </c>
      <c r="AR2047" t="inlineStr">
        <is>
          <t>No</t>
        </is>
      </c>
      <c r="AS2047" t="inlineStr">
        <is>
          <t>Yes</t>
        </is>
      </c>
      <c r="AT2047">
        <f>HYPERLINK("http://catalog.hathitrust.org/Record/000478132","HathiTrust Record")</f>
        <v/>
      </c>
      <c r="AU2047">
        <f>HYPERLINK("https://creighton-primo.hosted.exlibrisgroup.com/primo-explore/search?tab=default_tab&amp;search_scope=EVERYTHING&amp;vid=01CRU&amp;lang=en_US&amp;offset=0&amp;query=any,contains,991002483089702656","Catalog Record")</f>
        <v/>
      </c>
      <c r="AV2047">
        <f>HYPERLINK("http://www.worldcat.org/oclc/360234","WorldCat Record")</f>
        <v/>
      </c>
      <c r="AW2047" t="inlineStr">
        <is>
          <t>889352578:eng</t>
        </is>
      </c>
      <c r="AX2047" t="inlineStr">
        <is>
          <t>360234</t>
        </is>
      </c>
      <c r="AY2047" t="inlineStr">
        <is>
          <t>991002483089702656</t>
        </is>
      </c>
      <c r="AZ2047" t="inlineStr">
        <is>
          <t>991002483089702656</t>
        </is>
      </c>
      <c r="BA2047" t="inlineStr">
        <is>
          <t>2263820200002656</t>
        </is>
      </c>
      <c r="BB2047" t="inlineStr">
        <is>
          <t>BOOK</t>
        </is>
      </c>
      <c r="BE2047" t="inlineStr">
        <is>
          <t>32285001111573</t>
        </is>
      </c>
      <c r="BF2047" t="inlineStr">
        <is>
          <t>893903919</t>
        </is>
      </c>
    </row>
    <row r="2048">
      <c r="A2048" t="inlineStr">
        <is>
          <t>No</t>
        </is>
      </c>
      <c r="B2048" t="inlineStr">
        <is>
          <t>CURAL</t>
        </is>
      </c>
      <c r="C2048" t="inlineStr">
        <is>
          <t>SHELVES</t>
        </is>
      </c>
      <c r="D2048" t="inlineStr">
        <is>
          <t>PR4754 .H6</t>
        </is>
      </c>
      <c r="E2048" t="inlineStr">
        <is>
          <t>0                      PR 4754000H  6</t>
        </is>
      </c>
      <c r="F2048" t="inlineStr">
        <is>
          <t>The metaphor of chance; vision and technique in the works of Thomas Hardy / [by] Bert G. Hornback.</t>
        </is>
      </c>
      <c r="H2048" t="inlineStr">
        <is>
          <t>No</t>
        </is>
      </c>
      <c r="I2048" t="inlineStr">
        <is>
          <t>1</t>
        </is>
      </c>
      <c r="J2048" t="inlineStr">
        <is>
          <t>No</t>
        </is>
      </c>
      <c r="K2048" t="inlineStr">
        <is>
          <t>No</t>
        </is>
      </c>
      <c r="L2048" t="inlineStr">
        <is>
          <t>0</t>
        </is>
      </c>
      <c r="M2048" t="inlineStr">
        <is>
          <t>Hornback, Bert G., 1935-</t>
        </is>
      </c>
      <c r="N2048" t="inlineStr">
        <is>
          <t>Athens : Ohio University Press, [1971]</t>
        </is>
      </c>
      <c r="O2048" t="inlineStr">
        <is>
          <t>1971</t>
        </is>
      </c>
      <c r="Q2048" t="inlineStr">
        <is>
          <t>eng</t>
        </is>
      </c>
      <c r="R2048" t="inlineStr">
        <is>
          <t>ohu</t>
        </is>
      </c>
      <c r="T2048" t="inlineStr">
        <is>
          <t xml:space="preserve">PR </t>
        </is>
      </c>
      <c r="U2048" t="n">
        <v>3</v>
      </c>
      <c r="V2048" t="n">
        <v>3</v>
      </c>
      <c r="W2048" t="inlineStr">
        <is>
          <t>1992-04-09</t>
        </is>
      </c>
      <c r="X2048" t="inlineStr">
        <is>
          <t>1992-04-09</t>
        </is>
      </c>
      <c r="Y2048" t="inlineStr">
        <is>
          <t>1991-11-08</t>
        </is>
      </c>
      <c r="Z2048" t="inlineStr">
        <is>
          <t>1991-11-08</t>
        </is>
      </c>
      <c r="AA2048" t="n">
        <v>777</v>
      </c>
      <c r="AB2048" t="n">
        <v>664</v>
      </c>
      <c r="AC2048" t="n">
        <v>671</v>
      </c>
      <c r="AD2048" t="n">
        <v>7</v>
      </c>
      <c r="AE2048" t="n">
        <v>7</v>
      </c>
      <c r="AF2048" t="n">
        <v>43</v>
      </c>
      <c r="AG2048" t="n">
        <v>43</v>
      </c>
      <c r="AH2048" t="n">
        <v>16</v>
      </c>
      <c r="AI2048" t="n">
        <v>16</v>
      </c>
      <c r="AJ2048" t="n">
        <v>10</v>
      </c>
      <c r="AK2048" t="n">
        <v>10</v>
      </c>
      <c r="AL2048" t="n">
        <v>23</v>
      </c>
      <c r="AM2048" t="n">
        <v>23</v>
      </c>
      <c r="AN2048" t="n">
        <v>6</v>
      </c>
      <c r="AO2048" t="n">
        <v>6</v>
      </c>
      <c r="AP2048" t="n">
        <v>0</v>
      </c>
      <c r="AQ2048" t="n">
        <v>0</v>
      </c>
      <c r="AR2048" t="inlineStr">
        <is>
          <t>No</t>
        </is>
      </c>
      <c r="AS2048" t="inlineStr">
        <is>
          <t>Yes</t>
        </is>
      </c>
      <c r="AT2048">
        <f>HYPERLINK("http://catalog.hathitrust.org/Record/000437549","HathiTrust Record")</f>
        <v/>
      </c>
      <c r="AU2048">
        <f>HYPERLINK("https://creighton-primo.hosted.exlibrisgroup.com/primo-explore/search?tab=default_tab&amp;search_scope=EVERYTHING&amp;vid=01CRU&amp;lang=en_US&amp;offset=0&amp;query=any,contains,991000877879702656","Catalog Record")</f>
        <v/>
      </c>
      <c r="AV2048">
        <f>HYPERLINK("http://www.worldcat.org/oclc/151969","WorldCat Record")</f>
        <v/>
      </c>
      <c r="AW2048" t="inlineStr">
        <is>
          <t>365423696:eng</t>
        </is>
      </c>
      <c r="AX2048" t="inlineStr">
        <is>
          <t>151969</t>
        </is>
      </c>
      <c r="AY2048" t="inlineStr">
        <is>
          <t>991000877879702656</t>
        </is>
      </c>
      <c r="AZ2048" t="inlineStr">
        <is>
          <t>991000877879702656</t>
        </is>
      </c>
      <c r="BA2048" t="inlineStr">
        <is>
          <t>2272248660002656</t>
        </is>
      </c>
      <c r="BB2048" t="inlineStr">
        <is>
          <t>BOOK</t>
        </is>
      </c>
      <c r="BD2048" t="inlineStr">
        <is>
          <t>9780821400777</t>
        </is>
      </c>
      <c r="BE2048" t="inlineStr">
        <is>
          <t>32285000820315</t>
        </is>
      </c>
      <c r="BF2048" t="inlineStr">
        <is>
          <t>893339970</t>
        </is>
      </c>
    </row>
    <row r="2049">
      <c r="A2049" t="inlineStr">
        <is>
          <t>No</t>
        </is>
      </c>
      <c r="B2049" t="inlineStr">
        <is>
          <t>CURAL</t>
        </is>
      </c>
      <c r="C2049" t="inlineStr">
        <is>
          <t>SHELVES</t>
        </is>
      </c>
      <c r="D2049" t="inlineStr">
        <is>
          <t>PR4754 .H9</t>
        </is>
      </c>
      <c r="E2049" t="inlineStr">
        <is>
          <t>0                      PR 4754000H  9</t>
        </is>
      </c>
      <c r="F2049" t="inlineStr">
        <is>
          <t>The pattern of Hardy's poetry.</t>
        </is>
      </c>
      <c r="H2049" t="inlineStr">
        <is>
          <t>No</t>
        </is>
      </c>
      <c r="I2049" t="inlineStr">
        <is>
          <t>1</t>
        </is>
      </c>
      <c r="J2049" t="inlineStr">
        <is>
          <t>No</t>
        </is>
      </c>
      <c r="K2049" t="inlineStr">
        <is>
          <t>No</t>
        </is>
      </c>
      <c r="L2049" t="inlineStr">
        <is>
          <t>0</t>
        </is>
      </c>
      <c r="M2049" t="inlineStr">
        <is>
          <t>Hynes, Samuel, 1924-2019.</t>
        </is>
      </c>
      <c r="N2049" t="inlineStr">
        <is>
          <t>Chapel Hill : University of North Carolina Press, 1961 [c1956]</t>
        </is>
      </c>
      <c r="O2049" t="inlineStr">
        <is>
          <t>1961</t>
        </is>
      </c>
      <c r="Q2049" t="inlineStr">
        <is>
          <t>eng</t>
        </is>
      </c>
      <c r="R2049" t="inlineStr">
        <is>
          <t>ncu</t>
        </is>
      </c>
      <c r="T2049" t="inlineStr">
        <is>
          <t xml:space="preserve">PR </t>
        </is>
      </c>
      <c r="U2049" t="n">
        <v>3</v>
      </c>
      <c r="V2049" t="n">
        <v>3</v>
      </c>
      <c r="W2049" t="inlineStr">
        <is>
          <t>1994-09-10</t>
        </is>
      </c>
      <c r="X2049" t="inlineStr">
        <is>
          <t>1994-09-10</t>
        </is>
      </c>
      <c r="Y2049" t="inlineStr">
        <is>
          <t>1991-02-14</t>
        </is>
      </c>
      <c r="Z2049" t="inlineStr">
        <is>
          <t>1991-02-14</t>
        </is>
      </c>
      <c r="AA2049" t="n">
        <v>912</v>
      </c>
      <c r="AB2049" t="n">
        <v>768</v>
      </c>
      <c r="AC2049" t="n">
        <v>782</v>
      </c>
      <c r="AD2049" t="n">
        <v>8</v>
      </c>
      <c r="AE2049" t="n">
        <v>8</v>
      </c>
      <c r="AF2049" t="n">
        <v>38</v>
      </c>
      <c r="AG2049" t="n">
        <v>38</v>
      </c>
      <c r="AH2049" t="n">
        <v>12</v>
      </c>
      <c r="AI2049" t="n">
        <v>12</v>
      </c>
      <c r="AJ2049" t="n">
        <v>11</v>
      </c>
      <c r="AK2049" t="n">
        <v>11</v>
      </c>
      <c r="AL2049" t="n">
        <v>18</v>
      </c>
      <c r="AM2049" t="n">
        <v>18</v>
      </c>
      <c r="AN2049" t="n">
        <v>7</v>
      </c>
      <c r="AO2049" t="n">
        <v>7</v>
      </c>
      <c r="AP2049" t="n">
        <v>0</v>
      </c>
      <c r="AQ2049" t="n">
        <v>0</v>
      </c>
      <c r="AR2049" t="inlineStr">
        <is>
          <t>No</t>
        </is>
      </c>
      <c r="AS2049" t="inlineStr">
        <is>
          <t>No</t>
        </is>
      </c>
      <c r="AT2049">
        <f>HYPERLINK("http://catalog.hathitrust.org/Record/000437558","HathiTrust Record")</f>
        <v/>
      </c>
      <c r="AU2049">
        <f>HYPERLINK("https://creighton-primo.hosted.exlibrisgroup.com/primo-explore/search?tab=default_tab&amp;search_scope=EVERYTHING&amp;vid=01CRU&amp;lang=en_US&amp;offset=0&amp;query=any,contains,991002226169702656","Catalog Record")</f>
        <v/>
      </c>
      <c r="AV2049">
        <f>HYPERLINK("http://www.worldcat.org/oclc/291556","WorldCat Record")</f>
        <v/>
      </c>
      <c r="AW2049" t="inlineStr">
        <is>
          <t>1475117:eng</t>
        </is>
      </c>
      <c r="AX2049" t="inlineStr">
        <is>
          <t>291556</t>
        </is>
      </c>
      <c r="AY2049" t="inlineStr">
        <is>
          <t>991002226169702656</t>
        </is>
      </c>
      <c r="AZ2049" t="inlineStr">
        <is>
          <t>991002226169702656</t>
        </is>
      </c>
      <c r="BA2049" t="inlineStr">
        <is>
          <t>2268055360002656</t>
        </is>
      </c>
      <c r="BB2049" t="inlineStr">
        <is>
          <t>BOOK</t>
        </is>
      </c>
      <c r="BE2049" t="inlineStr">
        <is>
          <t>32285000510676</t>
        </is>
      </c>
      <c r="BF2049" t="inlineStr">
        <is>
          <t>893903774</t>
        </is>
      </c>
    </row>
    <row r="2050">
      <c r="A2050" t="inlineStr">
        <is>
          <t>No</t>
        </is>
      </c>
      <c r="B2050" t="inlineStr">
        <is>
          <t>CURAL</t>
        </is>
      </c>
      <c r="C2050" t="inlineStr">
        <is>
          <t>SHELVES</t>
        </is>
      </c>
      <c r="D2050" t="inlineStr">
        <is>
          <t>PR4754 .M54</t>
        </is>
      </c>
      <c r="E2050" t="inlineStr">
        <is>
          <t>0                      PR 4754000M  54</t>
        </is>
      </c>
      <c r="F2050" t="inlineStr">
        <is>
          <t>Thomas Hardy: his career as a novelist.</t>
        </is>
      </c>
      <c r="H2050" t="inlineStr">
        <is>
          <t>No</t>
        </is>
      </c>
      <c r="I2050" t="inlineStr">
        <is>
          <t>1</t>
        </is>
      </c>
      <c r="J2050" t="inlineStr">
        <is>
          <t>No</t>
        </is>
      </c>
      <c r="K2050" t="inlineStr">
        <is>
          <t>No</t>
        </is>
      </c>
      <c r="L2050" t="inlineStr">
        <is>
          <t>0</t>
        </is>
      </c>
      <c r="M2050" t="inlineStr">
        <is>
          <t>Millgate, Michael.</t>
        </is>
      </c>
      <c r="N2050" t="inlineStr">
        <is>
          <t>London, Bodley Head, 1971.</t>
        </is>
      </c>
      <c r="O2050" t="inlineStr">
        <is>
          <t>1971</t>
        </is>
      </c>
      <c r="Q2050" t="inlineStr">
        <is>
          <t>eng</t>
        </is>
      </c>
      <c r="R2050" t="inlineStr">
        <is>
          <t>enk</t>
        </is>
      </c>
      <c r="T2050" t="inlineStr">
        <is>
          <t xml:space="preserve">PR </t>
        </is>
      </c>
      <c r="U2050" t="n">
        <v>1</v>
      </c>
      <c r="V2050" t="n">
        <v>1</v>
      </c>
      <c r="W2050" t="inlineStr">
        <is>
          <t>1992-06-02</t>
        </is>
      </c>
      <c r="X2050" t="inlineStr">
        <is>
          <t>1992-06-02</t>
        </is>
      </c>
      <c r="Y2050" t="inlineStr">
        <is>
          <t>1992-05-21</t>
        </is>
      </c>
      <c r="Z2050" t="inlineStr">
        <is>
          <t>1992-05-21</t>
        </is>
      </c>
      <c r="AA2050" t="n">
        <v>217</v>
      </c>
      <c r="AB2050" t="n">
        <v>51</v>
      </c>
      <c r="AC2050" t="n">
        <v>771</v>
      </c>
      <c r="AD2050" t="n">
        <v>1</v>
      </c>
      <c r="AE2050" t="n">
        <v>6</v>
      </c>
      <c r="AF2050" t="n">
        <v>5</v>
      </c>
      <c r="AG2050" t="n">
        <v>34</v>
      </c>
      <c r="AH2050" t="n">
        <v>2</v>
      </c>
      <c r="AI2050" t="n">
        <v>14</v>
      </c>
      <c r="AJ2050" t="n">
        <v>1</v>
      </c>
      <c r="AK2050" t="n">
        <v>8</v>
      </c>
      <c r="AL2050" t="n">
        <v>4</v>
      </c>
      <c r="AM2050" t="n">
        <v>20</v>
      </c>
      <c r="AN2050" t="n">
        <v>0</v>
      </c>
      <c r="AO2050" t="n">
        <v>3</v>
      </c>
      <c r="AP2050" t="n">
        <v>0</v>
      </c>
      <c r="AQ2050" t="n">
        <v>0</v>
      </c>
      <c r="AR2050" t="inlineStr">
        <is>
          <t>No</t>
        </is>
      </c>
      <c r="AS2050" t="inlineStr">
        <is>
          <t>No</t>
        </is>
      </c>
      <c r="AU2050">
        <f>HYPERLINK("https://creighton-primo.hosted.exlibrisgroup.com/primo-explore/search?tab=default_tab&amp;search_scope=EVERYTHING&amp;vid=01CRU&amp;lang=en_US&amp;offset=0&amp;query=any,contains,991001273389702656","Catalog Record")</f>
        <v/>
      </c>
      <c r="AV2050">
        <f>HYPERLINK("http://www.worldcat.org/oclc/213025","WorldCat Record")</f>
        <v/>
      </c>
      <c r="AW2050" t="inlineStr">
        <is>
          <t>4417289995:eng</t>
        </is>
      </c>
      <c r="AX2050" t="inlineStr">
        <is>
          <t>213025</t>
        </is>
      </c>
      <c r="AY2050" t="inlineStr">
        <is>
          <t>991001273389702656</t>
        </is>
      </c>
      <c r="AZ2050" t="inlineStr">
        <is>
          <t>991001273389702656</t>
        </is>
      </c>
      <c r="BA2050" t="inlineStr">
        <is>
          <t>2256421100002656</t>
        </is>
      </c>
      <c r="BB2050" t="inlineStr">
        <is>
          <t>BOOK</t>
        </is>
      </c>
      <c r="BD2050" t="inlineStr">
        <is>
          <t>9780370004549</t>
        </is>
      </c>
      <c r="BE2050" t="inlineStr">
        <is>
          <t>32285001098275</t>
        </is>
      </c>
      <c r="BF2050" t="inlineStr">
        <is>
          <t>893261793</t>
        </is>
      </c>
    </row>
    <row r="2051">
      <c r="A2051" t="inlineStr">
        <is>
          <t>No</t>
        </is>
      </c>
      <c r="B2051" t="inlineStr">
        <is>
          <t>CURAL</t>
        </is>
      </c>
      <c r="C2051" t="inlineStr">
        <is>
          <t>SHELVES</t>
        </is>
      </c>
      <c r="D2051" t="inlineStr">
        <is>
          <t>PR4754 .M8</t>
        </is>
      </c>
      <c r="E2051" t="inlineStr">
        <is>
          <t>0                      PR 4754000M  8</t>
        </is>
      </c>
      <c r="F2051" t="inlineStr">
        <is>
          <t>Wrap me up in my Aubusson carpet.</t>
        </is>
      </c>
      <c r="H2051" t="inlineStr">
        <is>
          <t>No</t>
        </is>
      </c>
      <c r="I2051" t="inlineStr">
        <is>
          <t>1</t>
        </is>
      </c>
      <c r="J2051" t="inlineStr">
        <is>
          <t>No</t>
        </is>
      </c>
      <c r="K2051" t="inlineStr">
        <is>
          <t>No</t>
        </is>
      </c>
      <c r="L2051" t="inlineStr">
        <is>
          <t>0</t>
        </is>
      </c>
      <c r="M2051" t="inlineStr">
        <is>
          <t>Murry, John Middleton, 1889-1957.</t>
        </is>
      </c>
      <c r="N2051" t="inlineStr">
        <is>
          <t>New York, Greenberg, 1924.</t>
        </is>
      </c>
      <c r="O2051" t="inlineStr">
        <is>
          <t>1924</t>
        </is>
      </c>
      <c r="Q2051" t="inlineStr">
        <is>
          <t>eng</t>
        </is>
      </c>
      <c r="R2051" t="inlineStr">
        <is>
          <t>nyu</t>
        </is>
      </c>
      <c r="T2051" t="inlineStr">
        <is>
          <t xml:space="preserve">PR </t>
        </is>
      </c>
      <c r="U2051" t="n">
        <v>2</v>
      </c>
      <c r="V2051" t="n">
        <v>2</v>
      </c>
      <c r="W2051" t="inlineStr">
        <is>
          <t>2000-03-07</t>
        </is>
      </c>
      <c r="X2051" t="inlineStr">
        <is>
          <t>2000-03-07</t>
        </is>
      </c>
      <c r="Y2051" t="inlineStr">
        <is>
          <t>1997-07-15</t>
        </is>
      </c>
      <c r="Z2051" t="inlineStr">
        <is>
          <t>1997-07-15</t>
        </is>
      </c>
      <c r="AA2051" t="n">
        <v>123</v>
      </c>
      <c r="AB2051" t="n">
        <v>105</v>
      </c>
      <c r="AC2051" t="n">
        <v>116</v>
      </c>
      <c r="AD2051" t="n">
        <v>2</v>
      </c>
      <c r="AE2051" t="n">
        <v>2</v>
      </c>
      <c r="AF2051" t="n">
        <v>5</v>
      </c>
      <c r="AG2051" t="n">
        <v>5</v>
      </c>
      <c r="AH2051" t="n">
        <v>1</v>
      </c>
      <c r="AI2051" t="n">
        <v>1</v>
      </c>
      <c r="AJ2051" t="n">
        <v>1</v>
      </c>
      <c r="AK2051" t="n">
        <v>1</v>
      </c>
      <c r="AL2051" t="n">
        <v>3</v>
      </c>
      <c r="AM2051" t="n">
        <v>3</v>
      </c>
      <c r="AN2051" t="n">
        <v>1</v>
      </c>
      <c r="AO2051" t="n">
        <v>1</v>
      </c>
      <c r="AP2051" t="n">
        <v>0</v>
      </c>
      <c r="AQ2051" t="n">
        <v>0</v>
      </c>
      <c r="AR2051" t="inlineStr">
        <is>
          <t>No</t>
        </is>
      </c>
      <c r="AS2051" t="inlineStr">
        <is>
          <t>No</t>
        </is>
      </c>
      <c r="AU2051">
        <f>HYPERLINK("https://creighton-primo.hosted.exlibrisgroup.com/primo-explore/search?tab=default_tab&amp;search_scope=EVERYTHING&amp;vid=01CRU&amp;lang=en_US&amp;offset=0&amp;query=any,contains,991004267239702656","Catalog Record")</f>
        <v/>
      </c>
      <c r="AV2051">
        <f>HYPERLINK("http://www.worldcat.org/oclc/2870893","WorldCat Record")</f>
        <v/>
      </c>
      <c r="AW2051" t="inlineStr">
        <is>
          <t>6346921:eng</t>
        </is>
      </c>
      <c r="AX2051" t="inlineStr">
        <is>
          <t>2870893</t>
        </is>
      </c>
      <c r="AY2051" t="inlineStr">
        <is>
          <t>991004267239702656</t>
        </is>
      </c>
      <c r="AZ2051" t="inlineStr">
        <is>
          <t>991004267239702656</t>
        </is>
      </c>
      <c r="BA2051" t="inlineStr">
        <is>
          <t>2255520290002656</t>
        </is>
      </c>
      <c r="BB2051" t="inlineStr">
        <is>
          <t>BOOK</t>
        </is>
      </c>
      <c r="BE2051" t="inlineStr">
        <is>
          <t>32285002922200</t>
        </is>
      </c>
      <c r="BF2051" t="inlineStr">
        <is>
          <t>893788498</t>
        </is>
      </c>
    </row>
    <row r="2052">
      <c r="A2052" t="inlineStr">
        <is>
          <t>No</t>
        </is>
      </c>
      <c r="B2052" t="inlineStr">
        <is>
          <t>CURAL</t>
        </is>
      </c>
      <c r="C2052" t="inlineStr">
        <is>
          <t>SHELVES</t>
        </is>
      </c>
      <c r="D2052" t="inlineStr">
        <is>
          <t>PR4754 .P5 1977</t>
        </is>
      </c>
      <c r="E2052" t="inlineStr">
        <is>
          <t>0                      PR 4754000P  5           1977</t>
        </is>
      </c>
      <c r="F2052" t="inlineStr">
        <is>
          <t>A commentary on the poems of Thomas Hardy / F. B. Pinion.</t>
        </is>
      </c>
      <c r="H2052" t="inlineStr">
        <is>
          <t>No</t>
        </is>
      </c>
      <c r="I2052" t="inlineStr">
        <is>
          <t>1</t>
        </is>
      </c>
      <c r="J2052" t="inlineStr">
        <is>
          <t>No</t>
        </is>
      </c>
      <c r="K2052" t="inlineStr">
        <is>
          <t>No</t>
        </is>
      </c>
      <c r="L2052" t="inlineStr">
        <is>
          <t>0</t>
        </is>
      </c>
      <c r="M2052" t="inlineStr">
        <is>
          <t>Pinion, F. B.</t>
        </is>
      </c>
      <c r="N2052" t="inlineStr">
        <is>
          <t>New York : Barnes &amp; Noble Books, 1977, c1976.</t>
        </is>
      </c>
      <c r="O2052" t="inlineStr">
        <is>
          <t>1977</t>
        </is>
      </c>
      <c r="Q2052" t="inlineStr">
        <is>
          <t>eng</t>
        </is>
      </c>
      <c r="R2052" t="inlineStr">
        <is>
          <t>nyu</t>
        </is>
      </c>
      <c r="T2052" t="inlineStr">
        <is>
          <t xml:space="preserve">PR </t>
        </is>
      </c>
      <c r="U2052" t="n">
        <v>5</v>
      </c>
      <c r="V2052" t="n">
        <v>5</v>
      </c>
      <c r="W2052" t="inlineStr">
        <is>
          <t>2000-12-07</t>
        </is>
      </c>
      <c r="X2052" t="inlineStr">
        <is>
          <t>2000-12-07</t>
        </is>
      </c>
      <c r="Y2052" t="inlineStr">
        <is>
          <t>1991-11-08</t>
        </is>
      </c>
      <c r="Z2052" t="inlineStr">
        <is>
          <t>1991-11-08</t>
        </is>
      </c>
      <c r="AA2052" t="n">
        <v>439</v>
      </c>
      <c r="AB2052" t="n">
        <v>419</v>
      </c>
      <c r="AC2052" t="n">
        <v>538</v>
      </c>
      <c r="AD2052" t="n">
        <v>4</v>
      </c>
      <c r="AE2052" t="n">
        <v>6</v>
      </c>
      <c r="AF2052" t="n">
        <v>23</v>
      </c>
      <c r="AG2052" t="n">
        <v>30</v>
      </c>
      <c r="AH2052" t="n">
        <v>10</v>
      </c>
      <c r="AI2052" t="n">
        <v>12</v>
      </c>
      <c r="AJ2052" t="n">
        <v>5</v>
      </c>
      <c r="AK2052" t="n">
        <v>7</v>
      </c>
      <c r="AL2052" t="n">
        <v>11</v>
      </c>
      <c r="AM2052" t="n">
        <v>14</v>
      </c>
      <c r="AN2052" t="n">
        <v>3</v>
      </c>
      <c r="AO2052" t="n">
        <v>5</v>
      </c>
      <c r="AP2052" t="n">
        <v>0</v>
      </c>
      <c r="AQ2052" t="n">
        <v>0</v>
      </c>
      <c r="AR2052" t="inlineStr">
        <is>
          <t>No</t>
        </is>
      </c>
      <c r="AS2052" t="inlineStr">
        <is>
          <t>Yes</t>
        </is>
      </c>
      <c r="AT2052">
        <f>HYPERLINK("http://catalog.hathitrust.org/Record/000170262","HathiTrust Record")</f>
        <v/>
      </c>
      <c r="AU2052">
        <f>HYPERLINK("https://creighton-primo.hosted.exlibrisgroup.com/primo-explore/search?tab=default_tab&amp;search_scope=EVERYTHING&amp;vid=01CRU&amp;lang=en_US&amp;offset=0&amp;query=any,contains,991004208779702656","Catalog Record")</f>
        <v/>
      </c>
      <c r="AV2052">
        <f>HYPERLINK("http://www.worldcat.org/oclc/2675950","WorldCat Record")</f>
        <v/>
      </c>
      <c r="AW2052" t="inlineStr">
        <is>
          <t>5797188:eng</t>
        </is>
      </c>
      <c r="AX2052" t="inlineStr">
        <is>
          <t>2675950</t>
        </is>
      </c>
      <c r="AY2052" t="inlineStr">
        <is>
          <t>991004208779702656</t>
        </is>
      </c>
      <c r="AZ2052" t="inlineStr">
        <is>
          <t>991004208779702656</t>
        </is>
      </c>
      <c r="BA2052" t="inlineStr">
        <is>
          <t>2261252840002656</t>
        </is>
      </c>
      <c r="BB2052" t="inlineStr">
        <is>
          <t>BOOK</t>
        </is>
      </c>
      <c r="BD2052" t="inlineStr">
        <is>
          <t>9780064955720</t>
        </is>
      </c>
      <c r="BE2052" t="inlineStr">
        <is>
          <t>32285000820331</t>
        </is>
      </c>
      <c r="BF2052" t="inlineStr">
        <is>
          <t>893337447</t>
        </is>
      </c>
    </row>
    <row r="2053">
      <c r="A2053" t="inlineStr">
        <is>
          <t>No</t>
        </is>
      </c>
      <c r="B2053" t="inlineStr">
        <is>
          <t>CURAL</t>
        </is>
      </c>
      <c r="C2053" t="inlineStr">
        <is>
          <t>SHELVES</t>
        </is>
      </c>
      <c r="D2053" t="inlineStr">
        <is>
          <t>PR4754 .W66 1985</t>
        </is>
      </c>
      <c r="E2053" t="inlineStr">
        <is>
          <t>0                      PR 4754000W  66          1985</t>
        </is>
      </c>
      <c r="F2053" t="inlineStr">
        <is>
          <t>Thomas Hardy, towards a materialist criticism / George Wotton.</t>
        </is>
      </c>
      <c r="H2053" t="inlineStr">
        <is>
          <t>No</t>
        </is>
      </c>
      <c r="I2053" t="inlineStr">
        <is>
          <t>1</t>
        </is>
      </c>
      <c r="J2053" t="inlineStr">
        <is>
          <t>No</t>
        </is>
      </c>
      <c r="K2053" t="inlineStr">
        <is>
          <t>No</t>
        </is>
      </c>
      <c r="L2053" t="inlineStr">
        <is>
          <t>0</t>
        </is>
      </c>
      <c r="M2053" t="inlineStr">
        <is>
          <t>Wotton, George.</t>
        </is>
      </c>
      <c r="N2053" t="inlineStr">
        <is>
          <t>Totowa, NJ : Barnes &amp; Noble, 1985.</t>
        </is>
      </c>
      <c r="O2053" t="inlineStr">
        <is>
          <t>1985</t>
        </is>
      </c>
      <c r="Q2053" t="inlineStr">
        <is>
          <t>eng</t>
        </is>
      </c>
      <c r="R2053" t="inlineStr">
        <is>
          <t>nju</t>
        </is>
      </c>
      <c r="T2053" t="inlineStr">
        <is>
          <t xml:space="preserve">PR </t>
        </is>
      </c>
      <c r="U2053" t="n">
        <v>1</v>
      </c>
      <c r="V2053" t="n">
        <v>1</v>
      </c>
      <c r="W2053" t="inlineStr">
        <is>
          <t>1992-05-04</t>
        </is>
      </c>
      <c r="X2053" t="inlineStr">
        <is>
          <t>1992-05-04</t>
        </is>
      </c>
      <c r="Y2053" t="inlineStr">
        <is>
          <t>1990-06-13</t>
        </is>
      </c>
      <c r="Z2053" t="inlineStr">
        <is>
          <t>1990-06-13</t>
        </is>
      </c>
      <c r="AA2053" t="n">
        <v>435</v>
      </c>
      <c r="AB2053" t="n">
        <v>347</v>
      </c>
      <c r="AC2053" t="n">
        <v>357</v>
      </c>
      <c r="AD2053" t="n">
        <v>3</v>
      </c>
      <c r="AE2053" t="n">
        <v>3</v>
      </c>
      <c r="AF2053" t="n">
        <v>22</v>
      </c>
      <c r="AG2053" t="n">
        <v>22</v>
      </c>
      <c r="AH2053" t="n">
        <v>9</v>
      </c>
      <c r="AI2053" t="n">
        <v>9</v>
      </c>
      <c r="AJ2053" t="n">
        <v>6</v>
      </c>
      <c r="AK2053" t="n">
        <v>6</v>
      </c>
      <c r="AL2053" t="n">
        <v>12</v>
      </c>
      <c r="AM2053" t="n">
        <v>12</v>
      </c>
      <c r="AN2053" t="n">
        <v>2</v>
      </c>
      <c r="AO2053" t="n">
        <v>2</v>
      </c>
      <c r="AP2053" t="n">
        <v>0</v>
      </c>
      <c r="AQ2053" t="n">
        <v>0</v>
      </c>
      <c r="AR2053" t="inlineStr">
        <is>
          <t>No</t>
        </is>
      </c>
      <c r="AS2053" t="inlineStr">
        <is>
          <t>Yes</t>
        </is>
      </c>
      <c r="AT2053">
        <f>HYPERLINK("http://catalog.hathitrust.org/Record/000570658","HathiTrust Record")</f>
        <v/>
      </c>
      <c r="AU2053">
        <f>HYPERLINK("https://creighton-primo.hosted.exlibrisgroup.com/primo-explore/search?tab=default_tab&amp;search_scope=EVERYTHING&amp;vid=01CRU&amp;lang=en_US&amp;offset=0&amp;query=any,contains,991000566069702656","Catalog Record")</f>
        <v/>
      </c>
      <c r="AV2053">
        <f>HYPERLINK("http://www.worldcat.org/oclc/11622229","WorldCat Record")</f>
        <v/>
      </c>
      <c r="AW2053" t="inlineStr">
        <is>
          <t>4451641:eng</t>
        </is>
      </c>
      <c r="AX2053" t="inlineStr">
        <is>
          <t>11622229</t>
        </is>
      </c>
      <c r="AY2053" t="inlineStr">
        <is>
          <t>991000566069702656</t>
        </is>
      </c>
      <c r="AZ2053" t="inlineStr">
        <is>
          <t>991000566069702656</t>
        </is>
      </c>
      <c r="BA2053" t="inlineStr">
        <is>
          <t>2262999570002656</t>
        </is>
      </c>
      <c r="BB2053" t="inlineStr">
        <is>
          <t>BOOK</t>
        </is>
      </c>
      <c r="BD2053" t="inlineStr">
        <is>
          <t>9780389205647</t>
        </is>
      </c>
      <c r="BE2053" t="inlineStr">
        <is>
          <t>32285000191303</t>
        </is>
      </c>
      <c r="BF2053" t="inlineStr">
        <is>
          <t>893790644</t>
        </is>
      </c>
    </row>
    <row r="2054">
      <c r="A2054" t="inlineStr">
        <is>
          <t>No</t>
        </is>
      </c>
      <c r="B2054" t="inlineStr">
        <is>
          <t>CURAL</t>
        </is>
      </c>
      <c r="C2054" t="inlineStr">
        <is>
          <t>SHELVES</t>
        </is>
      </c>
      <c r="D2054" t="inlineStr">
        <is>
          <t>PR4756 .L42</t>
        </is>
      </c>
      <c r="E2054" t="inlineStr">
        <is>
          <t>0                      PR 4756000L  42</t>
        </is>
      </c>
      <c r="F2054" t="inlineStr">
        <is>
          <t>A handbook to the Wessex country of Thomas Hardy's novels and poems.</t>
        </is>
      </c>
      <c r="H2054" t="inlineStr">
        <is>
          <t>No</t>
        </is>
      </c>
      <c r="I2054" t="inlineStr">
        <is>
          <t>1</t>
        </is>
      </c>
      <c r="J2054" t="inlineStr">
        <is>
          <t>No</t>
        </is>
      </c>
      <c r="K2054" t="inlineStr">
        <is>
          <t>No</t>
        </is>
      </c>
      <c r="L2054" t="inlineStr">
        <is>
          <t>0</t>
        </is>
      </c>
      <c r="M2054" t="inlineStr">
        <is>
          <t>Lea, Hermann.</t>
        </is>
      </c>
      <c r="N2054" t="inlineStr">
        <is>
          <t>London, K. Paul, Trench, Trubner &amp; Co. [n. d.]</t>
        </is>
      </c>
      <c r="Q2054" t="inlineStr">
        <is>
          <t>eng</t>
        </is>
      </c>
      <c r="R2054" t="inlineStr">
        <is>
          <t>enk</t>
        </is>
      </c>
      <c r="T2054" t="inlineStr">
        <is>
          <t xml:space="preserve">PR </t>
        </is>
      </c>
      <c r="U2054" t="n">
        <v>1</v>
      </c>
      <c r="V2054" t="n">
        <v>1</v>
      </c>
      <c r="W2054" t="inlineStr">
        <is>
          <t>1992-06-02</t>
        </is>
      </c>
      <c r="X2054" t="inlineStr">
        <is>
          <t>1992-06-02</t>
        </is>
      </c>
      <c r="Y2054" t="inlineStr">
        <is>
          <t>1992-05-21</t>
        </is>
      </c>
      <c r="Z2054" t="inlineStr">
        <is>
          <t>1992-05-21</t>
        </is>
      </c>
      <c r="AA2054" t="n">
        <v>10</v>
      </c>
      <c r="AB2054" t="n">
        <v>9</v>
      </c>
      <c r="AC2054" t="n">
        <v>105</v>
      </c>
      <c r="AD2054" t="n">
        <v>2</v>
      </c>
      <c r="AE2054" t="n">
        <v>3</v>
      </c>
      <c r="AF2054" t="n">
        <v>2</v>
      </c>
      <c r="AG2054" t="n">
        <v>4</v>
      </c>
      <c r="AH2054" t="n">
        <v>0</v>
      </c>
      <c r="AI2054" t="n">
        <v>0</v>
      </c>
      <c r="AJ2054" t="n">
        <v>0</v>
      </c>
      <c r="AK2054" t="n">
        <v>1</v>
      </c>
      <c r="AL2054" t="n">
        <v>1</v>
      </c>
      <c r="AM2054" t="n">
        <v>2</v>
      </c>
      <c r="AN2054" t="n">
        <v>1</v>
      </c>
      <c r="AO2054" t="n">
        <v>2</v>
      </c>
      <c r="AP2054" t="n">
        <v>0</v>
      </c>
      <c r="AQ2054" t="n">
        <v>0</v>
      </c>
      <c r="AR2054" t="inlineStr">
        <is>
          <t>No</t>
        </is>
      </c>
      <c r="AS2054" t="inlineStr">
        <is>
          <t>No</t>
        </is>
      </c>
      <c r="AU2054">
        <f>HYPERLINK("https://creighton-primo.hosted.exlibrisgroup.com/primo-explore/search?tab=default_tab&amp;search_scope=EVERYTHING&amp;vid=01CRU&amp;lang=en_US&amp;offset=0&amp;query=any,contains,991005078429702656","Catalog Record")</f>
        <v/>
      </c>
      <c r="AV2054">
        <f>HYPERLINK("http://www.worldcat.org/oclc/7160836","WorldCat Record")</f>
        <v/>
      </c>
      <c r="AW2054" t="inlineStr">
        <is>
          <t>1758364:eng</t>
        </is>
      </c>
      <c r="AX2054" t="inlineStr">
        <is>
          <t>7160836</t>
        </is>
      </c>
      <c r="AY2054" t="inlineStr">
        <is>
          <t>991005078429702656</t>
        </is>
      </c>
      <c r="AZ2054" t="inlineStr">
        <is>
          <t>991005078429702656</t>
        </is>
      </c>
      <c r="BA2054" t="inlineStr">
        <is>
          <t>2272561440002656</t>
        </is>
      </c>
      <c r="BB2054" t="inlineStr">
        <is>
          <t>BOOK</t>
        </is>
      </c>
      <c r="BE2054" t="inlineStr">
        <is>
          <t>32285001098218</t>
        </is>
      </c>
      <c r="BF2054" t="inlineStr">
        <is>
          <t>893707212</t>
        </is>
      </c>
    </row>
    <row r="2055">
      <c r="A2055" t="inlineStr">
        <is>
          <t>No</t>
        </is>
      </c>
      <c r="B2055" t="inlineStr">
        <is>
          <t>CURAL</t>
        </is>
      </c>
      <c r="C2055" t="inlineStr">
        <is>
          <t>SHELVES</t>
        </is>
      </c>
      <c r="D2055" t="inlineStr">
        <is>
          <t>PR4757 .P8 1980</t>
        </is>
      </c>
      <c r="E2055" t="inlineStr">
        <is>
          <t>0                      PR 4757000P  8           1980</t>
        </is>
      </c>
      <c r="F2055" t="inlineStr">
        <is>
          <t>Thomas Hardy, psychological novelist / Rosemary Sumner.</t>
        </is>
      </c>
      <c r="H2055" t="inlineStr">
        <is>
          <t>No</t>
        </is>
      </c>
      <c r="I2055" t="inlineStr">
        <is>
          <t>1</t>
        </is>
      </c>
      <c r="J2055" t="inlineStr">
        <is>
          <t>No</t>
        </is>
      </c>
      <c r="K2055" t="inlineStr">
        <is>
          <t>No</t>
        </is>
      </c>
      <c r="L2055" t="inlineStr">
        <is>
          <t>0</t>
        </is>
      </c>
      <c r="M2055" t="inlineStr">
        <is>
          <t>Sumner, Rosemary, 1924-</t>
        </is>
      </c>
      <c r="N2055" t="inlineStr">
        <is>
          <t>New York : St. Martin's Press, 1980.</t>
        </is>
      </c>
      <c r="O2055" t="inlineStr">
        <is>
          <t>1980</t>
        </is>
      </c>
      <c r="Q2055" t="inlineStr">
        <is>
          <t>eng</t>
        </is>
      </c>
      <c r="R2055" t="inlineStr">
        <is>
          <t>nyu</t>
        </is>
      </c>
      <c r="T2055" t="inlineStr">
        <is>
          <t xml:space="preserve">PR </t>
        </is>
      </c>
      <c r="U2055" t="n">
        <v>2</v>
      </c>
      <c r="V2055" t="n">
        <v>2</v>
      </c>
      <c r="W2055" t="inlineStr">
        <is>
          <t>1996-04-16</t>
        </is>
      </c>
      <c r="X2055" t="inlineStr">
        <is>
          <t>1996-04-16</t>
        </is>
      </c>
      <c r="Y2055" t="inlineStr">
        <is>
          <t>1991-11-08</t>
        </is>
      </c>
      <c r="Z2055" t="inlineStr">
        <is>
          <t>1991-11-08</t>
        </is>
      </c>
      <c r="AA2055" t="n">
        <v>511</v>
      </c>
      <c r="AB2055" t="n">
        <v>474</v>
      </c>
      <c r="AC2055" t="n">
        <v>526</v>
      </c>
      <c r="AD2055" t="n">
        <v>5</v>
      </c>
      <c r="AE2055" t="n">
        <v>6</v>
      </c>
      <c r="AF2055" t="n">
        <v>28</v>
      </c>
      <c r="AG2055" t="n">
        <v>30</v>
      </c>
      <c r="AH2055" t="n">
        <v>14</v>
      </c>
      <c r="AI2055" t="n">
        <v>14</v>
      </c>
      <c r="AJ2055" t="n">
        <v>7</v>
      </c>
      <c r="AK2055" t="n">
        <v>7</v>
      </c>
      <c r="AL2055" t="n">
        <v>11</v>
      </c>
      <c r="AM2055" t="n">
        <v>12</v>
      </c>
      <c r="AN2055" t="n">
        <v>4</v>
      </c>
      <c r="AO2055" t="n">
        <v>5</v>
      </c>
      <c r="AP2055" t="n">
        <v>0</v>
      </c>
      <c r="AQ2055" t="n">
        <v>0</v>
      </c>
      <c r="AR2055" t="inlineStr">
        <is>
          <t>No</t>
        </is>
      </c>
      <c r="AS2055" t="inlineStr">
        <is>
          <t>No</t>
        </is>
      </c>
      <c r="AU2055">
        <f>HYPERLINK("https://creighton-primo.hosted.exlibrisgroup.com/primo-explore/search?tab=default_tab&amp;search_scope=EVERYTHING&amp;vid=01CRU&amp;lang=en_US&amp;offset=0&amp;query=any,contains,991004990619702656","Catalog Record")</f>
        <v/>
      </c>
      <c r="AV2055">
        <f>HYPERLINK("http://www.worldcat.org/oclc/6487136","WorldCat Record")</f>
        <v/>
      </c>
      <c r="AW2055" t="inlineStr">
        <is>
          <t>22531114:eng</t>
        </is>
      </c>
      <c r="AX2055" t="inlineStr">
        <is>
          <t>6487136</t>
        </is>
      </c>
      <c r="AY2055" t="inlineStr">
        <is>
          <t>991004990619702656</t>
        </is>
      </c>
      <c r="AZ2055" t="inlineStr">
        <is>
          <t>991004990619702656</t>
        </is>
      </c>
      <c r="BA2055" t="inlineStr">
        <is>
          <t>2271771190002656</t>
        </is>
      </c>
      <c r="BB2055" t="inlineStr">
        <is>
          <t>BOOK</t>
        </is>
      </c>
      <c r="BD2055" t="inlineStr">
        <is>
          <t>9780312801618</t>
        </is>
      </c>
      <c r="BE2055" t="inlineStr">
        <is>
          <t>32285000820414</t>
        </is>
      </c>
      <c r="BF2055" t="inlineStr">
        <is>
          <t>893694587</t>
        </is>
      </c>
    </row>
    <row r="2056">
      <c r="A2056" t="inlineStr">
        <is>
          <t>No</t>
        </is>
      </c>
      <c r="B2056" t="inlineStr">
        <is>
          <t>CURAL</t>
        </is>
      </c>
      <c r="C2056" t="inlineStr">
        <is>
          <t>SHELVES</t>
        </is>
      </c>
      <c r="D2056" t="inlineStr">
        <is>
          <t>PR4757.E46 L4 1977b</t>
        </is>
      </c>
      <c r="E2056" t="inlineStr">
        <is>
          <t>0                      PR 4757000E  46                 L  4           1977b</t>
        </is>
      </c>
      <c r="F2056" t="inlineStr">
        <is>
          <t>Thomas Hardy's Wessex / by Hermann Lea ; illustrated from photographs by the author.</t>
        </is>
      </c>
      <c r="H2056" t="inlineStr">
        <is>
          <t>No</t>
        </is>
      </c>
      <c r="I2056" t="inlineStr">
        <is>
          <t>1</t>
        </is>
      </c>
      <c r="J2056" t="inlineStr">
        <is>
          <t>No</t>
        </is>
      </c>
      <c r="K2056" t="inlineStr">
        <is>
          <t>No</t>
        </is>
      </c>
      <c r="L2056" t="inlineStr">
        <is>
          <t>0</t>
        </is>
      </c>
      <c r="M2056" t="inlineStr">
        <is>
          <t>Lea, Hermann.</t>
        </is>
      </c>
      <c r="N2056" t="inlineStr">
        <is>
          <t>London : Macmillan, 1977.</t>
        </is>
      </c>
      <c r="O2056" t="inlineStr">
        <is>
          <t>1977</t>
        </is>
      </c>
      <c r="Q2056" t="inlineStr">
        <is>
          <t>eng</t>
        </is>
      </c>
      <c r="R2056" t="inlineStr">
        <is>
          <t>enk</t>
        </is>
      </c>
      <c r="T2056" t="inlineStr">
        <is>
          <t xml:space="preserve">PR </t>
        </is>
      </c>
      <c r="U2056" t="n">
        <v>2</v>
      </c>
      <c r="V2056" t="n">
        <v>2</v>
      </c>
      <c r="W2056" t="inlineStr">
        <is>
          <t>1992-05-21</t>
        </is>
      </c>
      <c r="X2056" t="inlineStr">
        <is>
          <t>1992-05-21</t>
        </is>
      </c>
      <c r="Y2056" t="inlineStr">
        <is>
          <t>1991-11-08</t>
        </is>
      </c>
      <c r="Z2056" t="inlineStr">
        <is>
          <t>1991-11-08</t>
        </is>
      </c>
      <c r="AA2056" t="n">
        <v>56</v>
      </c>
      <c r="AB2056" t="n">
        <v>14</v>
      </c>
      <c r="AC2056" t="n">
        <v>282</v>
      </c>
      <c r="AD2056" t="n">
        <v>2</v>
      </c>
      <c r="AE2056" t="n">
        <v>3</v>
      </c>
      <c r="AF2056" t="n">
        <v>1</v>
      </c>
      <c r="AG2056" t="n">
        <v>12</v>
      </c>
      <c r="AH2056" t="n">
        <v>0</v>
      </c>
      <c r="AI2056" t="n">
        <v>2</v>
      </c>
      <c r="AJ2056" t="n">
        <v>0</v>
      </c>
      <c r="AK2056" t="n">
        <v>4</v>
      </c>
      <c r="AL2056" t="n">
        <v>0</v>
      </c>
      <c r="AM2056" t="n">
        <v>7</v>
      </c>
      <c r="AN2056" t="n">
        <v>1</v>
      </c>
      <c r="AO2056" t="n">
        <v>2</v>
      </c>
      <c r="AP2056" t="n">
        <v>0</v>
      </c>
      <c r="AQ2056" t="n">
        <v>0</v>
      </c>
      <c r="AR2056" t="inlineStr">
        <is>
          <t>No</t>
        </is>
      </c>
      <c r="AS2056" t="inlineStr">
        <is>
          <t>No</t>
        </is>
      </c>
      <c r="AU2056">
        <f>HYPERLINK("https://creighton-primo.hosted.exlibrisgroup.com/primo-explore/search?tab=default_tab&amp;search_scope=EVERYTHING&amp;vid=01CRU&amp;lang=en_US&amp;offset=0&amp;query=any,contains,991004600169702656","Catalog Record")</f>
        <v/>
      </c>
      <c r="AV2056">
        <f>HYPERLINK("http://www.worldcat.org/oclc/4168359","WorldCat Record")</f>
        <v/>
      </c>
      <c r="AW2056" t="inlineStr">
        <is>
          <t>1225004:eng</t>
        </is>
      </c>
      <c r="AX2056" t="inlineStr">
        <is>
          <t>4168359</t>
        </is>
      </c>
      <c r="AY2056" t="inlineStr">
        <is>
          <t>991004600169702656</t>
        </is>
      </c>
      <c r="AZ2056" t="inlineStr">
        <is>
          <t>991004600169702656</t>
        </is>
      </c>
      <c r="BA2056" t="inlineStr">
        <is>
          <t>2257272600002656</t>
        </is>
      </c>
      <c r="BB2056" t="inlineStr">
        <is>
          <t>BOOK</t>
        </is>
      </c>
      <c r="BD2056" t="inlineStr">
        <is>
          <t>9780333227640</t>
        </is>
      </c>
      <c r="BE2056" t="inlineStr">
        <is>
          <t>32285000820380</t>
        </is>
      </c>
      <c r="BF2056" t="inlineStr">
        <is>
          <t>893526276</t>
        </is>
      </c>
    </row>
    <row r="2057">
      <c r="A2057" t="inlineStr">
        <is>
          <t>No</t>
        </is>
      </c>
      <c r="B2057" t="inlineStr">
        <is>
          <t>CURAL</t>
        </is>
      </c>
      <c r="C2057" t="inlineStr">
        <is>
          <t>SHELVES</t>
        </is>
      </c>
      <c r="D2057" t="inlineStr">
        <is>
          <t>PR4757.E5 G7 1966</t>
        </is>
      </c>
      <c r="E2057" t="inlineStr">
        <is>
          <t>0                      PR 4757000E  5                  G  7           1966</t>
        </is>
      </c>
      <c r="F2057" t="inlineStr">
        <is>
          <t>Character and environment in the novels of Thomas Hardy.</t>
        </is>
      </c>
      <c r="H2057" t="inlineStr">
        <is>
          <t>No</t>
        </is>
      </c>
      <c r="I2057" t="inlineStr">
        <is>
          <t>1</t>
        </is>
      </c>
      <c r="J2057" t="inlineStr">
        <is>
          <t>No</t>
        </is>
      </c>
      <c r="K2057" t="inlineStr">
        <is>
          <t>No</t>
        </is>
      </c>
      <c r="L2057" t="inlineStr">
        <is>
          <t>0</t>
        </is>
      </c>
      <c r="M2057" t="inlineStr">
        <is>
          <t>Grimsditch, Herbert B. (Herbert Borthwick), 1898-</t>
        </is>
      </c>
      <c r="N2057" t="inlineStr">
        <is>
          <t>New York : Haskell House, 1966.</t>
        </is>
      </c>
      <c r="O2057" t="inlineStr">
        <is>
          <t>1966</t>
        </is>
      </c>
      <c r="Q2057" t="inlineStr">
        <is>
          <t>eng</t>
        </is>
      </c>
      <c r="R2057" t="inlineStr">
        <is>
          <t xml:space="preserve">xx </t>
        </is>
      </c>
      <c r="T2057" t="inlineStr">
        <is>
          <t xml:space="preserve">PR </t>
        </is>
      </c>
      <c r="U2057" t="n">
        <v>6</v>
      </c>
      <c r="V2057" t="n">
        <v>6</v>
      </c>
      <c r="W2057" t="inlineStr">
        <is>
          <t>1996-03-31</t>
        </is>
      </c>
      <c r="X2057" t="inlineStr">
        <is>
          <t>1996-03-31</t>
        </is>
      </c>
      <c r="Y2057" t="inlineStr">
        <is>
          <t>1990-10-08</t>
        </is>
      </c>
      <c r="Z2057" t="inlineStr">
        <is>
          <t>1990-10-08</t>
        </is>
      </c>
      <c r="AA2057" t="n">
        <v>122</v>
      </c>
      <c r="AB2057" t="n">
        <v>101</v>
      </c>
      <c r="AC2057" t="n">
        <v>727</v>
      </c>
      <c r="AD2057" t="n">
        <v>2</v>
      </c>
      <c r="AE2057" t="n">
        <v>8</v>
      </c>
      <c r="AF2057" t="n">
        <v>4</v>
      </c>
      <c r="AG2057" t="n">
        <v>40</v>
      </c>
      <c r="AH2057" t="n">
        <v>1</v>
      </c>
      <c r="AI2057" t="n">
        <v>17</v>
      </c>
      <c r="AJ2057" t="n">
        <v>0</v>
      </c>
      <c r="AK2057" t="n">
        <v>6</v>
      </c>
      <c r="AL2057" t="n">
        <v>3</v>
      </c>
      <c r="AM2057" t="n">
        <v>19</v>
      </c>
      <c r="AN2057" t="n">
        <v>1</v>
      </c>
      <c r="AO2057" t="n">
        <v>7</v>
      </c>
      <c r="AP2057" t="n">
        <v>0</v>
      </c>
      <c r="AQ2057" t="n">
        <v>0</v>
      </c>
      <c r="AR2057" t="inlineStr">
        <is>
          <t>No</t>
        </is>
      </c>
      <c r="AS2057" t="inlineStr">
        <is>
          <t>No</t>
        </is>
      </c>
      <c r="AU2057">
        <f>HYPERLINK("https://creighton-primo.hosted.exlibrisgroup.com/primo-explore/search?tab=default_tab&amp;search_scope=EVERYTHING&amp;vid=01CRU&amp;lang=en_US&amp;offset=0&amp;query=any,contains,991003247839702656","Catalog Record")</f>
        <v/>
      </c>
      <c r="AV2057">
        <f>HYPERLINK("http://www.worldcat.org/oclc/772660","WorldCat Record")</f>
        <v/>
      </c>
      <c r="AW2057" t="inlineStr">
        <is>
          <t>1413416:eng</t>
        </is>
      </c>
      <c r="AX2057" t="inlineStr">
        <is>
          <t>772660</t>
        </is>
      </c>
      <c r="AY2057" t="inlineStr">
        <is>
          <t>991003247839702656</t>
        </is>
      </c>
      <c r="AZ2057" t="inlineStr">
        <is>
          <t>991003247839702656</t>
        </is>
      </c>
      <c r="BA2057" t="inlineStr">
        <is>
          <t>2264276880002656</t>
        </is>
      </c>
      <c r="BB2057" t="inlineStr">
        <is>
          <t>BOOK</t>
        </is>
      </c>
      <c r="BE2057" t="inlineStr">
        <is>
          <t>32285000334531</t>
        </is>
      </c>
      <c r="BF2057" t="inlineStr">
        <is>
          <t>893524594</t>
        </is>
      </c>
    </row>
    <row r="2058">
      <c r="A2058" t="inlineStr">
        <is>
          <t>No</t>
        </is>
      </c>
      <c r="B2058" t="inlineStr">
        <is>
          <t>CURAL</t>
        </is>
      </c>
      <c r="C2058" t="inlineStr">
        <is>
          <t>SHELVES</t>
        </is>
      </c>
      <c r="D2058" t="inlineStr">
        <is>
          <t>PR4757.F3 E6</t>
        </is>
      </c>
      <c r="E2058" t="inlineStr">
        <is>
          <t>0                      PR 4757000F  3                  E  6</t>
        </is>
      </c>
      <c r="F2058" t="inlineStr">
        <is>
          <t>Fatalism in the works of Thomas Hardy.</t>
        </is>
      </c>
      <c r="H2058" t="inlineStr">
        <is>
          <t>No</t>
        </is>
      </c>
      <c r="I2058" t="inlineStr">
        <is>
          <t>1</t>
        </is>
      </c>
      <c r="J2058" t="inlineStr">
        <is>
          <t>No</t>
        </is>
      </c>
      <c r="K2058" t="inlineStr">
        <is>
          <t>No</t>
        </is>
      </c>
      <c r="L2058" t="inlineStr">
        <is>
          <t>0</t>
        </is>
      </c>
      <c r="M2058" t="inlineStr">
        <is>
          <t>Elliott, Albert Pettigrew, 1893-</t>
        </is>
      </c>
      <c r="N2058" t="inlineStr">
        <is>
          <t>New York : Russell &amp; Russell, 1966 [c1935]</t>
        </is>
      </c>
      <c r="O2058" t="inlineStr">
        <is>
          <t>1966</t>
        </is>
      </c>
      <c r="Q2058" t="inlineStr">
        <is>
          <t>eng</t>
        </is>
      </c>
      <c r="R2058" t="inlineStr">
        <is>
          <t>nyu</t>
        </is>
      </c>
      <c r="T2058" t="inlineStr">
        <is>
          <t xml:space="preserve">PR </t>
        </is>
      </c>
      <c r="U2058" t="n">
        <v>3</v>
      </c>
      <c r="V2058" t="n">
        <v>3</v>
      </c>
      <c r="W2058" t="inlineStr">
        <is>
          <t>1996-04-16</t>
        </is>
      </c>
      <c r="X2058" t="inlineStr">
        <is>
          <t>1996-04-16</t>
        </is>
      </c>
      <c r="Y2058" t="inlineStr">
        <is>
          <t>1990-10-08</t>
        </is>
      </c>
      <c r="Z2058" t="inlineStr">
        <is>
          <t>1990-10-08</t>
        </is>
      </c>
      <c r="AA2058" t="n">
        <v>457</v>
      </c>
      <c r="AB2058" t="n">
        <v>383</v>
      </c>
      <c r="AC2058" t="n">
        <v>499</v>
      </c>
      <c r="AD2058" t="n">
        <v>3</v>
      </c>
      <c r="AE2058" t="n">
        <v>5</v>
      </c>
      <c r="AF2058" t="n">
        <v>26</v>
      </c>
      <c r="AG2058" t="n">
        <v>33</v>
      </c>
      <c r="AH2058" t="n">
        <v>16</v>
      </c>
      <c r="AI2058" t="n">
        <v>17</v>
      </c>
      <c r="AJ2058" t="n">
        <v>3</v>
      </c>
      <c r="AK2058" t="n">
        <v>7</v>
      </c>
      <c r="AL2058" t="n">
        <v>12</v>
      </c>
      <c r="AM2058" t="n">
        <v>14</v>
      </c>
      <c r="AN2058" t="n">
        <v>2</v>
      </c>
      <c r="AO2058" t="n">
        <v>4</v>
      </c>
      <c r="AP2058" t="n">
        <v>0</v>
      </c>
      <c r="AQ2058" t="n">
        <v>0</v>
      </c>
      <c r="AR2058" t="inlineStr">
        <is>
          <t>No</t>
        </is>
      </c>
      <c r="AS2058" t="inlineStr">
        <is>
          <t>Yes</t>
        </is>
      </c>
      <c r="AT2058">
        <f>HYPERLINK("http://catalog.hathitrust.org/Record/000478096","HathiTrust Record")</f>
        <v/>
      </c>
      <c r="AU2058">
        <f>HYPERLINK("https://creighton-primo.hosted.exlibrisgroup.com/primo-explore/search?tab=default_tab&amp;search_scope=EVERYTHING&amp;vid=01CRU&amp;lang=en_US&amp;offset=0&amp;query=any,contains,991002486469702656","Catalog Record")</f>
        <v/>
      </c>
      <c r="AV2058">
        <f>HYPERLINK("http://www.worldcat.org/oclc/361113","WorldCat Record")</f>
        <v/>
      </c>
      <c r="AW2058" t="inlineStr">
        <is>
          <t>1365218:eng</t>
        </is>
      </c>
      <c r="AX2058" t="inlineStr">
        <is>
          <t>361113</t>
        </is>
      </c>
      <c r="AY2058" t="inlineStr">
        <is>
          <t>991002486469702656</t>
        </is>
      </c>
      <c r="AZ2058" t="inlineStr">
        <is>
          <t>991002486469702656</t>
        </is>
      </c>
      <c r="BA2058" t="inlineStr">
        <is>
          <t>2263273030002656</t>
        </is>
      </c>
      <c r="BB2058" t="inlineStr">
        <is>
          <t>BOOK</t>
        </is>
      </c>
      <c r="BE2058" t="inlineStr">
        <is>
          <t>32285000334549</t>
        </is>
      </c>
      <c r="BF2058" t="inlineStr">
        <is>
          <t>893427643</t>
        </is>
      </c>
    </row>
    <row r="2059">
      <c r="A2059" t="inlineStr">
        <is>
          <t>No</t>
        </is>
      </c>
      <c r="B2059" t="inlineStr">
        <is>
          <t>CURAL</t>
        </is>
      </c>
      <c r="C2059" t="inlineStr">
        <is>
          <t>SHELVES</t>
        </is>
      </c>
      <c r="D2059" t="inlineStr">
        <is>
          <t>PR4757.F5 W75 2003</t>
        </is>
      </c>
      <c r="E2059" t="inlineStr">
        <is>
          <t>0                      PR 4757000F  5                  W  75          2003</t>
        </is>
      </c>
      <c r="F2059" t="inlineStr">
        <is>
          <t>Hardy and his readers / T.R. Wright.</t>
        </is>
      </c>
      <c r="H2059" t="inlineStr">
        <is>
          <t>No</t>
        </is>
      </c>
      <c r="I2059" t="inlineStr">
        <is>
          <t>1</t>
        </is>
      </c>
      <c r="J2059" t="inlineStr">
        <is>
          <t>No</t>
        </is>
      </c>
      <c r="K2059" t="inlineStr">
        <is>
          <t>No</t>
        </is>
      </c>
      <c r="L2059" t="inlineStr">
        <is>
          <t>0</t>
        </is>
      </c>
      <c r="M2059" t="inlineStr">
        <is>
          <t>Wright, T. R. (Terence R.), 1951-</t>
        </is>
      </c>
      <c r="N2059" t="inlineStr">
        <is>
          <t>Houndmills [U.K.] ; New York : Palgrave Macmillan, 2003.</t>
        </is>
      </c>
      <c r="O2059" t="inlineStr">
        <is>
          <t>2003</t>
        </is>
      </c>
      <c r="Q2059" t="inlineStr">
        <is>
          <t>eng</t>
        </is>
      </c>
      <c r="R2059" t="inlineStr">
        <is>
          <t>enk</t>
        </is>
      </c>
      <c r="T2059" t="inlineStr">
        <is>
          <t xml:space="preserve">PR </t>
        </is>
      </c>
      <c r="U2059" t="n">
        <v>1</v>
      </c>
      <c r="V2059" t="n">
        <v>1</v>
      </c>
      <c r="W2059" t="inlineStr">
        <is>
          <t>2005-05-24</t>
        </is>
      </c>
      <c r="X2059" t="inlineStr">
        <is>
          <t>2005-05-24</t>
        </is>
      </c>
      <c r="Y2059" t="inlineStr">
        <is>
          <t>2005-05-24</t>
        </is>
      </c>
      <c r="Z2059" t="inlineStr">
        <is>
          <t>2005-05-24</t>
        </is>
      </c>
      <c r="AA2059" t="n">
        <v>501</v>
      </c>
      <c r="AB2059" t="n">
        <v>424</v>
      </c>
      <c r="AC2059" t="n">
        <v>448</v>
      </c>
      <c r="AD2059" t="n">
        <v>3</v>
      </c>
      <c r="AE2059" t="n">
        <v>3</v>
      </c>
      <c r="AF2059" t="n">
        <v>30</v>
      </c>
      <c r="AG2059" t="n">
        <v>30</v>
      </c>
      <c r="AH2059" t="n">
        <v>15</v>
      </c>
      <c r="AI2059" t="n">
        <v>15</v>
      </c>
      <c r="AJ2059" t="n">
        <v>7</v>
      </c>
      <c r="AK2059" t="n">
        <v>7</v>
      </c>
      <c r="AL2059" t="n">
        <v>14</v>
      </c>
      <c r="AM2059" t="n">
        <v>14</v>
      </c>
      <c r="AN2059" t="n">
        <v>2</v>
      </c>
      <c r="AO2059" t="n">
        <v>2</v>
      </c>
      <c r="AP2059" t="n">
        <v>0</v>
      </c>
      <c r="AQ2059" t="n">
        <v>0</v>
      </c>
      <c r="AR2059" t="inlineStr">
        <is>
          <t>No</t>
        </is>
      </c>
      <c r="AS2059" t="inlineStr">
        <is>
          <t>No</t>
        </is>
      </c>
      <c r="AU2059">
        <f>HYPERLINK("https://creighton-primo.hosted.exlibrisgroup.com/primo-explore/search?tab=default_tab&amp;search_scope=EVERYTHING&amp;vid=01CRU&amp;lang=en_US&amp;offset=0&amp;query=any,contains,991004536169702656","Catalog Record")</f>
        <v/>
      </c>
      <c r="AV2059">
        <f>HYPERLINK("http://www.worldcat.org/oclc/51118133","WorldCat Record")</f>
        <v/>
      </c>
      <c r="AW2059" t="inlineStr">
        <is>
          <t>681834:eng</t>
        </is>
      </c>
      <c r="AX2059" t="inlineStr">
        <is>
          <t>51118133</t>
        </is>
      </c>
      <c r="AY2059" t="inlineStr">
        <is>
          <t>991004536169702656</t>
        </is>
      </c>
      <c r="AZ2059" t="inlineStr">
        <is>
          <t>991004536169702656</t>
        </is>
      </c>
      <c r="BA2059" t="inlineStr">
        <is>
          <t>2271774090002656</t>
        </is>
      </c>
      <c r="BB2059" t="inlineStr">
        <is>
          <t>BOOK</t>
        </is>
      </c>
      <c r="BD2059" t="inlineStr">
        <is>
          <t>9780333962602</t>
        </is>
      </c>
      <c r="BE2059" t="inlineStr">
        <is>
          <t>32285005039713</t>
        </is>
      </c>
      <c r="BF2059" t="inlineStr">
        <is>
          <t>893430186</t>
        </is>
      </c>
    </row>
    <row r="2060">
      <c r="A2060" t="inlineStr">
        <is>
          <t>No</t>
        </is>
      </c>
      <c r="B2060" t="inlineStr">
        <is>
          <t>CURAL</t>
        </is>
      </c>
      <c r="C2060" t="inlineStr">
        <is>
          <t>SHELVES</t>
        </is>
      </c>
      <c r="D2060" t="inlineStr">
        <is>
          <t>PR4757.I52 C37 1987</t>
        </is>
      </c>
      <c r="E2060" t="inlineStr">
        <is>
          <t>0                      PR 4757000I  52                 C  37          1987</t>
        </is>
      </c>
      <c r="F2060" t="inlineStr">
        <is>
          <t>Hardy's influence on the modern novel / Peter J. Casagrande.</t>
        </is>
      </c>
      <c r="H2060" t="inlineStr">
        <is>
          <t>No</t>
        </is>
      </c>
      <c r="I2060" t="inlineStr">
        <is>
          <t>1</t>
        </is>
      </c>
      <c r="J2060" t="inlineStr">
        <is>
          <t>No</t>
        </is>
      </c>
      <c r="K2060" t="inlineStr">
        <is>
          <t>No</t>
        </is>
      </c>
      <c r="L2060" t="inlineStr">
        <is>
          <t>0</t>
        </is>
      </c>
      <c r="M2060" t="inlineStr">
        <is>
          <t>Casagrande, Peter J.</t>
        </is>
      </c>
      <c r="N2060" t="inlineStr">
        <is>
          <t>Totowa, N.J. : Barnes &amp; Noble Books, 1987.</t>
        </is>
      </c>
      <c r="O2060" t="inlineStr">
        <is>
          <t>1987</t>
        </is>
      </c>
      <c r="Q2060" t="inlineStr">
        <is>
          <t>eng</t>
        </is>
      </c>
      <c r="R2060" t="inlineStr">
        <is>
          <t>nju</t>
        </is>
      </c>
      <c r="T2060" t="inlineStr">
        <is>
          <t xml:space="preserve">PR </t>
        </is>
      </c>
      <c r="U2060" t="n">
        <v>1</v>
      </c>
      <c r="V2060" t="n">
        <v>1</v>
      </c>
      <c r="W2060" t="inlineStr">
        <is>
          <t>1995-12-13</t>
        </is>
      </c>
      <c r="X2060" t="inlineStr">
        <is>
          <t>1995-12-13</t>
        </is>
      </c>
      <c r="Y2060" t="inlineStr">
        <is>
          <t>1991-11-08</t>
        </is>
      </c>
      <c r="Z2060" t="inlineStr">
        <is>
          <t>1991-11-08</t>
        </is>
      </c>
      <c r="AA2060" t="n">
        <v>463</v>
      </c>
      <c r="AB2060" t="n">
        <v>429</v>
      </c>
      <c r="AC2060" t="n">
        <v>498</v>
      </c>
      <c r="AD2060" t="n">
        <v>2</v>
      </c>
      <c r="AE2060" t="n">
        <v>4</v>
      </c>
      <c r="AF2060" t="n">
        <v>12</v>
      </c>
      <c r="AG2060" t="n">
        <v>16</v>
      </c>
      <c r="AH2060" t="n">
        <v>5</v>
      </c>
      <c r="AI2060" t="n">
        <v>5</v>
      </c>
      <c r="AJ2060" t="n">
        <v>2</v>
      </c>
      <c r="AK2060" t="n">
        <v>3</v>
      </c>
      <c r="AL2060" t="n">
        <v>7</v>
      </c>
      <c r="AM2060" t="n">
        <v>9</v>
      </c>
      <c r="AN2060" t="n">
        <v>1</v>
      </c>
      <c r="AO2060" t="n">
        <v>3</v>
      </c>
      <c r="AP2060" t="n">
        <v>0</v>
      </c>
      <c r="AQ2060" t="n">
        <v>0</v>
      </c>
      <c r="AR2060" t="inlineStr">
        <is>
          <t>No</t>
        </is>
      </c>
      <c r="AS2060" t="inlineStr">
        <is>
          <t>No</t>
        </is>
      </c>
      <c r="AU2060">
        <f>HYPERLINK("https://creighton-primo.hosted.exlibrisgroup.com/primo-explore/search?tab=default_tab&amp;search_scope=EVERYTHING&amp;vid=01CRU&amp;lang=en_US&amp;offset=0&amp;query=any,contains,991000919769702656","Catalog Record")</f>
        <v/>
      </c>
      <c r="AV2060">
        <f>HYPERLINK("http://www.worldcat.org/oclc/14189077","WorldCat Record")</f>
        <v/>
      </c>
      <c r="AW2060" t="inlineStr">
        <is>
          <t>6918521:eng</t>
        </is>
      </c>
      <c r="AX2060" t="inlineStr">
        <is>
          <t>14189077</t>
        </is>
      </c>
      <c r="AY2060" t="inlineStr">
        <is>
          <t>991000919769702656</t>
        </is>
      </c>
      <c r="AZ2060" t="inlineStr">
        <is>
          <t>991000919769702656</t>
        </is>
      </c>
      <c r="BA2060" t="inlineStr">
        <is>
          <t>2261283800002656</t>
        </is>
      </c>
      <c r="BB2060" t="inlineStr">
        <is>
          <t>BOOK</t>
        </is>
      </c>
      <c r="BD2060" t="inlineStr">
        <is>
          <t>9780389206835</t>
        </is>
      </c>
      <c r="BE2060" t="inlineStr">
        <is>
          <t>32285000820398</t>
        </is>
      </c>
      <c r="BF2060" t="inlineStr">
        <is>
          <t>893243723</t>
        </is>
      </c>
    </row>
    <row r="2061">
      <c r="A2061" t="inlineStr">
        <is>
          <t>No</t>
        </is>
      </c>
      <c r="B2061" t="inlineStr">
        <is>
          <t>CURAL</t>
        </is>
      </c>
      <c r="C2061" t="inlineStr">
        <is>
          <t>SHELVES</t>
        </is>
      </c>
      <c r="D2061" t="inlineStr">
        <is>
          <t>PR4757.P5 D38 1985</t>
        </is>
      </c>
      <c r="E2061" t="inlineStr">
        <is>
          <t>0                      PR 4757000P  5                  D  38          1985</t>
        </is>
      </c>
      <c r="F2061" t="inlineStr">
        <is>
          <t>The human predicament in Hardy's novels / Jagdish Chandra Dave ; foreword by Lance St. John Butler.</t>
        </is>
      </c>
      <c r="H2061" t="inlineStr">
        <is>
          <t>No</t>
        </is>
      </c>
      <c r="I2061" t="inlineStr">
        <is>
          <t>1</t>
        </is>
      </c>
      <c r="J2061" t="inlineStr">
        <is>
          <t>No</t>
        </is>
      </c>
      <c r="K2061" t="inlineStr">
        <is>
          <t>No</t>
        </is>
      </c>
      <c r="L2061" t="inlineStr">
        <is>
          <t>0</t>
        </is>
      </c>
      <c r="M2061" t="inlineStr">
        <is>
          <t>Dave, Jagdish Chandra, 1944-</t>
        </is>
      </c>
      <c r="N2061" t="inlineStr">
        <is>
          <t>Atlantic Highlands, NJ : Humanities Press, 1985.</t>
        </is>
      </c>
      <c r="O2061" t="inlineStr">
        <is>
          <t>1985</t>
        </is>
      </c>
      <c r="Q2061" t="inlineStr">
        <is>
          <t>eng</t>
        </is>
      </c>
      <c r="R2061" t="inlineStr">
        <is>
          <t>nju</t>
        </is>
      </c>
      <c r="T2061" t="inlineStr">
        <is>
          <t xml:space="preserve">PR </t>
        </is>
      </c>
      <c r="U2061" t="n">
        <v>4</v>
      </c>
      <c r="V2061" t="n">
        <v>4</v>
      </c>
      <c r="W2061" t="inlineStr">
        <is>
          <t>1996-03-31</t>
        </is>
      </c>
      <c r="X2061" t="inlineStr">
        <is>
          <t>1996-03-31</t>
        </is>
      </c>
      <c r="Y2061" t="inlineStr">
        <is>
          <t>1991-11-08</t>
        </is>
      </c>
      <c r="Z2061" t="inlineStr">
        <is>
          <t>1991-11-08</t>
        </is>
      </c>
      <c r="AA2061" t="n">
        <v>418</v>
      </c>
      <c r="AB2061" t="n">
        <v>396</v>
      </c>
      <c r="AC2061" t="n">
        <v>479</v>
      </c>
      <c r="AD2061" t="n">
        <v>1</v>
      </c>
      <c r="AE2061" t="n">
        <v>2</v>
      </c>
      <c r="AF2061" t="n">
        <v>20</v>
      </c>
      <c r="AG2061" t="n">
        <v>22</v>
      </c>
      <c r="AH2061" t="n">
        <v>9</v>
      </c>
      <c r="AI2061" t="n">
        <v>10</v>
      </c>
      <c r="AJ2061" t="n">
        <v>5</v>
      </c>
      <c r="AK2061" t="n">
        <v>5</v>
      </c>
      <c r="AL2061" t="n">
        <v>11</v>
      </c>
      <c r="AM2061" t="n">
        <v>12</v>
      </c>
      <c r="AN2061" t="n">
        <v>0</v>
      </c>
      <c r="AO2061" t="n">
        <v>1</v>
      </c>
      <c r="AP2061" t="n">
        <v>0</v>
      </c>
      <c r="AQ2061" t="n">
        <v>0</v>
      </c>
      <c r="AR2061" t="inlineStr">
        <is>
          <t>No</t>
        </is>
      </c>
      <c r="AS2061" t="inlineStr">
        <is>
          <t>Yes</t>
        </is>
      </c>
      <c r="AT2061">
        <f>HYPERLINK("http://catalog.hathitrust.org/Record/007586130","HathiTrust Record")</f>
        <v/>
      </c>
      <c r="AU2061">
        <f>HYPERLINK("https://creighton-primo.hosted.exlibrisgroup.com/primo-explore/search?tab=default_tab&amp;search_scope=EVERYTHING&amp;vid=01CRU&amp;lang=en_US&amp;offset=0&amp;query=any,contains,991000589449702656","Catalog Record")</f>
        <v/>
      </c>
      <c r="AV2061">
        <f>HYPERLINK("http://www.worldcat.org/oclc/11783993","WorldCat Record")</f>
        <v/>
      </c>
      <c r="AW2061" t="inlineStr">
        <is>
          <t>4611882:eng</t>
        </is>
      </c>
      <c r="AX2061" t="inlineStr">
        <is>
          <t>11783993</t>
        </is>
      </c>
      <c r="AY2061" t="inlineStr">
        <is>
          <t>991000589449702656</t>
        </is>
      </c>
      <c r="AZ2061" t="inlineStr">
        <is>
          <t>991000589449702656</t>
        </is>
      </c>
      <c r="BA2061" t="inlineStr">
        <is>
          <t>2256656320002656</t>
        </is>
      </c>
      <c r="BB2061" t="inlineStr">
        <is>
          <t>BOOK</t>
        </is>
      </c>
      <c r="BD2061" t="inlineStr">
        <is>
          <t>9780391033405</t>
        </is>
      </c>
      <c r="BE2061" t="inlineStr">
        <is>
          <t>32285000820406</t>
        </is>
      </c>
      <c r="BF2061" t="inlineStr">
        <is>
          <t>893231239</t>
        </is>
      </c>
    </row>
    <row r="2062">
      <c r="A2062" t="inlineStr">
        <is>
          <t>No</t>
        </is>
      </c>
      <c r="B2062" t="inlineStr">
        <is>
          <t>CURAL</t>
        </is>
      </c>
      <c r="C2062" t="inlineStr">
        <is>
          <t>SHELVES</t>
        </is>
      </c>
      <c r="D2062" t="inlineStr">
        <is>
          <t>PR4757.P58 T3</t>
        </is>
      </c>
      <c r="E2062" t="inlineStr">
        <is>
          <t>0                      PR 4757000P  58                 T  3</t>
        </is>
      </c>
      <c r="F2062" t="inlineStr">
        <is>
          <t>Hardy's poetry, 1860-1928 / Dennis Taylor.</t>
        </is>
      </c>
      <c r="H2062" t="inlineStr">
        <is>
          <t>No</t>
        </is>
      </c>
      <c r="I2062" t="inlineStr">
        <is>
          <t>1</t>
        </is>
      </c>
      <c r="J2062" t="inlineStr">
        <is>
          <t>No</t>
        </is>
      </c>
      <c r="K2062" t="inlineStr">
        <is>
          <t>No</t>
        </is>
      </c>
      <c r="L2062" t="inlineStr">
        <is>
          <t>0</t>
        </is>
      </c>
      <c r="M2062" t="inlineStr">
        <is>
          <t>Taylor, Dennis, 1940-</t>
        </is>
      </c>
      <c r="N2062" t="inlineStr">
        <is>
          <t>New York : Columbia University Press, 1981.</t>
        </is>
      </c>
      <c r="O2062" t="inlineStr">
        <is>
          <t>1981</t>
        </is>
      </c>
      <c r="Q2062" t="inlineStr">
        <is>
          <t>eng</t>
        </is>
      </c>
      <c r="R2062" t="inlineStr">
        <is>
          <t>nyu</t>
        </is>
      </c>
      <c r="T2062" t="inlineStr">
        <is>
          <t xml:space="preserve">PR </t>
        </is>
      </c>
      <c r="U2062" t="n">
        <v>1</v>
      </c>
      <c r="V2062" t="n">
        <v>1</v>
      </c>
      <c r="W2062" t="inlineStr">
        <is>
          <t>1992-10-15</t>
        </is>
      </c>
      <c r="X2062" t="inlineStr">
        <is>
          <t>1992-10-15</t>
        </is>
      </c>
      <c r="Y2062" t="inlineStr">
        <is>
          <t>1990-06-13</t>
        </is>
      </c>
      <c r="Z2062" t="inlineStr">
        <is>
          <t>1990-06-13</t>
        </is>
      </c>
      <c r="AA2062" t="n">
        <v>698</v>
      </c>
      <c r="AB2062" t="n">
        <v>613</v>
      </c>
      <c r="AC2062" t="n">
        <v>640</v>
      </c>
      <c r="AD2062" t="n">
        <v>4</v>
      </c>
      <c r="AE2062" t="n">
        <v>5</v>
      </c>
      <c r="AF2062" t="n">
        <v>32</v>
      </c>
      <c r="AG2062" t="n">
        <v>33</v>
      </c>
      <c r="AH2062" t="n">
        <v>15</v>
      </c>
      <c r="AI2062" t="n">
        <v>15</v>
      </c>
      <c r="AJ2062" t="n">
        <v>9</v>
      </c>
      <c r="AK2062" t="n">
        <v>9</v>
      </c>
      <c r="AL2062" t="n">
        <v>16</v>
      </c>
      <c r="AM2062" t="n">
        <v>16</v>
      </c>
      <c r="AN2062" t="n">
        <v>3</v>
      </c>
      <c r="AO2062" t="n">
        <v>4</v>
      </c>
      <c r="AP2062" t="n">
        <v>0</v>
      </c>
      <c r="AQ2062" t="n">
        <v>0</v>
      </c>
      <c r="AR2062" t="inlineStr">
        <is>
          <t>No</t>
        </is>
      </c>
      <c r="AS2062" t="inlineStr">
        <is>
          <t>Yes</t>
        </is>
      </c>
      <c r="AT2062">
        <f>HYPERLINK("http://catalog.hathitrust.org/Record/000724877","HathiTrust Record")</f>
        <v/>
      </c>
      <c r="AU2062">
        <f>HYPERLINK("https://creighton-primo.hosted.exlibrisgroup.com/primo-explore/search?tab=default_tab&amp;search_scope=EVERYTHING&amp;vid=01CRU&amp;lang=en_US&amp;offset=0&amp;query=any,contains,991005020039702656","Catalog Record")</f>
        <v/>
      </c>
      <c r="AV2062">
        <f>HYPERLINK("http://www.worldcat.org/oclc/6648805","WorldCat Record")</f>
        <v/>
      </c>
      <c r="AW2062" t="inlineStr">
        <is>
          <t>118167148:eng</t>
        </is>
      </c>
      <c r="AX2062" t="inlineStr">
        <is>
          <t>6648805</t>
        </is>
      </c>
      <c r="AY2062" t="inlineStr">
        <is>
          <t>991005020039702656</t>
        </is>
      </c>
      <c r="AZ2062" t="inlineStr">
        <is>
          <t>991005020039702656</t>
        </is>
      </c>
      <c r="BA2062" t="inlineStr">
        <is>
          <t>2268360480002656</t>
        </is>
      </c>
      <c r="BB2062" t="inlineStr">
        <is>
          <t>BOOK</t>
        </is>
      </c>
      <c r="BD2062" t="inlineStr">
        <is>
          <t>9780231050500</t>
        </is>
      </c>
      <c r="BE2062" t="inlineStr">
        <is>
          <t>32285000191352</t>
        </is>
      </c>
      <c r="BF2062" t="inlineStr">
        <is>
          <t>893332280</t>
        </is>
      </c>
    </row>
    <row r="2063">
      <c r="A2063" t="inlineStr">
        <is>
          <t>No</t>
        </is>
      </c>
      <c r="B2063" t="inlineStr">
        <is>
          <t>CURAL</t>
        </is>
      </c>
      <c r="C2063" t="inlineStr">
        <is>
          <t>SHELVES</t>
        </is>
      </c>
      <c r="D2063" t="inlineStr">
        <is>
          <t>PR4757.P58 T48 2004</t>
        </is>
      </c>
      <c r="E2063" t="inlineStr">
        <is>
          <t>0                      PR 4757000P  58                 T  48          2004</t>
        </is>
      </c>
      <c r="F2063" t="inlineStr">
        <is>
          <t>Thomas Hardy : comprehensive research and study guide / [edited and with an introduction by Harold Bloom].</t>
        </is>
      </c>
      <c r="H2063" t="inlineStr">
        <is>
          <t>No</t>
        </is>
      </c>
      <c r="I2063" t="inlineStr">
        <is>
          <t>1</t>
        </is>
      </c>
      <c r="J2063" t="inlineStr">
        <is>
          <t>No</t>
        </is>
      </c>
      <c r="K2063" t="inlineStr">
        <is>
          <t>Yes</t>
        </is>
      </c>
      <c r="L2063" t="inlineStr">
        <is>
          <t>0</t>
        </is>
      </c>
      <c r="N2063" t="inlineStr">
        <is>
          <t>Philadelphia : Chelsea House Publishers, c2004.</t>
        </is>
      </c>
      <c r="O2063" t="inlineStr">
        <is>
          <t>2004</t>
        </is>
      </c>
      <c r="Q2063" t="inlineStr">
        <is>
          <t>eng</t>
        </is>
      </c>
      <c r="R2063" t="inlineStr">
        <is>
          <t>pau</t>
        </is>
      </c>
      <c r="S2063" t="inlineStr">
        <is>
          <t>Bloom's major poets</t>
        </is>
      </c>
      <c r="T2063" t="inlineStr">
        <is>
          <t xml:space="preserve">PR </t>
        </is>
      </c>
      <c r="U2063" t="n">
        <v>1</v>
      </c>
      <c r="V2063" t="n">
        <v>1</v>
      </c>
      <c r="W2063" t="inlineStr">
        <is>
          <t>2004-07-26</t>
        </is>
      </c>
      <c r="X2063" t="inlineStr">
        <is>
          <t>2004-07-26</t>
        </is>
      </c>
      <c r="Y2063" t="inlineStr">
        <is>
          <t>2004-07-26</t>
        </is>
      </c>
      <c r="Z2063" t="inlineStr">
        <is>
          <t>2004-07-26</t>
        </is>
      </c>
      <c r="AA2063" t="n">
        <v>154</v>
      </c>
      <c r="AB2063" t="n">
        <v>145</v>
      </c>
      <c r="AC2063" t="n">
        <v>1773</v>
      </c>
      <c r="AD2063" t="n">
        <v>1</v>
      </c>
      <c r="AE2063" t="n">
        <v>19</v>
      </c>
      <c r="AF2063" t="n">
        <v>2</v>
      </c>
      <c r="AG2063" t="n">
        <v>50</v>
      </c>
      <c r="AH2063" t="n">
        <v>1</v>
      </c>
      <c r="AI2063" t="n">
        <v>22</v>
      </c>
      <c r="AJ2063" t="n">
        <v>1</v>
      </c>
      <c r="AK2063" t="n">
        <v>9</v>
      </c>
      <c r="AL2063" t="n">
        <v>2</v>
      </c>
      <c r="AM2063" t="n">
        <v>19</v>
      </c>
      <c r="AN2063" t="n">
        <v>0</v>
      </c>
      <c r="AO2063" t="n">
        <v>12</v>
      </c>
      <c r="AP2063" t="n">
        <v>0</v>
      </c>
      <c r="AQ2063" t="n">
        <v>0</v>
      </c>
      <c r="AR2063" t="inlineStr">
        <is>
          <t>No</t>
        </is>
      </c>
      <c r="AS2063" t="inlineStr">
        <is>
          <t>No</t>
        </is>
      </c>
      <c r="AU2063">
        <f>HYPERLINK("https://creighton-primo.hosted.exlibrisgroup.com/primo-explore/search?tab=default_tab&amp;search_scope=EVERYTHING&amp;vid=01CRU&amp;lang=en_US&amp;offset=0&amp;query=any,contains,991004317459702656","Catalog Record")</f>
        <v/>
      </c>
      <c r="AV2063">
        <f>HYPERLINK("http://www.worldcat.org/oclc/54487566","WorldCat Record")</f>
        <v/>
      </c>
      <c r="AW2063" t="inlineStr">
        <is>
          <t>4916495831:eng</t>
        </is>
      </c>
      <c r="AX2063" t="inlineStr">
        <is>
          <t>54487566</t>
        </is>
      </c>
      <c r="AY2063" t="inlineStr">
        <is>
          <t>991004317459702656</t>
        </is>
      </c>
      <c r="AZ2063" t="inlineStr">
        <is>
          <t>991004317459702656</t>
        </is>
      </c>
      <c r="BA2063" t="inlineStr">
        <is>
          <t>2257722560002656</t>
        </is>
      </c>
      <c r="BB2063" t="inlineStr">
        <is>
          <t>BOOK</t>
        </is>
      </c>
      <c r="BD2063" t="inlineStr">
        <is>
          <t>9780791078914</t>
        </is>
      </c>
      <c r="BE2063" t="inlineStr">
        <is>
          <t>32285004925102</t>
        </is>
      </c>
      <c r="BF2063" t="inlineStr">
        <is>
          <t>893325212</t>
        </is>
      </c>
    </row>
    <row r="2064">
      <c r="A2064" t="inlineStr">
        <is>
          <t>No</t>
        </is>
      </c>
      <c r="B2064" t="inlineStr">
        <is>
          <t>CURAL</t>
        </is>
      </c>
      <c r="C2064" t="inlineStr">
        <is>
          <t>SHELVES</t>
        </is>
      </c>
      <c r="D2064" t="inlineStr">
        <is>
          <t>PR4757.R4 H36 1989</t>
        </is>
      </c>
      <c r="E2064" t="inlineStr">
        <is>
          <t>0                      PR 4757000R  4                  H  36          1989</t>
        </is>
      </c>
      <c r="F2064" t="inlineStr">
        <is>
          <t>Thomas Hardy : distracted preacher? : Hardy's religious biography and its influence on his novels / Timothy Hands.</t>
        </is>
      </c>
      <c r="H2064" t="inlineStr">
        <is>
          <t>No</t>
        </is>
      </c>
      <c r="I2064" t="inlineStr">
        <is>
          <t>1</t>
        </is>
      </c>
      <c r="J2064" t="inlineStr">
        <is>
          <t>No</t>
        </is>
      </c>
      <c r="K2064" t="inlineStr">
        <is>
          <t>No</t>
        </is>
      </c>
      <c r="L2064" t="inlineStr">
        <is>
          <t>0</t>
        </is>
      </c>
      <c r="M2064" t="inlineStr">
        <is>
          <t>Hands, Timothy.</t>
        </is>
      </c>
      <c r="N2064" t="inlineStr">
        <is>
          <t>New York : St. Martin's Press, 1989.</t>
        </is>
      </c>
      <c r="O2064" t="inlineStr">
        <is>
          <t>1989</t>
        </is>
      </c>
      <c r="Q2064" t="inlineStr">
        <is>
          <t>eng</t>
        </is>
      </c>
      <c r="R2064" t="inlineStr">
        <is>
          <t>nyu</t>
        </is>
      </c>
      <c r="T2064" t="inlineStr">
        <is>
          <t xml:space="preserve">PR </t>
        </is>
      </c>
      <c r="U2064" t="n">
        <v>1</v>
      </c>
      <c r="V2064" t="n">
        <v>1</v>
      </c>
      <c r="W2064" t="inlineStr">
        <is>
          <t>1995-12-13</t>
        </is>
      </c>
      <c r="X2064" t="inlineStr">
        <is>
          <t>1995-12-13</t>
        </is>
      </c>
      <c r="Y2064" t="inlineStr">
        <is>
          <t>1990-05-03</t>
        </is>
      </c>
      <c r="Z2064" t="inlineStr">
        <is>
          <t>1990-05-03</t>
        </is>
      </c>
      <c r="AA2064" t="n">
        <v>255</v>
      </c>
      <c r="AB2064" t="n">
        <v>228</v>
      </c>
      <c r="AC2064" t="n">
        <v>279</v>
      </c>
      <c r="AD2064" t="n">
        <v>1</v>
      </c>
      <c r="AE2064" t="n">
        <v>2</v>
      </c>
      <c r="AF2064" t="n">
        <v>12</v>
      </c>
      <c r="AG2064" t="n">
        <v>14</v>
      </c>
      <c r="AH2064" t="n">
        <v>5</v>
      </c>
      <c r="AI2064" t="n">
        <v>5</v>
      </c>
      <c r="AJ2064" t="n">
        <v>3</v>
      </c>
      <c r="AK2064" t="n">
        <v>4</v>
      </c>
      <c r="AL2064" t="n">
        <v>7</v>
      </c>
      <c r="AM2064" t="n">
        <v>8</v>
      </c>
      <c r="AN2064" t="n">
        <v>0</v>
      </c>
      <c r="AO2064" t="n">
        <v>1</v>
      </c>
      <c r="AP2064" t="n">
        <v>0</v>
      </c>
      <c r="AQ2064" t="n">
        <v>0</v>
      </c>
      <c r="AR2064" t="inlineStr">
        <is>
          <t>No</t>
        </is>
      </c>
      <c r="AS2064" t="inlineStr">
        <is>
          <t>No</t>
        </is>
      </c>
      <c r="AU2064">
        <f>HYPERLINK("https://creighton-primo.hosted.exlibrisgroup.com/primo-explore/search?tab=default_tab&amp;search_scope=EVERYTHING&amp;vid=01CRU&amp;lang=en_US&amp;offset=0&amp;query=any,contains,991001346209702656","Catalog Record")</f>
        <v/>
      </c>
      <c r="AV2064">
        <f>HYPERLINK("http://www.worldcat.org/oclc/18414474","WorldCat Record")</f>
        <v/>
      </c>
      <c r="AW2064" t="inlineStr">
        <is>
          <t>17458163:eng</t>
        </is>
      </c>
      <c r="AX2064" t="inlineStr">
        <is>
          <t>18414474</t>
        </is>
      </c>
      <c r="AY2064" t="inlineStr">
        <is>
          <t>991001346209702656</t>
        </is>
      </c>
      <c r="AZ2064" t="inlineStr">
        <is>
          <t>991001346209702656</t>
        </is>
      </c>
      <c r="BA2064" t="inlineStr">
        <is>
          <t>2256018010002656</t>
        </is>
      </c>
      <c r="BB2064" t="inlineStr">
        <is>
          <t>BOOK</t>
        </is>
      </c>
      <c r="BD2064" t="inlineStr">
        <is>
          <t>9780312026967</t>
        </is>
      </c>
      <c r="BE2064" t="inlineStr">
        <is>
          <t>32285000117696</t>
        </is>
      </c>
      <c r="BF2064" t="inlineStr">
        <is>
          <t>893256191</t>
        </is>
      </c>
    </row>
    <row r="2065">
      <c r="A2065" t="inlineStr">
        <is>
          <t>No</t>
        </is>
      </c>
      <c r="B2065" t="inlineStr">
        <is>
          <t>CURAL</t>
        </is>
      </c>
      <c r="C2065" t="inlineStr">
        <is>
          <t>SHELVES</t>
        </is>
      </c>
      <c r="D2065" t="inlineStr">
        <is>
          <t>PR4757.S46 E5</t>
        </is>
      </c>
      <c r="E2065" t="inlineStr">
        <is>
          <t>0                      PR 4757000S  46                 E  5</t>
        </is>
      </c>
      <c r="F2065" t="inlineStr">
        <is>
          <t>Thomas Hardy: landscapes of the mind / Andrew Enstice.</t>
        </is>
      </c>
      <c r="H2065" t="inlineStr">
        <is>
          <t>No</t>
        </is>
      </c>
      <c r="I2065" t="inlineStr">
        <is>
          <t>1</t>
        </is>
      </c>
      <c r="J2065" t="inlineStr">
        <is>
          <t>No</t>
        </is>
      </c>
      <c r="K2065" t="inlineStr">
        <is>
          <t>No</t>
        </is>
      </c>
      <c r="L2065" t="inlineStr">
        <is>
          <t>0</t>
        </is>
      </c>
      <c r="M2065" t="inlineStr">
        <is>
          <t>Enstice, Andrew.</t>
        </is>
      </c>
      <c r="N2065" t="inlineStr">
        <is>
          <t>New York : St. Martin's Press, 1979.</t>
        </is>
      </c>
      <c r="O2065" t="inlineStr">
        <is>
          <t>1979</t>
        </is>
      </c>
      <c r="Q2065" t="inlineStr">
        <is>
          <t>eng</t>
        </is>
      </c>
      <c r="R2065" t="inlineStr">
        <is>
          <t>nyu</t>
        </is>
      </c>
      <c r="T2065" t="inlineStr">
        <is>
          <t xml:space="preserve">PR </t>
        </is>
      </c>
      <c r="U2065" t="n">
        <v>5</v>
      </c>
      <c r="V2065" t="n">
        <v>5</v>
      </c>
      <c r="W2065" t="inlineStr">
        <is>
          <t>1994-12-01</t>
        </is>
      </c>
      <c r="X2065" t="inlineStr">
        <is>
          <t>1994-12-01</t>
        </is>
      </c>
      <c r="Y2065" t="inlineStr">
        <is>
          <t>1991-11-08</t>
        </is>
      </c>
      <c r="Z2065" t="inlineStr">
        <is>
          <t>1991-11-08</t>
        </is>
      </c>
      <c r="AA2065" t="n">
        <v>382</v>
      </c>
      <c r="AB2065" t="n">
        <v>346</v>
      </c>
      <c r="AC2065" t="n">
        <v>421</v>
      </c>
      <c r="AD2065" t="n">
        <v>1</v>
      </c>
      <c r="AE2065" t="n">
        <v>3</v>
      </c>
      <c r="AF2065" t="n">
        <v>11</v>
      </c>
      <c r="AG2065" t="n">
        <v>14</v>
      </c>
      <c r="AH2065" t="n">
        <v>3</v>
      </c>
      <c r="AI2065" t="n">
        <v>3</v>
      </c>
      <c r="AJ2065" t="n">
        <v>5</v>
      </c>
      <c r="AK2065" t="n">
        <v>5</v>
      </c>
      <c r="AL2065" t="n">
        <v>8</v>
      </c>
      <c r="AM2065" t="n">
        <v>9</v>
      </c>
      <c r="AN2065" t="n">
        <v>0</v>
      </c>
      <c r="AO2065" t="n">
        <v>2</v>
      </c>
      <c r="AP2065" t="n">
        <v>0</v>
      </c>
      <c r="AQ2065" t="n">
        <v>0</v>
      </c>
      <c r="AR2065" t="inlineStr">
        <is>
          <t>No</t>
        </is>
      </c>
      <c r="AS2065" t="inlineStr">
        <is>
          <t>No</t>
        </is>
      </c>
      <c r="AU2065">
        <f>HYPERLINK("https://creighton-primo.hosted.exlibrisgroup.com/primo-explore/search?tab=default_tab&amp;search_scope=EVERYTHING&amp;vid=01CRU&amp;lang=en_US&amp;offset=0&amp;query=any,contains,991004659559702656","Catalog Record")</f>
        <v/>
      </c>
      <c r="AV2065">
        <f>HYPERLINK("http://www.worldcat.org/oclc/4496402","WorldCat Record")</f>
        <v/>
      </c>
      <c r="AW2065" t="inlineStr">
        <is>
          <t>14775160:eng</t>
        </is>
      </c>
      <c r="AX2065" t="inlineStr">
        <is>
          <t>4496402</t>
        </is>
      </c>
      <c r="AY2065" t="inlineStr">
        <is>
          <t>991004659559702656</t>
        </is>
      </c>
      <c r="AZ2065" t="inlineStr">
        <is>
          <t>991004659559702656</t>
        </is>
      </c>
      <c r="BA2065" t="inlineStr">
        <is>
          <t>2268665750002656</t>
        </is>
      </c>
      <c r="BB2065" t="inlineStr">
        <is>
          <t>BOOK</t>
        </is>
      </c>
      <c r="BD2065" t="inlineStr">
        <is>
          <t>9780312801533</t>
        </is>
      </c>
      <c r="BE2065" t="inlineStr">
        <is>
          <t>32285000820422</t>
        </is>
      </c>
      <c r="BF2065" t="inlineStr">
        <is>
          <t>893353486</t>
        </is>
      </c>
    </row>
    <row r="2066">
      <c r="A2066" t="inlineStr">
        <is>
          <t>No</t>
        </is>
      </c>
      <c r="B2066" t="inlineStr">
        <is>
          <t>CURAL</t>
        </is>
      </c>
      <c r="C2066" t="inlineStr">
        <is>
          <t>SHELVES</t>
        </is>
      </c>
      <c r="D2066" t="inlineStr">
        <is>
          <t>PR4757.S46 K3 1984b</t>
        </is>
      </c>
      <c r="E2066" t="inlineStr">
        <is>
          <t>0                      PR 4757000S  46                 K  3           1984b</t>
        </is>
      </c>
      <c r="F2066" t="inlineStr">
        <is>
          <t>The landscape of Thomas Hardy / Denys Kay-Robinson ; with photographs by Simon McBride.</t>
        </is>
      </c>
      <c r="H2066" t="inlineStr">
        <is>
          <t>No</t>
        </is>
      </c>
      <c r="I2066" t="inlineStr">
        <is>
          <t>1</t>
        </is>
      </c>
      <c r="J2066" t="inlineStr">
        <is>
          <t>No</t>
        </is>
      </c>
      <c r="K2066" t="inlineStr">
        <is>
          <t>No</t>
        </is>
      </c>
      <c r="L2066" t="inlineStr">
        <is>
          <t>0</t>
        </is>
      </c>
      <c r="M2066" t="inlineStr">
        <is>
          <t>Kay-Robinson, Denys.</t>
        </is>
      </c>
      <c r="N2066" t="inlineStr">
        <is>
          <t>[Salem, NH] : Salem House, c1984.</t>
        </is>
      </c>
      <c r="O2066" t="inlineStr">
        <is>
          <t>1984</t>
        </is>
      </c>
      <c r="Q2066" t="inlineStr">
        <is>
          <t>eng</t>
        </is>
      </c>
      <c r="R2066" t="inlineStr">
        <is>
          <t>nhu</t>
        </is>
      </c>
      <c r="T2066" t="inlineStr">
        <is>
          <t xml:space="preserve">PR </t>
        </is>
      </c>
      <c r="U2066" t="n">
        <v>4</v>
      </c>
      <c r="V2066" t="n">
        <v>4</v>
      </c>
      <c r="W2066" t="inlineStr">
        <is>
          <t>1994-09-10</t>
        </is>
      </c>
      <c r="X2066" t="inlineStr">
        <is>
          <t>1994-09-10</t>
        </is>
      </c>
      <c r="Y2066" t="inlineStr">
        <is>
          <t>1990-06-13</t>
        </is>
      </c>
      <c r="Z2066" t="inlineStr">
        <is>
          <t>1990-06-13</t>
        </is>
      </c>
      <c r="AA2066" t="n">
        <v>399</v>
      </c>
      <c r="AB2066" t="n">
        <v>380</v>
      </c>
      <c r="AC2066" t="n">
        <v>508</v>
      </c>
      <c r="AD2066" t="n">
        <v>1</v>
      </c>
      <c r="AE2066" t="n">
        <v>3</v>
      </c>
      <c r="AF2066" t="n">
        <v>11</v>
      </c>
      <c r="AG2066" t="n">
        <v>20</v>
      </c>
      <c r="AH2066" t="n">
        <v>7</v>
      </c>
      <c r="AI2066" t="n">
        <v>10</v>
      </c>
      <c r="AJ2066" t="n">
        <v>2</v>
      </c>
      <c r="AK2066" t="n">
        <v>5</v>
      </c>
      <c r="AL2066" t="n">
        <v>4</v>
      </c>
      <c r="AM2066" t="n">
        <v>8</v>
      </c>
      <c r="AN2066" t="n">
        <v>0</v>
      </c>
      <c r="AO2066" t="n">
        <v>2</v>
      </c>
      <c r="AP2066" t="n">
        <v>0</v>
      </c>
      <c r="AQ2066" t="n">
        <v>0</v>
      </c>
      <c r="AR2066" t="inlineStr">
        <is>
          <t>No</t>
        </is>
      </c>
      <c r="AS2066" t="inlineStr">
        <is>
          <t>No</t>
        </is>
      </c>
      <c r="AU2066">
        <f>HYPERLINK("https://creighton-primo.hosted.exlibrisgroup.com/primo-explore/search?tab=default_tab&amp;search_scope=EVERYTHING&amp;vid=01CRU&amp;lang=en_US&amp;offset=0&amp;query=any,contains,991000581539702656","Catalog Record")</f>
        <v/>
      </c>
      <c r="AV2066">
        <f>HYPERLINK("http://www.worldcat.org/oclc/11741220","WorldCat Record")</f>
        <v/>
      </c>
      <c r="AW2066" t="inlineStr">
        <is>
          <t>3993533:eng</t>
        </is>
      </c>
      <c r="AX2066" t="inlineStr">
        <is>
          <t>11741220</t>
        </is>
      </c>
      <c r="AY2066" t="inlineStr">
        <is>
          <t>991000581539702656</t>
        </is>
      </c>
      <c r="AZ2066" t="inlineStr">
        <is>
          <t>991000581539702656</t>
        </is>
      </c>
      <c r="BA2066" t="inlineStr">
        <is>
          <t>2267035920002656</t>
        </is>
      </c>
      <c r="BB2066" t="inlineStr">
        <is>
          <t>BOOK</t>
        </is>
      </c>
      <c r="BD2066" t="inlineStr">
        <is>
          <t>9780906671726</t>
        </is>
      </c>
      <c r="BE2066" t="inlineStr">
        <is>
          <t>32285000191360</t>
        </is>
      </c>
      <c r="BF2066" t="inlineStr">
        <is>
          <t>893695962</t>
        </is>
      </c>
    </row>
    <row r="2067">
      <c r="A2067" t="inlineStr">
        <is>
          <t>No</t>
        </is>
      </c>
      <c r="B2067" t="inlineStr">
        <is>
          <t>CURAL</t>
        </is>
      </c>
      <c r="C2067" t="inlineStr">
        <is>
          <t>SHELVES</t>
        </is>
      </c>
      <c r="D2067" t="inlineStr">
        <is>
          <t>PR4757.S48 W75 1989</t>
        </is>
      </c>
      <c r="E2067" t="inlineStr">
        <is>
          <t>0                      PR 4757000S  48                 W  75          1989</t>
        </is>
      </c>
      <c r="F2067" t="inlineStr">
        <is>
          <t>Hardy and the erotic / T.R. Wright.</t>
        </is>
      </c>
      <c r="H2067" t="inlineStr">
        <is>
          <t>No</t>
        </is>
      </c>
      <c r="I2067" t="inlineStr">
        <is>
          <t>1</t>
        </is>
      </c>
      <c r="J2067" t="inlineStr">
        <is>
          <t>No</t>
        </is>
      </c>
      <c r="K2067" t="inlineStr">
        <is>
          <t>No</t>
        </is>
      </c>
      <c r="L2067" t="inlineStr">
        <is>
          <t>0</t>
        </is>
      </c>
      <c r="M2067" t="inlineStr">
        <is>
          <t>Wright, T. R. (Terence R.), 1951-</t>
        </is>
      </c>
      <c r="N2067" t="inlineStr">
        <is>
          <t>New York : St. Martin's Press, 1989.</t>
        </is>
      </c>
      <c r="O2067" t="inlineStr">
        <is>
          <t>1989</t>
        </is>
      </c>
      <c r="Q2067" t="inlineStr">
        <is>
          <t>eng</t>
        </is>
      </c>
      <c r="R2067" t="inlineStr">
        <is>
          <t>nyu</t>
        </is>
      </c>
      <c r="T2067" t="inlineStr">
        <is>
          <t xml:space="preserve">PR </t>
        </is>
      </c>
      <c r="U2067" t="n">
        <v>2</v>
      </c>
      <c r="V2067" t="n">
        <v>2</v>
      </c>
      <c r="W2067" t="inlineStr">
        <is>
          <t>1994-12-01</t>
        </is>
      </c>
      <c r="X2067" t="inlineStr">
        <is>
          <t>1994-12-01</t>
        </is>
      </c>
      <c r="Y2067" t="inlineStr">
        <is>
          <t>1990-05-08</t>
        </is>
      </c>
      <c r="Z2067" t="inlineStr">
        <is>
          <t>1990-05-08</t>
        </is>
      </c>
      <c r="AA2067" t="n">
        <v>245</v>
      </c>
      <c r="AB2067" t="n">
        <v>220</v>
      </c>
      <c r="AC2067" t="n">
        <v>283</v>
      </c>
      <c r="AD2067" t="n">
        <v>2</v>
      </c>
      <c r="AE2067" t="n">
        <v>3</v>
      </c>
      <c r="AF2067" t="n">
        <v>11</v>
      </c>
      <c r="AG2067" t="n">
        <v>14</v>
      </c>
      <c r="AH2067" t="n">
        <v>4</v>
      </c>
      <c r="AI2067" t="n">
        <v>5</v>
      </c>
      <c r="AJ2067" t="n">
        <v>3</v>
      </c>
      <c r="AK2067" t="n">
        <v>4</v>
      </c>
      <c r="AL2067" t="n">
        <v>5</v>
      </c>
      <c r="AM2067" t="n">
        <v>7</v>
      </c>
      <c r="AN2067" t="n">
        <v>1</v>
      </c>
      <c r="AO2067" t="n">
        <v>2</v>
      </c>
      <c r="AP2067" t="n">
        <v>0</v>
      </c>
      <c r="AQ2067" t="n">
        <v>0</v>
      </c>
      <c r="AR2067" t="inlineStr">
        <is>
          <t>No</t>
        </is>
      </c>
      <c r="AS2067" t="inlineStr">
        <is>
          <t>No</t>
        </is>
      </c>
      <c r="AU2067">
        <f>HYPERLINK("https://creighton-primo.hosted.exlibrisgroup.com/primo-explore/search?tab=default_tab&amp;search_scope=EVERYTHING&amp;vid=01CRU&amp;lang=en_US&amp;offset=0&amp;query=any,contains,991001395579702656","Catalog Record")</f>
        <v/>
      </c>
      <c r="AV2067">
        <f>HYPERLINK("http://www.worldcat.org/oclc/18781354","WorldCat Record")</f>
        <v/>
      </c>
      <c r="AW2067" t="inlineStr">
        <is>
          <t>16920080:eng</t>
        </is>
      </c>
      <c r="AX2067" t="inlineStr">
        <is>
          <t>18781354</t>
        </is>
      </c>
      <c r="AY2067" t="inlineStr">
        <is>
          <t>991001395579702656</t>
        </is>
      </c>
      <c r="AZ2067" t="inlineStr">
        <is>
          <t>991001395579702656</t>
        </is>
      </c>
      <c r="BA2067" t="inlineStr">
        <is>
          <t>2260960560002656</t>
        </is>
      </c>
      <c r="BB2067" t="inlineStr">
        <is>
          <t>BOOK</t>
        </is>
      </c>
      <c r="BD2067" t="inlineStr">
        <is>
          <t>9780312028022</t>
        </is>
      </c>
      <c r="BE2067" t="inlineStr">
        <is>
          <t>32285000119841</t>
        </is>
      </c>
      <c r="BF2067" t="inlineStr">
        <is>
          <t>893684291</t>
        </is>
      </c>
    </row>
    <row r="2068">
      <c r="A2068" t="inlineStr">
        <is>
          <t>No</t>
        </is>
      </c>
      <c r="B2068" t="inlineStr">
        <is>
          <t>CURAL</t>
        </is>
      </c>
      <c r="C2068" t="inlineStr">
        <is>
          <t>SHELVES</t>
        </is>
      </c>
      <c r="D2068" t="inlineStr">
        <is>
          <t>PR4759.H3 S5</t>
        </is>
      </c>
      <c r="E2068" t="inlineStr">
        <is>
          <t>0                      PR 4759000H  3                  S  5</t>
        </is>
      </c>
      <c r="F2068" t="inlineStr">
        <is>
          <t>Ships that pass in the night.</t>
        </is>
      </c>
      <c r="H2068" t="inlineStr">
        <is>
          <t>No</t>
        </is>
      </c>
      <c r="I2068" t="inlineStr">
        <is>
          <t>1</t>
        </is>
      </c>
      <c r="J2068" t="inlineStr">
        <is>
          <t>No</t>
        </is>
      </c>
      <c r="K2068" t="inlineStr">
        <is>
          <t>No</t>
        </is>
      </c>
      <c r="L2068" t="inlineStr">
        <is>
          <t>0</t>
        </is>
      </c>
      <c r="M2068" t="inlineStr">
        <is>
          <t>Harraden, Beatrice, 1864-1936.</t>
        </is>
      </c>
      <c r="N2068" t="inlineStr">
        <is>
          <t>Chicago, Donohue, Henneberry &amp; co. [1893]</t>
        </is>
      </c>
      <c r="O2068" t="inlineStr">
        <is>
          <t>1893</t>
        </is>
      </c>
      <c r="Q2068" t="inlineStr">
        <is>
          <t>eng</t>
        </is>
      </c>
      <c r="R2068" t="inlineStr">
        <is>
          <t xml:space="preserve">xx </t>
        </is>
      </c>
      <c r="S2068" t="inlineStr">
        <is>
          <t>Handy volume classics, 56</t>
        </is>
      </c>
      <c r="T2068" t="inlineStr">
        <is>
          <t xml:space="preserve">PR </t>
        </is>
      </c>
      <c r="U2068" t="n">
        <v>2</v>
      </c>
      <c r="V2068" t="n">
        <v>2</v>
      </c>
      <c r="W2068" t="inlineStr">
        <is>
          <t>2005-08-18</t>
        </is>
      </c>
      <c r="X2068" t="inlineStr">
        <is>
          <t>2005-08-18</t>
        </is>
      </c>
      <c r="Y2068" t="inlineStr">
        <is>
          <t>1997-07-15</t>
        </is>
      </c>
      <c r="Z2068" t="inlineStr">
        <is>
          <t>1997-07-15</t>
        </is>
      </c>
      <c r="AA2068" t="n">
        <v>30</v>
      </c>
      <c r="AB2068" t="n">
        <v>30</v>
      </c>
      <c r="AC2068" t="n">
        <v>238</v>
      </c>
      <c r="AD2068" t="n">
        <v>1</v>
      </c>
      <c r="AE2068" t="n">
        <v>3</v>
      </c>
      <c r="AF2068" t="n">
        <v>0</v>
      </c>
      <c r="AG2068" t="n">
        <v>7</v>
      </c>
      <c r="AH2068" t="n">
        <v>0</v>
      </c>
      <c r="AI2068" t="n">
        <v>2</v>
      </c>
      <c r="AJ2068" t="n">
        <v>0</v>
      </c>
      <c r="AK2068" t="n">
        <v>1</v>
      </c>
      <c r="AL2068" t="n">
        <v>0</v>
      </c>
      <c r="AM2068" t="n">
        <v>2</v>
      </c>
      <c r="AN2068" t="n">
        <v>0</v>
      </c>
      <c r="AO2068" t="n">
        <v>2</v>
      </c>
      <c r="AP2068" t="n">
        <v>0</v>
      </c>
      <c r="AQ2068" t="n">
        <v>0</v>
      </c>
      <c r="AR2068" t="inlineStr">
        <is>
          <t>No</t>
        </is>
      </c>
      <c r="AS2068" t="inlineStr">
        <is>
          <t>No</t>
        </is>
      </c>
      <c r="AU2068">
        <f>HYPERLINK("https://creighton-primo.hosted.exlibrisgroup.com/primo-explore/search?tab=default_tab&amp;search_scope=EVERYTHING&amp;vid=01CRU&amp;lang=en_US&amp;offset=0&amp;query=any,contains,991004764229702656","Catalog Record")</f>
        <v/>
      </c>
      <c r="AV2068">
        <f>HYPERLINK("http://www.worldcat.org/oclc/5023144","WorldCat Record")</f>
        <v/>
      </c>
      <c r="AW2068" t="inlineStr">
        <is>
          <t>1403306:eng</t>
        </is>
      </c>
      <c r="AX2068" t="inlineStr">
        <is>
          <t>5023144</t>
        </is>
      </c>
      <c r="AY2068" t="inlineStr">
        <is>
          <t>991004764229702656</t>
        </is>
      </c>
      <c r="AZ2068" t="inlineStr">
        <is>
          <t>991004764229702656</t>
        </is>
      </c>
      <c r="BA2068" t="inlineStr">
        <is>
          <t>2257412000002656</t>
        </is>
      </c>
      <c r="BB2068" t="inlineStr">
        <is>
          <t>BOOK</t>
        </is>
      </c>
      <c r="BE2068" t="inlineStr">
        <is>
          <t>32285002922366</t>
        </is>
      </c>
      <c r="BF2068" t="inlineStr">
        <is>
          <t>893436719</t>
        </is>
      </c>
    </row>
    <row r="2069">
      <c r="A2069" t="inlineStr">
        <is>
          <t>No</t>
        </is>
      </c>
      <c r="B2069" t="inlineStr">
        <is>
          <t>CURAL</t>
        </is>
      </c>
      <c r="C2069" t="inlineStr">
        <is>
          <t>SHELVES</t>
        </is>
      </c>
      <c r="D2069" t="inlineStr">
        <is>
          <t>PR4759.H4 Z87 1983</t>
        </is>
      </c>
      <c r="E2069" t="inlineStr">
        <is>
          <t>0                      PR 4759000H  4                  Z  87          1983</t>
        </is>
      </c>
      <c r="F2069" t="inlineStr">
        <is>
          <t>Frederic Harrison / by Harry R. Sullivan.</t>
        </is>
      </c>
      <c r="H2069" t="inlineStr">
        <is>
          <t>No</t>
        </is>
      </c>
      <c r="I2069" t="inlineStr">
        <is>
          <t>1</t>
        </is>
      </c>
      <c r="J2069" t="inlineStr">
        <is>
          <t>No</t>
        </is>
      </c>
      <c r="K2069" t="inlineStr">
        <is>
          <t>No</t>
        </is>
      </c>
      <c r="L2069" t="inlineStr">
        <is>
          <t>0</t>
        </is>
      </c>
      <c r="M2069" t="inlineStr">
        <is>
          <t>Sullivan, Harry R., 1916-</t>
        </is>
      </c>
      <c r="N2069" t="inlineStr">
        <is>
          <t>Boston, Mass. : Twayne, c1983.</t>
        </is>
      </c>
      <c r="O2069" t="inlineStr">
        <is>
          <t>1983</t>
        </is>
      </c>
      <c r="Q2069" t="inlineStr">
        <is>
          <t>eng</t>
        </is>
      </c>
      <c r="R2069" t="inlineStr">
        <is>
          <t>mau</t>
        </is>
      </c>
      <c r="S2069" t="inlineStr">
        <is>
          <t>Twayne's English authors series ; TEAS 341</t>
        </is>
      </c>
      <c r="T2069" t="inlineStr">
        <is>
          <t xml:space="preserve">PR </t>
        </is>
      </c>
      <c r="U2069" t="n">
        <v>2</v>
      </c>
      <c r="V2069" t="n">
        <v>2</v>
      </c>
      <c r="W2069" t="inlineStr">
        <is>
          <t>2002-11-08</t>
        </is>
      </c>
      <c r="X2069" t="inlineStr">
        <is>
          <t>2002-11-08</t>
        </is>
      </c>
      <c r="Y2069" t="inlineStr">
        <is>
          <t>1991-11-08</t>
        </is>
      </c>
      <c r="Z2069" t="inlineStr">
        <is>
          <t>1991-11-08</t>
        </is>
      </c>
      <c r="AA2069" t="n">
        <v>416</v>
      </c>
      <c r="AB2069" t="n">
        <v>364</v>
      </c>
      <c r="AC2069" t="n">
        <v>371</v>
      </c>
      <c r="AD2069" t="n">
        <v>5</v>
      </c>
      <c r="AE2069" t="n">
        <v>5</v>
      </c>
      <c r="AF2069" t="n">
        <v>17</v>
      </c>
      <c r="AG2069" t="n">
        <v>17</v>
      </c>
      <c r="AH2069" t="n">
        <v>5</v>
      </c>
      <c r="AI2069" t="n">
        <v>5</v>
      </c>
      <c r="AJ2069" t="n">
        <v>3</v>
      </c>
      <c r="AK2069" t="n">
        <v>3</v>
      </c>
      <c r="AL2069" t="n">
        <v>11</v>
      </c>
      <c r="AM2069" t="n">
        <v>11</v>
      </c>
      <c r="AN2069" t="n">
        <v>4</v>
      </c>
      <c r="AO2069" t="n">
        <v>4</v>
      </c>
      <c r="AP2069" t="n">
        <v>0</v>
      </c>
      <c r="AQ2069" t="n">
        <v>0</v>
      </c>
      <c r="AR2069" t="inlineStr">
        <is>
          <t>No</t>
        </is>
      </c>
      <c r="AS2069" t="inlineStr">
        <is>
          <t>Yes</t>
        </is>
      </c>
      <c r="AT2069">
        <f>HYPERLINK("http://catalog.hathitrust.org/Record/000199033","HathiTrust Record")</f>
        <v/>
      </c>
      <c r="AU2069">
        <f>HYPERLINK("https://creighton-primo.hosted.exlibrisgroup.com/primo-explore/search?tab=default_tab&amp;search_scope=EVERYTHING&amp;vid=01CRU&amp;lang=en_US&amp;offset=0&amp;query=any,contains,991000071089702656","Catalog Record")</f>
        <v/>
      </c>
      <c r="AV2069">
        <f>HYPERLINK("http://www.worldcat.org/oclc/8785074","WorldCat Record")</f>
        <v/>
      </c>
      <c r="AW2069" t="inlineStr">
        <is>
          <t>43170672:eng</t>
        </is>
      </c>
      <c r="AX2069" t="inlineStr">
        <is>
          <t>8785074</t>
        </is>
      </c>
      <c r="AY2069" t="inlineStr">
        <is>
          <t>991000071089702656</t>
        </is>
      </c>
      <c r="AZ2069" t="inlineStr">
        <is>
          <t>991000071089702656</t>
        </is>
      </c>
      <c r="BA2069" t="inlineStr">
        <is>
          <t>2266915730002656</t>
        </is>
      </c>
      <c r="BB2069" t="inlineStr">
        <is>
          <t>BOOK</t>
        </is>
      </c>
      <c r="BD2069" t="inlineStr">
        <is>
          <t>9780805768275</t>
        </is>
      </c>
      <c r="BE2069" t="inlineStr">
        <is>
          <t>32285000820471</t>
        </is>
      </c>
      <c r="BF2069" t="inlineStr">
        <is>
          <t>893431651</t>
        </is>
      </c>
    </row>
    <row r="2070">
      <c r="A2070" t="inlineStr">
        <is>
          <t>No</t>
        </is>
      </c>
      <c r="B2070" t="inlineStr">
        <is>
          <t>CURAL</t>
        </is>
      </c>
      <c r="C2070" t="inlineStr">
        <is>
          <t>SHELVES</t>
        </is>
      </c>
      <c r="D2070" t="inlineStr">
        <is>
          <t>PR4769.H6 M4 1996</t>
        </is>
      </c>
      <c r="E2070" t="inlineStr">
        <is>
          <t>0                      PR 4769000H  6                  M  4           1996</t>
        </is>
      </c>
      <c r="F2070" t="inlineStr">
        <is>
          <t>Memoirs of Emma Courtney / Mary Hays ; edited with an introduction by Eleanor Ty.</t>
        </is>
      </c>
      <c r="H2070" t="inlineStr">
        <is>
          <t>No</t>
        </is>
      </c>
      <c r="I2070" t="inlineStr">
        <is>
          <t>1</t>
        </is>
      </c>
      <c r="J2070" t="inlineStr">
        <is>
          <t>No</t>
        </is>
      </c>
      <c r="K2070" t="inlineStr">
        <is>
          <t>No</t>
        </is>
      </c>
      <c r="L2070" t="inlineStr">
        <is>
          <t>0</t>
        </is>
      </c>
      <c r="M2070" t="inlineStr">
        <is>
          <t>Hays, Mary, 1759-1843.</t>
        </is>
      </c>
      <c r="N2070" t="inlineStr">
        <is>
          <t>Oxford ; New York : Oxford University Press, 1996.</t>
        </is>
      </c>
      <c r="O2070" t="inlineStr">
        <is>
          <t>1996</t>
        </is>
      </c>
      <c r="Q2070" t="inlineStr">
        <is>
          <t>eng</t>
        </is>
      </c>
      <c r="R2070" t="inlineStr">
        <is>
          <t>enk</t>
        </is>
      </c>
      <c r="S2070" t="inlineStr">
        <is>
          <t>The World's classics</t>
        </is>
      </c>
      <c r="T2070" t="inlineStr">
        <is>
          <t xml:space="preserve">PR </t>
        </is>
      </c>
      <c r="U2070" t="n">
        <v>1</v>
      </c>
      <c r="V2070" t="n">
        <v>1</v>
      </c>
      <c r="W2070" t="inlineStr">
        <is>
          <t>2003-09-29</t>
        </is>
      </c>
      <c r="X2070" t="inlineStr">
        <is>
          <t>2003-09-29</t>
        </is>
      </c>
      <c r="Y2070" t="inlineStr">
        <is>
          <t>2003-09-29</t>
        </is>
      </c>
      <c r="Z2070" t="inlineStr">
        <is>
          <t>2003-09-29</t>
        </is>
      </c>
      <c r="AA2070" t="n">
        <v>160</v>
      </c>
      <c r="AB2070" t="n">
        <v>95</v>
      </c>
      <c r="AC2070" t="n">
        <v>1149</v>
      </c>
      <c r="AD2070" t="n">
        <v>1</v>
      </c>
      <c r="AE2070" t="n">
        <v>5</v>
      </c>
      <c r="AF2070" t="n">
        <v>3</v>
      </c>
      <c r="AG2070" t="n">
        <v>28</v>
      </c>
      <c r="AH2070" t="n">
        <v>1</v>
      </c>
      <c r="AI2070" t="n">
        <v>14</v>
      </c>
      <c r="AJ2070" t="n">
        <v>2</v>
      </c>
      <c r="AK2070" t="n">
        <v>6</v>
      </c>
      <c r="AL2070" t="n">
        <v>2</v>
      </c>
      <c r="AM2070" t="n">
        <v>10</v>
      </c>
      <c r="AN2070" t="n">
        <v>0</v>
      </c>
      <c r="AO2070" t="n">
        <v>4</v>
      </c>
      <c r="AP2070" t="n">
        <v>0</v>
      </c>
      <c r="AQ2070" t="n">
        <v>0</v>
      </c>
      <c r="AR2070" t="inlineStr">
        <is>
          <t>No</t>
        </is>
      </c>
      <c r="AS2070" t="inlineStr">
        <is>
          <t>No</t>
        </is>
      </c>
      <c r="AU2070">
        <f>HYPERLINK("https://creighton-primo.hosted.exlibrisgroup.com/primo-explore/search?tab=default_tab&amp;search_scope=EVERYTHING&amp;vid=01CRU&amp;lang=en_US&amp;offset=0&amp;query=any,contains,991004139979702656","Catalog Record")</f>
        <v/>
      </c>
      <c r="AV2070">
        <f>HYPERLINK("http://www.worldcat.org/oclc/32394791","WorldCat Record")</f>
        <v/>
      </c>
      <c r="AW2070" t="inlineStr">
        <is>
          <t>3372335929:eng</t>
        </is>
      </c>
      <c r="AX2070" t="inlineStr">
        <is>
          <t>32394791</t>
        </is>
      </c>
      <c r="AY2070" t="inlineStr">
        <is>
          <t>991004139979702656</t>
        </is>
      </c>
      <c r="AZ2070" t="inlineStr">
        <is>
          <t>991004139979702656</t>
        </is>
      </c>
      <c r="BA2070" t="inlineStr">
        <is>
          <t>2257050220002656</t>
        </is>
      </c>
      <c r="BB2070" t="inlineStr">
        <is>
          <t>BOOK</t>
        </is>
      </c>
      <c r="BD2070" t="inlineStr">
        <is>
          <t>9780192823069</t>
        </is>
      </c>
      <c r="BE2070" t="inlineStr">
        <is>
          <t>32285004785555</t>
        </is>
      </c>
      <c r="BF2070" t="inlineStr">
        <is>
          <t>893605673</t>
        </is>
      </c>
    </row>
    <row r="2071">
      <c r="A2071" t="inlineStr">
        <is>
          <t>No</t>
        </is>
      </c>
      <c r="B2071" t="inlineStr">
        <is>
          <t>CURAL</t>
        </is>
      </c>
      <c r="C2071" t="inlineStr">
        <is>
          <t>SHELVES</t>
        </is>
      </c>
      <c r="D2071" t="inlineStr">
        <is>
          <t>PR4769.H6 V5 1994</t>
        </is>
      </c>
      <c r="E2071" t="inlineStr">
        <is>
          <t>0                      PR 4769000H  6                  V  5           1994</t>
        </is>
      </c>
      <c r="F2071" t="inlineStr">
        <is>
          <t>The victim of prejudice / by Mary Hays ; edited and with an introduction by Eleanor Ty.</t>
        </is>
      </c>
      <c r="H2071" t="inlineStr">
        <is>
          <t>No</t>
        </is>
      </c>
      <c r="I2071" t="inlineStr">
        <is>
          <t>1</t>
        </is>
      </c>
      <c r="J2071" t="inlineStr">
        <is>
          <t>No</t>
        </is>
      </c>
      <c r="K2071" t="inlineStr">
        <is>
          <t>No</t>
        </is>
      </c>
      <c r="L2071" t="inlineStr">
        <is>
          <t>0</t>
        </is>
      </c>
      <c r="M2071" t="inlineStr">
        <is>
          <t>Hays, Mary, 1759-1843.</t>
        </is>
      </c>
      <c r="N2071" t="inlineStr">
        <is>
          <t>Peterborough, Ont. ; Orchard Park, NY : Broadview Press, 1994.</t>
        </is>
      </c>
      <c r="O2071" t="inlineStr">
        <is>
          <t>1994</t>
        </is>
      </c>
      <c r="Q2071" t="inlineStr">
        <is>
          <t>eng</t>
        </is>
      </c>
      <c r="R2071" t="inlineStr">
        <is>
          <t>onc</t>
        </is>
      </c>
      <c r="S2071" t="inlineStr">
        <is>
          <t>Broadview literary texts</t>
        </is>
      </c>
      <c r="T2071" t="inlineStr">
        <is>
          <t xml:space="preserve">PR </t>
        </is>
      </c>
      <c r="U2071" t="n">
        <v>1</v>
      </c>
      <c r="V2071" t="n">
        <v>1</v>
      </c>
      <c r="W2071" t="inlineStr">
        <is>
          <t>2003-05-01</t>
        </is>
      </c>
      <c r="X2071" t="inlineStr">
        <is>
          <t>2003-05-01</t>
        </is>
      </c>
      <c r="Y2071" t="inlineStr">
        <is>
          <t>2003-05-01</t>
        </is>
      </c>
      <c r="Z2071" t="inlineStr">
        <is>
          <t>2003-05-01</t>
        </is>
      </c>
      <c r="AA2071" t="n">
        <v>153</v>
      </c>
      <c r="AB2071" t="n">
        <v>106</v>
      </c>
      <c r="AC2071" t="n">
        <v>217</v>
      </c>
      <c r="AD2071" t="n">
        <v>1</v>
      </c>
      <c r="AE2071" t="n">
        <v>1</v>
      </c>
      <c r="AF2071" t="n">
        <v>8</v>
      </c>
      <c r="AG2071" t="n">
        <v>12</v>
      </c>
      <c r="AH2071" t="n">
        <v>2</v>
      </c>
      <c r="AI2071" t="n">
        <v>4</v>
      </c>
      <c r="AJ2071" t="n">
        <v>3</v>
      </c>
      <c r="AK2071" t="n">
        <v>4</v>
      </c>
      <c r="AL2071" t="n">
        <v>6</v>
      </c>
      <c r="AM2071" t="n">
        <v>7</v>
      </c>
      <c r="AN2071" t="n">
        <v>0</v>
      </c>
      <c r="AO2071" t="n">
        <v>0</v>
      </c>
      <c r="AP2071" t="n">
        <v>0</v>
      </c>
      <c r="AQ2071" t="n">
        <v>0</v>
      </c>
      <c r="AR2071" t="inlineStr">
        <is>
          <t>No</t>
        </is>
      </c>
      <c r="AS2071" t="inlineStr">
        <is>
          <t>Yes</t>
        </is>
      </c>
      <c r="AT2071">
        <f>HYPERLINK("http://catalog.hathitrust.org/Record/009924464","HathiTrust Record")</f>
        <v/>
      </c>
      <c r="AU2071">
        <f>HYPERLINK("https://creighton-primo.hosted.exlibrisgroup.com/primo-explore/search?tab=default_tab&amp;search_scope=EVERYTHING&amp;vid=01CRU&amp;lang=en_US&amp;offset=0&amp;query=any,contains,991004043639702656","Catalog Record")</f>
        <v/>
      </c>
      <c r="AV2071">
        <f>HYPERLINK("http://www.worldcat.org/oclc/25370215","WorldCat Record")</f>
        <v/>
      </c>
      <c r="AW2071" t="inlineStr">
        <is>
          <t>46460306:eng</t>
        </is>
      </c>
      <c r="AX2071" t="inlineStr">
        <is>
          <t>25370215</t>
        </is>
      </c>
      <c r="AY2071" t="inlineStr">
        <is>
          <t>991004043639702656</t>
        </is>
      </c>
      <c r="AZ2071" t="inlineStr">
        <is>
          <t>991004043639702656</t>
        </is>
      </c>
      <c r="BA2071" t="inlineStr">
        <is>
          <t>2272002170002656</t>
        </is>
      </c>
      <c r="BB2071" t="inlineStr">
        <is>
          <t>BOOK</t>
        </is>
      </c>
      <c r="BD2071" t="inlineStr">
        <is>
          <t>9780921149378</t>
        </is>
      </c>
      <c r="BE2071" t="inlineStr">
        <is>
          <t>32285004744909</t>
        </is>
      </c>
      <c r="BF2071" t="inlineStr">
        <is>
          <t>893411042</t>
        </is>
      </c>
    </row>
    <row r="2072">
      <c r="A2072" t="inlineStr">
        <is>
          <t>No</t>
        </is>
      </c>
      <c r="B2072" t="inlineStr">
        <is>
          <t>CURAL</t>
        </is>
      </c>
      <c r="C2072" t="inlineStr">
        <is>
          <t>SHELVES</t>
        </is>
      </c>
      <c r="D2072" t="inlineStr">
        <is>
          <t>PR478.A87 M37 2004</t>
        </is>
      </c>
      <c r="E2072" t="inlineStr">
        <is>
          <t>0                      PR 0478000A  87                 M  37          2004</t>
        </is>
      </c>
      <c r="F2072" t="inlineStr">
        <is>
          <t>Marketing the author : authorial personae, narrative selves, and self-fashioning, 1880-1930 / edited by Marysa Demoor.</t>
        </is>
      </c>
      <c r="H2072" t="inlineStr">
        <is>
          <t>No</t>
        </is>
      </c>
      <c r="I2072" t="inlineStr">
        <is>
          <t>1</t>
        </is>
      </c>
      <c r="J2072" t="inlineStr">
        <is>
          <t>No</t>
        </is>
      </c>
      <c r="K2072" t="inlineStr">
        <is>
          <t>No</t>
        </is>
      </c>
      <c r="L2072" t="inlineStr">
        <is>
          <t>0</t>
        </is>
      </c>
      <c r="N2072" t="inlineStr">
        <is>
          <t>Houndmills, Basingstoke, Hampshire ; New York : Palgrave Macmillan, 2004.</t>
        </is>
      </c>
      <c r="O2072" t="inlineStr">
        <is>
          <t>2004</t>
        </is>
      </c>
      <c r="Q2072" t="inlineStr">
        <is>
          <t>eng</t>
        </is>
      </c>
      <c r="R2072" t="inlineStr">
        <is>
          <t>enk</t>
        </is>
      </c>
      <c r="T2072" t="inlineStr">
        <is>
          <t xml:space="preserve">PR </t>
        </is>
      </c>
      <c r="U2072" t="n">
        <v>1</v>
      </c>
      <c r="V2072" t="n">
        <v>1</v>
      </c>
      <c r="W2072" t="inlineStr">
        <is>
          <t>2005-10-18</t>
        </is>
      </c>
      <c r="X2072" t="inlineStr">
        <is>
          <t>2005-10-18</t>
        </is>
      </c>
      <c r="Y2072" t="inlineStr">
        <is>
          <t>2005-10-18</t>
        </is>
      </c>
      <c r="Z2072" t="inlineStr">
        <is>
          <t>2005-10-18</t>
        </is>
      </c>
      <c r="AA2072" t="n">
        <v>280</v>
      </c>
      <c r="AB2072" t="n">
        <v>214</v>
      </c>
      <c r="AC2072" t="n">
        <v>216</v>
      </c>
      <c r="AD2072" t="n">
        <v>4</v>
      </c>
      <c r="AE2072" t="n">
        <v>4</v>
      </c>
      <c r="AF2072" t="n">
        <v>15</v>
      </c>
      <c r="AG2072" t="n">
        <v>15</v>
      </c>
      <c r="AH2072" t="n">
        <v>7</v>
      </c>
      <c r="AI2072" t="n">
        <v>7</v>
      </c>
      <c r="AJ2072" t="n">
        <v>3</v>
      </c>
      <c r="AK2072" t="n">
        <v>3</v>
      </c>
      <c r="AL2072" t="n">
        <v>7</v>
      </c>
      <c r="AM2072" t="n">
        <v>7</v>
      </c>
      <c r="AN2072" t="n">
        <v>3</v>
      </c>
      <c r="AO2072" t="n">
        <v>3</v>
      </c>
      <c r="AP2072" t="n">
        <v>0</v>
      </c>
      <c r="AQ2072" t="n">
        <v>0</v>
      </c>
      <c r="AR2072" t="inlineStr">
        <is>
          <t>No</t>
        </is>
      </c>
      <c r="AS2072" t="inlineStr">
        <is>
          <t>No</t>
        </is>
      </c>
      <c r="AU2072">
        <f>HYPERLINK("https://creighton-primo.hosted.exlibrisgroup.com/primo-explore/search?tab=default_tab&amp;search_scope=EVERYTHING&amp;vid=01CRU&amp;lang=en_US&amp;offset=0&amp;query=any,contains,991004472839702656","Catalog Record")</f>
        <v/>
      </c>
      <c r="AV2072">
        <f>HYPERLINK("http://www.worldcat.org/oclc/53375120","WorldCat Record")</f>
        <v/>
      </c>
      <c r="AW2072" t="inlineStr">
        <is>
          <t>836669749:eng</t>
        </is>
      </c>
      <c r="AX2072" t="inlineStr">
        <is>
          <t>53375120</t>
        </is>
      </c>
      <c r="AY2072" t="inlineStr">
        <is>
          <t>991004472839702656</t>
        </is>
      </c>
      <c r="AZ2072" t="inlineStr">
        <is>
          <t>991004472839702656</t>
        </is>
      </c>
      <c r="BA2072" t="inlineStr">
        <is>
          <t>2270988050002656</t>
        </is>
      </c>
      <c r="BB2072" t="inlineStr">
        <is>
          <t>BOOK</t>
        </is>
      </c>
      <c r="BD2072" t="inlineStr">
        <is>
          <t>9781403933294</t>
        </is>
      </c>
      <c r="BE2072" t="inlineStr">
        <is>
          <t>32285005140388</t>
        </is>
      </c>
      <c r="BF2072" t="inlineStr">
        <is>
          <t>893513276</t>
        </is>
      </c>
    </row>
    <row r="2073">
      <c r="A2073" t="inlineStr">
        <is>
          <t>No</t>
        </is>
      </c>
      <c r="B2073" t="inlineStr">
        <is>
          <t>CURAL</t>
        </is>
      </c>
      <c r="C2073" t="inlineStr">
        <is>
          <t>SHELVES</t>
        </is>
      </c>
      <c r="D2073" t="inlineStr">
        <is>
          <t>PR478.M6 B37 1986</t>
        </is>
      </c>
      <c r="E2073" t="inlineStr">
        <is>
          <t>0                      PR 0478000M  6                  B  37          1986</t>
        </is>
      </c>
      <c r="F2073" t="inlineStr">
        <is>
          <t>The myth of modernism and twentieth century literature / Bernard Bergonzi.</t>
        </is>
      </c>
      <c r="H2073" t="inlineStr">
        <is>
          <t>No</t>
        </is>
      </c>
      <c r="I2073" t="inlineStr">
        <is>
          <t>1</t>
        </is>
      </c>
      <c r="J2073" t="inlineStr">
        <is>
          <t>No</t>
        </is>
      </c>
      <c r="K2073" t="inlineStr">
        <is>
          <t>No</t>
        </is>
      </c>
      <c r="L2073" t="inlineStr">
        <is>
          <t>0</t>
        </is>
      </c>
      <c r="M2073" t="inlineStr">
        <is>
          <t>Bergonzi, Bernard.</t>
        </is>
      </c>
      <c r="N2073" t="inlineStr">
        <is>
          <t>Brighton : Harvester, 1986.</t>
        </is>
      </c>
      <c r="O2073" t="inlineStr">
        <is>
          <t>1986</t>
        </is>
      </c>
      <c r="Q2073" t="inlineStr">
        <is>
          <t>eng</t>
        </is>
      </c>
      <c r="R2073" t="inlineStr">
        <is>
          <t>enk</t>
        </is>
      </c>
      <c r="T2073" t="inlineStr">
        <is>
          <t xml:space="preserve">PR </t>
        </is>
      </c>
      <c r="U2073" t="n">
        <v>5</v>
      </c>
      <c r="V2073" t="n">
        <v>5</v>
      </c>
      <c r="W2073" t="inlineStr">
        <is>
          <t>2000-09-27</t>
        </is>
      </c>
      <c r="X2073" t="inlineStr">
        <is>
          <t>2000-09-27</t>
        </is>
      </c>
      <c r="Y2073" t="inlineStr">
        <is>
          <t>1991-08-30</t>
        </is>
      </c>
      <c r="Z2073" t="inlineStr">
        <is>
          <t>1991-08-30</t>
        </is>
      </c>
      <c r="AA2073" t="n">
        <v>187</v>
      </c>
      <c r="AB2073" t="n">
        <v>88</v>
      </c>
      <c r="AC2073" t="n">
        <v>451</v>
      </c>
      <c r="AD2073" t="n">
        <v>3</v>
      </c>
      <c r="AE2073" t="n">
        <v>5</v>
      </c>
      <c r="AF2073" t="n">
        <v>4</v>
      </c>
      <c r="AG2073" t="n">
        <v>19</v>
      </c>
      <c r="AH2073" t="n">
        <v>0</v>
      </c>
      <c r="AI2073" t="n">
        <v>5</v>
      </c>
      <c r="AJ2073" t="n">
        <v>1</v>
      </c>
      <c r="AK2073" t="n">
        <v>6</v>
      </c>
      <c r="AL2073" t="n">
        <v>2</v>
      </c>
      <c r="AM2073" t="n">
        <v>9</v>
      </c>
      <c r="AN2073" t="n">
        <v>2</v>
      </c>
      <c r="AO2073" t="n">
        <v>4</v>
      </c>
      <c r="AP2073" t="n">
        <v>0</v>
      </c>
      <c r="AQ2073" t="n">
        <v>0</v>
      </c>
      <c r="AR2073" t="inlineStr">
        <is>
          <t>No</t>
        </is>
      </c>
      <c r="AS2073" t="inlineStr">
        <is>
          <t>Yes</t>
        </is>
      </c>
      <c r="AT2073">
        <f>HYPERLINK("http://catalog.hathitrust.org/Record/000661175","HathiTrust Record")</f>
        <v/>
      </c>
      <c r="AU2073">
        <f>HYPERLINK("https://creighton-primo.hosted.exlibrisgroup.com/primo-explore/search?tab=default_tab&amp;search_scope=EVERYTHING&amp;vid=01CRU&amp;lang=en_US&amp;offset=0&amp;query=any,contains,991000730159702656","Catalog Record")</f>
        <v/>
      </c>
      <c r="AV2073">
        <f>HYPERLINK("http://www.worldcat.org/oclc/20419473","WorldCat Record")</f>
        <v/>
      </c>
      <c r="AW2073" t="inlineStr">
        <is>
          <t>5285157:eng</t>
        </is>
      </c>
      <c r="AX2073" t="inlineStr">
        <is>
          <t>20419473</t>
        </is>
      </c>
      <c r="AY2073" t="inlineStr">
        <is>
          <t>991000730159702656</t>
        </is>
      </c>
      <c r="AZ2073" t="inlineStr">
        <is>
          <t>991000730159702656</t>
        </is>
      </c>
      <c r="BA2073" t="inlineStr">
        <is>
          <t>2268319790002656</t>
        </is>
      </c>
      <c r="BB2073" t="inlineStr">
        <is>
          <t>BOOK</t>
        </is>
      </c>
      <c r="BD2073" t="inlineStr">
        <is>
          <t>9780710810021</t>
        </is>
      </c>
      <c r="BE2073" t="inlineStr">
        <is>
          <t>32285000733492</t>
        </is>
      </c>
      <c r="BF2073" t="inlineStr">
        <is>
          <t>893614452</t>
        </is>
      </c>
    </row>
    <row r="2074">
      <c r="A2074" t="inlineStr">
        <is>
          <t>No</t>
        </is>
      </c>
      <c r="B2074" t="inlineStr">
        <is>
          <t>CURAL</t>
        </is>
      </c>
      <c r="C2074" t="inlineStr">
        <is>
          <t>SHELVES</t>
        </is>
      </c>
      <c r="D2074" t="inlineStr">
        <is>
          <t>PR478.M6 H36 1988</t>
        </is>
      </c>
      <c r="E2074" t="inlineStr">
        <is>
          <t>0                      PR 0478000M  6                  H  36          1988</t>
        </is>
      </c>
      <c r="F2074" t="inlineStr">
        <is>
          <t>Writing for their lives : the modernist women 1910-1940 / Gillian Hanscombe &amp; Virginia L. Smyers.</t>
        </is>
      </c>
      <c r="H2074" t="inlineStr">
        <is>
          <t>No</t>
        </is>
      </c>
      <c r="I2074" t="inlineStr">
        <is>
          <t>1</t>
        </is>
      </c>
      <c r="J2074" t="inlineStr">
        <is>
          <t>No</t>
        </is>
      </c>
      <c r="K2074" t="inlineStr">
        <is>
          <t>No</t>
        </is>
      </c>
      <c r="L2074" t="inlineStr">
        <is>
          <t>0</t>
        </is>
      </c>
      <c r="M2074" t="inlineStr">
        <is>
          <t>Hanscombe, Gillian E.</t>
        </is>
      </c>
      <c r="N2074" t="inlineStr">
        <is>
          <t>Boston : Northeastern University Press, 1988, c1987.</t>
        </is>
      </c>
      <c r="O2074" t="inlineStr">
        <is>
          <t>1988</t>
        </is>
      </c>
      <c r="Q2074" t="inlineStr">
        <is>
          <t>eng</t>
        </is>
      </c>
      <c r="R2074" t="inlineStr">
        <is>
          <t>mau</t>
        </is>
      </c>
      <c r="T2074" t="inlineStr">
        <is>
          <t xml:space="preserve">PR </t>
        </is>
      </c>
      <c r="U2074" t="n">
        <v>5</v>
      </c>
      <c r="V2074" t="n">
        <v>5</v>
      </c>
      <c r="W2074" t="inlineStr">
        <is>
          <t>2006-04-23</t>
        </is>
      </c>
      <c r="X2074" t="inlineStr">
        <is>
          <t>2006-04-23</t>
        </is>
      </c>
      <c r="Y2074" t="inlineStr">
        <is>
          <t>1991-08-30</t>
        </is>
      </c>
      <c r="Z2074" t="inlineStr">
        <is>
          <t>1991-08-30</t>
        </is>
      </c>
      <c r="AA2074" t="n">
        <v>416</v>
      </c>
      <c r="AB2074" t="n">
        <v>379</v>
      </c>
      <c r="AC2074" t="n">
        <v>460</v>
      </c>
      <c r="AD2074" t="n">
        <v>2</v>
      </c>
      <c r="AE2074" t="n">
        <v>4</v>
      </c>
      <c r="AF2074" t="n">
        <v>20</v>
      </c>
      <c r="AG2074" t="n">
        <v>25</v>
      </c>
      <c r="AH2074" t="n">
        <v>9</v>
      </c>
      <c r="AI2074" t="n">
        <v>9</v>
      </c>
      <c r="AJ2074" t="n">
        <v>7</v>
      </c>
      <c r="AK2074" t="n">
        <v>8</v>
      </c>
      <c r="AL2074" t="n">
        <v>10</v>
      </c>
      <c r="AM2074" t="n">
        <v>13</v>
      </c>
      <c r="AN2074" t="n">
        <v>1</v>
      </c>
      <c r="AO2074" t="n">
        <v>3</v>
      </c>
      <c r="AP2074" t="n">
        <v>0</v>
      </c>
      <c r="AQ2074" t="n">
        <v>0</v>
      </c>
      <c r="AR2074" t="inlineStr">
        <is>
          <t>No</t>
        </is>
      </c>
      <c r="AS2074" t="inlineStr">
        <is>
          <t>No</t>
        </is>
      </c>
      <c r="AU2074">
        <f>HYPERLINK("https://creighton-primo.hosted.exlibrisgroup.com/primo-explore/search?tab=default_tab&amp;search_scope=EVERYTHING&amp;vid=01CRU&amp;lang=en_US&amp;offset=0&amp;query=any,contains,991001297569702656","Catalog Record")</f>
        <v/>
      </c>
      <c r="AV2074">
        <f>HYPERLINK("http://www.worldcat.org/oclc/18050464","WorldCat Record")</f>
        <v/>
      </c>
      <c r="AW2074" t="inlineStr">
        <is>
          <t>11770149:eng</t>
        </is>
      </c>
      <c r="AX2074" t="inlineStr">
        <is>
          <t>18050464</t>
        </is>
      </c>
      <c r="AY2074" t="inlineStr">
        <is>
          <t>991001297569702656</t>
        </is>
      </c>
      <c r="AZ2074" t="inlineStr">
        <is>
          <t>991001297569702656</t>
        </is>
      </c>
      <c r="BA2074" t="inlineStr">
        <is>
          <t>2268435400002656</t>
        </is>
      </c>
      <c r="BB2074" t="inlineStr">
        <is>
          <t>BOOK</t>
        </is>
      </c>
      <c r="BD2074" t="inlineStr">
        <is>
          <t>9781555530457</t>
        </is>
      </c>
      <c r="BE2074" t="inlineStr">
        <is>
          <t>32285000733526</t>
        </is>
      </c>
      <c r="BF2074" t="inlineStr">
        <is>
          <t>893256168</t>
        </is>
      </c>
    </row>
    <row r="2075">
      <c r="A2075" t="inlineStr">
        <is>
          <t>No</t>
        </is>
      </c>
      <c r="B2075" t="inlineStr">
        <is>
          <t>CURAL</t>
        </is>
      </c>
      <c r="C2075" t="inlineStr">
        <is>
          <t>SHELVES</t>
        </is>
      </c>
      <c r="D2075" t="inlineStr">
        <is>
          <t>PR478.M6 K4 1988</t>
        </is>
      </c>
      <c r="E2075" t="inlineStr">
        <is>
          <t>0                      PR 0478000M  6                  K  4           1988</t>
        </is>
      </c>
      <c r="F2075" t="inlineStr">
        <is>
          <t>A sinking island : the modern English writers / bu Hugh Kenner.</t>
        </is>
      </c>
      <c r="H2075" t="inlineStr">
        <is>
          <t>No</t>
        </is>
      </c>
      <c r="I2075" t="inlineStr">
        <is>
          <t>1</t>
        </is>
      </c>
      <c r="J2075" t="inlineStr">
        <is>
          <t>No</t>
        </is>
      </c>
      <c r="K2075" t="inlineStr">
        <is>
          <t>No</t>
        </is>
      </c>
      <c r="L2075" t="inlineStr">
        <is>
          <t>0</t>
        </is>
      </c>
      <c r="M2075" t="inlineStr">
        <is>
          <t>Kenner, Hugh.</t>
        </is>
      </c>
      <c r="N2075" t="inlineStr">
        <is>
          <t>New York, N.Y. : Knopf, 1988, c1987.</t>
        </is>
      </c>
      <c r="O2075" t="inlineStr">
        <is>
          <t>1988</t>
        </is>
      </c>
      <c r="P2075" t="inlineStr">
        <is>
          <t>1st ed.</t>
        </is>
      </c>
      <c r="Q2075" t="inlineStr">
        <is>
          <t>eng</t>
        </is>
      </c>
      <c r="R2075" t="inlineStr">
        <is>
          <t>nyu</t>
        </is>
      </c>
      <c r="T2075" t="inlineStr">
        <is>
          <t xml:space="preserve">PR </t>
        </is>
      </c>
      <c r="U2075" t="n">
        <v>4</v>
      </c>
      <c r="V2075" t="n">
        <v>4</v>
      </c>
      <c r="W2075" t="inlineStr">
        <is>
          <t>1999-02-26</t>
        </is>
      </c>
      <c r="X2075" t="inlineStr">
        <is>
          <t>1999-02-26</t>
        </is>
      </c>
      <c r="Y2075" t="inlineStr">
        <is>
          <t>1991-08-30</t>
        </is>
      </c>
      <c r="Z2075" t="inlineStr">
        <is>
          <t>1991-08-30</t>
        </is>
      </c>
      <c r="AA2075" t="n">
        <v>909</v>
      </c>
      <c r="AB2075" t="n">
        <v>836</v>
      </c>
      <c r="AC2075" t="n">
        <v>950</v>
      </c>
      <c r="AD2075" t="n">
        <v>4</v>
      </c>
      <c r="AE2075" t="n">
        <v>5</v>
      </c>
      <c r="AF2075" t="n">
        <v>27</v>
      </c>
      <c r="AG2075" t="n">
        <v>32</v>
      </c>
      <c r="AH2075" t="n">
        <v>13</v>
      </c>
      <c r="AI2075" t="n">
        <v>15</v>
      </c>
      <c r="AJ2075" t="n">
        <v>5</v>
      </c>
      <c r="AK2075" t="n">
        <v>6</v>
      </c>
      <c r="AL2075" t="n">
        <v>13</v>
      </c>
      <c r="AM2075" t="n">
        <v>16</v>
      </c>
      <c r="AN2075" t="n">
        <v>3</v>
      </c>
      <c r="AO2075" t="n">
        <v>4</v>
      </c>
      <c r="AP2075" t="n">
        <v>0</v>
      </c>
      <c r="AQ2075" t="n">
        <v>0</v>
      </c>
      <c r="AR2075" t="inlineStr">
        <is>
          <t>No</t>
        </is>
      </c>
      <c r="AS2075" t="inlineStr">
        <is>
          <t>Yes</t>
        </is>
      </c>
      <c r="AT2075">
        <f>HYPERLINK("http://catalog.hathitrust.org/Record/000921615","HathiTrust Record")</f>
        <v/>
      </c>
      <c r="AU2075">
        <f>HYPERLINK("https://creighton-primo.hosted.exlibrisgroup.com/primo-explore/search?tab=default_tab&amp;search_scope=EVERYTHING&amp;vid=01CRU&amp;lang=en_US&amp;offset=0&amp;query=any,contains,991001068879702656","Catalog Record")</f>
        <v/>
      </c>
      <c r="AV2075">
        <f>HYPERLINK("http://www.worldcat.org/oclc/15856434","WorldCat Record")</f>
        <v/>
      </c>
      <c r="AW2075" t="inlineStr">
        <is>
          <t>10944807:eng</t>
        </is>
      </c>
      <c r="AX2075" t="inlineStr">
        <is>
          <t>15856434</t>
        </is>
      </c>
      <c r="AY2075" t="inlineStr">
        <is>
          <t>991001068879702656</t>
        </is>
      </c>
      <c r="AZ2075" t="inlineStr">
        <is>
          <t>991001068879702656</t>
        </is>
      </c>
      <c r="BA2075" t="inlineStr">
        <is>
          <t>2272395890002656</t>
        </is>
      </c>
      <c r="BB2075" t="inlineStr">
        <is>
          <t>BOOK</t>
        </is>
      </c>
      <c r="BD2075" t="inlineStr">
        <is>
          <t>9780394542546</t>
        </is>
      </c>
      <c r="BE2075" t="inlineStr">
        <is>
          <t>32285000733534</t>
        </is>
      </c>
      <c r="BF2075" t="inlineStr">
        <is>
          <t>893715142</t>
        </is>
      </c>
    </row>
    <row r="2076">
      <c r="A2076" t="inlineStr">
        <is>
          <t>No</t>
        </is>
      </c>
      <c r="B2076" t="inlineStr">
        <is>
          <t>CURAL</t>
        </is>
      </c>
      <c r="C2076" t="inlineStr">
        <is>
          <t>SHELVES</t>
        </is>
      </c>
      <c r="D2076" t="inlineStr">
        <is>
          <t>PR478.M6 M4 1987</t>
        </is>
      </c>
      <c r="E2076" t="inlineStr">
        <is>
          <t>0                      PR 0478000M  6                  M  4           1987</t>
        </is>
      </c>
      <c r="F2076" t="inlineStr">
        <is>
          <t>The myth of the modern : a study in British literature and criticism after 1850 / Perry Meisel.</t>
        </is>
      </c>
      <c r="H2076" t="inlineStr">
        <is>
          <t>No</t>
        </is>
      </c>
      <c r="I2076" t="inlineStr">
        <is>
          <t>1</t>
        </is>
      </c>
      <c r="J2076" t="inlineStr">
        <is>
          <t>No</t>
        </is>
      </c>
      <c r="K2076" t="inlineStr">
        <is>
          <t>No</t>
        </is>
      </c>
      <c r="L2076" t="inlineStr">
        <is>
          <t>0</t>
        </is>
      </c>
      <c r="M2076" t="inlineStr">
        <is>
          <t>Meisel, Perry.</t>
        </is>
      </c>
      <c r="N2076" t="inlineStr">
        <is>
          <t>New Haven : Yale University Press, c1987.</t>
        </is>
      </c>
      <c r="O2076" t="inlineStr">
        <is>
          <t>1987</t>
        </is>
      </c>
      <c r="Q2076" t="inlineStr">
        <is>
          <t>eng</t>
        </is>
      </c>
      <c r="R2076" t="inlineStr">
        <is>
          <t>ctu</t>
        </is>
      </c>
      <c r="T2076" t="inlineStr">
        <is>
          <t xml:space="preserve">PR </t>
        </is>
      </c>
      <c r="U2076" t="n">
        <v>9</v>
      </c>
      <c r="V2076" t="n">
        <v>9</v>
      </c>
      <c r="W2076" t="inlineStr">
        <is>
          <t>2009-04-13</t>
        </is>
      </c>
      <c r="X2076" t="inlineStr">
        <is>
          <t>2009-04-13</t>
        </is>
      </c>
      <c r="Y2076" t="inlineStr">
        <is>
          <t>1991-08-30</t>
        </is>
      </c>
      <c r="Z2076" t="inlineStr">
        <is>
          <t>1991-08-30</t>
        </is>
      </c>
      <c r="AA2076" t="n">
        <v>651</v>
      </c>
      <c r="AB2076" t="n">
        <v>497</v>
      </c>
      <c r="AC2076" t="n">
        <v>498</v>
      </c>
      <c r="AD2076" t="n">
        <v>3</v>
      </c>
      <c r="AE2076" t="n">
        <v>3</v>
      </c>
      <c r="AF2076" t="n">
        <v>28</v>
      </c>
      <c r="AG2076" t="n">
        <v>28</v>
      </c>
      <c r="AH2076" t="n">
        <v>10</v>
      </c>
      <c r="AI2076" t="n">
        <v>10</v>
      </c>
      <c r="AJ2076" t="n">
        <v>9</v>
      </c>
      <c r="AK2076" t="n">
        <v>9</v>
      </c>
      <c r="AL2076" t="n">
        <v>16</v>
      </c>
      <c r="AM2076" t="n">
        <v>16</v>
      </c>
      <c r="AN2076" t="n">
        <v>2</v>
      </c>
      <c r="AO2076" t="n">
        <v>2</v>
      </c>
      <c r="AP2076" t="n">
        <v>0</v>
      </c>
      <c r="AQ2076" t="n">
        <v>0</v>
      </c>
      <c r="AR2076" t="inlineStr">
        <is>
          <t>No</t>
        </is>
      </c>
      <c r="AS2076" t="inlineStr">
        <is>
          <t>No</t>
        </is>
      </c>
      <c r="AU2076">
        <f>HYPERLINK("https://creighton-primo.hosted.exlibrisgroup.com/primo-explore/search?tab=default_tab&amp;search_scope=EVERYTHING&amp;vid=01CRU&amp;lang=en_US&amp;offset=0&amp;query=any,contains,991001046109702656","Catalog Record")</f>
        <v/>
      </c>
      <c r="AV2076">
        <f>HYPERLINK("http://www.worldcat.org/oclc/15628944","WorldCat Record")</f>
        <v/>
      </c>
      <c r="AW2076" t="inlineStr">
        <is>
          <t>836619971:eng</t>
        </is>
      </c>
      <c r="AX2076" t="inlineStr">
        <is>
          <t>15628944</t>
        </is>
      </c>
      <c r="AY2076" t="inlineStr">
        <is>
          <t>991001046109702656</t>
        </is>
      </c>
      <c r="AZ2076" t="inlineStr">
        <is>
          <t>991001046109702656</t>
        </is>
      </c>
      <c r="BA2076" t="inlineStr">
        <is>
          <t>2270526290002656</t>
        </is>
      </c>
      <c r="BB2076" t="inlineStr">
        <is>
          <t>BOOK</t>
        </is>
      </c>
      <c r="BD2076" t="inlineStr">
        <is>
          <t>9780300039467</t>
        </is>
      </c>
      <c r="BE2076" t="inlineStr">
        <is>
          <t>32285000733617</t>
        </is>
      </c>
      <c r="BF2076" t="inlineStr">
        <is>
          <t>893865917</t>
        </is>
      </c>
    </row>
    <row r="2077">
      <c r="A2077" t="inlineStr">
        <is>
          <t>No</t>
        </is>
      </c>
      <c r="B2077" t="inlineStr">
        <is>
          <t>CURAL</t>
        </is>
      </c>
      <c r="C2077" t="inlineStr">
        <is>
          <t>SHELVES</t>
        </is>
      </c>
      <c r="D2077" t="inlineStr">
        <is>
          <t>PR478.M6 M62 1983</t>
        </is>
      </c>
      <c r="E2077" t="inlineStr">
        <is>
          <t>0                      PR 0478000M  6                  M  62          1983</t>
        </is>
      </c>
      <c r="F2077" t="inlineStr">
        <is>
          <t>Modernism reconsidered / edited by Robert Kiely, assisted by John Hildebidle.</t>
        </is>
      </c>
      <c r="H2077" t="inlineStr">
        <is>
          <t>No</t>
        </is>
      </c>
      <c r="I2077" t="inlineStr">
        <is>
          <t>1</t>
        </is>
      </c>
      <c r="J2077" t="inlineStr">
        <is>
          <t>No</t>
        </is>
      </c>
      <c r="K2077" t="inlineStr">
        <is>
          <t>No</t>
        </is>
      </c>
      <c r="L2077" t="inlineStr">
        <is>
          <t>0</t>
        </is>
      </c>
      <c r="N2077" t="inlineStr">
        <is>
          <t>Cambridge, Mass. : Harvard University Press, 1983.</t>
        </is>
      </c>
      <c r="O2077" t="inlineStr">
        <is>
          <t>1983</t>
        </is>
      </c>
      <c r="Q2077" t="inlineStr">
        <is>
          <t>eng</t>
        </is>
      </c>
      <c r="R2077" t="inlineStr">
        <is>
          <t>mau</t>
        </is>
      </c>
      <c r="S2077" t="inlineStr">
        <is>
          <t>Harvard English studies ; 11</t>
        </is>
      </c>
      <c r="T2077" t="inlineStr">
        <is>
          <t xml:space="preserve">PR </t>
        </is>
      </c>
      <c r="U2077" t="n">
        <v>5</v>
      </c>
      <c r="V2077" t="n">
        <v>5</v>
      </c>
      <c r="W2077" t="inlineStr">
        <is>
          <t>2004-11-23</t>
        </is>
      </c>
      <c r="X2077" t="inlineStr">
        <is>
          <t>2004-11-23</t>
        </is>
      </c>
      <c r="Y2077" t="inlineStr">
        <is>
          <t>1991-08-30</t>
        </is>
      </c>
      <c r="Z2077" t="inlineStr">
        <is>
          <t>1991-08-30</t>
        </is>
      </c>
      <c r="AA2077" t="n">
        <v>702</v>
      </c>
      <c r="AB2077" t="n">
        <v>557</v>
      </c>
      <c r="AC2077" t="n">
        <v>562</v>
      </c>
      <c r="AD2077" t="n">
        <v>7</v>
      </c>
      <c r="AE2077" t="n">
        <v>7</v>
      </c>
      <c r="AF2077" t="n">
        <v>32</v>
      </c>
      <c r="AG2077" t="n">
        <v>32</v>
      </c>
      <c r="AH2077" t="n">
        <v>13</v>
      </c>
      <c r="AI2077" t="n">
        <v>13</v>
      </c>
      <c r="AJ2077" t="n">
        <v>8</v>
      </c>
      <c r="AK2077" t="n">
        <v>8</v>
      </c>
      <c r="AL2077" t="n">
        <v>15</v>
      </c>
      <c r="AM2077" t="n">
        <v>15</v>
      </c>
      <c r="AN2077" t="n">
        <v>6</v>
      </c>
      <c r="AO2077" t="n">
        <v>6</v>
      </c>
      <c r="AP2077" t="n">
        <v>0</v>
      </c>
      <c r="AQ2077" t="n">
        <v>0</v>
      </c>
      <c r="AR2077" t="inlineStr">
        <is>
          <t>No</t>
        </is>
      </c>
      <c r="AS2077" t="inlineStr">
        <is>
          <t>No</t>
        </is>
      </c>
      <c r="AU2077">
        <f>HYPERLINK("https://creighton-primo.hosted.exlibrisgroup.com/primo-explore/search?tab=default_tab&amp;search_scope=EVERYTHING&amp;vid=01CRU&amp;lang=en_US&amp;offset=0&amp;query=any,contains,991000185979702656","Catalog Record")</f>
        <v/>
      </c>
      <c r="AV2077">
        <f>HYPERLINK("http://www.worldcat.org/oclc/9393811","WorldCat Record")</f>
        <v/>
      </c>
      <c r="AW2077" t="inlineStr">
        <is>
          <t>365571411:eng</t>
        </is>
      </c>
      <c r="AX2077" t="inlineStr">
        <is>
          <t>9393811</t>
        </is>
      </c>
      <c r="AY2077" t="inlineStr">
        <is>
          <t>991000185979702656</t>
        </is>
      </c>
      <c r="AZ2077" t="inlineStr">
        <is>
          <t>991000185979702656</t>
        </is>
      </c>
      <c r="BA2077" t="inlineStr">
        <is>
          <t>2266091590002656</t>
        </is>
      </c>
      <c r="BB2077" t="inlineStr">
        <is>
          <t>BOOK</t>
        </is>
      </c>
      <c r="BD2077" t="inlineStr">
        <is>
          <t>9780674580664</t>
        </is>
      </c>
      <c r="BE2077" t="inlineStr">
        <is>
          <t>32285000733559</t>
        </is>
      </c>
      <c r="BF2077" t="inlineStr">
        <is>
          <t>893521484</t>
        </is>
      </c>
    </row>
    <row r="2078">
      <c r="A2078" t="inlineStr">
        <is>
          <t>No</t>
        </is>
      </c>
      <c r="B2078" t="inlineStr">
        <is>
          <t>CURAL</t>
        </is>
      </c>
      <c r="C2078" t="inlineStr">
        <is>
          <t>SHELVES</t>
        </is>
      </c>
      <c r="D2078" t="inlineStr">
        <is>
          <t>PR478.P64 B58 2001</t>
        </is>
      </c>
      <c r="E2078" t="inlineStr">
        <is>
          <t>0                      PR 0478000P  64                 B  58          2001</t>
        </is>
      </c>
      <c r="F2078" t="inlineStr">
        <is>
          <t>Literature, politics, and intellectual crisis in Britain today / Clive Bloom.</t>
        </is>
      </c>
      <c r="H2078" t="inlineStr">
        <is>
          <t>No</t>
        </is>
      </c>
      <c r="I2078" t="inlineStr">
        <is>
          <t>1</t>
        </is>
      </c>
      <c r="J2078" t="inlineStr">
        <is>
          <t>No</t>
        </is>
      </c>
      <c r="K2078" t="inlineStr">
        <is>
          <t>No</t>
        </is>
      </c>
      <c r="L2078" t="inlineStr">
        <is>
          <t>0</t>
        </is>
      </c>
      <c r="M2078" t="inlineStr">
        <is>
          <t>Bloom, Clive.</t>
        </is>
      </c>
      <c r="N2078" t="inlineStr">
        <is>
          <t>New York : Palgrave, 2001.</t>
        </is>
      </c>
      <c r="O2078" t="inlineStr">
        <is>
          <t>2001</t>
        </is>
      </c>
      <c r="Q2078" t="inlineStr">
        <is>
          <t>eng</t>
        </is>
      </c>
      <c r="R2078" t="inlineStr">
        <is>
          <t>nyu</t>
        </is>
      </c>
      <c r="T2078" t="inlineStr">
        <is>
          <t xml:space="preserve">PR </t>
        </is>
      </c>
      <c r="U2078" t="n">
        <v>2</v>
      </c>
      <c r="V2078" t="n">
        <v>2</v>
      </c>
      <c r="W2078" t="inlineStr">
        <is>
          <t>2007-04-16</t>
        </is>
      </c>
      <c r="X2078" t="inlineStr">
        <is>
          <t>2007-04-16</t>
        </is>
      </c>
      <c r="Y2078" t="inlineStr">
        <is>
          <t>2001-12-12</t>
        </is>
      </c>
      <c r="Z2078" t="inlineStr">
        <is>
          <t>2001-12-12</t>
        </is>
      </c>
      <c r="AA2078" t="n">
        <v>285</v>
      </c>
      <c r="AB2078" t="n">
        <v>220</v>
      </c>
      <c r="AC2078" t="n">
        <v>242</v>
      </c>
      <c r="AD2078" t="n">
        <v>2</v>
      </c>
      <c r="AE2078" t="n">
        <v>2</v>
      </c>
      <c r="AF2078" t="n">
        <v>14</v>
      </c>
      <c r="AG2078" t="n">
        <v>15</v>
      </c>
      <c r="AH2078" t="n">
        <v>4</v>
      </c>
      <c r="AI2078" t="n">
        <v>5</v>
      </c>
      <c r="AJ2078" t="n">
        <v>6</v>
      </c>
      <c r="AK2078" t="n">
        <v>6</v>
      </c>
      <c r="AL2078" t="n">
        <v>7</v>
      </c>
      <c r="AM2078" t="n">
        <v>7</v>
      </c>
      <c r="AN2078" t="n">
        <v>1</v>
      </c>
      <c r="AO2078" t="n">
        <v>1</v>
      </c>
      <c r="AP2078" t="n">
        <v>0</v>
      </c>
      <c r="AQ2078" t="n">
        <v>0</v>
      </c>
      <c r="AR2078" t="inlineStr">
        <is>
          <t>No</t>
        </is>
      </c>
      <c r="AS2078" t="inlineStr">
        <is>
          <t>No</t>
        </is>
      </c>
      <c r="AU2078">
        <f>HYPERLINK("https://creighton-primo.hosted.exlibrisgroup.com/primo-explore/search?tab=default_tab&amp;search_scope=EVERYTHING&amp;vid=01CRU&amp;lang=en_US&amp;offset=0&amp;query=any,contains,991003635989702656","Catalog Record")</f>
        <v/>
      </c>
      <c r="AV2078">
        <f>HYPERLINK("http://www.worldcat.org/oclc/44876964","WorldCat Record")</f>
        <v/>
      </c>
      <c r="AW2078" t="inlineStr">
        <is>
          <t>1005833:eng</t>
        </is>
      </c>
      <c r="AX2078" t="inlineStr">
        <is>
          <t>44876964</t>
        </is>
      </c>
      <c r="AY2078" t="inlineStr">
        <is>
          <t>991003635989702656</t>
        </is>
      </c>
      <c r="AZ2078" t="inlineStr">
        <is>
          <t>991003635989702656</t>
        </is>
      </c>
      <c r="BA2078" t="inlineStr">
        <is>
          <t>2255684390002656</t>
        </is>
      </c>
      <c r="BB2078" t="inlineStr">
        <is>
          <t>BOOK</t>
        </is>
      </c>
      <c r="BD2078" t="inlineStr">
        <is>
          <t>9780333778326</t>
        </is>
      </c>
      <c r="BE2078" t="inlineStr">
        <is>
          <t>32285004428321</t>
        </is>
      </c>
      <c r="BF2078" t="inlineStr">
        <is>
          <t>893699225</t>
        </is>
      </c>
    </row>
    <row r="2079">
      <c r="A2079" t="inlineStr">
        <is>
          <t>No</t>
        </is>
      </c>
      <c r="B2079" t="inlineStr">
        <is>
          <t>CURAL</t>
        </is>
      </c>
      <c r="C2079" t="inlineStr">
        <is>
          <t>SHELVES</t>
        </is>
      </c>
      <c r="D2079" t="inlineStr">
        <is>
          <t>PR478.P64 C6</t>
        </is>
      </c>
      <c r="E2079" t="inlineStr">
        <is>
          <t>0                      PR 0478000P  64                 C  6</t>
        </is>
      </c>
      <c r="F2079" t="inlineStr">
        <is>
          <t>G.K. Chesterton and Hilaire Belloc : the battle against modernity / by Jay P. Corrin.</t>
        </is>
      </c>
      <c r="H2079" t="inlineStr">
        <is>
          <t>No</t>
        </is>
      </c>
      <c r="I2079" t="inlineStr">
        <is>
          <t>1</t>
        </is>
      </c>
      <c r="J2079" t="inlineStr">
        <is>
          <t>No</t>
        </is>
      </c>
      <c r="K2079" t="inlineStr">
        <is>
          <t>No</t>
        </is>
      </c>
      <c r="L2079" t="inlineStr">
        <is>
          <t>0</t>
        </is>
      </c>
      <c r="M2079" t="inlineStr">
        <is>
          <t>Corrin, Jay P., 1943-</t>
        </is>
      </c>
      <c r="N2079" t="inlineStr">
        <is>
          <t>Athens : Ohio University Press, 1981.</t>
        </is>
      </c>
      <c r="O2079" t="inlineStr">
        <is>
          <t>1981</t>
        </is>
      </c>
      <c r="Q2079" t="inlineStr">
        <is>
          <t>eng</t>
        </is>
      </c>
      <c r="R2079" t="inlineStr">
        <is>
          <t>gau</t>
        </is>
      </c>
      <c r="T2079" t="inlineStr">
        <is>
          <t xml:space="preserve">PR </t>
        </is>
      </c>
      <c r="U2079" t="n">
        <v>2</v>
      </c>
      <c r="V2079" t="n">
        <v>2</v>
      </c>
      <c r="W2079" t="inlineStr">
        <is>
          <t>2008-06-30</t>
        </is>
      </c>
      <c r="X2079" t="inlineStr">
        <is>
          <t>2008-06-30</t>
        </is>
      </c>
      <c r="Y2079" t="inlineStr">
        <is>
          <t>1991-08-30</t>
        </is>
      </c>
      <c r="Z2079" t="inlineStr">
        <is>
          <t>1991-08-30</t>
        </is>
      </c>
      <c r="AA2079" t="n">
        <v>453</v>
      </c>
      <c r="AB2079" t="n">
        <v>384</v>
      </c>
      <c r="AC2079" t="n">
        <v>386</v>
      </c>
      <c r="AD2079" t="n">
        <v>6</v>
      </c>
      <c r="AE2079" t="n">
        <v>6</v>
      </c>
      <c r="AF2079" t="n">
        <v>26</v>
      </c>
      <c r="AG2079" t="n">
        <v>26</v>
      </c>
      <c r="AH2079" t="n">
        <v>8</v>
      </c>
      <c r="AI2079" t="n">
        <v>8</v>
      </c>
      <c r="AJ2079" t="n">
        <v>5</v>
      </c>
      <c r="AK2079" t="n">
        <v>5</v>
      </c>
      <c r="AL2079" t="n">
        <v>16</v>
      </c>
      <c r="AM2079" t="n">
        <v>16</v>
      </c>
      <c r="AN2079" t="n">
        <v>4</v>
      </c>
      <c r="AO2079" t="n">
        <v>4</v>
      </c>
      <c r="AP2079" t="n">
        <v>0</v>
      </c>
      <c r="AQ2079" t="n">
        <v>0</v>
      </c>
      <c r="AR2079" t="inlineStr">
        <is>
          <t>No</t>
        </is>
      </c>
      <c r="AS2079" t="inlineStr">
        <is>
          <t>Yes</t>
        </is>
      </c>
      <c r="AT2079">
        <f>HYPERLINK("http://catalog.hathitrust.org/Record/000140410","HathiTrust Record")</f>
        <v/>
      </c>
      <c r="AU2079">
        <f>HYPERLINK("https://creighton-primo.hosted.exlibrisgroup.com/primo-explore/search?tab=default_tab&amp;search_scope=EVERYTHING&amp;vid=01CRU&amp;lang=en_US&amp;offset=0&amp;query=any,contains,991005099269702656","Catalog Record")</f>
        <v/>
      </c>
      <c r="AV2079">
        <f>HYPERLINK("http://www.worldcat.org/oclc/7279369","WorldCat Record")</f>
        <v/>
      </c>
      <c r="AW2079" t="inlineStr">
        <is>
          <t>860394794:eng</t>
        </is>
      </c>
      <c r="AX2079" t="inlineStr">
        <is>
          <t>7279369</t>
        </is>
      </c>
      <c r="AY2079" t="inlineStr">
        <is>
          <t>991005099269702656</t>
        </is>
      </c>
      <c r="AZ2079" t="inlineStr">
        <is>
          <t>991005099269702656</t>
        </is>
      </c>
      <c r="BA2079" t="inlineStr">
        <is>
          <t>2262337690002656</t>
        </is>
      </c>
      <c r="BB2079" t="inlineStr">
        <is>
          <t>BOOK</t>
        </is>
      </c>
      <c r="BD2079" t="inlineStr">
        <is>
          <t>9780821406045</t>
        </is>
      </c>
      <c r="BE2079" t="inlineStr">
        <is>
          <t>32285000733591</t>
        </is>
      </c>
      <c r="BF2079" t="inlineStr">
        <is>
          <t>893350708</t>
        </is>
      </c>
    </row>
    <row r="2080">
      <c r="A2080" t="inlineStr">
        <is>
          <t>No</t>
        </is>
      </c>
      <c r="B2080" t="inlineStr">
        <is>
          <t>CURAL</t>
        </is>
      </c>
      <c r="C2080" t="inlineStr">
        <is>
          <t>SHELVES</t>
        </is>
      </c>
      <c r="D2080" t="inlineStr">
        <is>
          <t>PR478.S57 B73 2002</t>
        </is>
      </c>
      <c r="E2080" t="inlineStr">
        <is>
          <t>0                      PR 0478000S  57                 B  73          2002</t>
        </is>
      </c>
      <c r="F2080" t="inlineStr">
        <is>
          <t>Literature, culture, and society in postwar England, 1945-1965 / John Brannigan.</t>
        </is>
      </c>
      <c r="H2080" t="inlineStr">
        <is>
          <t>No</t>
        </is>
      </c>
      <c r="I2080" t="inlineStr">
        <is>
          <t>1</t>
        </is>
      </c>
      <c r="J2080" t="inlineStr">
        <is>
          <t>No</t>
        </is>
      </c>
      <c r="K2080" t="inlineStr">
        <is>
          <t>No</t>
        </is>
      </c>
      <c r="L2080" t="inlineStr">
        <is>
          <t>0</t>
        </is>
      </c>
      <c r="M2080" t="inlineStr">
        <is>
          <t>Brannigan, John.</t>
        </is>
      </c>
      <c r="N2080" t="inlineStr">
        <is>
          <t>Lewiston, N.Y. : Edwin Mellen Press, c2002.</t>
        </is>
      </c>
      <c r="O2080" t="inlineStr">
        <is>
          <t>2002</t>
        </is>
      </c>
      <c r="Q2080" t="inlineStr">
        <is>
          <t>eng</t>
        </is>
      </c>
      <c r="R2080" t="inlineStr">
        <is>
          <t>nyu</t>
        </is>
      </c>
      <c r="S2080" t="inlineStr">
        <is>
          <t>Studies in British literature ; v. 57</t>
        </is>
      </c>
      <c r="T2080" t="inlineStr">
        <is>
          <t xml:space="preserve">PR </t>
        </is>
      </c>
      <c r="U2080" t="n">
        <v>1</v>
      </c>
      <c r="V2080" t="n">
        <v>1</v>
      </c>
      <c r="W2080" t="inlineStr">
        <is>
          <t>2004-12-07</t>
        </is>
      </c>
      <c r="X2080" t="inlineStr">
        <is>
          <t>2004-12-07</t>
        </is>
      </c>
      <c r="Y2080" t="inlineStr">
        <is>
          <t>2004-12-07</t>
        </is>
      </c>
      <c r="Z2080" t="inlineStr">
        <is>
          <t>2004-12-07</t>
        </is>
      </c>
      <c r="AA2080" t="n">
        <v>190</v>
      </c>
      <c r="AB2080" t="n">
        <v>157</v>
      </c>
      <c r="AC2080" t="n">
        <v>158</v>
      </c>
      <c r="AD2080" t="n">
        <v>2</v>
      </c>
      <c r="AE2080" t="n">
        <v>2</v>
      </c>
      <c r="AF2080" t="n">
        <v>6</v>
      </c>
      <c r="AG2080" t="n">
        <v>6</v>
      </c>
      <c r="AH2080" t="n">
        <v>2</v>
      </c>
      <c r="AI2080" t="n">
        <v>2</v>
      </c>
      <c r="AJ2080" t="n">
        <v>2</v>
      </c>
      <c r="AK2080" t="n">
        <v>2</v>
      </c>
      <c r="AL2080" t="n">
        <v>4</v>
      </c>
      <c r="AM2080" t="n">
        <v>4</v>
      </c>
      <c r="AN2080" t="n">
        <v>1</v>
      </c>
      <c r="AO2080" t="n">
        <v>1</v>
      </c>
      <c r="AP2080" t="n">
        <v>0</v>
      </c>
      <c r="AQ2080" t="n">
        <v>0</v>
      </c>
      <c r="AR2080" t="inlineStr">
        <is>
          <t>No</t>
        </is>
      </c>
      <c r="AS2080" t="inlineStr">
        <is>
          <t>Yes</t>
        </is>
      </c>
      <c r="AT2080">
        <f>HYPERLINK("http://catalog.hathitrust.org/Record/008323573","HathiTrust Record")</f>
        <v/>
      </c>
      <c r="AU2080">
        <f>HYPERLINK("https://creighton-primo.hosted.exlibrisgroup.com/primo-explore/search?tab=default_tab&amp;search_scope=EVERYTHING&amp;vid=01CRU&amp;lang=en_US&amp;offset=0&amp;query=any,contains,991004412499702656","Catalog Record")</f>
        <v/>
      </c>
      <c r="AV2080">
        <f>HYPERLINK("http://www.worldcat.org/oclc/49925908","WorldCat Record")</f>
        <v/>
      </c>
      <c r="AW2080" t="inlineStr">
        <is>
          <t>1201327:eng</t>
        </is>
      </c>
      <c r="AX2080" t="inlineStr">
        <is>
          <t>49925908</t>
        </is>
      </c>
      <c r="AY2080" t="inlineStr">
        <is>
          <t>991004412499702656</t>
        </is>
      </c>
      <c r="AZ2080" t="inlineStr">
        <is>
          <t>991004412499702656</t>
        </is>
      </c>
      <c r="BA2080" t="inlineStr">
        <is>
          <t>2257594260002656</t>
        </is>
      </c>
      <c r="BB2080" t="inlineStr">
        <is>
          <t>BOOK</t>
        </is>
      </c>
      <c r="BD2080" t="inlineStr">
        <is>
          <t>9780773471696</t>
        </is>
      </c>
      <c r="BE2080" t="inlineStr">
        <is>
          <t>32285005014914</t>
        </is>
      </c>
      <c r="BF2080" t="inlineStr">
        <is>
          <t>893807031</t>
        </is>
      </c>
    </row>
    <row r="2081">
      <c r="A2081" t="inlineStr">
        <is>
          <t>No</t>
        </is>
      </c>
      <c r="B2081" t="inlineStr">
        <is>
          <t>CURAL</t>
        </is>
      </c>
      <c r="C2081" t="inlineStr">
        <is>
          <t>SHELVES</t>
        </is>
      </c>
      <c r="D2081" t="inlineStr">
        <is>
          <t>PR478.S78 K6 1979</t>
        </is>
      </c>
      <c r="E2081" t="inlineStr">
        <is>
          <t>0                      PR 0478000S  78                 K  6           1979</t>
        </is>
      </c>
      <c r="F2081" t="inlineStr">
        <is>
          <t>Language in modern literature : innovation and experiment / Jacob Korg.</t>
        </is>
      </c>
      <c r="H2081" t="inlineStr">
        <is>
          <t>No</t>
        </is>
      </c>
      <c r="I2081" t="inlineStr">
        <is>
          <t>1</t>
        </is>
      </c>
      <c r="J2081" t="inlineStr">
        <is>
          <t>No</t>
        </is>
      </c>
      <c r="K2081" t="inlineStr">
        <is>
          <t>No</t>
        </is>
      </c>
      <c r="L2081" t="inlineStr">
        <is>
          <t>0</t>
        </is>
      </c>
      <c r="M2081" t="inlineStr">
        <is>
          <t>Korg, Jacob.</t>
        </is>
      </c>
      <c r="N2081" t="inlineStr">
        <is>
          <t>Sussex [Eng.] : Harvester Press ; New York : Barnes and Noble, 1979.</t>
        </is>
      </c>
      <c r="O2081" t="inlineStr">
        <is>
          <t>1979</t>
        </is>
      </c>
      <c r="Q2081" t="inlineStr">
        <is>
          <t>eng</t>
        </is>
      </c>
      <c r="R2081" t="inlineStr">
        <is>
          <t>enk</t>
        </is>
      </c>
      <c r="S2081" t="inlineStr">
        <is>
          <t>Studies in contemporary literature and culture ; 1</t>
        </is>
      </c>
      <c r="T2081" t="inlineStr">
        <is>
          <t xml:space="preserve">PR </t>
        </is>
      </c>
      <c r="U2081" t="n">
        <v>5</v>
      </c>
      <c r="V2081" t="n">
        <v>5</v>
      </c>
      <c r="W2081" t="inlineStr">
        <is>
          <t>1999-11-29</t>
        </is>
      </c>
      <c r="X2081" t="inlineStr">
        <is>
          <t>1999-11-29</t>
        </is>
      </c>
      <c r="Y2081" t="inlineStr">
        <is>
          <t>1991-08-30</t>
        </is>
      </c>
      <c r="Z2081" t="inlineStr">
        <is>
          <t>1991-08-30</t>
        </is>
      </c>
      <c r="AA2081" t="n">
        <v>568</v>
      </c>
      <c r="AB2081" t="n">
        <v>433</v>
      </c>
      <c r="AC2081" t="n">
        <v>440</v>
      </c>
      <c r="AD2081" t="n">
        <v>7</v>
      </c>
      <c r="AE2081" t="n">
        <v>7</v>
      </c>
      <c r="AF2081" t="n">
        <v>25</v>
      </c>
      <c r="AG2081" t="n">
        <v>25</v>
      </c>
      <c r="AH2081" t="n">
        <v>8</v>
      </c>
      <c r="AI2081" t="n">
        <v>8</v>
      </c>
      <c r="AJ2081" t="n">
        <v>8</v>
      </c>
      <c r="AK2081" t="n">
        <v>8</v>
      </c>
      <c r="AL2081" t="n">
        <v>11</v>
      </c>
      <c r="AM2081" t="n">
        <v>11</v>
      </c>
      <c r="AN2081" t="n">
        <v>6</v>
      </c>
      <c r="AO2081" t="n">
        <v>6</v>
      </c>
      <c r="AP2081" t="n">
        <v>0</v>
      </c>
      <c r="AQ2081" t="n">
        <v>0</v>
      </c>
      <c r="AR2081" t="inlineStr">
        <is>
          <t>No</t>
        </is>
      </c>
      <c r="AS2081" t="inlineStr">
        <is>
          <t>Yes</t>
        </is>
      </c>
      <c r="AT2081">
        <f>HYPERLINK("http://catalog.hathitrust.org/Record/000738739","HathiTrust Record")</f>
        <v/>
      </c>
      <c r="AU2081">
        <f>HYPERLINK("https://creighton-primo.hosted.exlibrisgroup.com/primo-explore/search?tab=default_tab&amp;search_scope=EVERYTHING&amp;vid=01CRU&amp;lang=en_US&amp;offset=0&amp;query=any,contains,991004938709702656","Catalog Record")</f>
        <v/>
      </c>
      <c r="AV2081">
        <f>HYPERLINK("http://www.worldcat.org/oclc/6155592","WorldCat Record")</f>
        <v/>
      </c>
      <c r="AW2081" t="inlineStr">
        <is>
          <t>290383278:eng</t>
        </is>
      </c>
      <c r="AX2081" t="inlineStr">
        <is>
          <t>6155592</t>
        </is>
      </c>
      <c r="AY2081" t="inlineStr">
        <is>
          <t>991004938709702656</t>
        </is>
      </c>
      <c r="AZ2081" t="inlineStr">
        <is>
          <t>991004938709702656</t>
        </is>
      </c>
      <c r="BA2081" t="inlineStr">
        <is>
          <t>2260076290002656</t>
        </is>
      </c>
      <c r="BB2081" t="inlineStr">
        <is>
          <t>BOOK</t>
        </is>
      </c>
      <c r="BD2081" t="inlineStr">
        <is>
          <t>9780064938921</t>
        </is>
      </c>
      <c r="BE2081" t="inlineStr">
        <is>
          <t>32285000733625</t>
        </is>
      </c>
      <c r="BF2081" t="inlineStr">
        <is>
          <t>893700843</t>
        </is>
      </c>
    </row>
    <row r="2082">
      <c r="A2082" t="inlineStr">
        <is>
          <t>No</t>
        </is>
      </c>
      <c r="B2082" t="inlineStr">
        <is>
          <t>CURAL</t>
        </is>
      </c>
      <c r="C2082" t="inlineStr">
        <is>
          <t>SHELVES</t>
        </is>
      </c>
      <c r="D2082" t="inlineStr">
        <is>
          <t>PR478.W65 B37 2000</t>
        </is>
      </c>
      <c r="E2082" t="inlineStr">
        <is>
          <t>0                      PR 0478000W  65                 B  37          2000</t>
        </is>
      </c>
      <c r="F2082" t="inlineStr">
        <is>
          <t>The Great War in British literature / Adrian Barlow.</t>
        </is>
      </c>
      <c r="H2082" t="inlineStr">
        <is>
          <t>No</t>
        </is>
      </c>
      <c r="I2082" t="inlineStr">
        <is>
          <t>1</t>
        </is>
      </c>
      <c r="J2082" t="inlineStr">
        <is>
          <t>No</t>
        </is>
      </c>
      <c r="K2082" t="inlineStr">
        <is>
          <t>No</t>
        </is>
      </c>
      <c r="L2082" t="inlineStr">
        <is>
          <t>0</t>
        </is>
      </c>
      <c r="M2082" t="inlineStr">
        <is>
          <t>Barlow, Adrian.</t>
        </is>
      </c>
      <c r="N2082" t="inlineStr">
        <is>
          <t>Cambridge : Cambridge University Press, 2000.</t>
        </is>
      </c>
      <c r="O2082" t="inlineStr">
        <is>
          <t>2000</t>
        </is>
      </c>
      <c r="Q2082" t="inlineStr">
        <is>
          <t>eng</t>
        </is>
      </c>
      <c r="R2082" t="inlineStr">
        <is>
          <t>enk</t>
        </is>
      </c>
      <c r="S2082" t="inlineStr">
        <is>
          <t>Cambridge contexts in literature</t>
        </is>
      </c>
      <c r="T2082" t="inlineStr">
        <is>
          <t xml:space="preserve">PR </t>
        </is>
      </c>
      <c r="U2082" t="n">
        <v>1</v>
      </c>
      <c r="V2082" t="n">
        <v>1</v>
      </c>
      <c r="W2082" t="inlineStr">
        <is>
          <t>2008-12-03</t>
        </is>
      </c>
      <c r="X2082" t="inlineStr">
        <is>
          <t>2008-12-03</t>
        </is>
      </c>
      <c r="Y2082" t="inlineStr">
        <is>
          <t>2008-12-03</t>
        </is>
      </c>
      <c r="Z2082" t="inlineStr">
        <is>
          <t>2008-12-03</t>
        </is>
      </c>
      <c r="AA2082" t="n">
        <v>216</v>
      </c>
      <c r="AB2082" t="n">
        <v>96</v>
      </c>
      <c r="AC2082" t="n">
        <v>101</v>
      </c>
      <c r="AD2082" t="n">
        <v>1</v>
      </c>
      <c r="AE2082" t="n">
        <v>1</v>
      </c>
      <c r="AF2082" t="n">
        <v>3</v>
      </c>
      <c r="AG2082" t="n">
        <v>3</v>
      </c>
      <c r="AH2082" t="n">
        <v>1</v>
      </c>
      <c r="AI2082" t="n">
        <v>1</v>
      </c>
      <c r="AJ2082" t="n">
        <v>0</v>
      </c>
      <c r="AK2082" t="n">
        <v>0</v>
      </c>
      <c r="AL2082" t="n">
        <v>3</v>
      </c>
      <c r="AM2082" t="n">
        <v>3</v>
      </c>
      <c r="AN2082" t="n">
        <v>0</v>
      </c>
      <c r="AO2082" t="n">
        <v>0</v>
      </c>
      <c r="AP2082" t="n">
        <v>0</v>
      </c>
      <c r="AQ2082" t="n">
        <v>0</v>
      </c>
      <c r="AR2082" t="inlineStr">
        <is>
          <t>No</t>
        </is>
      </c>
      <c r="AS2082" t="inlineStr">
        <is>
          <t>No</t>
        </is>
      </c>
      <c r="AU2082">
        <f>HYPERLINK("https://creighton-primo.hosted.exlibrisgroup.com/primo-explore/search?tab=default_tab&amp;search_scope=EVERYTHING&amp;vid=01CRU&amp;lang=en_US&amp;offset=0&amp;query=any,contains,991005279919702656","Catalog Record")</f>
        <v/>
      </c>
      <c r="AV2082">
        <f>HYPERLINK("http://www.worldcat.org/oclc/59451641","WorldCat Record")</f>
        <v/>
      </c>
      <c r="AW2082" t="inlineStr">
        <is>
          <t>47091:eng</t>
        </is>
      </c>
      <c r="AX2082" t="inlineStr">
        <is>
          <t>59451641</t>
        </is>
      </c>
      <c r="AY2082" t="inlineStr">
        <is>
          <t>991005279919702656</t>
        </is>
      </c>
      <c r="AZ2082" t="inlineStr">
        <is>
          <t>991005279919702656</t>
        </is>
      </c>
      <c r="BA2082" t="inlineStr">
        <is>
          <t>2269196190002656</t>
        </is>
      </c>
      <c r="BB2082" t="inlineStr">
        <is>
          <t>BOOK</t>
        </is>
      </c>
      <c r="BD2082" t="inlineStr">
        <is>
          <t>9780521644204</t>
        </is>
      </c>
      <c r="BE2082" t="inlineStr">
        <is>
          <t>32285005470272</t>
        </is>
      </c>
      <c r="BF2082" t="inlineStr">
        <is>
          <t>893707579</t>
        </is>
      </c>
    </row>
    <row r="2083">
      <c r="A2083" t="inlineStr">
        <is>
          <t>No</t>
        </is>
      </c>
      <c r="B2083" t="inlineStr">
        <is>
          <t>CURAL</t>
        </is>
      </c>
      <c r="C2083" t="inlineStr">
        <is>
          <t>SHELVES</t>
        </is>
      </c>
      <c r="D2083" t="inlineStr">
        <is>
          <t>PR478.W65 W7 1984</t>
        </is>
      </c>
      <c r="E2083" t="inlineStr">
        <is>
          <t>0                      PR 0478000W  65                 W  7           1984</t>
        </is>
      </c>
      <c r="F2083" t="inlineStr">
        <is>
          <t>Literature of crisis, 1910-22 / Anne Wright.</t>
        </is>
      </c>
      <c r="H2083" t="inlineStr">
        <is>
          <t>No</t>
        </is>
      </c>
      <c r="I2083" t="inlineStr">
        <is>
          <t>1</t>
        </is>
      </c>
      <c r="J2083" t="inlineStr">
        <is>
          <t>No</t>
        </is>
      </c>
      <c r="K2083" t="inlineStr">
        <is>
          <t>No</t>
        </is>
      </c>
      <c r="L2083" t="inlineStr">
        <is>
          <t>0</t>
        </is>
      </c>
      <c r="M2083" t="inlineStr">
        <is>
          <t>Wright, Anne, 1946-</t>
        </is>
      </c>
      <c r="N2083" t="inlineStr">
        <is>
          <t>New York : St. Martin's Press, 1984.</t>
        </is>
      </c>
      <c r="O2083" t="inlineStr">
        <is>
          <t>1984</t>
        </is>
      </c>
      <c r="Q2083" t="inlineStr">
        <is>
          <t>eng</t>
        </is>
      </c>
      <c r="R2083" t="inlineStr">
        <is>
          <t>nyu</t>
        </is>
      </c>
      <c r="T2083" t="inlineStr">
        <is>
          <t xml:space="preserve">PR </t>
        </is>
      </c>
      <c r="U2083" t="n">
        <v>8</v>
      </c>
      <c r="V2083" t="n">
        <v>8</v>
      </c>
      <c r="W2083" t="inlineStr">
        <is>
          <t>1997-04-20</t>
        </is>
      </c>
      <c r="X2083" t="inlineStr">
        <is>
          <t>1997-04-20</t>
        </is>
      </c>
      <c r="Y2083" t="inlineStr">
        <is>
          <t>1991-08-30</t>
        </is>
      </c>
      <c r="Z2083" t="inlineStr">
        <is>
          <t>1991-08-30</t>
        </is>
      </c>
      <c r="AA2083" t="n">
        <v>237</v>
      </c>
      <c r="AB2083" t="n">
        <v>217</v>
      </c>
      <c r="AC2083" t="n">
        <v>293</v>
      </c>
      <c r="AD2083" t="n">
        <v>2</v>
      </c>
      <c r="AE2083" t="n">
        <v>3</v>
      </c>
      <c r="AF2083" t="n">
        <v>15</v>
      </c>
      <c r="AG2083" t="n">
        <v>17</v>
      </c>
      <c r="AH2083" t="n">
        <v>5</v>
      </c>
      <c r="AI2083" t="n">
        <v>5</v>
      </c>
      <c r="AJ2083" t="n">
        <v>5</v>
      </c>
      <c r="AK2083" t="n">
        <v>6</v>
      </c>
      <c r="AL2083" t="n">
        <v>7</v>
      </c>
      <c r="AM2083" t="n">
        <v>8</v>
      </c>
      <c r="AN2083" t="n">
        <v>1</v>
      </c>
      <c r="AO2083" t="n">
        <v>2</v>
      </c>
      <c r="AP2083" t="n">
        <v>0</v>
      </c>
      <c r="AQ2083" t="n">
        <v>0</v>
      </c>
      <c r="AR2083" t="inlineStr">
        <is>
          <t>No</t>
        </is>
      </c>
      <c r="AS2083" t="inlineStr">
        <is>
          <t>No</t>
        </is>
      </c>
      <c r="AU2083">
        <f>HYPERLINK("https://creighton-primo.hosted.exlibrisgroup.com/primo-explore/search?tab=default_tab&amp;search_scope=EVERYTHING&amp;vid=01CRU&amp;lang=en_US&amp;offset=0&amp;query=any,contains,991000292979702656","Catalog Record")</f>
        <v/>
      </c>
      <c r="AV2083">
        <f>HYPERLINK("http://www.worldcat.org/oclc/9970632","WorldCat Record")</f>
        <v/>
      </c>
      <c r="AW2083" t="inlineStr">
        <is>
          <t>193570028:eng</t>
        </is>
      </c>
      <c r="AX2083" t="inlineStr">
        <is>
          <t>9970632</t>
        </is>
      </c>
      <c r="AY2083" t="inlineStr">
        <is>
          <t>991000292979702656</t>
        </is>
      </c>
      <c r="AZ2083" t="inlineStr">
        <is>
          <t>991000292979702656</t>
        </is>
      </c>
      <c r="BA2083" t="inlineStr">
        <is>
          <t>2254766810002656</t>
        </is>
      </c>
      <c r="BB2083" t="inlineStr">
        <is>
          <t>BOOK</t>
        </is>
      </c>
      <c r="BD2083" t="inlineStr">
        <is>
          <t>9780312488024</t>
        </is>
      </c>
      <c r="BE2083" t="inlineStr">
        <is>
          <t>32285000733641</t>
        </is>
      </c>
      <c r="BF2083" t="inlineStr">
        <is>
          <t>893333362</t>
        </is>
      </c>
    </row>
    <row r="2084">
      <c r="A2084" t="inlineStr">
        <is>
          <t>No</t>
        </is>
      </c>
      <c r="B2084" t="inlineStr">
        <is>
          <t>CURAL</t>
        </is>
      </c>
      <c r="C2084" t="inlineStr">
        <is>
          <t>SHELVES</t>
        </is>
      </c>
      <c r="D2084" t="inlineStr">
        <is>
          <t>PR4785.H55 Z56</t>
        </is>
      </c>
      <c r="E2084" t="inlineStr">
        <is>
          <t>0                      PR 4785000H  55                 Z  56</t>
        </is>
      </c>
      <c r="F2084" t="inlineStr">
        <is>
          <t>Held fast for England : G. A. Henty, imperialist boys' writer / by Guy Arnold.</t>
        </is>
      </c>
      <c r="H2084" t="inlineStr">
        <is>
          <t>No</t>
        </is>
      </c>
      <c r="I2084" t="inlineStr">
        <is>
          <t>1</t>
        </is>
      </c>
      <c r="J2084" t="inlineStr">
        <is>
          <t>No</t>
        </is>
      </c>
      <c r="K2084" t="inlineStr">
        <is>
          <t>No</t>
        </is>
      </c>
      <c r="L2084" t="inlineStr">
        <is>
          <t>0</t>
        </is>
      </c>
      <c r="M2084" t="inlineStr">
        <is>
          <t>Arnold, Guy.</t>
        </is>
      </c>
      <c r="N2084" t="inlineStr">
        <is>
          <t>London : H. Hamilton, 1980.</t>
        </is>
      </c>
      <c r="O2084" t="inlineStr">
        <is>
          <t>1980</t>
        </is>
      </c>
      <c r="Q2084" t="inlineStr">
        <is>
          <t>eng</t>
        </is>
      </c>
      <c r="R2084" t="inlineStr">
        <is>
          <t>enk</t>
        </is>
      </c>
      <c r="T2084" t="inlineStr">
        <is>
          <t xml:space="preserve">PR </t>
        </is>
      </c>
      <c r="U2084" t="n">
        <v>1</v>
      </c>
      <c r="V2084" t="n">
        <v>1</v>
      </c>
      <c r="W2084" t="inlineStr">
        <is>
          <t>1993-04-06</t>
        </is>
      </c>
      <c r="X2084" t="inlineStr">
        <is>
          <t>1993-04-06</t>
        </is>
      </c>
      <c r="Y2084" t="inlineStr">
        <is>
          <t>1991-11-08</t>
        </is>
      </c>
      <c r="Z2084" t="inlineStr">
        <is>
          <t>1991-11-08</t>
        </is>
      </c>
      <c r="AA2084" t="n">
        <v>280</v>
      </c>
      <c r="AB2084" t="n">
        <v>142</v>
      </c>
      <c r="AC2084" t="n">
        <v>150</v>
      </c>
      <c r="AD2084" t="n">
        <v>2</v>
      </c>
      <c r="AE2084" t="n">
        <v>2</v>
      </c>
      <c r="AF2084" t="n">
        <v>5</v>
      </c>
      <c r="AG2084" t="n">
        <v>5</v>
      </c>
      <c r="AH2084" t="n">
        <v>1</v>
      </c>
      <c r="AI2084" t="n">
        <v>1</v>
      </c>
      <c r="AJ2084" t="n">
        <v>3</v>
      </c>
      <c r="AK2084" t="n">
        <v>3</v>
      </c>
      <c r="AL2084" t="n">
        <v>1</v>
      </c>
      <c r="AM2084" t="n">
        <v>1</v>
      </c>
      <c r="AN2084" t="n">
        <v>1</v>
      </c>
      <c r="AO2084" t="n">
        <v>1</v>
      </c>
      <c r="AP2084" t="n">
        <v>0</v>
      </c>
      <c r="AQ2084" t="n">
        <v>0</v>
      </c>
      <c r="AR2084" t="inlineStr">
        <is>
          <t>No</t>
        </is>
      </c>
      <c r="AS2084" t="inlineStr">
        <is>
          <t>Yes</t>
        </is>
      </c>
      <c r="AT2084">
        <f>HYPERLINK("http://catalog.hathitrust.org/Record/000097360","HathiTrust Record")</f>
        <v/>
      </c>
      <c r="AU2084">
        <f>HYPERLINK("https://creighton-primo.hosted.exlibrisgroup.com/primo-explore/search?tab=default_tab&amp;search_scope=EVERYTHING&amp;vid=01CRU&amp;lang=en_US&amp;offset=0&amp;query=any,contains,991004988769702656","Catalog Record")</f>
        <v/>
      </c>
      <c r="AV2084">
        <f>HYPERLINK("http://www.worldcat.org/oclc/6483687","WorldCat Record")</f>
        <v/>
      </c>
      <c r="AW2084" t="inlineStr">
        <is>
          <t>908876658:eng</t>
        </is>
      </c>
      <c r="AX2084" t="inlineStr">
        <is>
          <t>6483687</t>
        </is>
      </c>
      <c r="AY2084" t="inlineStr">
        <is>
          <t>991004988769702656</t>
        </is>
      </c>
      <c r="AZ2084" t="inlineStr">
        <is>
          <t>991004988769702656</t>
        </is>
      </c>
      <c r="BA2084" t="inlineStr">
        <is>
          <t>2271275740002656</t>
        </is>
      </c>
      <c r="BB2084" t="inlineStr">
        <is>
          <t>BOOK</t>
        </is>
      </c>
      <c r="BD2084" t="inlineStr">
        <is>
          <t>9780241103739</t>
        </is>
      </c>
      <c r="BE2084" t="inlineStr">
        <is>
          <t>32285000820547</t>
        </is>
      </c>
      <c r="BF2084" t="inlineStr">
        <is>
          <t>893536293</t>
        </is>
      </c>
    </row>
    <row r="2085">
      <c r="A2085" t="inlineStr">
        <is>
          <t>No</t>
        </is>
      </c>
      <c r="B2085" t="inlineStr">
        <is>
          <t>CURAL</t>
        </is>
      </c>
      <c r="C2085" t="inlineStr">
        <is>
          <t>SHELVES</t>
        </is>
      </c>
      <c r="D2085" t="inlineStr">
        <is>
          <t>PR479.P6 W3 1977</t>
        </is>
      </c>
      <c r="E2085" t="inlineStr">
        <is>
          <t>0                      PR 0479000P  6                  W  3           1977</t>
        </is>
      </c>
      <c r="F2085" t="inlineStr">
        <is>
          <t>Politics and literature in modern Britain / George Watson.</t>
        </is>
      </c>
      <c r="H2085" t="inlineStr">
        <is>
          <t>No</t>
        </is>
      </c>
      <c r="I2085" t="inlineStr">
        <is>
          <t>1</t>
        </is>
      </c>
      <c r="J2085" t="inlineStr">
        <is>
          <t>No</t>
        </is>
      </c>
      <c r="K2085" t="inlineStr">
        <is>
          <t>No</t>
        </is>
      </c>
      <c r="L2085" t="inlineStr">
        <is>
          <t>0</t>
        </is>
      </c>
      <c r="M2085" t="inlineStr">
        <is>
          <t>Watson, George, 1927-2013.</t>
        </is>
      </c>
      <c r="N2085" t="inlineStr">
        <is>
          <t>Totowa, N.J. : Rowman and Littlefield, 1977.</t>
        </is>
      </c>
      <c r="O2085" t="inlineStr">
        <is>
          <t>1977</t>
        </is>
      </c>
      <c r="Q2085" t="inlineStr">
        <is>
          <t>eng</t>
        </is>
      </c>
      <c r="R2085" t="inlineStr">
        <is>
          <t>nju</t>
        </is>
      </c>
      <c r="T2085" t="inlineStr">
        <is>
          <t xml:space="preserve">PR </t>
        </is>
      </c>
      <c r="U2085" t="n">
        <v>1</v>
      </c>
      <c r="V2085" t="n">
        <v>1</v>
      </c>
      <c r="W2085" t="inlineStr">
        <is>
          <t>2007-03-12</t>
        </is>
      </c>
      <c r="X2085" t="inlineStr">
        <is>
          <t>2007-03-12</t>
        </is>
      </c>
      <c r="Y2085" t="inlineStr">
        <is>
          <t>1991-09-03</t>
        </is>
      </c>
      <c r="Z2085" t="inlineStr">
        <is>
          <t>1991-09-03</t>
        </is>
      </c>
      <c r="AA2085" t="n">
        <v>487</v>
      </c>
      <c r="AB2085" t="n">
        <v>454</v>
      </c>
      <c r="AC2085" t="n">
        <v>521</v>
      </c>
      <c r="AD2085" t="n">
        <v>5</v>
      </c>
      <c r="AE2085" t="n">
        <v>7</v>
      </c>
      <c r="AF2085" t="n">
        <v>23</v>
      </c>
      <c r="AG2085" t="n">
        <v>27</v>
      </c>
      <c r="AH2085" t="n">
        <v>10</v>
      </c>
      <c r="AI2085" t="n">
        <v>10</v>
      </c>
      <c r="AJ2085" t="n">
        <v>7</v>
      </c>
      <c r="AK2085" t="n">
        <v>7</v>
      </c>
      <c r="AL2085" t="n">
        <v>9</v>
      </c>
      <c r="AM2085" t="n">
        <v>11</v>
      </c>
      <c r="AN2085" t="n">
        <v>4</v>
      </c>
      <c r="AO2085" t="n">
        <v>6</v>
      </c>
      <c r="AP2085" t="n">
        <v>0</v>
      </c>
      <c r="AQ2085" t="n">
        <v>0</v>
      </c>
      <c r="AR2085" t="inlineStr">
        <is>
          <t>No</t>
        </is>
      </c>
      <c r="AS2085" t="inlineStr">
        <is>
          <t>Yes</t>
        </is>
      </c>
      <c r="AT2085">
        <f>HYPERLINK("http://catalog.hathitrust.org/Record/000726054","HathiTrust Record")</f>
        <v/>
      </c>
      <c r="AU2085">
        <f>HYPERLINK("https://creighton-primo.hosted.exlibrisgroup.com/primo-explore/search?tab=default_tab&amp;search_scope=EVERYTHING&amp;vid=01CRU&amp;lang=en_US&amp;offset=0&amp;query=any,contains,991004269019702656","Catalog Record")</f>
        <v/>
      </c>
      <c r="AV2085">
        <f>HYPERLINK("http://www.worldcat.org/oclc/2874416","WorldCat Record")</f>
        <v/>
      </c>
      <c r="AW2085" t="inlineStr">
        <is>
          <t>6396751:eng</t>
        </is>
      </c>
      <c r="AX2085" t="inlineStr">
        <is>
          <t>2874416</t>
        </is>
      </c>
      <c r="AY2085" t="inlineStr">
        <is>
          <t>991004269019702656</t>
        </is>
      </c>
      <c r="AZ2085" t="inlineStr">
        <is>
          <t>991004269019702656</t>
        </is>
      </c>
      <c r="BA2085" t="inlineStr">
        <is>
          <t>2258926810002656</t>
        </is>
      </c>
      <c r="BB2085" t="inlineStr">
        <is>
          <t>BOOK</t>
        </is>
      </c>
      <c r="BD2085" t="inlineStr">
        <is>
          <t>9780874719871</t>
        </is>
      </c>
      <c r="BE2085" t="inlineStr">
        <is>
          <t>32285000733674</t>
        </is>
      </c>
      <c r="BF2085" t="inlineStr">
        <is>
          <t>893442414</t>
        </is>
      </c>
    </row>
    <row r="2086">
      <c r="A2086" t="inlineStr">
        <is>
          <t>No</t>
        </is>
      </c>
      <c r="B2086" t="inlineStr">
        <is>
          <t>CURAL</t>
        </is>
      </c>
      <c r="C2086" t="inlineStr">
        <is>
          <t>SHELVES</t>
        </is>
      </c>
      <c r="D2086" t="inlineStr">
        <is>
          <t>PR479.S6 W4</t>
        </is>
      </c>
      <c r="E2086" t="inlineStr">
        <is>
          <t>0                      PR 0479000S  6                  W  4</t>
        </is>
      </c>
      <c r="F2086" t="inlineStr">
        <is>
          <t>The Boer War in the novel in English, 1884-1966 ; a descriptive and critical bibliography / by Donald Jay Weinstock.</t>
        </is>
      </c>
      <c r="H2086" t="inlineStr">
        <is>
          <t>No</t>
        </is>
      </c>
      <c r="I2086" t="inlineStr">
        <is>
          <t>1</t>
        </is>
      </c>
      <c r="J2086" t="inlineStr">
        <is>
          <t>No</t>
        </is>
      </c>
      <c r="K2086" t="inlineStr">
        <is>
          <t>No</t>
        </is>
      </c>
      <c r="L2086" t="inlineStr">
        <is>
          <t>0</t>
        </is>
      </c>
      <c r="M2086" t="inlineStr">
        <is>
          <t>Weinstock, Donald Jay.</t>
        </is>
      </c>
      <c r="N2086" t="inlineStr">
        <is>
          <t>Los Angeles : University of California, 1968.</t>
        </is>
      </c>
      <c r="O2086" t="inlineStr">
        <is>
          <t>1968</t>
        </is>
      </c>
      <c r="Q2086" t="inlineStr">
        <is>
          <t>eng</t>
        </is>
      </c>
      <c r="R2086" t="inlineStr">
        <is>
          <t xml:space="preserve">xx </t>
        </is>
      </c>
      <c r="T2086" t="inlineStr">
        <is>
          <t xml:space="preserve">PR </t>
        </is>
      </c>
      <c r="U2086" t="n">
        <v>3</v>
      </c>
      <c r="V2086" t="n">
        <v>3</v>
      </c>
      <c r="W2086" t="inlineStr">
        <is>
          <t>2006-09-20</t>
        </is>
      </c>
      <c r="X2086" t="inlineStr">
        <is>
          <t>2006-09-20</t>
        </is>
      </c>
      <c r="Y2086" t="inlineStr">
        <is>
          <t>1997-08-26</t>
        </is>
      </c>
      <c r="Z2086" t="inlineStr">
        <is>
          <t>1997-08-26</t>
        </is>
      </c>
      <c r="AA2086" t="n">
        <v>6</v>
      </c>
      <c r="AB2086" t="n">
        <v>6</v>
      </c>
      <c r="AC2086" t="n">
        <v>10</v>
      </c>
      <c r="AD2086" t="n">
        <v>1</v>
      </c>
      <c r="AE2086" t="n">
        <v>1</v>
      </c>
      <c r="AF2086" t="n">
        <v>0</v>
      </c>
      <c r="AG2086" t="n">
        <v>0</v>
      </c>
      <c r="AH2086" t="n">
        <v>0</v>
      </c>
      <c r="AI2086" t="n">
        <v>0</v>
      </c>
      <c r="AJ2086" t="n">
        <v>0</v>
      </c>
      <c r="AK2086" t="n">
        <v>0</v>
      </c>
      <c r="AL2086" t="n">
        <v>0</v>
      </c>
      <c r="AM2086" t="n">
        <v>0</v>
      </c>
      <c r="AN2086" t="n">
        <v>0</v>
      </c>
      <c r="AO2086" t="n">
        <v>0</v>
      </c>
      <c r="AP2086" t="n">
        <v>0</v>
      </c>
      <c r="AQ2086" t="n">
        <v>0</v>
      </c>
      <c r="AR2086" t="inlineStr">
        <is>
          <t>No</t>
        </is>
      </c>
      <c r="AS2086" t="inlineStr">
        <is>
          <t>No</t>
        </is>
      </c>
      <c r="AU2086">
        <f>HYPERLINK("https://creighton-primo.hosted.exlibrisgroup.com/primo-explore/search?tab=default_tab&amp;search_scope=EVERYTHING&amp;vid=01CRU&amp;lang=en_US&amp;offset=0&amp;query=any,contains,991003886439702656","Catalog Record")</f>
        <v/>
      </c>
      <c r="AV2086">
        <f>HYPERLINK("http://www.worldcat.org/oclc/1738226","WorldCat Record")</f>
        <v/>
      </c>
      <c r="AW2086" t="inlineStr">
        <is>
          <t>2747022:eng</t>
        </is>
      </c>
      <c r="AX2086" t="inlineStr">
        <is>
          <t>1738226</t>
        </is>
      </c>
      <c r="AY2086" t="inlineStr">
        <is>
          <t>991003886439702656</t>
        </is>
      </c>
      <c r="AZ2086" t="inlineStr">
        <is>
          <t>991003886439702656</t>
        </is>
      </c>
      <c r="BA2086" t="inlineStr">
        <is>
          <t>2271286320002656</t>
        </is>
      </c>
      <c r="BB2086" t="inlineStr">
        <is>
          <t>BOOK</t>
        </is>
      </c>
      <c r="BE2086" t="inlineStr">
        <is>
          <t>32285003153201</t>
        </is>
      </c>
      <c r="BF2086" t="inlineStr">
        <is>
          <t>893722144</t>
        </is>
      </c>
    </row>
    <row r="2087">
      <c r="A2087" t="inlineStr">
        <is>
          <t>No</t>
        </is>
      </c>
      <c r="B2087" t="inlineStr">
        <is>
          <t>CURAL</t>
        </is>
      </c>
      <c r="C2087" t="inlineStr">
        <is>
          <t>SHELVES</t>
        </is>
      </c>
      <c r="D2087" t="inlineStr">
        <is>
          <t>PR479.S62 K46 1988</t>
        </is>
      </c>
      <c r="E2087" t="inlineStr">
        <is>
          <t>0                      PR 0479000S  62                 K  46          1988</t>
        </is>
      </c>
      <c r="F2087" t="inlineStr">
        <is>
          <t>History and value : the Clarendon lectures and the Northcliffe lectures, 1987 / Frank Kermode.</t>
        </is>
      </c>
      <c r="H2087" t="inlineStr">
        <is>
          <t>No</t>
        </is>
      </c>
      <c r="I2087" t="inlineStr">
        <is>
          <t>1</t>
        </is>
      </c>
      <c r="J2087" t="inlineStr">
        <is>
          <t>No</t>
        </is>
      </c>
      <c r="K2087" t="inlineStr">
        <is>
          <t>No</t>
        </is>
      </c>
      <c r="L2087" t="inlineStr">
        <is>
          <t>0</t>
        </is>
      </c>
      <c r="M2087" t="inlineStr">
        <is>
          <t>Kermode, Frank, 1919-2010.</t>
        </is>
      </c>
      <c r="N2087" t="inlineStr">
        <is>
          <t>Oxford [Oxfordshire] ; New York : Clarendon Press, 1988.</t>
        </is>
      </c>
      <c r="O2087" t="inlineStr">
        <is>
          <t>1988</t>
        </is>
      </c>
      <c r="Q2087" t="inlineStr">
        <is>
          <t>eng</t>
        </is>
      </c>
      <c r="R2087" t="inlineStr">
        <is>
          <t>enk</t>
        </is>
      </c>
      <c r="T2087" t="inlineStr">
        <is>
          <t xml:space="preserve">PR </t>
        </is>
      </c>
      <c r="U2087" t="n">
        <v>2</v>
      </c>
      <c r="V2087" t="n">
        <v>2</v>
      </c>
      <c r="W2087" t="inlineStr">
        <is>
          <t>1994-09-20</t>
        </is>
      </c>
      <c r="X2087" t="inlineStr">
        <is>
          <t>1994-09-20</t>
        </is>
      </c>
      <c r="Y2087" t="inlineStr">
        <is>
          <t>1991-08-30</t>
        </is>
      </c>
      <c r="Z2087" t="inlineStr">
        <is>
          <t>1991-08-30</t>
        </is>
      </c>
      <c r="AA2087" t="n">
        <v>662</v>
      </c>
      <c r="AB2087" t="n">
        <v>498</v>
      </c>
      <c r="AC2087" t="n">
        <v>536</v>
      </c>
      <c r="AD2087" t="n">
        <v>3</v>
      </c>
      <c r="AE2087" t="n">
        <v>3</v>
      </c>
      <c r="AF2087" t="n">
        <v>26</v>
      </c>
      <c r="AG2087" t="n">
        <v>28</v>
      </c>
      <c r="AH2087" t="n">
        <v>10</v>
      </c>
      <c r="AI2087" t="n">
        <v>11</v>
      </c>
      <c r="AJ2087" t="n">
        <v>7</v>
      </c>
      <c r="AK2087" t="n">
        <v>8</v>
      </c>
      <c r="AL2087" t="n">
        <v>15</v>
      </c>
      <c r="AM2087" t="n">
        <v>15</v>
      </c>
      <c r="AN2087" t="n">
        <v>2</v>
      </c>
      <c r="AO2087" t="n">
        <v>2</v>
      </c>
      <c r="AP2087" t="n">
        <v>0</v>
      </c>
      <c r="AQ2087" t="n">
        <v>0</v>
      </c>
      <c r="AR2087" t="inlineStr">
        <is>
          <t>No</t>
        </is>
      </c>
      <c r="AS2087" t="inlineStr">
        <is>
          <t>Yes</t>
        </is>
      </c>
      <c r="AT2087">
        <f>HYPERLINK("http://catalog.hathitrust.org/Record/009491529","HathiTrust Record")</f>
        <v/>
      </c>
      <c r="AU2087">
        <f>HYPERLINK("https://creighton-primo.hosted.exlibrisgroup.com/primo-explore/search?tab=default_tab&amp;search_scope=EVERYTHING&amp;vid=01CRU&amp;lang=en_US&amp;offset=0&amp;query=any,contains,991001142739702656","Catalog Record")</f>
        <v/>
      </c>
      <c r="AV2087">
        <f>HYPERLINK("http://www.worldcat.org/oclc/16754224","WorldCat Record")</f>
        <v/>
      </c>
      <c r="AW2087" t="inlineStr">
        <is>
          <t>13152867:eng</t>
        </is>
      </c>
      <c r="AX2087" t="inlineStr">
        <is>
          <t>16754224</t>
        </is>
      </c>
      <c r="AY2087" t="inlineStr">
        <is>
          <t>991001142739702656</t>
        </is>
      </c>
      <c r="AZ2087" t="inlineStr">
        <is>
          <t>991001142739702656</t>
        </is>
      </c>
      <c r="BA2087" t="inlineStr">
        <is>
          <t>2263653120002656</t>
        </is>
      </c>
      <c r="BB2087" t="inlineStr">
        <is>
          <t>BOOK</t>
        </is>
      </c>
      <c r="BD2087" t="inlineStr">
        <is>
          <t>9780198123811</t>
        </is>
      </c>
      <c r="BE2087" t="inlineStr">
        <is>
          <t>32285000733682</t>
        </is>
      </c>
      <c r="BF2087" t="inlineStr">
        <is>
          <t>893432627</t>
        </is>
      </c>
    </row>
    <row r="2088">
      <c r="A2088" t="inlineStr">
        <is>
          <t>No</t>
        </is>
      </c>
      <c r="B2088" t="inlineStr">
        <is>
          <t>CURAL</t>
        </is>
      </c>
      <c r="C2088" t="inlineStr">
        <is>
          <t>SHELVES</t>
        </is>
      </c>
      <c r="D2088" t="inlineStr">
        <is>
          <t>PR479.S62 S62 1983</t>
        </is>
      </c>
      <c r="E2088" t="inlineStr">
        <is>
          <t>0                      PR 0479000S  62                 S  62          1983</t>
        </is>
      </c>
      <c r="F2088" t="inlineStr">
        <is>
          <t>Society and literature, 1945-1970 / edited by Alan Sinfield.</t>
        </is>
      </c>
      <c r="H2088" t="inlineStr">
        <is>
          <t>No</t>
        </is>
      </c>
      <c r="I2088" t="inlineStr">
        <is>
          <t>1</t>
        </is>
      </c>
      <c r="J2088" t="inlineStr">
        <is>
          <t>No</t>
        </is>
      </c>
      <c r="K2088" t="inlineStr">
        <is>
          <t>No</t>
        </is>
      </c>
      <c r="L2088" t="inlineStr">
        <is>
          <t>0</t>
        </is>
      </c>
      <c r="N2088" t="inlineStr">
        <is>
          <t>New York : Holmes &amp; Meier Publishers, 1983.</t>
        </is>
      </c>
      <c r="O2088" t="inlineStr">
        <is>
          <t>1983</t>
        </is>
      </c>
      <c r="Q2088" t="inlineStr">
        <is>
          <t>eng</t>
        </is>
      </c>
      <c r="R2088" t="inlineStr">
        <is>
          <t>nyu</t>
        </is>
      </c>
      <c r="S2088" t="inlineStr">
        <is>
          <t>The Context of English literature</t>
        </is>
      </c>
      <c r="T2088" t="inlineStr">
        <is>
          <t xml:space="preserve">PR </t>
        </is>
      </c>
      <c r="U2088" t="n">
        <v>2</v>
      </c>
      <c r="V2088" t="n">
        <v>2</v>
      </c>
      <c r="W2088" t="inlineStr">
        <is>
          <t>1997-12-02</t>
        </is>
      </c>
      <c r="X2088" t="inlineStr">
        <is>
          <t>1997-12-02</t>
        </is>
      </c>
      <c r="Y2088" t="inlineStr">
        <is>
          <t>1991-08-30</t>
        </is>
      </c>
      <c r="Z2088" t="inlineStr">
        <is>
          <t>1991-08-30</t>
        </is>
      </c>
      <c r="AA2088" t="n">
        <v>400</v>
      </c>
      <c r="AB2088" t="n">
        <v>345</v>
      </c>
      <c r="AC2088" t="n">
        <v>420</v>
      </c>
      <c r="AD2088" t="n">
        <v>3</v>
      </c>
      <c r="AE2088" t="n">
        <v>4</v>
      </c>
      <c r="AF2088" t="n">
        <v>16</v>
      </c>
      <c r="AG2088" t="n">
        <v>19</v>
      </c>
      <c r="AH2088" t="n">
        <v>7</v>
      </c>
      <c r="AI2088" t="n">
        <v>8</v>
      </c>
      <c r="AJ2088" t="n">
        <v>3</v>
      </c>
      <c r="AK2088" t="n">
        <v>5</v>
      </c>
      <c r="AL2088" t="n">
        <v>8</v>
      </c>
      <c r="AM2088" t="n">
        <v>9</v>
      </c>
      <c r="AN2088" t="n">
        <v>2</v>
      </c>
      <c r="AO2088" t="n">
        <v>3</v>
      </c>
      <c r="AP2088" t="n">
        <v>0</v>
      </c>
      <c r="AQ2088" t="n">
        <v>0</v>
      </c>
      <c r="AR2088" t="inlineStr">
        <is>
          <t>No</t>
        </is>
      </c>
      <c r="AS2088" t="inlineStr">
        <is>
          <t>No</t>
        </is>
      </c>
      <c r="AU2088">
        <f>HYPERLINK("https://creighton-primo.hosted.exlibrisgroup.com/primo-explore/search?tab=default_tab&amp;search_scope=EVERYTHING&amp;vid=01CRU&amp;lang=en_US&amp;offset=0&amp;query=any,contains,991000264199702656","Catalog Record")</f>
        <v/>
      </c>
      <c r="AV2088">
        <f>HYPERLINK("http://www.worldcat.org/oclc/9828047","WorldCat Record")</f>
        <v/>
      </c>
      <c r="AW2088" t="inlineStr">
        <is>
          <t>54592602:eng</t>
        </is>
      </c>
      <c r="AX2088" t="inlineStr">
        <is>
          <t>9828047</t>
        </is>
      </c>
      <c r="AY2088" t="inlineStr">
        <is>
          <t>991000264199702656</t>
        </is>
      </c>
      <c r="AZ2088" t="inlineStr">
        <is>
          <t>991000264199702656</t>
        </is>
      </c>
      <c r="BA2088" t="inlineStr">
        <is>
          <t>2269688190002656</t>
        </is>
      </c>
      <c r="BB2088" t="inlineStr">
        <is>
          <t>BOOK</t>
        </is>
      </c>
      <c r="BD2088" t="inlineStr">
        <is>
          <t>9780841909038</t>
        </is>
      </c>
      <c r="BE2088" t="inlineStr">
        <is>
          <t>32285000733690</t>
        </is>
      </c>
      <c r="BF2088" t="inlineStr">
        <is>
          <t>893695717</t>
        </is>
      </c>
    </row>
    <row r="2089">
      <c r="A2089" t="inlineStr">
        <is>
          <t>No</t>
        </is>
      </c>
      <c r="B2089" t="inlineStr">
        <is>
          <t>CURAL</t>
        </is>
      </c>
      <c r="C2089" t="inlineStr">
        <is>
          <t>SHELVES</t>
        </is>
      </c>
      <c r="D2089" t="inlineStr">
        <is>
          <t>PR4790.H3 B2 1891</t>
        </is>
      </c>
      <c r="E2089" t="inlineStr">
        <is>
          <t>0                      PR 4790000H  3                  B  2           1891</t>
        </is>
      </c>
      <c r="F2089" t="inlineStr">
        <is>
          <t>Ballads and lyrics / by Katharine Tynan.</t>
        </is>
      </c>
      <c r="H2089" t="inlineStr">
        <is>
          <t>No</t>
        </is>
      </c>
      <c r="I2089" t="inlineStr">
        <is>
          <t>1</t>
        </is>
      </c>
      <c r="J2089" t="inlineStr">
        <is>
          <t>No</t>
        </is>
      </c>
      <c r="K2089" t="inlineStr">
        <is>
          <t>No</t>
        </is>
      </c>
      <c r="L2089" t="inlineStr">
        <is>
          <t>0</t>
        </is>
      </c>
      <c r="M2089" t="inlineStr">
        <is>
          <t>Tynan, Katharine, 1861-1931.</t>
        </is>
      </c>
      <c r="N2089" t="inlineStr">
        <is>
          <t>London, K. Paul, Trench, Trübner, 1891.</t>
        </is>
      </c>
      <c r="O2089" t="inlineStr">
        <is>
          <t>1891</t>
        </is>
      </c>
      <c r="Q2089" t="inlineStr">
        <is>
          <t>eng</t>
        </is>
      </c>
      <c r="R2089" t="inlineStr">
        <is>
          <t>enk</t>
        </is>
      </c>
      <c r="T2089" t="inlineStr">
        <is>
          <t xml:space="preserve">PR </t>
        </is>
      </c>
      <c r="U2089" t="n">
        <v>1</v>
      </c>
      <c r="V2089" t="n">
        <v>1</v>
      </c>
      <c r="W2089" t="inlineStr">
        <is>
          <t>2003-04-07</t>
        </is>
      </c>
      <c r="X2089" t="inlineStr">
        <is>
          <t>2003-04-07</t>
        </is>
      </c>
      <c r="Y2089" t="inlineStr">
        <is>
          <t>1998-08-04</t>
        </is>
      </c>
      <c r="Z2089" t="inlineStr">
        <is>
          <t>1998-08-04</t>
        </is>
      </c>
      <c r="AA2089" t="n">
        <v>134</v>
      </c>
      <c r="AB2089" t="n">
        <v>94</v>
      </c>
      <c r="AC2089" t="n">
        <v>185</v>
      </c>
      <c r="AD2089" t="n">
        <v>1</v>
      </c>
      <c r="AE2089" t="n">
        <v>2</v>
      </c>
      <c r="AF2089" t="n">
        <v>9</v>
      </c>
      <c r="AG2089" t="n">
        <v>13</v>
      </c>
      <c r="AH2089" t="n">
        <v>2</v>
      </c>
      <c r="AI2089" t="n">
        <v>3</v>
      </c>
      <c r="AJ2089" t="n">
        <v>3</v>
      </c>
      <c r="AK2089" t="n">
        <v>5</v>
      </c>
      <c r="AL2089" t="n">
        <v>6</v>
      </c>
      <c r="AM2089" t="n">
        <v>7</v>
      </c>
      <c r="AN2089" t="n">
        <v>0</v>
      </c>
      <c r="AO2089" t="n">
        <v>1</v>
      </c>
      <c r="AP2089" t="n">
        <v>0</v>
      </c>
      <c r="AQ2089" t="n">
        <v>0</v>
      </c>
      <c r="AR2089" t="inlineStr">
        <is>
          <t>Yes</t>
        </is>
      </c>
      <c r="AS2089" t="inlineStr">
        <is>
          <t>No</t>
        </is>
      </c>
      <c r="AT2089">
        <f>HYPERLINK("http://catalog.hathitrust.org/Record/000438548","HathiTrust Record")</f>
        <v/>
      </c>
      <c r="AU2089">
        <f>HYPERLINK("https://creighton-primo.hosted.exlibrisgroup.com/primo-explore/search?tab=default_tab&amp;search_scope=EVERYTHING&amp;vid=01CRU&amp;lang=en_US&amp;offset=0&amp;query=any,contains,991002957989702656","Catalog Record")</f>
        <v/>
      </c>
      <c r="AV2089">
        <f>HYPERLINK("http://www.worldcat.org/oclc/542784","WorldCat Record")</f>
        <v/>
      </c>
      <c r="AW2089" t="inlineStr">
        <is>
          <t>1572357:eng</t>
        </is>
      </c>
      <c r="AX2089" t="inlineStr">
        <is>
          <t>542784</t>
        </is>
      </c>
      <c r="AY2089" t="inlineStr">
        <is>
          <t>991002957989702656</t>
        </is>
      </c>
      <c r="AZ2089" t="inlineStr">
        <is>
          <t>991002957989702656</t>
        </is>
      </c>
      <c r="BA2089" t="inlineStr">
        <is>
          <t>2266727040002656</t>
        </is>
      </c>
      <c r="BB2089" t="inlineStr">
        <is>
          <t>BOOK</t>
        </is>
      </c>
      <c r="BE2089" t="inlineStr">
        <is>
          <t>32285003449070</t>
        </is>
      </c>
      <c r="BF2089" t="inlineStr">
        <is>
          <t>893524254</t>
        </is>
      </c>
    </row>
    <row r="2090">
      <c r="A2090" t="inlineStr">
        <is>
          <t>No</t>
        </is>
      </c>
      <c r="B2090" t="inlineStr">
        <is>
          <t>CURAL</t>
        </is>
      </c>
      <c r="C2090" t="inlineStr">
        <is>
          <t>SHELVES</t>
        </is>
      </c>
      <c r="D2090" t="inlineStr">
        <is>
          <t>PR4790.H3 Z5 1913</t>
        </is>
      </c>
      <c r="E2090" t="inlineStr">
        <is>
          <t>0                      PR 4790000H  3                  Z  5           1913</t>
        </is>
      </c>
      <c r="F2090" t="inlineStr">
        <is>
          <t>Twenty-five years : reminiscences / by Katharine Tynan.</t>
        </is>
      </c>
      <c r="H2090" t="inlineStr">
        <is>
          <t>No</t>
        </is>
      </c>
      <c r="I2090" t="inlineStr">
        <is>
          <t>1</t>
        </is>
      </c>
      <c r="J2090" t="inlineStr">
        <is>
          <t>No</t>
        </is>
      </c>
      <c r="K2090" t="inlineStr">
        <is>
          <t>No</t>
        </is>
      </c>
      <c r="L2090" t="inlineStr">
        <is>
          <t>0</t>
        </is>
      </c>
      <c r="M2090" t="inlineStr">
        <is>
          <t>Tynan, Katharine, 1861-1931.</t>
        </is>
      </c>
      <c r="N2090" t="inlineStr">
        <is>
          <t>New York, The Devin-Adair company [c1913]</t>
        </is>
      </c>
      <c r="O2090" t="inlineStr">
        <is>
          <t>1913</t>
        </is>
      </c>
      <c r="Q2090" t="inlineStr">
        <is>
          <t>eng</t>
        </is>
      </c>
      <c r="R2090" t="inlineStr">
        <is>
          <t>nyu</t>
        </is>
      </c>
      <c r="T2090" t="inlineStr">
        <is>
          <t xml:space="preserve">PR </t>
        </is>
      </c>
      <c r="U2090" t="n">
        <v>1</v>
      </c>
      <c r="V2090" t="n">
        <v>1</v>
      </c>
      <c r="W2090" t="inlineStr">
        <is>
          <t>2003-04-09</t>
        </is>
      </c>
      <c r="X2090" t="inlineStr">
        <is>
          <t>2003-04-09</t>
        </is>
      </c>
      <c r="Y2090" t="inlineStr">
        <is>
          <t>1998-08-04</t>
        </is>
      </c>
      <c r="Z2090" t="inlineStr">
        <is>
          <t>1998-08-04</t>
        </is>
      </c>
      <c r="AA2090" t="n">
        <v>153</v>
      </c>
      <c r="AB2090" t="n">
        <v>141</v>
      </c>
      <c r="AC2090" t="n">
        <v>202</v>
      </c>
      <c r="AD2090" t="n">
        <v>3</v>
      </c>
      <c r="AE2090" t="n">
        <v>3</v>
      </c>
      <c r="AF2090" t="n">
        <v>16</v>
      </c>
      <c r="AG2090" t="n">
        <v>17</v>
      </c>
      <c r="AH2090" t="n">
        <v>2</v>
      </c>
      <c r="AI2090" t="n">
        <v>2</v>
      </c>
      <c r="AJ2090" t="n">
        <v>5</v>
      </c>
      <c r="AK2090" t="n">
        <v>5</v>
      </c>
      <c r="AL2090" t="n">
        <v>9</v>
      </c>
      <c r="AM2090" t="n">
        <v>10</v>
      </c>
      <c r="AN2090" t="n">
        <v>2</v>
      </c>
      <c r="AO2090" t="n">
        <v>2</v>
      </c>
      <c r="AP2090" t="n">
        <v>0</v>
      </c>
      <c r="AQ2090" t="n">
        <v>0</v>
      </c>
      <c r="AR2090" t="inlineStr">
        <is>
          <t>Yes</t>
        </is>
      </c>
      <c r="AS2090" t="inlineStr">
        <is>
          <t>No</t>
        </is>
      </c>
      <c r="AT2090">
        <f>HYPERLINK("http://catalog.hathitrust.org/Record/008961950","HathiTrust Record")</f>
        <v/>
      </c>
      <c r="AU2090">
        <f>HYPERLINK("https://creighton-primo.hosted.exlibrisgroup.com/primo-explore/search?tab=default_tab&amp;search_scope=EVERYTHING&amp;vid=01CRU&amp;lang=en_US&amp;offset=0&amp;query=any,contains,991002415469702656","Catalog Record")</f>
        <v/>
      </c>
      <c r="AV2090">
        <f>HYPERLINK("http://www.worldcat.org/oclc/341609","WorldCat Record")</f>
        <v/>
      </c>
      <c r="AW2090" t="inlineStr">
        <is>
          <t>1479532:eng</t>
        </is>
      </c>
      <c r="AX2090" t="inlineStr">
        <is>
          <t>341609</t>
        </is>
      </c>
      <c r="AY2090" t="inlineStr">
        <is>
          <t>991002415469702656</t>
        </is>
      </c>
      <c r="AZ2090" t="inlineStr">
        <is>
          <t>991002415469702656</t>
        </is>
      </c>
      <c r="BA2090" t="inlineStr">
        <is>
          <t>2265677500002656</t>
        </is>
      </c>
      <c r="BB2090" t="inlineStr">
        <is>
          <t>BOOK</t>
        </is>
      </c>
      <c r="BE2090" t="inlineStr">
        <is>
          <t>32285003449062</t>
        </is>
      </c>
      <c r="BF2090" t="inlineStr">
        <is>
          <t>893341397</t>
        </is>
      </c>
    </row>
    <row r="2091">
      <c r="A2091" t="inlineStr">
        <is>
          <t>No</t>
        </is>
      </c>
      <c r="B2091" t="inlineStr">
        <is>
          <t>CURAL</t>
        </is>
      </c>
      <c r="C2091" t="inlineStr">
        <is>
          <t>SHELVES</t>
        </is>
      </c>
      <c r="D2091" t="inlineStr">
        <is>
          <t>PR4790.H3 Z67</t>
        </is>
      </c>
      <c r="E2091" t="inlineStr">
        <is>
          <t>0                      PR 4790000H  3                  Z  67</t>
        </is>
      </c>
      <c r="F2091" t="inlineStr">
        <is>
          <t>Katharine Tynan / by Ann Connerton Fallon.</t>
        </is>
      </c>
      <c r="H2091" t="inlineStr">
        <is>
          <t>No</t>
        </is>
      </c>
      <c r="I2091" t="inlineStr">
        <is>
          <t>1</t>
        </is>
      </c>
      <c r="J2091" t="inlineStr">
        <is>
          <t>No</t>
        </is>
      </c>
      <c r="K2091" t="inlineStr">
        <is>
          <t>No</t>
        </is>
      </c>
      <c r="L2091" t="inlineStr">
        <is>
          <t>0</t>
        </is>
      </c>
      <c r="M2091" t="inlineStr">
        <is>
          <t>Fallon, Ann Connerton.</t>
        </is>
      </c>
      <c r="N2091" t="inlineStr">
        <is>
          <t>Boston : Twayne Publishers, [1979]</t>
        </is>
      </c>
      <c r="O2091" t="inlineStr">
        <is>
          <t>1979</t>
        </is>
      </c>
      <c r="Q2091" t="inlineStr">
        <is>
          <t>eng</t>
        </is>
      </c>
      <c r="R2091" t="inlineStr">
        <is>
          <t>mau</t>
        </is>
      </c>
      <c r="S2091" t="inlineStr">
        <is>
          <t>Twayne's English authors series ; TEAS 272</t>
        </is>
      </c>
      <c r="T2091" t="inlineStr">
        <is>
          <t xml:space="preserve">PR </t>
        </is>
      </c>
      <c r="U2091" t="n">
        <v>1</v>
      </c>
      <c r="V2091" t="n">
        <v>1</v>
      </c>
      <c r="W2091" t="inlineStr">
        <is>
          <t>2003-03-28</t>
        </is>
      </c>
      <c r="X2091" t="inlineStr">
        <is>
          <t>2003-03-28</t>
        </is>
      </c>
      <c r="Y2091" t="inlineStr">
        <is>
          <t>1991-11-08</t>
        </is>
      </c>
      <c r="Z2091" t="inlineStr">
        <is>
          <t>1991-11-08</t>
        </is>
      </c>
      <c r="AA2091" t="n">
        <v>537</v>
      </c>
      <c r="AB2091" t="n">
        <v>482</v>
      </c>
      <c r="AC2091" t="n">
        <v>483</v>
      </c>
      <c r="AD2091" t="n">
        <v>6</v>
      </c>
      <c r="AE2091" t="n">
        <v>6</v>
      </c>
      <c r="AF2091" t="n">
        <v>25</v>
      </c>
      <c r="AG2091" t="n">
        <v>25</v>
      </c>
      <c r="AH2091" t="n">
        <v>9</v>
      </c>
      <c r="AI2091" t="n">
        <v>9</v>
      </c>
      <c r="AJ2091" t="n">
        <v>3</v>
      </c>
      <c r="AK2091" t="n">
        <v>3</v>
      </c>
      <c r="AL2091" t="n">
        <v>13</v>
      </c>
      <c r="AM2091" t="n">
        <v>13</v>
      </c>
      <c r="AN2091" t="n">
        <v>5</v>
      </c>
      <c r="AO2091" t="n">
        <v>5</v>
      </c>
      <c r="AP2091" t="n">
        <v>0</v>
      </c>
      <c r="AQ2091" t="n">
        <v>0</v>
      </c>
      <c r="AR2091" t="inlineStr">
        <is>
          <t>No</t>
        </is>
      </c>
      <c r="AS2091" t="inlineStr">
        <is>
          <t>Yes</t>
        </is>
      </c>
      <c r="AT2091">
        <f>HYPERLINK("http://catalog.hathitrust.org/Record/000300405","HathiTrust Record")</f>
        <v/>
      </c>
      <c r="AU2091">
        <f>HYPERLINK("https://creighton-primo.hosted.exlibrisgroup.com/primo-explore/search?tab=default_tab&amp;search_scope=EVERYTHING&amp;vid=01CRU&amp;lang=en_US&amp;offset=0&amp;query=any,contains,991004746069702656","Catalog Record")</f>
        <v/>
      </c>
      <c r="AV2091">
        <f>HYPERLINK("http://www.worldcat.org/oclc/4908110","WorldCat Record")</f>
        <v/>
      </c>
      <c r="AW2091" t="inlineStr">
        <is>
          <t>1909393558:eng</t>
        </is>
      </c>
      <c r="AX2091" t="inlineStr">
        <is>
          <t>4908110</t>
        </is>
      </c>
      <c r="AY2091" t="inlineStr">
        <is>
          <t>991004746069702656</t>
        </is>
      </c>
      <c r="AZ2091" t="inlineStr">
        <is>
          <t>991004746069702656</t>
        </is>
      </c>
      <c r="BA2091" t="inlineStr">
        <is>
          <t>2256357270002656</t>
        </is>
      </c>
      <c r="BB2091" t="inlineStr">
        <is>
          <t>BOOK</t>
        </is>
      </c>
      <c r="BD2091" t="inlineStr">
        <is>
          <t>9780805767544</t>
        </is>
      </c>
      <c r="BE2091" t="inlineStr">
        <is>
          <t>32285000820554</t>
        </is>
      </c>
      <c r="BF2091" t="inlineStr">
        <is>
          <t>893260118</t>
        </is>
      </c>
    </row>
    <row r="2092">
      <c r="A2092" t="inlineStr">
        <is>
          <t>No</t>
        </is>
      </c>
      <c r="B2092" t="inlineStr">
        <is>
          <t>CURAL</t>
        </is>
      </c>
      <c r="C2092" t="inlineStr">
        <is>
          <t>SHELVES</t>
        </is>
      </c>
      <c r="D2092" t="inlineStr">
        <is>
          <t>PR4790.H3 Z83 1974</t>
        </is>
      </c>
      <c r="E2092" t="inlineStr">
        <is>
          <t>0                      PR 4790000H  3                  Z  83          1974</t>
        </is>
      </c>
      <c r="F2092" t="inlineStr">
        <is>
          <t>Katharine Tynan / Marilyn Gaddis Rose.</t>
        </is>
      </c>
      <c r="H2092" t="inlineStr">
        <is>
          <t>No</t>
        </is>
      </c>
      <c r="I2092" t="inlineStr">
        <is>
          <t>1</t>
        </is>
      </c>
      <c r="J2092" t="inlineStr">
        <is>
          <t>No</t>
        </is>
      </c>
      <c r="K2092" t="inlineStr">
        <is>
          <t>No</t>
        </is>
      </c>
      <c r="L2092" t="inlineStr">
        <is>
          <t>0</t>
        </is>
      </c>
      <c r="M2092" t="inlineStr">
        <is>
          <t>Rose, Marilyn Gaddis.</t>
        </is>
      </c>
      <c r="N2092" t="inlineStr">
        <is>
          <t>Lewisburg, [Pa.] : Bucknell University Press, [1974]</t>
        </is>
      </c>
      <c r="O2092" t="inlineStr">
        <is>
          <t>1974</t>
        </is>
      </c>
      <c r="Q2092" t="inlineStr">
        <is>
          <t>eng</t>
        </is>
      </c>
      <c r="R2092" t="inlineStr">
        <is>
          <t>pau</t>
        </is>
      </c>
      <c r="S2092" t="inlineStr">
        <is>
          <t>The Irish writers series</t>
        </is>
      </c>
      <c r="T2092" t="inlineStr">
        <is>
          <t xml:space="preserve">PR </t>
        </is>
      </c>
      <c r="U2092" t="n">
        <v>1</v>
      </c>
      <c r="V2092" t="n">
        <v>1</v>
      </c>
      <c r="W2092" t="inlineStr">
        <is>
          <t>2003-03-28</t>
        </is>
      </c>
      <c r="X2092" t="inlineStr">
        <is>
          <t>2003-03-28</t>
        </is>
      </c>
      <c r="Y2092" t="inlineStr">
        <is>
          <t>1991-11-08</t>
        </is>
      </c>
      <c r="Z2092" t="inlineStr">
        <is>
          <t>1991-11-08</t>
        </is>
      </c>
      <c r="AA2092" t="n">
        <v>437</v>
      </c>
      <c r="AB2092" t="n">
        <v>350</v>
      </c>
      <c r="AC2092" t="n">
        <v>356</v>
      </c>
      <c r="AD2092" t="n">
        <v>2</v>
      </c>
      <c r="AE2092" t="n">
        <v>2</v>
      </c>
      <c r="AF2092" t="n">
        <v>23</v>
      </c>
      <c r="AG2092" t="n">
        <v>23</v>
      </c>
      <c r="AH2092" t="n">
        <v>9</v>
      </c>
      <c r="AI2092" t="n">
        <v>9</v>
      </c>
      <c r="AJ2092" t="n">
        <v>8</v>
      </c>
      <c r="AK2092" t="n">
        <v>8</v>
      </c>
      <c r="AL2092" t="n">
        <v>12</v>
      </c>
      <c r="AM2092" t="n">
        <v>12</v>
      </c>
      <c r="AN2092" t="n">
        <v>1</v>
      </c>
      <c r="AO2092" t="n">
        <v>1</v>
      </c>
      <c r="AP2092" t="n">
        <v>0</v>
      </c>
      <c r="AQ2092" t="n">
        <v>0</v>
      </c>
      <c r="AR2092" t="inlineStr">
        <is>
          <t>No</t>
        </is>
      </c>
      <c r="AS2092" t="inlineStr">
        <is>
          <t>Yes</t>
        </is>
      </c>
      <c r="AT2092">
        <f>HYPERLINK("http://catalog.hathitrust.org/Record/000477924","HathiTrust Record")</f>
        <v/>
      </c>
      <c r="AU2092">
        <f>HYPERLINK("https://creighton-primo.hosted.exlibrisgroup.com/primo-explore/search?tab=default_tab&amp;search_scope=EVERYTHING&amp;vid=01CRU&amp;lang=en_US&amp;offset=0&amp;query=any,contains,991003282369702656","Catalog Record")</f>
        <v/>
      </c>
      <c r="AV2092">
        <f>HYPERLINK("http://www.worldcat.org/oclc/804808","WorldCat Record")</f>
        <v/>
      </c>
      <c r="AW2092" t="inlineStr">
        <is>
          <t>503738:eng</t>
        </is>
      </c>
      <c r="AX2092" t="inlineStr">
        <is>
          <t>804808</t>
        </is>
      </c>
      <c r="AY2092" t="inlineStr">
        <is>
          <t>991003282369702656</t>
        </is>
      </c>
      <c r="AZ2092" t="inlineStr">
        <is>
          <t>991003282369702656</t>
        </is>
      </c>
      <c r="BA2092" t="inlineStr">
        <is>
          <t>2269402010002656</t>
        </is>
      </c>
      <c r="BB2092" t="inlineStr">
        <is>
          <t>BOOK</t>
        </is>
      </c>
      <c r="BD2092" t="inlineStr">
        <is>
          <t>9780838777701</t>
        </is>
      </c>
      <c r="BE2092" t="inlineStr">
        <is>
          <t>32285000820562</t>
        </is>
      </c>
      <c r="BF2092" t="inlineStr">
        <is>
          <t>893342418</t>
        </is>
      </c>
    </row>
    <row r="2093">
      <c r="A2093" t="inlineStr">
        <is>
          <t>No</t>
        </is>
      </c>
      <c r="B2093" t="inlineStr">
        <is>
          <t>CURAL</t>
        </is>
      </c>
      <c r="C2093" t="inlineStr">
        <is>
          <t>SHELVES</t>
        </is>
      </c>
      <c r="D2093" t="inlineStr">
        <is>
          <t>PR4803.H44 W76</t>
        </is>
      </c>
      <c r="E2093" t="inlineStr">
        <is>
          <t>0                      PR 4803000H  44                 W  76</t>
        </is>
      </c>
      <c r="F2093" t="inlineStr">
        <is>
          <t>A commentary on G. M. Hopkins' The wreck of the Deutschland.</t>
        </is>
      </c>
      <c r="H2093" t="inlineStr">
        <is>
          <t>No</t>
        </is>
      </c>
      <c r="I2093" t="inlineStr">
        <is>
          <t>1</t>
        </is>
      </c>
      <c r="J2093" t="inlineStr">
        <is>
          <t>No</t>
        </is>
      </c>
      <c r="K2093" t="inlineStr">
        <is>
          <t>No</t>
        </is>
      </c>
      <c r="L2093" t="inlineStr">
        <is>
          <t>0</t>
        </is>
      </c>
      <c r="M2093" t="inlineStr">
        <is>
          <t>Milward, Peter.</t>
        </is>
      </c>
      <c r="N2093" t="inlineStr">
        <is>
          <t>Tokyo : Hokuseido Press, 1968.</t>
        </is>
      </c>
      <c r="O2093" t="inlineStr">
        <is>
          <t>1968</t>
        </is>
      </c>
      <c r="Q2093" t="inlineStr">
        <is>
          <t>eng</t>
        </is>
      </c>
      <c r="R2093" t="inlineStr">
        <is>
          <t xml:space="preserve">ja </t>
        </is>
      </c>
      <c r="T2093" t="inlineStr">
        <is>
          <t xml:space="preserve">PR </t>
        </is>
      </c>
      <c r="U2093" t="n">
        <v>6</v>
      </c>
      <c r="V2093" t="n">
        <v>6</v>
      </c>
      <c r="W2093" t="inlineStr">
        <is>
          <t>2008-06-23</t>
        </is>
      </c>
      <c r="X2093" t="inlineStr">
        <is>
          <t>2008-06-23</t>
        </is>
      </c>
      <c r="Y2093" t="inlineStr">
        <is>
          <t>1993-10-21</t>
        </is>
      </c>
      <c r="Z2093" t="inlineStr">
        <is>
          <t>1993-10-21</t>
        </is>
      </c>
      <c r="AA2093" t="n">
        <v>239</v>
      </c>
      <c r="AB2093" t="n">
        <v>153</v>
      </c>
      <c r="AC2093" t="n">
        <v>198</v>
      </c>
      <c r="AD2093" t="n">
        <v>2</v>
      </c>
      <c r="AE2093" t="n">
        <v>2</v>
      </c>
      <c r="AF2093" t="n">
        <v>15</v>
      </c>
      <c r="AG2093" t="n">
        <v>18</v>
      </c>
      <c r="AH2093" t="n">
        <v>2</v>
      </c>
      <c r="AI2093" t="n">
        <v>4</v>
      </c>
      <c r="AJ2093" t="n">
        <v>4</v>
      </c>
      <c r="AK2093" t="n">
        <v>4</v>
      </c>
      <c r="AL2093" t="n">
        <v>13</v>
      </c>
      <c r="AM2093" t="n">
        <v>15</v>
      </c>
      <c r="AN2093" t="n">
        <v>1</v>
      </c>
      <c r="AO2093" t="n">
        <v>1</v>
      </c>
      <c r="AP2093" t="n">
        <v>0</v>
      </c>
      <c r="AQ2093" t="n">
        <v>0</v>
      </c>
      <c r="AR2093" t="inlineStr">
        <is>
          <t>No</t>
        </is>
      </c>
      <c r="AS2093" t="inlineStr">
        <is>
          <t>Yes</t>
        </is>
      </c>
      <c r="AT2093">
        <f>HYPERLINK("http://catalog.hathitrust.org/Record/000478721","HathiTrust Record")</f>
        <v/>
      </c>
      <c r="AU2093">
        <f>HYPERLINK("https://creighton-primo.hosted.exlibrisgroup.com/primo-explore/search?tab=default_tab&amp;search_scope=EVERYTHING&amp;vid=01CRU&amp;lang=en_US&amp;offset=0&amp;query=any,contains,991000094369702656","Catalog Record")</f>
        <v/>
      </c>
      <c r="AV2093">
        <f>HYPERLINK("http://www.worldcat.org/oclc/40491","WorldCat Record")</f>
        <v/>
      </c>
      <c r="AW2093" t="inlineStr">
        <is>
          <t>1209712:eng</t>
        </is>
      </c>
      <c r="AX2093" t="inlineStr">
        <is>
          <t>40491</t>
        </is>
      </c>
      <c r="AY2093" t="inlineStr">
        <is>
          <t>991000094369702656</t>
        </is>
      </c>
      <c r="AZ2093" t="inlineStr">
        <is>
          <t>991000094369702656</t>
        </is>
      </c>
      <c r="BA2093" t="inlineStr">
        <is>
          <t>2259472500002656</t>
        </is>
      </c>
      <c r="BB2093" t="inlineStr">
        <is>
          <t>BOOK</t>
        </is>
      </c>
      <c r="BE2093" t="inlineStr">
        <is>
          <t>32285001794162</t>
        </is>
      </c>
      <c r="BF2093" t="inlineStr">
        <is>
          <t>893242979</t>
        </is>
      </c>
    </row>
    <row r="2094">
      <c r="A2094" t="inlineStr">
        <is>
          <t>No</t>
        </is>
      </c>
      <c r="B2094" t="inlineStr">
        <is>
          <t>CURAL</t>
        </is>
      </c>
      <c r="C2094" t="inlineStr">
        <is>
          <t>SHELVES</t>
        </is>
      </c>
      <c r="D2094" t="inlineStr">
        <is>
          <t>PR4803.H44 W78 1976</t>
        </is>
      </c>
      <c r="E2094" t="inlineStr">
        <is>
          <t>0                      PR 4803000H  44                 W  78          1976</t>
        </is>
      </c>
      <c r="F2094" t="inlineStr">
        <is>
          <t>Readings of The wreck : essays in commemoration of the centenary of G. M. Hopkins' The wreck of the Deutschland / edited by Peter Milward, assisted by Raymond Schoder.</t>
        </is>
      </c>
      <c r="H2094" t="inlineStr">
        <is>
          <t>No</t>
        </is>
      </c>
      <c r="I2094" t="inlineStr">
        <is>
          <t>1</t>
        </is>
      </c>
      <c r="J2094" t="inlineStr">
        <is>
          <t>No</t>
        </is>
      </c>
      <c r="K2094" t="inlineStr">
        <is>
          <t>No</t>
        </is>
      </c>
      <c r="L2094" t="inlineStr">
        <is>
          <t>0</t>
        </is>
      </c>
      <c r="N2094" t="inlineStr">
        <is>
          <t>Chicago : Loyola University Press, 1976.</t>
        </is>
      </c>
      <c r="O2094" t="inlineStr">
        <is>
          <t>1976</t>
        </is>
      </c>
      <c r="Q2094" t="inlineStr">
        <is>
          <t>eng</t>
        </is>
      </c>
      <c r="R2094" t="inlineStr">
        <is>
          <t>ilu</t>
        </is>
      </c>
      <c r="T2094" t="inlineStr">
        <is>
          <t xml:space="preserve">PR </t>
        </is>
      </c>
      <c r="U2094" t="n">
        <v>7</v>
      </c>
      <c r="V2094" t="n">
        <v>7</v>
      </c>
      <c r="W2094" t="inlineStr">
        <is>
          <t>2008-06-23</t>
        </is>
      </c>
      <c r="X2094" t="inlineStr">
        <is>
          <t>2008-06-23</t>
        </is>
      </c>
      <c r="Y2094" t="inlineStr">
        <is>
          <t>1991-11-12</t>
        </is>
      </c>
      <c r="Z2094" t="inlineStr">
        <is>
          <t>1991-11-12</t>
        </is>
      </c>
      <c r="AA2094" t="n">
        <v>354</v>
      </c>
      <c r="AB2094" t="n">
        <v>317</v>
      </c>
      <c r="AC2094" t="n">
        <v>324</v>
      </c>
      <c r="AD2094" t="n">
        <v>3</v>
      </c>
      <c r="AE2094" t="n">
        <v>3</v>
      </c>
      <c r="AF2094" t="n">
        <v>34</v>
      </c>
      <c r="AG2094" t="n">
        <v>34</v>
      </c>
      <c r="AH2094" t="n">
        <v>10</v>
      </c>
      <c r="AI2094" t="n">
        <v>10</v>
      </c>
      <c r="AJ2094" t="n">
        <v>8</v>
      </c>
      <c r="AK2094" t="n">
        <v>8</v>
      </c>
      <c r="AL2094" t="n">
        <v>25</v>
      </c>
      <c r="AM2094" t="n">
        <v>25</v>
      </c>
      <c r="AN2094" t="n">
        <v>2</v>
      </c>
      <c r="AO2094" t="n">
        <v>2</v>
      </c>
      <c r="AP2094" t="n">
        <v>0</v>
      </c>
      <c r="AQ2094" t="n">
        <v>0</v>
      </c>
      <c r="AR2094" t="inlineStr">
        <is>
          <t>No</t>
        </is>
      </c>
      <c r="AS2094" t="inlineStr">
        <is>
          <t>Yes</t>
        </is>
      </c>
      <c r="AT2094">
        <f>HYPERLINK("http://catalog.hathitrust.org/Record/009493244","HathiTrust Record")</f>
        <v/>
      </c>
      <c r="AU2094">
        <f>HYPERLINK("https://creighton-primo.hosted.exlibrisgroup.com/primo-explore/search?tab=default_tab&amp;search_scope=EVERYTHING&amp;vid=01CRU&amp;lang=en_US&amp;offset=0&amp;query=any,contains,991004112919702656","Catalog Record")</f>
        <v/>
      </c>
      <c r="AV2094">
        <f>HYPERLINK("http://www.worldcat.org/oclc/2401777","WorldCat Record")</f>
        <v/>
      </c>
      <c r="AW2094" t="inlineStr">
        <is>
          <t>494750:eng</t>
        </is>
      </c>
      <c r="AX2094" t="inlineStr">
        <is>
          <t>2401777</t>
        </is>
      </c>
      <c r="AY2094" t="inlineStr">
        <is>
          <t>991004112919702656</t>
        </is>
      </c>
      <c r="AZ2094" t="inlineStr">
        <is>
          <t>991004112919702656</t>
        </is>
      </c>
      <c r="BA2094" t="inlineStr">
        <is>
          <t>2266202870002656</t>
        </is>
      </c>
      <c r="BB2094" t="inlineStr">
        <is>
          <t>BOOK</t>
        </is>
      </c>
      <c r="BD2094" t="inlineStr">
        <is>
          <t>9780829402490</t>
        </is>
      </c>
      <c r="BE2094" t="inlineStr">
        <is>
          <t>32285000821636</t>
        </is>
      </c>
      <c r="BF2094" t="inlineStr">
        <is>
          <t>893241026</t>
        </is>
      </c>
    </row>
    <row r="2095">
      <c r="A2095" t="inlineStr">
        <is>
          <t>No</t>
        </is>
      </c>
      <c r="B2095" t="inlineStr">
        <is>
          <t>CURAL</t>
        </is>
      </c>
      <c r="C2095" t="inlineStr">
        <is>
          <t>SHELVES</t>
        </is>
      </c>
      <c r="D2095" t="inlineStr">
        <is>
          <t>PR4803.H44 Z494 1983</t>
        </is>
      </c>
      <c r="E2095" t="inlineStr">
        <is>
          <t>0                      PR 4803000H  44                 Z  494         1983</t>
        </is>
      </c>
      <c r="F2095" t="inlineStr">
        <is>
          <t>The great sacrifice : studies in Hopkins / David Anthony Downes.</t>
        </is>
      </c>
      <c r="H2095" t="inlineStr">
        <is>
          <t>No</t>
        </is>
      </c>
      <c r="I2095" t="inlineStr">
        <is>
          <t>1</t>
        </is>
      </c>
      <c r="J2095" t="inlineStr">
        <is>
          <t>No</t>
        </is>
      </c>
      <c r="K2095" t="inlineStr">
        <is>
          <t>No</t>
        </is>
      </c>
      <c r="L2095" t="inlineStr">
        <is>
          <t>0</t>
        </is>
      </c>
      <c r="M2095" t="inlineStr">
        <is>
          <t>Downes, David Anthony, 1927-</t>
        </is>
      </c>
      <c r="N2095" t="inlineStr">
        <is>
          <t>Lanham, MD : University Press of America, c1983.</t>
        </is>
      </c>
      <c r="O2095" t="inlineStr">
        <is>
          <t>1983</t>
        </is>
      </c>
      <c r="Q2095" t="inlineStr">
        <is>
          <t>eng</t>
        </is>
      </c>
      <c r="R2095" t="inlineStr">
        <is>
          <t>mdu</t>
        </is>
      </c>
      <c r="T2095" t="inlineStr">
        <is>
          <t xml:space="preserve">PR </t>
        </is>
      </c>
      <c r="U2095" t="n">
        <v>7</v>
      </c>
      <c r="V2095" t="n">
        <v>7</v>
      </c>
      <c r="W2095" t="inlineStr">
        <is>
          <t>2008-02-10</t>
        </is>
      </c>
      <c r="X2095" t="inlineStr">
        <is>
          <t>2008-02-10</t>
        </is>
      </c>
      <c r="Y2095" t="inlineStr">
        <is>
          <t>1991-11-12</t>
        </is>
      </c>
      <c r="Z2095" t="inlineStr">
        <is>
          <t>1991-11-12</t>
        </is>
      </c>
      <c r="AA2095" t="n">
        <v>304</v>
      </c>
      <c r="AB2095" t="n">
        <v>251</v>
      </c>
      <c r="AC2095" t="n">
        <v>252</v>
      </c>
      <c r="AD2095" t="n">
        <v>3</v>
      </c>
      <c r="AE2095" t="n">
        <v>3</v>
      </c>
      <c r="AF2095" t="n">
        <v>15</v>
      </c>
      <c r="AG2095" t="n">
        <v>15</v>
      </c>
      <c r="AH2095" t="n">
        <v>4</v>
      </c>
      <c r="AI2095" t="n">
        <v>4</v>
      </c>
      <c r="AJ2095" t="n">
        <v>3</v>
      </c>
      <c r="AK2095" t="n">
        <v>3</v>
      </c>
      <c r="AL2095" t="n">
        <v>12</v>
      </c>
      <c r="AM2095" t="n">
        <v>12</v>
      </c>
      <c r="AN2095" t="n">
        <v>2</v>
      </c>
      <c r="AO2095" t="n">
        <v>2</v>
      </c>
      <c r="AP2095" t="n">
        <v>0</v>
      </c>
      <c r="AQ2095" t="n">
        <v>0</v>
      </c>
      <c r="AR2095" t="inlineStr">
        <is>
          <t>No</t>
        </is>
      </c>
      <c r="AS2095" t="inlineStr">
        <is>
          <t>Yes</t>
        </is>
      </c>
      <c r="AT2095">
        <f>HYPERLINK("http://catalog.hathitrust.org/Record/004456635","HathiTrust Record")</f>
        <v/>
      </c>
      <c r="AU2095">
        <f>HYPERLINK("https://creighton-primo.hosted.exlibrisgroup.com/primo-explore/search?tab=default_tab&amp;search_scope=EVERYTHING&amp;vid=01CRU&amp;lang=en_US&amp;offset=0&amp;query=any,contains,991000171329702656","Catalog Record")</f>
        <v/>
      </c>
      <c r="AV2095">
        <f>HYPERLINK("http://www.worldcat.org/oclc/9324461","WorldCat Record")</f>
        <v/>
      </c>
      <c r="AW2095" t="inlineStr">
        <is>
          <t>823428862:eng</t>
        </is>
      </c>
      <c r="AX2095" t="inlineStr">
        <is>
          <t>9324461</t>
        </is>
      </c>
      <c r="AY2095" t="inlineStr">
        <is>
          <t>991000171329702656</t>
        </is>
      </c>
      <c r="AZ2095" t="inlineStr">
        <is>
          <t>991000171329702656</t>
        </is>
      </c>
      <c r="BA2095" t="inlineStr">
        <is>
          <t>2257357160002656</t>
        </is>
      </c>
      <c r="BB2095" t="inlineStr">
        <is>
          <t>BOOK</t>
        </is>
      </c>
      <c r="BD2095" t="inlineStr">
        <is>
          <t>9780819131430</t>
        </is>
      </c>
      <c r="BE2095" t="inlineStr">
        <is>
          <t>32285000821644</t>
        </is>
      </c>
      <c r="BF2095" t="inlineStr">
        <is>
          <t>893614001</t>
        </is>
      </c>
    </row>
    <row r="2096">
      <c r="A2096" t="inlineStr">
        <is>
          <t>No</t>
        </is>
      </c>
      <c r="B2096" t="inlineStr">
        <is>
          <t>CURAL</t>
        </is>
      </c>
      <c r="C2096" t="inlineStr">
        <is>
          <t>SHELVES</t>
        </is>
      </c>
      <c r="D2096" t="inlineStr">
        <is>
          <t>PR4803.H44 Z584 1977b</t>
        </is>
      </c>
      <c r="E2096" t="inlineStr">
        <is>
          <t>0                      PR 4803000H  44                 Z  584         1977b</t>
        </is>
      </c>
      <c r="F2096" t="inlineStr">
        <is>
          <t>Gerard Manley Hopkins / Bernard Bergonzi.</t>
        </is>
      </c>
      <c r="H2096" t="inlineStr">
        <is>
          <t>No</t>
        </is>
      </c>
      <c r="I2096" t="inlineStr">
        <is>
          <t>1</t>
        </is>
      </c>
      <c r="J2096" t="inlineStr">
        <is>
          <t>No</t>
        </is>
      </c>
      <c r="K2096" t="inlineStr">
        <is>
          <t>No</t>
        </is>
      </c>
      <c r="L2096" t="inlineStr">
        <is>
          <t>0</t>
        </is>
      </c>
      <c r="M2096" t="inlineStr">
        <is>
          <t>Bergonzi, Bernard.</t>
        </is>
      </c>
      <c r="N2096" t="inlineStr">
        <is>
          <t>New York : Collier Books, 1977.</t>
        </is>
      </c>
      <c r="O2096" t="inlineStr">
        <is>
          <t>1977</t>
        </is>
      </c>
      <c r="P2096" t="inlineStr">
        <is>
          <t>1st Collier Books ed.</t>
        </is>
      </c>
      <c r="Q2096" t="inlineStr">
        <is>
          <t>eng</t>
        </is>
      </c>
      <c r="R2096" t="inlineStr">
        <is>
          <t>nyu</t>
        </is>
      </c>
      <c r="S2096" t="inlineStr">
        <is>
          <t>Masters of world literature series</t>
        </is>
      </c>
      <c r="T2096" t="inlineStr">
        <is>
          <t xml:space="preserve">PR </t>
        </is>
      </c>
      <c r="U2096" t="n">
        <v>5</v>
      </c>
      <c r="V2096" t="n">
        <v>5</v>
      </c>
      <c r="W2096" t="inlineStr">
        <is>
          <t>1992-06-16</t>
        </is>
      </c>
      <c r="X2096" t="inlineStr">
        <is>
          <t>1992-06-16</t>
        </is>
      </c>
      <c r="Y2096" t="inlineStr">
        <is>
          <t>1991-11-12</t>
        </is>
      </c>
      <c r="Z2096" t="inlineStr">
        <is>
          <t>1991-11-12</t>
        </is>
      </c>
      <c r="AA2096" t="n">
        <v>223</v>
      </c>
      <c r="AB2096" t="n">
        <v>193</v>
      </c>
      <c r="AC2096" t="n">
        <v>921</v>
      </c>
      <c r="AD2096" t="n">
        <v>4</v>
      </c>
      <c r="AE2096" t="n">
        <v>8</v>
      </c>
      <c r="AF2096" t="n">
        <v>12</v>
      </c>
      <c r="AG2096" t="n">
        <v>37</v>
      </c>
      <c r="AH2096" t="n">
        <v>4</v>
      </c>
      <c r="AI2096" t="n">
        <v>15</v>
      </c>
      <c r="AJ2096" t="n">
        <v>2</v>
      </c>
      <c r="AK2096" t="n">
        <v>10</v>
      </c>
      <c r="AL2096" t="n">
        <v>8</v>
      </c>
      <c r="AM2096" t="n">
        <v>19</v>
      </c>
      <c r="AN2096" t="n">
        <v>3</v>
      </c>
      <c r="AO2096" t="n">
        <v>6</v>
      </c>
      <c r="AP2096" t="n">
        <v>0</v>
      </c>
      <c r="AQ2096" t="n">
        <v>0</v>
      </c>
      <c r="AR2096" t="inlineStr">
        <is>
          <t>No</t>
        </is>
      </c>
      <c r="AS2096" t="inlineStr">
        <is>
          <t>Yes</t>
        </is>
      </c>
      <c r="AT2096">
        <f>HYPERLINK("http://catalog.hathitrust.org/Record/000084598","HathiTrust Record")</f>
        <v/>
      </c>
      <c r="AU2096">
        <f>HYPERLINK("https://creighton-primo.hosted.exlibrisgroup.com/primo-explore/search?tab=default_tab&amp;search_scope=EVERYTHING&amp;vid=01CRU&amp;lang=en_US&amp;offset=0&amp;query=any,contains,991004151309702656","Catalog Record")</f>
        <v/>
      </c>
      <c r="AV2096">
        <f>HYPERLINK("http://www.worldcat.org/oclc/2524831","WorldCat Record")</f>
        <v/>
      </c>
      <c r="AW2096" t="inlineStr">
        <is>
          <t>3943659837:eng</t>
        </is>
      </c>
      <c r="AX2096" t="inlineStr">
        <is>
          <t>2524831</t>
        </is>
      </c>
      <c r="AY2096" t="inlineStr">
        <is>
          <t>991004151309702656</t>
        </is>
      </c>
      <c r="AZ2096" t="inlineStr">
        <is>
          <t>991004151309702656</t>
        </is>
      </c>
      <c r="BA2096" t="inlineStr">
        <is>
          <t>2272554120002656</t>
        </is>
      </c>
      <c r="BB2096" t="inlineStr">
        <is>
          <t>BOOK</t>
        </is>
      </c>
      <c r="BD2096" t="inlineStr">
        <is>
          <t>9780020495901</t>
        </is>
      </c>
      <c r="BE2096" t="inlineStr">
        <is>
          <t>32285000821651</t>
        </is>
      </c>
      <c r="BF2096" t="inlineStr">
        <is>
          <t>893718549</t>
        </is>
      </c>
    </row>
    <row r="2097">
      <c r="A2097" t="inlineStr">
        <is>
          <t>No</t>
        </is>
      </c>
      <c r="B2097" t="inlineStr">
        <is>
          <t>CURAL</t>
        </is>
      </c>
      <c r="C2097" t="inlineStr">
        <is>
          <t>SHELVES</t>
        </is>
      </c>
      <c r="D2097" t="inlineStr">
        <is>
          <t>PR4803.H44 Z59 1961</t>
        </is>
      </c>
      <c r="E2097" t="inlineStr">
        <is>
          <t>0                      PR 4803000H  44                 Z  59          1961</t>
        </is>
      </c>
      <c r="F2097" t="inlineStr">
        <is>
          <t>Metaphor in Hopkins.</t>
        </is>
      </c>
      <c r="H2097" t="inlineStr">
        <is>
          <t>No</t>
        </is>
      </c>
      <c r="I2097" t="inlineStr">
        <is>
          <t>1</t>
        </is>
      </c>
      <c r="J2097" t="inlineStr">
        <is>
          <t>No</t>
        </is>
      </c>
      <c r="K2097" t="inlineStr">
        <is>
          <t>No</t>
        </is>
      </c>
      <c r="L2097" t="inlineStr">
        <is>
          <t>0</t>
        </is>
      </c>
      <c r="M2097" t="inlineStr">
        <is>
          <t>Boyle, Robert R., 1915-1998.</t>
        </is>
      </c>
      <c r="N2097" t="inlineStr">
        <is>
          <t>Chapel Hill : University of North Carolina Press, [1961]</t>
        </is>
      </c>
      <c r="O2097" t="inlineStr">
        <is>
          <t>1961</t>
        </is>
      </c>
      <c r="Q2097" t="inlineStr">
        <is>
          <t>eng</t>
        </is>
      </c>
      <c r="R2097" t="inlineStr">
        <is>
          <t>ncu</t>
        </is>
      </c>
      <c r="T2097" t="inlineStr">
        <is>
          <t xml:space="preserve">PR </t>
        </is>
      </c>
      <c r="U2097" t="n">
        <v>3</v>
      </c>
      <c r="V2097" t="n">
        <v>3</v>
      </c>
      <c r="W2097" t="inlineStr">
        <is>
          <t>2008-06-02</t>
        </is>
      </c>
      <c r="X2097" t="inlineStr">
        <is>
          <t>2008-06-02</t>
        </is>
      </c>
      <c r="Y2097" t="inlineStr">
        <is>
          <t>1993-10-12</t>
        </is>
      </c>
      <c r="Z2097" t="inlineStr">
        <is>
          <t>1993-10-12</t>
        </is>
      </c>
      <c r="AA2097" t="n">
        <v>897</v>
      </c>
      <c r="AB2097" t="n">
        <v>768</v>
      </c>
      <c r="AC2097" t="n">
        <v>778</v>
      </c>
      <c r="AD2097" t="n">
        <v>7</v>
      </c>
      <c r="AE2097" t="n">
        <v>7</v>
      </c>
      <c r="AF2097" t="n">
        <v>46</v>
      </c>
      <c r="AG2097" t="n">
        <v>46</v>
      </c>
      <c r="AH2097" t="n">
        <v>18</v>
      </c>
      <c r="AI2097" t="n">
        <v>18</v>
      </c>
      <c r="AJ2097" t="n">
        <v>10</v>
      </c>
      <c r="AK2097" t="n">
        <v>10</v>
      </c>
      <c r="AL2097" t="n">
        <v>25</v>
      </c>
      <c r="AM2097" t="n">
        <v>25</v>
      </c>
      <c r="AN2097" t="n">
        <v>6</v>
      </c>
      <c r="AO2097" t="n">
        <v>6</v>
      </c>
      <c r="AP2097" t="n">
        <v>0</v>
      </c>
      <c r="AQ2097" t="n">
        <v>0</v>
      </c>
      <c r="AR2097" t="inlineStr">
        <is>
          <t>No</t>
        </is>
      </c>
      <c r="AS2097" t="inlineStr">
        <is>
          <t>Yes</t>
        </is>
      </c>
      <c r="AT2097">
        <f>HYPERLINK("http://catalog.hathitrust.org/Record/000479064","HathiTrust Record")</f>
        <v/>
      </c>
      <c r="AU2097">
        <f>HYPERLINK("https://creighton-primo.hosted.exlibrisgroup.com/primo-explore/search?tab=default_tab&amp;search_scope=EVERYTHING&amp;vid=01CRU&amp;lang=en_US&amp;offset=0&amp;query=any,contains,991002485689702656","Catalog Record")</f>
        <v/>
      </c>
      <c r="AV2097">
        <f>HYPERLINK("http://www.worldcat.org/oclc/360863","WorldCat Record")</f>
        <v/>
      </c>
      <c r="AW2097" t="inlineStr">
        <is>
          <t>348816086:eng</t>
        </is>
      </c>
      <c r="AX2097" t="inlineStr">
        <is>
          <t>360863</t>
        </is>
      </c>
      <c r="AY2097" t="inlineStr">
        <is>
          <t>991002485689702656</t>
        </is>
      </c>
      <c r="AZ2097" t="inlineStr">
        <is>
          <t>991002485689702656</t>
        </is>
      </c>
      <c r="BA2097" t="inlineStr">
        <is>
          <t>2263778600002656</t>
        </is>
      </c>
      <c r="BB2097" t="inlineStr">
        <is>
          <t>BOOK</t>
        </is>
      </c>
      <c r="BE2097" t="inlineStr">
        <is>
          <t>32285001790624</t>
        </is>
      </c>
      <c r="BF2097" t="inlineStr">
        <is>
          <t>893773678</t>
        </is>
      </c>
    </row>
    <row r="2098">
      <c r="A2098" t="inlineStr">
        <is>
          <t>No</t>
        </is>
      </c>
      <c r="B2098" t="inlineStr">
        <is>
          <t>CURAL</t>
        </is>
      </c>
      <c r="C2098" t="inlineStr">
        <is>
          <t>SHELVES</t>
        </is>
      </c>
      <c r="D2098" t="inlineStr">
        <is>
          <t>PR4803.H44 Z597</t>
        </is>
      </c>
      <c r="E2098" t="inlineStr">
        <is>
          <t>0                      PR 4803000H  44                 Z  597</t>
        </is>
      </c>
      <c r="F2098" t="inlineStr">
        <is>
          <t>Gerard Manley Hopkins / by Jerome Bump.</t>
        </is>
      </c>
      <c r="H2098" t="inlineStr">
        <is>
          <t>No</t>
        </is>
      </c>
      <c r="I2098" t="inlineStr">
        <is>
          <t>1</t>
        </is>
      </c>
      <c r="J2098" t="inlineStr">
        <is>
          <t>No</t>
        </is>
      </c>
      <c r="K2098" t="inlineStr">
        <is>
          <t>No</t>
        </is>
      </c>
      <c r="L2098" t="inlineStr">
        <is>
          <t>0</t>
        </is>
      </c>
      <c r="M2098" t="inlineStr">
        <is>
          <t>Bump, Jerome.</t>
        </is>
      </c>
      <c r="N2098" t="inlineStr">
        <is>
          <t>Boston : Twayne Publishers, c1982.</t>
        </is>
      </c>
      <c r="O2098" t="inlineStr">
        <is>
          <t>1982</t>
        </is>
      </c>
      <c r="Q2098" t="inlineStr">
        <is>
          <t>eng</t>
        </is>
      </c>
      <c r="R2098" t="inlineStr">
        <is>
          <t>mau</t>
        </is>
      </c>
      <c r="S2098" t="inlineStr">
        <is>
          <t>Twayne's English authors series ; TEAS 332</t>
        </is>
      </c>
      <c r="T2098" t="inlineStr">
        <is>
          <t xml:space="preserve">PR </t>
        </is>
      </c>
      <c r="U2098" t="n">
        <v>4</v>
      </c>
      <c r="V2098" t="n">
        <v>4</v>
      </c>
      <c r="W2098" t="inlineStr">
        <is>
          <t>2000-11-19</t>
        </is>
      </c>
      <c r="X2098" t="inlineStr">
        <is>
          <t>2000-11-19</t>
        </is>
      </c>
      <c r="Y2098" t="inlineStr">
        <is>
          <t>1990-06-15</t>
        </is>
      </c>
      <c r="Z2098" t="inlineStr">
        <is>
          <t>1990-06-15</t>
        </is>
      </c>
      <c r="AA2098" t="n">
        <v>822</v>
      </c>
      <c r="AB2098" t="n">
        <v>715</v>
      </c>
      <c r="AC2098" t="n">
        <v>810</v>
      </c>
      <c r="AD2098" t="n">
        <v>6</v>
      </c>
      <c r="AE2098" t="n">
        <v>6</v>
      </c>
      <c r="AF2098" t="n">
        <v>33</v>
      </c>
      <c r="AG2098" t="n">
        <v>34</v>
      </c>
      <c r="AH2098" t="n">
        <v>13</v>
      </c>
      <c r="AI2098" t="n">
        <v>13</v>
      </c>
      <c r="AJ2098" t="n">
        <v>6</v>
      </c>
      <c r="AK2098" t="n">
        <v>6</v>
      </c>
      <c r="AL2098" t="n">
        <v>20</v>
      </c>
      <c r="AM2098" t="n">
        <v>21</v>
      </c>
      <c r="AN2098" t="n">
        <v>4</v>
      </c>
      <c r="AO2098" t="n">
        <v>4</v>
      </c>
      <c r="AP2098" t="n">
        <v>0</v>
      </c>
      <c r="AQ2098" t="n">
        <v>0</v>
      </c>
      <c r="AR2098" t="inlineStr">
        <is>
          <t>No</t>
        </is>
      </c>
      <c r="AS2098" t="inlineStr">
        <is>
          <t>Yes</t>
        </is>
      </c>
      <c r="AT2098">
        <f>HYPERLINK("http://catalog.hathitrust.org/Record/000306120","HathiTrust Record")</f>
        <v/>
      </c>
      <c r="AU2098">
        <f>HYPERLINK("https://creighton-primo.hosted.exlibrisgroup.com/primo-explore/search?tab=default_tab&amp;search_scope=EVERYTHING&amp;vid=01CRU&amp;lang=en_US&amp;offset=0&amp;query=any,contains,991005190709702656","Catalog Record")</f>
        <v/>
      </c>
      <c r="AV2098">
        <f>HYPERLINK("http://www.worldcat.org/oclc/7998789","WorldCat Record")</f>
        <v/>
      </c>
      <c r="AW2098" t="inlineStr">
        <is>
          <t>461587:eng</t>
        </is>
      </c>
      <c r="AX2098" t="inlineStr">
        <is>
          <t>7998789</t>
        </is>
      </c>
      <c r="AY2098" t="inlineStr">
        <is>
          <t>991005190709702656</t>
        </is>
      </c>
      <c r="AZ2098" t="inlineStr">
        <is>
          <t>991005190709702656</t>
        </is>
      </c>
      <c r="BA2098" t="inlineStr">
        <is>
          <t>2257755990002656</t>
        </is>
      </c>
      <c r="BB2098" t="inlineStr">
        <is>
          <t>BOOK</t>
        </is>
      </c>
      <c r="BD2098" t="inlineStr">
        <is>
          <t>9780805768190</t>
        </is>
      </c>
      <c r="BE2098" t="inlineStr">
        <is>
          <t>32285000196732</t>
        </is>
      </c>
      <c r="BF2098" t="inlineStr">
        <is>
          <t>893877089</t>
        </is>
      </c>
    </row>
    <row r="2099">
      <c r="A2099" t="inlineStr">
        <is>
          <t>No</t>
        </is>
      </c>
      <c r="B2099" t="inlineStr">
        <is>
          <t>CURAL</t>
        </is>
      </c>
      <c r="C2099" t="inlineStr">
        <is>
          <t>SHELVES</t>
        </is>
      </c>
      <c r="D2099" t="inlineStr">
        <is>
          <t>PR4803.H44 Z616</t>
        </is>
      </c>
      <c r="E2099" t="inlineStr">
        <is>
          <t>0                      PR 4803000H  44                 Z  616</t>
        </is>
      </c>
      <c r="F2099" t="inlineStr">
        <is>
          <t>Inscape : the Christology and poetry of Gerard Manley Hopkins.</t>
        </is>
      </c>
      <c r="H2099" t="inlineStr">
        <is>
          <t>No</t>
        </is>
      </c>
      <c r="I2099" t="inlineStr">
        <is>
          <t>1</t>
        </is>
      </c>
      <c r="J2099" t="inlineStr">
        <is>
          <t>No</t>
        </is>
      </c>
      <c r="K2099" t="inlineStr">
        <is>
          <t>No</t>
        </is>
      </c>
      <c r="L2099" t="inlineStr">
        <is>
          <t>0</t>
        </is>
      </c>
      <c r="M2099" t="inlineStr">
        <is>
          <t>Cotter, James Finn.</t>
        </is>
      </c>
      <c r="N2099" t="inlineStr">
        <is>
          <t>[Pittsburgh] : University of Pittsburgh Press, [1972]</t>
        </is>
      </c>
      <c r="O2099" t="inlineStr">
        <is>
          <t>1972</t>
        </is>
      </c>
      <c r="Q2099" t="inlineStr">
        <is>
          <t>eng</t>
        </is>
      </c>
      <c r="R2099" t="inlineStr">
        <is>
          <t>pau</t>
        </is>
      </c>
      <c r="T2099" t="inlineStr">
        <is>
          <t xml:space="preserve">PR </t>
        </is>
      </c>
      <c r="U2099" t="n">
        <v>3</v>
      </c>
      <c r="V2099" t="n">
        <v>3</v>
      </c>
      <c r="W2099" t="inlineStr">
        <is>
          <t>2005-08-29</t>
        </is>
      </c>
      <c r="X2099" t="inlineStr">
        <is>
          <t>2005-08-29</t>
        </is>
      </c>
      <c r="Y2099" t="inlineStr">
        <is>
          <t>1995-01-03</t>
        </is>
      </c>
      <c r="Z2099" t="inlineStr">
        <is>
          <t>1995-01-03</t>
        </is>
      </c>
      <c r="AA2099" t="n">
        <v>913</v>
      </c>
      <c r="AB2099" t="n">
        <v>799</v>
      </c>
      <c r="AC2099" t="n">
        <v>801</v>
      </c>
      <c r="AD2099" t="n">
        <v>7</v>
      </c>
      <c r="AE2099" t="n">
        <v>7</v>
      </c>
      <c r="AF2099" t="n">
        <v>48</v>
      </c>
      <c r="AG2099" t="n">
        <v>48</v>
      </c>
      <c r="AH2099" t="n">
        <v>20</v>
      </c>
      <c r="AI2099" t="n">
        <v>20</v>
      </c>
      <c r="AJ2099" t="n">
        <v>11</v>
      </c>
      <c r="AK2099" t="n">
        <v>11</v>
      </c>
      <c r="AL2099" t="n">
        <v>24</v>
      </c>
      <c r="AM2099" t="n">
        <v>24</v>
      </c>
      <c r="AN2099" t="n">
        <v>6</v>
      </c>
      <c r="AO2099" t="n">
        <v>6</v>
      </c>
      <c r="AP2099" t="n">
        <v>0</v>
      </c>
      <c r="AQ2099" t="n">
        <v>0</v>
      </c>
      <c r="AR2099" t="inlineStr">
        <is>
          <t>No</t>
        </is>
      </c>
      <c r="AS2099" t="inlineStr">
        <is>
          <t>Yes</t>
        </is>
      </c>
      <c r="AT2099">
        <f>HYPERLINK("http://catalog.hathitrust.org/Record/000478714","HathiTrust Record")</f>
        <v/>
      </c>
      <c r="AU2099">
        <f>HYPERLINK("https://creighton-primo.hosted.exlibrisgroup.com/primo-explore/search?tab=default_tab&amp;search_scope=EVERYTHING&amp;vid=01CRU&amp;lang=en_US&amp;offset=0&amp;query=any,contains,991003002079702656","Catalog Record")</f>
        <v/>
      </c>
      <c r="AV2099">
        <f>HYPERLINK("http://www.worldcat.org/oclc/569547","WorldCat Record")</f>
        <v/>
      </c>
      <c r="AW2099" t="inlineStr">
        <is>
          <t>196111175:eng</t>
        </is>
      </c>
      <c r="AX2099" t="inlineStr">
        <is>
          <t>569547</t>
        </is>
      </c>
      <c r="AY2099" t="inlineStr">
        <is>
          <t>991003002079702656</t>
        </is>
      </c>
      <c r="AZ2099" t="inlineStr">
        <is>
          <t>991003002079702656</t>
        </is>
      </c>
      <c r="BA2099" t="inlineStr">
        <is>
          <t>2261250090002656</t>
        </is>
      </c>
      <c r="BB2099" t="inlineStr">
        <is>
          <t>BOOK</t>
        </is>
      </c>
      <c r="BD2099" t="inlineStr">
        <is>
          <t>9780822932475</t>
        </is>
      </c>
      <c r="BE2099" t="inlineStr">
        <is>
          <t>32285001985794</t>
        </is>
      </c>
      <c r="BF2099" t="inlineStr">
        <is>
          <t>893239784</t>
        </is>
      </c>
    </row>
    <row r="2100">
      <c r="A2100" t="inlineStr">
        <is>
          <t>No</t>
        </is>
      </c>
      <c r="B2100" t="inlineStr">
        <is>
          <t>CURAL</t>
        </is>
      </c>
      <c r="C2100" t="inlineStr">
        <is>
          <t>SHELVES</t>
        </is>
      </c>
      <c r="D2100" t="inlineStr">
        <is>
          <t>PR4803.H44 Z6218 1996</t>
        </is>
      </c>
      <c r="E2100" t="inlineStr">
        <is>
          <t>0                      PR 4803000H  44                 Z  6218        1996</t>
        </is>
      </c>
      <c r="F2100" t="inlineStr">
        <is>
          <t>Hopkins' achieved self / David Anthony Downes.</t>
        </is>
      </c>
      <c r="H2100" t="inlineStr">
        <is>
          <t>No</t>
        </is>
      </c>
      <c r="I2100" t="inlineStr">
        <is>
          <t>1</t>
        </is>
      </c>
      <c r="J2100" t="inlineStr">
        <is>
          <t>No</t>
        </is>
      </c>
      <c r="K2100" t="inlineStr">
        <is>
          <t>No</t>
        </is>
      </c>
      <c r="L2100" t="inlineStr">
        <is>
          <t>0</t>
        </is>
      </c>
      <c r="M2100" t="inlineStr">
        <is>
          <t>Downes, David Anthony, 1927-</t>
        </is>
      </c>
      <c r="N2100" t="inlineStr">
        <is>
          <t>Lanham : University Press of America, c1996.</t>
        </is>
      </c>
      <c r="O2100" t="inlineStr">
        <is>
          <t>1996</t>
        </is>
      </c>
      <c r="Q2100" t="inlineStr">
        <is>
          <t>eng</t>
        </is>
      </c>
      <c r="R2100" t="inlineStr">
        <is>
          <t>mdu</t>
        </is>
      </c>
      <c r="T2100" t="inlineStr">
        <is>
          <t xml:space="preserve">PR </t>
        </is>
      </c>
      <c r="U2100" t="n">
        <v>3</v>
      </c>
      <c r="V2100" t="n">
        <v>3</v>
      </c>
      <c r="W2100" t="inlineStr">
        <is>
          <t>1996-09-09</t>
        </is>
      </c>
      <c r="X2100" t="inlineStr">
        <is>
          <t>1996-09-09</t>
        </is>
      </c>
      <c r="Y2100" t="inlineStr">
        <is>
          <t>1996-04-25</t>
        </is>
      </c>
      <c r="Z2100" t="inlineStr">
        <is>
          <t>1996-04-25</t>
        </is>
      </c>
      <c r="AA2100" t="n">
        <v>193</v>
      </c>
      <c r="AB2100" t="n">
        <v>155</v>
      </c>
      <c r="AC2100" t="n">
        <v>194</v>
      </c>
      <c r="AD2100" t="n">
        <v>3</v>
      </c>
      <c r="AE2100" t="n">
        <v>3</v>
      </c>
      <c r="AF2100" t="n">
        <v>14</v>
      </c>
      <c r="AG2100" t="n">
        <v>21</v>
      </c>
      <c r="AH2100" t="n">
        <v>4</v>
      </c>
      <c r="AI2100" t="n">
        <v>6</v>
      </c>
      <c r="AJ2100" t="n">
        <v>3</v>
      </c>
      <c r="AK2100" t="n">
        <v>5</v>
      </c>
      <c r="AL2100" t="n">
        <v>8</v>
      </c>
      <c r="AM2100" t="n">
        <v>14</v>
      </c>
      <c r="AN2100" t="n">
        <v>2</v>
      </c>
      <c r="AO2100" t="n">
        <v>2</v>
      </c>
      <c r="AP2100" t="n">
        <v>0</v>
      </c>
      <c r="AQ2100" t="n">
        <v>0</v>
      </c>
      <c r="AR2100" t="inlineStr">
        <is>
          <t>No</t>
        </is>
      </c>
      <c r="AS2100" t="inlineStr">
        <is>
          <t>Yes</t>
        </is>
      </c>
      <c r="AT2100">
        <f>HYPERLINK("http://catalog.hathitrust.org/Record/003062228","HathiTrust Record")</f>
        <v/>
      </c>
      <c r="AU2100">
        <f>HYPERLINK("https://creighton-primo.hosted.exlibrisgroup.com/primo-explore/search?tab=default_tab&amp;search_scope=EVERYTHING&amp;vid=01CRU&amp;lang=en_US&amp;offset=0&amp;query=any,contains,991002564639702656","Catalog Record")</f>
        <v/>
      </c>
      <c r="AV2100">
        <f>HYPERLINK("http://www.worldcat.org/oclc/33335079","WorldCat Record")</f>
        <v/>
      </c>
      <c r="AW2100" t="inlineStr">
        <is>
          <t>6603228:eng</t>
        </is>
      </c>
      <c r="AX2100" t="inlineStr">
        <is>
          <t>33335079</t>
        </is>
      </c>
      <c r="AY2100" t="inlineStr">
        <is>
          <t>991002564639702656</t>
        </is>
      </c>
      <c r="AZ2100" t="inlineStr">
        <is>
          <t>991002564639702656</t>
        </is>
      </c>
      <c r="BA2100" t="inlineStr">
        <is>
          <t>2258613930002656</t>
        </is>
      </c>
      <c r="BB2100" t="inlineStr">
        <is>
          <t>BOOK</t>
        </is>
      </c>
      <c r="BD2100" t="inlineStr">
        <is>
          <t>9780761801894</t>
        </is>
      </c>
      <c r="BE2100" t="inlineStr">
        <is>
          <t>32285002157542</t>
        </is>
      </c>
      <c r="BF2100" t="inlineStr">
        <is>
          <t>893262353</t>
        </is>
      </c>
    </row>
    <row r="2101">
      <c r="A2101" t="inlineStr">
        <is>
          <t>No</t>
        </is>
      </c>
      <c r="B2101" t="inlineStr">
        <is>
          <t>CURAL</t>
        </is>
      </c>
      <c r="C2101" t="inlineStr">
        <is>
          <t>SHELVES</t>
        </is>
      </c>
      <c r="D2101" t="inlineStr">
        <is>
          <t>PR4803.H44 Z624</t>
        </is>
      </c>
      <c r="E2101" t="inlineStr">
        <is>
          <t>0                      PR 4803000H  44                 Z  624</t>
        </is>
      </c>
      <c r="F2101" t="inlineStr">
        <is>
          <t>Victorian portraits : Hopkins and Pater.</t>
        </is>
      </c>
      <c r="H2101" t="inlineStr">
        <is>
          <t>No</t>
        </is>
      </c>
      <c r="I2101" t="inlineStr">
        <is>
          <t>1</t>
        </is>
      </c>
      <c r="J2101" t="inlineStr">
        <is>
          <t>No</t>
        </is>
      </c>
      <c r="K2101" t="inlineStr">
        <is>
          <t>No</t>
        </is>
      </c>
      <c r="L2101" t="inlineStr">
        <is>
          <t>0</t>
        </is>
      </c>
      <c r="M2101" t="inlineStr">
        <is>
          <t>Downes, David Anthony, 1927-</t>
        </is>
      </c>
      <c r="N2101" t="inlineStr">
        <is>
          <t>New York : Bookman Associates, [1965]</t>
        </is>
      </c>
      <c r="O2101" t="inlineStr">
        <is>
          <t>1965</t>
        </is>
      </c>
      <c r="Q2101" t="inlineStr">
        <is>
          <t>eng</t>
        </is>
      </c>
      <c r="R2101" t="inlineStr">
        <is>
          <t>nyu</t>
        </is>
      </c>
      <c r="T2101" t="inlineStr">
        <is>
          <t xml:space="preserve">PR </t>
        </is>
      </c>
      <c r="U2101" t="n">
        <v>2</v>
      </c>
      <c r="V2101" t="n">
        <v>2</v>
      </c>
      <c r="W2101" t="inlineStr">
        <is>
          <t>2000-11-19</t>
        </is>
      </c>
      <c r="X2101" t="inlineStr">
        <is>
          <t>2000-11-19</t>
        </is>
      </c>
      <c r="Y2101" t="inlineStr">
        <is>
          <t>1992-09-14</t>
        </is>
      </c>
      <c r="Z2101" t="inlineStr">
        <is>
          <t>1992-09-14</t>
        </is>
      </c>
      <c r="AA2101" t="n">
        <v>451</v>
      </c>
      <c r="AB2101" t="n">
        <v>396</v>
      </c>
      <c r="AC2101" t="n">
        <v>404</v>
      </c>
      <c r="AD2101" t="n">
        <v>5</v>
      </c>
      <c r="AE2101" t="n">
        <v>5</v>
      </c>
      <c r="AF2101" t="n">
        <v>34</v>
      </c>
      <c r="AG2101" t="n">
        <v>34</v>
      </c>
      <c r="AH2101" t="n">
        <v>15</v>
      </c>
      <c r="AI2101" t="n">
        <v>15</v>
      </c>
      <c r="AJ2101" t="n">
        <v>5</v>
      </c>
      <c r="AK2101" t="n">
        <v>5</v>
      </c>
      <c r="AL2101" t="n">
        <v>20</v>
      </c>
      <c r="AM2101" t="n">
        <v>20</v>
      </c>
      <c r="AN2101" t="n">
        <v>4</v>
      </c>
      <c r="AO2101" t="n">
        <v>4</v>
      </c>
      <c r="AP2101" t="n">
        <v>0</v>
      </c>
      <c r="AQ2101" t="n">
        <v>0</v>
      </c>
      <c r="AR2101" t="inlineStr">
        <is>
          <t>No</t>
        </is>
      </c>
      <c r="AS2101" t="inlineStr">
        <is>
          <t>Yes</t>
        </is>
      </c>
      <c r="AT2101">
        <f>HYPERLINK("http://catalog.hathitrust.org/Record/000479073","HathiTrust Record")</f>
        <v/>
      </c>
      <c r="AU2101">
        <f>HYPERLINK("https://creighton-primo.hosted.exlibrisgroup.com/primo-explore/search?tab=default_tab&amp;search_scope=EVERYTHING&amp;vid=01CRU&amp;lang=en_US&amp;offset=0&amp;query=any,contains,991003430089702656","Catalog Record")</f>
        <v/>
      </c>
      <c r="AV2101">
        <f>HYPERLINK("http://www.worldcat.org/oclc/965375","WorldCat Record")</f>
        <v/>
      </c>
      <c r="AW2101" t="inlineStr">
        <is>
          <t>1919536:eng</t>
        </is>
      </c>
      <c r="AX2101" t="inlineStr">
        <is>
          <t>965375</t>
        </is>
      </c>
      <c r="AY2101" t="inlineStr">
        <is>
          <t>991003430089702656</t>
        </is>
      </c>
      <c r="AZ2101" t="inlineStr">
        <is>
          <t>991003430089702656</t>
        </is>
      </c>
      <c r="BA2101" t="inlineStr">
        <is>
          <t>2258244760002656</t>
        </is>
      </c>
      <c r="BB2101" t="inlineStr">
        <is>
          <t>BOOK</t>
        </is>
      </c>
      <c r="BE2101" t="inlineStr">
        <is>
          <t>32285001300283</t>
        </is>
      </c>
      <c r="BF2101" t="inlineStr">
        <is>
          <t>893787312</t>
        </is>
      </c>
    </row>
    <row r="2102">
      <c r="A2102" t="inlineStr">
        <is>
          <t>No</t>
        </is>
      </c>
      <c r="B2102" t="inlineStr">
        <is>
          <t>CURAL</t>
        </is>
      </c>
      <c r="C2102" t="inlineStr">
        <is>
          <t>SHELVES</t>
        </is>
      </c>
      <c r="D2102" t="inlineStr">
        <is>
          <t>PR4803.H44 Z626 1987</t>
        </is>
      </c>
      <c r="E2102" t="inlineStr">
        <is>
          <t>0                      PR 4803000H  44                 Z  626         1987</t>
        </is>
      </c>
      <c r="F2102" t="inlineStr">
        <is>
          <t>Created to praise : the language of Gerard Manley Hopkins / Margaret R. Ellsberg.</t>
        </is>
      </c>
      <c r="H2102" t="inlineStr">
        <is>
          <t>No</t>
        </is>
      </c>
      <c r="I2102" t="inlineStr">
        <is>
          <t>1</t>
        </is>
      </c>
      <c r="J2102" t="inlineStr">
        <is>
          <t>No</t>
        </is>
      </c>
      <c r="K2102" t="inlineStr">
        <is>
          <t>No</t>
        </is>
      </c>
      <c r="L2102" t="inlineStr">
        <is>
          <t>0</t>
        </is>
      </c>
      <c r="M2102" t="inlineStr">
        <is>
          <t>Ellsberg, Margaret R.</t>
        </is>
      </c>
      <c r="N2102" t="inlineStr">
        <is>
          <t>New York : Oxford University Press, 1987.</t>
        </is>
      </c>
      <c r="O2102" t="inlineStr">
        <is>
          <t>1986</t>
        </is>
      </c>
      <c r="Q2102" t="inlineStr">
        <is>
          <t>eng</t>
        </is>
      </c>
      <c r="R2102" t="inlineStr">
        <is>
          <t>nyu</t>
        </is>
      </c>
      <c r="T2102" t="inlineStr">
        <is>
          <t xml:space="preserve">PR </t>
        </is>
      </c>
      <c r="U2102" t="n">
        <v>7</v>
      </c>
      <c r="V2102" t="n">
        <v>7</v>
      </c>
      <c r="W2102" t="inlineStr">
        <is>
          <t>1995-09-13</t>
        </is>
      </c>
      <c r="X2102" t="inlineStr">
        <is>
          <t>1995-09-13</t>
        </is>
      </c>
      <c r="Y2102" t="inlineStr">
        <is>
          <t>1991-11-12</t>
        </is>
      </c>
      <c r="Z2102" t="inlineStr">
        <is>
          <t>1991-11-12</t>
        </is>
      </c>
      <c r="AA2102" t="n">
        <v>678</v>
      </c>
      <c r="AB2102" t="n">
        <v>567</v>
      </c>
      <c r="AC2102" t="n">
        <v>577</v>
      </c>
      <c r="AD2102" t="n">
        <v>3</v>
      </c>
      <c r="AE2102" t="n">
        <v>3</v>
      </c>
      <c r="AF2102" t="n">
        <v>37</v>
      </c>
      <c r="AG2102" t="n">
        <v>37</v>
      </c>
      <c r="AH2102" t="n">
        <v>14</v>
      </c>
      <c r="AI2102" t="n">
        <v>14</v>
      </c>
      <c r="AJ2102" t="n">
        <v>9</v>
      </c>
      <c r="AK2102" t="n">
        <v>9</v>
      </c>
      <c r="AL2102" t="n">
        <v>22</v>
      </c>
      <c r="AM2102" t="n">
        <v>22</v>
      </c>
      <c r="AN2102" t="n">
        <v>2</v>
      </c>
      <c r="AO2102" t="n">
        <v>2</v>
      </c>
      <c r="AP2102" t="n">
        <v>0</v>
      </c>
      <c r="AQ2102" t="n">
        <v>0</v>
      </c>
      <c r="AR2102" t="inlineStr">
        <is>
          <t>No</t>
        </is>
      </c>
      <c r="AS2102" t="inlineStr">
        <is>
          <t>Yes</t>
        </is>
      </c>
      <c r="AT2102">
        <f>HYPERLINK("http://catalog.hathitrust.org/Record/000850340","HathiTrust Record")</f>
        <v/>
      </c>
      <c r="AU2102">
        <f>HYPERLINK("https://creighton-primo.hosted.exlibrisgroup.com/primo-explore/search?tab=default_tab&amp;search_scope=EVERYTHING&amp;vid=01CRU&amp;lang=en_US&amp;offset=0&amp;query=any,contains,991000809229702656","Catalog Record")</f>
        <v/>
      </c>
      <c r="AV2102">
        <f>HYPERLINK("http://www.worldcat.org/oclc/13329057","WorldCat Record")</f>
        <v/>
      </c>
      <c r="AW2102" t="inlineStr">
        <is>
          <t>320435610:eng</t>
        </is>
      </c>
      <c r="AX2102" t="inlineStr">
        <is>
          <t>13329057</t>
        </is>
      </c>
      <c r="AY2102" t="inlineStr">
        <is>
          <t>991000809229702656</t>
        </is>
      </c>
      <c r="AZ2102" t="inlineStr">
        <is>
          <t>991000809229702656</t>
        </is>
      </c>
      <c r="BA2102" t="inlineStr">
        <is>
          <t>2258632140002656</t>
        </is>
      </c>
      <c r="BB2102" t="inlineStr">
        <is>
          <t>BOOK</t>
        </is>
      </c>
      <c r="BD2102" t="inlineStr">
        <is>
          <t>9780195040982</t>
        </is>
      </c>
      <c r="BE2102" t="inlineStr">
        <is>
          <t>32285000821677</t>
        </is>
      </c>
      <c r="BF2102" t="inlineStr">
        <is>
          <t>893602079</t>
        </is>
      </c>
    </row>
    <row r="2103">
      <c r="A2103" t="inlineStr">
        <is>
          <t>No</t>
        </is>
      </c>
      <c r="B2103" t="inlineStr">
        <is>
          <t>CURAL</t>
        </is>
      </c>
      <c r="C2103" t="inlineStr">
        <is>
          <t>SHELVES</t>
        </is>
      </c>
      <c r="D2103" t="inlineStr">
        <is>
          <t>PR4803.H44 Z6265 1989</t>
        </is>
      </c>
      <c r="E2103" t="inlineStr">
        <is>
          <t>0                      PR 4803000H  44                 Z  6265        1989</t>
        </is>
      </c>
      <c r="F2103" t="inlineStr">
        <is>
          <t>The Fine delight : centenary essays on Gerard Manley Hopkins / edited by Francis L. Fennell.</t>
        </is>
      </c>
      <c r="H2103" t="inlineStr">
        <is>
          <t>No</t>
        </is>
      </c>
      <c r="I2103" t="inlineStr">
        <is>
          <t>1</t>
        </is>
      </c>
      <c r="J2103" t="inlineStr">
        <is>
          <t>No</t>
        </is>
      </c>
      <c r="K2103" t="inlineStr">
        <is>
          <t>No</t>
        </is>
      </c>
      <c r="L2103" t="inlineStr">
        <is>
          <t>0</t>
        </is>
      </c>
      <c r="N2103" t="inlineStr">
        <is>
          <t>Chicago, Ill. : Loyola University Press, c1989.</t>
        </is>
      </c>
      <c r="O2103" t="inlineStr">
        <is>
          <t>1989</t>
        </is>
      </c>
      <c r="Q2103" t="inlineStr">
        <is>
          <t>eng</t>
        </is>
      </c>
      <c r="R2103" t="inlineStr">
        <is>
          <t>ilu</t>
        </is>
      </c>
      <c r="T2103" t="inlineStr">
        <is>
          <t xml:space="preserve">PR </t>
        </is>
      </c>
      <c r="U2103" t="n">
        <v>6</v>
      </c>
      <c r="V2103" t="n">
        <v>6</v>
      </c>
      <c r="W2103" t="inlineStr">
        <is>
          <t>2008-02-10</t>
        </is>
      </c>
      <c r="X2103" t="inlineStr">
        <is>
          <t>2008-02-10</t>
        </is>
      </c>
      <c r="Y2103" t="inlineStr">
        <is>
          <t>1990-10-03</t>
        </is>
      </c>
      <c r="Z2103" t="inlineStr">
        <is>
          <t>1990-10-03</t>
        </is>
      </c>
      <c r="AA2103" t="n">
        <v>323</v>
      </c>
      <c r="AB2103" t="n">
        <v>281</v>
      </c>
      <c r="AC2103" t="n">
        <v>298</v>
      </c>
      <c r="AD2103" t="n">
        <v>3</v>
      </c>
      <c r="AE2103" t="n">
        <v>3</v>
      </c>
      <c r="AF2103" t="n">
        <v>21</v>
      </c>
      <c r="AG2103" t="n">
        <v>23</v>
      </c>
      <c r="AH2103" t="n">
        <v>6</v>
      </c>
      <c r="AI2103" t="n">
        <v>7</v>
      </c>
      <c r="AJ2103" t="n">
        <v>4</v>
      </c>
      <c r="AK2103" t="n">
        <v>5</v>
      </c>
      <c r="AL2103" t="n">
        <v>16</v>
      </c>
      <c r="AM2103" t="n">
        <v>16</v>
      </c>
      <c r="AN2103" t="n">
        <v>2</v>
      </c>
      <c r="AO2103" t="n">
        <v>2</v>
      </c>
      <c r="AP2103" t="n">
        <v>0</v>
      </c>
      <c r="AQ2103" t="n">
        <v>0</v>
      </c>
      <c r="AR2103" t="inlineStr">
        <is>
          <t>No</t>
        </is>
      </c>
      <c r="AS2103" t="inlineStr">
        <is>
          <t>Yes</t>
        </is>
      </c>
      <c r="AT2103">
        <f>HYPERLINK("http://catalog.hathitrust.org/Record/001837498","HathiTrust Record")</f>
        <v/>
      </c>
      <c r="AU2103">
        <f>HYPERLINK("https://creighton-primo.hosted.exlibrisgroup.com/primo-explore/search?tab=default_tab&amp;search_scope=EVERYTHING&amp;vid=01CRU&amp;lang=en_US&amp;offset=0&amp;query=any,contains,991001593089702656","Catalog Record")</f>
        <v/>
      </c>
      <c r="AV2103">
        <f>HYPERLINK("http://www.worldcat.org/oclc/20594425","WorldCat Record")</f>
        <v/>
      </c>
      <c r="AW2103" t="inlineStr">
        <is>
          <t>422910235:eng</t>
        </is>
      </c>
      <c r="AX2103" t="inlineStr">
        <is>
          <t>20594425</t>
        </is>
      </c>
      <c r="AY2103" t="inlineStr">
        <is>
          <t>991001593089702656</t>
        </is>
      </c>
      <c r="AZ2103" t="inlineStr">
        <is>
          <t>991001593089702656</t>
        </is>
      </c>
      <c r="BA2103" t="inlineStr">
        <is>
          <t>2270152270002656</t>
        </is>
      </c>
      <c r="BB2103" t="inlineStr">
        <is>
          <t>BOOK</t>
        </is>
      </c>
      <c r="BD2103" t="inlineStr">
        <is>
          <t>9780829406276</t>
        </is>
      </c>
      <c r="BE2103" t="inlineStr">
        <is>
          <t>32285000279389</t>
        </is>
      </c>
      <c r="BF2103" t="inlineStr">
        <is>
          <t>893602696</t>
        </is>
      </c>
    </row>
    <row r="2104">
      <c r="A2104" t="inlineStr">
        <is>
          <t>No</t>
        </is>
      </c>
      <c r="B2104" t="inlineStr">
        <is>
          <t>CURAL</t>
        </is>
      </c>
      <c r="C2104" t="inlineStr">
        <is>
          <t>SHELVES</t>
        </is>
      </c>
      <c r="D2104" t="inlineStr">
        <is>
          <t>PR4803.H44 Z628</t>
        </is>
      </c>
      <c r="E2104" t="inlineStr">
        <is>
          <t>0                      PR 4803000H  44                 Z  628</t>
        </is>
      </c>
      <c r="F2104" t="inlineStr">
        <is>
          <t>Gerard Manley Hopkins : a comprehensive bibliography / Tom Dunne. --</t>
        </is>
      </c>
      <c r="H2104" t="inlineStr">
        <is>
          <t>No</t>
        </is>
      </c>
      <c r="I2104" t="inlineStr">
        <is>
          <t>1</t>
        </is>
      </c>
      <c r="J2104" t="inlineStr">
        <is>
          <t>No</t>
        </is>
      </c>
      <c r="K2104" t="inlineStr">
        <is>
          <t>No</t>
        </is>
      </c>
      <c r="L2104" t="inlineStr">
        <is>
          <t>0</t>
        </is>
      </c>
      <c r="M2104" t="inlineStr">
        <is>
          <t>Dunne, Tom, 1939-</t>
        </is>
      </c>
      <c r="N2104" t="inlineStr">
        <is>
          <t>Oxford [Eng.] : Clarendon Press, 1976.</t>
        </is>
      </c>
      <c r="O2104" t="inlineStr">
        <is>
          <t>1976</t>
        </is>
      </c>
      <c r="Q2104" t="inlineStr">
        <is>
          <t>eng</t>
        </is>
      </c>
      <c r="R2104" t="inlineStr">
        <is>
          <t>enk</t>
        </is>
      </c>
      <c r="T2104" t="inlineStr">
        <is>
          <t xml:space="preserve">PR </t>
        </is>
      </c>
      <c r="U2104" t="n">
        <v>1</v>
      </c>
      <c r="V2104" t="n">
        <v>1</v>
      </c>
      <c r="W2104" t="inlineStr">
        <is>
          <t>1996-09-09</t>
        </is>
      </c>
      <c r="X2104" t="inlineStr">
        <is>
          <t>1996-09-09</t>
        </is>
      </c>
      <c r="Y2104" t="inlineStr">
        <is>
          <t>1991-11-12</t>
        </is>
      </c>
      <c r="Z2104" t="inlineStr">
        <is>
          <t>1991-11-12</t>
        </is>
      </c>
      <c r="AA2104" t="n">
        <v>524</v>
      </c>
      <c r="AB2104" t="n">
        <v>372</v>
      </c>
      <c r="AC2104" t="n">
        <v>378</v>
      </c>
      <c r="AD2104" t="n">
        <v>3</v>
      </c>
      <c r="AE2104" t="n">
        <v>3</v>
      </c>
      <c r="AF2104" t="n">
        <v>27</v>
      </c>
      <c r="AG2104" t="n">
        <v>27</v>
      </c>
      <c r="AH2104" t="n">
        <v>9</v>
      </c>
      <c r="AI2104" t="n">
        <v>9</v>
      </c>
      <c r="AJ2104" t="n">
        <v>8</v>
      </c>
      <c r="AK2104" t="n">
        <v>8</v>
      </c>
      <c r="AL2104" t="n">
        <v>17</v>
      </c>
      <c r="AM2104" t="n">
        <v>17</v>
      </c>
      <c r="AN2104" t="n">
        <v>2</v>
      </c>
      <c r="AO2104" t="n">
        <v>2</v>
      </c>
      <c r="AP2104" t="n">
        <v>0</v>
      </c>
      <c r="AQ2104" t="n">
        <v>0</v>
      </c>
      <c r="AR2104" t="inlineStr">
        <is>
          <t>No</t>
        </is>
      </c>
      <c r="AS2104" t="inlineStr">
        <is>
          <t>Yes</t>
        </is>
      </c>
      <c r="AT2104">
        <f>HYPERLINK("http://catalog.hathitrust.org/Record/000245783","HathiTrust Record")</f>
        <v/>
      </c>
      <c r="AU2104">
        <f>HYPERLINK("https://creighton-primo.hosted.exlibrisgroup.com/primo-explore/search?tab=default_tab&amp;search_scope=EVERYTHING&amp;vid=01CRU&amp;lang=en_US&amp;offset=0&amp;query=any,contains,991004014519702656","Catalog Record")</f>
        <v/>
      </c>
      <c r="AV2104">
        <f>HYPERLINK("http://www.worldcat.org/oclc/2103166","WorldCat Record")</f>
        <v/>
      </c>
      <c r="AW2104" t="inlineStr">
        <is>
          <t>9593911983:eng</t>
        </is>
      </c>
      <c r="AX2104" t="inlineStr">
        <is>
          <t>2103166</t>
        </is>
      </c>
      <c r="AY2104" t="inlineStr">
        <is>
          <t>991004014519702656</t>
        </is>
      </c>
      <c r="AZ2104" t="inlineStr">
        <is>
          <t>991004014519702656</t>
        </is>
      </c>
      <c r="BA2104" t="inlineStr">
        <is>
          <t>2269987540002656</t>
        </is>
      </c>
      <c r="BB2104" t="inlineStr">
        <is>
          <t>BOOK</t>
        </is>
      </c>
      <c r="BD2104" t="inlineStr">
        <is>
          <t>9780198181583</t>
        </is>
      </c>
      <c r="BE2104" t="inlineStr">
        <is>
          <t>32285000821685</t>
        </is>
      </c>
      <c r="BF2104" t="inlineStr">
        <is>
          <t>893618122</t>
        </is>
      </c>
    </row>
    <row r="2105">
      <c r="A2105" t="inlineStr">
        <is>
          <t>No</t>
        </is>
      </c>
      <c r="B2105" t="inlineStr">
        <is>
          <t>CURAL</t>
        </is>
      </c>
      <c r="C2105" t="inlineStr">
        <is>
          <t>SHELVES</t>
        </is>
      </c>
      <c r="D2105" t="inlineStr">
        <is>
          <t>PR4803.H44 Z64</t>
        </is>
      </c>
      <c r="E2105" t="inlineStr">
        <is>
          <t>0                      PR 4803000H  44                 Z  64</t>
        </is>
      </c>
      <c r="F2105" t="inlineStr">
        <is>
          <t>Gerard Manley Hopkins, 1844-1889 : a study of poetic idiosyncrasy in relation to poetic tradition / with a foreword by Gerard Hopkins.</t>
        </is>
      </c>
      <c r="G2105" t="inlineStr">
        <is>
          <t>V.1</t>
        </is>
      </c>
      <c r="H2105" t="inlineStr">
        <is>
          <t>Yes</t>
        </is>
      </c>
      <c r="I2105" t="inlineStr">
        <is>
          <t>1</t>
        </is>
      </c>
      <c r="J2105" t="inlineStr">
        <is>
          <t>No</t>
        </is>
      </c>
      <c r="K2105" t="inlineStr">
        <is>
          <t>No</t>
        </is>
      </c>
      <c r="L2105" t="inlineStr">
        <is>
          <t>0</t>
        </is>
      </c>
      <c r="M2105" t="inlineStr">
        <is>
          <t>Gardner, W. H. (William Henry), 1902-</t>
        </is>
      </c>
      <c r="N2105" t="inlineStr">
        <is>
          <t>London] : M. Secker &amp; Warburg, 1948-1949.</t>
        </is>
      </c>
      <c r="O2105" t="inlineStr">
        <is>
          <t>1948</t>
        </is>
      </c>
      <c r="P2105" t="inlineStr">
        <is>
          <t>[2d ed., rev.</t>
        </is>
      </c>
      <c r="Q2105" t="inlineStr">
        <is>
          <t>eng</t>
        </is>
      </c>
      <c r="R2105" t="inlineStr">
        <is>
          <t xml:space="preserve">xx </t>
        </is>
      </c>
      <c r="T2105" t="inlineStr">
        <is>
          <t xml:space="preserve">PR </t>
        </is>
      </c>
      <c r="U2105" t="n">
        <v>1</v>
      </c>
      <c r="V2105" t="n">
        <v>3</v>
      </c>
      <c r="W2105" t="inlineStr">
        <is>
          <t>1992-02-17</t>
        </is>
      </c>
      <c r="X2105" t="inlineStr">
        <is>
          <t>1997-02-09</t>
        </is>
      </c>
      <c r="Y2105" t="inlineStr">
        <is>
          <t>1990-04-25</t>
        </is>
      </c>
      <c r="Z2105" t="inlineStr">
        <is>
          <t>1990-04-25</t>
        </is>
      </c>
      <c r="AA2105" t="n">
        <v>150</v>
      </c>
      <c r="AB2105" t="n">
        <v>119</v>
      </c>
      <c r="AC2105" t="n">
        <v>773</v>
      </c>
      <c r="AD2105" t="n">
        <v>3</v>
      </c>
      <c r="AE2105" t="n">
        <v>8</v>
      </c>
      <c r="AF2105" t="n">
        <v>13</v>
      </c>
      <c r="AG2105" t="n">
        <v>44</v>
      </c>
      <c r="AH2105" t="n">
        <v>8</v>
      </c>
      <c r="AI2105" t="n">
        <v>17</v>
      </c>
      <c r="AJ2105" t="n">
        <v>2</v>
      </c>
      <c r="AK2105" t="n">
        <v>8</v>
      </c>
      <c r="AL2105" t="n">
        <v>4</v>
      </c>
      <c r="AM2105" t="n">
        <v>26</v>
      </c>
      <c r="AN2105" t="n">
        <v>2</v>
      </c>
      <c r="AO2105" t="n">
        <v>6</v>
      </c>
      <c r="AP2105" t="n">
        <v>0</v>
      </c>
      <c r="AQ2105" t="n">
        <v>0</v>
      </c>
      <c r="AR2105" t="inlineStr">
        <is>
          <t>No</t>
        </is>
      </c>
      <c r="AS2105" t="inlineStr">
        <is>
          <t>Yes</t>
        </is>
      </c>
      <c r="AT2105">
        <f>HYPERLINK("http://catalog.hathitrust.org/Record/000845014","HathiTrust Record")</f>
        <v/>
      </c>
      <c r="AU2105">
        <f>HYPERLINK("https://creighton-primo.hosted.exlibrisgroup.com/primo-explore/search?tab=default_tab&amp;search_scope=EVERYTHING&amp;vid=01CRU&amp;lang=en_US&amp;offset=0&amp;query=any,contains,991003544359702656","Catalog Record")</f>
        <v/>
      </c>
      <c r="AV2105">
        <f>HYPERLINK("http://www.worldcat.org/oclc/1110328","WorldCat Record")</f>
        <v/>
      </c>
      <c r="AW2105" t="inlineStr">
        <is>
          <t>1209386:eng</t>
        </is>
      </c>
      <c r="AX2105" t="inlineStr">
        <is>
          <t>1110328</t>
        </is>
      </c>
      <c r="AY2105" t="inlineStr">
        <is>
          <t>991003544359702656</t>
        </is>
      </c>
      <c r="AZ2105" t="inlineStr">
        <is>
          <t>991003544359702656</t>
        </is>
      </c>
      <c r="BA2105" t="inlineStr">
        <is>
          <t>2271911980002656</t>
        </is>
      </c>
      <c r="BB2105" t="inlineStr">
        <is>
          <t>BOOK</t>
        </is>
      </c>
      <c r="BE2105" t="inlineStr">
        <is>
          <t>32285000119197</t>
        </is>
      </c>
      <c r="BF2105" t="inlineStr">
        <is>
          <t>893324175</t>
        </is>
      </c>
    </row>
    <row r="2106">
      <c r="A2106" t="inlineStr">
        <is>
          <t>No</t>
        </is>
      </c>
      <c r="B2106" t="inlineStr">
        <is>
          <t>CURAL</t>
        </is>
      </c>
      <c r="C2106" t="inlineStr">
        <is>
          <t>SHELVES</t>
        </is>
      </c>
      <c r="D2106" t="inlineStr">
        <is>
          <t>PR4803.H44 Z64</t>
        </is>
      </c>
      <c r="E2106" t="inlineStr">
        <is>
          <t>0                      PR 4803000H  44                 Z  64</t>
        </is>
      </c>
      <c r="F2106" t="inlineStr">
        <is>
          <t>Gerard Manley Hopkins, 1844-1889 : a study of poetic idiosyncrasy in relation to poetic tradition / with a foreword by Gerard Hopkins.</t>
        </is>
      </c>
      <c r="G2106" t="inlineStr">
        <is>
          <t>V.2</t>
        </is>
      </c>
      <c r="H2106" t="inlineStr">
        <is>
          <t>Yes</t>
        </is>
      </c>
      <c r="I2106" t="inlineStr">
        <is>
          <t>1</t>
        </is>
      </c>
      <c r="J2106" t="inlineStr">
        <is>
          <t>No</t>
        </is>
      </c>
      <c r="K2106" t="inlineStr">
        <is>
          <t>No</t>
        </is>
      </c>
      <c r="L2106" t="inlineStr">
        <is>
          <t>0</t>
        </is>
      </c>
      <c r="M2106" t="inlineStr">
        <is>
          <t>Gardner, W. H. (William Henry), 1902-</t>
        </is>
      </c>
      <c r="N2106" t="inlineStr">
        <is>
          <t>London] : M. Secker &amp; Warburg, 1948-1949.</t>
        </is>
      </c>
      <c r="O2106" t="inlineStr">
        <is>
          <t>1948</t>
        </is>
      </c>
      <c r="P2106" t="inlineStr">
        <is>
          <t>[2d ed., rev.</t>
        </is>
      </c>
      <c r="Q2106" t="inlineStr">
        <is>
          <t>eng</t>
        </is>
      </c>
      <c r="R2106" t="inlineStr">
        <is>
          <t xml:space="preserve">xx </t>
        </is>
      </c>
      <c r="T2106" t="inlineStr">
        <is>
          <t xml:space="preserve">PR </t>
        </is>
      </c>
      <c r="U2106" t="n">
        <v>2</v>
      </c>
      <c r="V2106" t="n">
        <v>3</v>
      </c>
      <c r="W2106" t="inlineStr">
        <is>
          <t>1997-02-09</t>
        </is>
      </c>
      <c r="X2106" t="inlineStr">
        <is>
          <t>1997-02-09</t>
        </is>
      </c>
      <c r="Y2106" t="inlineStr">
        <is>
          <t>1990-04-25</t>
        </is>
      </c>
      <c r="Z2106" t="inlineStr">
        <is>
          <t>1990-04-25</t>
        </is>
      </c>
      <c r="AA2106" t="n">
        <v>150</v>
      </c>
      <c r="AB2106" t="n">
        <v>119</v>
      </c>
      <c r="AC2106" t="n">
        <v>773</v>
      </c>
      <c r="AD2106" t="n">
        <v>3</v>
      </c>
      <c r="AE2106" t="n">
        <v>8</v>
      </c>
      <c r="AF2106" t="n">
        <v>13</v>
      </c>
      <c r="AG2106" t="n">
        <v>44</v>
      </c>
      <c r="AH2106" t="n">
        <v>8</v>
      </c>
      <c r="AI2106" t="n">
        <v>17</v>
      </c>
      <c r="AJ2106" t="n">
        <v>2</v>
      </c>
      <c r="AK2106" t="n">
        <v>8</v>
      </c>
      <c r="AL2106" t="n">
        <v>4</v>
      </c>
      <c r="AM2106" t="n">
        <v>26</v>
      </c>
      <c r="AN2106" t="n">
        <v>2</v>
      </c>
      <c r="AO2106" t="n">
        <v>6</v>
      </c>
      <c r="AP2106" t="n">
        <v>0</v>
      </c>
      <c r="AQ2106" t="n">
        <v>0</v>
      </c>
      <c r="AR2106" t="inlineStr">
        <is>
          <t>No</t>
        </is>
      </c>
      <c r="AS2106" t="inlineStr">
        <is>
          <t>Yes</t>
        </is>
      </c>
      <c r="AT2106">
        <f>HYPERLINK("http://catalog.hathitrust.org/Record/000845014","HathiTrust Record")</f>
        <v/>
      </c>
      <c r="AU2106">
        <f>HYPERLINK("https://creighton-primo.hosted.exlibrisgroup.com/primo-explore/search?tab=default_tab&amp;search_scope=EVERYTHING&amp;vid=01CRU&amp;lang=en_US&amp;offset=0&amp;query=any,contains,991003544359702656","Catalog Record")</f>
        <v/>
      </c>
      <c r="AV2106">
        <f>HYPERLINK("http://www.worldcat.org/oclc/1110328","WorldCat Record")</f>
        <v/>
      </c>
      <c r="AW2106" t="inlineStr">
        <is>
          <t>1209386:eng</t>
        </is>
      </c>
      <c r="AX2106" t="inlineStr">
        <is>
          <t>1110328</t>
        </is>
      </c>
      <c r="AY2106" t="inlineStr">
        <is>
          <t>991003544359702656</t>
        </is>
      </c>
      <c r="AZ2106" t="inlineStr">
        <is>
          <t>991003544359702656</t>
        </is>
      </c>
      <c r="BA2106" t="inlineStr">
        <is>
          <t>2271911980002656</t>
        </is>
      </c>
      <c r="BB2106" t="inlineStr">
        <is>
          <t>BOOK</t>
        </is>
      </c>
      <c r="BE2106" t="inlineStr">
        <is>
          <t>32285000119205</t>
        </is>
      </c>
      <c r="BF2106" t="inlineStr">
        <is>
          <t>893318082</t>
        </is>
      </c>
    </row>
    <row r="2107">
      <c r="A2107" t="inlineStr">
        <is>
          <t>No</t>
        </is>
      </c>
      <c r="B2107" t="inlineStr">
        <is>
          <t>CURAL</t>
        </is>
      </c>
      <c r="C2107" t="inlineStr">
        <is>
          <t>SHELVES</t>
        </is>
      </c>
      <c r="D2107" t="inlineStr">
        <is>
          <t>PR4803.H44 Z6439 1995</t>
        </is>
      </c>
      <c r="E2107" t="inlineStr">
        <is>
          <t>0                      PR 4803000H  44                 Z  6439        1995</t>
        </is>
      </c>
      <c r="F2107" t="inlineStr">
        <is>
          <t>Hopkins against history / Eugene Hollahan.</t>
        </is>
      </c>
      <c r="H2107" t="inlineStr">
        <is>
          <t>No</t>
        </is>
      </c>
      <c r="I2107" t="inlineStr">
        <is>
          <t>1</t>
        </is>
      </c>
      <c r="J2107" t="inlineStr">
        <is>
          <t>No</t>
        </is>
      </c>
      <c r="K2107" t="inlineStr">
        <is>
          <t>No</t>
        </is>
      </c>
      <c r="L2107" t="inlineStr">
        <is>
          <t>0</t>
        </is>
      </c>
      <c r="M2107" t="inlineStr">
        <is>
          <t>Hollahan, Eugene.</t>
        </is>
      </c>
      <c r="N2107" t="inlineStr">
        <is>
          <t>Omaha, Neb.: Creighton University Press / Association of Jesuit University Presses : Bronx, NY : Distributed by Fordham University Press, c1995.</t>
        </is>
      </c>
      <c r="O2107" t="inlineStr">
        <is>
          <t>1995</t>
        </is>
      </c>
      <c r="Q2107" t="inlineStr">
        <is>
          <t>eng</t>
        </is>
      </c>
      <c r="R2107" t="inlineStr">
        <is>
          <t>nbu</t>
        </is>
      </c>
      <c r="T2107" t="inlineStr">
        <is>
          <t xml:space="preserve">PR </t>
        </is>
      </c>
      <c r="U2107" t="n">
        <v>1</v>
      </c>
      <c r="V2107" t="n">
        <v>1</v>
      </c>
      <c r="W2107" t="inlineStr">
        <is>
          <t>2000-11-19</t>
        </is>
      </c>
      <c r="X2107" t="inlineStr">
        <is>
          <t>2000-11-19</t>
        </is>
      </c>
      <c r="Y2107" t="inlineStr">
        <is>
          <t>1996-09-23</t>
        </is>
      </c>
      <c r="Z2107" t="inlineStr">
        <is>
          <t>1996-09-23</t>
        </is>
      </c>
      <c r="AA2107" t="n">
        <v>184</v>
      </c>
      <c r="AB2107" t="n">
        <v>160</v>
      </c>
      <c r="AC2107" t="n">
        <v>301</v>
      </c>
      <c r="AD2107" t="n">
        <v>3</v>
      </c>
      <c r="AE2107" t="n">
        <v>5</v>
      </c>
      <c r="AF2107" t="n">
        <v>18</v>
      </c>
      <c r="AG2107" t="n">
        <v>21</v>
      </c>
      <c r="AH2107" t="n">
        <v>6</v>
      </c>
      <c r="AI2107" t="n">
        <v>7</v>
      </c>
      <c r="AJ2107" t="n">
        <v>5</v>
      </c>
      <c r="AK2107" t="n">
        <v>5</v>
      </c>
      <c r="AL2107" t="n">
        <v>12</v>
      </c>
      <c r="AM2107" t="n">
        <v>12</v>
      </c>
      <c r="AN2107" t="n">
        <v>2</v>
      </c>
      <c r="AO2107" t="n">
        <v>4</v>
      </c>
      <c r="AP2107" t="n">
        <v>0</v>
      </c>
      <c r="AQ2107" t="n">
        <v>0</v>
      </c>
      <c r="AR2107" t="inlineStr">
        <is>
          <t>No</t>
        </is>
      </c>
      <c r="AS2107" t="inlineStr">
        <is>
          <t>Yes</t>
        </is>
      </c>
      <c r="AT2107">
        <f>HYPERLINK("http://catalog.hathitrust.org/Record/002996583","HathiTrust Record")</f>
        <v/>
      </c>
      <c r="AU2107">
        <f>HYPERLINK("https://creighton-primo.hosted.exlibrisgroup.com/primo-explore/search?tab=default_tab&amp;search_scope=EVERYTHING&amp;vid=01CRU&amp;lang=en_US&amp;offset=0&amp;query=any,contains,991002528999702656","Catalog Record")</f>
        <v/>
      </c>
      <c r="AV2107">
        <f>HYPERLINK("http://www.worldcat.org/oclc/32863705","WorldCat Record")</f>
        <v/>
      </c>
      <c r="AW2107" t="inlineStr">
        <is>
          <t>1067872:eng</t>
        </is>
      </c>
      <c r="AX2107" t="inlineStr">
        <is>
          <t>32863705</t>
        </is>
      </c>
      <c r="AY2107" t="inlineStr">
        <is>
          <t>991002528999702656</t>
        </is>
      </c>
      <c r="AZ2107" t="inlineStr">
        <is>
          <t>991002528999702656</t>
        </is>
      </c>
      <c r="BA2107" t="inlineStr">
        <is>
          <t>2257756410002656</t>
        </is>
      </c>
      <c r="BB2107" t="inlineStr">
        <is>
          <t>BOOK</t>
        </is>
      </c>
      <c r="BD2107" t="inlineStr">
        <is>
          <t>9781881871125</t>
        </is>
      </c>
      <c r="BE2107" t="inlineStr">
        <is>
          <t>32285002318474</t>
        </is>
      </c>
      <c r="BF2107" t="inlineStr">
        <is>
          <t>893523722</t>
        </is>
      </c>
    </row>
    <row r="2108">
      <c r="A2108" t="inlineStr">
        <is>
          <t>No</t>
        </is>
      </c>
      <c r="B2108" t="inlineStr">
        <is>
          <t>CURAL</t>
        </is>
      </c>
      <c r="C2108" t="inlineStr">
        <is>
          <t>SHELVES</t>
        </is>
      </c>
      <c r="D2108" t="inlineStr">
        <is>
          <t>PR4803.H44 Z6443 1989</t>
        </is>
      </c>
      <c r="E2108" t="inlineStr">
        <is>
          <t>0                      PR 4803000H  44                 Z  6443        1989</t>
        </is>
      </c>
      <c r="F2108" t="inlineStr">
        <is>
          <t>Gerard Manley Hopkins (1844-1889) : new essays on his life, writing, and place in English literature / edited by Michael E. Allsopp and Michael W. Sundermeier.</t>
        </is>
      </c>
      <c r="H2108" t="inlineStr">
        <is>
          <t>No</t>
        </is>
      </c>
      <c r="I2108" t="inlineStr">
        <is>
          <t>1</t>
        </is>
      </c>
      <c r="J2108" t="inlineStr">
        <is>
          <t>No</t>
        </is>
      </c>
      <c r="K2108" t="inlineStr">
        <is>
          <t>No</t>
        </is>
      </c>
      <c r="L2108" t="inlineStr">
        <is>
          <t>0</t>
        </is>
      </c>
      <c r="N2108" t="inlineStr">
        <is>
          <t>Lewiston, N.Y. : E. Mellen Press, 1989.</t>
        </is>
      </c>
      <c r="O2108" t="inlineStr">
        <is>
          <t>1989</t>
        </is>
      </c>
      <c r="Q2108" t="inlineStr">
        <is>
          <t>eng</t>
        </is>
      </c>
      <c r="R2108" t="inlineStr">
        <is>
          <t>nyu</t>
        </is>
      </c>
      <c r="S2108" t="inlineStr">
        <is>
          <t>Studies in British literature ; v. 1</t>
        </is>
      </c>
      <c r="T2108" t="inlineStr">
        <is>
          <t xml:space="preserve">PR </t>
        </is>
      </c>
      <c r="U2108" t="n">
        <v>5</v>
      </c>
      <c r="V2108" t="n">
        <v>5</v>
      </c>
      <c r="W2108" t="inlineStr">
        <is>
          <t>1993-09-09</t>
        </is>
      </c>
      <c r="X2108" t="inlineStr">
        <is>
          <t>1993-09-09</t>
        </is>
      </c>
      <c r="Y2108" t="inlineStr">
        <is>
          <t>1991-11-12</t>
        </is>
      </c>
      <c r="Z2108" t="inlineStr">
        <is>
          <t>1991-11-12</t>
        </is>
      </c>
      <c r="AA2108" t="n">
        <v>416</v>
      </c>
      <c r="AB2108" t="n">
        <v>346</v>
      </c>
      <c r="AC2108" t="n">
        <v>348</v>
      </c>
      <c r="AD2108" t="n">
        <v>2</v>
      </c>
      <c r="AE2108" t="n">
        <v>2</v>
      </c>
      <c r="AF2108" t="n">
        <v>26</v>
      </c>
      <c r="AG2108" t="n">
        <v>26</v>
      </c>
      <c r="AH2108" t="n">
        <v>10</v>
      </c>
      <c r="AI2108" t="n">
        <v>10</v>
      </c>
      <c r="AJ2108" t="n">
        <v>6</v>
      </c>
      <c r="AK2108" t="n">
        <v>6</v>
      </c>
      <c r="AL2108" t="n">
        <v>19</v>
      </c>
      <c r="AM2108" t="n">
        <v>19</v>
      </c>
      <c r="AN2108" t="n">
        <v>1</v>
      </c>
      <c r="AO2108" t="n">
        <v>1</v>
      </c>
      <c r="AP2108" t="n">
        <v>0</v>
      </c>
      <c r="AQ2108" t="n">
        <v>0</v>
      </c>
      <c r="AR2108" t="inlineStr">
        <is>
          <t>No</t>
        </is>
      </c>
      <c r="AS2108" t="inlineStr">
        <is>
          <t>Yes</t>
        </is>
      </c>
      <c r="AT2108">
        <f>HYPERLINK("http://catalog.hathitrust.org/Record/002446201","HathiTrust Record")</f>
        <v/>
      </c>
      <c r="AU2108">
        <f>HYPERLINK("https://creighton-primo.hosted.exlibrisgroup.com/primo-explore/search?tab=default_tab&amp;search_scope=EVERYTHING&amp;vid=01CRU&amp;lang=en_US&amp;offset=0&amp;query=any,contains,991001478279702656","Catalog Record")</f>
        <v/>
      </c>
      <c r="AV2108">
        <f>HYPERLINK("http://www.worldcat.org/oclc/19589846","WorldCat Record")</f>
        <v/>
      </c>
      <c r="AW2108" t="inlineStr">
        <is>
          <t>346758135:eng</t>
        </is>
      </c>
      <c r="AX2108" t="inlineStr">
        <is>
          <t>19589846</t>
        </is>
      </c>
      <c r="AY2108" t="inlineStr">
        <is>
          <t>991001478279702656</t>
        </is>
      </c>
      <c r="AZ2108" t="inlineStr">
        <is>
          <t>991001478279702656</t>
        </is>
      </c>
      <c r="BA2108" t="inlineStr">
        <is>
          <t>2264081200002656</t>
        </is>
      </c>
      <c r="BB2108" t="inlineStr">
        <is>
          <t>BOOK</t>
        </is>
      </c>
      <c r="BE2108" t="inlineStr">
        <is>
          <t>32285000821693</t>
        </is>
      </c>
      <c r="BF2108" t="inlineStr">
        <is>
          <t>893408160</t>
        </is>
      </c>
    </row>
    <row r="2109">
      <c r="A2109" t="inlineStr">
        <is>
          <t>No</t>
        </is>
      </c>
      <c r="B2109" t="inlineStr">
        <is>
          <t>CURAL</t>
        </is>
      </c>
      <c r="C2109" t="inlineStr">
        <is>
          <t>SHELVES</t>
        </is>
      </c>
      <c r="D2109" t="inlineStr">
        <is>
          <t>PR4803.H44 Z6445 1987</t>
        </is>
      </c>
      <c r="E2109" t="inlineStr">
        <is>
          <t>0                      PR 4803000H  44                 Z  6445        1987</t>
        </is>
      </c>
      <c r="F2109" t="inlineStr">
        <is>
          <t>Gerard Manley Hopkins, the critical heritage / edited by Gerald Roberts.</t>
        </is>
      </c>
      <c r="H2109" t="inlineStr">
        <is>
          <t>No</t>
        </is>
      </c>
      <c r="I2109" t="inlineStr">
        <is>
          <t>1</t>
        </is>
      </c>
      <c r="J2109" t="inlineStr">
        <is>
          <t>No</t>
        </is>
      </c>
      <c r="K2109" t="inlineStr">
        <is>
          <t>No</t>
        </is>
      </c>
      <c r="L2109" t="inlineStr">
        <is>
          <t>0</t>
        </is>
      </c>
      <c r="N2109" t="inlineStr">
        <is>
          <t>London ; New York : Routledge &amp; Kegan Paul, 1987.</t>
        </is>
      </c>
      <c r="O2109" t="inlineStr">
        <is>
          <t>1987</t>
        </is>
      </c>
      <c r="Q2109" t="inlineStr">
        <is>
          <t>eng</t>
        </is>
      </c>
      <c r="R2109" t="inlineStr">
        <is>
          <t>enk</t>
        </is>
      </c>
      <c r="S2109" t="inlineStr">
        <is>
          <t>The Critical heritage series</t>
        </is>
      </c>
      <c r="T2109" t="inlineStr">
        <is>
          <t xml:space="preserve">PR </t>
        </is>
      </c>
      <c r="U2109" t="n">
        <v>1</v>
      </c>
      <c r="V2109" t="n">
        <v>1</v>
      </c>
      <c r="W2109" t="inlineStr">
        <is>
          <t>1992-03-19</t>
        </is>
      </c>
      <c r="X2109" t="inlineStr">
        <is>
          <t>1992-03-19</t>
        </is>
      </c>
      <c r="Y2109" t="inlineStr">
        <is>
          <t>1991-11-12</t>
        </is>
      </c>
      <c r="Z2109" t="inlineStr">
        <is>
          <t>1991-11-12</t>
        </is>
      </c>
      <c r="AA2109" t="n">
        <v>381</v>
      </c>
      <c r="AB2109" t="n">
        <v>205</v>
      </c>
      <c r="AC2109" t="n">
        <v>255</v>
      </c>
      <c r="AD2109" t="n">
        <v>3</v>
      </c>
      <c r="AE2109" t="n">
        <v>3</v>
      </c>
      <c r="AF2109" t="n">
        <v>17</v>
      </c>
      <c r="AG2109" t="n">
        <v>19</v>
      </c>
      <c r="AH2109" t="n">
        <v>6</v>
      </c>
      <c r="AI2109" t="n">
        <v>7</v>
      </c>
      <c r="AJ2109" t="n">
        <v>3</v>
      </c>
      <c r="AK2109" t="n">
        <v>4</v>
      </c>
      <c r="AL2109" t="n">
        <v>12</v>
      </c>
      <c r="AM2109" t="n">
        <v>12</v>
      </c>
      <c r="AN2109" t="n">
        <v>2</v>
      </c>
      <c r="AO2109" t="n">
        <v>2</v>
      </c>
      <c r="AP2109" t="n">
        <v>0</v>
      </c>
      <c r="AQ2109" t="n">
        <v>0</v>
      </c>
      <c r="AR2109" t="inlineStr">
        <is>
          <t>No</t>
        </is>
      </c>
      <c r="AS2109" t="inlineStr">
        <is>
          <t>Yes</t>
        </is>
      </c>
      <c r="AT2109">
        <f>HYPERLINK("http://catalog.hathitrust.org/Record/000839382","HathiTrust Record")</f>
        <v/>
      </c>
      <c r="AU2109">
        <f>HYPERLINK("https://creighton-primo.hosted.exlibrisgroup.com/primo-explore/search?tab=default_tab&amp;search_scope=EVERYTHING&amp;vid=01CRU&amp;lang=en_US&amp;offset=0&amp;query=any,contains,991001074739702656","Catalog Record")</f>
        <v/>
      </c>
      <c r="AV2109">
        <f>HYPERLINK("http://www.worldcat.org/oclc/16005187","WorldCat Record")</f>
        <v/>
      </c>
      <c r="AW2109" t="inlineStr">
        <is>
          <t>3980106569:eng</t>
        </is>
      </c>
      <c r="AX2109" t="inlineStr">
        <is>
          <t>16005187</t>
        </is>
      </c>
      <c r="AY2109" t="inlineStr">
        <is>
          <t>991001074739702656</t>
        </is>
      </c>
      <c r="AZ2109" t="inlineStr">
        <is>
          <t>991001074739702656</t>
        </is>
      </c>
      <c r="BA2109" t="inlineStr">
        <is>
          <t>2262595640002656</t>
        </is>
      </c>
      <c r="BB2109" t="inlineStr">
        <is>
          <t>BOOK</t>
        </is>
      </c>
      <c r="BD2109" t="inlineStr">
        <is>
          <t>9780710204141</t>
        </is>
      </c>
      <c r="BE2109" t="inlineStr">
        <is>
          <t>32285000821701</t>
        </is>
      </c>
      <c r="BF2109" t="inlineStr">
        <is>
          <t>893784788</t>
        </is>
      </c>
    </row>
    <row r="2110">
      <c r="A2110" t="inlineStr">
        <is>
          <t>No</t>
        </is>
      </c>
      <c r="B2110" t="inlineStr">
        <is>
          <t>CURAL</t>
        </is>
      </c>
      <c r="C2110" t="inlineStr">
        <is>
          <t>SHELVES</t>
        </is>
      </c>
      <c r="D2110" t="inlineStr">
        <is>
          <t>PR4803.H44 Z647</t>
        </is>
      </c>
      <c r="E2110" t="inlineStr">
        <is>
          <t>0                      PR 4803000H  44                 Z  647</t>
        </is>
      </c>
      <c r="F2110" t="inlineStr">
        <is>
          <t>Hopkins : a collection of critical essays / edited by Geoffrey H. Hartman.</t>
        </is>
      </c>
      <c r="H2110" t="inlineStr">
        <is>
          <t>No</t>
        </is>
      </c>
      <c r="I2110" t="inlineStr">
        <is>
          <t>1</t>
        </is>
      </c>
      <c r="J2110" t="inlineStr">
        <is>
          <t>No</t>
        </is>
      </c>
      <c r="K2110" t="inlineStr">
        <is>
          <t>No</t>
        </is>
      </c>
      <c r="L2110" t="inlineStr">
        <is>
          <t>0</t>
        </is>
      </c>
      <c r="M2110" t="inlineStr">
        <is>
          <t>Hartman, Geoffrey H.</t>
        </is>
      </c>
      <c r="N2110" t="inlineStr">
        <is>
          <t>Englewood Cliffs, N.J. : Prentice-Hall, [1966]</t>
        </is>
      </c>
      <c r="O2110" t="inlineStr">
        <is>
          <t>1966</t>
        </is>
      </c>
      <c r="Q2110" t="inlineStr">
        <is>
          <t>eng</t>
        </is>
      </c>
      <c r="R2110" t="inlineStr">
        <is>
          <t>nju</t>
        </is>
      </c>
      <c r="S2110" t="inlineStr">
        <is>
          <t>A Spectrum book.</t>
        </is>
      </c>
      <c r="T2110" t="inlineStr">
        <is>
          <t xml:space="preserve">PR </t>
        </is>
      </c>
      <c r="U2110" t="n">
        <v>3</v>
      </c>
      <c r="V2110" t="n">
        <v>3</v>
      </c>
      <c r="W2110" t="inlineStr">
        <is>
          <t>1993-09-09</t>
        </is>
      </c>
      <c r="X2110" t="inlineStr">
        <is>
          <t>1993-09-09</t>
        </is>
      </c>
      <c r="Y2110" t="inlineStr">
        <is>
          <t>1992-04-15</t>
        </is>
      </c>
      <c r="Z2110" t="inlineStr">
        <is>
          <t>1992-04-15</t>
        </is>
      </c>
      <c r="AA2110" t="n">
        <v>1959</v>
      </c>
      <c r="AB2110" t="n">
        <v>1732</v>
      </c>
      <c r="AC2110" t="n">
        <v>1738</v>
      </c>
      <c r="AD2110" t="n">
        <v>14</v>
      </c>
      <c r="AE2110" t="n">
        <v>14</v>
      </c>
      <c r="AF2110" t="n">
        <v>55</v>
      </c>
      <c r="AG2110" t="n">
        <v>55</v>
      </c>
      <c r="AH2110" t="n">
        <v>21</v>
      </c>
      <c r="AI2110" t="n">
        <v>21</v>
      </c>
      <c r="AJ2110" t="n">
        <v>9</v>
      </c>
      <c r="AK2110" t="n">
        <v>9</v>
      </c>
      <c r="AL2110" t="n">
        <v>26</v>
      </c>
      <c r="AM2110" t="n">
        <v>26</v>
      </c>
      <c r="AN2110" t="n">
        <v>12</v>
      </c>
      <c r="AO2110" t="n">
        <v>12</v>
      </c>
      <c r="AP2110" t="n">
        <v>0</v>
      </c>
      <c r="AQ2110" t="n">
        <v>0</v>
      </c>
      <c r="AR2110" t="inlineStr">
        <is>
          <t>No</t>
        </is>
      </c>
      <c r="AS2110" t="inlineStr">
        <is>
          <t>Yes</t>
        </is>
      </c>
      <c r="AT2110">
        <f>HYPERLINK("http://catalog.hathitrust.org/Record/000481906","HathiTrust Record")</f>
        <v/>
      </c>
      <c r="AU2110">
        <f>HYPERLINK("https://creighton-primo.hosted.exlibrisgroup.com/primo-explore/search?tab=default_tab&amp;search_scope=EVERYTHING&amp;vid=01CRU&amp;lang=en_US&amp;offset=0&amp;query=any,contains,991003182239702656","Catalog Record")</f>
        <v/>
      </c>
      <c r="AV2110">
        <f>HYPERLINK("http://www.worldcat.org/oclc/711966","WorldCat Record")</f>
        <v/>
      </c>
      <c r="AW2110" t="inlineStr">
        <is>
          <t>795117070:eng</t>
        </is>
      </c>
      <c r="AX2110" t="inlineStr">
        <is>
          <t>711966</t>
        </is>
      </c>
      <c r="AY2110" t="inlineStr">
        <is>
          <t>991003182239702656</t>
        </is>
      </c>
      <c r="AZ2110" t="inlineStr">
        <is>
          <t>991003182239702656</t>
        </is>
      </c>
      <c r="BA2110" t="inlineStr">
        <is>
          <t>2261876840002656</t>
        </is>
      </c>
      <c r="BB2110" t="inlineStr">
        <is>
          <t>BOOK</t>
        </is>
      </c>
      <c r="BE2110" t="inlineStr">
        <is>
          <t>32285001061844</t>
        </is>
      </c>
      <c r="BF2110" t="inlineStr">
        <is>
          <t>893323840</t>
        </is>
      </c>
    </row>
    <row r="2111">
      <c r="A2111" t="inlineStr">
        <is>
          <t>No</t>
        </is>
      </c>
      <c r="B2111" t="inlineStr">
        <is>
          <t>CURAL</t>
        </is>
      </c>
      <c r="C2111" t="inlineStr">
        <is>
          <t>SHELVES</t>
        </is>
      </c>
      <c r="D2111" t="inlineStr">
        <is>
          <t>PR4803.H44 Z648 1968</t>
        </is>
      </c>
      <c r="E2111" t="inlineStr">
        <is>
          <t>0                      PR 4803000H  44                 Z  648         1968</t>
        </is>
      </c>
      <c r="F2111" t="inlineStr">
        <is>
          <t>The shaping vision of Gerard Manley Hopkins.</t>
        </is>
      </c>
      <c r="H2111" t="inlineStr">
        <is>
          <t>No</t>
        </is>
      </c>
      <c r="I2111" t="inlineStr">
        <is>
          <t>1</t>
        </is>
      </c>
      <c r="J2111" t="inlineStr">
        <is>
          <t>No</t>
        </is>
      </c>
      <c r="K2111" t="inlineStr">
        <is>
          <t>Yes</t>
        </is>
      </c>
      <c r="L2111" t="inlineStr">
        <is>
          <t>0</t>
        </is>
      </c>
      <c r="M2111" t="inlineStr">
        <is>
          <t>Heuser, Alan.</t>
        </is>
      </c>
      <c r="N2111" t="inlineStr">
        <is>
          <t>[Hamden, Conn.] : Archon Books, 1968.</t>
        </is>
      </c>
      <c r="O2111" t="inlineStr">
        <is>
          <t>1968</t>
        </is>
      </c>
      <c r="Q2111" t="inlineStr">
        <is>
          <t>eng</t>
        </is>
      </c>
      <c r="R2111" t="inlineStr">
        <is>
          <t>ctu</t>
        </is>
      </c>
      <c r="T2111" t="inlineStr">
        <is>
          <t xml:space="preserve">PR </t>
        </is>
      </c>
      <c r="U2111" t="n">
        <v>1</v>
      </c>
      <c r="V2111" t="n">
        <v>1</v>
      </c>
      <c r="W2111" t="inlineStr">
        <is>
          <t>2000-11-19</t>
        </is>
      </c>
      <c r="X2111" t="inlineStr">
        <is>
          <t>2000-11-19</t>
        </is>
      </c>
      <c r="Y2111" t="inlineStr">
        <is>
          <t>1994-05-12</t>
        </is>
      </c>
      <c r="Z2111" t="inlineStr">
        <is>
          <t>1994-05-12</t>
        </is>
      </c>
      <c r="AA2111" t="n">
        <v>390</v>
      </c>
      <c r="AB2111" t="n">
        <v>331</v>
      </c>
      <c r="AC2111" t="n">
        <v>735</v>
      </c>
      <c r="AD2111" t="n">
        <v>3</v>
      </c>
      <c r="AE2111" t="n">
        <v>6</v>
      </c>
      <c r="AF2111" t="n">
        <v>11</v>
      </c>
      <c r="AG2111" t="n">
        <v>38</v>
      </c>
      <c r="AH2111" t="n">
        <v>4</v>
      </c>
      <c r="AI2111" t="n">
        <v>13</v>
      </c>
      <c r="AJ2111" t="n">
        <v>0</v>
      </c>
      <c r="AK2111" t="n">
        <v>7</v>
      </c>
      <c r="AL2111" t="n">
        <v>7</v>
      </c>
      <c r="AM2111" t="n">
        <v>25</v>
      </c>
      <c r="AN2111" t="n">
        <v>2</v>
      </c>
      <c r="AO2111" t="n">
        <v>5</v>
      </c>
      <c r="AP2111" t="n">
        <v>0</v>
      </c>
      <c r="AQ2111" t="n">
        <v>0</v>
      </c>
      <c r="AR2111" t="inlineStr">
        <is>
          <t>No</t>
        </is>
      </c>
      <c r="AS2111" t="inlineStr">
        <is>
          <t>Yes</t>
        </is>
      </c>
      <c r="AT2111">
        <f>HYPERLINK("http://catalog.hathitrust.org/Record/001023925","HathiTrust Record")</f>
        <v/>
      </c>
      <c r="AU2111">
        <f>HYPERLINK("https://creighton-primo.hosted.exlibrisgroup.com/primo-explore/search?tab=default_tab&amp;search_scope=EVERYTHING&amp;vid=01CRU&amp;lang=en_US&amp;offset=0&amp;query=any,contains,991002776299702656","Catalog Record")</f>
        <v/>
      </c>
      <c r="AV2111">
        <f>HYPERLINK("http://www.worldcat.org/oclc/438888","WorldCat Record")</f>
        <v/>
      </c>
      <c r="AW2111" t="inlineStr">
        <is>
          <t>1485447:eng</t>
        </is>
      </c>
      <c r="AX2111" t="inlineStr">
        <is>
          <t>438888</t>
        </is>
      </c>
      <c r="AY2111" t="inlineStr">
        <is>
          <t>991002776299702656</t>
        </is>
      </c>
      <c r="AZ2111" t="inlineStr">
        <is>
          <t>991002776299702656</t>
        </is>
      </c>
      <c r="BA2111" t="inlineStr">
        <is>
          <t>2265278980002656</t>
        </is>
      </c>
      <c r="BB2111" t="inlineStr">
        <is>
          <t>BOOK</t>
        </is>
      </c>
      <c r="BE2111" t="inlineStr">
        <is>
          <t>32285001910875</t>
        </is>
      </c>
      <c r="BF2111" t="inlineStr">
        <is>
          <t>893710666</t>
        </is>
      </c>
    </row>
    <row r="2112">
      <c r="A2112" t="inlineStr">
        <is>
          <t>No</t>
        </is>
      </c>
      <c r="B2112" t="inlineStr">
        <is>
          <t>CURAL</t>
        </is>
      </c>
      <c r="C2112" t="inlineStr">
        <is>
          <t>SHELVES</t>
        </is>
      </c>
      <c r="D2112" t="inlineStr">
        <is>
          <t>PR4803.H44 Z675</t>
        </is>
      </c>
      <c r="E2112" t="inlineStr">
        <is>
          <t>0                      PR 4803000H  44                 Z  675</t>
        </is>
      </c>
      <c r="F2112" t="inlineStr">
        <is>
          <t>Gerard Manley Hopkins : the poet as Victorian.</t>
        </is>
      </c>
      <c r="H2112" t="inlineStr">
        <is>
          <t>No</t>
        </is>
      </c>
      <c r="I2112" t="inlineStr">
        <is>
          <t>1</t>
        </is>
      </c>
      <c r="J2112" t="inlineStr">
        <is>
          <t>No</t>
        </is>
      </c>
      <c r="K2112" t="inlineStr">
        <is>
          <t>No</t>
        </is>
      </c>
      <c r="L2112" t="inlineStr">
        <is>
          <t>0</t>
        </is>
      </c>
      <c r="M2112" t="inlineStr">
        <is>
          <t>Johnson, Wendell Stacy, 1927-1990.</t>
        </is>
      </c>
      <c r="N2112" t="inlineStr">
        <is>
          <t>Ithaca, N.Y. : Cornell University Press, [1968]</t>
        </is>
      </c>
      <c r="O2112" t="inlineStr">
        <is>
          <t>1968</t>
        </is>
      </c>
      <c r="Q2112" t="inlineStr">
        <is>
          <t>eng</t>
        </is>
      </c>
      <c r="R2112" t="inlineStr">
        <is>
          <t>nyu</t>
        </is>
      </c>
      <c r="T2112" t="inlineStr">
        <is>
          <t xml:space="preserve">PR </t>
        </is>
      </c>
      <c r="U2112" t="n">
        <v>3</v>
      </c>
      <c r="V2112" t="n">
        <v>3</v>
      </c>
      <c r="W2112" t="inlineStr">
        <is>
          <t>2000-11-19</t>
        </is>
      </c>
      <c r="X2112" t="inlineStr">
        <is>
          <t>2000-11-19</t>
        </is>
      </c>
      <c r="Y2112" t="inlineStr">
        <is>
          <t>1994-07-21</t>
        </is>
      </c>
      <c r="Z2112" t="inlineStr">
        <is>
          <t>1994-07-21</t>
        </is>
      </c>
      <c r="AA2112" t="n">
        <v>961</v>
      </c>
      <c r="AB2112" t="n">
        <v>824</v>
      </c>
      <c r="AC2112" t="n">
        <v>830</v>
      </c>
      <c r="AD2112" t="n">
        <v>8</v>
      </c>
      <c r="AE2112" t="n">
        <v>8</v>
      </c>
      <c r="AF2112" t="n">
        <v>44</v>
      </c>
      <c r="AG2112" t="n">
        <v>44</v>
      </c>
      <c r="AH2112" t="n">
        <v>15</v>
      </c>
      <c r="AI2112" t="n">
        <v>15</v>
      </c>
      <c r="AJ2112" t="n">
        <v>10</v>
      </c>
      <c r="AK2112" t="n">
        <v>10</v>
      </c>
      <c r="AL2112" t="n">
        <v>22</v>
      </c>
      <c r="AM2112" t="n">
        <v>22</v>
      </c>
      <c r="AN2112" t="n">
        <v>7</v>
      </c>
      <c r="AO2112" t="n">
        <v>7</v>
      </c>
      <c r="AP2112" t="n">
        <v>0</v>
      </c>
      <c r="AQ2112" t="n">
        <v>0</v>
      </c>
      <c r="AR2112" t="inlineStr">
        <is>
          <t>No</t>
        </is>
      </c>
      <c r="AS2112" t="inlineStr">
        <is>
          <t>Yes</t>
        </is>
      </c>
      <c r="AT2112">
        <f>HYPERLINK("http://catalog.hathitrust.org/Record/000481917","HathiTrust Record")</f>
        <v/>
      </c>
      <c r="AU2112">
        <f>HYPERLINK("https://creighton-primo.hosted.exlibrisgroup.com/primo-explore/search?tab=default_tab&amp;search_scope=EVERYTHING&amp;vid=01CRU&amp;lang=en_US&amp;offset=0&amp;query=any,contains,991002482829702656","Catalog Record")</f>
        <v/>
      </c>
      <c r="AV2112">
        <f>HYPERLINK("http://www.worldcat.org/oclc/360167","WorldCat Record")</f>
        <v/>
      </c>
      <c r="AW2112" t="inlineStr">
        <is>
          <t>1410883:eng</t>
        </is>
      </c>
      <c r="AX2112" t="inlineStr">
        <is>
          <t>360167</t>
        </is>
      </c>
      <c r="AY2112" t="inlineStr">
        <is>
          <t>991002482829702656</t>
        </is>
      </c>
      <c r="AZ2112" t="inlineStr">
        <is>
          <t>991002482829702656</t>
        </is>
      </c>
      <c r="BA2112" t="inlineStr">
        <is>
          <t>2263771680002656</t>
        </is>
      </c>
      <c r="BB2112" t="inlineStr">
        <is>
          <t>BOOK</t>
        </is>
      </c>
      <c r="BE2112" t="inlineStr">
        <is>
          <t>32285001937100</t>
        </is>
      </c>
      <c r="BF2112" t="inlineStr">
        <is>
          <t>893510793</t>
        </is>
      </c>
    </row>
    <row r="2113">
      <c r="A2113" t="inlineStr">
        <is>
          <t>No</t>
        </is>
      </c>
      <c r="B2113" t="inlineStr">
        <is>
          <t>CURAL</t>
        </is>
      </c>
      <c r="C2113" t="inlineStr">
        <is>
          <t>SHELVES</t>
        </is>
      </c>
      <c r="D2113" t="inlineStr">
        <is>
          <t>PR4803.H44 Z692 1979</t>
        </is>
      </c>
      <c r="E2113" t="inlineStr">
        <is>
          <t>0                      PR 4803000H  44                 Z  692         1979</t>
        </is>
      </c>
      <c r="F2113" t="inlineStr">
        <is>
          <t>Gerard Manley Hopkins / Paddy Kitchen.</t>
        </is>
      </c>
      <c r="H2113" t="inlineStr">
        <is>
          <t>No</t>
        </is>
      </c>
      <c r="I2113" t="inlineStr">
        <is>
          <t>1</t>
        </is>
      </c>
      <c r="J2113" t="inlineStr">
        <is>
          <t>No</t>
        </is>
      </c>
      <c r="K2113" t="inlineStr">
        <is>
          <t>No</t>
        </is>
      </c>
      <c r="L2113" t="inlineStr">
        <is>
          <t>0</t>
        </is>
      </c>
      <c r="M2113" t="inlineStr">
        <is>
          <t>Kitchen, Paddy.</t>
        </is>
      </c>
      <c r="N2113" t="inlineStr">
        <is>
          <t>New York : Atheneum, 1979.</t>
        </is>
      </c>
      <c r="O2113" t="inlineStr">
        <is>
          <t>1979</t>
        </is>
      </c>
      <c r="P2113" t="inlineStr">
        <is>
          <t>1st American ed.</t>
        </is>
      </c>
      <c r="Q2113" t="inlineStr">
        <is>
          <t>eng</t>
        </is>
      </c>
      <c r="R2113" t="inlineStr">
        <is>
          <t>nyu</t>
        </is>
      </c>
      <c r="T2113" t="inlineStr">
        <is>
          <t xml:space="preserve">PR </t>
        </is>
      </c>
      <c r="U2113" t="n">
        <v>1</v>
      </c>
      <c r="V2113" t="n">
        <v>1</v>
      </c>
      <c r="W2113" t="inlineStr">
        <is>
          <t>1994-07-13</t>
        </is>
      </c>
      <c r="X2113" t="inlineStr">
        <is>
          <t>1994-07-13</t>
        </is>
      </c>
      <c r="Y2113" t="inlineStr">
        <is>
          <t>1990-06-13</t>
        </is>
      </c>
      <c r="Z2113" t="inlineStr">
        <is>
          <t>1990-06-13</t>
        </is>
      </c>
      <c r="AA2113" t="n">
        <v>511</v>
      </c>
      <c r="AB2113" t="n">
        <v>485</v>
      </c>
      <c r="AC2113" t="n">
        <v>590</v>
      </c>
      <c r="AD2113" t="n">
        <v>3</v>
      </c>
      <c r="AE2113" t="n">
        <v>5</v>
      </c>
      <c r="AF2113" t="n">
        <v>24</v>
      </c>
      <c r="AG2113" t="n">
        <v>28</v>
      </c>
      <c r="AH2113" t="n">
        <v>8</v>
      </c>
      <c r="AI2113" t="n">
        <v>9</v>
      </c>
      <c r="AJ2113" t="n">
        <v>7</v>
      </c>
      <c r="AK2113" t="n">
        <v>7</v>
      </c>
      <c r="AL2113" t="n">
        <v>14</v>
      </c>
      <c r="AM2113" t="n">
        <v>16</v>
      </c>
      <c r="AN2113" t="n">
        <v>2</v>
      </c>
      <c r="AO2113" t="n">
        <v>4</v>
      </c>
      <c r="AP2113" t="n">
        <v>0</v>
      </c>
      <c r="AQ2113" t="n">
        <v>0</v>
      </c>
      <c r="AR2113" t="inlineStr">
        <is>
          <t>No</t>
        </is>
      </c>
      <c r="AS2113" t="inlineStr">
        <is>
          <t>Yes</t>
        </is>
      </c>
      <c r="AT2113">
        <f>HYPERLINK("http://catalog.hathitrust.org/Record/101989936","HathiTrust Record")</f>
        <v/>
      </c>
      <c r="AU2113">
        <f>HYPERLINK("https://creighton-primo.hosted.exlibrisgroup.com/primo-explore/search?tab=default_tab&amp;search_scope=EVERYTHING&amp;vid=01CRU&amp;lang=en_US&amp;offset=0&amp;query=any,contains,991004660789702656","Catalog Record")</f>
        <v/>
      </c>
      <c r="AV2113">
        <f>HYPERLINK("http://www.worldcat.org/oclc/4496728","WorldCat Record")</f>
        <v/>
      </c>
      <c r="AW2113" t="inlineStr">
        <is>
          <t>1935073974:eng</t>
        </is>
      </c>
      <c r="AX2113" t="inlineStr">
        <is>
          <t>4496728</t>
        </is>
      </c>
      <c r="AY2113" t="inlineStr">
        <is>
          <t>991004660789702656</t>
        </is>
      </c>
      <c r="AZ2113" t="inlineStr">
        <is>
          <t>991004660789702656</t>
        </is>
      </c>
      <c r="BA2113" t="inlineStr">
        <is>
          <t>2268534640002656</t>
        </is>
      </c>
      <c r="BB2113" t="inlineStr">
        <is>
          <t>BOOK</t>
        </is>
      </c>
      <c r="BD2113" t="inlineStr">
        <is>
          <t>9780689109300</t>
        </is>
      </c>
      <c r="BE2113" t="inlineStr">
        <is>
          <t>32285000191386</t>
        </is>
      </c>
      <c r="BF2113" t="inlineStr">
        <is>
          <t>893722540</t>
        </is>
      </c>
    </row>
    <row r="2114">
      <c r="A2114" t="inlineStr">
        <is>
          <t>No</t>
        </is>
      </c>
      <c r="B2114" t="inlineStr">
        <is>
          <t>CURAL</t>
        </is>
      </c>
      <c r="C2114" t="inlineStr">
        <is>
          <t>SHELVES</t>
        </is>
      </c>
      <c r="D2114" t="inlineStr">
        <is>
          <t>PR4803.H44 Z7113 1998</t>
        </is>
      </c>
      <c r="E2114" t="inlineStr">
        <is>
          <t>0                      PR 4803000H  44                 Z  7113        1998</t>
        </is>
      </c>
      <c r="F2114" t="inlineStr">
        <is>
          <t>Hopkins re-constructed : life, poetry, and the tradition / Justus George Lawler.</t>
        </is>
      </c>
      <c r="H2114" t="inlineStr">
        <is>
          <t>No</t>
        </is>
      </c>
      <c r="I2114" t="inlineStr">
        <is>
          <t>1</t>
        </is>
      </c>
      <c r="J2114" t="inlineStr">
        <is>
          <t>No</t>
        </is>
      </c>
      <c r="K2114" t="inlineStr">
        <is>
          <t>No</t>
        </is>
      </c>
      <c r="L2114" t="inlineStr">
        <is>
          <t>0</t>
        </is>
      </c>
      <c r="M2114" t="inlineStr">
        <is>
          <t>Lawler, Justus George.</t>
        </is>
      </c>
      <c r="N2114" t="inlineStr">
        <is>
          <t>New York : Continuum, 1998.</t>
        </is>
      </c>
      <c r="O2114" t="inlineStr">
        <is>
          <t>1998</t>
        </is>
      </c>
      <c r="Q2114" t="inlineStr">
        <is>
          <t>eng</t>
        </is>
      </c>
      <c r="R2114" t="inlineStr">
        <is>
          <t>nyu</t>
        </is>
      </c>
      <c r="T2114" t="inlineStr">
        <is>
          <t xml:space="preserve">PR </t>
        </is>
      </c>
      <c r="U2114" t="n">
        <v>2</v>
      </c>
      <c r="V2114" t="n">
        <v>2</v>
      </c>
      <c r="W2114" t="inlineStr">
        <is>
          <t>2003-07-02</t>
        </is>
      </c>
      <c r="X2114" t="inlineStr">
        <is>
          <t>2003-07-02</t>
        </is>
      </c>
      <c r="Y2114" t="inlineStr">
        <is>
          <t>1998-03-05</t>
        </is>
      </c>
      <c r="Z2114" t="inlineStr">
        <is>
          <t>1998-03-05</t>
        </is>
      </c>
      <c r="AA2114" t="n">
        <v>370</v>
      </c>
      <c r="AB2114" t="n">
        <v>308</v>
      </c>
      <c r="AC2114" t="n">
        <v>347</v>
      </c>
      <c r="AD2114" t="n">
        <v>5</v>
      </c>
      <c r="AE2114" t="n">
        <v>5</v>
      </c>
      <c r="AF2114" t="n">
        <v>27</v>
      </c>
      <c r="AG2114" t="n">
        <v>30</v>
      </c>
      <c r="AH2114" t="n">
        <v>9</v>
      </c>
      <c r="AI2114" t="n">
        <v>10</v>
      </c>
      <c r="AJ2114" t="n">
        <v>6</v>
      </c>
      <c r="AK2114" t="n">
        <v>7</v>
      </c>
      <c r="AL2114" t="n">
        <v>17</v>
      </c>
      <c r="AM2114" t="n">
        <v>18</v>
      </c>
      <c r="AN2114" t="n">
        <v>4</v>
      </c>
      <c r="AO2114" t="n">
        <v>4</v>
      </c>
      <c r="AP2114" t="n">
        <v>0</v>
      </c>
      <c r="AQ2114" t="n">
        <v>0</v>
      </c>
      <c r="AR2114" t="inlineStr">
        <is>
          <t>No</t>
        </is>
      </c>
      <c r="AS2114" t="inlineStr">
        <is>
          <t>Yes</t>
        </is>
      </c>
      <c r="AT2114">
        <f>HYPERLINK("http://catalog.hathitrust.org/Record/003969235","HathiTrust Record")</f>
        <v/>
      </c>
      <c r="AU2114">
        <f>HYPERLINK("https://creighton-primo.hosted.exlibrisgroup.com/primo-explore/search?tab=default_tab&amp;search_scope=EVERYTHING&amp;vid=01CRU&amp;lang=en_US&amp;offset=0&amp;query=any,contains,991002812079702656","Catalog Record")</f>
        <v/>
      </c>
      <c r="AV2114">
        <f>HYPERLINK("http://www.worldcat.org/oclc/36942533","WorldCat Record")</f>
        <v/>
      </c>
      <c r="AW2114" t="inlineStr">
        <is>
          <t>52149:eng</t>
        </is>
      </c>
      <c r="AX2114" t="inlineStr">
        <is>
          <t>36942533</t>
        </is>
      </c>
      <c r="AY2114" t="inlineStr">
        <is>
          <t>991002812079702656</t>
        </is>
      </c>
      <c r="AZ2114" t="inlineStr">
        <is>
          <t>991002812079702656</t>
        </is>
      </c>
      <c r="BA2114" t="inlineStr">
        <is>
          <t>2270308380002656</t>
        </is>
      </c>
      <c r="BB2114" t="inlineStr">
        <is>
          <t>BOOK</t>
        </is>
      </c>
      <c r="BD2114" t="inlineStr">
        <is>
          <t>9780826410580</t>
        </is>
      </c>
      <c r="BE2114" t="inlineStr">
        <is>
          <t>32285003356713</t>
        </is>
      </c>
      <c r="BF2114" t="inlineStr">
        <is>
          <t>893341889</t>
        </is>
      </c>
    </row>
    <row r="2115">
      <c r="A2115" t="inlineStr">
        <is>
          <t>No</t>
        </is>
      </c>
      <c r="B2115" t="inlineStr">
        <is>
          <t>CURAL</t>
        </is>
      </c>
      <c r="C2115" t="inlineStr">
        <is>
          <t>SHELVES</t>
        </is>
      </c>
      <c r="D2115" t="inlineStr">
        <is>
          <t>PR4803.H44 Z7177</t>
        </is>
      </c>
      <c r="E2115" t="inlineStr">
        <is>
          <t>0                      PR 4803000H  44                 Z  7177</t>
        </is>
      </c>
      <c r="F2115" t="inlineStr">
        <is>
          <t>The language of Gerard Manley Hopkins / James Milroy.</t>
        </is>
      </c>
      <c r="H2115" t="inlineStr">
        <is>
          <t>No</t>
        </is>
      </c>
      <c r="I2115" t="inlineStr">
        <is>
          <t>1</t>
        </is>
      </c>
      <c r="J2115" t="inlineStr">
        <is>
          <t>No</t>
        </is>
      </c>
      <c r="K2115" t="inlineStr">
        <is>
          <t>No</t>
        </is>
      </c>
      <c r="L2115" t="inlineStr">
        <is>
          <t>0</t>
        </is>
      </c>
      <c r="M2115" t="inlineStr">
        <is>
          <t>Milroy, James.</t>
        </is>
      </c>
      <c r="N2115" t="inlineStr">
        <is>
          <t>London : Deutsch, 1977.</t>
        </is>
      </c>
      <c r="O2115" t="inlineStr">
        <is>
          <t>1977</t>
        </is>
      </c>
      <c r="Q2115" t="inlineStr">
        <is>
          <t>eng</t>
        </is>
      </c>
      <c r="R2115" t="inlineStr">
        <is>
          <t>enk</t>
        </is>
      </c>
      <c r="S2115" t="inlineStr">
        <is>
          <t>The Language library</t>
        </is>
      </c>
      <c r="T2115" t="inlineStr">
        <is>
          <t xml:space="preserve">PR </t>
        </is>
      </c>
      <c r="U2115" t="n">
        <v>3</v>
      </c>
      <c r="V2115" t="n">
        <v>3</v>
      </c>
      <c r="W2115" t="inlineStr">
        <is>
          <t>2009-05-05</t>
        </is>
      </c>
      <c r="X2115" t="inlineStr">
        <is>
          <t>2009-05-05</t>
        </is>
      </c>
      <c r="Y2115" t="inlineStr">
        <is>
          <t>1994-05-12</t>
        </is>
      </c>
      <c r="Z2115" t="inlineStr">
        <is>
          <t>1994-05-12</t>
        </is>
      </c>
      <c r="AA2115" t="n">
        <v>450</v>
      </c>
      <c r="AB2115" t="n">
        <v>265</v>
      </c>
      <c r="AC2115" t="n">
        <v>267</v>
      </c>
      <c r="AD2115" t="n">
        <v>5</v>
      </c>
      <c r="AE2115" t="n">
        <v>5</v>
      </c>
      <c r="AF2115" t="n">
        <v>23</v>
      </c>
      <c r="AG2115" t="n">
        <v>23</v>
      </c>
      <c r="AH2115" t="n">
        <v>7</v>
      </c>
      <c r="AI2115" t="n">
        <v>7</v>
      </c>
      <c r="AJ2115" t="n">
        <v>6</v>
      </c>
      <c r="AK2115" t="n">
        <v>6</v>
      </c>
      <c r="AL2115" t="n">
        <v>15</v>
      </c>
      <c r="AM2115" t="n">
        <v>15</v>
      </c>
      <c r="AN2115" t="n">
        <v>4</v>
      </c>
      <c r="AO2115" t="n">
        <v>4</v>
      </c>
      <c r="AP2115" t="n">
        <v>0</v>
      </c>
      <c r="AQ2115" t="n">
        <v>0</v>
      </c>
      <c r="AR2115" t="inlineStr">
        <is>
          <t>No</t>
        </is>
      </c>
      <c r="AS2115" t="inlineStr">
        <is>
          <t>Yes</t>
        </is>
      </c>
      <c r="AT2115">
        <f>HYPERLINK("http://catalog.hathitrust.org/Record/000093200","HathiTrust Record")</f>
        <v/>
      </c>
      <c r="AU2115">
        <f>HYPERLINK("https://creighton-primo.hosted.exlibrisgroup.com/primo-explore/search?tab=default_tab&amp;search_scope=EVERYTHING&amp;vid=01CRU&amp;lang=en_US&amp;offset=0&amp;query=any,contains,991004490639702656","Catalog Record")</f>
        <v/>
      </c>
      <c r="AV2115">
        <f>HYPERLINK("http://www.worldcat.org/oclc/3658841","WorldCat Record")</f>
        <v/>
      </c>
      <c r="AW2115" t="inlineStr">
        <is>
          <t>11253933:eng</t>
        </is>
      </c>
      <c r="AX2115" t="inlineStr">
        <is>
          <t>3658841</t>
        </is>
      </c>
      <c r="AY2115" t="inlineStr">
        <is>
          <t>991004490639702656</t>
        </is>
      </c>
      <c r="AZ2115" t="inlineStr">
        <is>
          <t>991004490639702656</t>
        </is>
      </c>
      <c r="BA2115" t="inlineStr">
        <is>
          <t>2254988220002656</t>
        </is>
      </c>
      <c r="BB2115" t="inlineStr">
        <is>
          <t>BOOK</t>
        </is>
      </c>
      <c r="BD2115" t="inlineStr">
        <is>
          <t>9780233969169</t>
        </is>
      </c>
      <c r="BE2115" t="inlineStr">
        <is>
          <t>32285001910867</t>
        </is>
      </c>
      <c r="BF2115" t="inlineStr">
        <is>
          <t>893536011</t>
        </is>
      </c>
    </row>
    <row r="2116">
      <c r="A2116" t="inlineStr">
        <is>
          <t>No</t>
        </is>
      </c>
      <c r="B2116" t="inlineStr">
        <is>
          <t>CURAL</t>
        </is>
      </c>
      <c r="C2116" t="inlineStr">
        <is>
          <t>SHELVES</t>
        </is>
      </c>
      <c r="D2116" t="inlineStr">
        <is>
          <t>PR4803.H44 Z718 1970</t>
        </is>
      </c>
      <c r="E2116" t="inlineStr">
        <is>
          <t>0                      PR 4803000H  44                 Z  718         1970</t>
        </is>
      </c>
      <c r="F2116" t="inlineStr">
        <is>
          <t>A commentary on the sonnets of G. M. Hopkins.</t>
        </is>
      </c>
      <c r="H2116" t="inlineStr">
        <is>
          <t>No</t>
        </is>
      </c>
      <c r="I2116" t="inlineStr">
        <is>
          <t>1</t>
        </is>
      </c>
      <c r="J2116" t="inlineStr">
        <is>
          <t>No</t>
        </is>
      </c>
      <c r="K2116" t="inlineStr">
        <is>
          <t>No</t>
        </is>
      </c>
      <c r="L2116" t="inlineStr">
        <is>
          <t>0</t>
        </is>
      </c>
      <c r="M2116" t="inlineStr">
        <is>
          <t>Milward, Peter.</t>
        </is>
      </c>
      <c r="N2116" t="inlineStr">
        <is>
          <t>London : C. Hurst, 1970, c1969.</t>
        </is>
      </c>
      <c r="O2116" t="inlineStr">
        <is>
          <t>1970</t>
        </is>
      </c>
      <c r="Q2116" t="inlineStr">
        <is>
          <t>eng</t>
        </is>
      </c>
      <c r="R2116" t="inlineStr">
        <is>
          <t>enk</t>
        </is>
      </c>
      <c r="T2116" t="inlineStr">
        <is>
          <t xml:space="preserve">PR </t>
        </is>
      </c>
      <c r="U2116" t="n">
        <v>13</v>
      </c>
      <c r="V2116" t="n">
        <v>13</v>
      </c>
      <c r="W2116" t="inlineStr">
        <is>
          <t>2000-07-17</t>
        </is>
      </c>
      <c r="X2116" t="inlineStr">
        <is>
          <t>2000-07-17</t>
        </is>
      </c>
      <c r="Y2116" t="inlineStr">
        <is>
          <t>1994-08-23</t>
        </is>
      </c>
      <c r="Z2116" t="inlineStr">
        <is>
          <t>1994-08-23</t>
        </is>
      </c>
      <c r="AA2116" t="n">
        <v>65</v>
      </c>
      <c r="AB2116" t="n">
        <v>43</v>
      </c>
      <c r="AC2116" t="n">
        <v>378</v>
      </c>
      <c r="AD2116" t="n">
        <v>1</v>
      </c>
      <c r="AE2116" t="n">
        <v>2</v>
      </c>
      <c r="AF2116" t="n">
        <v>3</v>
      </c>
      <c r="AG2116" t="n">
        <v>33</v>
      </c>
      <c r="AH2116" t="n">
        <v>1</v>
      </c>
      <c r="AI2116" t="n">
        <v>12</v>
      </c>
      <c r="AJ2116" t="n">
        <v>0</v>
      </c>
      <c r="AK2116" t="n">
        <v>8</v>
      </c>
      <c r="AL2116" t="n">
        <v>3</v>
      </c>
      <c r="AM2116" t="n">
        <v>22</v>
      </c>
      <c r="AN2116" t="n">
        <v>0</v>
      </c>
      <c r="AO2116" t="n">
        <v>1</v>
      </c>
      <c r="AP2116" t="n">
        <v>0</v>
      </c>
      <c r="AQ2116" t="n">
        <v>0</v>
      </c>
      <c r="AR2116" t="inlineStr">
        <is>
          <t>No</t>
        </is>
      </c>
      <c r="AS2116" t="inlineStr">
        <is>
          <t>Yes</t>
        </is>
      </c>
      <c r="AT2116">
        <f>HYPERLINK("http://catalog.hathitrust.org/Record/000481947","HathiTrust Record")</f>
        <v/>
      </c>
      <c r="AU2116">
        <f>HYPERLINK("https://creighton-primo.hosted.exlibrisgroup.com/primo-explore/search?tab=default_tab&amp;search_scope=EVERYTHING&amp;vid=01CRU&amp;lang=en_US&amp;offset=0&amp;query=any,contains,991000644829702656","Catalog Record")</f>
        <v/>
      </c>
      <c r="AV2116">
        <f>HYPERLINK("http://www.worldcat.org/oclc/110954","WorldCat Record")</f>
        <v/>
      </c>
      <c r="AW2116" t="inlineStr">
        <is>
          <t>1224362:eng</t>
        </is>
      </c>
      <c r="AX2116" t="inlineStr">
        <is>
          <t>110954</t>
        </is>
      </c>
      <c r="AY2116" t="inlineStr">
        <is>
          <t>991000644829702656</t>
        </is>
      </c>
      <c r="AZ2116" t="inlineStr">
        <is>
          <t>991000644829702656</t>
        </is>
      </c>
      <c r="BA2116" t="inlineStr">
        <is>
          <t>2266568780002656</t>
        </is>
      </c>
      <c r="BB2116" t="inlineStr">
        <is>
          <t>BOOK</t>
        </is>
      </c>
      <c r="BD2116" t="inlineStr">
        <is>
          <t>9780900966484</t>
        </is>
      </c>
      <c r="BE2116" t="inlineStr">
        <is>
          <t>32285001938413</t>
        </is>
      </c>
      <c r="BF2116" t="inlineStr">
        <is>
          <t>893595749</t>
        </is>
      </c>
    </row>
    <row r="2117">
      <c r="A2117" t="inlineStr">
        <is>
          <t>No</t>
        </is>
      </c>
      <c r="B2117" t="inlineStr">
        <is>
          <t>CURAL</t>
        </is>
      </c>
      <c r="C2117" t="inlineStr">
        <is>
          <t>SHELVES</t>
        </is>
      </c>
      <c r="D2117" t="inlineStr">
        <is>
          <t>PR4803.H44 Z77</t>
        </is>
      </c>
      <c r="E2117" t="inlineStr">
        <is>
          <t>0                      PR 4803000H  44                 Z  77</t>
        </is>
      </c>
      <c r="F2117" t="inlineStr">
        <is>
          <t>Gerard Manley Hopkins, priest and poet [by] John Pick.</t>
        </is>
      </c>
      <c r="H2117" t="inlineStr">
        <is>
          <t>No</t>
        </is>
      </c>
      <c r="I2117" t="inlineStr">
        <is>
          <t>1</t>
        </is>
      </c>
      <c r="J2117" t="inlineStr">
        <is>
          <t>No</t>
        </is>
      </c>
      <c r="K2117" t="inlineStr">
        <is>
          <t>No</t>
        </is>
      </c>
      <c r="L2117" t="inlineStr">
        <is>
          <t>0</t>
        </is>
      </c>
      <c r="M2117" t="inlineStr">
        <is>
          <t>Pick, John.</t>
        </is>
      </c>
      <c r="N2117" t="inlineStr">
        <is>
          <t>London, New York, Oxford University Press, 1942.</t>
        </is>
      </c>
      <c r="O2117" t="inlineStr">
        <is>
          <t>1942</t>
        </is>
      </c>
      <c r="Q2117" t="inlineStr">
        <is>
          <t>eng</t>
        </is>
      </c>
      <c r="R2117" t="inlineStr">
        <is>
          <t>enk</t>
        </is>
      </c>
      <c r="T2117" t="inlineStr">
        <is>
          <t xml:space="preserve">PR </t>
        </is>
      </c>
      <c r="U2117" t="n">
        <v>1</v>
      </c>
      <c r="V2117" t="n">
        <v>1</v>
      </c>
      <c r="W2117" t="inlineStr">
        <is>
          <t>2008-06-23</t>
        </is>
      </c>
      <c r="X2117" t="inlineStr">
        <is>
          <t>2008-06-23</t>
        </is>
      </c>
      <c r="Y2117" t="inlineStr">
        <is>
          <t>1997-07-15</t>
        </is>
      </c>
      <c r="Z2117" t="inlineStr">
        <is>
          <t>1997-07-15</t>
        </is>
      </c>
      <c r="AA2117" t="n">
        <v>480</v>
      </c>
      <c r="AB2117" t="n">
        <v>407</v>
      </c>
      <c r="AC2117" t="n">
        <v>913</v>
      </c>
      <c r="AD2117" t="n">
        <v>5</v>
      </c>
      <c r="AE2117" t="n">
        <v>10</v>
      </c>
      <c r="AF2117" t="n">
        <v>35</v>
      </c>
      <c r="AG2117" t="n">
        <v>49</v>
      </c>
      <c r="AH2117" t="n">
        <v>11</v>
      </c>
      <c r="AI2117" t="n">
        <v>19</v>
      </c>
      <c r="AJ2117" t="n">
        <v>7</v>
      </c>
      <c r="AK2117" t="n">
        <v>9</v>
      </c>
      <c r="AL2117" t="n">
        <v>24</v>
      </c>
      <c r="AM2117" t="n">
        <v>27</v>
      </c>
      <c r="AN2117" t="n">
        <v>3</v>
      </c>
      <c r="AO2117" t="n">
        <v>7</v>
      </c>
      <c r="AP2117" t="n">
        <v>0</v>
      </c>
      <c r="AQ2117" t="n">
        <v>0</v>
      </c>
      <c r="AR2117" t="inlineStr">
        <is>
          <t>No</t>
        </is>
      </c>
      <c r="AS2117" t="inlineStr">
        <is>
          <t>Yes</t>
        </is>
      </c>
      <c r="AT2117">
        <f>HYPERLINK("http://catalog.hathitrust.org/Record/000589773","HathiTrust Record")</f>
        <v/>
      </c>
      <c r="AU2117">
        <f>HYPERLINK("https://creighton-primo.hosted.exlibrisgroup.com/primo-explore/search?tab=default_tab&amp;search_scope=EVERYTHING&amp;vid=01CRU&amp;lang=en_US&amp;offset=0&amp;query=any,contains,991003223429702656","Catalog Record")</f>
        <v/>
      </c>
      <c r="AV2117">
        <f>HYPERLINK("http://www.worldcat.org/oclc/748707","WorldCat Record")</f>
        <v/>
      </c>
      <c r="AW2117" t="inlineStr">
        <is>
          <t>1855201650:eng</t>
        </is>
      </c>
      <c r="AX2117" t="inlineStr">
        <is>
          <t>748707</t>
        </is>
      </c>
      <c r="AY2117" t="inlineStr">
        <is>
          <t>991003223429702656</t>
        </is>
      </c>
      <c r="AZ2117" t="inlineStr">
        <is>
          <t>991003223429702656</t>
        </is>
      </c>
      <c r="BA2117" t="inlineStr">
        <is>
          <t>2255226220002656</t>
        </is>
      </c>
      <c r="BB2117" t="inlineStr">
        <is>
          <t>BOOK</t>
        </is>
      </c>
      <c r="BE2117" t="inlineStr">
        <is>
          <t>32285002923364</t>
        </is>
      </c>
      <c r="BF2117" t="inlineStr">
        <is>
          <t>893899738</t>
        </is>
      </c>
    </row>
    <row r="2118">
      <c r="A2118" t="inlineStr">
        <is>
          <t>No</t>
        </is>
      </c>
      <c r="B2118" t="inlineStr">
        <is>
          <t>CURAL</t>
        </is>
      </c>
      <c r="C2118" t="inlineStr">
        <is>
          <t>SHELVES</t>
        </is>
      </c>
      <c r="D2118" t="inlineStr">
        <is>
          <t>PR4803.H44 Z795</t>
        </is>
      </c>
      <c r="E2118" t="inlineStr">
        <is>
          <t>0                      PR 4803000H  44                 Z  795</t>
        </is>
      </c>
      <c r="F2118" t="inlineStr">
        <is>
          <t>In extremity : a study of Gerard Manley Hopkins / John Robinson.</t>
        </is>
      </c>
      <c r="H2118" t="inlineStr">
        <is>
          <t>No</t>
        </is>
      </c>
      <c r="I2118" t="inlineStr">
        <is>
          <t>1</t>
        </is>
      </c>
      <c r="J2118" t="inlineStr">
        <is>
          <t>No</t>
        </is>
      </c>
      <c r="K2118" t="inlineStr">
        <is>
          <t>No</t>
        </is>
      </c>
      <c r="L2118" t="inlineStr">
        <is>
          <t>0</t>
        </is>
      </c>
      <c r="M2118" t="inlineStr">
        <is>
          <t>Robinson, John, 1943 June 27-</t>
        </is>
      </c>
      <c r="N2118" t="inlineStr">
        <is>
          <t>Cambridge, [Eng.] ; New York : Cambridge University Press, 1978.</t>
        </is>
      </c>
      <c r="O2118" t="inlineStr">
        <is>
          <t>1978</t>
        </is>
      </c>
      <c r="Q2118" t="inlineStr">
        <is>
          <t>eng</t>
        </is>
      </c>
      <c r="R2118" t="inlineStr">
        <is>
          <t>enk</t>
        </is>
      </c>
      <c r="T2118" t="inlineStr">
        <is>
          <t xml:space="preserve">PR </t>
        </is>
      </c>
      <c r="U2118" t="n">
        <v>3</v>
      </c>
      <c r="V2118" t="n">
        <v>3</v>
      </c>
      <c r="W2118" t="inlineStr">
        <is>
          <t>1992-08-29</t>
        </is>
      </c>
      <c r="X2118" t="inlineStr">
        <is>
          <t>1992-08-29</t>
        </is>
      </c>
      <c r="Y2118" t="inlineStr">
        <is>
          <t>1991-11-12</t>
        </is>
      </c>
      <c r="Z2118" t="inlineStr">
        <is>
          <t>1991-11-12</t>
        </is>
      </c>
      <c r="AA2118" t="n">
        <v>884</v>
      </c>
      <c r="AB2118" t="n">
        <v>698</v>
      </c>
      <c r="AC2118" t="n">
        <v>733</v>
      </c>
      <c r="AD2118" t="n">
        <v>8</v>
      </c>
      <c r="AE2118" t="n">
        <v>8</v>
      </c>
      <c r="AF2118" t="n">
        <v>37</v>
      </c>
      <c r="AG2118" t="n">
        <v>39</v>
      </c>
      <c r="AH2118" t="n">
        <v>12</v>
      </c>
      <c r="AI2118" t="n">
        <v>13</v>
      </c>
      <c r="AJ2118" t="n">
        <v>10</v>
      </c>
      <c r="AK2118" t="n">
        <v>11</v>
      </c>
      <c r="AL2118" t="n">
        <v>19</v>
      </c>
      <c r="AM2118" t="n">
        <v>20</v>
      </c>
      <c r="AN2118" t="n">
        <v>6</v>
      </c>
      <c r="AO2118" t="n">
        <v>6</v>
      </c>
      <c r="AP2118" t="n">
        <v>0</v>
      </c>
      <c r="AQ2118" t="n">
        <v>0</v>
      </c>
      <c r="AR2118" t="inlineStr">
        <is>
          <t>No</t>
        </is>
      </c>
      <c r="AS2118" t="inlineStr">
        <is>
          <t>No</t>
        </is>
      </c>
      <c r="AU2118">
        <f>HYPERLINK("https://creighton-primo.hosted.exlibrisgroup.com/primo-explore/search?tab=default_tab&amp;search_scope=EVERYTHING&amp;vid=01CRU&amp;lang=en_US&amp;offset=0&amp;query=any,contains,991004333839702656","Catalog Record")</f>
        <v/>
      </c>
      <c r="AV2118">
        <f>HYPERLINK("http://www.worldcat.org/oclc/3071400","WorldCat Record")</f>
        <v/>
      </c>
      <c r="AW2118" t="inlineStr">
        <is>
          <t>864032130:eng</t>
        </is>
      </c>
      <c r="AX2118" t="inlineStr">
        <is>
          <t>3071400</t>
        </is>
      </c>
      <c r="AY2118" t="inlineStr">
        <is>
          <t>991004333839702656</t>
        </is>
      </c>
      <c r="AZ2118" t="inlineStr">
        <is>
          <t>991004333839702656</t>
        </is>
      </c>
      <c r="BA2118" t="inlineStr">
        <is>
          <t>2267798970002656</t>
        </is>
      </c>
      <c r="BB2118" t="inlineStr">
        <is>
          <t>BOOK</t>
        </is>
      </c>
      <c r="BD2118" t="inlineStr">
        <is>
          <t>9780521216906</t>
        </is>
      </c>
      <c r="BE2118" t="inlineStr">
        <is>
          <t>32285000821768</t>
        </is>
      </c>
      <c r="BF2118" t="inlineStr">
        <is>
          <t>893500428</t>
        </is>
      </c>
    </row>
    <row r="2119">
      <c r="A2119" t="inlineStr">
        <is>
          <t>No</t>
        </is>
      </c>
      <c r="B2119" t="inlineStr">
        <is>
          <t>CURAL</t>
        </is>
      </c>
      <c r="C2119" t="inlineStr">
        <is>
          <t>SHELVES</t>
        </is>
      </c>
      <c r="D2119" t="inlineStr">
        <is>
          <t>PR4803.H44 Z8</t>
        </is>
      </c>
      <c r="E2119" t="inlineStr">
        <is>
          <t>0                      PR 4803000H  44                 Z  8</t>
        </is>
      </c>
      <c r="F2119" t="inlineStr">
        <is>
          <t>Gerard Manley Hopkins, a life.</t>
        </is>
      </c>
      <c r="H2119" t="inlineStr">
        <is>
          <t>No</t>
        </is>
      </c>
      <c r="I2119" t="inlineStr">
        <is>
          <t>1</t>
        </is>
      </c>
      <c r="J2119" t="inlineStr">
        <is>
          <t>No</t>
        </is>
      </c>
      <c r="K2119" t="inlineStr">
        <is>
          <t>No</t>
        </is>
      </c>
      <c r="L2119" t="inlineStr">
        <is>
          <t>0</t>
        </is>
      </c>
      <c r="M2119" t="inlineStr">
        <is>
          <t>Ruggles, Eleanor, 1916-</t>
        </is>
      </c>
      <c r="N2119" t="inlineStr">
        <is>
          <t>New York, W. W. Norton &amp; company, inc. [1944]</t>
        </is>
      </c>
      <c r="O2119" t="inlineStr">
        <is>
          <t>1944</t>
        </is>
      </c>
      <c r="Q2119" t="inlineStr">
        <is>
          <t>eng</t>
        </is>
      </c>
      <c r="R2119" t="inlineStr">
        <is>
          <t xml:space="preserve">xx </t>
        </is>
      </c>
      <c r="T2119" t="inlineStr">
        <is>
          <t xml:space="preserve">PR </t>
        </is>
      </c>
      <c r="U2119" t="n">
        <v>1</v>
      </c>
      <c r="V2119" t="n">
        <v>1</v>
      </c>
      <c r="W2119" t="inlineStr">
        <is>
          <t>2010-06-25</t>
        </is>
      </c>
      <c r="X2119" t="inlineStr">
        <is>
          <t>2010-06-25</t>
        </is>
      </c>
      <c r="Y2119" t="inlineStr">
        <is>
          <t>1997-07-15</t>
        </is>
      </c>
      <c r="Z2119" t="inlineStr">
        <is>
          <t>1997-07-15</t>
        </is>
      </c>
      <c r="AA2119" t="n">
        <v>445</v>
      </c>
      <c r="AB2119" t="n">
        <v>413</v>
      </c>
      <c r="AC2119" t="n">
        <v>723</v>
      </c>
      <c r="AD2119" t="n">
        <v>4</v>
      </c>
      <c r="AE2119" t="n">
        <v>6</v>
      </c>
      <c r="AF2119" t="n">
        <v>33</v>
      </c>
      <c r="AG2119" t="n">
        <v>39</v>
      </c>
      <c r="AH2119" t="n">
        <v>11</v>
      </c>
      <c r="AI2119" t="n">
        <v>15</v>
      </c>
      <c r="AJ2119" t="n">
        <v>7</v>
      </c>
      <c r="AK2119" t="n">
        <v>8</v>
      </c>
      <c r="AL2119" t="n">
        <v>24</v>
      </c>
      <c r="AM2119" t="n">
        <v>24</v>
      </c>
      <c r="AN2119" t="n">
        <v>2</v>
      </c>
      <c r="AO2119" t="n">
        <v>4</v>
      </c>
      <c r="AP2119" t="n">
        <v>0</v>
      </c>
      <c r="AQ2119" t="n">
        <v>0</v>
      </c>
      <c r="AR2119" t="inlineStr">
        <is>
          <t>No</t>
        </is>
      </c>
      <c r="AS2119" t="inlineStr">
        <is>
          <t>Yes</t>
        </is>
      </c>
      <c r="AT2119">
        <f>HYPERLINK("http://catalog.hathitrust.org/Record/006060107","HathiTrust Record")</f>
        <v/>
      </c>
      <c r="AU2119">
        <f>HYPERLINK("https://creighton-primo.hosted.exlibrisgroup.com/primo-explore/search?tab=default_tab&amp;search_scope=EVERYTHING&amp;vid=01CRU&amp;lang=en_US&amp;offset=0&amp;query=any,contains,991003196489702656","Catalog Record")</f>
        <v/>
      </c>
      <c r="AV2119">
        <f>HYPERLINK("http://www.worldcat.org/oclc/721953","WorldCat Record")</f>
        <v/>
      </c>
      <c r="AW2119" t="inlineStr">
        <is>
          <t>1326743:eng</t>
        </is>
      </c>
      <c r="AX2119" t="inlineStr">
        <is>
          <t>721953</t>
        </is>
      </c>
      <c r="AY2119" t="inlineStr">
        <is>
          <t>991003196489702656</t>
        </is>
      </c>
      <c r="AZ2119" t="inlineStr">
        <is>
          <t>991003196489702656</t>
        </is>
      </c>
      <c r="BA2119" t="inlineStr">
        <is>
          <t>2258782440002656</t>
        </is>
      </c>
      <c r="BB2119" t="inlineStr">
        <is>
          <t>BOOK</t>
        </is>
      </c>
      <c r="BE2119" t="inlineStr">
        <is>
          <t>32285002923372</t>
        </is>
      </c>
      <c r="BF2119" t="inlineStr">
        <is>
          <t>893623244</t>
        </is>
      </c>
    </row>
    <row r="2120">
      <c r="A2120" t="inlineStr">
        <is>
          <t>No</t>
        </is>
      </c>
      <c r="B2120" t="inlineStr">
        <is>
          <t>CURAL</t>
        </is>
      </c>
      <c r="C2120" t="inlineStr">
        <is>
          <t>SHELVES</t>
        </is>
      </c>
      <c r="D2120" t="inlineStr">
        <is>
          <t>PR4803.H44 Z826 1994</t>
        </is>
      </c>
      <c r="E2120" t="inlineStr">
        <is>
          <t>0                      PR 4803000H  44                 Z  826         1994</t>
        </is>
      </c>
      <c r="F2120" t="inlineStr">
        <is>
          <t>Saving beauty : further studies in Hopkins / edited by Michael E. Allsopp, David Anthony Downes.</t>
        </is>
      </c>
      <c r="H2120" t="inlineStr">
        <is>
          <t>No</t>
        </is>
      </c>
      <c r="I2120" t="inlineStr">
        <is>
          <t>1</t>
        </is>
      </c>
      <c r="J2120" t="inlineStr">
        <is>
          <t>No</t>
        </is>
      </c>
      <c r="K2120" t="inlineStr">
        <is>
          <t>No</t>
        </is>
      </c>
      <c r="L2120" t="inlineStr">
        <is>
          <t>0</t>
        </is>
      </c>
      <c r="N2120" t="inlineStr">
        <is>
          <t>New York : Garland Pub., 1994.</t>
        </is>
      </c>
      <c r="O2120" t="inlineStr">
        <is>
          <t>1994</t>
        </is>
      </c>
      <c r="Q2120" t="inlineStr">
        <is>
          <t>eng</t>
        </is>
      </c>
      <c r="R2120" t="inlineStr">
        <is>
          <t>nyu</t>
        </is>
      </c>
      <c r="S2120" t="inlineStr">
        <is>
          <t>Garland reference library of the humanities ; vol. 1587</t>
        </is>
      </c>
      <c r="T2120" t="inlineStr">
        <is>
          <t xml:space="preserve">PR </t>
        </is>
      </c>
      <c r="U2120" t="n">
        <v>2</v>
      </c>
      <c r="V2120" t="n">
        <v>2</v>
      </c>
      <c r="W2120" t="inlineStr">
        <is>
          <t>1996-07-15</t>
        </is>
      </c>
      <c r="X2120" t="inlineStr">
        <is>
          <t>1996-07-15</t>
        </is>
      </c>
      <c r="Y2120" t="inlineStr">
        <is>
          <t>1995-04-05</t>
        </is>
      </c>
      <c r="Z2120" t="inlineStr">
        <is>
          <t>1995-04-05</t>
        </is>
      </c>
      <c r="AA2120" t="n">
        <v>232</v>
      </c>
      <c r="AB2120" t="n">
        <v>178</v>
      </c>
      <c r="AC2120" t="n">
        <v>178</v>
      </c>
      <c r="AD2120" t="n">
        <v>3</v>
      </c>
      <c r="AE2120" t="n">
        <v>3</v>
      </c>
      <c r="AF2120" t="n">
        <v>17</v>
      </c>
      <c r="AG2120" t="n">
        <v>17</v>
      </c>
      <c r="AH2120" t="n">
        <v>6</v>
      </c>
      <c r="AI2120" t="n">
        <v>6</v>
      </c>
      <c r="AJ2120" t="n">
        <v>3</v>
      </c>
      <c r="AK2120" t="n">
        <v>3</v>
      </c>
      <c r="AL2120" t="n">
        <v>12</v>
      </c>
      <c r="AM2120" t="n">
        <v>12</v>
      </c>
      <c r="AN2120" t="n">
        <v>2</v>
      </c>
      <c r="AO2120" t="n">
        <v>2</v>
      </c>
      <c r="AP2120" t="n">
        <v>0</v>
      </c>
      <c r="AQ2120" t="n">
        <v>0</v>
      </c>
      <c r="AR2120" t="inlineStr">
        <is>
          <t>No</t>
        </is>
      </c>
      <c r="AS2120" t="inlineStr">
        <is>
          <t>No</t>
        </is>
      </c>
      <c r="AU2120">
        <f>HYPERLINK("https://creighton-primo.hosted.exlibrisgroup.com/primo-explore/search?tab=default_tab&amp;search_scope=EVERYTHING&amp;vid=01CRU&amp;lang=en_US&amp;offset=0&amp;query=any,contains,991002257699702656","Catalog Record")</f>
        <v/>
      </c>
      <c r="AV2120">
        <f>HYPERLINK("http://www.worldcat.org/oclc/29256067","WorldCat Record")</f>
        <v/>
      </c>
      <c r="AW2120" t="inlineStr">
        <is>
          <t>836946450:eng</t>
        </is>
      </c>
      <c r="AX2120" t="inlineStr">
        <is>
          <t>29256067</t>
        </is>
      </c>
      <c r="AY2120" t="inlineStr">
        <is>
          <t>991002257699702656</t>
        </is>
      </c>
      <c r="AZ2120" t="inlineStr">
        <is>
          <t>991002257699702656</t>
        </is>
      </c>
      <c r="BA2120" t="inlineStr">
        <is>
          <t>2264748730002656</t>
        </is>
      </c>
      <c r="BB2120" t="inlineStr">
        <is>
          <t>BOOK</t>
        </is>
      </c>
      <c r="BD2120" t="inlineStr">
        <is>
          <t>9780815308348</t>
        </is>
      </c>
      <c r="BE2120" t="inlineStr">
        <is>
          <t>32285002016607</t>
        </is>
      </c>
      <c r="BF2120" t="inlineStr">
        <is>
          <t>893347292</t>
        </is>
      </c>
    </row>
    <row r="2121">
      <c r="A2121" t="inlineStr">
        <is>
          <t>No</t>
        </is>
      </c>
      <c r="B2121" t="inlineStr">
        <is>
          <t>CURAL</t>
        </is>
      </c>
      <c r="C2121" t="inlineStr">
        <is>
          <t>SHELVES</t>
        </is>
      </c>
      <c r="D2121" t="inlineStr">
        <is>
          <t>PR4803.H44 Z848 1980</t>
        </is>
      </c>
      <c r="E2121" t="inlineStr">
        <is>
          <t>0                      PR 4803000H  44                 Z  848         1980</t>
        </is>
      </c>
      <c r="F2121" t="inlineStr">
        <is>
          <t>A counterpoint of dissonance : the aesthetics and poetry of Gerard Manley Hopkins / Michael Sprinker.</t>
        </is>
      </c>
      <c r="H2121" t="inlineStr">
        <is>
          <t>No</t>
        </is>
      </c>
      <c r="I2121" t="inlineStr">
        <is>
          <t>1</t>
        </is>
      </c>
      <c r="J2121" t="inlineStr">
        <is>
          <t>No</t>
        </is>
      </c>
      <c r="K2121" t="inlineStr">
        <is>
          <t>No</t>
        </is>
      </c>
      <c r="L2121" t="inlineStr">
        <is>
          <t>0</t>
        </is>
      </c>
      <c r="M2121" t="inlineStr">
        <is>
          <t>Sprinker, Michael.</t>
        </is>
      </c>
      <c r="N2121" t="inlineStr">
        <is>
          <t>Baltimore : Johns Hopkins University Press, c1980.</t>
        </is>
      </c>
      <c r="O2121" t="inlineStr">
        <is>
          <t>1980</t>
        </is>
      </c>
      <c r="Q2121" t="inlineStr">
        <is>
          <t>eng</t>
        </is>
      </c>
      <c r="R2121" t="inlineStr">
        <is>
          <t>mdu</t>
        </is>
      </c>
      <c r="T2121" t="inlineStr">
        <is>
          <t xml:space="preserve">PR </t>
        </is>
      </c>
      <c r="U2121" t="n">
        <v>1</v>
      </c>
      <c r="V2121" t="n">
        <v>1</v>
      </c>
      <c r="W2121" t="inlineStr">
        <is>
          <t>1996-11-01</t>
        </is>
      </c>
      <c r="X2121" t="inlineStr">
        <is>
          <t>1996-11-01</t>
        </is>
      </c>
      <c r="Y2121" t="inlineStr">
        <is>
          <t>1991-11-12</t>
        </is>
      </c>
      <c r="Z2121" t="inlineStr">
        <is>
          <t>1991-11-12</t>
        </is>
      </c>
      <c r="AA2121" t="n">
        <v>585</v>
      </c>
      <c r="AB2121" t="n">
        <v>471</v>
      </c>
      <c r="AC2121" t="n">
        <v>480</v>
      </c>
      <c r="AD2121" t="n">
        <v>3</v>
      </c>
      <c r="AE2121" t="n">
        <v>3</v>
      </c>
      <c r="AF2121" t="n">
        <v>35</v>
      </c>
      <c r="AG2121" t="n">
        <v>35</v>
      </c>
      <c r="AH2121" t="n">
        <v>15</v>
      </c>
      <c r="AI2121" t="n">
        <v>15</v>
      </c>
      <c r="AJ2121" t="n">
        <v>8</v>
      </c>
      <c r="AK2121" t="n">
        <v>8</v>
      </c>
      <c r="AL2121" t="n">
        <v>21</v>
      </c>
      <c r="AM2121" t="n">
        <v>21</v>
      </c>
      <c r="AN2121" t="n">
        <v>2</v>
      </c>
      <c r="AO2121" t="n">
        <v>2</v>
      </c>
      <c r="AP2121" t="n">
        <v>0</v>
      </c>
      <c r="AQ2121" t="n">
        <v>0</v>
      </c>
      <c r="AR2121" t="inlineStr">
        <is>
          <t>No</t>
        </is>
      </c>
      <c r="AS2121" t="inlineStr">
        <is>
          <t>Yes</t>
        </is>
      </c>
      <c r="AT2121">
        <f>HYPERLINK("http://catalog.hathitrust.org/Record/000744799","HathiTrust Record")</f>
        <v/>
      </c>
      <c r="AU2121">
        <f>HYPERLINK("https://creighton-primo.hosted.exlibrisgroup.com/primo-explore/search?tab=default_tab&amp;search_scope=EVERYTHING&amp;vid=01CRU&amp;lang=en_US&amp;offset=0&amp;query=any,contains,991004943569702656","Catalog Record")</f>
        <v/>
      </c>
      <c r="AV2121">
        <f>HYPERLINK("http://www.worldcat.org/oclc/6196289","WorldCat Record")</f>
        <v/>
      </c>
      <c r="AW2121" t="inlineStr">
        <is>
          <t>578205:eng</t>
        </is>
      </c>
      <c r="AX2121" t="inlineStr">
        <is>
          <t>6196289</t>
        </is>
      </c>
      <c r="AY2121" t="inlineStr">
        <is>
          <t>991004943569702656</t>
        </is>
      </c>
      <c r="AZ2121" t="inlineStr">
        <is>
          <t>991004943569702656</t>
        </is>
      </c>
      <c r="BA2121" t="inlineStr">
        <is>
          <t>2266306310002656</t>
        </is>
      </c>
      <c r="BB2121" t="inlineStr">
        <is>
          <t>BOOK</t>
        </is>
      </c>
      <c r="BD2121" t="inlineStr">
        <is>
          <t>9780801824029</t>
        </is>
      </c>
      <c r="BE2121" t="inlineStr">
        <is>
          <t>32285000821784</t>
        </is>
      </c>
      <c r="BF2121" t="inlineStr">
        <is>
          <t>893795431</t>
        </is>
      </c>
    </row>
    <row r="2122">
      <c r="A2122" t="inlineStr">
        <is>
          <t>No</t>
        </is>
      </c>
      <c r="B2122" t="inlineStr">
        <is>
          <t>CURAL</t>
        </is>
      </c>
      <c r="C2122" t="inlineStr">
        <is>
          <t>SHELVES</t>
        </is>
      </c>
      <c r="D2122" t="inlineStr">
        <is>
          <t>PR4803.H44 Z853 1981</t>
        </is>
      </c>
      <c r="E2122" t="inlineStr">
        <is>
          <t>0                      PR 4803000H  44                 Z  853         1981</t>
        </is>
      </c>
      <c r="F2122" t="inlineStr">
        <is>
          <t>A preface to Hopkins / Graham Storey.</t>
        </is>
      </c>
      <c r="H2122" t="inlineStr">
        <is>
          <t>No</t>
        </is>
      </c>
      <c r="I2122" t="inlineStr">
        <is>
          <t>1</t>
        </is>
      </c>
      <c r="J2122" t="inlineStr">
        <is>
          <t>No</t>
        </is>
      </c>
      <c r="K2122" t="inlineStr">
        <is>
          <t>No</t>
        </is>
      </c>
      <c r="L2122" t="inlineStr">
        <is>
          <t>0</t>
        </is>
      </c>
      <c r="M2122" t="inlineStr">
        <is>
          <t>Storey, Graham, 1920-2005.</t>
        </is>
      </c>
      <c r="N2122" t="inlineStr">
        <is>
          <t>London ; New York : Longman, 1981.</t>
        </is>
      </c>
      <c r="O2122" t="inlineStr">
        <is>
          <t>1981</t>
        </is>
      </c>
      <c r="Q2122" t="inlineStr">
        <is>
          <t>eng</t>
        </is>
      </c>
      <c r="R2122" t="inlineStr">
        <is>
          <t>enk</t>
        </is>
      </c>
      <c r="S2122" t="inlineStr">
        <is>
          <t>Preface books</t>
        </is>
      </c>
      <c r="T2122" t="inlineStr">
        <is>
          <t xml:space="preserve">PR </t>
        </is>
      </c>
      <c r="U2122" t="n">
        <v>2</v>
      </c>
      <c r="V2122" t="n">
        <v>2</v>
      </c>
      <c r="W2122" t="inlineStr">
        <is>
          <t>1992-06-16</t>
        </is>
      </c>
      <c r="X2122" t="inlineStr">
        <is>
          <t>1992-06-16</t>
        </is>
      </c>
      <c r="Y2122" t="inlineStr">
        <is>
          <t>1991-11-12</t>
        </is>
      </c>
      <c r="Z2122" t="inlineStr">
        <is>
          <t>1991-11-12</t>
        </is>
      </c>
      <c r="AA2122" t="n">
        <v>719</v>
      </c>
      <c r="AB2122" t="n">
        <v>535</v>
      </c>
      <c r="AC2122" t="n">
        <v>617</v>
      </c>
      <c r="AD2122" t="n">
        <v>6</v>
      </c>
      <c r="AE2122" t="n">
        <v>6</v>
      </c>
      <c r="AF2122" t="n">
        <v>32</v>
      </c>
      <c r="AG2122" t="n">
        <v>36</v>
      </c>
      <c r="AH2122" t="n">
        <v>14</v>
      </c>
      <c r="AI2122" t="n">
        <v>16</v>
      </c>
      <c r="AJ2122" t="n">
        <v>8</v>
      </c>
      <c r="AK2122" t="n">
        <v>9</v>
      </c>
      <c r="AL2122" t="n">
        <v>16</v>
      </c>
      <c r="AM2122" t="n">
        <v>20</v>
      </c>
      <c r="AN2122" t="n">
        <v>5</v>
      </c>
      <c r="AO2122" t="n">
        <v>5</v>
      </c>
      <c r="AP2122" t="n">
        <v>0</v>
      </c>
      <c r="AQ2122" t="n">
        <v>0</v>
      </c>
      <c r="AR2122" t="inlineStr">
        <is>
          <t>No</t>
        </is>
      </c>
      <c r="AS2122" t="inlineStr">
        <is>
          <t>Yes</t>
        </is>
      </c>
      <c r="AT2122">
        <f>HYPERLINK("http://catalog.hathitrust.org/Record/000189254","HathiTrust Record")</f>
        <v/>
      </c>
      <c r="AU2122">
        <f>HYPERLINK("https://creighton-primo.hosted.exlibrisgroup.com/primo-explore/search?tab=default_tab&amp;search_scope=EVERYTHING&amp;vid=01CRU&amp;lang=en_US&amp;offset=0&amp;query=any,contains,991004956019702656","Catalog Record")</f>
        <v/>
      </c>
      <c r="AV2122">
        <f>HYPERLINK("http://www.worldcat.org/oclc/6278349","WorldCat Record")</f>
        <v/>
      </c>
      <c r="AW2122" t="inlineStr">
        <is>
          <t>511999:eng</t>
        </is>
      </c>
      <c r="AX2122" t="inlineStr">
        <is>
          <t>6278349</t>
        </is>
      </c>
      <c r="AY2122" t="inlineStr">
        <is>
          <t>991004956019702656</t>
        </is>
      </c>
      <c r="AZ2122" t="inlineStr">
        <is>
          <t>991004956019702656</t>
        </is>
      </c>
      <c r="BA2122" t="inlineStr">
        <is>
          <t>2266951240002656</t>
        </is>
      </c>
      <c r="BB2122" t="inlineStr">
        <is>
          <t>BOOK</t>
        </is>
      </c>
      <c r="BD2122" t="inlineStr">
        <is>
          <t>9780582352513</t>
        </is>
      </c>
      <c r="BE2122" t="inlineStr">
        <is>
          <t>32285000821800</t>
        </is>
      </c>
      <c r="BF2122" t="inlineStr">
        <is>
          <t>893254261</t>
        </is>
      </c>
    </row>
    <row r="2123">
      <c r="A2123" t="inlineStr">
        <is>
          <t>No</t>
        </is>
      </c>
      <c r="B2123" t="inlineStr">
        <is>
          <t>CURAL</t>
        </is>
      </c>
      <c r="C2123" t="inlineStr">
        <is>
          <t>SHELVES</t>
        </is>
      </c>
      <c r="D2123" t="inlineStr">
        <is>
          <t>PR4803.H44 Z917</t>
        </is>
      </c>
      <c r="E2123" t="inlineStr">
        <is>
          <t>0                      PR 4803000H  44                 Z  917</t>
        </is>
      </c>
      <c r="F2123" t="inlineStr">
        <is>
          <t>Send my roots rain : a study of religious experience in the poetry of Gerard Manley Hopkins / Donald Walhout.</t>
        </is>
      </c>
      <c r="H2123" t="inlineStr">
        <is>
          <t>No</t>
        </is>
      </c>
      <c r="I2123" t="inlineStr">
        <is>
          <t>1</t>
        </is>
      </c>
      <c r="J2123" t="inlineStr">
        <is>
          <t>No</t>
        </is>
      </c>
      <c r="K2123" t="inlineStr">
        <is>
          <t>No</t>
        </is>
      </c>
      <c r="L2123" t="inlineStr">
        <is>
          <t>0</t>
        </is>
      </c>
      <c r="M2123" t="inlineStr">
        <is>
          <t>Walhout, Donald.</t>
        </is>
      </c>
      <c r="N2123" t="inlineStr">
        <is>
          <t>Athens, Ohio : Ohio University Press, [1981]</t>
        </is>
      </c>
      <c r="O2123" t="inlineStr">
        <is>
          <t>1981</t>
        </is>
      </c>
      <c r="Q2123" t="inlineStr">
        <is>
          <t>eng</t>
        </is>
      </c>
      <c r="R2123" t="inlineStr">
        <is>
          <t>ohu</t>
        </is>
      </c>
      <c r="T2123" t="inlineStr">
        <is>
          <t xml:space="preserve">PR </t>
        </is>
      </c>
      <c r="U2123" t="n">
        <v>8</v>
      </c>
      <c r="V2123" t="n">
        <v>8</v>
      </c>
      <c r="W2123" t="inlineStr">
        <is>
          <t>2000-11-19</t>
        </is>
      </c>
      <c r="X2123" t="inlineStr">
        <is>
          <t>2000-11-19</t>
        </is>
      </c>
      <c r="Y2123" t="inlineStr">
        <is>
          <t>1991-11-12</t>
        </is>
      </c>
      <c r="Z2123" t="inlineStr">
        <is>
          <t>1991-11-12</t>
        </is>
      </c>
      <c r="AA2123" t="n">
        <v>688</v>
      </c>
      <c r="AB2123" t="n">
        <v>585</v>
      </c>
      <c r="AC2123" t="n">
        <v>592</v>
      </c>
      <c r="AD2123" t="n">
        <v>6</v>
      </c>
      <c r="AE2123" t="n">
        <v>6</v>
      </c>
      <c r="AF2123" t="n">
        <v>43</v>
      </c>
      <c r="AG2123" t="n">
        <v>43</v>
      </c>
      <c r="AH2123" t="n">
        <v>18</v>
      </c>
      <c r="AI2123" t="n">
        <v>18</v>
      </c>
      <c r="AJ2123" t="n">
        <v>10</v>
      </c>
      <c r="AK2123" t="n">
        <v>10</v>
      </c>
      <c r="AL2123" t="n">
        <v>22</v>
      </c>
      <c r="AM2123" t="n">
        <v>22</v>
      </c>
      <c r="AN2123" t="n">
        <v>5</v>
      </c>
      <c r="AO2123" t="n">
        <v>5</v>
      </c>
      <c r="AP2123" t="n">
        <v>0</v>
      </c>
      <c r="AQ2123" t="n">
        <v>0</v>
      </c>
      <c r="AR2123" t="inlineStr">
        <is>
          <t>No</t>
        </is>
      </c>
      <c r="AS2123" t="inlineStr">
        <is>
          <t>Yes</t>
        </is>
      </c>
      <c r="AT2123">
        <f>HYPERLINK("http://catalog.hathitrust.org/Record/000085297","HathiTrust Record")</f>
        <v/>
      </c>
      <c r="AU2123">
        <f>HYPERLINK("https://creighton-primo.hosted.exlibrisgroup.com/primo-explore/search?tab=default_tab&amp;search_scope=EVERYTHING&amp;vid=01CRU&amp;lang=en_US&amp;offset=0&amp;query=any,contains,991005029749702656","Catalog Record")</f>
        <v/>
      </c>
      <c r="AV2123">
        <f>HYPERLINK("http://www.worldcat.org/oclc/6709028","WorldCat Record")</f>
        <v/>
      </c>
      <c r="AW2123" t="inlineStr">
        <is>
          <t>292561057:eng</t>
        </is>
      </c>
      <c r="AX2123" t="inlineStr">
        <is>
          <t>6709028</t>
        </is>
      </c>
      <c r="AY2123" t="inlineStr">
        <is>
          <t>991005029749702656</t>
        </is>
      </c>
      <c r="AZ2123" t="inlineStr">
        <is>
          <t>991005029749702656</t>
        </is>
      </c>
      <c r="BA2123" t="inlineStr">
        <is>
          <t>2256553040002656</t>
        </is>
      </c>
      <c r="BB2123" t="inlineStr">
        <is>
          <t>BOOK</t>
        </is>
      </c>
      <c r="BD2123" t="inlineStr">
        <is>
          <t>9780821405659</t>
        </is>
      </c>
      <c r="BE2123" t="inlineStr">
        <is>
          <t>32285000821818</t>
        </is>
      </c>
      <c r="BF2123" t="inlineStr">
        <is>
          <t>893513927</t>
        </is>
      </c>
    </row>
    <row r="2124">
      <c r="A2124" t="inlineStr">
        <is>
          <t>No</t>
        </is>
      </c>
      <c r="B2124" t="inlineStr">
        <is>
          <t>CURAL</t>
        </is>
      </c>
      <c r="C2124" t="inlineStr">
        <is>
          <t>SHELVES</t>
        </is>
      </c>
      <c r="D2124" t="inlineStr">
        <is>
          <t>PR4803.H44 Z924 1992</t>
        </is>
      </c>
      <c r="E2124" t="inlineStr">
        <is>
          <t>0                      PR 4803000H  44                 Z  924         1992</t>
        </is>
      </c>
      <c r="F2124" t="inlineStr">
        <is>
          <t>Hopkins : a literary biography / Norman White.</t>
        </is>
      </c>
      <c r="H2124" t="inlineStr">
        <is>
          <t>No</t>
        </is>
      </c>
      <c r="I2124" t="inlineStr">
        <is>
          <t>1</t>
        </is>
      </c>
      <c r="J2124" t="inlineStr">
        <is>
          <t>No</t>
        </is>
      </c>
      <c r="K2124" t="inlineStr">
        <is>
          <t>No</t>
        </is>
      </c>
      <c r="L2124" t="inlineStr">
        <is>
          <t>0</t>
        </is>
      </c>
      <c r="M2124" t="inlineStr">
        <is>
          <t>White, Norman, 1937-</t>
        </is>
      </c>
      <c r="N2124" t="inlineStr">
        <is>
          <t>Oxford : Clarendon press ; New York : Oxford University Press, 1992.</t>
        </is>
      </c>
      <c r="O2124" t="inlineStr">
        <is>
          <t>1992</t>
        </is>
      </c>
      <c r="Q2124" t="inlineStr">
        <is>
          <t>eng</t>
        </is>
      </c>
      <c r="R2124" t="inlineStr">
        <is>
          <t>enk</t>
        </is>
      </c>
      <c r="T2124" t="inlineStr">
        <is>
          <t xml:space="preserve">PR </t>
        </is>
      </c>
      <c r="U2124" t="n">
        <v>5</v>
      </c>
      <c r="V2124" t="n">
        <v>5</v>
      </c>
      <c r="W2124" t="inlineStr">
        <is>
          <t>1996-11-26</t>
        </is>
      </c>
      <c r="X2124" t="inlineStr">
        <is>
          <t>1996-11-26</t>
        </is>
      </c>
      <c r="Y2124" t="inlineStr">
        <is>
          <t>1992-06-10</t>
        </is>
      </c>
      <c r="Z2124" t="inlineStr">
        <is>
          <t>1992-06-10</t>
        </is>
      </c>
      <c r="AA2124" t="n">
        <v>787</v>
      </c>
      <c r="AB2124" t="n">
        <v>588</v>
      </c>
      <c r="AC2124" t="n">
        <v>635</v>
      </c>
      <c r="AD2124" t="n">
        <v>7</v>
      </c>
      <c r="AE2124" t="n">
        <v>7</v>
      </c>
      <c r="AF2124" t="n">
        <v>42</v>
      </c>
      <c r="AG2124" t="n">
        <v>42</v>
      </c>
      <c r="AH2124" t="n">
        <v>17</v>
      </c>
      <c r="AI2124" t="n">
        <v>17</v>
      </c>
      <c r="AJ2124" t="n">
        <v>9</v>
      </c>
      <c r="AK2124" t="n">
        <v>9</v>
      </c>
      <c r="AL2124" t="n">
        <v>23</v>
      </c>
      <c r="AM2124" t="n">
        <v>23</v>
      </c>
      <c r="AN2124" t="n">
        <v>6</v>
      </c>
      <c r="AO2124" t="n">
        <v>6</v>
      </c>
      <c r="AP2124" t="n">
        <v>0</v>
      </c>
      <c r="AQ2124" t="n">
        <v>0</v>
      </c>
      <c r="AR2124" t="inlineStr">
        <is>
          <t>No</t>
        </is>
      </c>
      <c r="AS2124" t="inlineStr">
        <is>
          <t>Yes</t>
        </is>
      </c>
      <c r="AT2124">
        <f>HYPERLINK("http://catalog.hathitrust.org/Record/002595057","HathiTrust Record")</f>
        <v/>
      </c>
      <c r="AU2124">
        <f>HYPERLINK("https://creighton-primo.hosted.exlibrisgroup.com/primo-explore/search?tab=default_tab&amp;search_scope=EVERYTHING&amp;vid=01CRU&amp;lang=en_US&amp;offset=0&amp;query=any,contains,991001908219702656","Catalog Record")</f>
        <v/>
      </c>
      <c r="AV2124">
        <f>HYPERLINK("http://www.worldcat.org/oclc/24106110","WorldCat Record")</f>
        <v/>
      </c>
      <c r="AW2124" t="inlineStr">
        <is>
          <t>25024011:eng</t>
        </is>
      </c>
      <c r="AX2124" t="inlineStr">
        <is>
          <t>24106110</t>
        </is>
      </c>
      <c r="AY2124" t="inlineStr">
        <is>
          <t>991001908219702656</t>
        </is>
      </c>
      <c r="AZ2124" t="inlineStr">
        <is>
          <t>991001908219702656</t>
        </is>
      </c>
      <c r="BA2124" t="inlineStr">
        <is>
          <t>2255910530002656</t>
        </is>
      </c>
      <c r="BB2124" t="inlineStr">
        <is>
          <t>BOOK</t>
        </is>
      </c>
      <c r="BD2124" t="inlineStr">
        <is>
          <t>9780198120995</t>
        </is>
      </c>
      <c r="BE2124" t="inlineStr">
        <is>
          <t>32285001128049</t>
        </is>
      </c>
      <c r="BF2124" t="inlineStr">
        <is>
          <t>893879286</t>
        </is>
      </c>
    </row>
    <row r="2125">
      <c r="A2125" t="inlineStr">
        <is>
          <t>No</t>
        </is>
      </c>
      <c r="B2125" t="inlineStr">
        <is>
          <t>CURAL</t>
        </is>
      </c>
      <c r="C2125" t="inlineStr">
        <is>
          <t>SHELVES</t>
        </is>
      </c>
      <c r="D2125" t="inlineStr">
        <is>
          <t>PR4809.H15 A735</t>
        </is>
      </c>
      <c r="E2125" t="inlineStr">
        <is>
          <t>0                      PR 4809000H  15                 A  735</t>
        </is>
      </c>
      <c r="F2125" t="inlineStr">
        <is>
          <t>Housman's land of lost content; a critical study of A Shropshire Lad, by B. J. Leggett.</t>
        </is>
      </c>
      <c r="H2125" t="inlineStr">
        <is>
          <t>No</t>
        </is>
      </c>
      <c r="I2125" t="inlineStr">
        <is>
          <t>1</t>
        </is>
      </c>
      <c r="J2125" t="inlineStr">
        <is>
          <t>No</t>
        </is>
      </c>
      <c r="K2125" t="inlineStr">
        <is>
          <t>No</t>
        </is>
      </c>
      <c r="L2125" t="inlineStr">
        <is>
          <t>0</t>
        </is>
      </c>
      <c r="M2125" t="inlineStr">
        <is>
          <t>Leggett, B. J. (Bobby Joe), 1938-</t>
        </is>
      </c>
      <c r="N2125" t="inlineStr">
        <is>
          <t>Knoxville, University of Tennessee Press [1970]</t>
        </is>
      </c>
      <c r="O2125" t="inlineStr">
        <is>
          <t>1970</t>
        </is>
      </c>
      <c r="P2125" t="inlineStr">
        <is>
          <t>[1st ed.]</t>
        </is>
      </c>
      <c r="Q2125" t="inlineStr">
        <is>
          <t>eng</t>
        </is>
      </c>
      <c r="R2125" t="inlineStr">
        <is>
          <t>tnu</t>
        </is>
      </c>
      <c r="T2125" t="inlineStr">
        <is>
          <t xml:space="preserve">PR </t>
        </is>
      </c>
      <c r="U2125" t="n">
        <v>3</v>
      </c>
      <c r="V2125" t="n">
        <v>3</v>
      </c>
      <c r="W2125" t="inlineStr">
        <is>
          <t>1993-02-23</t>
        </is>
      </c>
      <c r="X2125" t="inlineStr">
        <is>
          <t>1993-02-23</t>
        </is>
      </c>
      <c r="Y2125" t="inlineStr">
        <is>
          <t>1992-01-28</t>
        </is>
      </c>
      <c r="Z2125" t="inlineStr">
        <is>
          <t>1992-01-28</t>
        </is>
      </c>
      <c r="AA2125" t="n">
        <v>802</v>
      </c>
      <c r="AB2125" t="n">
        <v>719</v>
      </c>
      <c r="AC2125" t="n">
        <v>727</v>
      </c>
      <c r="AD2125" t="n">
        <v>8</v>
      </c>
      <c r="AE2125" t="n">
        <v>8</v>
      </c>
      <c r="AF2125" t="n">
        <v>36</v>
      </c>
      <c r="AG2125" t="n">
        <v>36</v>
      </c>
      <c r="AH2125" t="n">
        <v>12</v>
      </c>
      <c r="AI2125" t="n">
        <v>12</v>
      </c>
      <c r="AJ2125" t="n">
        <v>6</v>
      </c>
      <c r="AK2125" t="n">
        <v>6</v>
      </c>
      <c r="AL2125" t="n">
        <v>19</v>
      </c>
      <c r="AM2125" t="n">
        <v>19</v>
      </c>
      <c r="AN2125" t="n">
        <v>7</v>
      </c>
      <c r="AO2125" t="n">
        <v>7</v>
      </c>
      <c r="AP2125" t="n">
        <v>0</v>
      </c>
      <c r="AQ2125" t="n">
        <v>0</v>
      </c>
      <c r="AR2125" t="inlineStr">
        <is>
          <t>No</t>
        </is>
      </c>
      <c r="AS2125" t="inlineStr">
        <is>
          <t>Yes</t>
        </is>
      </c>
      <c r="AT2125">
        <f>HYPERLINK("http://catalog.hathitrust.org/Record/000479380","HathiTrust Record")</f>
        <v/>
      </c>
      <c r="AU2125">
        <f>HYPERLINK("https://creighton-primo.hosted.exlibrisgroup.com/primo-explore/search?tab=default_tab&amp;search_scope=EVERYTHING&amp;vid=01CRU&amp;lang=en_US&amp;offset=0&amp;query=any,contains,991000556649702656","Catalog Record")</f>
        <v/>
      </c>
      <c r="AV2125">
        <f>HYPERLINK("http://www.worldcat.org/oclc/93208","WorldCat Record")</f>
        <v/>
      </c>
      <c r="AW2125" t="inlineStr">
        <is>
          <t>815115716:eng</t>
        </is>
      </c>
      <c r="AX2125" t="inlineStr">
        <is>
          <t>93208</t>
        </is>
      </c>
      <c r="AY2125" t="inlineStr">
        <is>
          <t>991000556649702656</t>
        </is>
      </c>
      <c r="AZ2125" t="inlineStr">
        <is>
          <t>991000556649702656</t>
        </is>
      </c>
      <c r="BA2125" t="inlineStr">
        <is>
          <t>2262993780002656</t>
        </is>
      </c>
      <c r="BB2125" t="inlineStr">
        <is>
          <t>BOOK</t>
        </is>
      </c>
      <c r="BD2125" t="inlineStr">
        <is>
          <t>9780870491061</t>
        </is>
      </c>
      <c r="BE2125" t="inlineStr">
        <is>
          <t>32285000899715</t>
        </is>
      </c>
      <c r="BF2125" t="inlineStr">
        <is>
          <t>893790636</t>
        </is>
      </c>
    </row>
    <row r="2126">
      <c r="A2126" t="inlineStr">
        <is>
          <t>No</t>
        </is>
      </c>
      <c r="B2126" t="inlineStr">
        <is>
          <t>CURAL</t>
        </is>
      </c>
      <c r="C2126" t="inlineStr">
        <is>
          <t>SHELVES</t>
        </is>
      </c>
      <c r="D2126" t="inlineStr">
        <is>
          <t>PR4809.H15 E47 2002</t>
        </is>
      </c>
      <c r="E2126" t="inlineStr">
        <is>
          <t>0                      PR 4809000H  15                 E  47          2002</t>
        </is>
      </c>
      <c r="F2126" t="inlineStr">
        <is>
          <t>The road of danger, guilt, and shame : the lonely way of A.E. Housman / Carol Efrati.</t>
        </is>
      </c>
      <c r="H2126" t="inlineStr">
        <is>
          <t>No</t>
        </is>
      </c>
      <c r="I2126" t="inlineStr">
        <is>
          <t>1</t>
        </is>
      </c>
      <c r="J2126" t="inlineStr">
        <is>
          <t>No</t>
        </is>
      </c>
      <c r="K2126" t="inlineStr">
        <is>
          <t>No</t>
        </is>
      </c>
      <c r="L2126" t="inlineStr">
        <is>
          <t>0</t>
        </is>
      </c>
      <c r="M2126" t="inlineStr">
        <is>
          <t>Efrati, Carol, 1939-</t>
        </is>
      </c>
      <c r="N2126" t="inlineStr">
        <is>
          <t>Madison, [N.J.] : Fairleigh Dickinson University Press ; London : Associated University Presses, c2002.</t>
        </is>
      </c>
      <c r="O2126" t="inlineStr">
        <is>
          <t>2002</t>
        </is>
      </c>
      <c r="Q2126" t="inlineStr">
        <is>
          <t>eng</t>
        </is>
      </c>
      <c r="R2126" t="inlineStr">
        <is>
          <t>nju</t>
        </is>
      </c>
      <c r="T2126" t="inlineStr">
        <is>
          <t xml:space="preserve">PR </t>
        </is>
      </c>
      <c r="U2126" t="n">
        <v>1</v>
      </c>
      <c r="V2126" t="n">
        <v>1</v>
      </c>
      <c r="W2126" t="inlineStr">
        <is>
          <t>2003-06-11</t>
        </is>
      </c>
      <c r="X2126" t="inlineStr">
        <is>
          <t>2003-06-11</t>
        </is>
      </c>
      <c r="Y2126" t="inlineStr">
        <is>
          <t>2003-06-11</t>
        </is>
      </c>
      <c r="Z2126" t="inlineStr">
        <is>
          <t>2003-06-11</t>
        </is>
      </c>
      <c r="AA2126" t="n">
        <v>373</v>
      </c>
      <c r="AB2126" t="n">
        <v>330</v>
      </c>
      <c r="AC2126" t="n">
        <v>337</v>
      </c>
      <c r="AD2126" t="n">
        <v>4</v>
      </c>
      <c r="AE2126" t="n">
        <v>4</v>
      </c>
      <c r="AF2126" t="n">
        <v>22</v>
      </c>
      <c r="AG2126" t="n">
        <v>22</v>
      </c>
      <c r="AH2126" t="n">
        <v>9</v>
      </c>
      <c r="AI2126" t="n">
        <v>9</v>
      </c>
      <c r="AJ2126" t="n">
        <v>5</v>
      </c>
      <c r="AK2126" t="n">
        <v>5</v>
      </c>
      <c r="AL2126" t="n">
        <v>9</v>
      </c>
      <c r="AM2126" t="n">
        <v>9</v>
      </c>
      <c r="AN2126" t="n">
        <v>3</v>
      </c>
      <c r="AO2126" t="n">
        <v>3</v>
      </c>
      <c r="AP2126" t="n">
        <v>0</v>
      </c>
      <c r="AQ2126" t="n">
        <v>0</v>
      </c>
      <c r="AR2126" t="inlineStr">
        <is>
          <t>No</t>
        </is>
      </c>
      <c r="AS2126" t="inlineStr">
        <is>
          <t>Yes</t>
        </is>
      </c>
      <c r="AT2126">
        <f>HYPERLINK("http://catalog.hathitrust.org/Record/004242684","HathiTrust Record")</f>
        <v/>
      </c>
      <c r="AU2126">
        <f>HYPERLINK("https://creighton-primo.hosted.exlibrisgroup.com/primo-explore/search?tab=default_tab&amp;search_scope=EVERYTHING&amp;vid=01CRU&amp;lang=en_US&amp;offset=0&amp;query=any,contains,991004051419702656","Catalog Record")</f>
        <v/>
      </c>
      <c r="AV2126">
        <f>HYPERLINK("http://www.worldcat.org/oclc/47097091","WorldCat Record")</f>
        <v/>
      </c>
      <c r="AW2126" t="inlineStr">
        <is>
          <t>20394012:eng</t>
        </is>
      </c>
      <c r="AX2126" t="inlineStr">
        <is>
          <t>47097091</t>
        </is>
      </c>
      <c r="AY2126" t="inlineStr">
        <is>
          <t>991004051419702656</t>
        </is>
      </c>
      <c r="AZ2126" t="inlineStr">
        <is>
          <t>991004051419702656</t>
        </is>
      </c>
      <c r="BA2126" t="inlineStr">
        <is>
          <t>2265756900002656</t>
        </is>
      </c>
      <c r="BB2126" t="inlineStr">
        <is>
          <t>BOOK</t>
        </is>
      </c>
      <c r="BD2126" t="inlineStr">
        <is>
          <t>9780838639061</t>
        </is>
      </c>
      <c r="BE2126" t="inlineStr">
        <is>
          <t>32285004752183</t>
        </is>
      </c>
      <c r="BF2126" t="inlineStr">
        <is>
          <t>893718405</t>
        </is>
      </c>
    </row>
    <row r="2127">
      <c r="A2127" t="inlineStr">
        <is>
          <t>No</t>
        </is>
      </c>
      <c r="B2127" t="inlineStr">
        <is>
          <t>CURAL</t>
        </is>
      </c>
      <c r="C2127" t="inlineStr">
        <is>
          <t>SHELVES</t>
        </is>
      </c>
      <c r="D2127" t="inlineStr">
        <is>
          <t>PR4809.H15 H25</t>
        </is>
      </c>
      <c r="E2127" t="inlineStr">
        <is>
          <t>0                      PR 4809000H  15                 H  25</t>
        </is>
      </c>
      <c r="F2127" t="inlineStr">
        <is>
          <t>A. E. Housman.</t>
        </is>
      </c>
      <c r="H2127" t="inlineStr">
        <is>
          <t>No</t>
        </is>
      </c>
      <c r="I2127" t="inlineStr">
        <is>
          <t>1</t>
        </is>
      </c>
      <c r="J2127" t="inlineStr">
        <is>
          <t>No</t>
        </is>
      </c>
      <c r="K2127" t="inlineStr">
        <is>
          <t>No</t>
        </is>
      </c>
      <c r="L2127" t="inlineStr">
        <is>
          <t>0</t>
        </is>
      </c>
      <c r="M2127" t="inlineStr">
        <is>
          <t>Haber, Tom Burns, 1900-</t>
        </is>
      </c>
      <c r="N2127" t="inlineStr">
        <is>
          <t>New York : Twayne Publishers, [1967]</t>
        </is>
      </c>
      <c r="O2127" t="inlineStr">
        <is>
          <t>1967</t>
        </is>
      </c>
      <c r="Q2127" t="inlineStr">
        <is>
          <t>eng</t>
        </is>
      </c>
      <c r="R2127" t="inlineStr">
        <is>
          <t>nyu</t>
        </is>
      </c>
      <c r="S2127" t="inlineStr">
        <is>
          <t>Twayne's English authors series, 46</t>
        </is>
      </c>
      <c r="T2127" t="inlineStr">
        <is>
          <t xml:space="preserve">PR </t>
        </is>
      </c>
      <c r="U2127" t="n">
        <v>5</v>
      </c>
      <c r="V2127" t="n">
        <v>5</v>
      </c>
      <c r="W2127" t="inlineStr">
        <is>
          <t>1993-04-03</t>
        </is>
      </c>
      <c r="X2127" t="inlineStr">
        <is>
          <t>1993-04-03</t>
        </is>
      </c>
      <c r="Y2127" t="inlineStr">
        <is>
          <t>1992-01-28</t>
        </is>
      </c>
      <c r="Z2127" t="inlineStr">
        <is>
          <t>1992-01-28</t>
        </is>
      </c>
      <c r="AA2127" t="n">
        <v>1160</v>
      </c>
      <c r="AB2127" t="n">
        <v>1057</v>
      </c>
      <c r="AC2127" t="n">
        <v>1067</v>
      </c>
      <c r="AD2127" t="n">
        <v>8</v>
      </c>
      <c r="AE2127" t="n">
        <v>8</v>
      </c>
      <c r="AF2127" t="n">
        <v>35</v>
      </c>
      <c r="AG2127" t="n">
        <v>35</v>
      </c>
      <c r="AH2127" t="n">
        <v>15</v>
      </c>
      <c r="AI2127" t="n">
        <v>15</v>
      </c>
      <c r="AJ2127" t="n">
        <v>6</v>
      </c>
      <c r="AK2127" t="n">
        <v>6</v>
      </c>
      <c r="AL2127" t="n">
        <v>16</v>
      </c>
      <c r="AM2127" t="n">
        <v>16</v>
      </c>
      <c r="AN2127" t="n">
        <v>7</v>
      </c>
      <c r="AO2127" t="n">
        <v>7</v>
      </c>
      <c r="AP2127" t="n">
        <v>0</v>
      </c>
      <c r="AQ2127" t="n">
        <v>0</v>
      </c>
      <c r="AR2127" t="inlineStr">
        <is>
          <t>No</t>
        </is>
      </c>
      <c r="AS2127" t="inlineStr">
        <is>
          <t>Yes</t>
        </is>
      </c>
      <c r="AT2127">
        <f>HYPERLINK("http://catalog.hathitrust.org/Record/000479393","HathiTrust Record")</f>
        <v/>
      </c>
      <c r="AU2127">
        <f>HYPERLINK("https://creighton-primo.hosted.exlibrisgroup.com/primo-explore/search?tab=default_tab&amp;search_scope=EVERYTHING&amp;vid=01CRU&amp;lang=en_US&amp;offset=0&amp;query=any,contains,991002469019702656","Catalog Record")</f>
        <v/>
      </c>
      <c r="AV2127">
        <f>HYPERLINK("http://www.worldcat.org/oclc/358311","WorldCat Record")</f>
        <v/>
      </c>
      <c r="AW2127" t="inlineStr">
        <is>
          <t>3945656738:eng</t>
        </is>
      </c>
      <c r="AX2127" t="inlineStr">
        <is>
          <t>358311</t>
        </is>
      </c>
      <c r="AY2127" t="inlineStr">
        <is>
          <t>991002469019702656</t>
        </is>
      </c>
      <c r="AZ2127" t="inlineStr">
        <is>
          <t>991002469019702656</t>
        </is>
      </c>
      <c r="BA2127" t="inlineStr">
        <is>
          <t>2266117180002656</t>
        </is>
      </c>
      <c r="BB2127" t="inlineStr">
        <is>
          <t>BOOK</t>
        </is>
      </c>
      <c r="BE2127" t="inlineStr">
        <is>
          <t>32285000918853</t>
        </is>
      </c>
      <c r="BF2127" t="inlineStr">
        <is>
          <t>893257327</t>
        </is>
      </c>
    </row>
    <row r="2128">
      <c r="A2128" t="inlineStr">
        <is>
          <t>No</t>
        </is>
      </c>
      <c r="B2128" t="inlineStr">
        <is>
          <t>CURAL</t>
        </is>
      </c>
      <c r="C2128" t="inlineStr">
        <is>
          <t>SHELVES</t>
        </is>
      </c>
      <c r="D2128" t="inlineStr">
        <is>
          <t>PR4809.H15 L4</t>
        </is>
      </c>
      <c r="E2128" t="inlineStr">
        <is>
          <t>0                      PR 4809000H  15                 L  4</t>
        </is>
      </c>
      <c r="F2128" t="inlineStr">
        <is>
          <t>The poetic art of A. E. Housman : theory and practice / B. J. Leggett.</t>
        </is>
      </c>
      <c r="H2128" t="inlineStr">
        <is>
          <t>No</t>
        </is>
      </c>
      <c r="I2128" t="inlineStr">
        <is>
          <t>1</t>
        </is>
      </c>
      <c r="J2128" t="inlineStr">
        <is>
          <t>No</t>
        </is>
      </c>
      <c r="K2128" t="inlineStr">
        <is>
          <t>No</t>
        </is>
      </c>
      <c r="L2128" t="inlineStr">
        <is>
          <t>0</t>
        </is>
      </c>
      <c r="M2128" t="inlineStr">
        <is>
          <t>Leggett, B. J. (Bobby Joe), 1938-</t>
        </is>
      </c>
      <c r="N2128" t="inlineStr">
        <is>
          <t>Lincoln : University of Nebraska Press, c1978.</t>
        </is>
      </c>
      <c r="O2128" t="inlineStr">
        <is>
          <t>1978</t>
        </is>
      </c>
      <c r="Q2128" t="inlineStr">
        <is>
          <t>eng</t>
        </is>
      </c>
      <c r="R2128" t="inlineStr">
        <is>
          <t>nbu</t>
        </is>
      </c>
      <c r="T2128" t="inlineStr">
        <is>
          <t xml:space="preserve">PR </t>
        </is>
      </c>
      <c r="U2128" t="n">
        <v>5</v>
      </c>
      <c r="V2128" t="n">
        <v>5</v>
      </c>
      <c r="W2128" t="inlineStr">
        <is>
          <t>1993-04-03</t>
        </is>
      </c>
      <c r="X2128" t="inlineStr">
        <is>
          <t>1993-04-03</t>
        </is>
      </c>
      <c r="Y2128" t="inlineStr">
        <is>
          <t>1991-11-12</t>
        </is>
      </c>
      <c r="Z2128" t="inlineStr">
        <is>
          <t>1991-11-12</t>
        </is>
      </c>
      <c r="AA2128" t="n">
        <v>756</v>
      </c>
      <c r="AB2128" t="n">
        <v>662</v>
      </c>
      <c r="AC2128" t="n">
        <v>666</v>
      </c>
      <c r="AD2128" t="n">
        <v>7</v>
      </c>
      <c r="AE2128" t="n">
        <v>7</v>
      </c>
      <c r="AF2128" t="n">
        <v>34</v>
      </c>
      <c r="AG2128" t="n">
        <v>34</v>
      </c>
      <c r="AH2128" t="n">
        <v>11</v>
      </c>
      <c r="AI2128" t="n">
        <v>11</v>
      </c>
      <c r="AJ2128" t="n">
        <v>9</v>
      </c>
      <c r="AK2128" t="n">
        <v>9</v>
      </c>
      <c r="AL2128" t="n">
        <v>19</v>
      </c>
      <c r="AM2128" t="n">
        <v>19</v>
      </c>
      <c r="AN2128" t="n">
        <v>4</v>
      </c>
      <c r="AO2128" t="n">
        <v>4</v>
      </c>
      <c r="AP2128" t="n">
        <v>0</v>
      </c>
      <c r="AQ2128" t="n">
        <v>0</v>
      </c>
      <c r="AR2128" t="inlineStr">
        <is>
          <t>No</t>
        </is>
      </c>
      <c r="AS2128" t="inlineStr">
        <is>
          <t>Yes</t>
        </is>
      </c>
      <c r="AT2128">
        <f>HYPERLINK("http://catalog.hathitrust.org/Record/000087441","HathiTrust Record")</f>
        <v/>
      </c>
      <c r="AU2128">
        <f>HYPERLINK("https://creighton-primo.hosted.exlibrisgroup.com/primo-explore/search?tab=default_tab&amp;search_scope=EVERYTHING&amp;vid=01CRU&amp;lang=en_US&amp;offset=0&amp;query=any,contains,991004445559702656","Catalog Record")</f>
        <v/>
      </c>
      <c r="AV2128">
        <f>HYPERLINK("http://www.worldcat.org/oclc/3481363","WorldCat Record")</f>
        <v/>
      </c>
      <c r="AW2128" t="inlineStr">
        <is>
          <t>455030:eng</t>
        </is>
      </c>
      <c r="AX2128" t="inlineStr">
        <is>
          <t>3481363</t>
        </is>
      </c>
      <c r="AY2128" t="inlineStr">
        <is>
          <t>991004445559702656</t>
        </is>
      </c>
      <c r="AZ2128" t="inlineStr">
        <is>
          <t>991004445559702656</t>
        </is>
      </c>
      <c r="BA2128" t="inlineStr">
        <is>
          <t>2264437520002656</t>
        </is>
      </c>
      <c r="BB2128" t="inlineStr">
        <is>
          <t>BOOK</t>
        </is>
      </c>
      <c r="BD2128" t="inlineStr">
        <is>
          <t>9780803209695</t>
        </is>
      </c>
      <c r="BE2128" t="inlineStr">
        <is>
          <t>32285000821834</t>
        </is>
      </c>
      <c r="BF2128" t="inlineStr">
        <is>
          <t>893430070</t>
        </is>
      </c>
    </row>
    <row r="2129">
      <c r="A2129" t="inlineStr">
        <is>
          <t>No</t>
        </is>
      </c>
      <c r="B2129" t="inlineStr">
        <is>
          <t>CURAL</t>
        </is>
      </c>
      <c r="C2129" t="inlineStr">
        <is>
          <t>SHELVES</t>
        </is>
      </c>
      <c r="D2129" t="inlineStr">
        <is>
          <t>PR4809.H15 R5 1942</t>
        </is>
      </c>
      <c r="E2129" t="inlineStr">
        <is>
          <t>0                      PR 4809000H  15                 R  5           1942</t>
        </is>
      </c>
      <c r="F2129" t="inlineStr">
        <is>
          <t>Housman, 1897-1936 / by Grant Richards, with an introduction by Mrs. E. W. Symons and appendices by G. B. A. Fletcher and others.</t>
        </is>
      </c>
      <c r="H2129" t="inlineStr">
        <is>
          <t>No</t>
        </is>
      </c>
      <c r="I2129" t="inlineStr">
        <is>
          <t>1</t>
        </is>
      </c>
      <c r="J2129" t="inlineStr">
        <is>
          <t>No</t>
        </is>
      </c>
      <c r="K2129" t="inlineStr">
        <is>
          <t>No</t>
        </is>
      </c>
      <c r="L2129" t="inlineStr">
        <is>
          <t>0</t>
        </is>
      </c>
      <c r="M2129" t="inlineStr">
        <is>
          <t>Richards, Grant, 1872-1948.</t>
        </is>
      </c>
      <c r="N2129" t="inlineStr">
        <is>
          <t>New York : Oxford University Press, 1942.</t>
        </is>
      </c>
      <c r="O2129" t="inlineStr">
        <is>
          <t>1942</t>
        </is>
      </c>
      <c r="Q2129" t="inlineStr">
        <is>
          <t>eng</t>
        </is>
      </c>
      <c r="R2129" t="inlineStr">
        <is>
          <t>nyu</t>
        </is>
      </c>
      <c r="T2129" t="inlineStr">
        <is>
          <t xml:space="preserve">PR </t>
        </is>
      </c>
      <c r="U2129" t="n">
        <v>3</v>
      </c>
      <c r="V2129" t="n">
        <v>3</v>
      </c>
      <c r="W2129" t="inlineStr">
        <is>
          <t>1993-04-03</t>
        </is>
      </c>
      <c r="X2129" t="inlineStr">
        <is>
          <t>1993-04-03</t>
        </is>
      </c>
      <c r="Y2129" t="inlineStr">
        <is>
          <t>1990-08-27</t>
        </is>
      </c>
      <c r="Z2129" t="inlineStr">
        <is>
          <t>1990-08-27</t>
        </is>
      </c>
      <c r="AA2129" t="n">
        <v>326</v>
      </c>
      <c r="AB2129" t="n">
        <v>304</v>
      </c>
      <c r="AC2129" t="n">
        <v>536</v>
      </c>
      <c r="AD2129" t="n">
        <v>4</v>
      </c>
      <c r="AE2129" t="n">
        <v>5</v>
      </c>
      <c r="AF2129" t="n">
        <v>14</v>
      </c>
      <c r="AG2129" t="n">
        <v>27</v>
      </c>
      <c r="AH2129" t="n">
        <v>3</v>
      </c>
      <c r="AI2129" t="n">
        <v>6</v>
      </c>
      <c r="AJ2129" t="n">
        <v>1</v>
      </c>
      <c r="AK2129" t="n">
        <v>7</v>
      </c>
      <c r="AL2129" t="n">
        <v>9</v>
      </c>
      <c r="AM2129" t="n">
        <v>16</v>
      </c>
      <c r="AN2129" t="n">
        <v>3</v>
      </c>
      <c r="AO2129" t="n">
        <v>4</v>
      </c>
      <c r="AP2129" t="n">
        <v>0</v>
      </c>
      <c r="AQ2129" t="n">
        <v>0</v>
      </c>
      <c r="AR2129" t="inlineStr">
        <is>
          <t>No</t>
        </is>
      </c>
      <c r="AS2129" t="inlineStr">
        <is>
          <t>No</t>
        </is>
      </c>
      <c r="AT2129">
        <f>HYPERLINK("http://catalog.hathitrust.org/Record/011741111","HathiTrust Record")</f>
        <v/>
      </c>
      <c r="AU2129">
        <f>HYPERLINK("https://creighton-primo.hosted.exlibrisgroup.com/primo-explore/search?tab=default_tab&amp;search_scope=EVERYTHING&amp;vid=01CRU&amp;lang=en_US&amp;offset=0&amp;query=any,contains,991004173199702656","Catalog Record")</f>
        <v/>
      </c>
      <c r="AV2129">
        <f>HYPERLINK("http://www.worldcat.org/oclc/2588959","WorldCat Record")</f>
        <v/>
      </c>
      <c r="AW2129" t="inlineStr">
        <is>
          <t>1554504:eng</t>
        </is>
      </c>
      <c r="AX2129" t="inlineStr">
        <is>
          <t>2588959</t>
        </is>
      </c>
      <c r="AY2129" t="inlineStr">
        <is>
          <t>991004173199702656</t>
        </is>
      </c>
      <c r="AZ2129" t="inlineStr">
        <is>
          <t>991004173199702656</t>
        </is>
      </c>
      <c r="BA2129" t="inlineStr">
        <is>
          <t>2254966650002656</t>
        </is>
      </c>
      <c r="BB2129" t="inlineStr">
        <is>
          <t>BOOK</t>
        </is>
      </c>
      <c r="BE2129" t="inlineStr">
        <is>
          <t>32285000284132</t>
        </is>
      </c>
      <c r="BF2129" t="inlineStr">
        <is>
          <t>893712242</t>
        </is>
      </c>
    </row>
    <row r="2130">
      <c r="A2130" t="inlineStr">
        <is>
          <t>No</t>
        </is>
      </c>
      <c r="B2130" t="inlineStr">
        <is>
          <t>CURAL</t>
        </is>
      </c>
      <c r="C2130" t="inlineStr">
        <is>
          <t>SHELVES</t>
        </is>
      </c>
      <c r="D2130" t="inlineStr">
        <is>
          <t>PR4809.H15 R54</t>
        </is>
      </c>
      <c r="E2130" t="inlineStr">
        <is>
          <t>0                      PR 4809000H  15                 R  54</t>
        </is>
      </c>
      <c r="F2130" t="inlineStr">
        <is>
          <t>A. E. Housman : a collection of critical essays / edited by Christopher Ricks.</t>
        </is>
      </c>
      <c r="H2130" t="inlineStr">
        <is>
          <t>No</t>
        </is>
      </c>
      <c r="I2130" t="inlineStr">
        <is>
          <t>1</t>
        </is>
      </c>
      <c r="J2130" t="inlineStr">
        <is>
          <t>No</t>
        </is>
      </c>
      <c r="K2130" t="inlineStr">
        <is>
          <t>No</t>
        </is>
      </c>
      <c r="L2130" t="inlineStr">
        <is>
          <t>0</t>
        </is>
      </c>
      <c r="M2130" t="inlineStr">
        <is>
          <t>Ricks, Christopher, 1933- compiler.</t>
        </is>
      </c>
      <c r="N2130" t="inlineStr">
        <is>
          <t>Englewood Cliffs, N.J. : Prentice-Hall, [1968]</t>
        </is>
      </c>
      <c r="O2130" t="inlineStr">
        <is>
          <t>1968</t>
        </is>
      </c>
      <c r="Q2130" t="inlineStr">
        <is>
          <t>eng</t>
        </is>
      </c>
      <c r="R2130" t="inlineStr">
        <is>
          <t>nju</t>
        </is>
      </c>
      <c r="S2130" t="inlineStr">
        <is>
          <t>Twentieth century views</t>
        </is>
      </c>
      <c r="T2130" t="inlineStr">
        <is>
          <t xml:space="preserve">PR </t>
        </is>
      </c>
      <c r="U2130" t="n">
        <v>1</v>
      </c>
      <c r="V2130" t="n">
        <v>1</v>
      </c>
      <c r="W2130" t="inlineStr">
        <is>
          <t>1992-10-08</t>
        </is>
      </c>
      <c r="X2130" t="inlineStr">
        <is>
          <t>1992-10-08</t>
        </is>
      </c>
      <c r="Y2130" t="inlineStr">
        <is>
          <t>1990-08-27</t>
        </is>
      </c>
      <c r="Z2130" t="inlineStr">
        <is>
          <t>1990-08-27</t>
        </is>
      </c>
      <c r="AA2130" t="n">
        <v>1668</v>
      </c>
      <c r="AB2130" t="n">
        <v>1495</v>
      </c>
      <c r="AC2130" t="n">
        <v>1502</v>
      </c>
      <c r="AD2130" t="n">
        <v>13</v>
      </c>
      <c r="AE2130" t="n">
        <v>13</v>
      </c>
      <c r="AF2130" t="n">
        <v>47</v>
      </c>
      <c r="AG2130" t="n">
        <v>47</v>
      </c>
      <c r="AH2130" t="n">
        <v>17</v>
      </c>
      <c r="AI2130" t="n">
        <v>17</v>
      </c>
      <c r="AJ2130" t="n">
        <v>8</v>
      </c>
      <c r="AK2130" t="n">
        <v>8</v>
      </c>
      <c r="AL2130" t="n">
        <v>20</v>
      </c>
      <c r="AM2130" t="n">
        <v>20</v>
      </c>
      <c r="AN2130" t="n">
        <v>10</v>
      </c>
      <c r="AO2130" t="n">
        <v>10</v>
      </c>
      <c r="AP2130" t="n">
        <v>0</v>
      </c>
      <c r="AQ2130" t="n">
        <v>0</v>
      </c>
      <c r="AR2130" t="inlineStr">
        <is>
          <t>No</t>
        </is>
      </c>
      <c r="AS2130" t="inlineStr">
        <is>
          <t>Yes</t>
        </is>
      </c>
      <c r="AT2130">
        <f>HYPERLINK("http://catalog.hathitrust.org/Record/000479404","HathiTrust Record")</f>
        <v/>
      </c>
      <c r="AU2130">
        <f>HYPERLINK("https://creighton-primo.hosted.exlibrisgroup.com/primo-explore/search?tab=default_tab&amp;search_scope=EVERYTHING&amp;vid=01CRU&amp;lang=en_US&amp;offset=0&amp;query=any,contains,991002803369702656","Catalog Record")</f>
        <v/>
      </c>
      <c r="AV2130">
        <f>HYPERLINK("http://www.worldcat.org/oclc/448568","WorldCat Record")</f>
        <v/>
      </c>
      <c r="AW2130" t="inlineStr">
        <is>
          <t>3901337794:eng</t>
        </is>
      </c>
      <c r="AX2130" t="inlineStr">
        <is>
          <t>448568</t>
        </is>
      </c>
      <c r="AY2130" t="inlineStr">
        <is>
          <t>991002803369702656</t>
        </is>
      </c>
      <c r="AZ2130" t="inlineStr">
        <is>
          <t>991002803369702656</t>
        </is>
      </c>
      <c r="BA2130" t="inlineStr">
        <is>
          <t>2266724360002656</t>
        </is>
      </c>
      <c r="BB2130" t="inlineStr">
        <is>
          <t>BOOK</t>
        </is>
      </c>
      <c r="BE2130" t="inlineStr">
        <is>
          <t>32285000284157</t>
        </is>
      </c>
      <c r="BF2130" t="inlineStr">
        <is>
          <t>893251631</t>
        </is>
      </c>
    </row>
    <row r="2131">
      <c r="A2131" t="inlineStr">
        <is>
          <t>No</t>
        </is>
      </c>
      <c r="B2131" t="inlineStr">
        <is>
          <t>CURAL</t>
        </is>
      </c>
      <c r="C2131" t="inlineStr">
        <is>
          <t>SHELVES</t>
        </is>
      </c>
      <c r="D2131" t="inlineStr">
        <is>
          <t>PR4834.E7 N6 1964</t>
        </is>
      </c>
      <c r="E2131" t="inlineStr">
        <is>
          <t>0                      PR 4834000E  7                  N  6           1964</t>
        </is>
      </c>
      <c r="F2131" t="inlineStr">
        <is>
          <t>An interpretation of Keats's Endymion.</t>
        </is>
      </c>
      <c r="H2131" t="inlineStr">
        <is>
          <t>No</t>
        </is>
      </c>
      <c r="I2131" t="inlineStr">
        <is>
          <t>1</t>
        </is>
      </c>
      <c r="J2131" t="inlineStr">
        <is>
          <t>No</t>
        </is>
      </c>
      <c r="K2131" t="inlineStr">
        <is>
          <t>No</t>
        </is>
      </c>
      <c r="L2131" t="inlineStr">
        <is>
          <t>0</t>
        </is>
      </c>
      <c r="M2131" t="inlineStr">
        <is>
          <t>Notcutt, Henry Clement, 1865-1935.</t>
        </is>
      </c>
      <c r="N2131" t="inlineStr">
        <is>
          <t>New York : Haskell House, 1964.</t>
        </is>
      </c>
      <c r="O2131" t="inlineStr">
        <is>
          <t>1964</t>
        </is>
      </c>
      <c r="Q2131" t="inlineStr">
        <is>
          <t>eng</t>
        </is>
      </c>
      <c r="R2131" t="inlineStr">
        <is>
          <t xml:space="preserve">xx </t>
        </is>
      </c>
      <c r="T2131" t="inlineStr">
        <is>
          <t xml:space="preserve">PR </t>
        </is>
      </c>
      <c r="U2131" t="n">
        <v>2</v>
      </c>
      <c r="V2131" t="n">
        <v>2</v>
      </c>
      <c r="W2131" t="inlineStr">
        <is>
          <t>2009-10-21</t>
        </is>
      </c>
      <c r="X2131" t="inlineStr">
        <is>
          <t>2009-10-21</t>
        </is>
      </c>
      <c r="Y2131" t="inlineStr">
        <is>
          <t>1990-07-13</t>
        </is>
      </c>
      <c r="Z2131" t="inlineStr">
        <is>
          <t>1990-07-13</t>
        </is>
      </c>
      <c r="AA2131" t="n">
        <v>289</v>
      </c>
      <c r="AB2131" t="n">
        <v>271</v>
      </c>
      <c r="AC2131" t="n">
        <v>361</v>
      </c>
      <c r="AD2131" t="n">
        <v>4</v>
      </c>
      <c r="AE2131" t="n">
        <v>4</v>
      </c>
      <c r="AF2131" t="n">
        <v>17</v>
      </c>
      <c r="AG2131" t="n">
        <v>25</v>
      </c>
      <c r="AH2131" t="n">
        <v>6</v>
      </c>
      <c r="AI2131" t="n">
        <v>8</v>
      </c>
      <c r="AJ2131" t="n">
        <v>5</v>
      </c>
      <c r="AK2131" t="n">
        <v>7</v>
      </c>
      <c r="AL2131" t="n">
        <v>8</v>
      </c>
      <c r="AM2131" t="n">
        <v>15</v>
      </c>
      <c r="AN2131" t="n">
        <v>3</v>
      </c>
      <c r="AO2131" t="n">
        <v>3</v>
      </c>
      <c r="AP2131" t="n">
        <v>0</v>
      </c>
      <c r="AQ2131" t="n">
        <v>0</v>
      </c>
      <c r="AR2131" t="inlineStr">
        <is>
          <t>No</t>
        </is>
      </c>
      <c r="AS2131" t="inlineStr">
        <is>
          <t>No</t>
        </is>
      </c>
      <c r="AU2131">
        <f>HYPERLINK("https://creighton-primo.hosted.exlibrisgroup.com/primo-explore/search?tab=default_tab&amp;search_scope=EVERYTHING&amp;vid=01CRU&amp;lang=en_US&amp;offset=0&amp;query=any,contains,991002481209702656","Catalog Record")</f>
        <v/>
      </c>
      <c r="AV2131">
        <f>HYPERLINK("http://www.worldcat.org/oclc/359773","WorldCat Record")</f>
        <v/>
      </c>
      <c r="AW2131" t="inlineStr">
        <is>
          <t>1409980:eng</t>
        </is>
      </c>
      <c r="AX2131" t="inlineStr">
        <is>
          <t>359773</t>
        </is>
      </c>
      <c r="AY2131" t="inlineStr">
        <is>
          <t>991002481209702656</t>
        </is>
      </c>
      <c r="AZ2131" t="inlineStr">
        <is>
          <t>991002481209702656</t>
        </is>
      </c>
      <c r="BA2131" t="inlineStr">
        <is>
          <t>2272454610002656</t>
        </is>
      </c>
      <c r="BB2131" t="inlineStr">
        <is>
          <t>BOOK</t>
        </is>
      </c>
      <c r="BE2131" t="inlineStr">
        <is>
          <t>32285000230127</t>
        </is>
      </c>
      <c r="BF2131" t="inlineStr">
        <is>
          <t>893898799</t>
        </is>
      </c>
    </row>
    <row r="2132">
      <c r="A2132" t="inlineStr">
        <is>
          <t>No</t>
        </is>
      </c>
      <c r="B2132" t="inlineStr">
        <is>
          <t>CURAL</t>
        </is>
      </c>
      <c r="C2132" t="inlineStr">
        <is>
          <t>SHELVES</t>
        </is>
      </c>
      <c r="D2132" t="inlineStr">
        <is>
          <t>PR4834.E83 D3</t>
        </is>
      </c>
      <c r="E2132" t="inlineStr">
        <is>
          <t>0                      PR 4834000E  83                 D  3</t>
        </is>
      </c>
      <c r="F2132" t="inlineStr">
        <is>
          <t>Twentieth century interpretations of The eve of St. Agnes; a collection of critical essays.</t>
        </is>
      </c>
      <c r="H2132" t="inlineStr">
        <is>
          <t>No</t>
        </is>
      </c>
      <c r="I2132" t="inlineStr">
        <is>
          <t>1</t>
        </is>
      </c>
      <c r="J2132" t="inlineStr">
        <is>
          <t>No</t>
        </is>
      </c>
      <c r="K2132" t="inlineStr">
        <is>
          <t>No</t>
        </is>
      </c>
      <c r="L2132" t="inlineStr">
        <is>
          <t>0</t>
        </is>
      </c>
      <c r="M2132" t="inlineStr">
        <is>
          <t>Danzig, Allan, 1931-, compiler.</t>
        </is>
      </c>
      <c r="N2132" t="inlineStr">
        <is>
          <t>Englewood Cliffs, N.J., Prentice-Hall [1971]</t>
        </is>
      </c>
      <c r="O2132" t="inlineStr">
        <is>
          <t>1971</t>
        </is>
      </c>
      <c r="Q2132" t="inlineStr">
        <is>
          <t>eng</t>
        </is>
      </c>
      <c r="R2132" t="inlineStr">
        <is>
          <t>nju</t>
        </is>
      </c>
      <c r="S2132" t="inlineStr">
        <is>
          <t>A Spectrum book</t>
        </is>
      </c>
      <c r="T2132" t="inlineStr">
        <is>
          <t xml:space="preserve">PR </t>
        </is>
      </c>
      <c r="U2132" t="n">
        <v>2</v>
      </c>
      <c r="V2132" t="n">
        <v>2</v>
      </c>
      <c r="W2132" t="inlineStr">
        <is>
          <t>1998-09-27</t>
        </is>
      </c>
      <c r="X2132" t="inlineStr">
        <is>
          <t>1998-09-27</t>
        </is>
      </c>
      <c r="Y2132" t="inlineStr">
        <is>
          <t>1997-07-15</t>
        </is>
      </c>
      <c r="Z2132" t="inlineStr">
        <is>
          <t>1997-07-15</t>
        </is>
      </c>
      <c r="AA2132" t="n">
        <v>1331</v>
      </c>
      <c r="AB2132" t="n">
        <v>1215</v>
      </c>
      <c r="AC2132" t="n">
        <v>1227</v>
      </c>
      <c r="AD2132" t="n">
        <v>13</v>
      </c>
      <c r="AE2132" t="n">
        <v>13</v>
      </c>
      <c r="AF2132" t="n">
        <v>50</v>
      </c>
      <c r="AG2132" t="n">
        <v>51</v>
      </c>
      <c r="AH2132" t="n">
        <v>19</v>
      </c>
      <c r="AI2132" t="n">
        <v>20</v>
      </c>
      <c r="AJ2132" t="n">
        <v>7</v>
      </c>
      <c r="AK2132" t="n">
        <v>7</v>
      </c>
      <c r="AL2132" t="n">
        <v>21</v>
      </c>
      <c r="AM2132" t="n">
        <v>21</v>
      </c>
      <c r="AN2132" t="n">
        <v>12</v>
      </c>
      <c r="AO2132" t="n">
        <v>12</v>
      </c>
      <c r="AP2132" t="n">
        <v>0</v>
      </c>
      <c r="AQ2132" t="n">
        <v>0</v>
      </c>
      <c r="AR2132" t="inlineStr">
        <is>
          <t>No</t>
        </is>
      </c>
      <c r="AS2132" t="inlineStr">
        <is>
          <t>Yes</t>
        </is>
      </c>
      <c r="AT2132">
        <f>HYPERLINK("http://catalog.hathitrust.org/Record/000672755","HathiTrust Record")</f>
        <v/>
      </c>
      <c r="AU2132">
        <f>HYPERLINK("https://creighton-primo.hosted.exlibrisgroup.com/primo-explore/search?tab=default_tab&amp;search_scope=EVERYTHING&amp;vid=01CRU&amp;lang=en_US&amp;offset=0&amp;query=any,contains,991000724839702656","Catalog Record")</f>
        <v/>
      </c>
      <c r="AV2132">
        <f>HYPERLINK("http://www.worldcat.org/oclc/127286","WorldCat Record")</f>
        <v/>
      </c>
      <c r="AW2132" t="inlineStr">
        <is>
          <t>508906718:eng</t>
        </is>
      </c>
      <c r="AX2132" t="inlineStr">
        <is>
          <t>127286</t>
        </is>
      </c>
      <c r="AY2132" t="inlineStr">
        <is>
          <t>991000724839702656</t>
        </is>
      </c>
      <c r="AZ2132" t="inlineStr">
        <is>
          <t>991000724839702656</t>
        </is>
      </c>
      <c r="BA2132" t="inlineStr">
        <is>
          <t>2261051180002656</t>
        </is>
      </c>
      <c r="BB2132" t="inlineStr">
        <is>
          <t>BOOK</t>
        </is>
      </c>
      <c r="BE2132" t="inlineStr">
        <is>
          <t>32285002923992</t>
        </is>
      </c>
      <c r="BF2132" t="inlineStr">
        <is>
          <t>893884697</t>
        </is>
      </c>
    </row>
    <row r="2133">
      <c r="A2133" t="inlineStr">
        <is>
          <t>No</t>
        </is>
      </c>
      <c r="B2133" t="inlineStr">
        <is>
          <t>CURAL</t>
        </is>
      </c>
      <c r="C2133" t="inlineStr">
        <is>
          <t>SHELVES</t>
        </is>
      </c>
      <c r="D2133" t="inlineStr">
        <is>
          <t>PR4836 .B3</t>
        </is>
      </c>
      <c r="E2133" t="inlineStr">
        <is>
          <t>0                      PR 4836000B  3</t>
        </is>
      </c>
      <c r="F2133" t="inlineStr">
        <is>
          <t>John Keats.</t>
        </is>
      </c>
      <c r="H2133" t="inlineStr">
        <is>
          <t>No</t>
        </is>
      </c>
      <c r="I2133" t="inlineStr">
        <is>
          <t>1</t>
        </is>
      </c>
      <c r="J2133" t="inlineStr">
        <is>
          <t>No</t>
        </is>
      </c>
      <c r="K2133" t="inlineStr">
        <is>
          <t>No</t>
        </is>
      </c>
      <c r="L2133" t="inlineStr">
        <is>
          <t>0</t>
        </is>
      </c>
      <c r="M2133" t="inlineStr">
        <is>
          <t>Bate, Walter Jackson, 1918-1999.</t>
        </is>
      </c>
      <c r="N2133" t="inlineStr">
        <is>
          <t>Cambridge : Belknap Press of Harvard University Press, 1963.</t>
        </is>
      </c>
      <c r="O2133" t="inlineStr">
        <is>
          <t>1963</t>
        </is>
      </c>
      <c r="Q2133" t="inlineStr">
        <is>
          <t>eng</t>
        </is>
      </c>
      <c r="R2133" t="inlineStr">
        <is>
          <t>mau</t>
        </is>
      </c>
      <c r="T2133" t="inlineStr">
        <is>
          <t xml:space="preserve">PR </t>
        </is>
      </c>
      <c r="U2133" t="n">
        <v>4</v>
      </c>
      <c r="V2133" t="n">
        <v>4</v>
      </c>
      <c r="W2133" t="inlineStr">
        <is>
          <t>2000-05-04</t>
        </is>
      </c>
      <c r="X2133" t="inlineStr">
        <is>
          <t>2000-05-04</t>
        </is>
      </c>
      <c r="Y2133" t="inlineStr">
        <is>
          <t>1995-01-27</t>
        </is>
      </c>
      <c r="Z2133" t="inlineStr">
        <is>
          <t>1995-01-27</t>
        </is>
      </c>
      <c r="AA2133" t="n">
        <v>1814</v>
      </c>
      <c r="AB2133" t="n">
        <v>1606</v>
      </c>
      <c r="AC2133" t="n">
        <v>1819</v>
      </c>
      <c r="AD2133" t="n">
        <v>14</v>
      </c>
      <c r="AE2133" t="n">
        <v>15</v>
      </c>
      <c r="AF2133" t="n">
        <v>58</v>
      </c>
      <c r="AG2133" t="n">
        <v>60</v>
      </c>
      <c r="AH2133" t="n">
        <v>22</v>
      </c>
      <c r="AI2133" t="n">
        <v>23</v>
      </c>
      <c r="AJ2133" t="n">
        <v>10</v>
      </c>
      <c r="AK2133" t="n">
        <v>10</v>
      </c>
      <c r="AL2133" t="n">
        <v>26</v>
      </c>
      <c r="AM2133" t="n">
        <v>27</v>
      </c>
      <c r="AN2133" t="n">
        <v>12</v>
      </c>
      <c r="AO2133" t="n">
        <v>13</v>
      </c>
      <c r="AP2133" t="n">
        <v>0</v>
      </c>
      <c r="AQ2133" t="n">
        <v>0</v>
      </c>
      <c r="AR2133" t="inlineStr">
        <is>
          <t>No</t>
        </is>
      </c>
      <c r="AS2133" t="inlineStr">
        <is>
          <t>Yes</t>
        </is>
      </c>
      <c r="AT2133">
        <f>HYPERLINK("http://catalog.hathitrust.org/Record/000483973","HathiTrust Record")</f>
        <v/>
      </c>
      <c r="AU2133">
        <f>HYPERLINK("https://creighton-primo.hosted.exlibrisgroup.com/primo-explore/search?tab=default_tab&amp;search_scope=EVERYTHING&amp;vid=01CRU&amp;lang=en_US&amp;offset=0&amp;query=any,contains,991002226109702656","Catalog Record")</f>
        <v/>
      </c>
      <c r="AV2133">
        <f>HYPERLINK("http://www.worldcat.org/oclc/291522","WorldCat Record")</f>
        <v/>
      </c>
      <c r="AW2133" t="inlineStr">
        <is>
          <t>4757690824:eng</t>
        </is>
      </c>
      <c r="AX2133" t="inlineStr">
        <is>
          <t>291522</t>
        </is>
      </c>
      <c r="AY2133" t="inlineStr">
        <is>
          <t>991002226109702656</t>
        </is>
      </c>
      <c r="AZ2133" t="inlineStr">
        <is>
          <t>991002226109702656</t>
        </is>
      </c>
      <c r="BA2133" t="inlineStr">
        <is>
          <t>2268040670002656</t>
        </is>
      </c>
      <c r="BB2133" t="inlineStr">
        <is>
          <t>BOOK</t>
        </is>
      </c>
      <c r="BE2133" t="inlineStr">
        <is>
          <t>32285001987907</t>
        </is>
      </c>
      <c r="BF2133" t="inlineStr">
        <is>
          <t>893885993</t>
        </is>
      </c>
    </row>
    <row r="2134">
      <c r="A2134" t="inlineStr">
        <is>
          <t>No</t>
        </is>
      </c>
      <c r="B2134" t="inlineStr">
        <is>
          <t>CURAL</t>
        </is>
      </c>
      <c r="C2134" t="inlineStr">
        <is>
          <t>SHELVES</t>
        </is>
      </c>
      <c r="D2134" t="inlineStr">
        <is>
          <t>PR4836 .B79</t>
        </is>
      </c>
      <c r="E2134" t="inlineStr">
        <is>
          <t>0                      PR 4836000B  79</t>
        </is>
      </c>
      <c r="F2134" t="inlineStr">
        <is>
          <t>John Keats, his life and writings.</t>
        </is>
      </c>
      <c r="H2134" t="inlineStr">
        <is>
          <t>No</t>
        </is>
      </c>
      <c r="I2134" t="inlineStr">
        <is>
          <t>1</t>
        </is>
      </c>
      <c r="J2134" t="inlineStr">
        <is>
          <t>No</t>
        </is>
      </c>
      <c r="K2134" t="inlineStr">
        <is>
          <t>No</t>
        </is>
      </c>
      <c r="L2134" t="inlineStr">
        <is>
          <t>0</t>
        </is>
      </c>
      <c r="M2134" t="inlineStr">
        <is>
          <t>Bush, Douglas, 1896-1983.</t>
        </is>
      </c>
      <c r="N2134" t="inlineStr">
        <is>
          <t>New York, Macmillan [1966]</t>
        </is>
      </c>
      <c r="O2134" t="inlineStr">
        <is>
          <t>1966</t>
        </is>
      </c>
      <c r="Q2134" t="inlineStr">
        <is>
          <t>eng</t>
        </is>
      </c>
      <c r="R2134" t="inlineStr">
        <is>
          <t>nyu</t>
        </is>
      </c>
      <c r="S2134" t="inlineStr">
        <is>
          <t>Masters of world literature series</t>
        </is>
      </c>
      <c r="T2134" t="inlineStr">
        <is>
          <t xml:space="preserve">PR </t>
        </is>
      </c>
      <c r="U2134" t="n">
        <v>3</v>
      </c>
      <c r="V2134" t="n">
        <v>3</v>
      </c>
      <c r="W2134" t="inlineStr">
        <is>
          <t>2007-03-12</t>
        </is>
      </c>
      <c r="X2134" t="inlineStr">
        <is>
          <t>2007-03-12</t>
        </is>
      </c>
      <c r="Y2134" t="inlineStr">
        <is>
          <t>1997-07-15</t>
        </is>
      </c>
      <c r="Z2134" t="inlineStr">
        <is>
          <t>1997-07-15</t>
        </is>
      </c>
      <c r="AA2134" t="n">
        <v>1313</v>
      </c>
      <c r="AB2134" t="n">
        <v>1227</v>
      </c>
      <c r="AC2134" t="n">
        <v>1320</v>
      </c>
      <c r="AD2134" t="n">
        <v>9</v>
      </c>
      <c r="AE2134" t="n">
        <v>9</v>
      </c>
      <c r="AF2134" t="n">
        <v>36</v>
      </c>
      <c r="AG2134" t="n">
        <v>42</v>
      </c>
      <c r="AH2134" t="n">
        <v>12</v>
      </c>
      <c r="AI2134" t="n">
        <v>14</v>
      </c>
      <c r="AJ2134" t="n">
        <v>9</v>
      </c>
      <c r="AK2134" t="n">
        <v>10</v>
      </c>
      <c r="AL2134" t="n">
        <v>16</v>
      </c>
      <c r="AM2134" t="n">
        <v>21</v>
      </c>
      <c r="AN2134" t="n">
        <v>7</v>
      </c>
      <c r="AO2134" t="n">
        <v>7</v>
      </c>
      <c r="AP2134" t="n">
        <v>0</v>
      </c>
      <c r="AQ2134" t="n">
        <v>0</v>
      </c>
      <c r="AR2134" t="inlineStr">
        <is>
          <t>No</t>
        </is>
      </c>
      <c r="AS2134" t="inlineStr">
        <is>
          <t>Yes</t>
        </is>
      </c>
      <c r="AT2134">
        <f>HYPERLINK("http://catalog.hathitrust.org/Record/000483983","HathiTrust Record")</f>
        <v/>
      </c>
      <c r="AU2134">
        <f>HYPERLINK("https://creighton-primo.hosted.exlibrisgroup.com/primo-explore/search?tab=default_tab&amp;search_scope=EVERYTHING&amp;vid=01CRU&amp;lang=en_US&amp;offset=0&amp;query=any,contains,991004096699702656","Catalog Record")</f>
        <v/>
      </c>
      <c r="AV2134">
        <f>HYPERLINK("http://www.worldcat.org/oclc/2360258","WorldCat Record")</f>
        <v/>
      </c>
      <c r="AW2134" t="inlineStr">
        <is>
          <t>1607861:eng</t>
        </is>
      </c>
      <c r="AX2134" t="inlineStr">
        <is>
          <t>2360258</t>
        </is>
      </c>
      <c r="AY2134" t="inlineStr">
        <is>
          <t>991004096699702656</t>
        </is>
      </c>
      <c r="AZ2134" t="inlineStr">
        <is>
          <t>991004096699702656</t>
        </is>
      </c>
      <c r="BA2134" t="inlineStr">
        <is>
          <t>2272800630002656</t>
        </is>
      </c>
      <c r="BB2134" t="inlineStr">
        <is>
          <t>BOOK</t>
        </is>
      </c>
      <c r="BE2134" t="inlineStr">
        <is>
          <t>32285002924081</t>
        </is>
      </c>
      <c r="BF2134" t="inlineStr">
        <is>
          <t>893869277</t>
        </is>
      </c>
    </row>
    <row r="2135">
      <c r="A2135" t="inlineStr">
        <is>
          <t>No</t>
        </is>
      </c>
      <c r="B2135" t="inlineStr">
        <is>
          <t>CURAL</t>
        </is>
      </c>
      <c r="C2135" t="inlineStr">
        <is>
          <t>SHELVES</t>
        </is>
      </c>
      <c r="D2135" t="inlineStr">
        <is>
          <t>PR4836 .G52 1956</t>
        </is>
      </c>
      <c r="E2135" t="inlineStr">
        <is>
          <t>0                      PR 4836000G  52          1956</t>
        </is>
      </c>
      <c r="F2135" t="inlineStr">
        <is>
          <t>The mask of Keats : a study of problems.</t>
        </is>
      </c>
      <c r="H2135" t="inlineStr">
        <is>
          <t>No</t>
        </is>
      </c>
      <c r="I2135" t="inlineStr">
        <is>
          <t>1</t>
        </is>
      </c>
      <c r="J2135" t="inlineStr">
        <is>
          <t>No</t>
        </is>
      </c>
      <c r="K2135" t="inlineStr">
        <is>
          <t>No</t>
        </is>
      </c>
      <c r="L2135" t="inlineStr">
        <is>
          <t>0</t>
        </is>
      </c>
      <c r="M2135" t="inlineStr">
        <is>
          <t>Gittings, Robert.</t>
        </is>
      </c>
      <c r="N2135" t="inlineStr">
        <is>
          <t>Melbourne : Heinemann, [1956]</t>
        </is>
      </c>
      <c r="O2135" t="inlineStr">
        <is>
          <t>1956</t>
        </is>
      </c>
      <c r="Q2135" t="inlineStr">
        <is>
          <t>eng</t>
        </is>
      </c>
      <c r="R2135" t="inlineStr">
        <is>
          <t xml:space="preserve">at </t>
        </is>
      </c>
      <c r="T2135" t="inlineStr">
        <is>
          <t xml:space="preserve">PR </t>
        </is>
      </c>
      <c r="U2135" t="n">
        <v>4</v>
      </c>
      <c r="V2135" t="n">
        <v>4</v>
      </c>
      <c r="W2135" t="inlineStr">
        <is>
          <t>2007-03-11</t>
        </is>
      </c>
      <c r="X2135" t="inlineStr">
        <is>
          <t>2007-03-11</t>
        </is>
      </c>
      <c r="Y2135" t="inlineStr">
        <is>
          <t>1990-07-13</t>
        </is>
      </c>
      <c r="Z2135" t="inlineStr">
        <is>
          <t>1990-07-13</t>
        </is>
      </c>
      <c r="AA2135" t="n">
        <v>326</v>
      </c>
      <c r="AB2135" t="n">
        <v>204</v>
      </c>
      <c r="AC2135" t="n">
        <v>672</v>
      </c>
      <c r="AD2135" t="n">
        <v>3</v>
      </c>
      <c r="AE2135" t="n">
        <v>6</v>
      </c>
      <c r="AF2135" t="n">
        <v>19</v>
      </c>
      <c r="AG2135" t="n">
        <v>40</v>
      </c>
      <c r="AH2135" t="n">
        <v>7</v>
      </c>
      <c r="AI2135" t="n">
        <v>16</v>
      </c>
      <c r="AJ2135" t="n">
        <v>3</v>
      </c>
      <c r="AK2135" t="n">
        <v>7</v>
      </c>
      <c r="AL2135" t="n">
        <v>12</v>
      </c>
      <c r="AM2135" t="n">
        <v>21</v>
      </c>
      <c r="AN2135" t="n">
        <v>2</v>
      </c>
      <c r="AO2135" t="n">
        <v>5</v>
      </c>
      <c r="AP2135" t="n">
        <v>0</v>
      </c>
      <c r="AQ2135" t="n">
        <v>0</v>
      </c>
      <c r="AR2135" t="inlineStr">
        <is>
          <t>No</t>
        </is>
      </c>
      <c r="AS2135" t="inlineStr">
        <is>
          <t>Yes</t>
        </is>
      </c>
      <c r="AT2135">
        <f>HYPERLINK("http://catalog.hathitrust.org/Record/006678279","HathiTrust Record")</f>
        <v/>
      </c>
      <c r="AU2135">
        <f>HYPERLINK("https://creighton-primo.hosted.exlibrisgroup.com/primo-explore/search?tab=default_tab&amp;search_scope=EVERYTHING&amp;vid=01CRU&amp;lang=en_US&amp;offset=0&amp;query=any,contains,991003100689702656","Catalog Record")</f>
        <v/>
      </c>
      <c r="AV2135">
        <f>HYPERLINK("http://www.worldcat.org/oclc/649734","WorldCat Record")</f>
        <v/>
      </c>
      <c r="AW2135" t="inlineStr">
        <is>
          <t>1824517:eng</t>
        </is>
      </c>
      <c r="AX2135" t="inlineStr">
        <is>
          <t>649734</t>
        </is>
      </c>
      <c r="AY2135" t="inlineStr">
        <is>
          <t>991003100689702656</t>
        </is>
      </c>
      <c r="AZ2135" t="inlineStr">
        <is>
          <t>991003100689702656</t>
        </is>
      </c>
      <c r="BA2135" t="inlineStr">
        <is>
          <t>2258959290002656</t>
        </is>
      </c>
      <c r="BB2135" t="inlineStr">
        <is>
          <t>BOOK</t>
        </is>
      </c>
      <c r="BE2135" t="inlineStr">
        <is>
          <t>32285000230119</t>
        </is>
      </c>
      <c r="BF2135" t="inlineStr">
        <is>
          <t>893610717</t>
        </is>
      </c>
    </row>
    <row r="2136">
      <c r="A2136" t="inlineStr">
        <is>
          <t>No</t>
        </is>
      </c>
      <c r="B2136" t="inlineStr">
        <is>
          <t>CURAL</t>
        </is>
      </c>
      <c r="C2136" t="inlineStr">
        <is>
          <t>SHELVES</t>
        </is>
      </c>
      <c r="D2136" t="inlineStr">
        <is>
          <t>PR4836 .H48</t>
        </is>
      </c>
      <c r="E2136" t="inlineStr">
        <is>
          <t>0                      PR 4836000H  48</t>
        </is>
      </c>
      <c r="F2136" t="inlineStr">
        <is>
          <t>A life of John Keats.</t>
        </is>
      </c>
      <c r="H2136" t="inlineStr">
        <is>
          <t>No</t>
        </is>
      </c>
      <c r="I2136" t="inlineStr">
        <is>
          <t>1</t>
        </is>
      </c>
      <c r="J2136" t="inlineStr">
        <is>
          <t>No</t>
        </is>
      </c>
      <c r="K2136" t="inlineStr">
        <is>
          <t>No</t>
        </is>
      </c>
      <c r="L2136" t="inlineStr">
        <is>
          <t>0</t>
        </is>
      </c>
      <c r="M2136" t="inlineStr">
        <is>
          <t>Hewlett, Dorothy.</t>
        </is>
      </c>
      <c r="N2136" t="inlineStr">
        <is>
          <t>New York, Barnes &amp; Nobles [c1949]</t>
        </is>
      </c>
      <c r="O2136" t="inlineStr">
        <is>
          <t>1949</t>
        </is>
      </c>
      <c r="P2136" t="inlineStr">
        <is>
          <t>2d ed., rev. and enl.</t>
        </is>
      </c>
      <c r="Q2136" t="inlineStr">
        <is>
          <t>eng</t>
        </is>
      </c>
      <c r="R2136" t="inlineStr">
        <is>
          <t>nyu</t>
        </is>
      </c>
      <c r="T2136" t="inlineStr">
        <is>
          <t xml:space="preserve">PR </t>
        </is>
      </c>
      <c r="U2136" t="n">
        <v>2</v>
      </c>
      <c r="V2136" t="n">
        <v>2</v>
      </c>
      <c r="W2136" t="inlineStr">
        <is>
          <t>1997-04-03</t>
        </is>
      </c>
      <c r="X2136" t="inlineStr">
        <is>
          <t>1997-04-03</t>
        </is>
      </c>
      <c r="Y2136" t="inlineStr">
        <is>
          <t>1992-02-10</t>
        </is>
      </c>
      <c r="Z2136" t="inlineStr">
        <is>
          <t>1992-02-10</t>
        </is>
      </c>
      <c r="AA2136" t="n">
        <v>327</v>
      </c>
      <c r="AB2136" t="n">
        <v>319</v>
      </c>
      <c r="AC2136" t="n">
        <v>656</v>
      </c>
      <c r="AD2136" t="n">
        <v>4</v>
      </c>
      <c r="AE2136" t="n">
        <v>9</v>
      </c>
      <c r="AF2136" t="n">
        <v>20</v>
      </c>
      <c r="AG2136" t="n">
        <v>39</v>
      </c>
      <c r="AH2136" t="n">
        <v>9</v>
      </c>
      <c r="AI2136" t="n">
        <v>17</v>
      </c>
      <c r="AJ2136" t="n">
        <v>6</v>
      </c>
      <c r="AK2136" t="n">
        <v>8</v>
      </c>
      <c r="AL2136" t="n">
        <v>9</v>
      </c>
      <c r="AM2136" t="n">
        <v>18</v>
      </c>
      <c r="AN2136" t="n">
        <v>3</v>
      </c>
      <c r="AO2136" t="n">
        <v>8</v>
      </c>
      <c r="AP2136" t="n">
        <v>0</v>
      </c>
      <c r="AQ2136" t="n">
        <v>0</v>
      </c>
      <c r="AR2136" t="inlineStr">
        <is>
          <t>No</t>
        </is>
      </c>
      <c r="AS2136" t="inlineStr">
        <is>
          <t>No</t>
        </is>
      </c>
      <c r="AT2136">
        <f>HYPERLINK("http://catalog.hathitrust.org/Record/000590601","HathiTrust Record")</f>
        <v/>
      </c>
      <c r="AU2136">
        <f>HYPERLINK("https://creighton-primo.hosted.exlibrisgroup.com/primo-explore/search?tab=default_tab&amp;search_scope=EVERYTHING&amp;vid=01CRU&amp;lang=en_US&amp;offset=0&amp;query=any,contains,991005145759702656","Catalog Record")</f>
        <v/>
      </c>
      <c r="AV2136">
        <f>HYPERLINK("http://www.worldcat.org/oclc/761647","WorldCat Record")</f>
        <v/>
      </c>
      <c r="AW2136" t="inlineStr">
        <is>
          <t>1635793:eng</t>
        </is>
      </c>
      <c r="AX2136" t="inlineStr">
        <is>
          <t>761647</t>
        </is>
      </c>
      <c r="AY2136" t="inlineStr">
        <is>
          <t>991005145759702656</t>
        </is>
      </c>
      <c r="AZ2136" t="inlineStr">
        <is>
          <t>991005145759702656</t>
        </is>
      </c>
      <c r="BA2136" t="inlineStr">
        <is>
          <t>2258018540002656</t>
        </is>
      </c>
      <c r="BB2136" t="inlineStr">
        <is>
          <t>BOOK</t>
        </is>
      </c>
      <c r="BE2136" t="inlineStr">
        <is>
          <t>32285000945807</t>
        </is>
      </c>
      <c r="BF2136" t="inlineStr">
        <is>
          <t>893801814</t>
        </is>
      </c>
    </row>
    <row r="2137">
      <c r="A2137" t="inlineStr">
        <is>
          <t>No</t>
        </is>
      </c>
      <c r="B2137" t="inlineStr">
        <is>
          <t>CURAL</t>
        </is>
      </c>
      <c r="C2137" t="inlineStr">
        <is>
          <t>SHELVES</t>
        </is>
      </c>
      <c r="D2137" t="inlineStr">
        <is>
          <t>PR4836 .H5</t>
        </is>
      </c>
      <c r="E2137" t="inlineStr">
        <is>
          <t>0                      PR 4836000H  5</t>
        </is>
      </c>
      <c r="F2137" t="inlineStr">
        <is>
          <t>Adonais, a life of John Keats, by Dorothy Hewlett.</t>
        </is>
      </c>
      <c r="H2137" t="inlineStr">
        <is>
          <t>No</t>
        </is>
      </c>
      <c r="I2137" t="inlineStr">
        <is>
          <t>1</t>
        </is>
      </c>
      <c r="J2137" t="inlineStr">
        <is>
          <t>No</t>
        </is>
      </c>
      <c r="K2137" t="inlineStr">
        <is>
          <t>No</t>
        </is>
      </c>
      <c r="L2137" t="inlineStr">
        <is>
          <t>0</t>
        </is>
      </c>
      <c r="M2137" t="inlineStr">
        <is>
          <t>Hewlett, Dorothy.</t>
        </is>
      </c>
      <c r="N2137" t="inlineStr">
        <is>
          <t>Indianapolis, New York, The Bobbs-Merrill Company [c1938]</t>
        </is>
      </c>
      <c r="O2137" t="inlineStr">
        <is>
          <t>1938</t>
        </is>
      </c>
      <c r="Q2137" t="inlineStr">
        <is>
          <t>eng</t>
        </is>
      </c>
      <c r="R2137" t="inlineStr">
        <is>
          <t>inu</t>
        </is>
      </c>
      <c r="T2137" t="inlineStr">
        <is>
          <t xml:space="preserve">PR </t>
        </is>
      </c>
      <c r="U2137" t="n">
        <v>4</v>
      </c>
      <c r="V2137" t="n">
        <v>4</v>
      </c>
      <c r="W2137" t="inlineStr">
        <is>
          <t>1999-03-24</t>
        </is>
      </c>
      <c r="X2137" t="inlineStr">
        <is>
          <t>1999-03-24</t>
        </is>
      </c>
      <c r="Y2137" t="inlineStr">
        <is>
          <t>1997-07-15</t>
        </is>
      </c>
      <c r="Z2137" t="inlineStr">
        <is>
          <t>1997-07-15</t>
        </is>
      </c>
      <c r="AA2137" t="n">
        <v>437</v>
      </c>
      <c r="AB2137" t="n">
        <v>414</v>
      </c>
      <c r="AC2137" t="n">
        <v>482</v>
      </c>
      <c r="AD2137" t="n">
        <v>4</v>
      </c>
      <c r="AE2137" t="n">
        <v>4</v>
      </c>
      <c r="AF2137" t="n">
        <v>15</v>
      </c>
      <c r="AG2137" t="n">
        <v>18</v>
      </c>
      <c r="AH2137" t="n">
        <v>8</v>
      </c>
      <c r="AI2137" t="n">
        <v>9</v>
      </c>
      <c r="AJ2137" t="n">
        <v>0</v>
      </c>
      <c r="AK2137" t="n">
        <v>1</v>
      </c>
      <c r="AL2137" t="n">
        <v>5</v>
      </c>
      <c r="AM2137" t="n">
        <v>6</v>
      </c>
      <c r="AN2137" t="n">
        <v>3</v>
      </c>
      <c r="AO2137" t="n">
        <v>3</v>
      </c>
      <c r="AP2137" t="n">
        <v>0</v>
      </c>
      <c r="AQ2137" t="n">
        <v>0</v>
      </c>
      <c r="AR2137" t="inlineStr">
        <is>
          <t>No</t>
        </is>
      </c>
      <c r="AS2137" t="inlineStr">
        <is>
          <t>No</t>
        </is>
      </c>
      <c r="AT2137">
        <f>HYPERLINK("http://catalog.hathitrust.org/Record/000590595","HathiTrust Record")</f>
        <v/>
      </c>
      <c r="AU2137">
        <f>HYPERLINK("https://creighton-primo.hosted.exlibrisgroup.com/primo-explore/search?tab=default_tab&amp;search_scope=EVERYTHING&amp;vid=01CRU&amp;lang=en_US&amp;offset=0&amp;query=any,contains,991003856239702656","Catalog Record")</f>
        <v/>
      </c>
      <c r="AV2137">
        <f>HYPERLINK("http://www.worldcat.org/oclc/1654622","WorldCat Record")</f>
        <v/>
      </c>
      <c r="AW2137" t="inlineStr">
        <is>
          <t>3855852513:eng</t>
        </is>
      </c>
      <c r="AX2137" t="inlineStr">
        <is>
          <t>1654622</t>
        </is>
      </c>
      <c r="AY2137" t="inlineStr">
        <is>
          <t>991003856239702656</t>
        </is>
      </c>
      <c r="AZ2137" t="inlineStr">
        <is>
          <t>991003856239702656</t>
        </is>
      </c>
      <c r="BA2137" t="inlineStr">
        <is>
          <t>2270916340002656</t>
        </is>
      </c>
      <c r="BB2137" t="inlineStr">
        <is>
          <t>BOOK</t>
        </is>
      </c>
      <c r="BE2137" t="inlineStr">
        <is>
          <t>32285002924123</t>
        </is>
      </c>
      <c r="BF2137" t="inlineStr">
        <is>
          <t>893324618</t>
        </is>
      </c>
    </row>
    <row r="2138">
      <c r="A2138" t="inlineStr">
        <is>
          <t>No</t>
        </is>
      </c>
      <c r="B2138" t="inlineStr">
        <is>
          <t>CURAL</t>
        </is>
      </c>
      <c r="C2138" t="inlineStr">
        <is>
          <t>SHELVES</t>
        </is>
      </c>
      <c r="D2138" t="inlineStr">
        <is>
          <t>PR4836 .H58 1971</t>
        </is>
      </c>
      <c r="E2138" t="inlineStr">
        <is>
          <t>0                      PR 4836000H  58          1971</t>
        </is>
      </c>
      <c r="F2138" t="inlineStr">
        <is>
          <t>Keats and his world / by Timothy Hilton.</t>
        </is>
      </c>
      <c r="H2138" t="inlineStr">
        <is>
          <t>No</t>
        </is>
      </c>
      <c r="I2138" t="inlineStr">
        <is>
          <t>1</t>
        </is>
      </c>
      <c r="J2138" t="inlineStr">
        <is>
          <t>No</t>
        </is>
      </c>
      <c r="K2138" t="inlineStr">
        <is>
          <t>No</t>
        </is>
      </c>
      <c r="L2138" t="inlineStr">
        <is>
          <t>0</t>
        </is>
      </c>
      <c r="M2138" t="inlineStr">
        <is>
          <t>Hilton, Timothy, 1941-</t>
        </is>
      </c>
      <c r="N2138" t="inlineStr">
        <is>
          <t>New York : Viking Press, [1971]</t>
        </is>
      </c>
      <c r="O2138" t="inlineStr">
        <is>
          <t>1971</t>
        </is>
      </c>
      <c r="Q2138" t="inlineStr">
        <is>
          <t>eng</t>
        </is>
      </c>
      <c r="R2138" t="inlineStr">
        <is>
          <t>nyu</t>
        </is>
      </c>
      <c r="S2138" t="inlineStr">
        <is>
          <t>A Studio book</t>
        </is>
      </c>
      <c r="T2138" t="inlineStr">
        <is>
          <t xml:space="preserve">PR </t>
        </is>
      </c>
      <c r="U2138" t="n">
        <v>8</v>
      </c>
      <c r="V2138" t="n">
        <v>8</v>
      </c>
      <c r="W2138" t="inlineStr">
        <is>
          <t>2007-02-26</t>
        </is>
      </c>
      <c r="X2138" t="inlineStr">
        <is>
          <t>2007-02-26</t>
        </is>
      </c>
      <c r="Y2138" t="inlineStr">
        <is>
          <t>1990-08-15</t>
        </is>
      </c>
      <c r="Z2138" t="inlineStr">
        <is>
          <t>1990-08-15</t>
        </is>
      </c>
      <c r="AA2138" t="n">
        <v>687</v>
      </c>
      <c r="AB2138" t="n">
        <v>661</v>
      </c>
      <c r="AC2138" t="n">
        <v>726</v>
      </c>
      <c r="AD2138" t="n">
        <v>10</v>
      </c>
      <c r="AE2138" t="n">
        <v>11</v>
      </c>
      <c r="AF2138" t="n">
        <v>32</v>
      </c>
      <c r="AG2138" t="n">
        <v>33</v>
      </c>
      <c r="AH2138" t="n">
        <v>8</v>
      </c>
      <c r="AI2138" t="n">
        <v>8</v>
      </c>
      <c r="AJ2138" t="n">
        <v>5</v>
      </c>
      <c r="AK2138" t="n">
        <v>5</v>
      </c>
      <c r="AL2138" t="n">
        <v>17</v>
      </c>
      <c r="AM2138" t="n">
        <v>17</v>
      </c>
      <c r="AN2138" t="n">
        <v>9</v>
      </c>
      <c r="AO2138" t="n">
        <v>10</v>
      </c>
      <c r="AP2138" t="n">
        <v>0</v>
      </c>
      <c r="AQ2138" t="n">
        <v>0</v>
      </c>
      <c r="AR2138" t="inlineStr">
        <is>
          <t>No</t>
        </is>
      </c>
      <c r="AS2138" t="inlineStr">
        <is>
          <t>No</t>
        </is>
      </c>
      <c r="AU2138">
        <f>HYPERLINK("https://creighton-primo.hosted.exlibrisgroup.com/primo-explore/search?tab=default_tab&amp;search_scope=EVERYTHING&amp;vid=01CRU&amp;lang=en_US&amp;offset=0&amp;query=any,contains,991000767159702656","Catalog Record")</f>
        <v/>
      </c>
      <c r="AV2138">
        <f>HYPERLINK("http://www.worldcat.org/oclc/131142","WorldCat Record")</f>
        <v/>
      </c>
      <c r="AW2138" t="inlineStr">
        <is>
          <t>1267651:eng</t>
        </is>
      </c>
      <c r="AX2138" t="inlineStr">
        <is>
          <t>131142</t>
        </is>
      </c>
      <c r="AY2138" t="inlineStr">
        <is>
          <t>991000767159702656</t>
        </is>
      </c>
      <c r="AZ2138" t="inlineStr">
        <is>
          <t>991000767159702656</t>
        </is>
      </c>
      <c r="BA2138" t="inlineStr">
        <is>
          <t>2255189520002656</t>
        </is>
      </c>
      <c r="BB2138" t="inlineStr">
        <is>
          <t>BOOK</t>
        </is>
      </c>
      <c r="BD2138" t="inlineStr">
        <is>
          <t>9780670411962</t>
        </is>
      </c>
      <c r="BE2138" t="inlineStr">
        <is>
          <t>32285000244375</t>
        </is>
      </c>
      <c r="BF2138" t="inlineStr">
        <is>
          <t>893438582</t>
        </is>
      </c>
    </row>
    <row r="2139">
      <c r="A2139" t="inlineStr">
        <is>
          <t>No</t>
        </is>
      </c>
      <c r="B2139" t="inlineStr">
        <is>
          <t>CURAL</t>
        </is>
      </c>
      <c r="C2139" t="inlineStr">
        <is>
          <t>SHELVES</t>
        </is>
      </c>
      <c r="D2139" t="inlineStr">
        <is>
          <t>PR4836 .H8 1911</t>
        </is>
      </c>
      <c r="E2139" t="inlineStr">
        <is>
          <t>0                      PR 4836000H  8           1911</t>
        </is>
      </c>
      <c r="F2139" t="inlineStr">
        <is>
          <t>Keats &amp; his poetry / by William Henry Hudson.</t>
        </is>
      </c>
      <c r="H2139" t="inlineStr">
        <is>
          <t>No</t>
        </is>
      </c>
      <c r="I2139" t="inlineStr">
        <is>
          <t>1</t>
        </is>
      </c>
      <c r="J2139" t="inlineStr">
        <is>
          <t>No</t>
        </is>
      </c>
      <c r="K2139" t="inlineStr">
        <is>
          <t>No</t>
        </is>
      </c>
      <c r="L2139" t="inlineStr">
        <is>
          <t>0</t>
        </is>
      </c>
      <c r="M2139" t="inlineStr">
        <is>
          <t>Hudson, William Henry, 1862-1918.</t>
        </is>
      </c>
      <c r="N2139" t="inlineStr">
        <is>
          <t>London : G.G. Harrap &amp; company, 1911.</t>
        </is>
      </c>
      <c r="O2139" t="inlineStr">
        <is>
          <t>1911</t>
        </is>
      </c>
      <c r="Q2139" t="inlineStr">
        <is>
          <t>eng</t>
        </is>
      </c>
      <c r="R2139" t="inlineStr">
        <is>
          <t>enk</t>
        </is>
      </c>
      <c r="S2139" t="inlineStr">
        <is>
          <t>Poetry and life series; general editor: W. H. Hudson. [no.]1</t>
        </is>
      </c>
      <c r="T2139" t="inlineStr">
        <is>
          <t xml:space="preserve">PR </t>
        </is>
      </c>
      <c r="U2139" t="n">
        <v>13</v>
      </c>
      <c r="V2139" t="n">
        <v>13</v>
      </c>
      <c r="W2139" t="inlineStr">
        <is>
          <t>2001-02-13</t>
        </is>
      </c>
      <c r="X2139" t="inlineStr">
        <is>
          <t>2001-02-13</t>
        </is>
      </c>
      <c r="Y2139" t="inlineStr">
        <is>
          <t>1992-02-19</t>
        </is>
      </c>
      <c r="Z2139" t="inlineStr">
        <is>
          <t>1992-02-19</t>
        </is>
      </c>
      <c r="AA2139" t="n">
        <v>27</v>
      </c>
      <c r="AB2139" t="n">
        <v>12</v>
      </c>
      <c r="AC2139" t="n">
        <v>172</v>
      </c>
      <c r="AD2139" t="n">
        <v>1</v>
      </c>
      <c r="AE2139" t="n">
        <v>2</v>
      </c>
      <c r="AF2139" t="n">
        <v>0</v>
      </c>
      <c r="AG2139" t="n">
        <v>7</v>
      </c>
      <c r="AH2139" t="n">
        <v>0</v>
      </c>
      <c r="AI2139" t="n">
        <v>3</v>
      </c>
      <c r="AJ2139" t="n">
        <v>0</v>
      </c>
      <c r="AK2139" t="n">
        <v>1</v>
      </c>
      <c r="AL2139" t="n">
        <v>0</v>
      </c>
      <c r="AM2139" t="n">
        <v>4</v>
      </c>
      <c r="AN2139" t="n">
        <v>0</v>
      </c>
      <c r="AO2139" t="n">
        <v>1</v>
      </c>
      <c r="AP2139" t="n">
        <v>0</v>
      </c>
      <c r="AQ2139" t="n">
        <v>0</v>
      </c>
      <c r="AR2139" t="inlineStr">
        <is>
          <t>No</t>
        </is>
      </c>
      <c r="AS2139" t="inlineStr">
        <is>
          <t>No</t>
        </is>
      </c>
      <c r="AU2139">
        <f>HYPERLINK("https://creighton-primo.hosted.exlibrisgroup.com/primo-explore/search?tab=default_tab&amp;search_scope=EVERYTHING&amp;vid=01CRU&amp;lang=en_US&amp;offset=0&amp;query=any,contains,991000998569702656","Catalog Record")</f>
        <v/>
      </c>
      <c r="AV2139">
        <f>HYPERLINK("http://www.worldcat.org/oclc/15181536","WorldCat Record")</f>
        <v/>
      </c>
      <c r="AW2139" t="inlineStr">
        <is>
          <t>1386122:eng</t>
        </is>
      </c>
      <c r="AX2139" t="inlineStr">
        <is>
          <t>15181536</t>
        </is>
      </c>
      <c r="AY2139" t="inlineStr">
        <is>
          <t>991000998569702656</t>
        </is>
      </c>
      <c r="AZ2139" t="inlineStr">
        <is>
          <t>991000998569702656</t>
        </is>
      </c>
      <c r="BA2139" t="inlineStr">
        <is>
          <t>2255440790002656</t>
        </is>
      </c>
      <c r="BB2139" t="inlineStr">
        <is>
          <t>BOOK</t>
        </is>
      </c>
      <c r="BE2139" t="inlineStr">
        <is>
          <t>32285000971167</t>
        </is>
      </c>
      <c r="BF2139" t="inlineStr">
        <is>
          <t>893620993</t>
        </is>
      </c>
    </row>
    <row r="2140">
      <c r="A2140" t="inlineStr">
        <is>
          <t>No</t>
        </is>
      </c>
      <c r="B2140" t="inlineStr">
        <is>
          <t>CURAL</t>
        </is>
      </c>
      <c r="C2140" t="inlineStr">
        <is>
          <t>SHELVES</t>
        </is>
      </c>
      <c r="D2140" t="inlineStr">
        <is>
          <t>PR4836 .I5 1969</t>
        </is>
      </c>
      <c r="E2140" t="inlineStr">
        <is>
          <t>0                      PR 4836000I  5           1969</t>
        </is>
      </c>
      <c r="F2140" t="inlineStr">
        <is>
          <t>Keats.</t>
        </is>
      </c>
      <c r="H2140" t="inlineStr">
        <is>
          <t>No</t>
        </is>
      </c>
      <c r="I2140" t="inlineStr">
        <is>
          <t>1</t>
        </is>
      </c>
      <c r="J2140" t="inlineStr">
        <is>
          <t>No</t>
        </is>
      </c>
      <c r="K2140" t="inlineStr">
        <is>
          <t>No</t>
        </is>
      </c>
      <c r="L2140" t="inlineStr">
        <is>
          <t>0</t>
        </is>
      </c>
      <c r="M2140" t="inlineStr">
        <is>
          <t>Inglis, Fred.</t>
        </is>
      </c>
      <c r="N2140" t="inlineStr">
        <is>
          <t>New York : Arco, [1969]</t>
        </is>
      </c>
      <c r="O2140" t="inlineStr">
        <is>
          <t>1969</t>
        </is>
      </c>
      <c r="Q2140" t="inlineStr">
        <is>
          <t>eng</t>
        </is>
      </c>
      <c r="R2140" t="inlineStr">
        <is>
          <t>nyu</t>
        </is>
      </c>
      <c r="S2140" t="inlineStr">
        <is>
          <t>Arco literary critiques</t>
        </is>
      </c>
      <c r="T2140" t="inlineStr">
        <is>
          <t xml:space="preserve">PR </t>
        </is>
      </c>
      <c r="U2140" t="n">
        <v>7</v>
      </c>
      <c r="V2140" t="n">
        <v>7</v>
      </c>
      <c r="W2140" t="inlineStr">
        <is>
          <t>1994-09-27</t>
        </is>
      </c>
      <c r="X2140" t="inlineStr">
        <is>
          <t>1994-09-27</t>
        </is>
      </c>
      <c r="Y2140" t="inlineStr">
        <is>
          <t>1990-10-22</t>
        </is>
      </c>
      <c r="Z2140" t="inlineStr">
        <is>
          <t>1990-10-22</t>
        </is>
      </c>
      <c r="AA2140" t="n">
        <v>543</v>
      </c>
      <c r="AB2140" t="n">
        <v>522</v>
      </c>
      <c r="AC2140" t="n">
        <v>598</v>
      </c>
      <c r="AD2140" t="n">
        <v>2</v>
      </c>
      <c r="AE2140" t="n">
        <v>3</v>
      </c>
      <c r="AF2140" t="n">
        <v>9</v>
      </c>
      <c r="AG2140" t="n">
        <v>13</v>
      </c>
      <c r="AH2140" t="n">
        <v>4</v>
      </c>
      <c r="AI2140" t="n">
        <v>5</v>
      </c>
      <c r="AJ2140" t="n">
        <v>1</v>
      </c>
      <c r="AK2140" t="n">
        <v>2</v>
      </c>
      <c r="AL2140" t="n">
        <v>5</v>
      </c>
      <c r="AM2140" t="n">
        <v>7</v>
      </c>
      <c r="AN2140" t="n">
        <v>1</v>
      </c>
      <c r="AO2140" t="n">
        <v>2</v>
      </c>
      <c r="AP2140" t="n">
        <v>0</v>
      </c>
      <c r="AQ2140" t="n">
        <v>0</v>
      </c>
      <c r="AR2140" t="inlineStr">
        <is>
          <t>No</t>
        </is>
      </c>
      <c r="AS2140" t="inlineStr">
        <is>
          <t>No</t>
        </is>
      </c>
      <c r="AU2140">
        <f>HYPERLINK("https://creighton-primo.hosted.exlibrisgroup.com/primo-explore/search?tab=default_tab&amp;search_scope=EVERYTHING&amp;vid=01CRU&amp;lang=en_US&amp;offset=0&amp;query=any,contains,991000004219702656","Catalog Record")</f>
        <v/>
      </c>
      <c r="AV2140">
        <f>HYPERLINK("http://www.worldcat.org/oclc/12492","WorldCat Record")</f>
        <v/>
      </c>
      <c r="AW2140" t="inlineStr">
        <is>
          <t>1135406:eng</t>
        </is>
      </c>
      <c r="AX2140" t="inlineStr">
        <is>
          <t>12492</t>
        </is>
      </c>
      <c r="AY2140" t="inlineStr">
        <is>
          <t>991000004219702656</t>
        </is>
      </c>
      <c r="AZ2140" t="inlineStr">
        <is>
          <t>991000004219702656</t>
        </is>
      </c>
      <c r="BA2140" t="inlineStr">
        <is>
          <t>2265027760002656</t>
        </is>
      </c>
      <c r="BB2140" t="inlineStr">
        <is>
          <t>BOOK</t>
        </is>
      </c>
      <c r="BE2140" t="inlineStr">
        <is>
          <t>32285000351444</t>
        </is>
      </c>
      <c r="BF2140" t="inlineStr">
        <is>
          <t>893242890</t>
        </is>
      </c>
    </row>
    <row r="2141">
      <c r="A2141" t="inlineStr">
        <is>
          <t>No</t>
        </is>
      </c>
      <c r="B2141" t="inlineStr">
        <is>
          <t>CURAL</t>
        </is>
      </c>
      <c r="C2141" t="inlineStr">
        <is>
          <t>SHELVES</t>
        </is>
      </c>
      <c r="D2141" t="inlineStr">
        <is>
          <t>PR4836 .M67 1998</t>
        </is>
      </c>
      <c r="E2141" t="inlineStr">
        <is>
          <t>0                      PR 4836000M  67          1998</t>
        </is>
      </c>
      <c r="F2141" t="inlineStr">
        <is>
          <t>Keats / Andrew Motion.</t>
        </is>
      </c>
      <c r="H2141" t="inlineStr">
        <is>
          <t>No</t>
        </is>
      </c>
      <c r="I2141" t="inlineStr">
        <is>
          <t>1</t>
        </is>
      </c>
      <c r="J2141" t="inlineStr">
        <is>
          <t>No</t>
        </is>
      </c>
      <c r="K2141" t="inlineStr">
        <is>
          <t>No</t>
        </is>
      </c>
      <c r="L2141" t="inlineStr">
        <is>
          <t>0</t>
        </is>
      </c>
      <c r="M2141" t="inlineStr">
        <is>
          <t>Motion, Andrew, 1952-</t>
        </is>
      </c>
      <c r="N2141" t="inlineStr">
        <is>
          <t>New York : Farrar, Straus and Giroux, 1998.</t>
        </is>
      </c>
      <c r="O2141" t="inlineStr">
        <is>
          <t>1998</t>
        </is>
      </c>
      <c r="P2141" t="inlineStr">
        <is>
          <t>1st American ed.</t>
        </is>
      </c>
      <c r="Q2141" t="inlineStr">
        <is>
          <t>eng</t>
        </is>
      </c>
      <c r="R2141" t="inlineStr">
        <is>
          <t>nyu</t>
        </is>
      </c>
      <c r="T2141" t="inlineStr">
        <is>
          <t xml:space="preserve">PR </t>
        </is>
      </c>
      <c r="U2141" t="n">
        <v>7</v>
      </c>
      <c r="V2141" t="n">
        <v>7</v>
      </c>
      <c r="W2141" t="inlineStr">
        <is>
          <t>2003-08-22</t>
        </is>
      </c>
      <c r="X2141" t="inlineStr">
        <is>
          <t>2003-08-22</t>
        </is>
      </c>
      <c r="Y2141" t="inlineStr">
        <is>
          <t>1998-12-10</t>
        </is>
      </c>
      <c r="Z2141" t="inlineStr">
        <is>
          <t>1998-12-10</t>
        </is>
      </c>
      <c r="AA2141" t="n">
        <v>1224</v>
      </c>
      <c r="AB2141" t="n">
        <v>1169</v>
      </c>
      <c r="AC2141" t="n">
        <v>1346</v>
      </c>
      <c r="AD2141" t="n">
        <v>11</v>
      </c>
      <c r="AE2141" t="n">
        <v>11</v>
      </c>
      <c r="AF2141" t="n">
        <v>40</v>
      </c>
      <c r="AG2141" t="n">
        <v>47</v>
      </c>
      <c r="AH2141" t="n">
        <v>16</v>
      </c>
      <c r="AI2141" t="n">
        <v>19</v>
      </c>
      <c r="AJ2141" t="n">
        <v>11</v>
      </c>
      <c r="AK2141" t="n">
        <v>11</v>
      </c>
      <c r="AL2141" t="n">
        <v>18</v>
      </c>
      <c r="AM2141" t="n">
        <v>22</v>
      </c>
      <c r="AN2141" t="n">
        <v>7</v>
      </c>
      <c r="AO2141" t="n">
        <v>7</v>
      </c>
      <c r="AP2141" t="n">
        <v>0</v>
      </c>
      <c r="AQ2141" t="n">
        <v>0</v>
      </c>
      <c r="AR2141" t="inlineStr">
        <is>
          <t>No</t>
        </is>
      </c>
      <c r="AS2141" t="inlineStr">
        <is>
          <t>No</t>
        </is>
      </c>
      <c r="AU2141">
        <f>HYPERLINK("https://creighton-primo.hosted.exlibrisgroup.com/primo-explore/search?tab=default_tab&amp;search_scope=EVERYTHING&amp;vid=01CRU&amp;lang=en_US&amp;offset=0&amp;query=any,contains,991002896249702656","Catalog Record")</f>
        <v/>
      </c>
      <c r="AV2141">
        <f>HYPERLINK("http://www.worldcat.org/oclc/38161253","WorldCat Record")</f>
        <v/>
      </c>
      <c r="AW2141" t="inlineStr">
        <is>
          <t>532895:eng</t>
        </is>
      </c>
      <c r="AX2141" t="inlineStr">
        <is>
          <t>38161253</t>
        </is>
      </c>
      <c r="AY2141" t="inlineStr">
        <is>
          <t>991002896249702656</t>
        </is>
      </c>
      <c r="AZ2141" t="inlineStr">
        <is>
          <t>991002896249702656</t>
        </is>
      </c>
      <c r="BA2141" t="inlineStr">
        <is>
          <t>2270182730002656</t>
        </is>
      </c>
      <c r="BB2141" t="inlineStr">
        <is>
          <t>BOOK</t>
        </is>
      </c>
      <c r="BD2141" t="inlineStr">
        <is>
          <t>9780374181000</t>
        </is>
      </c>
      <c r="BE2141" t="inlineStr">
        <is>
          <t>32285003505491</t>
        </is>
      </c>
      <c r="BF2141" t="inlineStr">
        <is>
          <t>893257856</t>
        </is>
      </c>
    </row>
    <row r="2142">
      <c r="A2142" t="inlineStr">
        <is>
          <t>No</t>
        </is>
      </c>
      <c r="B2142" t="inlineStr">
        <is>
          <t>CURAL</t>
        </is>
      </c>
      <c r="C2142" t="inlineStr">
        <is>
          <t>SHELVES</t>
        </is>
      </c>
      <c r="D2142" t="inlineStr">
        <is>
          <t>PR4836 .M82</t>
        </is>
      </c>
      <c r="E2142" t="inlineStr">
        <is>
          <t>0                      PR 4836000M  82</t>
        </is>
      </c>
      <c r="F2142" t="inlineStr">
        <is>
          <t>The mystery of Keats.</t>
        </is>
      </c>
      <c r="H2142" t="inlineStr">
        <is>
          <t>No</t>
        </is>
      </c>
      <c r="I2142" t="inlineStr">
        <is>
          <t>1</t>
        </is>
      </c>
      <c r="J2142" t="inlineStr">
        <is>
          <t>No</t>
        </is>
      </c>
      <c r="K2142" t="inlineStr">
        <is>
          <t>No</t>
        </is>
      </c>
      <c r="L2142" t="inlineStr">
        <is>
          <t>0</t>
        </is>
      </c>
      <c r="M2142" t="inlineStr">
        <is>
          <t>Murry, John Middleton, 1889-1957.</t>
        </is>
      </c>
      <c r="N2142" t="inlineStr">
        <is>
          <t>London, New York, Peter Nevill [1949]</t>
        </is>
      </c>
      <c r="O2142" t="inlineStr">
        <is>
          <t>1949</t>
        </is>
      </c>
      <c r="Q2142" t="inlineStr">
        <is>
          <t>eng</t>
        </is>
      </c>
      <c r="R2142" t="inlineStr">
        <is>
          <t xml:space="preserve">xx </t>
        </is>
      </c>
      <c r="T2142" t="inlineStr">
        <is>
          <t xml:space="preserve">PR </t>
        </is>
      </c>
      <c r="U2142" t="n">
        <v>2</v>
      </c>
      <c r="V2142" t="n">
        <v>2</v>
      </c>
      <c r="W2142" t="inlineStr">
        <is>
          <t>1997-07-25</t>
        </is>
      </c>
      <c r="X2142" t="inlineStr">
        <is>
          <t>1997-07-25</t>
        </is>
      </c>
      <c r="Y2142" t="inlineStr">
        <is>
          <t>1997-07-15</t>
        </is>
      </c>
      <c r="Z2142" t="inlineStr">
        <is>
          <t>1997-07-15</t>
        </is>
      </c>
      <c r="AA2142" t="n">
        <v>290</v>
      </c>
      <c r="AB2142" t="n">
        <v>229</v>
      </c>
      <c r="AC2142" t="n">
        <v>241</v>
      </c>
      <c r="AD2142" t="n">
        <v>4</v>
      </c>
      <c r="AE2142" t="n">
        <v>4</v>
      </c>
      <c r="AF2142" t="n">
        <v>17</v>
      </c>
      <c r="AG2142" t="n">
        <v>17</v>
      </c>
      <c r="AH2142" t="n">
        <v>6</v>
      </c>
      <c r="AI2142" t="n">
        <v>6</v>
      </c>
      <c r="AJ2142" t="n">
        <v>3</v>
      </c>
      <c r="AK2142" t="n">
        <v>3</v>
      </c>
      <c r="AL2142" t="n">
        <v>10</v>
      </c>
      <c r="AM2142" t="n">
        <v>10</v>
      </c>
      <c r="AN2142" t="n">
        <v>3</v>
      </c>
      <c r="AO2142" t="n">
        <v>3</v>
      </c>
      <c r="AP2142" t="n">
        <v>0</v>
      </c>
      <c r="AQ2142" t="n">
        <v>0</v>
      </c>
      <c r="AR2142" t="inlineStr">
        <is>
          <t>No</t>
        </is>
      </c>
      <c r="AS2142" t="inlineStr">
        <is>
          <t>Yes</t>
        </is>
      </c>
      <c r="AT2142">
        <f>HYPERLINK("http://catalog.hathitrust.org/Record/000590397","HathiTrust Record")</f>
        <v/>
      </c>
      <c r="AU2142">
        <f>HYPERLINK("https://creighton-primo.hosted.exlibrisgroup.com/primo-explore/search?tab=default_tab&amp;search_scope=EVERYTHING&amp;vid=01CRU&amp;lang=en_US&amp;offset=0&amp;query=any,contains,991003433409702656","Catalog Record")</f>
        <v/>
      </c>
      <c r="AV2142">
        <f>HYPERLINK("http://www.worldcat.org/oclc/968746","WorldCat Record")</f>
        <v/>
      </c>
      <c r="AW2142" t="inlineStr">
        <is>
          <t>1925034:eng</t>
        </is>
      </c>
      <c r="AX2142" t="inlineStr">
        <is>
          <t>968746</t>
        </is>
      </c>
      <c r="AY2142" t="inlineStr">
        <is>
          <t>991003433409702656</t>
        </is>
      </c>
      <c r="AZ2142" t="inlineStr">
        <is>
          <t>991003433409702656</t>
        </is>
      </c>
      <c r="BA2142" t="inlineStr">
        <is>
          <t>2263658910002656</t>
        </is>
      </c>
      <c r="BB2142" t="inlineStr">
        <is>
          <t>BOOK</t>
        </is>
      </c>
      <c r="BE2142" t="inlineStr">
        <is>
          <t>32285002924131</t>
        </is>
      </c>
      <c r="BF2142" t="inlineStr">
        <is>
          <t>893868401</t>
        </is>
      </c>
    </row>
    <row r="2143">
      <c r="A2143" t="inlineStr">
        <is>
          <t>No</t>
        </is>
      </c>
      <c r="B2143" t="inlineStr">
        <is>
          <t>CURAL</t>
        </is>
      </c>
      <c r="C2143" t="inlineStr">
        <is>
          <t>SHELVES</t>
        </is>
      </c>
      <c r="D2143" t="inlineStr">
        <is>
          <t>PR4836 .R49</t>
        </is>
      </c>
      <c r="E2143" t="inlineStr">
        <is>
          <t>0                      PR 4836000R  49</t>
        </is>
      </c>
      <c r="F2143" t="inlineStr">
        <is>
          <t>The everlasting spell; a study of Keats and his friends.</t>
        </is>
      </c>
      <c r="H2143" t="inlineStr">
        <is>
          <t>No</t>
        </is>
      </c>
      <c r="I2143" t="inlineStr">
        <is>
          <t>1</t>
        </is>
      </c>
      <c r="J2143" t="inlineStr">
        <is>
          <t>No</t>
        </is>
      </c>
      <c r="K2143" t="inlineStr">
        <is>
          <t>No</t>
        </is>
      </c>
      <c r="L2143" t="inlineStr">
        <is>
          <t>0</t>
        </is>
      </c>
      <c r="M2143" t="inlineStr">
        <is>
          <t>Richardson, Joanna.</t>
        </is>
      </c>
      <c r="N2143" t="inlineStr">
        <is>
          <t>London, J. Cape [1963]</t>
        </is>
      </c>
      <c r="O2143" t="inlineStr">
        <is>
          <t>1963</t>
        </is>
      </c>
      <c r="Q2143" t="inlineStr">
        <is>
          <t>eng</t>
        </is>
      </c>
      <c r="R2143" t="inlineStr">
        <is>
          <t>enk</t>
        </is>
      </c>
      <c r="T2143" t="inlineStr">
        <is>
          <t xml:space="preserve">PR </t>
        </is>
      </c>
      <c r="U2143" t="n">
        <v>2</v>
      </c>
      <c r="V2143" t="n">
        <v>2</v>
      </c>
      <c r="W2143" t="inlineStr">
        <is>
          <t>1997-10-01</t>
        </is>
      </c>
      <c r="X2143" t="inlineStr">
        <is>
          <t>1997-10-01</t>
        </is>
      </c>
      <c r="Y2143" t="inlineStr">
        <is>
          <t>1997-07-15</t>
        </is>
      </c>
      <c r="Z2143" t="inlineStr">
        <is>
          <t>1997-07-15</t>
        </is>
      </c>
      <c r="AA2143" t="n">
        <v>455</v>
      </c>
      <c r="AB2143" t="n">
        <v>332</v>
      </c>
      <c r="AC2143" t="n">
        <v>339</v>
      </c>
      <c r="AD2143" t="n">
        <v>2</v>
      </c>
      <c r="AE2143" t="n">
        <v>2</v>
      </c>
      <c r="AF2143" t="n">
        <v>12</v>
      </c>
      <c r="AG2143" t="n">
        <v>12</v>
      </c>
      <c r="AH2143" t="n">
        <v>4</v>
      </c>
      <c r="AI2143" t="n">
        <v>4</v>
      </c>
      <c r="AJ2143" t="n">
        <v>3</v>
      </c>
      <c r="AK2143" t="n">
        <v>3</v>
      </c>
      <c r="AL2143" t="n">
        <v>6</v>
      </c>
      <c r="AM2143" t="n">
        <v>6</v>
      </c>
      <c r="AN2143" t="n">
        <v>1</v>
      </c>
      <c r="AO2143" t="n">
        <v>1</v>
      </c>
      <c r="AP2143" t="n">
        <v>0</v>
      </c>
      <c r="AQ2143" t="n">
        <v>0</v>
      </c>
      <c r="AR2143" t="inlineStr">
        <is>
          <t>No</t>
        </is>
      </c>
      <c r="AS2143" t="inlineStr">
        <is>
          <t>Yes</t>
        </is>
      </c>
      <c r="AT2143">
        <f>HYPERLINK("http://catalog.hathitrust.org/Record/000484413","HathiTrust Record")</f>
        <v/>
      </c>
      <c r="AU2143">
        <f>HYPERLINK("https://creighton-primo.hosted.exlibrisgroup.com/primo-explore/search?tab=default_tab&amp;search_scope=EVERYTHING&amp;vid=01CRU&amp;lang=en_US&amp;offset=0&amp;query=any,contains,991002481309702656","Catalog Record")</f>
        <v/>
      </c>
      <c r="AV2143">
        <f>HYPERLINK("http://www.worldcat.org/oclc/359790","WorldCat Record")</f>
        <v/>
      </c>
      <c r="AW2143" t="inlineStr">
        <is>
          <t>366749870:eng</t>
        </is>
      </c>
      <c r="AX2143" t="inlineStr">
        <is>
          <t>359790</t>
        </is>
      </c>
      <c r="AY2143" t="inlineStr">
        <is>
          <t>991002481309702656</t>
        </is>
      </c>
      <c r="AZ2143" t="inlineStr">
        <is>
          <t>991002481309702656</t>
        </is>
      </c>
      <c r="BA2143" t="inlineStr">
        <is>
          <t>2272467080002656</t>
        </is>
      </c>
      <c r="BB2143" t="inlineStr">
        <is>
          <t>BOOK</t>
        </is>
      </c>
      <c r="BE2143" t="inlineStr">
        <is>
          <t>32285002924149</t>
        </is>
      </c>
      <c r="BF2143" t="inlineStr">
        <is>
          <t>893685399</t>
        </is>
      </c>
    </row>
    <row r="2144">
      <c r="A2144" t="inlineStr">
        <is>
          <t>No</t>
        </is>
      </c>
      <c r="B2144" t="inlineStr">
        <is>
          <t>CURAL</t>
        </is>
      </c>
      <c r="C2144" t="inlineStr">
        <is>
          <t>SHELVES</t>
        </is>
      </c>
      <c r="D2144" t="inlineStr">
        <is>
          <t>PR4836 .R55</t>
        </is>
      </c>
      <c r="E2144" t="inlineStr">
        <is>
          <t>0                      PR 4836000R  55</t>
        </is>
      </c>
      <c r="F2144" t="inlineStr">
        <is>
          <t>More letters and poems of the Keats circle.</t>
        </is>
      </c>
      <c r="H2144" t="inlineStr">
        <is>
          <t>No</t>
        </is>
      </c>
      <c r="I2144" t="inlineStr">
        <is>
          <t>1</t>
        </is>
      </c>
      <c r="J2144" t="inlineStr">
        <is>
          <t>No</t>
        </is>
      </c>
      <c r="K2144" t="inlineStr">
        <is>
          <t>No</t>
        </is>
      </c>
      <c r="L2144" t="inlineStr">
        <is>
          <t>0</t>
        </is>
      </c>
      <c r="M2144" t="inlineStr">
        <is>
          <t>Rollins, Hyder Edward, 1889-1958 editor.</t>
        </is>
      </c>
      <c r="N2144" t="inlineStr">
        <is>
          <t>Cambridge, Harvard University Press, 1955.</t>
        </is>
      </c>
      <c r="O2144" t="inlineStr">
        <is>
          <t>1955</t>
        </is>
      </c>
      <c r="Q2144" t="inlineStr">
        <is>
          <t>eng</t>
        </is>
      </c>
      <c r="R2144" t="inlineStr">
        <is>
          <t>mau</t>
        </is>
      </c>
      <c r="T2144" t="inlineStr">
        <is>
          <t xml:space="preserve">PR </t>
        </is>
      </c>
      <c r="U2144" t="n">
        <v>1</v>
      </c>
      <c r="V2144" t="n">
        <v>1</v>
      </c>
      <c r="W2144" t="inlineStr">
        <is>
          <t>2001-02-09</t>
        </is>
      </c>
      <c r="X2144" t="inlineStr">
        <is>
          <t>2001-02-09</t>
        </is>
      </c>
      <c r="Y2144" t="inlineStr">
        <is>
          <t>1992-04-23</t>
        </is>
      </c>
      <c r="Z2144" t="inlineStr">
        <is>
          <t>1992-04-23</t>
        </is>
      </c>
      <c r="AA2144" t="n">
        <v>556</v>
      </c>
      <c r="AB2144" t="n">
        <v>463</v>
      </c>
      <c r="AC2144" t="n">
        <v>469</v>
      </c>
      <c r="AD2144" t="n">
        <v>5</v>
      </c>
      <c r="AE2144" t="n">
        <v>5</v>
      </c>
      <c r="AF2144" t="n">
        <v>21</v>
      </c>
      <c r="AG2144" t="n">
        <v>21</v>
      </c>
      <c r="AH2144" t="n">
        <v>5</v>
      </c>
      <c r="AI2144" t="n">
        <v>5</v>
      </c>
      <c r="AJ2144" t="n">
        <v>4</v>
      </c>
      <c r="AK2144" t="n">
        <v>4</v>
      </c>
      <c r="AL2144" t="n">
        <v>13</v>
      </c>
      <c r="AM2144" t="n">
        <v>13</v>
      </c>
      <c r="AN2144" t="n">
        <v>4</v>
      </c>
      <c r="AO2144" t="n">
        <v>4</v>
      </c>
      <c r="AP2144" t="n">
        <v>0</v>
      </c>
      <c r="AQ2144" t="n">
        <v>0</v>
      </c>
      <c r="AR2144" t="inlineStr">
        <is>
          <t>No</t>
        </is>
      </c>
      <c r="AS2144" t="inlineStr">
        <is>
          <t>No</t>
        </is>
      </c>
      <c r="AT2144">
        <f>HYPERLINK("http://catalog.hathitrust.org/Record/000484475","HathiTrust Record")</f>
        <v/>
      </c>
      <c r="AU2144">
        <f>HYPERLINK("https://creighton-primo.hosted.exlibrisgroup.com/primo-explore/search?tab=default_tab&amp;search_scope=EVERYTHING&amp;vid=01CRU&amp;lang=en_US&amp;offset=0&amp;query=any,contains,991002480739702656","Catalog Record")</f>
        <v/>
      </c>
      <c r="AV2144">
        <f>HYPERLINK("http://www.worldcat.org/oclc/359693","WorldCat Record")</f>
        <v/>
      </c>
      <c r="AW2144" t="inlineStr">
        <is>
          <t>3768546792:eng</t>
        </is>
      </c>
      <c r="AX2144" t="inlineStr">
        <is>
          <t>359693</t>
        </is>
      </c>
      <c r="AY2144" t="inlineStr">
        <is>
          <t>991002480739702656</t>
        </is>
      </c>
      <c r="AZ2144" t="inlineStr">
        <is>
          <t>991002480739702656</t>
        </is>
      </c>
      <c r="BA2144" t="inlineStr">
        <is>
          <t>2272323360002656</t>
        </is>
      </c>
      <c r="BB2144" t="inlineStr">
        <is>
          <t>BOOK</t>
        </is>
      </c>
      <c r="BE2144" t="inlineStr">
        <is>
          <t>32285001054948</t>
        </is>
      </c>
      <c r="BF2144" t="inlineStr">
        <is>
          <t>893892600</t>
        </is>
      </c>
    </row>
    <row r="2145">
      <c r="A2145" t="inlineStr">
        <is>
          <t>No</t>
        </is>
      </c>
      <c r="B2145" t="inlineStr">
        <is>
          <t>CURAL</t>
        </is>
      </c>
      <c r="C2145" t="inlineStr">
        <is>
          <t>SHELVES</t>
        </is>
      </c>
      <c r="D2145" t="inlineStr">
        <is>
          <t>PR4836 .R6</t>
        </is>
      </c>
      <c r="E2145" t="inlineStr">
        <is>
          <t>0                      PR 4836000R  6</t>
        </is>
      </c>
      <c r="F2145" t="inlineStr">
        <is>
          <t>Life of John Keats / by William Michael Rossetti.</t>
        </is>
      </c>
      <c r="H2145" t="inlineStr">
        <is>
          <t>No</t>
        </is>
      </c>
      <c r="I2145" t="inlineStr">
        <is>
          <t>1</t>
        </is>
      </c>
      <c r="J2145" t="inlineStr">
        <is>
          <t>No</t>
        </is>
      </c>
      <c r="K2145" t="inlineStr">
        <is>
          <t>No</t>
        </is>
      </c>
      <c r="L2145" t="inlineStr">
        <is>
          <t>0</t>
        </is>
      </c>
      <c r="M2145" t="inlineStr">
        <is>
          <t>Rossetti, William Michael, 1829-1919.</t>
        </is>
      </c>
      <c r="N2145" t="inlineStr">
        <is>
          <t>London : W. Scott, 1887.</t>
        </is>
      </c>
      <c r="O2145" t="inlineStr">
        <is>
          <t>1887</t>
        </is>
      </c>
      <c r="Q2145" t="inlineStr">
        <is>
          <t>eng</t>
        </is>
      </c>
      <c r="R2145" t="inlineStr">
        <is>
          <t xml:space="preserve">xx </t>
        </is>
      </c>
      <c r="S2145" t="inlineStr">
        <is>
          <t>"Great writers". Ed. by E. S. Robertson</t>
        </is>
      </c>
      <c r="T2145" t="inlineStr">
        <is>
          <t xml:space="preserve">PR </t>
        </is>
      </c>
      <c r="U2145" t="n">
        <v>8</v>
      </c>
      <c r="V2145" t="n">
        <v>8</v>
      </c>
      <c r="W2145" t="inlineStr">
        <is>
          <t>2009-10-09</t>
        </is>
      </c>
      <c r="X2145" t="inlineStr">
        <is>
          <t>2009-10-09</t>
        </is>
      </c>
      <c r="Y2145" t="inlineStr">
        <is>
          <t>1995-01-27</t>
        </is>
      </c>
      <c r="Z2145" t="inlineStr">
        <is>
          <t>1995-01-27</t>
        </is>
      </c>
      <c r="AA2145" t="n">
        <v>336</v>
      </c>
      <c r="AB2145" t="n">
        <v>265</v>
      </c>
      <c r="AC2145" t="n">
        <v>455</v>
      </c>
      <c r="AD2145" t="n">
        <v>4</v>
      </c>
      <c r="AE2145" t="n">
        <v>6</v>
      </c>
      <c r="AF2145" t="n">
        <v>22</v>
      </c>
      <c r="AG2145" t="n">
        <v>30</v>
      </c>
      <c r="AH2145" t="n">
        <v>8</v>
      </c>
      <c r="AI2145" t="n">
        <v>12</v>
      </c>
      <c r="AJ2145" t="n">
        <v>4</v>
      </c>
      <c r="AK2145" t="n">
        <v>6</v>
      </c>
      <c r="AL2145" t="n">
        <v>14</v>
      </c>
      <c r="AM2145" t="n">
        <v>14</v>
      </c>
      <c r="AN2145" t="n">
        <v>3</v>
      </c>
      <c r="AO2145" t="n">
        <v>5</v>
      </c>
      <c r="AP2145" t="n">
        <v>0</v>
      </c>
      <c r="AQ2145" t="n">
        <v>0</v>
      </c>
      <c r="AR2145" t="inlineStr">
        <is>
          <t>Yes</t>
        </is>
      </c>
      <c r="AS2145" t="inlineStr">
        <is>
          <t>No</t>
        </is>
      </c>
      <c r="AT2145">
        <f>HYPERLINK("http://catalog.hathitrust.org/Record/000672763","HathiTrust Record")</f>
        <v/>
      </c>
      <c r="AU2145">
        <f>HYPERLINK("https://creighton-primo.hosted.exlibrisgroup.com/primo-explore/search?tab=default_tab&amp;search_scope=EVERYTHING&amp;vid=01CRU&amp;lang=en_US&amp;offset=0&amp;query=any,contains,991003236449702656","Catalog Record")</f>
        <v/>
      </c>
      <c r="AV2145">
        <f>HYPERLINK("http://www.worldcat.org/oclc/760923","WorldCat Record")</f>
        <v/>
      </c>
      <c r="AW2145" t="inlineStr">
        <is>
          <t>1319546:eng</t>
        </is>
      </c>
      <c r="AX2145" t="inlineStr">
        <is>
          <t>760923</t>
        </is>
      </c>
      <c r="AY2145" t="inlineStr">
        <is>
          <t>991003236449702656</t>
        </is>
      </c>
      <c r="AZ2145" t="inlineStr">
        <is>
          <t>991003236449702656</t>
        </is>
      </c>
      <c r="BA2145" t="inlineStr">
        <is>
          <t>2264331070002656</t>
        </is>
      </c>
      <c r="BB2145" t="inlineStr">
        <is>
          <t>BOOK</t>
        </is>
      </c>
      <c r="BD2145" t="inlineStr">
        <is>
          <t>9780404054281</t>
        </is>
      </c>
      <c r="BE2145" t="inlineStr">
        <is>
          <t>32285001987873</t>
        </is>
      </c>
      <c r="BF2145" t="inlineStr">
        <is>
          <t>893323899</t>
        </is>
      </c>
    </row>
    <row r="2146">
      <c r="A2146" t="inlineStr">
        <is>
          <t>No</t>
        </is>
      </c>
      <c r="B2146" t="inlineStr">
        <is>
          <t>CURAL</t>
        </is>
      </c>
      <c r="C2146" t="inlineStr">
        <is>
          <t>SHELVES</t>
        </is>
      </c>
      <c r="D2146" t="inlineStr">
        <is>
          <t>PR4836 .W3</t>
        </is>
      </c>
      <c r="E2146" t="inlineStr">
        <is>
          <t>0                      PR 4836000W  3</t>
        </is>
      </c>
      <c r="F2146" t="inlineStr">
        <is>
          <t>John Keats : the making of a poet.</t>
        </is>
      </c>
      <c r="H2146" t="inlineStr">
        <is>
          <t>No</t>
        </is>
      </c>
      <c r="I2146" t="inlineStr">
        <is>
          <t>1</t>
        </is>
      </c>
      <c r="J2146" t="inlineStr">
        <is>
          <t>No</t>
        </is>
      </c>
      <c r="K2146" t="inlineStr">
        <is>
          <t>No</t>
        </is>
      </c>
      <c r="L2146" t="inlineStr">
        <is>
          <t>0</t>
        </is>
      </c>
      <c r="M2146" t="inlineStr">
        <is>
          <t>Ward, Aileen.</t>
        </is>
      </c>
      <c r="N2146" t="inlineStr">
        <is>
          <t>New York : Viking Press, [1963]</t>
        </is>
      </c>
      <c r="O2146" t="inlineStr">
        <is>
          <t>1963</t>
        </is>
      </c>
      <c r="Q2146" t="inlineStr">
        <is>
          <t>eng</t>
        </is>
      </c>
      <c r="R2146" t="inlineStr">
        <is>
          <t>nyu</t>
        </is>
      </c>
      <c r="T2146" t="inlineStr">
        <is>
          <t xml:space="preserve">PR </t>
        </is>
      </c>
      <c r="U2146" t="n">
        <v>1</v>
      </c>
      <c r="V2146" t="n">
        <v>1</v>
      </c>
      <c r="W2146" t="inlineStr">
        <is>
          <t>1992-01-30</t>
        </is>
      </c>
      <c r="X2146" t="inlineStr">
        <is>
          <t>1992-01-30</t>
        </is>
      </c>
      <c r="Y2146" t="inlineStr">
        <is>
          <t>1990-03-01</t>
        </is>
      </c>
      <c r="Z2146" t="inlineStr">
        <is>
          <t>1990-03-01</t>
        </is>
      </c>
      <c r="AA2146" t="n">
        <v>1773</v>
      </c>
      <c r="AB2146" t="n">
        <v>1575</v>
      </c>
      <c r="AC2146" t="n">
        <v>1757</v>
      </c>
      <c r="AD2146" t="n">
        <v>14</v>
      </c>
      <c r="AE2146" t="n">
        <v>15</v>
      </c>
      <c r="AF2146" t="n">
        <v>51</v>
      </c>
      <c r="AG2146" t="n">
        <v>60</v>
      </c>
      <c r="AH2146" t="n">
        <v>22</v>
      </c>
      <c r="AI2146" t="n">
        <v>25</v>
      </c>
      <c r="AJ2146" t="n">
        <v>7</v>
      </c>
      <c r="AK2146" t="n">
        <v>10</v>
      </c>
      <c r="AL2146" t="n">
        <v>20</v>
      </c>
      <c r="AM2146" t="n">
        <v>26</v>
      </c>
      <c r="AN2146" t="n">
        <v>11</v>
      </c>
      <c r="AO2146" t="n">
        <v>12</v>
      </c>
      <c r="AP2146" t="n">
        <v>0</v>
      </c>
      <c r="AQ2146" t="n">
        <v>0</v>
      </c>
      <c r="AR2146" t="inlineStr">
        <is>
          <t>No</t>
        </is>
      </c>
      <c r="AS2146" t="inlineStr">
        <is>
          <t>Yes</t>
        </is>
      </c>
      <c r="AT2146">
        <f>HYPERLINK("http://catalog.hathitrust.org/Record/000590855","HathiTrust Record")</f>
        <v/>
      </c>
      <c r="AU2146">
        <f>HYPERLINK("https://creighton-primo.hosted.exlibrisgroup.com/primo-explore/search?tab=default_tab&amp;search_scope=EVERYTHING&amp;vid=01CRU&amp;lang=en_US&amp;offset=0&amp;query=any,contains,991003176519702656","Catalog Record")</f>
        <v/>
      </c>
      <c r="AV2146">
        <f>HYPERLINK("http://www.worldcat.org/oclc/710904","WorldCat Record")</f>
        <v/>
      </c>
      <c r="AW2146" t="inlineStr">
        <is>
          <t>7609390:eng</t>
        </is>
      </c>
      <c r="AX2146" t="inlineStr">
        <is>
          <t>710904</t>
        </is>
      </c>
      <c r="AY2146" t="inlineStr">
        <is>
          <t>991003176519702656</t>
        </is>
      </c>
      <c r="AZ2146" t="inlineStr">
        <is>
          <t>991003176519702656</t>
        </is>
      </c>
      <c r="BA2146" t="inlineStr">
        <is>
          <t>2262467140002656</t>
        </is>
      </c>
      <c r="BB2146" t="inlineStr">
        <is>
          <t>BOOK</t>
        </is>
      </c>
      <c r="BE2146" t="inlineStr">
        <is>
          <t>32285000063312</t>
        </is>
      </c>
      <c r="BF2146" t="inlineStr">
        <is>
          <t>893317712</t>
        </is>
      </c>
    </row>
    <row r="2147">
      <c r="A2147" t="inlineStr">
        <is>
          <t>No</t>
        </is>
      </c>
      <c r="B2147" t="inlineStr">
        <is>
          <t>CURAL</t>
        </is>
      </c>
      <c r="C2147" t="inlineStr">
        <is>
          <t>SHELVES</t>
        </is>
      </c>
      <c r="D2147" t="inlineStr">
        <is>
          <t>PR4836.A2 M3</t>
        </is>
      </c>
      <c r="E2147" t="inlineStr">
        <is>
          <t>0                      PR 4836000A  2                  M  3</t>
        </is>
      </c>
      <c r="F2147" t="inlineStr">
        <is>
          <t>Keats, a bibliography and reference guide, with an essay on Keats' reputation.</t>
        </is>
      </c>
      <c r="H2147" t="inlineStr">
        <is>
          <t>No</t>
        </is>
      </c>
      <c r="I2147" t="inlineStr">
        <is>
          <t>1</t>
        </is>
      </c>
      <c r="J2147" t="inlineStr">
        <is>
          <t>No</t>
        </is>
      </c>
      <c r="K2147" t="inlineStr">
        <is>
          <t>No</t>
        </is>
      </c>
      <c r="L2147" t="inlineStr">
        <is>
          <t>0</t>
        </is>
      </c>
      <c r="M2147" t="inlineStr">
        <is>
          <t>MacGillivray, J. R. (James Robertson)</t>
        </is>
      </c>
      <c r="N2147" t="inlineStr">
        <is>
          <t>[Toronto] University of Toronto Press, 1949.</t>
        </is>
      </c>
      <c r="O2147" t="inlineStr">
        <is>
          <t>1949</t>
        </is>
      </c>
      <c r="Q2147" t="inlineStr">
        <is>
          <t>eng</t>
        </is>
      </c>
      <c r="R2147" t="inlineStr">
        <is>
          <t xml:space="preserve">xx </t>
        </is>
      </c>
      <c r="S2147" t="inlineStr">
        <is>
          <t>University of Toronto. Dept. of English. Studies and texts, no. 3</t>
        </is>
      </c>
      <c r="T2147" t="inlineStr">
        <is>
          <t xml:space="preserve">PR </t>
        </is>
      </c>
      <c r="U2147" t="n">
        <v>2</v>
      </c>
      <c r="V2147" t="n">
        <v>2</v>
      </c>
      <c r="W2147" t="inlineStr">
        <is>
          <t>1997-11-25</t>
        </is>
      </c>
      <c r="X2147" t="inlineStr">
        <is>
          <t>1997-11-25</t>
        </is>
      </c>
      <c r="Y2147" t="inlineStr">
        <is>
          <t>1997-07-15</t>
        </is>
      </c>
      <c r="Z2147" t="inlineStr">
        <is>
          <t>1997-07-15</t>
        </is>
      </c>
      <c r="AA2147" t="n">
        <v>504</v>
      </c>
      <c r="AB2147" t="n">
        <v>413</v>
      </c>
      <c r="AC2147" t="n">
        <v>496</v>
      </c>
      <c r="AD2147" t="n">
        <v>5</v>
      </c>
      <c r="AE2147" t="n">
        <v>5</v>
      </c>
      <c r="AF2147" t="n">
        <v>25</v>
      </c>
      <c r="AG2147" t="n">
        <v>27</v>
      </c>
      <c r="AH2147" t="n">
        <v>7</v>
      </c>
      <c r="AI2147" t="n">
        <v>9</v>
      </c>
      <c r="AJ2147" t="n">
        <v>6</v>
      </c>
      <c r="AK2147" t="n">
        <v>6</v>
      </c>
      <c r="AL2147" t="n">
        <v>13</v>
      </c>
      <c r="AM2147" t="n">
        <v>13</v>
      </c>
      <c r="AN2147" t="n">
        <v>4</v>
      </c>
      <c r="AO2147" t="n">
        <v>4</v>
      </c>
      <c r="AP2147" t="n">
        <v>0</v>
      </c>
      <c r="AQ2147" t="n">
        <v>0</v>
      </c>
      <c r="AR2147" t="inlineStr">
        <is>
          <t>No</t>
        </is>
      </c>
      <c r="AS2147" t="inlineStr">
        <is>
          <t>No</t>
        </is>
      </c>
      <c r="AT2147">
        <f>HYPERLINK("http://catalog.hathitrust.org/Record/000590307","HathiTrust Record")</f>
        <v/>
      </c>
      <c r="AU2147">
        <f>HYPERLINK("https://creighton-primo.hosted.exlibrisgroup.com/primo-explore/search?tab=default_tab&amp;search_scope=EVERYTHING&amp;vid=01CRU&amp;lang=en_US&amp;offset=0&amp;query=any,contains,991003645749702656","Catalog Record")</f>
        <v/>
      </c>
      <c r="AV2147">
        <f>HYPERLINK("http://www.worldcat.org/oclc/1246412","WorldCat Record")</f>
        <v/>
      </c>
      <c r="AW2147" t="inlineStr">
        <is>
          <t>197948154:eng</t>
        </is>
      </c>
      <c r="AX2147" t="inlineStr">
        <is>
          <t>1246412</t>
        </is>
      </c>
      <c r="AY2147" t="inlineStr">
        <is>
          <t>991003645749702656</t>
        </is>
      </c>
      <c r="AZ2147" t="inlineStr">
        <is>
          <t>991003645749702656</t>
        </is>
      </c>
      <c r="BA2147" t="inlineStr">
        <is>
          <t>2263068800002656</t>
        </is>
      </c>
      <c r="BB2147" t="inlineStr">
        <is>
          <t>BOOK</t>
        </is>
      </c>
      <c r="BE2147" t="inlineStr">
        <is>
          <t>32285002924008</t>
        </is>
      </c>
      <c r="BF2147" t="inlineStr">
        <is>
          <t>893342810</t>
        </is>
      </c>
    </row>
    <row r="2148">
      <c r="A2148" t="inlineStr">
        <is>
          <t>No</t>
        </is>
      </c>
      <c r="B2148" t="inlineStr">
        <is>
          <t>CURAL</t>
        </is>
      </c>
      <c r="C2148" t="inlineStr">
        <is>
          <t>SHELVES</t>
        </is>
      </c>
      <c r="D2148" t="inlineStr">
        <is>
          <t>PR4837 .B33 1987</t>
        </is>
      </c>
      <c r="E2148" t="inlineStr">
        <is>
          <t>0                      PR 4837000B  33          1987</t>
        </is>
      </c>
      <c r="F2148" t="inlineStr">
        <is>
          <t>John Keats / John Barnard.</t>
        </is>
      </c>
      <c r="H2148" t="inlineStr">
        <is>
          <t>No</t>
        </is>
      </c>
      <c r="I2148" t="inlineStr">
        <is>
          <t>1</t>
        </is>
      </c>
      <c r="J2148" t="inlineStr">
        <is>
          <t>No</t>
        </is>
      </c>
      <c r="K2148" t="inlineStr">
        <is>
          <t>No</t>
        </is>
      </c>
      <c r="L2148" t="inlineStr">
        <is>
          <t>0</t>
        </is>
      </c>
      <c r="M2148" t="inlineStr">
        <is>
          <t>Barnard, John, 1936-</t>
        </is>
      </c>
      <c r="N2148" t="inlineStr">
        <is>
          <t>Cambridge [Cambridgeshire] ; New York : Cambridge University Press, 1987.</t>
        </is>
      </c>
      <c r="O2148" t="inlineStr">
        <is>
          <t>1987</t>
        </is>
      </c>
      <c r="Q2148" t="inlineStr">
        <is>
          <t>eng</t>
        </is>
      </c>
      <c r="R2148" t="inlineStr">
        <is>
          <t>enk</t>
        </is>
      </c>
      <c r="S2148" t="inlineStr">
        <is>
          <t>British and Irish authors</t>
        </is>
      </c>
      <c r="T2148" t="inlineStr">
        <is>
          <t xml:space="preserve">PR </t>
        </is>
      </c>
      <c r="U2148" t="n">
        <v>3</v>
      </c>
      <c r="V2148" t="n">
        <v>3</v>
      </c>
      <c r="W2148" t="inlineStr">
        <is>
          <t>2003-04-16</t>
        </is>
      </c>
      <c r="X2148" t="inlineStr">
        <is>
          <t>2003-04-16</t>
        </is>
      </c>
      <c r="Y2148" t="inlineStr">
        <is>
          <t>1990-02-26</t>
        </is>
      </c>
      <c r="Z2148" t="inlineStr">
        <is>
          <t>1990-02-26</t>
        </is>
      </c>
      <c r="AA2148" t="n">
        <v>744</v>
      </c>
      <c r="AB2148" t="n">
        <v>551</v>
      </c>
      <c r="AC2148" t="n">
        <v>956</v>
      </c>
      <c r="AD2148" t="n">
        <v>5</v>
      </c>
      <c r="AE2148" t="n">
        <v>11</v>
      </c>
      <c r="AF2148" t="n">
        <v>35</v>
      </c>
      <c r="AG2148" t="n">
        <v>50</v>
      </c>
      <c r="AH2148" t="n">
        <v>12</v>
      </c>
      <c r="AI2148" t="n">
        <v>20</v>
      </c>
      <c r="AJ2148" t="n">
        <v>6</v>
      </c>
      <c r="AK2148" t="n">
        <v>9</v>
      </c>
      <c r="AL2148" t="n">
        <v>22</v>
      </c>
      <c r="AM2148" t="n">
        <v>25</v>
      </c>
      <c r="AN2148" t="n">
        <v>4</v>
      </c>
      <c r="AO2148" t="n">
        <v>9</v>
      </c>
      <c r="AP2148" t="n">
        <v>0</v>
      </c>
      <c r="AQ2148" t="n">
        <v>0</v>
      </c>
      <c r="AR2148" t="inlineStr">
        <is>
          <t>No</t>
        </is>
      </c>
      <c r="AS2148" t="inlineStr">
        <is>
          <t>No</t>
        </is>
      </c>
      <c r="AU2148">
        <f>HYPERLINK("https://creighton-primo.hosted.exlibrisgroup.com/primo-explore/search?tab=default_tab&amp;search_scope=EVERYTHING&amp;vid=01CRU&amp;lang=en_US&amp;offset=0&amp;query=any,contains,991000873769702656","Catalog Record")</f>
        <v/>
      </c>
      <c r="AV2148">
        <f>HYPERLINK("http://www.worldcat.org/oclc/13795221","WorldCat Record")</f>
        <v/>
      </c>
      <c r="AW2148" t="inlineStr">
        <is>
          <t>1862364656:eng</t>
        </is>
      </c>
      <c r="AX2148" t="inlineStr">
        <is>
          <t>13795221</t>
        </is>
      </c>
      <c r="AY2148" t="inlineStr">
        <is>
          <t>991000873769702656</t>
        </is>
      </c>
      <c r="AZ2148" t="inlineStr">
        <is>
          <t>991000873769702656</t>
        </is>
      </c>
      <c r="BA2148" t="inlineStr">
        <is>
          <t>2269131880002656</t>
        </is>
      </c>
      <c r="BB2148" t="inlineStr">
        <is>
          <t>BOOK</t>
        </is>
      </c>
      <c r="BD2148" t="inlineStr">
        <is>
          <t>9780521318068</t>
        </is>
      </c>
      <c r="BE2148" t="inlineStr">
        <is>
          <t>32285000059559</t>
        </is>
      </c>
      <c r="BF2148" t="inlineStr">
        <is>
          <t>893407608</t>
        </is>
      </c>
    </row>
    <row r="2149">
      <c r="A2149" t="inlineStr">
        <is>
          <t>No</t>
        </is>
      </c>
      <c r="B2149" t="inlineStr">
        <is>
          <t>CURAL</t>
        </is>
      </c>
      <c r="C2149" t="inlineStr">
        <is>
          <t>SHELVES</t>
        </is>
      </c>
      <c r="D2149" t="inlineStr">
        <is>
          <t>PR4837 .B34</t>
        </is>
      </c>
      <c r="E2149" t="inlineStr">
        <is>
          <t>0                      PR 4837000B  34</t>
        </is>
      </c>
      <c r="F2149" t="inlineStr">
        <is>
          <t>Keats : a collection of critical essays.</t>
        </is>
      </c>
      <c r="H2149" t="inlineStr">
        <is>
          <t>No</t>
        </is>
      </c>
      <c r="I2149" t="inlineStr">
        <is>
          <t>1</t>
        </is>
      </c>
      <c r="J2149" t="inlineStr">
        <is>
          <t>No</t>
        </is>
      </c>
      <c r="K2149" t="inlineStr">
        <is>
          <t>No</t>
        </is>
      </c>
      <c r="L2149" t="inlineStr">
        <is>
          <t>0</t>
        </is>
      </c>
      <c r="M2149" t="inlineStr">
        <is>
          <t>Bate, Walter Jackson, 1918-1999 editor.</t>
        </is>
      </c>
      <c r="N2149" t="inlineStr">
        <is>
          <t>Englewood Cliffs, N.J. : Prentice-Hall, [1964]</t>
        </is>
      </c>
      <c r="O2149" t="inlineStr">
        <is>
          <t>1964</t>
        </is>
      </c>
      <c r="Q2149" t="inlineStr">
        <is>
          <t>eng</t>
        </is>
      </c>
      <c r="R2149" t="inlineStr">
        <is>
          <t>nju</t>
        </is>
      </c>
      <c r="S2149" t="inlineStr">
        <is>
          <t>A Spectrum book.</t>
        </is>
      </c>
      <c r="T2149" t="inlineStr">
        <is>
          <t xml:space="preserve">PR </t>
        </is>
      </c>
      <c r="U2149" t="n">
        <v>12</v>
      </c>
      <c r="V2149" t="n">
        <v>12</v>
      </c>
      <c r="W2149" t="inlineStr">
        <is>
          <t>2001-02-13</t>
        </is>
      </c>
      <c r="X2149" t="inlineStr">
        <is>
          <t>2001-02-13</t>
        </is>
      </c>
      <c r="Y2149" t="inlineStr">
        <is>
          <t>1990-03-05</t>
        </is>
      </c>
      <c r="Z2149" t="inlineStr">
        <is>
          <t>1990-03-05</t>
        </is>
      </c>
      <c r="AA2149" t="n">
        <v>2087</v>
      </c>
      <c r="AB2149" t="n">
        <v>1810</v>
      </c>
      <c r="AC2149" t="n">
        <v>1816</v>
      </c>
      <c r="AD2149" t="n">
        <v>19</v>
      </c>
      <c r="AE2149" t="n">
        <v>19</v>
      </c>
      <c r="AF2149" t="n">
        <v>55</v>
      </c>
      <c r="AG2149" t="n">
        <v>55</v>
      </c>
      <c r="AH2149" t="n">
        <v>21</v>
      </c>
      <c r="AI2149" t="n">
        <v>21</v>
      </c>
      <c r="AJ2149" t="n">
        <v>6</v>
      </c>
      <c r="AK2149" t="n">
        <v>6</v>
      </c>
      <c r="AL2149" t="n">
        <v>22</v>
      </c>
      <c r="AM2149" t="n">
        <v>22</v>
      </c>
      <c r="AN2149" t="n">
        <v>15</v>
      </c>
      <c r="AO2149" t="n">
        <v>15</v>
      </c>
      <c r="AP2149" t="n">
        <v>0</v>
      </c>
      <c r="AQ2149" t="n">
        <v>0</v>
      </c>
      <c r="AR2149" t="inlineStr">
        <is>
          <t>No</t>
        </is>
      </c>
      <c r="AS2149" t="inlineStr">
        <is>
          <t>No</t>
        </is>
      </c>
      <c r="AU2149">
        <f>HYPERLINK("https://creighton-primo.hosted.exlibrisgroup.com/primo-explore/search?tab=default_tab&amp;search_scope=EVERYTHING&amp;vid=01CRU&amp;lang=en_US&amp;offset=0&amp;query=any,contains,991003178579702656","Catalog Record")</f>
        <v/>
      </c>
      <c r="AV2149">
        <f>HYPERLINK("http://www.worldcat.org/oclc/711263","WorldCat Record")</f>
        <v/>
      </c>
      <c r="AW2149" t="inlineStr">
        <is>
          <t>2521953168:eng</t>
        </is>
      </c>
      <c r="AX2149" t="inlineStr">
        <is>
          <t>711263</t>
        </is>
      </c>
      <c r="AY2149" t="inlineStr">
        <is>
          <t>991003178579702656</t>
        </is>
      </c>
      <c r="AZ2149" t="inlineStr">
        <is>
          <t>991003178579702656</t>
        </is>
      </c>
      <c r="BA2149" t="inlineStr">
        <is>
          <t>2263988830002656</t>
        </is>
      </c>
      <c r="BB2149" t="inlineStr">
        <is>
          <t>BOOK</t>
        </is>
      </c>
      <c r="BE2149" t="inlineStr">
        <is>
          <t>32285000064542</t>
        </is>
      </c>
      <c r="BF2149" t="inlineStr">
        <is>
          <t>893698728</t>
        </is>
      </c>
    </row>
    <row r="2150">
      <c r="A2150" t="inlineStr">
        <is>
          <t>No</t>
        </is>
      </c>
      <c r="B2150" t="inlineStr">
        <is>
          <t>CURAL</t>
        </is>
      </c>
      <c r="C2150" t="inlineStr">
        <is>
          <t>SHELVES</t>
        </is>
      </c>
      <c r="D2150" t="inlineStr">
        <is>
          <t>PR4837 .B55</t>
        </is>
      </c>
      <c r="E2150" t="inlineStr">
        <is>
          <t>0                      PR 4837000B  55</t>
        </is>
      </c>
      <c r="F2150" t="inlineStr">
        <is>
          <t>The consecrated urn : an interpretation of Keats in terms of growth and form.</t>
        </is>
      </c>
      <c r="H2150" t="inlineStr">
        <is>
          <t>No</t>
        </is>
      </c>
      <c r="I2150" t="inlineStr">
        <is>
          <t>1</t>
        </is>
      </c>
      <c r="J2150" t="inlineStr">
        <is>
          <t>No</t>
        </is>
      </c>
      <c r="K2150" t="inlineStr">
        <is>
          <t>No</t>
        </is>
      </c>
      <c r="L2150" t="inlineStr">
        <is>
          <t>0</t>
        </is>
      </c>
      <c r="M2150" t="inlineStr">
        <is>
          <t>Blackstone, Bernard, 1911-</t>
        </is>
      </c>
      <c r="N2150" t="inlineStr">
        <is>
          <t>London ; New York : Longmans, Green, [1959]</t>
        </is>
      </c>
      <c r="O2150" t="inlineStr">
        <is>
          <t>1959</t>
        </is>
      </c>
      <c r="Q2150" t="inlineStr">
        <is>
          <t>eng</t>
        </is>
      </c>
      <c r="R2150" t="inlineStr">
        <is>
          <t>enk</t>
        </is>
      </c>
      <c r="T2150" t="inlineStr">
        <is>
          <t xml:space="preserve">PR </t>
        </is>
      </c>
      <c r="U2150" t="n">
        <v>2</v>
      </c>
      <c r="V2150" t="n">
        <v>2</v>
      </c>
      <c r="W2150" t="inlineStr">
        <is>
          <t>2004-08-07</t>
        </is>
      </c>
      <c r="X2150" t="inlineStr">
        <is>
          <t>2004-08-07</t>
        </is>
      </c>
      <c r="Y2150" t="inlineStr">
        <is>
          <t>1998-02-09</t>
        </is>
      </c>
      <c r="Z2150" t="inlineStr">
        <is>
          <t>1998-02-09</t>
        </is>
      </c>
      <c r="AA2150" t="n">
        <v>706</v>
      </c>
      <c r="AB2150" t="n">
        <v>552</v>
      </c>
      <c r="AC2150" t="n">
        <v>631</v>
      </c>
      <c r="AD2150" t="n">
        <v>7</v>
      </c>
      <c r="AE2150" t="n">
        <v>7</v>
      </c>
      <c r="AF2150" t="n">
        <v>31</v>
      </c>
      <c r="AG2150" t="n">
        <v>35</v>
      </c>
      <c r="AH2150" t="n">
        <v>11</v>
      </c>
      <c r="AI2150" t="n">
        <v>12</v>
      </c>
      <c r="AJ2150" t="n">
        <v>5</v>
      </c>
      <c r="AK2150" t="n">
        <v>6</v>
      </c>
      <c r="AL2150" t="n">
        <v>16</v>
      </c>
      <c r="AM2150" t="n">
        <v>20</v>
      </c>
      <c r="AN2150" t="n">
        <v>6</v>
      </c>
      <c r="AO2150" t="n">
        <v>6</v>
      </c>
      <c r="AP2150" t="n">
        <v>0</v>
      </c>
      <c r="AQ2150" t="n">
        <v>0</v>
      </c>
      <c r="AR2150" t="inlineStr">
        <is>
          <t>No</t>
        </is>
      </c>
      <c r="AS2150" t="inlineStr">
        <is>
          <t>Yes</t>
        </is>
      </c>
      <c r="AT2150">
        <f>HYPERLINK("http://catalog.hathitrust.org/Record/000590568","HathiTrust Record")</f>
        <v/>
      </c>
      <c r="AU2150">
        <f>HYPERLINK("https://creighton-primo.hosted.exlibrisgroup.com/primo-explore/search?tab=default_tab&amp;search_scope=EVERYTHING&amp;vid=01CRU&amp;lang=en_US&amp;offset=0&amp;query=any,contains,991002485809702656","Catalog Record")</f>
        <v/>
      </c>
      <c r="AV2150">
        <f>HYPERLINK("http://www.worldcat.org/oclc/360872","WorldCat Record")</f>
        <v/>
      </c>
      <c r="AW2150" t="inlineStr">
        <is>
          <t>1412813:eng</t>
        </is>
      </c>
      <c r="AX2150" t="inlineStr">
        <is>
          <t>360872</t>
        </is>
      </c>
      <c r="AY2150" t="inlineStr">
        <is>
          <t>991002485809702656</t>
        </is>
      </c>
      <c r="AZ2150" t="inlineStr">
        <is>
          <t>991002485809702656</t>
        </is>
      </c>
      <c r="BA2150" t="inlineStr">
        <is>
          <t>2263776520002656</t>
        </is>
      </c>
      <c r="BB2150" t="inlineStr">
        <is>
          <t>BOOK</t>
        </is>
      </c>
      <c r="BE2150" t="inlineStr">
        <is>
          <t>32285003342473</t>
        </is>
      </c>
      <c r="BF2150" t="inlineStr">
        <is>
          <t>893627146</t>
        </is>
      </c>
    </row>
    <row r="2151">
      <c r="A2151" t="inlineStr">
        <is>
          <t>No</t>
        </is>
      </c>
      <c r="B2151" t="inlineStr">
        <is>
          <t>CURAL</t>
        </is>
      </c>
      <c r="C2151" t="inlineStr">
        <is>
          <t>SHELVES</t>
        </is>
      </c>
      <c r="D2151" t="inlineStr">
        <is>
          <t>PR4837 .D5</t>
        </is>
      </c>
      <c r="E2151" t="inlineStr">
        <is>
          <t>0                      PR 4837000D  5</t>
        </is>
      </c>
      <c r="F2151" t="inlineStr">
        <is>
          <t>Keats and his poetry : a study in development.</t>
        </is>
      </c>
      <c r="H2151" t="inlineStr">
        <is>
          <t>No</t>
        </is>
      </c>
      <c r="I2151" t="inlineStr">
        <is>
          <t>1</t>
        </is>
      </c>
      <c r="J2151" t="inlineStr">
        <is>
          <t>No</t>
        </is>
      </c>
      <c r="K2151" t="inlineStr">
        <is>
          <t>No</t>
        </is>
      </c>
      <c r="L2151" t="inlineStr">
        <is>
          <t>0</t>
        </is>
      </c>
      <c r="M2151" t="inlineStr">
        <is>
          <t>Dickstein, Morris.</t>
        </is>
      </c>
      <c r="N2151" t="inlineStr">
        <is>
          <t>Chicago : University of Chicago Press, [1971]</t>
        </is>
      </c>
      <c r="O2151" t="inlineStr">
        <is>
          <t>1971</t>
        </is>
      </c>
      <c r="Q2151" t="inlineStr">
        <is>
          <t>eng</t>
        </is>
      </c>
      <c r="R2151" t="inlineStr">
        <is>
          <t>ilu</t>
        </is>
      </c>
      <c r="T2151" t="inlineStr">
        <is>
          <t xml:space="preserve">PR </t>
        </is>
      </c>
      <c r="U2151" t="n">
        <v>8</v>
      </c>
      <c r="V2151" t="n">
        <v>8</v>
      </c>
      <c r="W2151" t="inlineStr">
        <is>
          <t>2000-02-23</t>
        </is>
      </c>
      <c r="X2151" t="inlineStr">
        <is>
          <t>2000-02-23</t>
        </is>
      </c>
      <c r="Y2151" t="inlineStr">
        <is>
          <t>1990-10-22</t>
        </is>
      </c>
      <c r="Z2151" t="inlineStr">
        <is>
          <t>1990-10-22</t>
        </is>
      </c>
      <c r="AA2151" t="n">
        <v>933</v>
      </c>
      <c r="AB2151" t="n">
        <v>752</v>
      </c>
      <c r="AC2151" t="n">
        <v>760</v>
      </c>
      <c r="AD2151" t="n">
        <v>5</v>
      </c>
      <c r="AE2151" t="n">
        <v>5</v>
      </c>
      <c r="AF2151" t="n">
        <v>34</v>
      </c>
      <c r="AG2151" t="n">
        <v>34</v>
      </c>
      <c r="AH2151" t="n">
        <v>13</v>
      </c>
      <c r="AI2151" t="n">
        <v>13</v>
      </c>
      <c r="AJ2151" t="n">
        <v>8</v>
      </c>
      <c r="AK2151" t="n">
        <v>8</v>
      </c>
      <c r="AL2151" t="n">
        <v>17</v>
      </c>
      <c r="AM2151" t="n">
        <v>17</v>
      </c>
      <c r="AN2151" t="n">
        <v>4</v>
      </c>
      <c r="AO2151" t="n">
        <v>4</v>
      </c>
      <c r="AP2151" t="n">
        <v>0</v>
      </c>
      <c r="AQ2151" t="n">
        <v>0</v>
      </c>
      <c r="AR2151" t="inlineStr">
        <is>
          <t>No</t>
        </is>
      </c>
      <c r="AS2151" t="inlineStr">
        <is>
          <t>No</t>
        </is>
      </c>
      <c r="AU2151">
        <f>HYPERLINK("https://creighton-primo.hosted.exlibrisgroup.com/primo-explore/search?tab=default_tab&amp;search_scope=EVERYTHING&amp;vid=01CRU&amp;lang=en_US&amp;offset=0&amp;query=any,contains,991000812799702656","Catalog Record")</f>
        <v/>
      </c>
      <c r="AV2151">
        <f>HYPERLINK("http://www.worldcat.org/oclc/141114","WorldCat Record")</f>
        <v/>
      </c>
      <c r="AW2151" t="inlineStr">
        <is>
          <t>418133:eng</t>
        </is>
      </c>
      <c r="AX2151" t="inlineStr">
        <is>
          <t>141114</t>
        </is>
      </c>
      <c r="AY2151" t="inlineStr">
        <is>
          <t>991000812799702656</t>
        </is>
      </c>
      <c r="AZ2151" t="inlineStr">
        <is>
          <t>991000812799702656</t>
        </is>
      </c>
      <c r="BA2151" t="inlineStr">
        <is>
          <t>2256007240002656</t>
        </is>
      </c>
      <c r="BB2151" t="inlineStr">
        <is>
          <t>BOOK</t>
        </is>
      </c>
      <c r="BD2151" t="inlineStr">
        <is>
          <t>9780226147956</t>
        </is>
      </c>
      <c r="BE2151" t="inlineStr">
        <is>
          <t>32285000351451</t>
        </is>
      </c>
      <c r="BF2151" t="inlineStr">
        <is>
          <t>893522043</t>
        </is>
      </c>
    </row>
    <row r="2152">
      <c r="A2152" t="inlineStr">
        <is>
          <t>No</t>
        </is>
      </c>
      <c r="B2152" t="inlineStr">
        <is>
          <t>CURAL</t>
        </is>
      </c>
      <c r="C2152" t="inlineStr">
        <is>
          <t>SHELVES</t>
        </is>
      </c>
      <c r="D2152" t="inlineStr">
        <is>
          <t>PR4837 .F5</t>
        </is>
      </c>
      <c r="E2152" t="inlineStr">
        <is>
          <t>0                      PR 4837000F  5</t>
        </is>
      </c>
      <c r="F2152" t="inlineStr">
        <is>
          <t>The evolution of Keats's poetry.</t>
        </is>
      </c>
      <c r="G2152" t="inlineStr">
        <is>
          <t>V.2</t>
        </is>
      </c>
      <c r="H2152" t="inlineStr">
        <is>
          <t>Yes</t>
        </is>
      </c>
      <c r="I2152" t="inlineStr">
        <is>
          <t>1</t>
        </is>
      </c>
      <c r="J2152" t="inlineStr">
        <is>
          <t>No</t>
        </is>
      </c>
      <c r="K2152" t="inlineStr">
        <is>
          <t>No</t>
        </is>
      </c>
      <c r="L2152" t="inlineStr">
        <is>
          <t>0</t>
        </is>
      </c>
      <c r="M2152" t="inlineStr">
        <is>
          <t>Finney, Claude Lee.</t>
        </is>
      </c>
      <c r="N2152" t="inlineStr">
        <is>
          <t>Cambridge, Mass. : Harvard University Press, 1936.</t>
        </is>
      </c>
      <c r="O2152" t="inlineStr">
        <is>
          <t>1936</t>
        </is>
      </c>
      <c r="Q2152" t="inlineStr">
        <is>
          <t>eng</t>
        </is>
      </c>
      <c r="R2152" t="inlineStr">
        <is>
          <t xml:space="preserve">xx </t>
        </is>
      </c>
      <c r="T2152" t="inlineStr">
        <is>
          <t xml:space="preserve">PR </t>
        </is>
      </c>
      <c r="U2152" t="n">
        <v>2</v>
      </c>
      <c r="V2152" t="n">
        <v>7</v>
      </c>
      <c r="W2152" t="inlineStr">
        <is>
          <t>1995-10-09</t>
        </is>
      </c>
      <c r="X2152" t="inlineStr">
        <is>
          <t>1995-10-09</t>
        </is>
      </c>
      <c r="Y2152" t="inlineStr">
        <is>
          <t>1993-02-12</t>
        </is>
      </c>
      <c r="Z2152" t="inlineStr">
        <is>
          <t>1993-02-12</t>
        </is>
      </c>
      <c r="AA2152" t="n">
        <v>333</v>
      </c>
      <c r="AB2152" t="n">
        <v>301</v>
      </c>
      <c r="AC2152" t="n">
        <v>807</v>
      </c>
      <c r="AD2152" t="n">
        <v>3</v>
      </c>
      <c r="AE2152" t="n">
        <v>6</v>
      </c>
      <c r="AF2152" t="n">
        <v>22</v>
      </c>
      <c r="AG2152" t="n">
        <v>42</v>
      </c>
      <c r="AH2152" t="n">
        <v>9</v>
      </c>
      <c r="AI2152" t="n">
        <v>20</v>
      </c>
      <c r="AJ2152" t="n">
        <v>5</v>
      </c>
      <c r="AK2152" t="n">
        <v>8</v>
      </c>
      <c r="AL2152" t="n">
        <v>10</v>
      </c>
      <c r="AM2152" t="n">
        <v>19</v>
      </c>
      <c r="AN2152" t="n">
        <v>2</v>
      </c>
      <c r="AO2152" t="n">
        <v>5</v>
      </c>
      <c r="AP2152" t="n">
        <v>0</v>
      </c>
      <c r="AQ2152" t="n">
        <v>0</v>
      </c>
      <c r="AR2152" t="inlineStr">
        <is>
          <t>No</t>
        </is>
      </c>
      <c r="AS2152" t="inlineStr">
        <is>
          <t>Yes</t>
        </is>
      </c>
      <c r="AT2152">
        <f>HYPERLINK("http://catalog.hathitrust.org/Record/000589406","HathiTrust Record")</f>
        <v/>
      </c>
      <c r="AU2152">
        <f>HYPERLINK("https://creighton-primo.hosted.exlibrisgroup.com/primo-explore/search?tab=default_tab&amp;search_scope=EVERYTHING&amp;vid=01CRU&amp;lang=en_US&amp;offset=0&amp;query=any,contains,991002201369702656","Catalog Record")</f>
        <v/>
      </c>
      <c r="AV2152">
        <f>HYPERLINK("http://www.worldcat.org/oclc/284438","WorldCat Record")</f>
        <v/>
      </c>
      <c r="AW2152" t="inlineStr">
        <is>
          <t>3372511160:eng</t>
        </is>
      </c>
      <c r="AX2152" t="inlineStr">
        <is>
          <t>284438</t>
        </is>
      </c>
      <c r="AY2152" t="inlineStr">
        <is>
          <t>991002201369702656</t>
        </is>
      </c>
      <c r="AZ2152" t="inlineStr">
        <is>
          <t>991002201369702656</t>
        </is>
      </c>
      <c r="BA2152" t="inlineStr">
        <is>
          <t>2262613400002656</t>
        </is>
      </c>
      <c r="BB2152" t="inlineStr">
        <is>
          <t>BOOK</t>
        </is>
      </c>
      <c r="BE2152" t="inlineStr">
        <is>
          <t>32285001502219</t>
        </is>
      </c>
      <c r="BF2152" t="inlineStr">
        <is>
          <t>893352194</t>
        </is>
      </c>
    </row>
    <row r="2153">
      <c r="A2153" t="inlineStr">
        <is>
          <t>No</t>
        </is>
      </c>
      <c r="B2153" t="inlineStr">
        <is>
          <t>CURAL</t>
        </is>
      </c>
      <c r="C2153" t="inlineStr">
        <is>
          <t>SHELVES</t>
        </is>
      </c>
      <c r="D2153" t="inlineStr">
        <is>
          <t>PR4837 .F5</t>
        </is>
      </c>
      <c r="E2153" t="inlineStr">
        <is>
          <t>0                      PR 4837000F  5</t>
        </is>
      </c>
      <c r="F2153" t="inlineStr">
        <is>
          <t>The evolution of Keats's poetry.</t>
        </is>
      </c>
      <c r="G2153" t="inlineStr">
        <is>
          <t>V.1</t>
        </is>
      </c>
      <c r="H2153" t="inlineStr">
        <is>
          <t>Yes</t>
        </is>
      </c>
      <c r="I2153" t="inlineStr">
        <is>
          <t>1</t>
        </is>
      </c>
      <c r="J2153" t="inlineStr">
        <is>
          <t>No</t>
        </is>
      </c>
      <c r="K2153" t="inlineStr">
        <is>
          <t>No</t>
        </is>
      </c>
      <c r="L2153" t="inlineStr">
        <is>
          <t>0</t>
        </is>
      </c>
      <c r="M2153" t="inlineStr">
        <is>
          <t>Finney, Claude Lee.</t>
        </is>
      </c>
      <c r="N2153" t="inlineStr">
        <is>
          <t>Cambridge, Mass. : Harvard University Press, 1936.</t>
        </is>
      </c>
      <c r="O2153" t="inlineStr">
        <is>
          <t>1936</t>
        </is>
      </c>
      <c r="Q2153" t="inlineStr">
        <is>
          <t>eng</t>
        </is>
      </c>
      <c r="R2153" t="inlineStr">
        <is>
          <t xml:space="preserve">xx </t>
        </is>
      </c>
      <c r="T2153" t="inlineStr">
        <is>
          <t xml:space="preserve">PR </t>
        </is>
      </c>
      <c r="U2153" t="n">
        <v>5</v>
      </c>
      <c r="V2153" t="n">
        <v>7</v>
      </c>
      <c r="W2153" t="inlineStr">
        <is>
          <t>1995-10-09</t>
        </is>
      </c>
      <c r="X2153" t="inlineStr">
        <is>
          <t>1995-10-09</t>
        </is>
      </c>
      <c r="Y2153" t="inlineStr">
        <is>
          <t>1990-03-07</t>
        </is>
      </c>
      <c r="Z2153" t="inlineStr">
        <is>
          <t>1993-02-12</t>
        </is>
      </c>
      <c r="AA2153" t="n">
        <v>333</v>
      </c>
      <c r="AB2153" t="n">
        <v>301</v>
      </c>
      <c r="AC2153" t="n">
        <v>807</v>
      </c>
      <c r="AD2153" t="n">
        <v>3</v>
      </c>
      <c r="AE2153" t="n">
        <v>6</v>
      </c>
      <c r="AF2153" t="n">
        <v>22</v>
      </c>
      <c r="AG2153" t="n">
        <v>42</v>
      </c>
      <c r="AH2153" t="n">
        <v>9</v>
      </c>
      <c r="AI2153" t="n">
        <v>20</v>
      </c>
      <c r="AJ2153" t="n">
        <v>5</v>
      </c>
      <c r="AK2153" t="n">
        <v>8</v>
      </c>
      <c r="AL2153" t="n">
        <v>10</v>
      </c>
      <c r="AM2153" t="n">
        <v>19</v>
      </c>
      <c r="AN2153" t="n">
        <v>2</v>
      </c>
      <c r="AO2153" t="n">
        <v>5</v>
      </c>
      <c r="AP2153" t="n">
        <v>0</v>
      </c>
      <c r="AQ2153" t="n">
        <v>0</v>
      </c>
      <c r="AR2153" t="inlineStr">
        <is>
          <t>No</t>
        </is>
      </c>
      <c r="AS2153" t="inlineStr">
        <is>
          <t>Yes</t>
        </is>
      </c>
      <c r="AT2153">
        <f>HYPERLINK("http://catalog.hathitrust.org/Record/000589406","HathiTrust Record")</f>
        <v/>
      </c>
      <c r="AU2153">
        <f>HYPERLINK("https://creighton-primo.hosted.exlibrisgroup.com/primo-explore/search?tab=default_tab&amp;search_scope=EVERYTHING&amp;vid=01CRU&amp;lang=en_US&amp;offset=0&amp;query=any,contains,991002201369702656","Catalog Record")</f>
        <v/>
      </c>
      <c r="AV2153">
        <f>HYPERLINK("http://www.worldcat.org/oclc/284438","WorldCat Record")</f>
        <v/>
      </c>
      <c r="AW2153" t="inlineStr">
        <is>
          <t>3372511160:eng</t>
        </is>
      </c>
      <c r="AX2153" t="inlineStr">
        <is>
          <t>284438</t>
        </is>
      </c>
      <c r="AY2153" t="inlineStr">
        <is>
          <t>991002201369702656</t>
        </is>
      </c>
      <c r="AZ2153" t="inlineStr">
        <is>
          <t>991002201369702656</t>
        </is>
      </c>
      <c r="BA2153" t="inlineStr">
        <is>
          <t>2262613400002656</t>
        </is>
      </c>
      <c r="BB2153" t="inlineStr">
        <is>
          <t>BOOK</t>
        </is>
      </c>
      <c r="BE2153" t="inlineStr">
        <is>
          <t>32285000080936</t>
        </is>
      </c>
      <c r="BF2153" t="inlineStr">
        <is>
          <t>893328798</t>
        </is>
      </c>
    </row>
    <row r="2154">
      <c r="A2154" t="inlineStr">
        <is>
          <t>No</t>
        </is>
      </c>
      <c r="B2154" t="inlineStr">
        <is>
          <t>CURAL</t>
        </is>
      </c>
      <c r="C2154" t="inlineStr">
        <is>
          <t>SHELVES</t>
        </is>
      </c>
      <c r="D2154" t="inlineStr">
        <is>
          <t>PR4837 .G6</t>
        </is>
      </c>
      <c r="E2154" t="inlineStr">
        <is>
          <t>0                      PR 4837000G  6</t>
        </is>
      </c>
      <c r="F2154" t="inlineStr">
        <is>
          <t>The poetics of romanticism; toward a reading of John Keats [by] M. A. Goldberg.</t>
        </is>
      </c>
      <c r="H2154" t="inlineStr">
        <is>
          <t>No</t>
        </is>
      </c>
      <c r="I2154" t="inlineStr">
        <is>
          <t>1</t>
        </is>
      </c>
      <c r="J2154" t="inlineStr">
        <is>
          <t>No</t>
        </is>
      </c>
      <c r="K2154" t="inlineStr">
        <is>
          <t>No</t>
        </is>
      </c>
      <c r="L2154" t="inlineStr">
        <is>
          <t>0</t>
        </is>
      </c>
      <c r="M2154" t="inlineStr">
        <is>
          <t>Goldberg, M. A. (Milton Allan), 1919-1970.</t>
        </is>
      </c>
      <c r="N2154" t="inlineStr">
        <is>
          <t>Yellow Springs, Ohio, Antioch Press, 1969.</t>
        </is>
      </c>
      <c r="O2154" t="inlineStr">
        <is>
          <t>1969</t>
        </is>
      </c>
      <c r="Q2154" t="inlineStr">
        <is>
          <t>eng</t>
        </is>
      </c>
      <c r="R2154" t="inlineStr">
        <is>
          <t>ohu</t>
        </is>
      </c>
      <c r="T2154" t="inlineStr">
        <is>
          <t xml:space="preserve">PR </t>
        </is>
      </c>
      <c r="U2154" t="n">
        <v>2</v>
      </c>
      <c r="V2154" t="n">
        <v>2</v>
      </c>
      <c r="W2154" t="inlineStr">
        <is>
          <t>2001-03-22</t>
        </is>
      </c>
      <c r="X2154" t="inlineStr">
        <is>
          <t>2001-03-22</t>
        </is>
      </c>
      <c r="Y2154" t="inlineStr">
        <is>
          <t>1997-07-15</t>
        </is>
      </c>
      <c r="Z2154" t="inlineStr">
        <is>
          <t>1997-07-15</t>
        </is>
      </c>
      <c r="AA2154" t="n">
        <v>663</v>
      </c>
      <c r="AB2154" t="n">
        <v>572</v>
      </c>
      <c r="AC2154" t="n">
        <v>574</v>
      </c>
      <c r="AD2154" t="n">
        <v>7</v>
      </c>
      <c r="AE2154" t="n">
        <v>7</v>
      </c>
      <c r="AF2154" t="n">
        <v>30</v>
      </c>
      <c r="AG2154" t="n">
        <v>30</v>
      </c>
      <c r="AH2154" t="n">
        <v>11</v>
      </c>
      <c r="AI2154" t="n">
        <v>11</v>
      </c>
      <c r="AJ2154" t="n">
        <v>6</v>
      </c>
      <c r="AK2154" t="n">
        <v>6</v>
      </c>
      <c r="AL2154" t="n">
        <v>18</v>
      </c>
      <c r="AM2154" t="n">
        <v>18</v>
      </c>
      <c r="AN2154" t="n">
        <v>5</v>
      </c>
      <c r="AO2154" t="n">
        <v>5</v>
      </c>
      <c r="AP2154" t="n">
        <v>0</v>
      </c>
      <c r="AQ2154" t="n">
        <v>0</v>
      </c>
      <c r="AR2154" t="inlineStr">
        <is>
          <t>No</t>
        </is>
      </c>
      <c r="AS2154" t="inlineStr">
        <is>
          <t>Yes</t>
        </is>
      </c>
      <c r="AT2154">
        <f>HYPERLINK("http://catalog.hathitrust.org/Record/000589779","HathiTrust Record")</f>
        <v/>
      </c>
      <c r="AU2154">
        <f>HYPERLINK("https://creighton-primo.hosted.exlibrisgroup.com/primo-explore/search?tab=default_tab&amp;search_scope=EVERYTHING&amp;vid=01CRU&amp;lang=en_US&amp;offset=0&amp;query=any,contains,991000001899702656","Catalog Record")</f>
        <v/>
      </c>
      <c r="AV2154">
        <f>HYPERLINK("http://www.worldcat.org/oclc/10791","WorldCat Record")</f>
        <v/>
      </c>
      <c r="AW2154" t="inlineStr">
        <is>
          <t>793208429:eng</t>
        </is>
      </c>
      <c r="AX2154" t="inlineStr">
        <is>
          <t>10791</t>
        </is>
      </c>
      <c r="AY2154" t="inlineStr">
        <is>
          <t>991000001899702656</t>
        </is>
      </c>
      <c r="AZ2154" t="inlineStr">
        <is>
          <t>991000001899702656</t>
        </is>
      </c>
      <c r="BA2154" t="inlineStr">
        <is>
          <t>2268058720002656</t>
        </is>
      </c>
      <c r="BB2154" t="inlineStr">
        <is>
          <t>BOOK</t>
        </is>
      </c>
      <c r="BE2154" t="inlineStr">
        <is>
          <t>32285002924289</t>
        </is>
      </c>
      <c r="BF2154" t="inlineStr">
        <is>
          <t>893495814</t>
        </is>
      </c>
    </row>
    <row r="2155">
      <c r="A2155" t="inlineStr">
        <is>
          <t>No</t>
        </is>
      </c>
      <c r="B2155" t="inlineStr">
        <is>
          <t>CURAL</t>
        </is>
      </c>
      <c r="C2155" t="inlineStr">
        <is>
          <t>SHELVES</t>
        </is>
      </c>
      <c r="D2155" t="inlineStr">
        <is>
          <t>PR4837 .H3 1972</t>
        </is>
      </c>
      <c r="E2155" t="inlineStr">
        <is>
          <t>0                      PR 4837000H  3           1972</t>
        </is>
      </c>
      <c r="F2155" t="inlineStr">
        <is>
          <t>Keats and the critics, 1848-1900.</t>
        </is>
      </c>
      <c r="H2155" t="inlineStr">
        <is>
          <t>No</t>
        </is>
      </c>
      <c r="I2155" t="inlineStr">
        <is>
          <t>1</t>
        </is>
      </c>
      <c r="J2155" t="inlineStr">
        <is>
          <t>No</t>
        </is>
      </c>
      <c r="K2155" t="inlineStr">
        <is>
          <t>No</t>
        </is>
      </c>
      <c r="L2155" t="inlineStr">
        <is>
          <t>0</t>
        </is>
      </c>
      <c r="M2155" t="inlineStr">
        <is>
          <t>Harwell, Thomas Meade.</t>
        </is>
      </c>
      <c r="N2155" t="inlineStr">
        <is>
          <t>Salzburg : James Hogg, Institut für Englische Sprache und Literatur, Univ. Salzburg, (1972).</t>
        </is>
      </c>
      <c r="O2155" t="inlineStr">
        <is>
          <t>1972</t>
        </is>
      </c>
      <c r="Q2155" t="inlineStr">
        <is>
          <t>eng</t>
        </is>
      </c>
      <c r="R2155" t="inlineStr">
        <is>
          <t xml:space="preserve">au </t>
        </is>
      </c>
      <c r="S2155" t="inlineStr">
        <is>
          <t>Romantic reassessment ; 2</t>
        </is>
      </c>
      <c r="T2155" t="inlineStr">
        <is>
          <t xml:space="preserve">PR </t>
        </is>
      </c>
      <c r="U2155" t="n">
        <v>3</v>
      </c>
      <c r="V2155" t="n">
        <v>3</v>
      </c>
      <c r="W2155" t="inlineStr">
        <is>
          <t>1999-03-24</t>
        </is>
      </c>
      <c r="X2155" t="inlineStr">
        <is>
          <t>1999-03-24</t>
        </is>
      </c>
      <c r="Y2155" t="inlineStr">
        <is>
          <t>1990-03-22</t>
        </is>
      </c>
      <c r="Z2155" t="inlineStr">
        <is>
          <t>1990-03-22</t>
        </is>
      </c>
      <c r="AA2155" t="n">
        <v>237</v>
      </c>
      <c r="AB2155" t="n">
        <v>186</v>
      </c>
      <c r="AC2155" t="n">
        <v>187</v>
      </c>
      <c r="AD2155" t="n">
        <v>2</v>
      </c>
      <c r="AE2155" t="n">
        <v>2</v>
      </c>
      <c r="AF2155" t="n">
        <v>7</v>
      </c>
      <c r="AG2155" t="n">
        <v>7</v>
      </c>
      <c r="AH2155" t="n">
        <v>1</v>
      </c>
      <c r="AI2155" t="n">
        <v>1</v>
      </c>
      <c r="AJ2155" t="n">
        <v>2</v>
      </c>
      <c r="AK2155" t="n">
        <v>2</v>
      </c>
      <c r="AL2155" t="n">
        <v>6</v>
      </c>
      <c r="AM2155" t="n">
        <v>6</v>
      </c>
      <c r="AN2155" t="n">
        <v>1</v>
      </c>
      <c r="AO2155" t="n">
        <v>1</v>
      </c>
      <c r="AP2155" t="n">
        <v>0</v>
      </c>
      <c r="AQ2155" t="n">
        <v>0</v>
      </c>
      <c r="AR2155" t="inlineStr">
        <is>
          <t>No</t>
        </is>
      </c>
      <c r="AS2155" t="inlineStr">
        <is>
          <t>No</t>
        </is>
      </c>
      <c r="AU2155">
        <f>HYPERLINK("https://creighton-primo.hosted.exlibrisgroup.com/primo-explore/search?tab=default_tab&amp;search_scope=EVERYTHING&amp;vid=01CRU&amp;lang=en_US&amp;offset=0&amp;query=any,contains,991003025399702656","Catalog Record")</f>
        <v/>
      </c>
      <c r="AV2155">
        <f>HYPERLINK("http://www.worldcat.org/oclc/589408","WorldCat Record")</f>
        <v/>
      </c>
      <c r="AW2155" t="inlineStr">
        <is>
          <t>5513598249:eng</t>
        </is>
      </c>
      <c r="AX2155" t="inlineStr">
        <is>
          <t>589408</t>
        </is>
      </c>
      <c r="AY2155" t="inlineStr">
        <is>
          <t>991003025399702656</t>
        </is>
      </c>
      <c r="AZ2155" t="inlineStr">
        <is>
          <t>991003025399702656</t>
        </is>
      </c>
      <c r="BA2155" t="inlineStr">
        <is>
          <t>2259422940002656</t>
        </is>
      </c>
      <c r="BB2155" t="inlineStr">
        <is>
          <t>BOOK</t>
        </is>
      </c>
      <c r="BE2155" t="inlineStr">
        <is>
          <t>32285000092121</t>
        </is>
      </c>
      <c r="BF2155" t="inlineStr">
        <is>
          <t>893805349</t>
        </is>
      </c>
    </row>
    <row r="2156">
      <c r="A2156" t="inlineStr">
        <is>
          <t>No</t>
        </is>
      </c>
      <c r="B2156" t="inlineStr">
        <is>
          <t>CURAL</t>
        </is>
      </c>
      <c r="C2156" t="inlineStr">
        <is>
          <t>SHELVES</t>
        </is>
      </c>
      <c r="D2156" t="inlineStr">
        <is>
          <t>PR4837 .H5 1981</t>
        </is>
      </c>
      <c r="E2156" t="inlineStr">
        <is>
          <t>0                      PR 4837000H  5           1981</t>
        </is>
      </c>
      <c r="F2156" t="inlineStr">
        <is>
          <t>John Keats / by Wolf Z. Hirst.</t>
        </is>
      </c>
      <c r="H2156" t="inlineStr">
        <is>
          <t>No</t>
        </is>
      </c>
      <c r="I2156" t="inlineStr">
        <is>
          <t>1</t>
        </is>
      </c>
      <c r="J2156" t="inlineStr">
        <is>
          <t>No</t>
        </is>
      </c>
      <c r="K2156" t="inlineStr">
        <is>
          <t>No</t>
        </is>
      </c>
      <c r="L2156" t="inlineStr">
        <is>
          <t>0</t>
        </is>
      </c>
      <c r="M2156" t="inlineStr">
        <is>
          <t>Hirst, Wolf Z.</t>
        </is>
      </c>
      <c r="N2156" t="inlineStr">
        <is>
          <t>Boston : Twayne, 1981.</t>
        </is>
      </c>
      <c r="O2156" t="inlineStr">
        <is>
          <t>1981</t>
        </is>
      </c>
      <c r="Q2156" t="inlineStr">
        <is>
          <t>eng</t>
        </is>
      </c>
      <c r="R2156" t="inlineStr">
        <is>
          <t>mau</t>
        </is>
      </c>
      <c r="S2156" t="inlineStr">
        <is>
          <t>Twayne's English authors series ; TEAS 334</t>
        </is>
      </c>
      <c r="T2156" t="inlineStr">
        <is>
          <t xml:space="preserve">PR </t>
        </is>
      </c>
      <c r="U2156" t="n">
        <v>8</v>
      </c>
      <c r="V2156" t="n">
        <v>8</v>
      </c>
      <c r="W2156" t="inlineStr">
        <is>
          <t>2003-04-29</t>
        </is>
      </c>
      <c r="X2156" t="inlineStr">
        <is>
          <t>2003-04-29</t>
        </is>
      </c>
      <c r="Y2156" t="inlineStr">
        <is>
          <t>1990-02-12</t>
        </is>
      </c>
      <c r="Z2156" t="inlineStr">
        <is>
          <t>1990-02-12</t>
        </is>
      </c>
      <c r="AA2156" t="n">
        <v>1291</v>
      </c>
      <c r="AB2156" t="n">
        <v>1164</v>
      </c>
      <c r="AC2156" t="n">
        <v>1241</v>
      </c>
      <c r="AD2156" t="n">
        <v>9</v>
      </c>
      <c r="AE2156" t="n">
        <v>9</v>
      </c>
      <c r="AF2156" t="n">
        <v>40</v>
      </c>
      <c r="AG2156" t="n">
        <v>41</v>
      </c>
      <c r="AH2156" t="n">
        <v>16</v>
      </c>
      <c r="AI2156" t="n">
        <v>16</v>
      </c>
      <c r="AJ2156" t="n">
        <v>6</v>
      </c>
      <c r="AK2156" t="n">
        <v>6</v>
      </c>
      <c r="AL2156" t="n">
        <v>20</v>
      </c>
      <c r="AM2156" t="n">
        <v>21</v>
      </c>
      <c r="AN2156" t="n">
        <v>8</v>
      </c>
      <c r="AO2156" t="n">
        <v>8</v>
      </c>
      <c r="AP2156" t="n">
        <v>0</v>
      </c>
      <c r="AQ2156" t="n">
        <v>0</v>
      </c>
      <c r="AR2156" t="inlineStr">
        <is>
          <t>No</t>
        </is>
      </c>
      <c r="AS2156" t="inlineStr">
        <is>
          <t>Yes</t>
        </is>
      </c>
      <c r="AT2156">
        <f>HYPERLINK("http://catalog.hathitrust.org/Record/000185322","HathiTrust Record")</f>
        <v/>
      </c>
      <c r="AU2156">
        <f>HYPERLINK("https://creighton-primo.hosted.exlibrisgroup.com/primo-explore/search?tab=default_tab&amp;search_scope=EVERYTHING&amp;vid=01CRU&amp;lang=en_US&amp;offset=0&amp;query=any,contains,991005115199702656","Catalog Record")</f>
        <v/>
      </c>
      <c r="AV2156">
        <f>HYPERLINK("http://www.worldcat.org/oclc/7461820","WorldCat Record")</f>
        <v/>
      </c>
      <c r="AW2156" t="inlineStr">
        <is>
          <t>1863029135:eng</t>
        </is>
      </c>
      <c r="AX2156" t="inlineStr">
        <is>
          <t>7461820</t>
        </is>
      </c>
      <c r="AY2156" t="inlineStr">
        <is>
          <t>991005115199702656</t>
        </is>
      </c>
      <c r="AZ2156" t="inlineStr">
        <is>
          <t>991005115199702656</t>
        </is>
      </c>
      <c r="BA2156" t="inlineStr">
        <is>
          <t>2265979900002656</t>
        </is>
      </c>
      <c r="BB2156" t="inlineStr">
        <is>
          <t>BOOK</t>
        </is>
      </c>
      <c r="BD2156" t="inlineStr">
        <is>
          <t>9780805768213</t>
        </is>
      </c>
      <c r="BE2156" t="inlineStr">
        <is>
          <t>32285000045921</t>
        </is>
      </c>
      <c r="BF2156" t="inlineStr">
        <is>
          <t>893230225</t>
        </is>
      </c>
    </row>
    <row r="2157">
      <c r="A2157" t="inlineStr">
        <is>
          <t>No</t>
        </is>
      </c>
      <c r="B2157" t="inlineStr">
        <is>
          <t>CURAL</t>
        </is>
      </c>
      <c r="C2157" t="inlineStr">
        <is>
          <t>SHELVES</t>
        </is>
      </c>
      <c r="D2157" t="inlineStr">
        <is>
          <t>PR4837 .K3</t>
        </is>
      </c>
      <c r="E2157" t="inlineStr">
        <is>
          <t>0                      PR 4837000K  3</t>
        </is>
      </c>
      <c r="F2157" t="inlineStr">
        <is>
          <t>The other poetry of Keats / by Gerald B. Kauvar.</t>
        </is>
      </c>
      <c r="H2157" t="inlineStr">
        <is>
          <t>No</t>
        </is>
      </c>
      <c r="I2157" t="inlineStr">
        <is>
          <t>1</t>
        </is>
      </c>
      <c r="J2157" t="inlineStr">
        <is>
          <t>No</t>
        </is>
      </c>
      <c r="K2157" t="inlineStr">
        <is>
          <t>No</t>
        </is>
      </c>
      <c r="L2157" t="inlineStr">
        <is>
          <t>0</t>
        </is>
      </c>
      <c r="M2157" t="inlineStr">
        <is>
          <t>Kauvar, Gerald B.</t>
        </is>
      </c>
      <c r="N2157" t="inlineStr">
        <is>
          <t>Rutherford : Fairleigh Dickinson University Press, [1969]</t>
        </is>
      </c>
      <c r="O2157" t="inlineStr">
        <is>
          <t>1969</t>
        </is>
      </c>
      <c r="Q2157" t="inlineStr">
        <is>
          <t>eng</t>
        </is>
      </c>
      <c r="R2157" t="inlineStr">
        <is>
          <t>nju</t>
        </is>
      </c>
      <c r="T2157" t="inlineStr">
        <is>
          <t xml:space="preserve">PR </t>
        </is>
      </c>
      <c r="U2157" t="n">
        <v>3</v>
      </c>
      <c r="V2157" t="n">
        <v>3</v>
      </c>
      <c r="W2157" t="inlineStr">
        <is>
          <t>1992-02-14</t>
        </is>
      </c>
      <c r="X2157" t="inlineStr">
        <is>
          <t>1992-02-14</t>
        </is>
      </c>
      <c r="Y2157" t="inlineStr">
        <is>
          <t>1990-09-28</t>
        </is>
      </c>
      <c r="Z2157" t="inlineStr">
        <is>
          <t>1990-09-28</t>
        </is>
      </c>
      <c r="AA2157" t="n">
        <v>675</v>
      </c>
      <c r="AB2157" t="n">
        <v>597</v>
      </c>
      <c r="AC2157" t="n">
        <v>604</v>
      </c>
      <c r="AD2157" t="n">
        <v>6</v>
      </c>
      <c r="AE2157" t="n">
        <v>6</v>
      </c>
      <c r="AF2157" t="n">
        <v>31</v>
      </c>
      <c r="AG2157" t="n">
        <v>31</v>
      </c>
      <c r="AH2157" t="n">
        <v>12</v>
      </c>
      <c r="AI2157" t="n">
        <v>12</v>
      </c>
      <c r="AJ2157" t="n">
        <v>5</v>
      </c>
      <c r="AK2157" t="n">
        <v>5</v>
      </c>
      <c r="AL2157" t="n">
        <v>15</v>
      </c>
      <c r="AM2157" t="n">
        <v>15</v>
      </c>
      <c r="AN2157" t="n">
        <v>4</v>
      </c>
      <c r="AO2157" t="n">
        <v>4</v>
      </c>
      <c r="AP2157" t="n">
        <v>0</v>
      </c>
      <c r="AQ2157" t="n">
        <v>0</v>
      </c>
      <c r="AR2157" t="inlineStr">
        <is>
          <t>No</t>
        </is>
      </c>
      <c r="AS2157" t="inlineStr">
        <is>
          <t>Yes</t>
        </is>
      </c>
      <c r="AT2157">
        <f>HYPERLINK("http://catalog.hathitrust.org/Record/000484364","HathiTrust Record")</f>
        <v/>
      </c>
      <c r="AU2157">
        <f>HYPERLINK("https://creighton-primo.hosted.exlibrisgroup.com/primo-explore/search?tab=default_tab&amp;search_scope=EVERYTHING&amp;vid=01CRU&amp;lang=en_US&amp;offset=0&amp;query=any,contains,991000171619702656","Catalog Record")</f>
        <v/>
      </c>
      <c r="AV2157">
        <f>HYPERLINK("http://www.worldcat.org/oclc/61973","WorldCat Record")</f>
        <v/>
      </c>
      <c r="AW2157" t="inlineStr">
        <is>
          <t>503466:eng</t>
        </is>
      </c>
      <c r="AX2157" t="inlineStr">
        <is>
          <t>61973</t>
        </is>
      </c>
      <c r="AY2157" t="inlineStr">
        <is>
          <t>991000171619702656</t>
        </is>
      </c>
      <c r="AZ2157" t="inlineStr">
        <is>
          <t>991000171619702656</t>
        </is>
      </c>
      <c r="BA2157" t="inlineStr">
        <is>
          <t>2255381030002656</t>
        </is>
      </c>
      <c r="BB2157" t="inlineStr">
        <is>
          <t>BOOK</t>
        </is>
      </c>
      <c r="BD2157" t="inlineStr">
        <is>
          <t>9780838674345</t>
        </is>
      </c>
      <c r="BE2157" t="inlineStr">
        <is>
          <t>32285000292994</t>
        </is>
      </c>
      <c r="BF2157" t="inlineStr">
        <is>
          <t>893695647</t>
        </is>
      </c>
    </row>
    <row r="2158">
      <c r="A2158" t="inlineStr">
        <is>
          <t>No</t>
        </is>
      </c>
      <c r="B2158" t="inlineStr">
        <is>
          <t>CURAL</t>
        </is>
      </c>
      <c r="C2158" t="inlineStr">
        <is>
          <t>SHELVES</t>
        </is>
      </c>
      <c r="D2158" t="inlineStr">
        <is>
          <t>PR4837 .M3</t>
        </is>
      </c>
      <c r="E2158" t="inlineStr">
        <is>
          <t>0                      PR 4837000M  3</t>
        </is>
      </c>
      <c r="F2158" t="inlineStr">
        <is>
          <t>John Keats.</t>
        </is>
      </c>
      <c r="H2158" t="inlineStr">
        <is>
          <t>No</t>
        </is>
      </c>
      <c r="I2158" t="inlineStr">
        <is>
          <t>1</t>
        </is>
      </c>
      <c r="J2158" t="inlineStr">
        <is>
          <t>No</t>
        </is>
      </c>
      <c r="K2158" t="inlineStr">
        <is>
          <t>No</t>
        </is>
      </c>
      <c r="L2158" t="inlineStr">
        <is>
          <t>0</t>
        </is>
      </c>
      <c r="M2158" t="inlineStr">
        <is>
          <t>Mayhead, Robin.</t>
        </is>
      </c>
      <c r="N2158" t="inlineStr">
        <is>
          <t>Cambridge : Cambridge U.P., 1967</t>
        </is>
      </c>
      <c r="O2158" t="inlineStr">
        <is>
          <t>1967</t>
        </is>
      </c>
      <c r="Q2158" t="inlineStr">
        <is>
          <t>eng</t>
        </is>
      </c>
      <c r="R2158" t="inlineStr">
        <is>
          <t>mau</t>
        </is>
      </c>
      <c r="S2158" t="inlineStr">
        <is>
          <t>British authors, introductory critical studies</t>
        </is>
      </c>
      <c r="T2158" t="inlineStr">
        <is>
          <t xml:space="preserve">PR </t>
        </is>
      </c>
      <c r="U2158" t="n">
        <v>6</v>
      </c>
      <c r="V2158" t="n">
        <v>6</v>
      </c>
      <c r="W2158" t="inlineStr">
        <is>
          <t>1997-07-29</t>
        </is>
      </c>
      <c r="X2158" t="inlineStr">
        <is>
          <t>1997-07-29</t>
        </is>
      </c>
      <c r="Y2158" t="inlineStr">
        <is>
          <t>1994-10-28</t>
        </is>
      </c>
      <c r="Z2158" t="inlineStr">
        <is>
          <t>1994-10-28</t>
        </is>
      </c>
      <c r="AA2158" t="n">
        <v>803</v>
      </c>
      <c r="AB2158" t="n">
        <v>604</v>
      </c>
      <c r="AC2158" t="n">
        <v>610</v>
      </c>
      <c r="AD2158" t="n">
        <v>7</v>
      </c>
      <c r="AE2158" t="n">
        <v>7</v>
      </c>
      <c r="AF2158" t="n">
        <v>28</v>
      </c>
      <c r="AG2158" t="n">
        <v>28</v>
      </c>
      <c r="AH2158" t="n">
        <v>10</v>
      </c>
      <c r="AI2158" t="n">
        <v>10</v>
      </c>
      <c r="AJ2158" t="n">
        <v>4</v>
      </c>
      <c r="AK2158" t="n">
        <v>4</v>
      </c>
      <c r="AL2158" t="n">
        <v>16</v>
      </c>
      <c r="AM2158" t="n">
        <v>16</v>
      </c>
      <c r="AN2158" t="n">
        <v>6</v>
      </c>
      <c r="AO2158" t="n">
        <v>6</v>
      </c>
      <c r="AP2158" t="n">
        <v>0</v>
      </c>
      <c r="AQ2158" t="n">
        <v>0</v>
      </c>
      <c r="AR2158" t="inlineStr">
        <is>
          <t>No</t>
        </is>
      </c>
      <c r="AS2158" t="inlineStr">
        <is>
          <t>No</t>
        </is>
      </c>
      <c r="AU2158">
        <f>HYPERLINK("https://creighton-primo.hosted.exlibrisgroup.com/primo-explore/search?tab=default_tab&amp;search_scope=EVERYTHING&amp;vid=01CRU&amp;lang=en_US&amp;offset=0&amp;query=any,contains,991002487319702656","Catalog Record")</f>
        <v/>
      </c>
      <c r="AV2158">
        <f>HYPERLINK("http://www.worldcat.org/oclc/361376","WorldCat Record")</f>
        <v/>
      </c>
      <c r="AW2158" t="inlineStr">
        <is>
          <t>1845777441:eng</t>
        </is>
      </c>
      <c r="AX2158" t="inlineStr">
        <is>
          <t>361376</t>
        </is>
      </c>
      <c r="AY2158" t="inlineStr">
        <is>
          <t>991002487319702656</t>
        </is>
      </c>
      <c r="AZ2158" t="inlineStr">
        <is>
          <t>991002487319702656</t>
        </is>
      </c>
      <c r="BA2158" t="inlineStr">
        <is>
          <t>2263169740002656</t>
        </is>
      </c>
      <c r="BB2158" t="inlineStr">
        <is>
          <t>BOOK</t>
        </is>
      </c>
      <c r="BE2158" t="inlineStr">
        <is>
          <t>32285001963601</t>
        </is>
      </c>
      <c r="BF2158" t="inlineStr">
        <is>
          <t>893879993</t>
        </is>
      </c>
    </row>
    <row r="2159">
      <c r="A2159" t="inlineStr">
        <is>
          <t>No</t>
        </is>
      </c>
      <c r="B2159" t="inlineStr">
        <is>
          <t>CURAL</t>
        </is>
      </c>
      <c r="C2159" t="inlineStr">
        <is>
          <t>SHELVES</t>
        </is>
      </c>
      <c r="D2159" t="inlineStr">
        <is>
          <t>PR4837 .M37</t>
        </is>
      </c>
      <c r="E2159" t="inlineStr">
        <is>
          <t>0                      PR 4837000M  37</t>
        </is>
      </c>
      <c r="F2159" t="inlineStr">
        <is>
          <t>Keats : the critical heritage / edited by G. M. Matthews.</t>
        </is>
      </c>
      <c r="H2159" t="inlineStr">
        <is>
          <t>No</t>
        </is>
      </c>
      <c r="I2159" t="inlineStr">
        <is>
          <t>1</t>
        </is>
      </c>
      <c r="J2159" t="inlineStr">
        <is>
          <t>No</t>
        </is>
      </c>
      <c r="K2159" t="inlineStr">
        <is>
          <t>No</t>
        </is>
      </c>
      <c r="L2159" t="inlineStr">
        <is>
          <t>0</t>
        </is>
      </c>
      <c r="M2159" t="inlineStr">
        <is>
          <t>Matthews, Geoffrey, 1920-1984 compiler.</t>
        </is>
      </c>
      <c r="N2159" t="inlineStr">
        <is>
          <t>New York : Barnes &amp; Noble, [1971]</t>
        </is>
      </c>
      <c r="O2159" t="inlineStr">
        <is>
          <t>1971</t>
        </is>
      </c>
      <c r="Q2159" t="inlineStr">
        <is>
          <t>eng</t>
        </is>
      </c>
      <c r="R2159" t="inlineStr">
        <is>
          <t xml:space="preserve">xx </t>
        </is>
      </c>
      <c r="S2159" t="inlineStr">
        <is>
          <t>The Critical heritage series</t>
        </is>
      </c>
      <c r="T2159" t="inlineStr">
        <is>
          <t xml:space="preserve">PR </t>
        </is>
      </c>
      <c r="U2159" t="n">
        <v>9</v>
      </c>
      <c r="V2159" t="n">
        <v>9</v>
      </c>
      <c r="W2159" t="inlineStr">
        <is>
          <t>2001-03-24</t>
        </is>
      </c>
      <c r="X2159" t="inlineStr">
        <is>
          <t>2001-03-24</t>
        </is>
      </c>
      <c r="Y2159" t="inlineStr">
        <is>
          <t>1990-03-22</t>
        </is>
      </c>
      <c r="Z2159" t="inlineStr">
        <is>
          <t>1990-03-22</t>
        </is>
      </c>
      <c r="AA2159" t="n">
        <v>581</v>
      </c>
      <c r="AB2159" t="n">
        <v>562</v>
      </c>
      <c r="AC2159" t="n">
        <v>924</v>
      </c>
      <c r="AD2159" t="n">
        <v>4</v>
      </c>
      <c r="AE2159" t="n">
        <v>7</v>
      </c>
      <c r="AF2159" t="n">
        <v>30</v>
      </c>
      <c r="AG2159" t="n">
        <v>43</v>
      </c>
      <c r="AH2159" t="n">
        <v>10</v>
      </c>
      <c r="AI2159" t="n">
        <v>17</v>
      </c>
      <c r="AJ2159" t="n">
        <v>8</v>
      </c>
      <c r="AK2159" t="n">
        <v>10</v>
      </c>
      <c r="AL2159" t="n">
        <v>17</v>
      </c>
      <c r="AM2159" t="n">
        <v>22</v>
      </c>
      <c r="AN2159" t="n">
        <v>3</v>
      </c>
      <c r="AO2159" t="n">
        <v>6</v>
      </c>
      <c r="AP2159" t="n">
        <v>0</v>
      </c>
      <c r="AQ2159" t="n">
        <v>0</v>
      </c>
      <c r="AR2159" t="inlineStr">
        <is>
          <t>No</t>
        </is>
      </c>
      <c r="AS2159" t="inlineStr">
        <is>
          <t>Yes</t>
        </is>
      </c>
      <c r="AT2159">
        <f>HYPERLINK("http://catalog.hathitrust.org/Record/000007417","HathiTrust Record")</f>
        <v/>
      </c>
      <c r="AU2159">
        <f>HYPERLINK("https://creighton-primo.hosted.exlibrisgroup.com/primo-explore/search?tab=default_tab&amp;search_scope=EVERYTHING&amp;vid=01CRU&amp;lang=en_US&amp;offset=0&amp;query=any,contains,991003771669702656","Catalog Record")</f>
        <v/>
      </c>
      <c r="AV2159">
        <f>HYPERLINK("http://www.worldcat.org/oclc/545683","WorldCat Record")</f>
        <v/>
      </c>
      <c r="AW2159" t="inlineStr">
        <is>
          <t>1909503737:eng</t>
        </is>
      </c>
      <c r="AX2159" t="inlineStr">
        <is>
          <t>545683</t>
        </is>
      </c>
      <c r="AY2159" t="inlineStr">
        <is>
          <t>991003771669702656</t>
        </is>
      </c>
      <c r="AZ2159" t="inlineStr">
        <is>
          <t>991003771669702656</t>
        </is>
      </c>
      <c r="BA2159" t="inlineStr">
        <is>
          <t>2256977550002656</t>
        </is>
      </c>
      <c r="BB2159" t="inlineStr">
        <is>
          <t>BOOK</t>
        </is>
      </c>
      <c r="BD2159" t="inlineStr">
        <is>
          <t>9780389044406</t>
        </is>
      </c>
      <c r="BE2159" t="inlineStr">
        <is>
          <t>32285000092113</t>
        </is>
      </c>
      <c r="BF2159" t="inlineStr">
        <is>
          <t>893775172</t>
        </is>
      </c>
    </row>
    <row r="2160">
      <c r="A2160" t="inlineStr">
        <is>
          <t>No</t>
        </is>
      </c>
      <c r="B2160" t="inlineStr">
        <is>
          <t>CURAL</t>
        </is>
      </c>
      <c r="C2160" t="inlineStr">
        <is>
          <t>SHELVES</t>
        </is>
      </c>
      <c r="D2160" t="inlineStr">
        <is>
          <t>PR4837 .M78</t>
        </is>
      </c>
      <c r="E2160" t="inlineStr">
        <is>
          <t>0                      PR 4837000M  78</t>
        </is>
      </c>
      <c r="F2160" t="inlineStr">
        <is>
          <t>John Keats, a reassessment.</t>
        </is>
      </c>
      <c r="H2160" t="inlineStr">
        <is>
          <t>No</t>
        </is>
      </c>
      <c r="I2160" t="inlineStr">
        <is>
          <t>1</t>
        </is>
      </c>
      <c r="J2160" t="inlineStr">
        <is>
          <t>No</t>
        </is>
      </c>
      <c r="K2160" t="inlineStr">
        <is>
          <t>No</t>
        </is>
      </c>
      <c r="L2160" t="inlineStr">
        <is>
          <t>0</t>
        </is>
      </c>
      <c r="M2160" t="inlineStr">
        <is>
          <t>Muir, Kenneth.</t>
        </is>
      </c>
      <c r="N2160" t="inlineStr">
        <is>
          <t>[Liverpool] Liverpool University Press, 1958.</t>
        </is>
      </c>
      <c r="O2160" t="inlineStr">
        <is>
          <t>1958</t>
        </is>
      </c>
      <c r="Q2160" t="inlineStr">
        <is>
          <t>eng</t>
        </is>
      </c>
      <c r="R2160" t="inlineStr">
        <is>
          <t>enk</t>
        </is>
      </c>
      <c r="S2160" t="inlineStr">
        <is>
          <t>Liverpool English texts and studies ; no. 5</t>
        </is>
      </c>
      <c r="T2160" t="inlineStr">
        <is>
          <t xml:space="preserve">PR </t>
        </is>
      </c>
      <c r="U2160" t="n">
        <v>1</v>
      </c>
      <c r="V2160" t="n">
        <v>1</v>
      </c>
      <c r="W2160" t="inlineStr">
        <is>
          <t>2003-04-29</t>
        </is>
      </c>
      <c r="X2160" t="inlineStr">
        <is>
          <t>2003-04-29</t>
        </is>
      </c>
      <c r="Y2160" t="inlineStr">
        <is>
          <t>1997-07-15</t>
        </is>
      </c>
      <c r="Z2160" t="inlineStr">
        <is>
          <t>1997-07-15</t>
        </is>
      </c>
      <c r="AA2160" t="n">
        <v>259</v>
      </c>
      <c r="AB2160" t="n">
        <v>174</v>
      </c>
      <c r="AC2160" t="n">
        <v>450</v>
      </c>
      <c r="AD2160" t="n">
        <v>2</v>
      </c>
      <c r="AE2160" t="n">
        <v>5</v>
      </c>
      <c r="AF2160" t="n">
        <v>12</v>
      </c>
      <c r="AG2160" t="n">
        <v>25</v>
      </c>
      <c r="AH2160" t="n">
        <v>1</v>
      </c>
      <c r="AI2160" t="n">
        <v>8</v>
      </c>
      <c r="AJ2160" t="n">
        <v>4</v>
      </c>
      <c r="AK2160" t="n">
        <v>6</v>
      </c>
      <c r="AL2160" t="n">
        <v>9</v>
      </c>
      <c r="AM2160" t="n">
        <v>14</v>
      </c>
      <c r="AN2160" t="n">
        <v>1</v>
      </c>
      <c r="AO2160" t="n">
        <v>4</v>
      </c>
      <c r="AP2160" t="n">
        <v>0</v>
      </c>
      <c r="AQ2160" t="n">
        <v>0</v>
      </c>
      <c r="AR2160" t="inlineStr">
        <is>
          <t>No</t>
        </is>
      </c>
      <c r="AS2160" t="inlineStr">
        <is>
          <t>Yes</t>
        </is>
      </c>
      <c r="AT2160">
        <f>HYPERLINK("http://catalog.hathitrust.org/Record/000590310","HathiTrust Record")</f>
        <v/>
      </c>
      <c r="AU2160">
        <f>HYPERLINK("https://creighton-primo.hosted.exlibrisgroup.com/primo-explore/search?tab=default_tab&amp;search_scope=EVERYTHING&amp;vid=01CRU&amp;lang=en_US&amp;offset=0&amp;query=any,contains,991004223689702656","Catalog Record")</f>
        <v/>
      </c>
      <c r="AV2160">
        <f>HYPERLINK("http://www.worldcat.org/oclc/2721267","WorldCat Record")</f>
        <v/>
      </c>
      <c r="AW2160" t="inlineStr">
        <is>
          <t>808414266:eng</t>
        </is>
      </c>
      <c r="AX2160" t="inlineStr">
        <is>
          <t>2721267</t>
        </is>
      </c>
      <c r="AY2160" t="inlineStr">
        <is>
          <t>991004223689702656</t>
        </is>
      </c>
      <c r="AZ2160" t="inlineStr">
        <is>
          <t>991004223689702656</t>
        </is>
      </c>
      <c r="BA2160" t="inlineStr">
        <is>
          <t>2258593130002656</t>
        </is>
      </c>
      <c r="BB2160" t="inlineStr">
        <is>
          <t>BOOK</t>
        </is>
      </c>
      <c r="BE2160" t="inlineStr">
        <is>
          <t>32285002924297</t>
        </is>
      </c>
      <c r="BF2160" t="inlineStr">
        <is>
          <t>893882208</t>
        </is>
      </c>
    </row>
    <row r="2161">
      <c r="A2161" t="inlineStr">
        <is>
          <t>No</t>
        </is>
      </c>
      <c r="B2161" t="inlineStr">
        <is>
          <t>CURAL</t>
        </is>
      </c>
      <c r="C2161" t="inlineStr">
        <is>
          <t>SHELVES</t>
        </is>
      </c>
      <c r="D2161" t="inlineStr">
        <is>
          <t>PR4837 .M8 1939</t>
        </is>
      </c>
      <c r="E2161" t="inlineStr">
        <is>
          <t>0                      PR 4837000M  8           1939</t>
        </is>
      </c>
      <c r="F2161" t="inlineStr">
        <is>
          <t>Studies in Keats, new and old / by John Middleton Murry.</t>
        </is>
      </c>
      <c r="H2161" t="inlineStr">
        <is>
          <t>No</t>
        </is>
      </c>
      <c r="I2161" t="inlineStr">
        <is>
          <t>1</t>
        </is>
      </c>
      <c r="J2161" t="inlineStr">
        <is>
          <t>No</t>
        </is>
      </c>
      <c r="K2161" t="inlineStr">
        <is>
          <t>No</t>
        </is>
      </c>
      <c r="L2161" t="inlineStr">
        <is>
          <t>0</t>
        </is>
      </c>
      <c r="M2161" t="inlineStr">
        <is>
          <t>Murry, John Middleton, 1889-1957.</t>
        </is>
      </c>
      <c r="N2161" t="inlineStr">
        <is>
          <t>London ; New York [etc.] : Oxford University Press, 1939.</t>
        </is>
      </c>
      <c r="O2161" t="inlineStr">
        <is>
          <t>1939</t>
        </is>
      </c>
      <c r="P2161" t="inlineStr">
        <is>
          <t>2d ed.</t>
        </is>
      </c>
      <c r="Q2161" t="inlineStr">
        <is>
          <t>eng</t>
        </is>
      </c>
      <c r="R2161" t="inlineStr">
        <is>
          <t xml:space="preserve">xx </t>
        </is>
      </c>
      <c r="T2161" t="inlineStr">
        <is>
          <t xml:space="preserve">PR </t>
        </is>
      </c>
      <c r="U2161" t="n">
        <v>9</v>
      </c>
      <c r="V2161" t="n">
        <v>9</v>
      </c>
      <c r="W2161" t="inlineStr">
        <is>
          <t>1997-10-01</t>
        </is>
      </c>
      <c r="X2161" t="inlineStr">
        <is>
          <t>1997-10-01</t>
        </is>
      </c>
      <c r="Y2161" t="inlineStr">
        <is>
          <t>1992-02-19</t>
        </is>
      </c>
      <c r="Z2161" t="inlineStr">
        <is>
          <t>1992-02-19</t>
        </is>
      </c>
      <c r="AA2161" t="n">
        <v>184</v>
      </c>
      <c r="AB2161" t="n">
        <v>131</v>
      </c>
      <c r="AC2161" t="n">
        <v>158</v>
      </c>
      <c r="AD2161" t="n">
        <v>2</v>
      </c>
      <c r="AE2161" t="n">
        <v>2</v>
      </c>
      <c r="AF2161" t="n">
        <v>7</v>
      </c>
      <c r="AG2161" t="n">
        <v>7</v>
      </c>
      <c r="AH2161" t="n">
        <v>2</v>
      </c>
      <c r="AI2161" t="n">
        <v>2</v>
      </c>
      <c r="AJ2161" t="n">
        <v>1</v>
      </c>
      <c r="AK2161" t="n">
        <v>1</v>
      </c>
      <c r="AL2161" t="n">
        <v>3</v>
      </c>
      <c r="AM2161" t="n">
        <v>3</v>
      </c>
      <c r="AN2161" t="n">
        <v>1</v>
      </c>
      <c r="AO2161" t="n">
        <v>1</v>
      </c>
      <c r="AP2161" t="n">
        <v>0</v>
      </c>
      <c r="AQ2161" t="n">
        <v>0</v>
      </c>
      <c r="AR2161" t="inlineStr">
        <is>
          <t>No</t>
        </is>
      </c>
      <c r="AS2161" t="inlineStr">
        <is>
          <t>Yes</t>
        </is>
      </c>
      <c r="AT2161">
        <f>HYPERLINK("http://catalog.hathitrust.org/Record/000590409","HathiTrust Record")</f>
        <v/>
      </c>
      <c r="AU2161">
        <f>HYPERLINK("https://creighton-primo.hosted.exlibrisgroup.com/primo-explore/search?tab=default_tab&amp;search_scope=EVERYTHING&amp;vid=01CRU&amp;lang=en_US&amp;offset=0&amp;query=any,contains,991003874469702656","Catalog Record")</f>
        <v/>
      </c>
      <c r="AV2161">
        <f>HYPERLINK("http://www.worldcat.org/oclc/1702882","WorldCat Record")</f>
        <v/>
      </c>
      <c r="AW2161" t="inlineStr">
        <is>
          <t>4918706047:eng</t>
        </is>
      </c>
      <c r="AX2161" t="inlineStr">
        <is>
          <t>1702882</t>
        </is>
      </c>
      <c r="AY2161" t="inlineStr">
        <is>
          <t>991003874469702656</t>
        </is>
      </c>
      <c r="AZ2161" t="inlineStr">
        <is>
          <t>991003874469702656</t>
        </is>
      </c>
      <c r="BA2161" t="inlineStr">
        <is>
          <t>2264866050002656</t>
        </is>
      </c>
      <c r="BB2161" t="inlineStr">
        <is>
          <t>BOOK</t>
        </is>
      </c>
      <c r="BE2161" t="inlineStr">
        <is>
          <t>32285000971761</t>
        </is>
      </c>
      <c r="BF2161" t="inlineStr">
        <is>
          <t>893624006</t>
        </is>
      </c>
    </row>
    <row r="2162">
      <c r="A2162" t="inlineStr">
        <is>
          <t>No</t>
        </is>
      </c>
      <c r="B2162" t="inlineStr">
        <is>
          <t>CURAL</t>
        </is>
      </c>
      <c r="C2162" t="inlineStr">
        <is>
          <t>SHELVES</t>
        </is>
      </c>
      <c r="D2162" t="inlineStr">
        <is>
          <t>PR4837 .M8 1966</t>
        </is>
      </c>
      <c r="E2162" t="inlineStr">
        <is>
          <t>0                      PR 4837000M  8           1966</t>
        </is>
      </c>
      <c r="F2162" t="inlineStr">
        <is>
          <t>Studies in Keats.</t>
        </is>
      </c>
      <c r="H2162" t="inlineStr">
        <is>
          <t>No</t>
        </is>
      </c>
      <c r="I2162" t="inlineStr">
        <is>
          <t>1</t>
        </is>
      </c>
      <c r="J2162" t="inlineStr">
        <is>
          <t>No</t>
        </is>
      </c>
      <c r="K2162" t="inlineStr">
        <is>
          <t>No</t>
        </is>
      </c>
      <c r="L2162" t="inlineStr">
        <is>
          <t>0</t>
        </is>
      </c>
      <c r="M2162" t="inlineStr">
        <is>
          <t>Murry, John Middleton, 1889-1957.</t>
        </is>
      </c>
      <c r="N2162" t="inlineStr">
        <is>
          <t>New York : Haskell House, 1966.</t>
        </is>
      </c>
      <c r="O2162" t="inlineStr">
        <is>
          <t>1966</t>
        </is>
      </c>
      <c r="Q2162" t="inlineStr">
        <is>
          <t>eng</t>
        </is>
      </c>
      <c r="R2162" t="inlineStr">
        <is>
          <t>nyu</t>
        </is>
      </c>
      <c r="T2162" t="inlineStr">
        <is>
          <t xml:space="preserve">PR </t>
        </is>
      </c>
      <c r="U2162" t="n">
        <v>6</v>
      </c>
      <c r="V2162" t="n">
        <v>6</v>
      </c>
      <c r="W2162" t="inlineStr">
        <is>
          <t>1993-03-28</t>
        </is>
      </c>
      <c r="X2162" t="inlineStr">
        <is>
          <t>1993-03-28</t>
        </is>
      </c>
      <c r="Y2162" t="inlineStr">
        <is>
          <t>1990-02-22</t>
        </is>
      </c>
      <c r="Z2162" t="inlineStr">
        <is>
          <t>1990-02-22</t>
        </is>
      </c>
      <c r="AA2162" t="n">
        <v>119</v>
      </c>
      <c r="AB2162" t="n">
        <v>112</v>
      </c>
      <c r="AC2162" t="n">
        <v>375</v>
      </c>
      <c r="AD2162" t="n">
        <v>2</v>
      </c>
      <c r="AE2162" t="n">
        <v>5</v>
      </c>
      <c r="AF2162" t="n">
        <v>5</v>
      </c>
      <c r="AG2162" t="n">
        <v>18</v>
      </c>
      <c r="AH2162" t="n">
        <v>1</v>
      </c>
      <c r="AI2162" t="n">
        <v>5</v>
      </c>
      <c r="AJ2162" t="n">
        <v>2</v>
      </c>
      <c r="AK2162" t="n">
        <v>7</v>
      </c>
      <c r="AL2162" t="n">
        <v>2</v>
      </c>
      <c r="AM2162" t="n">
        <v>5</v>
      </c>
      <c r="AN2162" t="n">
        <v>1</v>
      </c>
      <c r="AO2162" t="n">
        <v>4</v>
      </c>
      <c r="AP2162" t="n">
        <v>0</v>
      </c>
      <c r="AQ2162" t="n">
        <v>0</v>
      </c>
      <c r="AR2162" t="inlineStr">
        <is>
          <t>No</t>
        </is>
      </c>
      <c r="AS2162" t="inlineStr">
        <is>
          <t>No</t>
        </is>
      </c>
      <c r="AU2162">
        <f>HYPERLINK("https://creighton-primo.hosted.exlibrisgroup.com/primo-explore/search?tab=default_tab&amp;search_scope=EVERYTHING&amp;vid=01CRU&amp;lang=en_US&amp;offset=0&amp;query=any,contains,991002762999702656","Catalog Record")</f>
        <v/>
      </c>
      <c r="AV2162">
        <f>HYPERLINK("http://www.worldcat.org/oclc/430245","WorldCat Record")</f>
        <v/>
      </c>
      <c r="AW2162" t="inlineStr">
        <is>
          <t>1166686:eng</t>
        </is>
      </c>
      <c r="AX2162" t="inlineStr">
        <is>
          <t>430245</t>
        </is>
      </c>
      <c r="AY2162" t="inlineStr">
        <is>
          <t>991002762999702656</t>
        </is>
      </c>
      <c r="AZ2162" t="inlineStr">
        <is>
          <t>991002762999702656</t>
        </is>
      </c>
      <c r="BA2162" t="inlineStr">
        <is>
          <t>2269750060002656</t>
        </is>
      </c>
      <c r="BB2162" t="inlineStr">
        <is>
          <t>BOOK</t>
        </is>
      </c>
      <c r="BE2162" t="inlineStr">
        <is>
          <t>32285000060367</t>
        </is>
      </c>
      <c r="BF2162" t="inlineStr">
        <is>
          <t>893780188</t>
        </is>
      </c>
    </row>
    <row r="2163">
      <c r="A2163" t="inlineStr">
        <is>
          <t>No</t>
        </is>
      </c>
      <c r="B2163" t="inlineStr">
        <is>
          <t>CURAL</t>
        </is>
      </c>
      <c r="C2163" t="inlineStr">
        <is>
          <t>SHELVES</t>
        </is>
      </c>
      <c r="D2163" t="inlineStr">
        <is>
          <t>PR4837 .P3</t>
        </is>
      </c>
      <c r="E2163" t="inlineStr">
        <is>
          <t>0                      PR 4837000P  3</t>
        </is>
      </c>
      <c r="F2163" t="inlineStr">
        <is>
          <t>The daemonic in the poetry of John Keats / [by] Charles I. Patterson, Jr.</t>
        </is>
      </c>
      <c r="H2163" t="inlineStr">
        <is>
          <t>No</t>
        </is>
      </c>
      <c r="I2163" t="inlineStr">
        <is>
          <t>1</t>
        </is>
      </c>
      <c r="J2163" t="inlineStr">
        <is>
          <t>No</t>
        </is>
      </c>
      <c r="K2163" t="inlineStr">
        <is>
          <t>No</t>
        </is>
      </c>
      <c r="L2163" t="inlineStr">
        <is>
          <t>0</t>
        </is>
      </c>
      <c r="M2163" t="inlineStr">
        <is>
          <t>Patterson, Charles I. (Charles Ivey), 1913-1989.</t>
        </is>
      </c>
      <c r="N2163" t="inlineStr">
        <is>
          <t>Urbana : University of Illinois Press, [1970]</t>
        </is>
      </c>
      <c r="O2163" t="inlineStr">
        <is>
          <t>1970</t>
        </is>
      </c>
      <c r="Q2163" t="inlineStr">
        <is>
          <t>eng</t>
        </is>
      </c>
      <c r="R2163" t="inlineStr">
        <is>
          <t>ilu</t>
        </is>
      </c>
      <c r="T2163" t="inlineStr">
        <is>
          <t xml:space="preserve">PR </t>
        </is>
      </c>
      <c r="U2163" t="n">
        <v>6</v>
      </c>
      <c r="V2163" t="n">
        <v>6</v>
      </c>
      <c r="W2163" t="inlineStr">
        <is>
          <t>2003-04-16</t>
        </is>
      </c>
      <c r="X2163" t="inlineStr">
        <is>
          <t>2003-04-16</t>
        </is>
      </c>
      <c r="Y2163" t="inlineStr">
        <is>
          <t>1993-03-17</t>
        </is>
      </c>
      <c r="Z2163" t="inlineStr">
        <is>
          <t>1993-03-17</t>
        </is>
      </c>
      <c r="AA2163" t="n">
        <v>652</v>
      </c>
      <c r="AB2163" t="n">
        <v>550</v>
      </c>
      <c r="AC2163" t="n">
        <v>552</v>
      </c>
      <c r="AD2163" t="n">
        <v>6</v>
      </c>
      <c r="AE2163" t="n">
        <v>6</v>
      </c>
      <c r="AF2163" t="n">
        <v>34</v>
      </c>
      <c r="AG2163" t="n">
        <v>34</v>
      </c>
      <c r="AH2163" t="n">
        <v>12</v>
      </c>
      <c r="AI2163" t="n">
        <v>12</v>
      </c>
      <c r="AJ2163" t="n">
        <v>6</v>
      </c>
      <c r="AK2163" t="n">
        <v>6</v>
      </c>
      <c r="AL2163" t="n">
        <v>20</v>
      </c>
      <c r="AM2163" t="n">
        <v>20</v>
      </c>
      <c r="AN2163" t="n">
        <v>5</v>
      </c>
      <c r="AO2163" t="n">
        <v>5</v>
      </c>
      <c r="AP2163" t="n">
        <v>0</v>
      </c>
      <c r="AQ2163" t="n">
        <v>0</v>
      </c>
      <c r="AR2163" t="inlineStr">
        <is>
          <t>No</t>
        </is>
      </c>
      <c r="AS2163" t="inlineStr">
        <is>
          <t>Yes</t>
        </is>
      </c>
      <c r="AT2163">
        <f>HYPERLINK("http://catalog.hathitrust.org/Record/000484404","HathiTrust Record")</f>
        <v/>
      </c>
      <c r="AU2163">
        <f>HYPERLINK("https://creighton-primo.hosted.exlibrisgroup.com/primo-explore/search?tab=default_tab&amp;search_scope=EVERYTHING&amp;vid=01CRU&amp;lang=en_US&amp;offset=0&amp;query=any,contains,991000515729702656","Catalog Record")</f>
        <v/>
      </c>
      <c r="AV2163">
        <f>HYPERLINK("http://www.worldcat.org/oclc/85567","WorldCat Record")</f>
        <v/>
      </c>
      <c r="AW2163" t="inlineStr">
        <is>
          <t>420942:eng</t>
        </is>
      </c>
      <c r="AX2163" t="inlineStr">
        <is>
          <t>85567</t>
        </is>
      </c>
      <c r="AY2163" t="inlineStr">
        <is>
          <t>991000515729702656</t>
        </is>
      </c>
      <c r="AZ2163" t="inlineStr">
        <is>
          <t>991000515729702656</t>
        </is>
      </c>
      <c r="BA2163" t="inlineStr">
        <is>
          <t>2267066840002656</t>
        </is>
      </c>
      <c r="BB2163" t="inlineStr">
        <is>
          <t>BOOK</t>
        </is>
      </c>
      <c r="BD2163" t="inlineStr">
        <is>
          <t>9780252000799</t>
        </is>
      </c>
      <c r="BE2163" t="inlineStr">
        <is>
          <t>32285001574028</t>
        </is>
      </c>
      <c r="BF2163" t="inlineStr">
        <is>
          <t>893620545</t>
        </is>
      </c>
    </row>
    <row r="2164">
      <c r="A2164" t="inlineStr">
        <is>
          <t>No</t>
        </is>
      </c>
      <c r="B2164" t="inlineStr">
        <is>
          <t>CURAL</t>
        </is>
      </c>
      <c r="C2164" t="inlineStr">
        <is>
          <t>SHELVES</t>
        </is>
      </c>
      <c r="D2164" t="inlineStr">
        <is>
          <t>PR4837 .P4</t>
        </is>
      </c>
      <c r="E2164" t="inlineStr">
        <is>
          <t>0                      PR 4837000P  4</t>
        </is>
      </c>
      <c r="F2164" t="inlineStr">
        <is>
          <t>On the poetry of Keats.</t>
        </is>
      </c>
      <c r="H2164" t="inlineStr">
        <is>
          <t>No</t>
        </is>
      </c>
      <c r="I2164" t="inlineStr">
        <is>
          <t>1</t>
        </is>
      </c>
      <c r="J2164" t="inlineStr">
        <is>
          <t>Yes</t>
        </is>
      </c>
      <c r="K2164" t="inlineStr">
        <is>
          <t>No</t>
        </is>
      </c>
      <c r="L2164" t="inlineStr">
        <is>
          <t>0</t>
        </is>
      </c>
      <c r="M2164" t="inlineStr">
        <is>
          <t>Pettet, E. C.</t>
        </is>
      </c>
      <c r="N2164" t="inlineStr">
        <is>
          <t>Cambridge, [Eng.] : University Press, 1957.</t>
        </is>
      </c>
      <c r="O2164" t="inlineStr">
        <is>
          <t>1957</t>
        </is>
      </c>
      <c r="Q2164" t="inlineStr">
        <is>
          <t>eng</t>
        </is>
      </c>
      <c r="R2164" t="inlineStr">
        <is>
          <t>enk</t>
        </is>
      </c>
      <c r="T2164" t="inlineStr">
        <is>
          <t xml:space="preserve">PR </t>
        </is>
      </c>
      <c r="U2164" t="n">
        <v>9</v>
      </c>
      <c r="V2164" t="n">
        <v>34</v>
      </c>
      <c r="W2164" t="inlineStr">
        <is>
          <t>1999-02-21</t>
        </is>
      </c>
      <c r="X2164" t="inlineStr">
        <is>
          <t>2004-09-25</t>
        </is>
      </c>
      <c r="Y2164" t="inlineStr">
        <is>
          <t>1990-07-13</t>
        </is>
      </c>
      <c r="Z2164" t="inlineStr">
        <is>
          <t>1990-08-09</t>
        </is>
      </c>
      <c r="AA2164" t="n">
        <v>490</v>
      </c>
      <c r="AB2164" t="n">
        <v>380</v>
      </c>
      <c r="AC2164" t="n">
        <v>504</v>
      </c>
      <c r="AD2164" t="n">
        <v>4</v>
      </c>
      <c r="AE2164" t="n">
        <v>4</v>
      </c>
      <c r="AF2164" t="n">
        <v>24</v>
      </c>
      <c r="AG2164" t="n">
        <v>27</v>
      </c>
      <c r="AH2164" t="n">
        <v>9</v>
      </c>
      <c r="AI2164" t="n">
        <v>11</v>
      </c>
      <c r="AJ2164" t="n">
        <v>4</v>
      </c>
      <c r="AK2164" t="n">
        <v>4</v>
      </c>
      <c r="AL2164" t="n">
        <v>15</v>
      </c>
      <c r="AM2164" t="n">
        <v>16</v>
      </c>
      <c r="AN2164" t="n">
        <v>2</v>
      </c>
      <c r="AO2164" t="n">
        <v>2</v>
      </c>
      <c r="AP2164" t="n">
        <v>0</v>
      </c>
      <c r="AQ2164" t="n">
        <v>0</v>
      </c>
      <c r="AR2164" t="inlineStr">
        <is>
          <t>No</t>
        </is>
      </c>
      <c r="AS2164" t="inlineStr">
        <is>
          <t>No</t>
        </is>
      </c>
      <c r="AU2164">
        <f>HYPERLINK("https://creighton-primo.hosted.exlibrisgroup.com/primo-explore/search?tab=default_tab&amp;search_scope=EVERYTHING&amp;vid=01CRU&amp;lang=en_US&amp;offset=0&amp;query=any,contains,991003416859702656","Catalog Record")</f>
        <v/>
      </c>
      <c r="AV2164">
        <f>HYPERLINK("http://www.worldcat.org/oclc/958485","WorldCat Record")</f>
        <v/>
      </c>
      <c r="AW2164" t="inlineStr">
        <is>
          <t>1245250:eng</t>
        </is>
      </c>
      <c r="AX2164" t="inlineStr">
        <is>
          <t>958485</t>
        </is>
      </c>
      <c r="AY2164" t="inlineStr">
        <is>
          <t>991003416859702656</t>
        </is>
      </c>
      <c r="AZ2164" t="inlineStr">
        <is>
          <t>991003416859702656</t>
        </is>
      </c>
      <c r="BA2164" t="inlineStr">
        <is>
          <t>2268178280002656</t>
        </is>
      </c>
      <c r="BB2164" t="inlineStr">
        <is>
          <t>BOOK</t>
        </is>
      </c>
      <c r="BD2164" t="inlineStr">
        <is>
          <t>9780521077804</t>
        </is>
      </c>
      <c r="BE2164" t="inlineStr">
        <is>
          <t>32285000230085</t>
        </is>
      </c>
      <c r="BF2164" t="inlineStr">
        <is>
          <t>893617321</t>
        </is>
      </c>
    </row>
    <row r="2165">
      <c r="A2165" t="inlineStr">
        <is>
          <t>No</t>
        </is>
      </c>
      <c r="B2165" t="inlineStr">
        <is>
          <t>CURAL</t>
        </is>
      </c>
      <c r="C2165" t="inlineStr">
        <is>
          <t>SHELVES</t>
        </is>
      </c>
      <c r="D2165" t="inlineStr">
        <is>
          <t>PR4837 .P4</t>
        </is>
      </c>
      <c r="E2165" t="inlineStr">
        <is>
          <t>0                      PR 4837000P  4</t>
        </is>
      </c>
      <c r="F2165" t="inlineStr">
        <is>
          <t>On the poetry of Keats.</t>
        </is>
      </c>
      <c r="H2165" t="inlineStr">
        <is>
          <t>No</t>
        </is>
      </c>
      <c r="I2165" t="inlineStr">
        <is>
          <t>1</t>
        </is>
      </c>
      <c r="J2165" t="inlineStr">
        <is>
          <t>Yes</t>
        </is>
      </c>
      <c r="K2165" t="inlineStr">
        <is>
          <t>No</t>
        </is>
      </c>
      <c r="L2165" t="inlineStr">
        <is>
          <t>0</t>
        </is>
      </c>
      <c r="M2165" t="inlineStr">
        <is>
          <t>Pettet, E. C.</t>
        </is>
      </c>
      <c r="N2165" t="inlineStr">
        <is>
          <t>Cambridge, [Eng.] : University Press, 1957.</t>
        </is>
      </c>
      <c r="O2165" t="inlineStr">
        <is>
          <t>1957</t>
        </is>
      </c>
      <c r="Q2165" t="inlineStr">
        <is>
          <t>eng</t>
        </is>
      </c>
      <c r="R2165" t="inlineStr">
        <is>
          <t>enk</t>
        </is>
      </c>
      <c r="T2165" t="inlineStr">
        <is>
          <t xml:space="preserve">PR </t>
        </is>
      </c>
      <c r="U2165" t="n">
        <v>25</v>
      </c>
      <c r="V2165" t="n">
        <v>34</v>
      </c>
      <c r="W2165" t="inlineStr">
        <is>
          <t>2004-09-25</t>
        </is>
      </c>
      <c r="X2165" t="inlineStr">
        <is>
          <t>2004-09-25</t>
        </is>
      </c>
      <c r="Y2165" t="inlineStr">
        <is>
          <t>1990-08-09</t>
        </is>
      </c>
      <c r="Z2165" t="inlineStr">
        <is>
          <t>1990-08-09</t>
        </is>
      </c>
      <c r="AA2165" t="n">
        <v>490</v>
      </c>
      <c r="AB2165" t="n">
        <v>380</v>
      </c>
      <c r="AC2165" t="n">
        <v>504</v>
      </c>
      <c r="AD2165" t="n">
        <v>4</v>
      </c>
      <c r="AE2165" t="n">
        <v>4</v>
      </c>
      <c r="AF2165" t="n">
        <v>24</v>
      </c>
      <c r="AG2165" t="n">
        <v>27</v>
      </c>
      <c r="AH2165" t="n">
        <v>9</v>
      </c>
      <c r="AI2165" t="n">
        <v>11</v>
      </c>
      <c r="AJ2165" t="n">
        <v>4</v>
      </c>
      <c r="AK2165" t="n">
        <v>4</v>
      </c>
      <c r="AL2165" t="n">
        <v>15</v>
      </c>
      <c r="AM2165" t="n">
        <v>16</v>
      </c>
      <c r="AN2165" t="n">
        <v>2</v>
      </c>
      <c r="AO2165" t="n">
        <v>2</v>
      </c>
      <c r="AP2165" t="n">
        <v>0</v>
      </c>
      <c r="AQ2165" t="n">
        <v>0</v>
      </c>
      <c r="AR2165" t="inlineStr">
        <is>
          <t>No</t>
        </is>
      </c>
      <c r="AS2165" t="inlineStr">
        <is>
          <t>No</t>
        </is>
      </c>
      <c r="AU2165">
        <f>HYPERLINK("https://creighton-primo.hosted.exlibrisgroup.com/primo-explore/search?tab=default_tab&amp;search_scope=EVERYTHING&amp;vid=01CRU&amp;lang=en_US&amp;offset=0&amp;query=any,contains,991003416859702656","Catalog Record")</f>
        <v/>
      </c>
      <c r="AV2165">
        <f>HYPERLINK("http://www.worldcat.org/oclc/958485","WorldCat Record")</f>
        <v/>
      </c>
      <c r="AW2165" t="inlineStr">
        <is>
          <t>1245250:eng</t>
        </is>
      </c>
      <c r="AX2165" t="inlineStr">
        <is>
          <t>958485</t>
        </is>
      </c>
      <c r="AY2165" t="inlineStr">
        <is>
          <t>991003416859702656</t>
        </is>
      </c>
      <c r="AZ2165" t="inlineStr">
        <is>
          <t>991003416859702656</t>
        </is>
      </c>
      <c r="BA2165" t="inlineStr">
        <is>
          <t>2268178280002656</t>
        </is>
      </c>
      <c r="BB2165" t="inlineStr">
        <is>
          <t>BOOK</t>
        </is>
      </c>
      <c r="BD2165" t="inlineStr">
        <is>
          <t>9780521077804</t>
        </is>
      </c>
      <c r="BE2165" t="inlineStr">
        <is>
          <t>32285000244417</t>
        </is>
      </c>
      <c r="BF2165" t="inlineStr">
        <is>
          <t>893598566</t>
        </is>
      </c>
    </row>
    <row r="2166">
      <c r="A2166" t="inlineStr">
        <is>
          <t>No</t>
        </is>
      </c>
      <c r="B2166" t="inlineStr">
        <is>
          <t>CURAL</t>
        </is>
      </c>
      <c r="C2166" t="inlineStr">
        <is>
          <t>SHELVES</t>
        </is>
      </c>
      <c r="D2166" t="inlineStr">
        <is>
          <t>PR4837 .P6 1984</t>
        </is>
      </c>
      <c r="E2166" t="inlineStr">
        <is>
          <t>0                      PR 4837000P  6           1984</t>
        </is>
      </c>
      <c r="F2166" t="inlineStr">
        <is>
          <t>The poetry of Keats : language &amp; experience / David Pollard.</t>
        </is>
      </c>
      <c r="H2166" t="inlineStr">
        <is>
          <t>No</t>
        </is>
      </c>
      <c r="I2166" t="inlineStr">
        <is>
          <t>1</t>
        </is>
      </c>
      <c r="J2166" t="inlineStr">
        <is>
          <t>No</t>
        </is>
      </c>
      <c r="K2166" t="inlineStr">
        <is>
          <t>No</t>
        </is>
      </c>
      <c r="L2166" t="inlineStr">
        <is>
          <t>0</t>
        </is>
      </c>
      <c r="M2166" t="inlineStr">
        <is>
          <t>Pollard, David.</t>
        </is>
      </c>
      <c r="N2166" t="inlineStr">
        <is>
          <t>Brighton, Sussex : Harvester Press ; Totowa, N.J. : Barnes &amp; Noble, 1984.</t>
        </is>
      </c>
      <c r="O2166" t="inlineStr">
        <is>
          <t>1984</t>
        </is>
      </c>
      <c r="Q2166" t="inlineStr">
        <is>
          <t>eng</t>
        </is>
      </c>
      <c r="R2166" t="inlineStr">
        <is>
          <t>enk</t>
        </is>
      </c>
      <c r="T2166" t="inlineStr">
        <is>
          <t xml:space="preserve">PR </t>
        </is>
      </c>
      <c r="U2166" t="n">
        <v>4</v>
      </c>
      <c r="V2166" t="n">
        <v>4</v>
      </c>
      <c r="W2166" t="inlineStr">
        <is>
          <t>2003-04-16</t>
        </is>
      </c>
      <c r="X2166" t="inlineStr">
        <is>
          <t>2003-04-16</t>
        </is>
      </c>
      <c r="Y2166" t="inlineStr">
        <is>
          <t>1990-03-20</t>
        </is>
      </c>
      <c r="Z2166" t="inlineStr">
        <is>
          <t>1990-03-20</t>
        </is>
      </c>
      <c r="AA2166" t="n">
        <v>394</v>
      </c>
      <c r="AB2166" t="n">
        <v>286</v>
      </c>
      <c r="AC2166" t="n">
        <v>295</v>
      </c>
      <c r="AD2166" t="n">
        <v>5</v>
      </c>
      <c r="AE2166" t="n">
        <v>5</v>
      </c>
      <c r="AF2166" t="n">
        <v>18</v>
      </c>
      <c r="AG2166" t="n">
        <v>18</v>
      </c>
      <c r="AH2166" t="n">
        <v>5</v>
      </c>
      <c r="AI2166" t="n">
        <v>5</v>
      </c>
      <c r="AJ2166" t="n">
        <v>6</v>
      </c>
      <c r="AK2166" t="n">
        <v>6</v>
      </c>
      <c r="AL2166" t="n">
        <v>8</v>
      </c>
      <c r="AM2166" t="n">
        <v>8</v>
      </c>
      <c r="AN2166" t="n">
        <v>4</v>
      </c>
      <c r="AO2166" t="n">
        <v>4</v>
      </c>
      <c r="AP2166" t="n">
        <v>0</v>
      </c>
      <c r="AQ2166" t="n">
        <v>0</v>
      </c>
      <c r="AR2166" t="inlineStr">
        <is>
          <t>No</t>
        </is>
      </c>
      <c r="AS2166" t="inlineStr">
        <is>
          <t>Yes</t>
        </is>
      </c>
      <c r="AT2166">
        <f>HYPERLINK("http://catalog.hathitrust.org/Record/000567621","HathiTrust Record")</f>
        <v/>
      </c>
      <c r="AU2166">
        <f>HYPERLINK("https://creighton-primo.hosted.exlibrisgroup.com/primo-explore/search?tab=default_tab&amp;search_scope=EVERYTHING&amp;vid=01CRU&amp;lang=en_US&amp;offset=0&amp;query=any,contains,991000411749702656","Catalog Record")</f>
        <v/>
      </c>
      <c r="AV2166">
        <f>HYPERLINK("http://www.worldcat.org/oclc/10711472","WorldCat Record")</f>
        <v/>
      </c>
      <c r="AW2166" t="inlineStr">
        <is>
          <t>211650993:eng</t>
        </is>
      </c>
      <c r="AX2166" t="inlineStr">
        <is>
          <t>10711472</t>
        </is>
      </c>
      <c r="AY2166" t="inlineStr">
        <is>
          <t>991000411749702656</t>
        </is>
      </c>
      <c r="AZ2166" t="inlineStr">
        <is>
          <t>991000411749702656</t>
        </is>
      </c>
      <c r="BA2166" t="inlineStr">
        <is>
          <t>2260203950002656</t>
        </is>
      </c>
      <c r="BB2166" t="inlineStr">
        <is>
          <t>BOOK</t>
        </is>
      </c>
      <c r="BD2166" t="inlineStr">
        <is>
          <t>9780389204909</t>
        </is>
      </c>
      <c r="BE2166" t="inlineStr">
        <is>
          <t>32285000088350</t>
        </is>
      </c>
      <c r="BF2166" t="inlineStr">
        <is>
          <t>893327269</t>
        </is>
      </c>
    </row>
    <row r="2167">
      <c r="A2167" t="inlineStr">
        <is>
          <t>No</t>
        </is>
      </c>
      <c r="B2167" t="inlineStr">
        <is>
          <t>CURAL</t>
        </is>
      </c>
      <c r="C2167" t="inlineStr">
        <is>
          <t>SHELVES</t>
        </is>
      </c>
      <c r="D2167" t="inlineStr">
        <is>
          <t>PR4837 .S27 1976</t>
        </is>
      </c>
      <c r="E2167" t="inlineStr">
        <is>
          <t>0                      PR 4837000S  27          1976</t>
        </is>
      </c>
      <c r="F2167" t="inlineStr">
        <is>
          <t>Keats' view of poetry / by Takeshi Saito ; to which is prefixed an essay on English literature in Japan / by Edmund Blunden.</t>
        </is>
      </c>
      <c r="H2167" t="inlineStr">
        <is>
          <t>No</t>
        </is>
      </c>
      <c r="I2167" t="inlineStr">
        <is>
          <t>1</t>
        </is>
      </c>
      <c r="J2167" t="inlineStr">
        <is>
          <t>No</t>
        </is>
      </c>
      <c r="K2167" t="inlineStr">
        <is>
          <t>No</t>
        </is>
      </c>
      <c r="L2167" t="inlineStr">
        <is>
          <t>0</t>
        </is>
      </c>
      <c r="M2167" t="inlineStr">
        <is>
          <t>Saitō, Takeshi, 1887-1982.</t>
        </is>
      </c>
      <c r="N2167" t="inlineStr">
        <is>
          <t>New York : AMS Press, 1976.</t>
        </is>
      </c>
      <c r="O2167" t="inlineStr">
        <is>
          <t>1976</t>
        </is>
      </c>
      <c r="Q2167" t="inlineStr">
        <is>
          <t>eng</t>
        </is>
      </c>
      <c r="R2167" t="inlineStr">
        <is>
          <t>nyu</t>
        </is>
      </c>
      <c r="T2167" t="inlineStr">
        <is>
          <t xml:space="preserve">PR </t>
        </is>
      </c>
      <c r="U2167" t="n">
        <v>8</v>
      </c>
      <c r="V2167" t="n">
        <v>8</v>
      </c>
      <c r="W2167" t="inlineStr">
        <is>
          <t>1997-07-29</t>
        </is>
      </c>
      <c r="X2167" t="inlineStr">
        <is>
          <t>1997-07-29</t>
        </is>
      </c>
      <c r="Y2167" t="inlineStr">
        <is>
          <t>1990-10-22</t>
        </is>
      </c>
      <c r="Z2167" t="inlineStr">
        <is>
          <t>1990-10-22</t>
        </is>
      </c>
      <c r="AA2167" t="n">
        <v>56</v>
      </c>
      <c r="AB2167" t="n">
        <v>46</v>
      </c>
      <c r="AC2167" t="n">
        <v>170</v>
      </c>
      <c r="AD2167" t="n">
        <v>1</v>
      </c>
      <c r="AE2167" t="n">
        <v>2</v>
      </c>
      <c r="AF2167" t="n">
        <v>0</v>
      </c>
      <c r="AG2167" t="n">
        <v>6</v>
      </c>
      <c r="AH2167" t="n">
        <v>0</v>
      </c>
      <c r="AI2167" t="n">
        <v>1</v>
      </c>
      <c r="AJ2167" t="n">
        <v>0</v>
      </c>
      <c r="AK2167" t="n">
        <v>2</v>
      </c>
      <c r="AL2167" t="n">
        <v>0</v>
      </c>
      <c r="AM2167" t="n">
        <v>3</v>
      </c>
      <c r="AN2167" t="n">
        <v>0</v>
      </c>
      <c r="AO2167" t="n">
        <v>1</v>
      </c>
      <c r="AP2167" t="n">
        <v>0</v>
      </c>
      <c r="AQ2167" t="n">
        <v>0</v>
      </c>
      <c r="AR2167" t="inlineStr">
        <is>
          <t>No</t>
        </is>
      </c>
      <c r="AS2167" t="inlineStr">
        <is>
          <t>No</t>
        </is>
      </c>
      <c r="AU2167">
        <f>HYPERLINK("https://creighton-primo.hosted.exlibrisgroup.com/primo-explore/search?tab=default_tab&amp;search_scope=EVERYTHING&amp;vid=01CRU&amp;lang=en_US&amp;offset=0&amp;query=any,contains,991004149819702656","Catalog Record")</f>
        <v/>
      </c>
      <c r="AV2167">
        <f>HYPERLINK("http://www.worldcat.org/oclc/2523274","WorldCat Record")</f>
        <v/>
      </c>
      <c r="AW2167" t="inlineStr">
        <is>
          <t>4514510:eng</t>
        </is>
      </c>
      <c r="AX2167" t="inlineStr">
        <is>
          <t>2523274</t>
        </is>
      </c>
      <c r="AY2167" t="inlineStr">
        <is>
          <t>991004149819702656</t>
        </is>
      </c>
      <c r="AZ2167" t="inlineStr">
        <is>
          <t>991004149819702656</t>
        </is>
      </c>
      <c r="BA2167" t="inlineStr">
        <is>
          <t>2269993870002656</t>
        </is>
      </c>
      <c r="BB2167" t="inlineStr">
        <is>
          <t>BOOK</t>
        </is>
      </c>
      <c r="BD2167" t="inlineStr">
        <is>
          <t>9780404140175</t>
        </is>
      </c>
      <c r="BE2167" t="inlineStr">
        <is>
          <t>32285000351469</t>
        </is>
      </c>
      <c r="BF2167" t="inlineStr">
        <is>
          <t>893611978</t>
        </is>
      </c>
    </row>
    <row r="2168">
      <c r="A2168" t="inlineStr">
        <is>
          <t>No</t>
        </is>
      </c>
      <c r="B2168" t="inlineStr">
        <is>
          <t>CURAL</t>
        </is>
      </c>
      <c r="C2168" t="inlineStr">
        <is>
          <t>SHELVES</t>
        </is>
      </c>
      <c r="D2168" t="inlineStr">
        <is>
          <t>PR4837 .S33</t>
        </is>
      </c>
      <c r="E2168" t="inlineStr">
        <is>
          <t>0                      PR 4837000S  33</t>
        </is>
      </c>
      <c r="F2168" t="inlineStr">
        <is>
          <t>Keats reviewed by his contemporaries : a collection of notices for the years 1816-1821 / by Lewis M. Schwartz.</t>
        </is>
      </c>
      <c r="H2168" t="inlineStr">
        <is>
          <t>No</t>
        </is>
      </c>
      <c r="I2168" t="inlineStr">
        <is>
          <t>1</t>
        </is>
      </c>
      <c r="J2168" t="inlineStr">
        <is>
          <t>No</t>
        </is>
      </c>
      <c r="K2168" t="inlineStr">
        <is>
          <t>No</t>
        </is>
      </c>
      <c r="L2168" t="inlineStr">
        <is>
          <t>0</t>
        </is>
      </c>
      <c r="M2168" t="inlineStr">
        <is>
          <t>Schwartz, Lewis M., compiler.</t>
        </is>
      </c>
      <c r="N2168" t="inlineStr">
        <is>
          <t>Metuchen, N.J. : Scarecrow Press, 1973.</t>
        </is>
      </c>
      <c r="O2168" t="inlineStr">
        <is>
          <t>1973</t>
        </is>
      </c>
      <c r="Q2168" t="inlineStr">
        <is>
          <t>eng</t>
        </is>
      </c>
      <c r="R2168" t="inlineStr">
        <is>
          <t>nju</t>
        </is>
      </c>
      <c r="T2168" t="inlineStr">
        <is>
          <t xml:space="preserve">PR </t>
        </is>
      </c>
      <c r="U2168" t="n">
        <v>7</v>
      </c>
      <c r="V2168" t="n">
        <v>7</v>
      </c>
      <c r="W2168" t="inlineStr">
        <is>
          <t>1999-03-24</t>
        </is>
      </c>
      <c r="X2168" t="inlineStr">
        <is>
          <t>1999-03-24</t>
        </is>
      </c>
      <c r="Y2168" t="inlineStr">
        <is>
          <t>1990-02-22</t>
        </is>
      </c>
      <c r="Z2168" t="inlineStr">
        <is>
          <t>1990-02-22</t>
        </is>
      </c>
      <c r="AA2168" t="n">
        <v>546</v>
      </c>
      <c r="AB2168" t="n">
        <v>458</v>
      </c>
      <c r="AC2168" t="n">
        <v>465</v>
      </c>
      <c r="AD2168" t="n">
        <v>4</v>
      </c>
      <c r="AE2168" t="n">
        <v>4</v>
      </c>
      <c r="AF2168" t="n">
        <v>26</v>
      </c>
      <c r="AG2168" t="n">
        <v>26</v>
      </c>
      <c r="AH2168" t="n">
        <v>10</v>
      </c>
      <c r="AI2168" t="n">
        <v>10</v>
      </c>
      <c r="AJ2168" t="n">
        <v>5</v>
      </c>
      <c r="AK2168" t="n">
        <v>5</v>
      </c>
      <c r="AL2168" t="n">
        <v>14</v>
      </c>
      <c r="AM2168" t="n">
        <v>14</v>
      </c>
      <c r="AN2168" t="n">
        <v>3</v>
      </c>
      <c r="AO2168" t="n">
        <v>3</v>
      </c>
      <c r="AP2168" t="n">
        <v>0</v>
      </c>
      <c r="AQ2168" t="n">
        <v>0</v>
      </c>
      <c r="AR2168" t="inlineStr">
        <is>
          <t>No</t>
        </is>
      </c>
      <c r="AS2168" t="inlineStr">
        <is>
          <t>Yes</t>
        </is>
      </c>
      <c r="AT2168">
        <f>HYPERLINK("http://catalog.hathitrust.org/Record/000484487","HathiTrust Record")</f>
        <v/>
      </c>
      <c r="AU2168">
        <f>HYPERLINK("https://creighton-primo.hosted.exlibrisgroup.com/primo-explore/search?tab=default_tab&amp;search_scope=EVERYTHING&amp;vid=01CRU&amp;lang=en_US&amp;offset=0&amp;query=any,contains,991002909059702656","Catalog Record")</f>
        <v/>
      </c>
      <c r="AV2168">
        <f>HYPERLINK("http://www.worldcat.org/oclc/520819","WorldCat Record")</f>
        <v/>
      </c>
      <c r="AW2168" t="inlineStr">
        <is>
          <t>198395774:eng</t>
        </is>
      </c>
      <c r="AX2168" t="inlineStr">
        <is>
          <t>520819</t>
        </is>
      </c>
      <c r="AY2168" t="inlineStr">
        <is>
          <t>991002909059702656</t>
        </is>
      </c>
      <c r="AZ2168" t="inlineStr">
        <is>
          <t>991002909059702656</t>
        </is>
      </c>
      <c r="BA2168" t="inlineStr">
        <is>
          <t>2268145420002656</t>
        </is>
      </c>
      <c r="BB2168" t="inlineStr">
        <is>
          <t>BOOK</t>
        </is>
      </c>
      <c r="BD2168" t="inlineStr">
        <is>
          <t>9780810805774</t>
        </is>
      </c>
      <c r="BE2168" t="inlineStr">
        <is>
          <t>32285000060375</t>
        </is>
      </c>
      <c r="BF2168" t="inlineStr">
        <is>
          <t>893498698</t>
        </is>
      </c>
    </row>
    <row r="2169">
      <c r="A2169" t="inlineStr">
        <is>
          <t>No</t>
        </is>
      </c>
      <c r="B2169" t="inlineStr">
        <is>
          <t>CURAL</t>
        </is>
      </c>
      <c r="C2169" t="inlineStr">
        <is>
          <t>SHELVES</t>
        </is>
      </c>
      <c r="D2169" t="inlineStr">
        <is>
          <t>PR4837 .S57</t>
        </is>
      </c>
      <c r="E2169" t="inlineStr">
        <is>
          <t>0                      PR 4837000S  57</t>
        </is>
      </c>
      <c r="F2169" t="inlineStr">
        <is>
          <t>Keats the poet / [by] Stuart M. Sperry.</t>
        </is>
      </c>
      <c r="H2169" t="inlineStr">
        <is>
          <t>No</t>
        </is>
      </c>
      <c r="I2169" t="inlineStr">
        <is>
          <t>1</t>
        </is>
      </c>
      <c r="J2169" t="inlineStr">
        <is>
          <t>No</t>
        </is>
      </c>
      <c r="K2169" t="inlineStr">
        <is>
          <t>No</t>
        </is>
      </c>
      <c r="L2169" t="inlineStr">
        <is>
          <t>0</t>
        </is>
      </c>
      <c r="M2169" t="inlineStr">
        <is>
          <t>Sperry, Stuart M.</t>
        </is>
      </c>
      <c r="N2169" t="inlineStr">
        <is>
          <t>[Princeton, N.J.] : Princeton University Press, [1973]</t>
        </is>
      </c>
      <c r="O2169" t="inlineStr">
        <is>
          <t>1973</t>
        </is>
      </c>
      <c r="Q2169" t="inlineStr">
        <is>
          <t>eng</t>
        </is>
      </c>
      <c r="R2169" t="inlineStr">
        <is>
          <t>nju</t>
        </is>
      </c>
      <c r="T2169" t="inlineStr">
        <is>
          <t xml:space="preserve">PR </t>
        </is>
      </c>
      <c r="U2169" t="n">
        <v>3</v>
      </c>
      <c r="V2169" t="n">
        <v>3</v>
      </c>
      <c r="W2169" t="inlineStr">
        <is>
          <t>2003-04-16</t>
        </is>
      </c>
      <c r="X2169" t="inlineStr">
        <is>
          <t>2003-04-16</t>
        </is>
      </c>
      <c r="Y2169" t="inlineStr">
        <is>
          <t>1991-10-28</t>
        </is>
      </c>
      <c r="Z2169" t="inlineStr">
        <is>
          <t>1991-10-28</t>
        </is>
      </c>
      <c r="AA2169" t="n">
        <v>1043</v>
      </c>
      <c r="AB2169" t="n">
        <v>894</v>
      </c>
      <c r="AC2169" t="n">
        <v>1092</v>
      </c>
      <c r="AD2169" t="n">
        <v>11</v>
      </c>
      <c r="AE2169" t="n">
        <v>11</v>
      </c>
      <c r="AF2169" t="n">
        <v>48</v>
      </c>
      <c r="AG2169" t="n">
        <v>51</v>
      </c>
      <c r="AH2169" t="n">
        <v>20</v>
      </c>
      <c r="AI2169" t="n">
        <v>22</v>
      </c>
      <c r="AJ2169" t="n">
        <v>8</v>
      </c>
      <c r="AK2169" t="n">
        <v>9</v>
      </c>
      <c r="AL2169" t="n">
        <v>21</v>
      </c>
      <c r="AM2169" t="n">
        <v>24</v>
      </c>
      <c r="AN2169" t="n">
        <v>9</v>
      </c>
      <c r="AO2169" t="n">
        <v>9</v>
      </c>
      <c r="AP2169" t="n">
        <v>0</v>
      </c>
      <c r="AQ2169" t="n">
        <v>0</v>
      </c>
      <c r="AR2169" t="inlineStr">
        <is>
          <t>No</t>
        </is>
      </c>
      <c r="AS2169" t="inlineStr">
        <is>
          <t>No</t>
        </is>
      </c>
      <c r="AU2169">
        <f>HYPERLINK("https://creighton-primo.hosted.exlibrisgroup.com/primo-explore/search?tab=default_tab&amp;search_scope=EVERYTHING&amp;vid=01CRU&amp;lang=en_US&amp;offset=0&amp;query=any,contains,991003122589702656","Catalog Record")</f>
        <v/>
      </c>
      <c r="AV2169">
        <f>HYPERLINK("http://www.worldcat.org/oclc/668052","WorldCat Record")</f>
        <v/>
      </c>
      <c r="AW2169" t="inlineStr">
        <is>
          <t>890685:eng</t>
        </is>
      </c>
      <c r="AX2169" t="inlineStr">
        <is>
          <t>668052</t>
        </is>
      </c>
      <c r="AY2169" t="inlineStr">
        <is>
          <t>991003122589702656</t>
        </is>
      </c>
      <c r="AZ2169" t="inlineStr">
        <is>
          <t>991003122589702656</t>
        </is>
      </c>
      <c r="BA2169" t="inlineStr">
        <is>
          <t>2255285740002656</t>
        </is>
      </c>
      <c r="BB2169" t="inlineStr">
        <is>
          <t>BOOK</t>
        </is>
      </c>
      <c r="BD2169" t="inlineStr">
        <is>
          <t>9780691062204</t>
        </is>
      </c>
      <c r="BE2169" t="inlineStr">
        <is>
          <t>32285000779339</t>
        </is>
      </c>
      <c r="BF2169" t="inlineStr">
        <is>
          <t>893887153</t>
        </is>
      </c>
    </row>
    <row r="2170">
      <c r="A2170" t="inlineStr">
        <is>
          <t>No</t>
        </is>
      </c>
      <c r="B2170" t="inlineStr">
        <is>
          <t>CURAL</t>
        </is>
      </c>
      <c r="C2170" t="inlineStr">
        <is>
          <t>SHELVES</t>
        </is>
      </c>
      <c r="D2170" t="inlineStr">
        <is>
          <t>PR4837 .S83</t>
        </is>
      </c>
      <c r="E2170" t="inlineStr">
        <is>
          <t>0                      PR 4837000S  83</t>
        </is>
      </c>
      <c r="F2170" t="inlineStr">
        <is>
          <t>The still image in Keats's poetry / by S.R. Swaminathan.</t>
        </is>
      </c>
      <c r="H2170" t="inlineStr">
        <is>
          <t>No</t>
        </is>
      </c>
      <c r="I2170" t="inlineStr">
        <is>
          <t>1</t>
        </is>
      </c>
      <c r="J2170" t="inlineStr">
        <is>
          <t>No</t>
        </is>
      </c>
      <c r="K2170" t="inlineStr">
        <is>
          <t>No</t>
        </is>
      </c>
      <c r="L2170" t="inlineStr">
        <is>
          <t>0</t>
        </is>
      </c>
      <c r="M2170" t="inlineStr">
        <is>
          <t>Swaminathan, S. R.</t>
        </is>
      </c>
      <c r="N2170" t="inlineStr">
        <is>
          <t>Salzburg : Institut für Anglistik und Amerikanistik, Universität Salzburg, 1981.</t>
        </is>
      </c>
      <c r="O2170" t="inlineStr">
        <is>
          <t>1981</t>
        </is>
      </c>
      <c r="Q2170" t="inlineStr">
        <is>
          <t>eng</t>
        </is>
      </c>
      <c r="R2170" t="inlineStr">
        <is>
          <t xml:space="preserve">au </t>
        </is>
      </c>
      <c r="S2170" t="inlineStr">
        <is>
          <t>Romantic reassessmant ; 98</t>
        </is>
      </c>
      <c r="T2170" t="inlineStr">
        <is>
          <t xml:space="preserve">PR </t>
        </is>
      </c>
      <c r="U2170" t="n">
        <v>5</v>
      </c>
      <c r="V2170" t="n">
        <v>5</v>
      </c>
      <c r="W2170" t="inlineStr">
        <is>
          <t>1996-02-20</t>
        </is>
      </c>
      <c r="X2170" t="inlineStr">
        <is>
          <t>1996-02-20</t>
        </is>
      </c>
      <c r="Y2170" t="inlineStr">
        <is>
          <t>1990-02-12</t>
        </is>
      </c>
      <c r="Z2170" t="inlineStr">
        <is>
          <t>1990-02-12</t>
        </is>
      </c>
      <c r="AA2170" t="n">
        <v>145</v>
      </c>
      <c r="AB2170" t="n">
        <v>99</v>
      </c>
      <c r="AC2170" t="n">
        <v>99</v>
      </c>
      <c r="AD2170" t="n">
        <v>2</v>
      </c>
      <c r="AE2170" t="n">
        <v>2</v>
      </c>
      <c r="AF2170" t="n">
        <v>5</v>
      </c>
      <c r="AG2170" t="n">
        <v>5</v>
      </c>
      <c r="AH2170" t="n">
        <v>1</v>
      </c>
      <c r="AI2170" t="n">
        <v>1</v>
      </c>
      <c r="AJ2170" t="n">
        <v>1</v>
      </c>
      <c r="AK2170" t="n">
        <v>1</v>
      </c>
      <c r="AL2170" t="n">
        <v>4</v>
      </c>
      <c r="AM2170" t="n">
        <v>4</v>
      </c>
      <c r="AN2170" t="n">
        <v>1</v>
      </c>
      <c r="AO2170" t="n">
        <v>1</v>
      </c>
      <c r="AP2170" t="n">
        <v>0</v>
      </c>
      <c r="AQ2170" t="n">
        <v>0</v>
      </c>
      <c r="AR2170" t="inlineStr">
        <is>
          <t>No</t>
        </is>
      </c>
      <c r="AS2170" t="inlineStr">
        <is>
          <t>No</t>
        </is>
      </c>
      <c r="AU2170">
        <f>HYPERLINK("https://creighton-primo.hosted.exlibrisgroup.com/primo-explore/search?tab=default_tab&amp;search_scope=EVERYTHING&amp;vid=01CRU&amp;lang=en_US&amp;offset=0&amp;query=any,contains,991005195969702656","Catalog Record")</f>
        <v/>
      </c>
      <c r="AV2170">
        <f>HYPERLINK("http://www.worldcat.org/oclc/8038941","WorldCat Record")</f>
        <v/>
      </c>
      <c r="AW2170" t="inlineStr">
        <is>
          <t>20979052:eng</t>
        </is>
      </c>
      <c r="AX2170" t="inlineStr">
        <is>
          <t>8038941</t>
        </is>
      </c>
      <c r="AY2170" t="inlineStr">
        <is>
          <t>991005195969702656</t>
        </is>
      </c>
      <c r="AZ2170" t="inlineStr">
        <is>
          <t>991005195969702656</t>
        </is>
      </c>
      <c r="BA2170" t="inlineStr">
        <is>
          <t>2269728070002656</t>
        </is>
      </c>
      <c r="BB2170" t="inlineStr">
        <is>
          <t>BOOK</t>
        </is>
      </c>
      <c r="BE2170" t="inlineStr">
        <is>
          <t>32285000045939</t>
        </is>
      </c>
      <c r="BF2170" t="inlineStr">
        <is>
          <t>893883488</t>
        </is>
      </c>
    </row>
    <row r="2171">
      <c r="A2171" t="inlineStr">
        <is>
          <t>No</t>
        </is>
      </c>
      <c r="B2171" t="inlineStr">
        <is>
          <t>CURAL</t>
        </is>
      </c>
      <c r="C2171" t="inlineStr">
        <is>
          <t>SHELVES</t>
        </is>
      </c>
      <c r="D2171" t="inlineStr">
        <is>
          <t>PR4837 .T5</t>
        </is>
      </c>
      <c r="E2171" t="inlineStr">
        <is>
          <t>0                      PR 4837000T  5</t>
        </is>
      </c>
      <c r="F2171" t="inlineStr">
        <is>
          <t>The mind of John Keats / by Clarence Dewitt Thorpe.</t>
        </is>
      </c>
      <c r="H2171" t="inlineStr">
        <is>
          <t>No</t>
        </is>
      </c>
      <c r="I2171" t="inlineStr">
        <is>
          <t>1</t>
        </is>
      </c>
      <c r="J2171" t="inlineStr">
        <is>
          <t>No</t>
        </is>
      </c>
      <c r="K2171" t="inlineStr">
        <is>
          <t>No</t>
        </is>
      </c>
      <c r="L2171" t="inlineStr">
        <is>
          <t>0</t>
        </is>
      </c>
      <c r="M2171" t="inlineStr">
        <is>
          <t>Thorpe, Clarence De Witt, 1887-</t>
        </is>
      </c>
      <c r="N2171" t="inlineStr">
        <is>
          <t>New York : Oxford University Press, 1926.</t>
        </is>
      </c>
      <c r="O2171" t="inlineStr">
        <is>
          <t>1926</t>
        </is>
      </c>
      <c r="Q2171" t="inlineStr">
        <is>
          <t>eng</t>
        </is>
      </c>
      <c r="R2171" t="inlineStr">
        <is>
          <t>nyu</t>
        </is>
      </c>
      <c r="T2171" t="inlineStr">
        <is>
          <t xml:space="preserve">PR </t>
        </is>
      </c>
      <c r="U2171" t="n">
        <v>10</v>
      </c>
      <c r="V2171" t="n">
        <v>10</v>
      </c>
      <c r="W2171" t="inlineStr">
        <is>
          <t>1997-10-01</t>
        </is>
      </c>
      <c r="X2171" t="inlineStr">
        <is>
          <t>1997-10-01</t>
        </is>
      </c>
      <c r="Y2171" t="inlineStr">
        <is>
          <t>1990-02-22</t>
        </is>
      </c>
      <c r="Z2171" t="inlineStr">
        <is>
          <t>1990-02-22</t>
        </is>
      </c>
      <c r="AA2171" t="n">
        <v>328</v>
      </c>
      <c r="AB2171" t="n">
        <v>290</v>
      </c>
      <c r="AC2171" t="n">
        <v>940</v>
      </c>
      <c r="AD2171" t="n">
        <v>4</v>
      </c>
      <c r="AE2171" t="n">
        <v>8</v>
      </c>
      <c r="AF2171" t="n">
        <v>14</v>
      </c>
      <c r="AG2171" t="n">
        <v>42</v>
      </c>
      <c r="AH2171" t="n">
        <v>8</v>
      </c>
      <c r="AI2171" t="n">
        <v>19</v>
      </c>
      <c r="AJ2171" t="n">
        <v>2</v>
      </c>
      <c r="AK2171" t="n">
        <v>6</v>
      </c>
      <c r="AL2171" t="n">
        <v>8</v>
      </c>
      <c r="AM2171" t="n">
        <v>21</v>
      </c>
      <c r="AN2171" t="n">
        <v>2</v>
      </c>
      <c r="AO2171" t="n">
        <v>6</v>
      </c>
      <c r="AP2171" t="n">
        <v>0</v>
      </c>
      <c r="AQ2171" t="n">
        <v>0</v>
      </c>
      <c r="AR2171" t="inlineStr">
        <is>
          <t>Yes</t>
        </is>
      </c>
      <c r="AS2171" t="inlineStr">
        <is>
          <t>No</t>
        </is>
      </c>
      <c r="AT2171">
        <f>HYPERLINK("http://catalog.hathitrust.org/Record/000589160","HathiTrust Record")</f>
        <v/>
      </c>
      <c r="AU2171">
        <f>HYPERLINK("https://creighton-primo.hosted.exlibrisgroup.com/primo-explore/search?tab=default_tab&amp;search_scope=EVERYTHING&amp;vid=01CRU&amp;lang=en_US&amp;offset=0&amp;query=any,contains,991002485779702656","Catalog Record")</f>
        <v/>
      </c>
      <c r="AV2171">
        <f>HYPERLINK("http://www.worldcat.org/oclc/360871","WorldCat Record")</f>
        <v/>
      </c>
      <c r="AW2171" t="inlineStr">
        <is>
          <t>1412809:eng</t>
        </is>
      </c>
      <c r="AX2171" t="inlineStr">
        <is>
          <t>360871</t>
        </is>
      </c>
      <c r="AY2171" t="inlineStr">
        <is>
          <t>991002485779702656</t>
        </is>
      </c>
      <c r="AZ2171" t="inlineStr">
        <is>
          <t>991002485779702656</t>
        </is>
      </c>
      <c r="BA2171" t="inlineStr">
        <is>
          <t>2263775040002656</t>
        </is>
      </c>
      <c r="BB2171" t="inlineStr">
        <is>
          <t>BOOK</t>
        </is>
      </c>
      <c r="BE2171" t="inlineStr">
        <is>
          <t>32285000060383</t>
        </is>
      </c>
      <c r="BF2171" t="inlineStr">
        <is>
          <t>893710350</t>
        </is>
      </c>
    </row>
    <row r="2172">
      <c r="A2172" t="inlineStr">
        <is>
          <t>No</t>
        </is>
      </c>
      <c r="B2172" t="inlineStr">
        <is>
          <t>CURAL</t>
        </is>
      </c>
      <c r="C2172" t="inlineStr">
        <is>
          <t>SHELVES</t>
        </is>
      </c>
      <c r="D2172" t="inlineStr">
        <is>
          <t>PR4837 .W45 1987</t>
        </is>
      </c>
      <c r="E2172" t="inlineStr">
        <is>
          <t>0                      PR 4837000W  45          1987</t>
        </is>
      </c>
      <c r="F2172" t="inlineStr">
        <is>
          <t>Keats as a reader of Shakespeare / R.S. White.</t>
        </is>
      </c>
      <c r="H2172" t="inlineStr">
        <is>
          <t>No</t>
        </is>
      </c>
      <c r="I2172" t="inlineStr">
        <is>
          <t>1</t>
        </is>
      </c>
      <c r="J2172" t="inlineStr">
        <is>
          <t>No</t>
        </is>
      </c>
      <c r="K2172" t="inlineStr">
        <is>
          <t>No</t>
        </is>
      </c>
      <c r="L2172" t="inlineStr">
        <is>
          <t>0</t>
        </is>
      </c>
      <c r="M2172" t="inlineStr">
        <is>
          <t>White, R. S., 1948-</t>
        </is>
      </c>
      <c r="N2172" t="inlineStr">
        <is>
          <t>London : Athlone, 1987.</t>
        </is>
      </c>
      <c r="O2172" t="inlineStr">
        <is>
          <t>1986</t>
        </is>
      </c>
      <c r="Q2172" t="inlineStr">
        <is>
          <t>eng</t>
        </is>
      </c>
      <c r="R2172" t="inlineStr">
        <is>
          <t>enk</t>
        </is>
      </c>
      <c r="T2172" t="inlineStr">
        <is>
          <t xml:space="preserve">PR </t>
        </is>
      </c>
      <c r="U2172" t="n">
        <v>2</v>
      </c>
      <c r="V2172" t="n">
        <v>2</v>
      </c>
      <c r="W2172" t="inlineStr">
        <is>
          <t>1995-01-15</t>
        </is>
      </c>
      <c r="X2172" t="inlineStr">
        <is>
          <t>1995-01-15</t>
        </is>
      </c>
      <c r="Y2172" t="inlineStr">
        <is>
          <t>1991-11-12</t>
        </is>
      </c>
      <c r="Z2172" t="inlineStr">
        <is>
          <t>1991-11-12</t>
        </is>
      </c>
      <c r="AA2172" t="n">
        <v>194</v>
      </c>
      <c r="AB2172" t="n">
        <v>89</v>
      </c>
      <c r="AC2172" t="n">
        <v>628</v>
      </c>
      <c r="AD2172" t="n">
        <v>2</v>
      </c>
      <c r="AE2172" t="n">
        <v>5</v>
      </c>
      <c r="AF2172" t="n">
        <v>3</v>
      </c>
      <c r="AG2172" t="n">
        <v>26</v>
      </c>
      <c r="AH2172" t="n">
        <v>1</v>
      </c>
      <c r="AI2172" t="n">
        <v>10</v>
      </c>
      <c r="AJ2172" t="n">
        <v>0</v>
      </c>
      <c r="AK2172" t="n">
        <v>6</v>
      </c>
      <c r="AL2172" t="n">
        <v>2</v>
      </c>
      <c r="AM2172" t="n">
        <v>15</v>
      </c>
      <c r="AN2172" t="n">
        <v>1</v>
      </c>
      <c r="AO2172" t="n">
        <v>4</v>
      </c>
      <c r="AP2172" t="n">
        <v>0</v>
      </c>
      <c r="AQ2172" t="n">
        <v>0</v>
      </c>
      <c r="AR2172" t="inlineStr">
        <is>
          <t>No</t>
        </is>
      </c>
      <c r="AS2172" t="inlineStr">
        <is>
          <t>Yes</t>
        </is>
      </c>
      <c r="AT2172">
        <f>HYPERLINK("http://catalog.hathitrust.org/Record/000837038","HathiTrust Record")</f>
        <v/>
      </c>
      <c r="AU2172">
        <f>HYPERLINK("https://creighton-primo.hosted.exlibrisgroup.com/primo-explore/search?tab=default_tab&amp;search_scope=EVERYTHING&amp;vid=01CRU&amp;lang=en_US&amp;offset=0&amp;query=any,contains,991000828319702656","Catalog Record")</f>
        <v/>
      </c>
      <c r="AV2172">
        <f>HYPERLINK("http://www.worldcat.org/oclc/13425478","WorldCat Record")</f>
        <v/>
      </c>
      <c r="AW2172" t="inlineStr">
        <is>
          <t>7304565:eng</t>
        </is>
      </c>
      <c r="AX2172" t="inlineStr">
        <is>
          <t>13425478</t>
        </is>
      </c>
      <c r="AY2172" t="inlineStr">
        <is>
          <t>991000828319702656</t>
        </is>
      </c>
      <c r="AZ2172" t="inlineStr">
        <is>
          <t>991000828319702656</t>
        </is>
      </c>
      <c r="BA2172" t="inlineStr">
        <is>
          <t>2262480760002656</t>
        </is>
      </c>
      <c r="BB2172" t="inlineStr">
        <is>
          <t>BOOK</t>
        </is>
      </c>
      <c r="BD2172" t="inlineStr">
        <is>
          <t>9780485112986</t>
        </is>
      </c>
      <c r="BE2172" t="inlineStr">
        <is>
          <t>32285000821966</t>
        </is>
      </c>
      <c r="BF2172" t="inlineStr">
        <is>
          <t>893884797</t>
        </is>
      </c>
    </row>
    <row r="2173">
      <c r="A2173" t="inlineStr">
        <is>
          <t>No</t>
        </is>
      </c>
      <c r="B2173" t="inlineStr">
        <is>
          <t>CURAL</t>
        </is>
      </c>
      <c r="C2173" t="inlineStr">
        <is>
          <t>SHELVES</t>
        </is>
      </c>
      <c r="D2173" t="inlineStr">
        <is>
          <t>PR4838.G73 A94 1985</t>
        </is>
      </c>
      <c r="E2173" t="inlineStr">
        <is>
          <t>0                      PR 4838000G  73                 A  94          1985</t>
        </is>
      </c>
      <c r="F2173" t="inlineStr">
        <is>
          <t>Keats and Hellenism : an essay / Martin Aske.</t>
        </is>
      </c>
      <c r="H2173" t="inlineStr">
        <is>
          <t>No</t>
        </is>
      </c>
      <c r="I2173" t="inlineStr">
        <is>
          <t>1</t>
        </is>
      </c>
      <c r="J2173" t="inlineStr">
        <is>
          <t>No</t>
        </is>
      </c>
      <c r="K2173" t="inlineStr">
        <is>
          <t>No</t>
        </is>
      </c>
      <c r="L2173" t="inlineStr">
        <is>
          <t>0</t>
        </is>
      </c>
      <c r="M2173" t="inlineStr">
        <is>
          <t>Aske, Martin.</t>
        </is>
      </c>
      <c r="N2173" t="inlineStr">
        <is>
          <t>Cambridge ; New York : Cambridge University Press, 1985.</t>
        </is>
      </c>
      <c r="O2173" t="inlineStr">
        <is>
          <t>1985</t>
        </is>
      </c>
      <c r="Q2173" t="inlineStr">
        <is>
          <t>eng</t>
        </is>
      </c>
      <c r="R2173" t="inlineStr">
        <is>
          <t>enk</t>
        </is>
      </c>
      <c r="T2173" t="inlineStr">
        <is>
          <t xml:space="preserve">PR </t>
        </is>
      </c>
      <c r="U2173" t="n">
        <v>3</v>
      </c>
      <c r="V2173" t="n">
        <v>3</v>
      </c>
      <c r="W2173" t="inlineStr">
        <is>
          <t>1999-03-18</t>
        </is>
      </c>
      <c r="X2173" t="inlineStr">
        <is>
          <t>1999-03-18</t>
        </is>
      </c>
      <c r="Y2173" t="inlineStr">
        <is>
          <t>1991-11-12</t>
        </is>
      </c>
      <c r="Z2173" t="inlineStr">
        <is>
          <t>1991-11-12</t>
        </is>
      </c>
      <c r="AA2173" t="n">
        <v>430</v>
      </c>
      <c r="AB2173" t="n">
        <v>290</v>
      </c>
      <c r="AC2173" t="n">
        <v>300</v>
      </c>
      <c r="AD2173" t="n">
        <v>3</v>
      </c>
      <c r="AE2173" t="n">
        <v>3</v>
      </c>
      <c r="AF2173" t="n">
        <v>16</v>
      </c>
      <c r="AG2173" t="n">
        <v>16</v>
      </c>
      <c r="AH2173" t="n">
        <v>4</v>
      </c>
      <c r="AI2173" t="n">
        <v>4</v>
      </c>
      <c r="AJ2173" t="n">
        <v>3</v>
      </c>
      <c r="AK2173" t="n">
        <v>3</v>
      </c>
      <c r="AL2173" t="n">
        <v>11</v>
      </c>
      <c r="AM2173" t="n">
        <v>11</v>
      </c>
      <c r="AN2173" t="n">
        <v>2</v>
      </c>
      <c r="AO2173" t="n">
        <v>2</v>
      </c>
      <c r="AP2173" t="n">
        <v>0</v>
      </c>
      <c r="AQ2173" t="n">
        <v>0</v>
      </c>
      <c r="AR2173" t="inlineStr">
        <is>
          <t>No</t>
        </is>
      </c>
      <c r="AS2173" t="inlineStr">
        <is>
          <t>No</t>
        </is>
      </c>
      <c r="AU2173">
        <f>HYPERLINK("https://creighton-primo.hosted.exlibrisgroup.com/primo-explore/search?tab=default_tab&amp;search_scope=EVERYTHING&amp;vid=01CRU&amp;lang=en_US&amp;offset=0&amp;query=any,contains,991000588369702656","Catalog Record")</f>
        <v/>
      </c>
      <c r="AV2173">
        <f>HYPERLINK("http://www.worldcat.org/oclc/11783072","WorldCat Record")</f>
        <v/>
      </c>
      <c r="AW2173" t="inlineStr">
        <is>
          <t>807035596:eng</t>
        </is>
      </c>
      <c r="AX2173" t="inlineStr">
        <is>
          <t>11783072</t>
        </is>
      </c>
      <c r="AY2173" t="inlineStr">
        <is>
          <t>991000588369702656</t>
        </is>
      </c>
      <c r="AZ2173" t="inlineStr">
        <is>
          <t>991000588369702656</t>
        </is>
      </c>
      <c r="BA2173" t="inlineStr">
        <is>
          <t>2255185480002656</t>
        </is>
      </c>
      <c r="BB2173" t="inlineStr">
        <is>
          <t>BOOK</t>
        </is>
      </c>
      <c r="BD2173" t="inlineStr">
        <is>
          <t>9780521305617</t>
        </is>
      </c>
      <c r="BE2173" t="inlineStr">
        <is>
          <t>32285000821974</t>
        </is>
      </c>
      <c r="BF2173" t="inlineStr">
        <is>
          <t>893903074</t>
        </is>
      </c>
    </row>
    <row r="2174">
      <c r="A2174" t="inlineStr">
        <is>
          <t>No</t>
        </is>
      </c>
      <c r="B2174" t="inlineStr">
        <is>
          <t>CURAL</t>
        </is>
      </c>
      <c r="C2174" t="inlineStr">
        <is>
          <t>SHELVES</t>
        </is>
      </c>
      <c r="D2174" t="inlineStr">
        <is>
          <t>PR4838.H5 K4 1995</t>
        </is>
      </c>
      <c r="E2174" t="inlineStr">
        <is>
          <t>0                      PR 4838000H  5                  K  4           1995</t>
        </is>
      </c>
      <c r="F2174" t="inlineStr">
        <is>
          <t>Keats and history / edited by Nicholas Roe.</t>
        </is>
      </c>
      <c r="H2174" t="inlineStr">
        <is>
          <t>No</t>
        </is>
      </c>
      <c r="I2174" t="inlineStr">
        <is>
          <t>1</t>
        </is>
      </c>
      <c r="J2174" t="inlineStr">
        <is>
          <t>No</t>
        </is>
      </c>
      <c r="K2174" t="inlineStr">
        <is>
          <t>No</t>
        </is>
      </c>
      <c r="L2174" t="inlineStr">
        <is>
          <t>0</t>
        </is>
      </c>
      <c r="N2174" t="inlineStr">
        <is>
          <t>Cambridge [England] ; New York, NY, USA : Cambridge University Press, 1995.</t>
        </is>
      </c>
      <c r="O2174" t="inlineStr">
        <is>
          <t>1995</t>
        </is>
      </c>
      <c r="Q2174" t="inlineStr">
        <is>
          <t>eng</t>
        </is>
      </c>
      <c r="R2174" t="inlineStr">
        <is>
          <t>enk</t>
        </is>
      </c>
      <c r="T2174" t="inlineStr">
        <is>
          <t xml:space="preserve">PR </t>
        </is>
      </c>
      <c r="U2174" t="n">
        <v>6</v>
      </c>
      <c r="V2174" t="n">
        <v>6</v>
      </c>
      <c r="W2174" t="inlineStr">
        <is>
          <t>2003-04-29</t>
        </is>
      </c>
      <c r="X2174" t="inlineStr">
        <is>
          <t>2003-04-29</t>
        </is>
      </c>
      <c r="Y2174" t="inlineStr">
        <is>
          <t>1996-04-24</t>
        </is>
      </c>
      <c r="Z2174" t="inlineStr">
        <is>
          <t>1996-04-24</t>
        </is>
      </c>
      <c r="AA2174" t="n">
        <v>579</v>
      </c>
      <c r="AB2174" t="n">
        <v>417</v>
      </c>
      <c r="AC2174" t="n">
        <v>423</v>
      </c>
      <c r="AD2174" t="n">
        <v>4</v>
      </c>
      <c r="AE2174" t="n">
        <v>4</v>
      </c>
      <c r="AF2174" t="n">
        <v>29</v>
      </c>
      <c r="AG2174" t="n">
        <v>29</v>
      </c>
      <c r="AH2174" t="n">
        <v>10</v>
      </c>
      <c r="AI2174" t="n">
        <v>10</v>
      </c>
      <c r="AJ2174" t="n">
        <v>9</v>
      </c>
      <c r="AK2174" t="n">
        <v>9</v>
      </c>
      <c r="AL2174" t="n">
        <v>15</v>
      </c>
      <c r="AM2174" t="n">
        <v>15</v>
      </c>
      <c r="AN2174" t="n">
        <v>3</v>
      </c>
      <c r="AO2174" t="n">
        <v>3</v>
      </c>
      <c r="AP2174" t="n">
        <v>0</v>
      </c>
      <c r="AQ2174" t="n">
        <v>0</v>
      </c>
      <c r="AR2174" t="inlineStr">
        <is>
          <t>No</t>
        </is>
      </c>
      <c r="AS2174" t="inlineStr">
        <is>
          <t>No</t>
        </is>
      </c>
      <c r="AU2174">
        <f>HYPERLINK("https://creighton-primo.hosted.exlibrisgroup.com/primo-explore/search?tab=default_tab&amp;search_scope=EVERYTHING&amp;vid=01CRU&amp;lang=en_US&amp;offset=0&amp;query=any,contains,991002330289702656","Catalog Record")</f>
        <v/>
      </c>
      <c r="AV2174">
        <f>HYPERLINK("http://www.worldcat.org/oclc/30320049","WorldCat Record")</f>
        <v/>
      </c>
      <c r="AW2174" t="inlineStr">
        <is>
          <t>32290935:eng</t>
        </is>
      </c>
      <c r="AX2174" t="inlineStr">
        <is>
          <t>30320049</t>
        </is>
      </c>
      <c r="AY2174" t="inlineStr">
        <is>
          <t>991002330289702656</t>
        </is>
      </c>
      <c r="AZ2174" t="inlineStr">
        <is>
          <t>991002330289702656</t>
        </is>
      </c>
      <c r="BA2174" t="inlineStr">
        <is>
          <t>2270578990002656</t>
        </is>
      </c>
      <c r="BB2174" t="inlineStr">
        <is>
          <t>BOOK</t>
        </is>
      </c>
      <c r="BD2174" t="inlineStr">
        <is>
          <t>9780521442459</t>
        </is>
      </c>
      <c r="BE2174" t="inlineStr">
        <is>
          <t>32285002157005</t>
        </is>
      </c>
      <c r="BF2174" t="inlineStr">
        <is>
          <t>893892421</t>
        </is>
      </c>
    </row>
    <row r="2175">
      <c r="A2175" t="inlineStr">
        <is>
          <t>No</t>
        </is>
      </c>
      <c r="B2175" t="inlineStr">
        <is>
          <t>CURAL</t>
        </is>
      </c>
      <c r="C2175" t="inlineStr">
        <is>
          <t>SHELVES</t>
        </is>
      </c>
      <c r="D2175" t="inlineStr">
        <is>
          <t>PR4838.M47 G7</t>
        </is>
      </c>
      <c r="E2175" t="inlineStr">
        <is>
          <t>0                      PR 4838000M  47                 G  7</t>
        </is>
      </c>
      <c r="F2175" t="inlineStr">
        <is>
          <t>Metamorphosis in Keats / Bary Gradman.</t>
        </is>
      </c>
      <c r="H2175" t="inlineStr">
        <is>
          <t>No</t>
        </is>
      </c>
      <c r="I2175" t="inlineStr">
        <is>
          <t>1</t>
        </is>
      </c>
      <c r="J2175" t="inlineStr">
        <is>
          <t>No</t>
        </is>
      </c>
      <c r="K2175" t="inlineStr">
        <is>
          <t>No</t>
        </is>
      </c>
      <c r="L2175" t="inlineStr">
        <is>
          <t>0</t>
        </is>
      </c>
      <c r="M2175" t="inlineStr">
        <is>
          <t>Gradman, Barry, 1944-</t>
        </is>
      </c>
      <c r="N2175" t="inlineStr">
        <is>
          <t>New York : New York University Press, c1980.</t>
        </is>
      </c>
      <c r="O2175" t="inlineStr">
        <is>
          <t>1980</t>
        </is>
      </c>
      <c r="Q2175" t="inlineStr">
        <is>
          <t>eng</t>
        </is>
      </c>
      <c r="R2175" t="inlineStr">
        <is>
          <t>nyu</t>
        </is>
      </c>
      <c r="S2175" t="inlineStr">
        <is>
          <t>Gotham library of the New York University Press</t>
        </is>
      </c>
      <c r="T2175" t="inlineStr">
        <is>
          <t xml:space="preserve">PR </t>
        </is>
      </c>
      <c r="U2175" t="n">
        <v>3</v>
      </c>
      <c r="V2175" t="n">
        <v>3</v>
      </c>
      <c r="W2175" t="inlineStr">
        <is>
          <t>1995-02-24</t>
        </is>
      </c>
      <c r="X2175" t="inlineStr">
        <is>
          <t>1995-02-24</t>
        </is>
      </c>
      <c r="Y2175" t="inlineStr">
        <is>
          <t>1992-06-10</t>
        </is>
      </c>
      <c r="Z2175" t="inlineStr">
        <is>
          <t>1992-06-10</t>
        </is>
      </c>
      <c r="AA2175" t="n">
        <v>677</v>
      </c>
      <c r="AB2175" t="n">
        <v>588</v>
      </c>
      <c r="AC2175" t="n">
        <v>589</v>
      </c>
      <c r="AD2175" t="n">
        <v>6</v>
      </c>
      <c r="AE2175" t="n">
        <v>6</v>
      </c>
      <c r="AF2175" t="n">
        <v>32</v>
      </c>
      <c r="AG2175" t="n">
        <v>32</v>
      </c>
      <c r="AH2175" t="n">
        <v>13</v>
      </c>
      <c r="AI2175" t="n">
        <v>13</v>
      </c>
      <c r="AJ2175" t="n">
        <v>6</v>
      </c>
      <c r="AK2175" t="n">
        <v>6</v>
      </c>
      <c r="AL2175" t="n">
        <v>16</v>
      </c>
      <c r="AM2175" t="n">
        <v>16</v>
      </c>
      <c r="AN2175" t="n">
        <v>5</v>
      </c>
      <c r="AO2175" t="n">
        <v>5</v>
      </c>
      <c r="AP2175" t="n">
        <v>0</v>
      </c>
      <c r="AQ2175" t="n">
        <v>0</v>
      </c>
      <c r="AR2175" t="inlineStr">
        <is>
          <t>No</t>
        </is>
      </c>
      <c r="AS2175" t="inlineStr">
        <is>
          <t>No</t>
        </is>
      </c>
      <c r="AU2175">
        <f>HYPERLINK("https://creighton-primo.hosted.exlibrisgroup.com/primo-explore/search?tab=default_tab&amp;search_scope=EVERYTHING&amp;vid=01CRU&amp;lang=en_US&amp;offset=0&amp;query=any,contains,991004928399702656","Catalog Record")</f>
        <v/>
      </c>
      <c r="AV2175">
        <f>HYPERLINK("http://www.worldcat.org/oclc/6087835","WorldCat Record")</f>
        <v/>
      </c>
      <c r="AW2175" t="inlineStr">
        <is>
          <t>3432099:eng</t>
        </is>
      </c>
      <c r="AX2175" t="inlineStr">
        <is>
          <t>6087835</t>
        </is>
      </c>
      <c r="AY2175" t="inlineStr">
        <is>
          <t>991004928399702656</t>
        </is>
      </c>
      <c r="AZ2175" t="inlineStr">
        <is>
          <t>991004928399702656</t>
        </is>
      </c>
      <c r="BA2175" t="inlineStr">
        <is>
          <t>2259532270002656</t>
        </is>
      </c>
      <c r="BB2175" t="inlineStr">
        <is>
          <t>BOOK</t>
        </is>
      </c>
      <c r="BD2175" t="inlineStr">
        <is>
          <t>9780814729779</t>
        </is>
      </c>
      <c r="BE2175" t="inlineStr">
        <is>
          <t>32285001076008</t>
        </is>
      </c>
      <c r="BF2175" t="inlineStr">
        <is>
          <t>893325947</t>
        </is>
      </c>
    </row>
    <row r="2176">
      <c r="A2176" t="inlineStr">
        <is>
          <t>No</t>
        </is>
      </c>
      <c r="B2176" t="inlineStr">
        <is>
          <t>CURAL</t>
        </is>
      </c>
      <c r="C2176" t="inlineStr">
        <is>
          <t>SHELVES</t>
        </is>
      </c>
      <c r="D2176" t="inlineStr">
        <is>
          <t>PR4838.R4 S5</t>
        </is>
      </c>
      <c r="E2176" t="inlineStr">
        <is>
          <t>0                      PR 4838000R  4                  S  5</t>
        </is>
      </c>
      <c r="F2176" t="inlineStr">
        <is>
          <t>Keats, skepticism, and the religion of beauty / Ronald A. Sharp.</t>
        </is>
      </c>
      <c r="H2176" t="inlineStr">
        <is>
          <t>No</t>
        </is>
      </c>
      <c r="I2176" t="inlineStr">
        <is>
          <t>1</t>
        </is>
      </c>
      <c r="J2176" t="inlineStr">
        <is>
          <t>No</t>
        </is>
      </c>
      <c r="K2176" t="inlineStr">
        <is>
          <t>No</t>
        </is>
      </c>
      <c r="L2176" t="inlineStr">
        <is>
          <t>0</t>
        </is>
      </c>
      <c r="M2176" t="inlineStr">
        <is>
          <t>Sharp, Ronald A.</t>
        </is>
      </c>
      <c r="N2176" t="inlineStr">
        <is>
          <t>Athens : University of Georgia Press, c1979.</t>
        </is>
      </c>
      <c r="O2176" t="inlineStr">
        <is>
          <t>1979</t>
        </is>
      </c>
      <c r="Q2176" t="inlineStr">
        <is>
          <t>eng</t>
        </is>
      </c>
      <c r="R2176" t="inlineStr">
        <is>
          <t>gau</t>
        </is>
      </c>
      <c r="T2176" t="inlineStr">
        <is>
          <t xml:space="preserve">PR </t>
        </is>
      </c>
      <c r="U2176" t="n">
        <v>5</v>
      </c>
      <c r="V2176" t="n">
        <v>5</v>
      </c>
      <c r="W2176" t="inlineStr">
        <is>
          <t>2003-04-16</t>
        </is>
      </c>
      <c r="X2176" t="inlineStr">
        <is>
          <t>2003-04-16</t>
        </is>
      </c>
      <c r="Y2176" t="inlineStr">
        <is>
          <t>1991-11-12</t>
        </is>
      </c>
      <c r="Z2176" t="inlineStr">
        <is>
          <t>1991-11-12</t>
        </is>
      </c>
      <c r="AA2176" t="n">
        <v>710</v>
      </c>
      <c r="AB2176" t="n">
        <v>603</v>
      </c>
      <c r="AC2176" t="n">
        <v>608</v>
      </c>
      <c r="AD2176" t="n">
        <v>5</v>
      </c>
      <c r="AE2176" t="n">
        <v>5</v>
      </c>
      <c r="AF2176" t="n">
        <v>30</v>
      </c>
      <c r="AG2176" t="n">
        <v>30</v>
      </c>
      <c r="AH2176" t="n">
        <v>14</v>
      </c>
      <c r="AI2176" t="n">
        <v>14</v>
      </c>
      <c r="AJ2176" t="n">
        <v>7</v>
      </c>
      <c r="AK2176" t="n">
        <v>7</v>
      </c>
      <c r="AL2176" t="n">
        <v>16</v>
      </c>
      <c r="AM2176" t="n">
        <v>16</v>
      </c>
      <c r="AN2176" t="n">
        <v>4</v>
      </c>
      <c r="AO2176" t="n">
        <v>4</v>
      </c>
      <c r="AP2176" t="n">
        <v>0</v>
      </c>
      <c r="AQ2176" t="n">
        <v>0</v>
      </c>
      <c r="AR2176" t="inlineStr">
        <is>
          <t>No</t>
        </is>
      </c>
      <c r="AS2176" t="inlineStr">
        <is>
          <t>No</t>
        </is>
      </c>
      <c r="AU2176">
        <f>HYPERLINK("https://creighton-primo.hosted.exlibrisgroup.com/primo-explore/search?tab=default_tab&amp;search_scope=EVERYTHING&amp;vid=01CRU&amp;lang=en_US&amp;offset=0&amp;query=any,contains,991004653699702656","Catalog Record")</f>
        <v/>
      </c>
      <c r="AV2176">
        <f>HYPERLINK("http://www.worldcat.org/oclc/4494692","WorldCat Record")</f>
        <v/>
      </c>
      <c r="AW2176" t="inlineStr">
        <is>
          <t>484803:eng</t>
        </is>
      </c>
      <c r="AX2176" t="inlineStr">
        <is>
          <t>4494692</t>
        </is>
      </c>
      <c r="AY2176" t="inlineStr">
        <is>
          <t>991004653699702656</t>
        </is>
      </c>
      <c r="AZ2176" t="inlineStr">
        <is>
          <t>991004653699702656</t>
        </is>
      </c>
      <c r="BA2176" t="inlineStr">
        <is>
          <t>2265334870002656</t>
        </is>
      </c>
      <c r="BB2176" t="inlineStr">
        <is>
          <t>BOOK</t>
        </is>
      </c>
      <c r="BD2176" t="inlineStr">
        <is>
          <t>9780820304700</t>
        </is>
      </c>
      <c r="BE2176" t="inlineStr">
        <is>
          <t>32285000821990</t>
        </is>
      </c>
      <c r="BF2176" t="inlineStr">
        <is>
          <t>893889011</t>
        </is>
      </c>
    </row>
    <row r="2177">
      <c r="A2177" t="inlineStr">
        <is>
          <t>No</t>
        </is>
      </c>
      <c r="B2177" t="inlineStr">
        <is>
          <t>CURAL</t>
        </is>
      </c>
      <c r="C2177" t="inlineStr">
        <is>
          <t>SHELVES</t>
        </is>
      </c>
      <c r="D2177" t="inlineStr">
        <is>
          <t>PR4838.S6 Z5 1966</t>
        </is>
      </c>
      <c r="E2177" t="inlineStr">
        <is>
          <t>0                      PR 4838000S  6                  Z  5           1966</t>
        </is>
      </c>
      <c r="F2177" t="inlineStr">
        <is>
          <t>John Keats and the sonnet tradition: a critical and comparative study.</t>
        </is>
      </c>
      <c r="H2177" t="inlineStr">
        <is>
          <t>No</t>
        </is>
      </c>
      <c r="I2177" t="inlineStr">
        <is>
          <t>1</t>
        </is>
      </c>
      <c r="J2177" t="inlineStr">
        <is>
          <t>No</t>
        </is>
      </c>
      <c r="K2177" t="inlineStr">
        <is>
          <t>No</t>
        </is>
      </c>
      <c r="L2177" t="inlineStr">
        <is>
          <t>0</t>
        </is>
      </c>
      <c r="M2177" t="inlineStr">
        <is>
          <t>Zillman, Lawrence John, 1902-1990.</t>
        </is>
      </c>
      <c r="N2177" t="inlineStr">
        <is>
          <t>New York, Octagon Books, 1966 [c1939]</t>
        </is>
      </c>
      <c r="O2177" t="inlineStr">
        <is>
          <t>1966</t>
        </is>
      </c>
      <c r="Q2177" t="inlineStr">
        <is>
          <t>eng</t>
        </is>
      </c>
      <c r="R2177" t="inlineStr">
        <is>
          <t>nyu</t>
        </is>
      </c>
      <c r="T2177" t="inlineStr">
        <is>
          <t xml:space="preserve">PR </t>
        </is>
      </c>
      <c r="U2177" t="n">
        <v>1</v>
      </c>
      <c r="V2177" t="n">
        <v>1</v>
      </c>
      <c r="W2177" t="inlineStr">
        <is>
          <t>2003-04-29</t>
        </is>
      </c>
      <c r="X2177" t="inlineStr">
        <is>
          <t>2003-04-29</t>
        </is>
      </c>
      <c r="Y2177" t="inlineStr">
        <is>
          <t>1997-07-15</t>
        </is>
      </c>
      <c r="Z2177" t="inlineStr">
        <is>
          <t>1997-07-15</t>
        </is>
      </c>
      <c r="AA2177" t="n">
        <v>532</v>
      </c>
      <c r="AB2177" t="n">
        <v>476</v>
      </c>
      <c r="AC2177" t="n">
        <v>682</v>
      </c>
      <c r="AD2177" t="n">
        <v>3</v>
      </c>
      <c r="AE2177" t="n">
        <v>4</v>
      </c>
      <c r="AF2177" t="n">
        <v>20</v>
      </c>
      <c r="AG2177" t="n">
        <v>31</v>
      </c>
      <c r="AH2177" t="n">
        <v>6</v>
      </c>
      <c r="AI2177" t="n">
        <v>10</v>
      </c>
      <c r="AJ2177" t="n">
        <v>7</v>
      </c>
      <c r="AK2177" t="n">
        <v>8</v>
      </c>
      <c r="AL2177" t="n">
        <v>13</v>
      </c>
      <c r="AM2177" t="n">
        <v>20</v>
      </c>
      <c r="AN2177" t="n">
        <v>2</v>
      </c>
      <c r="AO2177" t="n">
        <v>3</v>
      </c>
      <c r="AP2177" t="n">
        <v>0</v>
      </c>
      <c r="AQ2177" t="n">
        <v>0</v>
      </c>
      <c r="AR2177" t="inlineStr">
        <is>
          <t>No</t>
        </is>
      </c>
      <c r="AS2177" t="inlineStr">
        <is>
          <t>Yes</t>
        </is>
      </c>
      <c r="AT2177">
        <f>HYPERLINK("http://catalog.hathitrust.org/Record/006663849","HathiTrust Record")</f>
        <v/>
      </c>
      <c r="AU2177">
        <f>HYPERLINK("https://creighton-primo.hosted.exlibrisgroup.com/primo-explore/search?tab=default_tab&amp;search_scope=EVERYTHING&amp;vid=01CRU&amp;lang=en_US&amp;offset=0&amp;query=any,contains,991002485389702656","Catalog Record")</f>
        <v/>
      </c>
      <c r="AV2177">
        <f>HYPERLINK("http://www.worldcat.org/oclc/360838","WorldCat Record")</f>
        <v/>
      </c>
      <c r="AW2177" t="inlineStr">
        <is>
          <t>1412724:eng</t>
        </is>
      </c>
      <c r="AX2177" t="inlineStr">
        <is>
          <t>360838</t>
        </is>
      </c>
      <c r="AY2177" t="inlineStr">
        <is>
          <t>991002485389702656</t>
        </is>
      </c>
      <c r="AZ2177" t="inlineStr">
        <is>
          <t>991002485389702656</t>
        </is>
      </c>
      <c r="BA2177" t="inlineStr">
        <is>
          <t>2263753920002656</t>
        </is>
      </c>
      <c r="BB2177" t="inlineStr">
        <is>
          <t>BOOK</t>
        </is>
      </c>
      <c r="BE2177" t="inlineStr">
        <is>
          <t>32285002924370</t>
        </is>
      </c>
      <c r="BF2177" t="inlineStr">
        <is>
          <t>893445189</t>
        </is>
      </c>
    </row>
    <row r="2178">
      <c r="A2178" t="inlineStr">
        <is>
          <t>No</t>
        </is>
      </c>
      <c r="B2178" t="inlineStr">
        <is>
          <t>CURAL</t>
        </is>
      </c>
      <c r="C2178" t="inlineStr">
        <is>
          <t>SHELVES</t>
        </is>
      </c>
      <c r="D2178" t="inlineStr">
        <is>
          <t>PR4838.T7 F6 1966</t>
        </is>
      </c>
      <c r="E2178" t="inlineStr">
        <is>
          <t>0                      PR 4838000T  7                  F  6           1966</t>
        </is>
      </c>
      <c r="F2178" t="inlineStr">
        <is>
          <t>The prefigurative imagination of John Keats : a study of the beauty-truth identification and its implications.</t>
        </is>
      </c>
      <c r="H2178" t="inlineStr">
        <is>
          <t>No</t>
        </is>
      </c>
      <c r="I2178" t="inlineStr">
        <is>
          <t>1</t>
        </is>
      </c>
      <c r="J2178" t="inlineStr">
        <is>
          <t>No</t>
        </is>
      </c>
      <c r="K2178" t="inlineStr">
        <is>
          <t>No</t>
        </is>
      </c>
      <c r="L2178" t="inlineStr">
        <is>
          <t>0</t>
        </is>
      </c>
      <c r="M2178" t="inlineStr">
        <is>
          <t>Ford, Newell F., 1912-1989.</t>
        </is>
      </c>
      <c r="N2178" t="inlineStr">
        <is>
          <t>Hamden, Conn. : Archon Books, 1966 [c1951]</t>
        </is>
      </c>
      <c r="O2178" t="inlineStr">
        <is>
          <t>1966</t>
        </is>
      </c>
      <c r="Q2178" t="inlineStr">
        <is>
          <t>eng</t>
        </is>
      </c>
      <c r="R2178" t="inlineStr">
        <is>
          <t xml:space="preserve">xx </t>
        </is>
      </c>
      <c r="T2178" t="inlineStr">
        <is>
          <t xml:space="preserve">PR </t>
        </is>
      </c>
      <c r="U2178" t="n">
        <v>4</v>
      </c>
      <c r="V2178" t="n">
        <v>4</v>
      </c>
      <c r="W2178" t="inlineStr">
        <is>
          <t>1995-10-09</t>
        </is>
      </c>
      <c r="X2178" t="inlineStr">
        <is>
          <t>1995-10-09</t>
        </is>
      </c>
      <c r="Y2178" t="inlineStr">
        <is>
          <t>1992-02-21</t>
        </is>
      </c>
      <c r="Z2178" t="inlineStr">
        <is>
          <t>1992-02-21</t>
        </is>
      </c>
      <c r="AA2178" t="n">
        <v>224</v>
      </c>
      <c r="AB2178" t="n">
        <v>181</v>
      </c>
      <c r="AC2178" t="n">
        <v>375</v>
      </c>
      <c r="AD2178" t="n">
        <v>1</v>
      </c>
      <c r="AE2178" t="n">
        <v>4</v>
      </c>
      <c r="AF2178" t="n">
        <v>6</v>
      </c>
      <c r="AG2178" t="n">
        <v>19</v>
      </c>
      <c r="AH2178" t="n">
        <v>3</v>
      </c>
      <c r="AI2178" t="n">
        <v>7</v>
      </c>
      <c r="AJ2178" t="n">
        <v>1</v>
      </c>
      <c r="AK2178" t="n">
        <v>4</v>
      </c>
      <c r="AL2178" t="n">
        <v>5</v>
      </c>
      <c r="AM2178" t="n">
        <v>13</v>
      </c>
      <c r="AN2178" t="n">
        <v>0</v>
      </c>
      <c r="AO2178" t="n">
        <v>3</v>
      </c>
      <c r="AP2178" t="n">
        <v>0</v>
      </c>
      <c r="AQ2178" t="n">
        <v>0</v>
      </c>
      <c r="AR2178" t="inlineStr">
        <is>
          <t>No</t>
        </is>
      </c>
      <c r="AS2178" t="inlineStr">
        <is>
          <t>No</t>
        </is>
      </c>
      <c r="AU2178">
        <f>HYPERLINK("https://creighton-primo.hosted.exlibrisgroup.com/primo-explore/search?tab=default_tab&amp;search_scope=EVERYTHING&amp;vid=01CRU&amp;lang=en_US&amp;offset=0&amp;query=any,contains,991004416639702656","Catalog Record")</f>
        <v/>
      </c>
      <c r="AV2178">
        <f>HYPERLINK("http://www.worldcat.org/oclc/3365116","WorldCat Record")</f>
        <v/>
      </c>
      <c r="AW2178" t="inlineStr">
        <is>
          <t>2303006:eng</t>
        </is>
      </c>
      <c r="AX2178" t="inlineStr">
        <is>
          <t>3365116</t>
        </is>
      </c>
      <c r="AY2178" t="inlineStr">
        <is>
          <t>991004416639702656</t>
        </is>
      </c>
      <c r="AZ2178" t="inlineStr">
        <is>
          <t>991004416639702656</t>
        </is>
      </c>
      <c r="BA2178" t="inlineStr">
        <is>
          <t>2257693500002656</t>
        </is>
      </c>
      <c r="BB2178" t="inlineStr">
        <is>
          <t>BOOK</t>
        </is>
      </c>
      <c r="BE2178" t="inlineStr">
        <is>
          <t>32285000973056</t>
        </is>
      </c>
      <c r="BF2178" t="inlineStr">
        <is>
          <t>893894983</t>
        </is>
      </c>
    </row>
    <row r="2179">
      <c r="A2179" t="inlineStr">
        <is>
          <t>No</t>
        </is>
      </c>
      <c r="B2179" t="inlineStr">
        <is>
          <t>CURAL</t>
        </is>
      </c>
      <c r="C2179" t="inlineStr">
        <is>
          <t>SHELVES</t>
        </is>
      </c>
      <c r="D2179" t="inlineStr">
        <is>
          <t>PR4856 .C67</t>
        </is>
      </c>
      <c r="E2179" t="inlineStr">
        <is>
          <t>0                      PR 4856000C  67</t>
        </is>
      </c>
      <c r="F2179" t="inlineStr">
        <is>
          <t>Kipling in India.</t>
        </is>
      </c>
      <c r="H2179" t="inlineStr">
        <is>
          <t>No</t>
        </is>
      </c>
      <c r="I2179" t="inlineStr">
        <is>
          <t>1</t>
        </is>
      </c>
      <c r="J2179" t="inlineStr">
        <is>
          <t>No</t>
        </is>
      </c>
      <c r="K2179" t="inlineStr">
        <is>
          <t>No</t>
        </is>
      </c>
      <c r="L2179" t="inlineStr">
        <is>
          <t>0</t>
        </is>
      </c>
      <c r="M2179" t="inlineStr">
        <is>
          <t>Cornell, Louis L.</t>
        </is>
      </c>
      <c r="N2179" t="inlineStr">
        <is>
          <t>London, Melbourne [etc.] Macmillan; New York, St. Martin's P., 1966.</t>
        </is>
      </c>
      <c r="O2179" t="inlineStr">
        <is>
          <t>1966</t>
        </is>
      </c>
      <c r="Q2179" t="inlineStr">
        <is>
          <t>eng</t>
        </is>
      </c>
      <c r="R2179" t="inlineStr">
        <is>
          <t>enk</t>
        </is>
      </c>
      <c r="T2179" t="inlineStr">
        <is>
          <t xml:space="preserve">PR </t>
        </is>
      </c>
      <c r="U2179" t="n">
        <v>4</v>
      </c>
      <c r="V2179" t="n">
        <v>4</v>
      </c>
      <c r="W2179" t="inlineStr">
        <is>
          <t>1998-04-24</t>
        </is>
      </c>
      <c r="X2179" t="inlineStr">
        <is>
          <t>1998-04-24</t>
        </is>
      </c>
      <c r="Y2179" t="inlineStr">
        <is>
          <t>1997-07-15</t>
        </is>
      </c>
      <c r="Z2179" t="inlineStr">
        <is>
          <t>1997-07-15</t>
        </is>
      </c>
      <c r="AA2179" t="n">
        <v>837</v>
      </c>
      <c r="AB2179" t="n">
        <v>684</v>
      </c>
      <c r="AC2179" t="n">
        <v>709</v>
      </c>
      <c r="AD2179" t="n">
        <v>5</v>
      </c>
      <c r="AE2179" t="n">
        <v>5</v>
      </c>
      <c r="AF2179" t="n">
        <v>27</v>
      </c>
      <c r="AG2179" t="n">
        <v>28</v>
      </c>
      <c r="AH2179" t="n">
        <v>10</v>
      </c>
      <c r="AI2179" t="n">
        <v>10</v>
      </c>
      <c r="AJ2179" t="n">
        <v>6</v>
      </c>
      <c r="AK2179" t="n">
        <v>7</v>
      </c>
      <c r="AL2179" t="n">
        <v>14</v>
      </c>
      <c r="AM2179" t="n">
        <v>15</v>
      </c>
      <c r="AN2179" t="n">
        <v>4</v>
      </c>
      <c r="AO2179" t="n">
        <v>4</v>
      </c>
      <c r="AP2179" t="n">
        <v>0</v>
      </c>
      <c r="AQ2179" t="n">
        <v>0</v>
      </c>
      <c r="AR2179" t="inlineStr">
        <is>
          <t>No</t>
        </is>
      </c>
      <c r="AS2179" t="inlineStr">
        <is>
          <t>Yes</t>
        </is>
      </c>
      <c r="AT2179">
        <f>HYPERLINK("http://catalog.hathitrust.org/Record/000589596","HathiTrust Record")</f>
        <v/>
      </c>
      <c r="AU2179">
        <f>HYPERLINK("https://creighton-primo.hosted.exlibrisgroup.com/primo-explore/search?tab=default_tab&amp;search_scope=EVERYTHING&amp;vid=01CRU&amp;lang=en_US&amp;offset=0&amp;query=any,contains,991002484459702656","Catalog Record")</f>
        <v/>
      </c>
      <c r="AV2179">
        <f>HYPERLINK("http://www.worldcat.org/oclc/360573","WorldCat Record")</f>
        <v/>
      </c>
      <c r="AW2179" t="inlineStr">
        <is>
          <t>1411972:eng</t>
        </is>
      </c>
      <c r="AX2179" t="inlineStr">
        <is>
          <t>360573</t>
        </is>
      </c>
      <c r="AY2179" t="inlineStr">
        <is>
          <t>991002484459702656</t>
        </is>
      </c>
      <c r="AZ2179" t="inlineStr">
        <is>
          <t>991002484459702656</t>
        </is>
      </c>
      <c r="BA2179" t="inlineStr">
        <is>
          <t>2263788570002656</t>
        </is>
      </c>
      <c r="BB2179" t="inlineStr">
        <is>
          <t>BOOK</t>
        </is>
      </c>
      <c r="BE2179" t="inlineStr">
        <is>
          <t>32285002924693</t>
        </is>
      </c>
      <c r="BF2179" t="inlineStr">
        <is>
          <t>893773677</t>
        </is>
      </c>
    </row>
    <row r="2180">
      <c r="A2180" t="inlineStr">
        <is>
          <t>No</t>
        </is>
      </c>
      <c r="B2180" t="inlineStr">
        <is>
          <t>CURAL</t>
        </is>
      </c>
      <c r="C2180" t="inlineStr">
        <is>
          <t>SHELVES</t>
        </is>
      </c>
      <c r="D2180" t="inlineStr">
        <is>
          <t>PR4856 .S5 1970</t>
        </is>
      </c>
      <c r="E2180" t="inlineStr">
        <is>
          <t>0                      PR 4856000S  5           1970</t>
        </is>
      </c>
      <c r="F2180" t="inlineStr">
        <is>
          <t>Rudyard Kipling; a study in literature and political ideas.</t>
        </is>
      </c>
      <c r="H2180" t="inlineStr">
        <is>
          <t>No</t>
        </is>
      </c>
      <c r="I2180" t="inlineStr">
        <is>
          <t>1</t>
        </is>
      </c>
      <c r="J2180" t="inlineStr">
        <is>
          <t>No</t>
        </is>
      </c>
      <c r="K2180" t="inlineStr">
        <is>
          <t>No</t>
        </is>
      </c>
      <c r="L2180" t="inlineStr">
        <is>
          <t>0</t>
        </is>
      </c>
      <c r="M2180" t="inlineStr">
        <is>
          <t>Shanks, Edward, 1892-1953.</t>
        </is>
      </c>
      <c r="N2180" t="inlineStr">
        <is>
          <t>New York, Cooper Square Publishers, 1970 [c1940]</t>
        </is>
      </c>
      <c r="O2180" t="inlineStr">
        <is>
          <t>1970</t>
        </is>
      </c>
      <c r="Q2180" t="inlineStr">
        <is>
          <t>eng</t>
        </is>
      </c>
      <c r="R2180" t="inlineStr">
        <is>
          <t>nyu</t>
        </is>
      </c>
      <c r="T2180" t="inlineStr">
        <is>
          <t xml:space="preserve">PR </t>
        </is>
      </c>
      <c r="U2180" t="n">
        <v>4</v>
      </c>
      <c r="V2180" t="n">
        <v>4</v>
      </c>
      <c r="W2180" t="inlineStr">
        <is>
          <t>1998-04-24</t>
        </is>
      </c>
      <c r="X2180" t="inlineStr">
        <is>
          <t>1998-04-24</t>
        </is>
      </c>
      <c r="Y2180" t="inlineStr">
        <is>
          <t>1997-07-15</t>
        </is>
      </c>
      <c r="Z2180" t="inlineStr">
        <is>
          <t>1997-07-15</t>
        </is>
      </c>
      <c r="AA2180" t="n">
        <v>292</v>
      </c>
      <c r="AB2180" t="n">
        <v>241</v>
      </c>
      <c r="AC2180" t="n">
        <v>531</v>
      </c>
      <c r="AD2180" t="n">
        <v>4</v>
      </c>
      <c r="AE2180" t="n">
        <v>7</v>
      </c>
      <c r="AF2180" t="n">
        <v>9</v>
      </c>
      <c r="AG2180" t="n">
        <v>25</v>
      </c>
      <c r="AH2180" t="n">
        <v>3</v>
      </c>
      <c r="AI2180" t="n">
        <v>8</v>
      </c>
      <c r="AJ2180" t="n">
        <v>3</v>
      </c>
      <c r="AK2180" t="n">
        <v>5</v>
      </c>
      <c r="AL2180" t="n">
        <v>4</v>
      </c>
      <c r="AM2180" t="n">
        <v>14</v>
      </c>
      <c r="AN2180" t="n">
        <v>3</v>
      </c>
      <c r="AO2180" t="n">
        <v>5</v>
      </c>
      <c r="AP2180" t="n">
        <v>0</v>
      </c>
      <c r="AQ2180" t="n">
        <v>0</v>
      </c>
      <c r="AR2180" t="inlineStr">
        <is>
          <t>No</t>
        </is>
      </c>
      <c r="AS2180" t="inlineStr">
        <is>
          <t>No</t>
        </is>
      </c>
      <c r="AU2180">
        <f>HYPERLINK("https://creighton-primo.hosted.exlibrisgroup.com/primo-explore/search?tab=default_tab&amp;search_scope=EVERYTHING&amp;vid=01CRU&amp;lang=en_US&amp;offset=0&amp;query=any,contains,991000773639702656","Catalog Record")</f>
        <v/>
      </c>
      <c r="AV2180">
        <f>HYPERLINK("http://www.worldcat.org/oclc/131625","WorldCat Record")</f>
        <v/>
      </c>
      <c r="AW2180" t="inlineStr">
        <is>
          <t>477205:eng</t>
        </is>
      </c>
      <c r="AX2180" t="inlineStr">
        <is>
          <t>131625</t>
        </is>
      </c>
      <c r="AY2180" t="inlineStr">
        <is>
          <t>991000773639702656</t>
        </is>
      </c>
      <c r="AZ2180" t="inlineStr">
        <is>
          <t>991000773639702656</t>
        </is>
      </c>
      <c r="BA2180" t="inlineStr">
        <is>
          <t>2255341830002656</t>
        </is>
      </c>
      <c r="BB2180" t="inlineStr">
        <is>
          <t>BOOK</t>
        </is>
      </c>
      <c r="BD2180" t="inlineStr">
        <is>
          <t>9780815403449</t>
        </is>
      </c>
      <c r="BE2180" t="inlineStr">
        <is>
          <t>32285002924750</t>
        </is>
      </c>
      <c r="BF2180" t="inlineStr">
        <is>
          <t>893419758</t>
        </is>
      </c>
    </row>
    <row r="2181">
      <c r="A2181" t="inlineStr">
        <is>
          <t>No</t>
        </is>
      </c>
      <c r="B2181" t="inlineStr">
        <is>
          <t>CURAL</t>
        </is>
      </c>
      <c r="C2181" t="inlineStr">
        <is>
          <t>SHELVES</t>
        </is>
      </c>
      <c r="D2181" t="inlineStr">
        <is>
          <t>PR4857 .H28</t>
        </is>
      </c>
      <c r="E2181" t="inlineStr">
        <is>
          <t>0                      PR 4857000H  28</t>
        </is>
      </c>
      <c r="F2181" t="inlineStr">
        <is>
          <t>Rudyard Kipling / by James Harrison.</t>
        </is>
      </c>
      <c r="H2181" t="inlineStr">
        <is>
          <t>No</t>
        </is>
      </c>
      <c r="I2181" t="inlineStr">
        <is>
          <t>1</t>
        </is>
      </c>
      <c r="J2181" t="inlineStr">
        <is>
          <t>No</t>
        </is>
      </c>
      <c r="K2181" t="inlineStr">
        <is>
          <t>No</t>
        </is>
      </c>
      <c r="L2181" t="inlineStr">
        <is>
          <t>0</t>
        </is>
      </c>
      <c r="M2181" t="inlineStr">
        <is>
          <t>Harrison, James, 1927-</t>
        </is>
      </c>
      <c r="N2181" t="inlineStr">
        <is>
          <t>Boston : Twayne Publishers, c1982.</t>
        </is>
      </c>
      <c r="O2181" t="inlineStr">
        <is>
          <t>1982</t>
        </is>
      </c>
      <c r="Q2181" t="inlineStr">
        <is>
          <t>eng</t>
        </is>
      </c>
      <c r="R2181" t="inlineStr">
        <is>
          <t>mau</t>
        </is>
      </c>
      <c r="S2181" t="inlineStr">
        <is>
          <t>Twayne's English authors series ; TEAS 339</t>
        </is>
      </c>
      <c r="T2181" t="inlineStr">
        <is>
          <t xml:space="preserve">PR </t>
        </is>
      </c>
      <c r="U2181" t="n">
        <v>2</v>
      </c>
      <c r="V2181" t="n">
        <v>2</v>
      </c>
      <c r="W2181" t="inlineStr">
        <is>
          <t>1995-09-18</t>
        </is>
      </c>
      <c r="X2181" t="inlineStr">
        <is>
          <t>1995-09-18</t>
        </is>
      </c>
      <c r="Y2181" t="inlineStr">
        <is>
          <t>1990-03-14</t>
        </is>
      </c>
      <c r="Z2181" t="inlineStr">
        <is>
          <t>1990-03-14</t>
        </is>
      </c>
      <c r="AA2181" t="n">
        <v>1009</v>
      </c>
      <c r="AB2181" t="n">
        <v>899</v>
      </c>
      <c r="AC2181" t="n">
        <v>984</v>
      </c>
      <c r="AD2181" t="n">
        <v>5</v>
      </c>
      <c r="AE2181" t="n">
        <v>5</v>
      </c>
      <c r="AF2181" t="n">
        <v>32</v>
      </c>
      <c r="AG2181" t="n">
        <v>33</v>
      </c>
      <c r="AH2181" t="n">
        <v>12</v>
      </c>
      <c r="AI2181" t="n">
        <v>12</v>
      </c>
      <c r="AJ2181" t="n">
        <v>6</v>
      </c>
      <c r="AK2181" t="n">
        <v>6</v>
      </c>
      <c r="AL2181" t="n">
        <v>18</v>
      </c>
      <c r="AM2181" t="n">
        <v>19</v>
      </c>
      <c r="AN2181" t="n">
        <v>4</v>
      </c>
      <c r="AO2181" t="n">
        <v>4</v>
      </c>
      <c r="AP2181" t="n">
        <v>0</v>
      </c>
      <c r="AQ2181" t="n">
        <v>0</v>
      </c>
      <c r="AR2181" t="inlineStr">
        <is>
          <t>No</t>
        </is>
      </c>
      <c r="AS2181" t="inlineStr">
        <is>
          <t>Yes</t>
        </is>
      </c>
      <c r="AT2181">
        <f>HYPERLINK("http://catalog.hathitrust.org/Record/000188062","HathiTrust Record")</f>
        <v/>
      </c>
      <c r="AU2181">
        <f>HYPERLINK("https://creighton-primo.hosted.exlibrisgroup.com/primo-explore/search?tab=default_tab&amp;search_scope=EVERYTHING&amp;vid=01CRU&amp;lang=en_US&amp;offset=0&amp;query=any,contains,991005217009702656","Catalog Record")</f>
        <v/>
      </c>
      <c r="AV2181">
        <f>HYPERLINK("http://www.worldcat.org/oclc/8195210","WorldCat Record")</f>
        <v/>
      </c>
      <c r="AW2181" t="inlineStr">
        <is>
          <t>3373708750:eng</t>
        </is>
      </c>
      <c r="AX2181" t="inlineStr">
        <is>
          <t>8195210</t>
        </is>
      </c>
      <c r="AY2181" t="inlineStr">
        <is>
          <t>991005217009702656</t>
        </is>
      </c>
      <c r="AZ2181" t="inlineStr">
        <is>
          <t>991005217009702656</t>
        </is>
      </c>
      <c r="BA2181" t="inlineStr">
        <is>
          <t>2268185050002656</t>
        </is>
      </c>
      <c r="BB2181" t="inlineStr">
        <is>
          <t>BOOK</t>
        </is>
      </c>
      <c r="BD2181" t="inlineStr">
        <is>
          <t>9780805768251</t>
        </is>
      </c>
      <c r="BE2181" t="inlineStr">
        <is>
          <t>32285000084672</t>
        </is>
      </c>
      <c r="BF2181" t="inlineStr">
        <is>
          <t>893789634</t>
        </is>
      </c>
    </row>
    <row r="2182">
      <c r="A2182" t="inlineStr">
        <is>
          <t>No</t>
        </is>
      </c>
      <c r="B2182" t="inlineStr">
        <is>
          <t>CURAL</t>
        </is>
      </c>
      <c r="C2182" t="inlineStr">
        <is>
          <t>SHELVES</t>
        </is>
      </c>
      <c r="D2182" t="inlineStr">
        <is>
          <t>PR4858.P6 G55 2002</t>
        </is>
      </c>
      <c r="E2182" t="inlineStr">
        <is>
          <t>0                      PR 4858000P  6                  G  55          2002</t>
        </is>
      </c>
      <c r="F2182" t="inlineStr">
        <is>
          <t>The long recessional : the imperial life of Rudyard Kipling / David Gilmour.</t>
        </is>
      </c>
      <c r="H2182" t="inlineStr">
        <is>
          <t>No</t>
        </is>
      </c>
      <c r="I2182" t="inlineStr">
        <is>
          <t>1</t>
        </is>
      </c>
      <c r="J2182" t="inlineStr">
        <is>
          <t>No</t>
        </is>
      </c>
      <c r="K2182" t="inlineStr">
        <is>
          <t>No</t>
        </is>
      </c>
      <c r="L2182" t="inlineStr">
        <is>
          <t>0</t>
        </is>
      </c>
      <c r="M2182" t="inlineStr">
        <is>
          <t>Gilmour, David, 1952-</t>
        </is>
      </c>
      <c r="N2182" t="inlineStr">
        <is>
          <t>New York : Farrar, Straus and Giroux, 2002.</t>
        </is>
      </c>
      <c r="O2182" t="inlineStr">
        <is>
          <t>2002</t>
        </is>
      </c>
      <c r="P2182" t="inlineStr">
        <is>
          <t>1st American ed.</t>
        </is>
      </c>
      <c r="Q2182" t="inlineStr">
        <is>
          <t>eng</t>
        </is>
      </c>
      <c r="R2182" t="inlineStr">
        <is>
          <t>nyu</t>
        </is>
      </c>
      <c r="T2182" t="inlineStr">
        <is>
          <t xml:space="preserve">PR </t>
        </is>
      </c>
      <c r="U2182" t="n">
        <v>1</v>
      </c>
      <c r="V2182" t="n">
        <v>1</v>
      </c>
      <c r="W2182" t="inlineStr">
        <is>
          <t>2002-07-18</t>
        </is>
      </c>
      <c r="X2182" t="inlineStr">
        <is>
          <t>2002-07-18</t>
        </is>
      </c>
      <c r="Y2182" t="inlineStr">
        <is>
          <t>2002-07-15</t>
        </is>
      </c>
      <c r="Z2182" t="inlineStr">
        <is>
          <t>2002-07-15</t>
        </is>
      </c>
      <c r="AA2182" t="n">
        <v>1088</v>
      </c>
      <c r="AB2182" t="n">
        <v>1038</v>
      </c>
      <c r="AC2182" t="n">
        <v>1090</v>
      </c>
      <c r="AD2182" t="n">
        <v>7</v>
      </c>
      <c r="AE2182" t="n">
        <v>7</v>
      </c>
      <c r="AF2182" t="n">
        <v>37</v>
      </c>
      <c r="AG2182" t="n">
        <v>39</v>
      </c>
      <c r="AH2182" t="n">
        <v>18</v>
      </c>
      <c r="AI2182" t="n">
        <v>19</v>
      </c>
      <c r="AJ2182" t="n">
        <v>7</v>
      </c>
      <c r="AK2182" t="n">
        <v>8</v>
      </c>
      <c r="AL2182" t="n">
        <v>16</v>
      </c>
      <c r="AM2182" t="n">
        <v>17</v>
      </c>
      <c r="AN2182" t="n">
        <v>4</v>
      </c>
      <c r="AO2182" t="n">
        <v>4</v>
      </c>
      <c r="AP2182" t="n">
        <v>1</v>
      </c>
      <c r="AQ2182" t="n">
        <v>1</v>
      </c>
      <c r="AR2182" t="inlineStr">
        <is>
          <t>No</t>
        </is>
      </c>
      <c r="AS2182" t="inlineStr">
        <is>
          <t>No</t>
        </is>
      </c>
      <c r="AU2182">
        <f>HYPERLINK("https://creighton-primo.hosted.exlibrisgroup.com/primo-explore/search?tab=default_tab&amp;search_scope=EVERYTHING&amp;vid=01CRU&amp;lang=en_US&amp;offset=0&amp;query=any,contains,991003824399702656","Catalog Record")</f>
        <v/>
      </c>
      <c r="AV2182">
        <f>HYPERLINK("http://www.worldcat.org/oclc/49622144","WorldCat Record")</f>
        <v/>
      </c>
      <c r="AW2182" t="inlineStr">
        <is>
          <t>808110278:eng</t>
        </is>
      </c>
      <c r="AX2182" t="inlineStr">
        <is>
          <t>49622144</t>
        </is>
      </c>
      <c r="AY2182" t="inlineStr">
        <is>
          <t>991003824399702656</t>
        </is>
      </c>
      <c r="AZ2182" t="inlineStr">
        <is>
          <t>991003824399702656</t>
        </is>
      </c>
      <c r="BA2182" t="inlineStr">
        <is>
          <t>2266771440002656</t>
        </is>
      </c>
      <c r="BB2182" t="inlineStr">
        <is>
          <t>BOOK</t>
        </is>
      </c>
      <c r="BD2182" t="inlineStr">
        <is>
          <t>9780374187026</t>
        </is>
      </c>
      <c r="BE2182" t="inlineStr">
        <is>
          <t>32285004497938</t>
        </is>
      </c>
      <c r="BF2182" t="inlineStr">
        <is>
          <t>893416837</t>
        </is>
      </c>
    </row>
    <row r="2183">
      <c r="A2183" t="inlineStr">
        <is>
          <t>No</t>
        </is>
      </c>
      <c r="B2183" t="inlineStr">
        <is>
          <t>CURAL</t>
        </is>
      </c>
      <c r="C2183" t="inlineStr">
        <is>
          <t>SHELVES</t>
        </is>
      </c>
      <c r="D2183" t="inlineStr">
        <is>
          <t>PR4863 .H6 1972</t>
        </is>
      </c>
      <c r="E2183" t="inlineStr">
        <is>
          <t>0                      PR 4863000H  6           1972</t>
        </is>
      </c>
      <c r="F2183" t="inlineStr">
        <is>
          <t>Charles Lamb and his friends.</t>
        </is>
      </c>
      <c r="H2183" t="inlineStr">
        <is>
          <t>No</t>
        </is>
      </c>
      <c r="I2183" t="inlineStr">
        <is>
          <t>1</t>
        </is>
      </c>
      <c r="J2183" t="inlineStr">
        <is>
          <t>No</t>
        </is>
      </c>
      <c r="K2183" t="inlineStr">
        <is>
          <t>No</t>
        </is>
      </c>
      <c r="L2183" t="inlineStr">
        <is>
          <t>0</t>
        </is>
      </c>
      <c r="M2183" t="inlineStr">
        <is>
          <t>Howe, Will David, 1873-1946.</t>
        </is>
      </c>
      <c r="N2183" t="inlineStr">
        <is>
          <t>Westport, Conn., Greenwood Press [1972, c1944]</t>
        </is>
      </c>
      <c r="O2183" t="inlineStr">
        <is>
          <t>1972</t>
        </is>
      </c>
      <c r="Q2183" t="inlineStr">
        <is>
          <t>eng</t>
        </is>
      </c>
      <c r="R2183" t="inlineStr">
        <is>
          <t>ctu</t>
        </is>
      </c>
      <c r="T2183" t="inlineStr">
        <is>
          <t xml:space="preserve">PR </t>
        </is>
      </c>
      <c r="U2183" t="n">
        <v>1</v>
      </c>
      <c r="V2183" t="n">
        <v>1</v>
      </c>
      <c r="W2183" t="inlineStr">
        <is>
          <t>2001-03-13</t>
        </is>
      </c>
      <c r="X2183" t="inlineStr">
        <is>
          <t>2001-03-13</t>
        </is>
      </c>
      <c r="Y2183" t="inlineStr">
        <is>
          <t>1997-07-15</t>
        </is>
      </c>
      <c r="Z2183" t="inlineStr">
        <is>
          <t>1997-07-15</t>
        </is>
      </c>
      <c r="AA2183" t="n">
        <v>101</v>
      </c>
      <c r="AB2183" t="n">
        <v>80</v>
      </c>
      <c r="AC2183" t="n">
        <v>650</v>
      </c>
      <c r="AD2183" t="n">
        <v>1</v>
      </c>
      <c r="AE2183" t="n">
        <v>6</v>
      </c>
      <c r="AF2183" t="n">
        <v>5</v>
      </c>
      <c r="AG2183" t="n">
        <v>30</v>
      </c>
      <c r="AH2183" t="n">
        <v>0</v>
      </c>
      <c r="AI2183" t="n">
        <v>8</v>
      </c>
      <c r="AJ2183" t="n">
        <v>2</v>
      </c>
      <c r="AK2183" t="n">
        <v>5</v>
      </c>
      <c r="AL2183" t="n">
        <v>4</v>
      </c>
      <c r="AM2183" t="n">
        <v>16</v>
      </c>
      <c r="AN2183" t="n">
        <v>0</v>
      </c>
      <c r="AO2183" t="n">
        <v>5</v>
      </c>
      <c r="AP2183" t="n">
        <v>0</v>
      </c>
      <c r="AQ2183" t="n">
        <v>0</v>
      </c>
      <c r="AR2183" t="inlineStr">
        <is>
          <t>No</t>
        </is>
      </c>
      <c r="AS2183" t="inlineStr">
        <is>
          <t>Yes</t>
        </is>
      </c>
      <c r="AT2183">
        <f>HYPERLINK("http://catalog.hathitrust.org/Record/004458515","HathiTrust Record")</f>
        <v/>
      </c>
      <c r="AU2183">
        <f>HYPERLINK("https://creighton-primo.hosted.exlibrisgroup.com/primo-explore/search?tab=default_tab&amp;search_scope=EVERYTHING&amp;vid=01CRU&amp;lang=en_US&amp;offset=0&amp;query=any,contains,991002729399702656","Catalog Record")</f>
        <v/>
      </c>
      <c r="AV2183">
        <f>HYPERLINK("http://www.worldcat.org/oclc/415377","WorldCat Record")</f>
        <v/>
      </c>
      <c r="AW2183" t="inlineStr">
        <is>
          <t>1413349:eng</t>
        </is>
      </c>
      <c r="AX2183" t="inlineStr">
        <is>
          <t>415377</t>
        </is>
      </c>
      <c r="AY2183" t="inlineStr">
        <is>
          <t>991002729399702656</t>
        </is>
      </c>
      <c r="AZ2183" t="inlineStr">
        <is>
          <t>991002729399702656</t>
        </is>
      </c>
      <c r="BA2183" t="inlineStr">
        <is>
          <t>2266888920002656</t>
        </is>
      </c>
      <c r="BB2183" t="inlineStr">
        <is>
          <t>BOOK</t>
        </is>
      </c>
      <c r="BD2183" t="inlineStr">
        <is>
          <t>9780837164540</t>
        </is>
      </c>
      <c r="BE2183" t="inlineStr">
        <is>
          <t>32285002925112</t>
        </is>
      </c>
      <c r="BF2183" t="inlineStr">
        <is>
          <t>893347844</t>
        </is>
      </c>
    </row>
    <row r="2184">
      <c r="A2184" t="inlineStr">
        <is>
          <t>No</t>
        </is>
      </c>
      <c r="B2184" t="inlineStr">
        <is>
          <t>CURAL</t>
        </is>
      </c>
      <c r="C2184" t="inlineStr">
        <is>
          <t>SHELVES</t>
        </is>
      </c>
      <c r="D2184" t="inlineStr">
        <is>
          <t>PR4863 .L8</t>
        </is>
      </c>
      <c r="E2184" t="inlineStr">
        <is>
          <t>0                      PR 4863000L  8</t>
        </is>
      </c>
      <c r="F2184" t="inlineStr">
        <is>
          <t>The life of Charles Lamb.</t>
        </is>
      </c>
      <c r="G2184" t="inlineStr">
        <is>
          <t>V.1</t>
        </is>
      </c>
      <c r="H2184" t="inlineStr">
        <is>
          <t>Yes</t>
        </is>
      </c>
      <c r="I2184" t="inlineStr">
        <is>
          <t>1</t>
        </is>
      </c>
      <c r="J2184" t="inlineStr">
        <is>
          <t>No</t>
        </is>
      </c>
      <c r="K2184" t="inlineStr">
        <is>
          <t>No</t>
        </is>
      </c>
      <c r="L2184" t="inlineStr">
        <is>
          <t>0</t>
        </is>
      </c>
      <c r="M2184" t="inlineStr">
        <is>
          <t>Lucas, E. V. (Edward Verrall), 1868-1938.</t>
        </is>
      </c>
      <c r="N2184" t="inlineStr">
        <is>
          <t>London, Methuen [1921]</t>
        </is>
      </c>
      <c r="O2184" t="inlineStr">
        <is>
          <t>1921</t>
        </is>
      </c>
      <c r="P2184" t="inlineStr">
        <is>
          <t>[7th ed.]</t>
        </is>
      </c>
      <c r="Q2184" t="inlineStr">
        <is>
          <t>eng</t>
        </is>
      </c>
      <c r="R2184" t="inlineStr">
        <is>
          <t xml:space="preserve">xx </t>
        </is>
      </c>
      <c r="T2184" t="inlineStr">
        <is>
          <t xml:space="preserve">PR </t>
        </is>
      </c>
      <c r="U2184" t="n">
        <v>1</v>
      </c>
      <c r="V2184" t="n">
        <v>2</v>
      </c>
      <c r="W2184" t="inlineStr">
        <is>
          <t>2001-03-13</t>
        </is>
      </c>
      <c r="X2184" t="inlineStr">
        <is>
          <t>2001-03-13</t>
        </is>
      </c>
      <c r="Y2184" t="inlineStr">
        <is>
          <t>1997-07-15</t>
        </is>
      </c>
      <c r="Z2184" t="inlineStr">
        <is>
          <t>1997-07-15</t>
        </is>
      </c>
      <c r="AA2184" t="n">
        <v>75</v>
      </c>
      <c r="AB2184" t="n">
        <v>66</v>
      </c>
      <c r="AC2184" t="n">
        <v>411</v>
      </c>
      <c r="AD2184" t="n">
        <v>1</v>
      </c>
      <c r="AE2184" t="n">
        <v>4</v>
      </c>
      <c r="AF2184" t="n">
        <v>2</v>
      </c>
      <c r="AG2184" t="n">
        <v>18</v>
      </c>
      <c r="AH2184" t="n">
        <v>1</v>
      </c>
      <c r="AI2184" t="n">
        <v>6</v>
      </c>
      <c r="AJ2184" t="n">
        <v>0</v>
      </c>
      <c r="AK2184" t="n">
        <v>5</v>
      </c>
      <c r="AL2184" t="n">
        <v>2</v>
      </c>
      <c r="AM2184" t="n">
        <v>9</v>
      </c>
      <c r="AN2184" t="n">
        <v>0</v>
      </c>
      <c r="AO2184" t="n">
        <v>3</v>
      </c>
      <c r="AP2184" t="n">
        <v>0</v>
      </c>
      <c r="AQ2184" t="n">
        <v>0</v>
      </c>
      <c r="AR2184" t="inlineStr">
        <is>
          <t>Yes</t>
        </is>
      </c>
      <c r="AS2184" t="inlineStr">
        <is>
          <t>No</t>
        </is>
      </c>
      <c r="AT2184">
        <f>HYPERLINK("http://catalog.hathitrust.org/Record/007127056","HathiTrust Record")</f>
        <v/>
      </c>
      <c r="AU2184">
        <f>HYPERLINK("https://creighton-primo.hosted.exlibrisgroup.com/primo-explore/search?tab=default_tab&amp;search_scope=EVERYTHING&amp;vid=01CRU&amp;lang=en_US&amp;offset=0&amp;query=any,contains,991002145039702656","Catalog Record")</f>
        <v/>
      </c>
      <c r="AV2184">
        <f>HYPERLINK("http://www.worldcat.org/oclc/271375","WorldCat Record")</f>
        <v/>
      </c>
      <c r="AW2184" t="inlineStr">
        <is>
          <t>1400110:eng</t>
        </is>
      </c>
      <c r="AX2184" t="inlineStr">
        <is>
          <t>271375</t>
        </is>
      </c>
      <c r="AY2184" t="inlineStr">
        <is>
          <t>991002145039702656</t>
        </is>
      </c>
      <c r="AZ2184" t="inlineStr">
        <is>
          <t>991002145039702656</t>
        </is>
      </c>
      <c r="BA2184" t="inlineStr">
        <is>
          <t>2262075850002656</t>
        </is>
      </c>
      <c r="BB2184" t="inlineStr">
        <is>
          <t>BOOK</t>
        </is>
      </c>
      <c r="BE2184" t="inlineStr">
        <is>
          <t>32285002925120</t>
        </is>
      </c>
      <c r="BF2184" t="inlineStr">
        <is>
          <t>893903718</t>
        </is>
      </c>
    </row>
    <row r="2185">
      <c r="A2185" t="inlineStr">
        <is>
          <t>No</t>
        </is>
      </c>
      <c r="B2185" t="inlineStr">
        <is>
          <t>CURAL</t>
        </is>
      </c>
      <c r="C2185" t="inlineStr">
        <is>
          <t>SHELVES</t>
        </is>
      </c>
      <c r="D2185" t="inlineStr">
        <is>
          <t>PR4863 .L8</t>
        </is>
      </c>
      <c r="E2185" t="inlineStr">
        <is>
          <t>0                      PR 4863000L  8</t>
        </is>
      </c>
      <c r="F2185" t="inlineStr">
        <is>
          <t>The life of Charles Lamb.</t>
        </is>
      </c>
      <c r="G2185" t="inlineStr">
        <is>
          <t>V.2</t>
        </is>
      </c>
      <c r="H2185" t="inlineStr">
        <is>
          <t>Yes</t>
        </is>
      </c>
      <c r="I2185" t="inlineStr">
        <is>
          <t>1</t>
        </is>
      </c>
      <c r="J2185" t="inlineStr">
        <is>
          <t>No</t>
        </is>
      </c>
      <c r="K2185" t="inlineStr">
        <is>
          <t>No</t>
        </is>
      </c>
      <c r="L2185" t="inlineStr">
        <is>
          <t>0</t>
        </is>
      </c>
      <c r="M2185" t="inlineStr">
        <is>
          <t>Lucas, E. V. (Edward Verrall), 1868-1938.</t>
        </is>
      </c>
      <c r="N2185" t="inlineStr">
        <is>
          <t>London, Methuen [1921]</t>
        </is>
      </c>
      <c r="O2185" t="inlineStr">
        <is>
          <t>1921</t>
        </is>
      </c>
      <c r="P2185" t="inlineStr">
        <is>
          <t>[7th ed.]</t>
        </is>
      </c>
      <c r="Q2185" t="inlineStr">
        <is>
          <t>eng</t>
        </is>
      </c>
      <c r="R2185" t="inlineStr">
        <is>
          <t xml:space="preserve">xx </t>
        </is>
      </c>
      <c r="T2185" t="inlineStr">
        <is>
          <t xml:space="preserve">PR </t>
        </is>
      </c>
      <c r="U2185" t="n">
        <v>1</v>
      </c>
      <c r="V2185" t="n">
        <v>2</v>
      </c>
      <c r="W2185" t="inlineStr">
        <is>
          <t>2001-03-13</t>
        </is>
      </c>
      <c r="X2185" t="inlineStr">
        <is>
          <t>2001-03-13</t>
        </is>
      </c>
      <c r="Y2185" t="inlineStr">
        <is>
          <t>1997-07-15</t>
        </is>
      </c>
      <c r="Z2185" t="inlineStr">
        <is>
          <t>1997-07-15</t>
        </is>
      </c>
      <c r="AA2185" t="n">
        <v>75</v>
      </c>
      <c r="AB2185" t="n">
        <v>66</v>
      </c>
      <c r="AC2185" t="n">
        <v>411</v>
      </c>
      <c r="AD2185" t="n">
        <v>1</v>
      </c>
      <c r="AE2185" t="n">
        <v>4</v>
      </c>
      <c r="AF2185" t="n">
        <v>2</v>
      </c>
      <c r="AG2185" t="n">
        <v>18</v>
      </c>
      <c r="AH2185" t="n">
        <v>1</v>
      </c>
      <c r="AI2185" t="n">
        <v>6</v>
      </c>
      <c r="AJ2185" t="n">
        <v>0</v>
      </c>
      <c r="AK2185" t="n">
        <v>5</v>
      </c>
      <c r="AL2185" t="n">
        <v>2</v>
      </c>
      <c r="AM2185" t="n">
        <v>9</v>
      </c>
      <c r="AN2185" t="n">
        <v>0</v>
      </c>
      <c r="AO2185" t="n">
        <v>3</v>
      </c>
      <c r="AP2185" t="n">
        <v>0</v>
      </c>
      <c r="AQ2185" t="n">
        <v>0</v>
      </c>
      <c r="AR2185" t="inlineStr">
        <is>
          <t>Yes</t>
        </is>
      </c>
      <c r="AS2185" t="inlineStr">
        <is>
          <t>No</t>
        </is>
      </c>
      <c r="AT2185">
        <f>HYPERLINK("http://catalog.hathitrust.org/Record/007127056","HathiTrust Record")</f>
        <v/>
      </c>
      <c r="AU2185">
        <f>HYPERLINK("https://creighton-primo.hosted.exlibrisgroup.com/primo-explore/search?tab=default_tab&amp;search_scope=EVERYTHING&amp;vid=01CRU&amp;lang=en_US&amp;offset=0&amp;query=any,contains,991002145039702656","Catalog Record")</f>
        <v/>
      </c>
      <c r="AV2185">
        <f>HYPERLINK("http://www.worldcat.org/oclc/271375","WorldCat Record")</f>
        <v/>
      </c>
      <c r="AW2185" t="inlineStr">
        <is>
          <t>1400110:eng</t>
        </is>
      </c>
      <c r="AX2185" t="inlineStr">
        <is>
          <t>271375</t>
        </is>
      </c>
      <c r="AY2185" t="inlineStr">
        <is>
          <t>991002145039702656</t>
        </is>
      </c>
      <c r="AZ2185" t="inlineStr">
        <is>
          <t>991002145039702656</t>
        </is>
      </c>
      <c r="BA2185" t="inlineStr">
        <is>
          <t>2262075850002656</t>
        </is>
      </c>
      <c r="BB2185" t="inlineStr">
        <is>
          <t>BOOK</t>
        </is>
      </c>
      <c r="BE2185" t="inlineStr">
        <is>
          <t>32285002925138</t>
        </is>
      </c>
      <c r="BF2185" t="inlineStr">
        <is>
          <t>893903717</t>
        </is>
      </c>
    </row>
    <row r="2186">
      <c r="A2186" t="inlineStr">
        <is>
          <t>No</t>
        </is>
      </c>
      <c r="B2186" t="inlineStr">
        <is>
          <t>CURAL</t>
        </is>
      </c>
      <c r="C2186" t="inlineStr">
        <is>
          <t>SHELVES</t>
        </is>
      </c>
      <c r="D2186" t="inlineStr">
        <is>
          <t>PR4873 .F6</t>
        </is>
      </c>
      <c r="E2186" t="inlineStr">
        <is>
          <t>0                      PR 4873000F  6</t>
        </is>
      </c>
      <c r="F2186" t="inlineStr">
        <is>
          <t>Walter Savage Landor. A biography. By John Forster.</t>
        </is>
      </c>
      <c r="H2186" t="inlineStr">
        <is>
          <t>No</t>
        </is>
      </c>
      <c r="I2186" t="inlineStr">
        <is>
          <t>1</t>
        </is>
      </c>
      <c r="J2186" t="inlineStr">
        <is>
          <t>No</t>
        </is>
      </c>
      <c r="K2186" t="inlineStr">
        <is>
          <t>No</t>
        </is>
      </c>
      <c r="L2186" t="inlineStr">
        <is>
          <t>0</t>
        </is>
      </c>
      <c r="M2186" t="inlineStr">
        <is>
          <t>Forster, John, 1812-1876.</t>
        </is>
      </c>
      <c r="N2186" t="inlineStr">
        <is>
          <t>Boston, Fields, Osgood, &amp; co., 1869.</t>
        </is>
      </c>
      <c r="O2186" t="inlineStr">
        <is>
          <t>1869</t>
        </is>
      </c>
      <c r="Q2186" t="inlineStr">
        <is>
          <t>eng</t>
        </is>
      </c>
      <c r="R2186" t="inlineStr">
        <is>
          <t>mau</t>
        </is>
      </c>
      <c r="T2186" t="inlineStr">
        <is>
          <t xml:space="preserve">PR </t>
        </is>
      </c>
      <c r="U2186" t="n">
        <v>1</v>
      </c>
      <c r="V2186" t="n">
        <v>1</v>
      </c>
      <c r="W2186" t="inlineStr">
        <is>
          <t>2002-01-16</t>
        </is>
      </c>
      <c r="X2186" t="inlineStr">
        <is>
          <t>2002-01-16</t>
        </is>
      </c>
      <c r="Y2186" t="inlineStr">
        <is>
          <t>1997-07-15</t>
        </is>
      </c>
      <c r="Z2186" t="inlineStr">
        <is>
          <t>1997-07-15</t>
        </is>
      </c>
      <c r="AA2186" t="n">
        <v>169</v>
      </c>
      <c r="AB2186" t="n">
        <v>152</v>
      </c>
      <c r="AC2186" t="n">
        <v>376</v>
      </c>
      <c r="AD2186" t="n">
        <v>1</v>
      </c>
      <c r="AE2186" t="n">
        <v>4</v>
      </c>
      <c r="AF2186" t="n">
        <v>9</v>
      </c>
      <c r="AG2186" t="n">
        <v>19</v>
      </c>
      <c r="AH2186" t="n">
        <v>2</v>
      </c>
      <c r="AI2186" t="n">
        <v>3</v>
      </c>
      <c r="AJ2186" t="n">
        <v>3</v>
      </c>
      <c r="AK2186" t="n">
        <v>5</v>
      </c>
      <c r="AL2186" t="n">
        <v>7</v>
      </c>
      <c r="AM2186" t="n">
        <v>12</v>
      </c>
      <c r="AN2186" t="n">
        <v>0</v>
      </c>
      <c r="AO2186" t="n">
        <v>3</v>
      </c>
      <c r="AP2186" t="n">
        <v>0</v>
      </c>
      <c r="AQ2186" t="n">
        <v>0</v>
      </c>
      <c r="AR2186" t="inlineStr">
        <is>
          <t>Yes</t>
        </is>
      </c>
      <c r="AS2186" t="inlineStr">
        <is>
          <t>No</t>
        </is>
      </c>
      <c r="AT2186">
        <f>HYPERLINK("http://catalog.hathitrust.org/Record/005802724","HathiTrust Record")</f>
        <v/>
      </c>
      <c r="AU2186">
        <f>HYPERLINK("https://creighton-primo.hosted.exlibrisgroup.com/primo-explore/search?tab=default_tab&amp;search_scope=EVERYTHING&amp;vid=01CRU&amp;lang=en_US&amp;offset=0&amp;query=any,contains,991002271279702656","Catalog Record")</f>
        <v/>
      </c>
      <c r="AV2186">
        <f>HYPERLINK("http://www.worldcat.org/oclc/308308","WorldCat Record")</f>
        <v/>
      </c>
      <c r="AW2186" t="inlineStr">
        <is>
          <t>1363415:eng</t>
        </is>
      </c>
      <c r="AX2186" t="inlineStr">
        <is>
          <t>308308</t>
        </is>
      </c>
      <c r="AY2186" t="inlineStr">
        <is>
          <t>991002271279702656</t>
        </is>
      </c>
      <c r="AZ2186" t="inlineStr">
        <is>
          <t>991002271279702656</t>
        </is>
      </c>
      <c r="BA2186" t="inlineStr">
        <is>
          <t>2266236460002656</t>
        </is>
      </c>
      <c r="BB2186" t="inlineStr">
        <is>
          <t>BOOK</t>
        </is>
      </c>
      <c r="BE2186" t="inlineStr">
        <is>
          <t>32285002925427</t>
        </is>
      </c>
      <c r="BF2186" t="inlineStr">
        <is>
          <t>893335113</t>
        </is>
      </c>
    </row>
    <row r="2187">
      <c r="A2187" t="inlineStr">
        <is>
          <t>No</t>
        </is>
      </c>
      <c r="B2187" t="inlineStr">
        <is>
          <t>CURAL</t>
        </is>
      </c>
      <c r="C2187" t="inlineStr">
        <is>
          <t>SHELVES</t>
        </is>
      </c>
      <c r="D2187" t="inlineStr">
        <is>
          <t>PR4873 .S83</t>
        </is>
      </c>
      <c r="E2187" t="inlineStr">
        <is>
          <t>0                      PR 4873000S  83</t>
        </is>
      </c>
      <c r="F2187" t="inlineStr">
        <is>
          <t>Walter Savage Landor: a biography.</t>
        </is>
      </c>
      <c r="H2187" t="inlineStr">
        <is>
          <t>No</t>
        </is>
      </c>
      <c r="I2187" t="inlineStr">
        <is>
          <t>1</t>
        </is>
      </c>
      <c r="J2187" t="inlineStr">
        <is>
          <t>No</t>
        </is>
      </c>
      <c r="K2187" t="inlineStr">
        <is>
          <t>No</t>
        </is>
      </c>
      <c r="L2187" t="inlineStr">
        <is>
          <t>0</t>
        </is>
      </c>
      <c r="M2187" t="inlineStr">
        <is>
          <t>Super, R. H. (Robert Henry), 1914-1996.</t>
        </is>
      </c>
      <c r="N2187" t="inlineStr">
        <is>
          <t>New York, New York University Press, 1954.</t>
        </is>
      </c>
      <c r="O2187" t="inlineStr">
        <is>
          <t>1954</t>
        </is>
      </c>
      <c r="Q2187" t="inlineStr">
        <is>
          <t>eng</t>
        </is>
      </c>
      <c r="R2187" t="inlineStr">
        <is>
          <t>nyu</t>
        </is>
      </c>
      <c r="T2187" t="inlineStr">
        <is>
          <t xml:space="preserve">PR </t>
        </is>
      </c>
      <c r="U2187" t="n">
        <v>2</v>
      </c>
      <c r="V2187" t="n">
        <v>2</v>
      </c>
      <c r="W2187" t="inlineStr">
        <is>
          <t>2002-06-04</t>
        </is>
      </c>
      <c r="X2187" t="inlineStr">
        <is>
          <t>2002-06-04</t>
        </is>
      </c>
      <c r="Y2187" t="inlineStr">
        <is>
          <t>1997-07-15</t>
        </is>
      </c>
      <c r="Z2187" t="inlineStr">
        <is>
          <t>1997-07-15</t>
        </is>
      </c>
      <c r="AA2187" t="n">
        <v>683</v>
      </c>
      <c r="AB2187" t="n">
        <v>620</v>
      </c>
      <c r="AC2187" t="n">
        <v>675</v>
      </c>
      <c r="AD2187" t="n">
        <v>5</v>
      </c>
      <c r="AE2187" t="n">
        <v>6</v>
      </c>
      <c r="AF2187" t="n">
        <v>42</v>
      </c>
      <c r="AG2187" t="n">
        <v>43</v>
      </c>
      <c r="AH2187" t="n">
        <v>18</v>
      </c>
      <c r="AI2187" t="n">
        <v>18</v>
      </c>
      <c r="AJ2187" t="n">
        <v>9</v>
      </c>
      <c r="AK2187" t="n">
        <v>9</v>
      </c>
      <c r="AL2187" t="n">
        <v>22</v>
      </c>
      <c r="AM2187" t="n">
        <v>22</v>
      </c>
      <c r="AN2187" t="n">
        <v>4</v>
      </c>
      <c r="AO2187" t="n">
        <v>5</v>
      </c>
      <c r="AP2187" t="n">
        <v>0</v>
      </c>
      <c r="AQ2187" t="n">
        <v>0</v>
      </c>
      <c r="AR2187" t="inlineStr">
        <is>
          <t>No</t>
        </is>
      </c>
      <c r="AS2187" t="inlineStr">
        <is>
          <t>Yes</t>
        </is>
      </c>
      <c r="AT2187">
        <f>HYPERLINK("http://catalog.hathitrust.org/Record/000590339","HathiTrust Record")</f>
        <v/>
      </c>
      <c r="AU2187">
        <f>HYPERLINK("https://creighton-primo.hosted.exlibrisgroup.com/primo-explore/search?tab=default_tab&amp;search_scope=EVERYTHING&amp;vid=01CRU&amp;lang=en_US&amp;offset=0&amp;query=any,contains,991002239079702656","Catalog Record")</f>
        <v/>
      </c>
      <c r="AV2187">
        <f>HYPERLINK("http://www.worldcat.org/oclc/296826","WorldCat Record")</f>
        <v/>
      </c>
      <c r="AW2187" t="inlineStr">
        <is>
          <t>198129191:eng</t>
        </is>
      </c>
      <c r="AX2187" t="inlineStr">
        <is>
          <t>296826</t>
        </is>
      </c>
      <c r="AY2187" t="inlineStr">
        <is>
          <t>991002239079702656</t>
        </is>
      </c>
      <c r="AZ2187" t="inlineStr">
        <is>
          <t>991002239079702656</t>
        </is>
      </c>
      <c r="BA2187" t="inlineStr">
        <is>
          <t>2262729780002656</t>
        </is>
      </c>
      <c r="BB2187" t="inlineStr">
        <is>
          <t>BOOK</t>
        </is>
      </c>
      <c r="BE2187" t="inlineStr">
        <is>
          <t>32285002925435</t>
        </is>
      </c>
      <c r="BF2187" t="inlineStr">
        <is>
          <t>893328841</t>
        </is>
      </c>
    </row>
    <row r="2188">
      <c r="A2188" t="inlineStr">
        <is>
          <t>No</t>
        </is>
      </c>
      <c r="B2188" t="inlineStr">
        <is>
          <t>CURAL</t>
        </is>
      </c>
      <c r="C2188" t="inlineStr">
        <is>
          <t>SHELVES</t>
        </is>
      </c>
      <c r="D2188" t="inlineStr">
        <is>
          <t>PR4873 .W5 1905</t>
        </is>
      </c>
      <c r="E2188" t="inlineStr">
        <is>
          <t>0                      PR 4873000W  5           1905</t>
        </is>
      </c>
      <c r="F2188" t="inlineStr">
        <is>
          <t>The Florence of Landor. With illustrations from photographs.</t>
        </is>
      </c>
      <c r="H2188" t="inlineStr">
        <is>
          <t>No</t>
        </is>
      </c>
      <c r="I2188" t="inlineStr">
        <is>
          <t>1</t>
        </is>
      </c>
      <c r="J2188" t="inlineStr">
        <is>
          <t>No</t>
        </is>
      </c>
      <c r="K2188" t="inlineStr">
        <is>
          <t>No</t>
        </is>
      </c>
      <c r="L2188" t="inlineStr">
        <is>
          <t>0</t>
        </is>
      </c>
      <c r="M2188" t="inlineStr">
        <is>
          <t>Whiting, Lilian, 1847-1942.</t>
        </is>
      </c>
      <c r="N2188" t="inlineStr">
        <is>
          <t>Boston, Little, Brown, 1905.</t>
        </is>
      </c>
      <c r="O2188" t="inlineStr">
        <is>
          <t>1905</t>
        </is>
      </c>
      <c r="Q2188" t="inlineStr">
        <is>
          <t>eng</t>
        </is>
      </c>
      <c r="R2188" t="inlineStr">
        <is>
          <t xml:space="preserve">xx </t>
        </is>
      </c>
      <c r="T2188" t="inlineStr">
        <is>
          <t xml:space="preserve">PR </t>
        </is>
      </c>
      <c r="U2188" t="n">
        <v>2</v>
      </c>
      <c r="V2188" t="n">
        <v>2</v>
      </c>
      <c r="W2188" t="inlineStr">
        <is>
          <t>2002-06-04</t>
        </is>
      </c>
      <c r="X2188" t="inlineStr">
        <is>
          <t>2002-06-04</t>
        </is>
      </c>
      <c r="Y2188" t="inlineStr">
        <is>
          <t>1997-07-15</t>
        </is>
      </c>
      <c r="Z2188" t="inlineStr">
        <is>
          <t>1997-07-15</t>
        </is>
      </c>
      <c r="AA2188" t="n">
        <v>166</v>
      </c>
      <c r="AB2188" t="n">
        <v>154</v>
      </c>
      <c r="AC2188" t="n">
        <v>220</v>
      </c>
      <c r="AD2188" t="n">
        <v>1</v>
      </c>
      <c r="AE2188" t="n">
        <v>2</v>
      </c>
      <c r="AF2188" t="n">
        <v>8</v>
      </c>
      <c r="AG2188" t="n">
        <v>14</v>
      </c>
      <c r="AH2188" t="n">
        <v>3</v>
      </c>
      <c r="AI2188" t="n">
        <v>5</v>
      </c>
      <c r="AJ2188" t="n">
        <v>1</v>
      </c>
      <c r="AK2188" t="n">
        <v>4</v>
      </c>
      <c r="AL2188" t="n">
        <v>6</v>
      </c>
      <c r="AM2188" t="n">
        <v>8</v>
      </c>
      <c r="AN2188" t="n">
        <v>0</v>
      </c>
      <c r="AO2188" t="n">
        <v>1</v>
      </c>
      <c r="AP2188" t="n">
        <v>0</v>
      </c>
      <c r="AQ2188" t="n">
        <v>0</v>
      </c>
      <c r="AR2188" t="inlineStr">
        <is>
          <t>Yes</t>
        </is>
      </c>
      <c r="AS2188" t="inlineStr">
        <is>
          <t>No</t>
        </is>
      </c>
      <c r="AT2188">
        <f>HYPERLINK("http://catalog.hathitrust.org/Record/007693721","HathiTrust Record")</f>
        <v/>
      </c>
      <c r="AU2188">
        <f>HYPERLINK("https://creighton-primo.hosted.exlibrisgroup.com/primo-explore/search?tab=default_tab&amp;search_scope=EVERYTHING&amp;vid=01CRU&amp;lang=en_US&amp;offset=0&amp;query=any,contains,991003492439702656","Catalog Record")</f>
        <v/>
      </c>
      <c r="AV2188">
        <f>HYPERLINK("http://www.worldcat.org/oclc/1042161","WorldCat Record")</f>
        <v/>
      </c>
      <c r="AW2188" t="inlineStr">
        <is>
          <t>1681506:eng</t>
        </is>
      </c>
      <c r="AX2188" t="inlineStr">
        <is>
          <t>1042161</t>
        </is>
      </c>
      <c r="AY2188" t="inlineStr">
        <is>
          <t>991003492439702656</t>
        </is>
      </c>
      <c r="AZ2188" t="inlineStr">
        <is>
          <t>991003492439702656</t>
        </is>
      </c>
      <c r="BA2188" t="inlineStr">
        <is>
          <t>2268997460002656</t>
        </is>
      </c>
      <c r="BB2188" t="inlineStr">
        <is>
          <t>BOOK</t>
        </is>
      </c>
      <c r="BE2188" t="inlineStr">
        <is>
          <t>32285002925443</t>
        </is>
      </c>
      <c r="BF2188" t="inlineStr">
        <is>
          <t>893348729</t>
        </is>
      </c>
    </row>
    <row r="2189">
      <c r="A2189" t="inlineStr">
        <is>
          <t>No</t>
        </is>
      </c>
      <c r="B2189" t="inlineStr">
        <is>
          <t>CURAL</t>
        </is>
      </c>
      <c r="C2189" t="inlineStr">
        <is>
          <t>SHELVES</t>
        </is>
      </c>
      <c r="D2189" t="inlineStr">
        <is>
          <t>PR4877 .G68</t>
        </is>
      </c>
      <c r="E2189" t="inlineStr">
        <is>
          <t>0                      PR 4877000G  68</t>
        </is>
      </c>
      <c r="F2189" t="inlineStr">
        <is>
          <t>Andrew Lang, a critical biography with a short-title bibliography of the works of Andrew Lang [by] Roger Lancelyn Green.</t>
        </is>
      </c>
      <c r="H2189" t="inlineStr">
        <is>
          <t>No</t>
        </is>
      </c>
      <c r="I2189" t="inlineStr">
        <is>
          <t>1</t>
        </is>
      </c>
      <c r="J2189" t="inlineStr">
        <is>
          <t>No</t>
        </is>
      </c>
      <c r="K2189" t="inlineStr">
        <is>
          <t>No</t>
        </is>
      </c>
      <c r="L2189" t="inlineStr">
        <is>
          <t>0</t>
        </is>
      </c>
      <c r="M2189" t="inlineStr">
        <is>
          <t>Green, Roger Lancelyn.</t>
        </is>
      </c>
      <c r="N2189" t="inlineStr">
        <is>
          <t>Leicester, Eng., E. Ward [1946]</t>
        </is>
      </c>
      <c r="O2189" t="inlineStr">
        <is>
          <t>1946</t>
        </is>
      </c>
      <c r="Q2189" t="inlineStr">
        <is>
          <t>eng</t>
        </is>
      </c>
      <c r="R2189" t="inlineStr">
        <is>
          <t>enk</t>
        </is>
      </c>
      <c r="T2189" t="inlineStr">
        <is>
          <t xml:space="preserve">PR </t>
        </is>
      </c>
      <c r="U2189" t="n">
        <v>1</v>
      </c>
      <c r="V2189" t="n">
        <v>1</v>
      </c>
      <c r="W2189" t="inlineStr">
        <is>
          <t>2010-10-04</t>
        </is>
      </c>
      <c r="X2189" t="inlineStr">
        <is>
          <t>2010-10-04</t>
        </is>
      </c>
      <c r="Y2189" t="inlineStr">
        <is>
          <t>1997-07-15</t>
        </is>
      </c>
      <c r="Z2189" t="inlineStr">
        <is>
          <t>1997-07-15</t>
        </is>
      </c>
      <c r="AA2189" t="n">
        <v>481</v>
      </c>
      <c r="AB2189" t="n">
        <v>367</v>
      </c>
      <c r="AC2189" t="n">
        <v>377</v>
      </c>
      <c r="AD2189" t="n">
        <v>2</v>
      </c>
      <c r="AE2189" t="n">
        <v>2</v>
      </c>
      <c r="AF2189" t="n">
        <v>20</v>
      </c>
      <c r="AG2189" t="n">
        <v>20</v>
      </c>
      <c r="AH2189" t="n">
        <v>7</v>
      </c>
      <c r="AI2189" t="n">
        <v>7</v>
      </c>
      <c r="AJ2189" t="n">
        <v>5</v>
      </c>
      <c r="AK2189" t="n">
        <v>5</v>
      </c>
      <c r="AL2189" t="n">
        <v>12</v>
      </c>
      <c r="AM2189" t="n">
        <v>12</v>
      </c>
      <c r="AN2189" t="n">
        <v>1</v>
      </c>
      <c r="AO2189" t="n">
        <v>1</v>
      </c>
      <c r="AP2189" t="n">
        <v>0</v>
      </c>
      <c r="AQ2189" t="n">
        <v>0</v>
      </c>
      <c r="AR2189" t="inlineStr">
        <is>
          <t>No</t>
        </is>
      </c>
      <c r="AS2189" t="inlineStr">
        <is>
          <t>Yes</t>
        </is>
      </c>
      <c r="AT2189">
        <f>HYPERLINK("http://catalog.hathitrust.org/Record/000536352","HathiTrust Record")</f>
        <v/>
      </c>
      <c r="AU2189">
        <f>HYPERLINK("https://creighton-primo.hosted.exlibrisgroup.com/primo-explore/search?tab=default_tab&amp;search_scope=EVERYTHING&amp;vid=01CRU&amp;lang=en_US&amp;offset=0&amp;query=any,contains,991001935809702656","Catalog Record")</f>
        <v/>
      </c>
      <c r="AV2189">
        <f>HYPERLINK("http://www.worldcat.org/oclc/250504","WorldCat Record")</f>
        <v/>
      </c>
      <c r="AW2189" t="inlineStr">
        <is>
          <t>1336968:eng</t>
        </is>
      </c>
      <c r="AX2189" t="inlineStr">
        <is>
          <t>250504</t>
        </is>
      </c>
      <c r="AY2189" t="inlineStr">
        <is>
          <t>991001935809702656</t>
        </is>
      </c>
      <c r="AZ2189" t="inlineStr">
        <is>
          <t>991001935809702656</t>
        </is>
      </c>
      <c r="BA2189" t="inlineStr">
        <is>
          <t>2266906660002656</t>
        </is>
      </c>
      <c r="BB2189" t="inlineStr">
        <is>
          <t>BOOK</t>
        </is>
      </c>
      <c r="BE2189" t="inlineStr">
        <is>
          <t>32285002925484</t>
        </is>
      </c>
      <c r="BF2189" t="inlineStr">
        <is>
          <t>893615493</t>
        </is>
      </c>
    </row>
    <row r="2190">
      <c r="A2190" t="inlineStr">
        <is>
          <t>No</t>
        </is>
      </c>
      <c r="B2190" t="inlineStr">
        <is>
          <t>CURAL</t>
        </is>
      </c>
      <c r="C2190" t="inlineStr">
        <is>
          <t>SHELVES</t>
        </is>
      </c>
      <c r="D2190" t="inlineStr">
        <is>
          <t>PR4879.L7 Z76</t>
        </is>
      </c>
      <c r="E2190" t="inlineStr">
        <is>
          <t>0                      PR 4879000L  7                  Z  76</t>
        </is>
      </c>
      <c r="F2190" t="inlineStr">
        <is>
          <t>Sheridan Le Fanu and Victorian Ireland / W. J. McCormack.</t>
        </is>
      </c>
      <c r="H2190" t="inlineStr">
        <is>
          <t>No</t>
        </is>
      </c>
      <c r="I2190" t="inlineStr">
        <is>
          <t>1</t>
        </is>
      </c>
      <c r="J2190" t="inlineStr">
        <is>
          <t>No</t>
        </is>
      </c>
      <c r="K2190" t="inlineStr">
        <is>
          <t>No</t>
        </is>
      </c>
      <c r="L2190" t="inlineStr">
        <is>
          <t>0</t>
        </is>
      </c>
      <c r="M2190" t="inlineStr">
        <is>
          <t>McCormack, W. J.</t>
        </is>
      </c>
      <c r="N2190" t="inlineStr">
        <is>
          <t>Oxford : Clarendon Press ; New York : Oxford University Press, c1980.</t>
        </is>
      </c>
      <c r="O2190" t="inlineStr">
        <is>
          <t>1980</t>
        </is>
      </c>
      <c r="Q2190" t="inlineStr">
        <is>
          <t>eng</t>
        </is>
      </c>
      <c r="R2190" t="inlineStr">
        <is>
          <t>enk</t>
        </is>
      </c>
      <c r="T2190" t="inlineStr">
        <is>
          <t xml:space="preserve">PR </t>
        </is>
      </c>
      <c r="U2190" t="n">
        <v>3</v>
      </c>
      <c r="V2190" t="n">
        <v>3</v>
      </c>
      <c r="W2190" t="inlineStr">
        <is>
          <t>2003-11-16</t>
        </is>
      </c>
      <c r="X2190" t="inlineStr">
        <is>
          <t>2003-11-16</t>
        </is>
      </c>
      <c r="Y2190" t="inlineStr">
        <is>
          <t>1991-11-12</t>
        </is>
      </c>
      <c r="Z2190" t="inlineStr">
        <is>
          <t>1991-11-12</t>
        </is>
      </c>
      <c r="AA2190" t="n">
        <v>416</v>
      </c>
      <c r="AB2190" t="n">
        <v>274</v>
      </c>
      <c r="AC2190" t="n">
        <v>299</v>
      </c>
      <c r="AD2190" t="n">
        <v>4</v>
      </c>
      <c r="AE2190" t="n">
        <v>4</v>
      </c>
      <c r="AF2190" t="n">
        <v>16</v>
      </c>
      <c r="AG2190" t="n">
        <v>17</v>
      </c>
      <c r="AH2190" t="n">
        <v>4</v>
      </c>
      <c r="AI2190" t="n">
        <v>5</v>
      </c>
      <c r="AJ2190" t="n">
        <v>6</v>
      </c>
      <c r="AK2190" t="n">
        <v>7</v>
      </c>
      <c r="AL2190" t="n">
        <v>6</v>
      </c>
      <c r="AM2190" t="n">
        <v>6</v>
      </c>
      <c r="AN2190" t="n">
        <v>3</v>
      </c>
      <c r="AO2190" t="n">
        <v>3</v>
      </c>
      <c r="AP2190" t="n">
        <v>0</v>
      </c>
      <c r="AQ2190" t="n">
        <v>0</v>
      </c>
      <c r="AR2190" t="inlineStr">
        <is>
          <t>No</t>
        </is>
      </c>
      <c r="AS2190" t="inlineStr">
        <is>
          <t>Yes</t>
        </is>
      </c>
      <c r="AT2190">
        <f>HYPERLINK("http://catalog.hathitrust.org/Record/000699346","HathiTrust Record")</f>
        <v/>
      </c>
      <c r="AU2190">
        <f>HYPERLINK("https://creighton-primo.hosted.exlibrisgroup.com/primo-explore/search?tab=default_tab&amp;search_scope=EVERYTHING&amp;vid=01CRU&amp;lang=en_US&amp;offset=0&amp;query=any,contains,991004940159702656","Catalog Record")</f>
        <v/>
      </c>
      <c r="AV2190">
        <f>HYPERLINK("http://www.worldcat.org/oclc/6176924","WorldCat Record")</f>
        <v/>
      </c>
      <c r="AW2190" t="inlineStr">
        <is>
          <t>415776:eng</t>
        </is>
      </c>
      <c r="AX2190" t="inlineStr">
        <is>
          <t>6176924</t>
        </is>
      </c>
      <c r="AY2190" t="inlineStr">
        <is>
          <t>991004940159702656</t>
        </is>
      </c>
      <c r="AZ2190" t="inlineStr">
        <is>
          <t>991004940159702656</t>
        </is>
      </c>
      <c r="BA2190" t="inlineStr">
        <is>
          <t>2257844200002656</t>
        </is>
      </c>
      <c r="BB2190" t="inlineStr">
        <is>
          <t>BOOK</t>
        </is>
      </c>
      <c r="BD2190" t="inlineStr">
        <is>
          <t>9780198126294</t>
        </is>
      </c>
      <c r="BE2190" t="inlineStr">
        <is>
          <t>32285000822303</t>
        </is>
      </c>
      <c r="BF2190" t="inlineStr">
        <is>
          <t>893412114</t>
        </is>
      </c>
    </row>
    <row r="2191">
      <c r="A2191" t="inlineStr">
        <is>
          <t>No</t>
        </is>
      </c>
      <c r="B2191" t="inlineStr">
        <is>
          <t>CURAL</t>
        </is>
      </c>
      <c r="C2191" t="inlineStr">
        <is>
          <t>SHELVES</t>
        </is>
      </c>
      <c r="D2191" t="inlineStr">
        <is>
          <t>PR4885 .C47 1991</t>
        </is>
      </c>
      <c r="E2191" t="inlineStr">
        <is>
          <t>0                      PR 4885000C  47          1991</t>
        </is>
      </c>
      <c r="F2191" t="inlineStr">
        <is>
          <t>Charles Lever : new evaluations / edited by Tony Bareham.</t>
        </is>
      </c>
      <c r="H2191" t="inlineStr">
        <is>
          <t>No</t>
        </is>
      </c>
      <c r="I2191" t="inlineStr">
        <is>
          <t>1</t>
        </is>
      </c>
      <c r="J2191" t="inlineStr">
        <is>
          <t>No</t>
        </is>
      </c>
      <c r="K2191" t="inlineStr">
        <is>
          <t>No</t>
        </is>
      </c>
      <c r="L2191" t="inlineStr">
        <is>
          <t>0</t>
        </is>
      </c>
      <c r="N2191" t="inlineStr">
        <is>
          <t>Savage, Md. : Barnes &amp; Noble Books, 1991.</t>
        </is>
      </c>
      <c r="O2191" t="inlineStr">
        <is>
          <t>1991</t>
        </is>
      </c>
      <c r="Q2191" t="inlineStr">
        <is>
          <t>eng</t>
        </is>
      </c>
      <c r="R2191" t="inlineStr">
        <is>
          <t>mdu</t>
        </is>
      </c>
      <c r="S2191" t="inlineStr">
        <is>
          <t>Ulster editions and monographs ; 3</t>
        </is>
      </c>
      <c r="T2191" t="inlineStr">
        <is>
          <t xml:space="preserve">PR </t>
        </is>
      </c>
      <c r="U2191" t="n">
        <v>3</v>
      </c>
      <c r="V2191" t="n">
        <v>3</v>
      </c>
      <c r="W2191" t="inlineStr">
        <is>
          <t>2005-11-10</t>
        </is>
      </c>
      <c r="X2191" t="inlineStr">
        <is>
          <t>2005-11-10</t>
        </is>
      </c>
      <c r="Y2191" t="inlineStr">
        <is>
          <t>1992-03-25</t>
        </is>
      </c>
      <c r="Z2191" t="inlineStr">
        <is>
          <t>1992-03-25</t>
        </is>
      </c>
      <c r="AA2191" t="n">
        <v>104</v>
      </c>
      <c r="AB2191" t="n">
        <v>91</v>
      </c>
      <c r="AC2191" t="n">
        <v>117</v>
      </c>
      <c r="AD2191" t="n">
        <v>1</v>
      </c>
      <c r="AE2191" t="n">
        <v>1</v>
      </c>
      <c r="AF2191" t="n">
        <v>5</v>
      </c>
      <c r="AG2191" t="n">
        <v>5</v>
      </c>
      <c r="AH2191" t="n">
        <v>1</v>
      </c>
      <c r="AI2191" t="n">
        <v>1</v>
      </c>
      <c r="AJ2191" t="n">
        <v>2</v>
      </c>
      <c r="AK2191" t="n">
        <v>2</v>
      </c>
      <c r="AL2191" t="n">
        <v>3</v>
      </c>
      <c r="AM2191" t="n">
        <v>3</v>
      </c>
      <c r="AN2191" t="n">
        <v>0</v>
      </c>
      <c r="AO2191" t="n">
        <v>0</v>
      </c>
      <c r="AP2191" t="n">
        <v>0</v>
      </c>
      <c r="AQ2191" t="n">
        <v>0</v>
      </c>
      <c r="AR2191" t="inlineStr">
        <is>
          <t>No</t>
        </is>
      </c>
      <c r="AS2191" t="inlineStr">
        <is>
          <t>No</t>
        </is>
      </c>
      <c r="AU2191">
        <f>HYPERLINK("https://creighton-primo.hosted.exlibrisgroup.com/primo-explore/search?tab=default_tab&amp;search_scope=EVERYTHING&amp;vid=01CRU&amp;lang=en_US&amp;offset=0&amp;query=any,contains,991001928499702656","Catalog Record")</f>
        <v/>
      </c>
      <c r="AV2191">
        <f>HYPERLINK("http://www.worldcat.org/oclc/24373369","WorldCat Record")</f>
        <v/>
      </c>
      <c r="AW2191" t="inlineStr">
        <is>
          <t>28674700:eng</t>
        </is>
      </c>
      <c r="AX2191" t="inlineStr">
        <is>
          <t>24373369</t>
        </is>
      </c>
      <c r="AY2191" t="inlineStr">
        <is>
          <t>991001928499702656</t>
        </is>
      </c>
      <c r="AZ2191" t="inlineStr">
        <is>
          <t>991001928499702656</t>
        </is>
      </c>
      <c r="BA2191" t="inlineStr">
        <is>
          <t>2268748080002656</t>
        </is>
      </c>
      <c r="BB2191" t="inlineStr">
        <is>
          <t>BOOK</t>
        </is>
      </c>
      <c r="BD2191" t="inlineStr">
        <is>
          <t>9780389209645</t>
        </is>
      </c>
      <c r="BE2191" t="inlineStr">
        <is>
          <t>32285001006674</t>
        </is>
      </c>
      <c r="BF2191" t="inlineStr">
        <is>
          <t>893529340</t>
        </is>
      </c>
    </row>
    <row r="2192">
      <c r="A2192" t="inlineStr">
        <is>
          <t>No</t>
        </is>
      </c>
      <c r="B2192" t="inlineStr">
        <is>
          <t>CURAL</t>
        </is>
      </c>
      <c r="C2192" t="inlineStr">
        <is>
          <t>SHELVES</t>
        </is>
      </c>
      <c r="D2192" t="inlineStr">
        <is>
          <t>PR4885 .S8 1969</t>
        </is>
      </c>
      <c r="E2192" t="inlineStr">
        <is>
          <t>0                      PR 4885000S  8           1969</t>
        </is>
      </c>
      <c r="F2192" t="inlineStr">
        <is>
          <t>Dr. Quicksilver; the life of Charles Lever.</t>
        </is>
      </c>
      <c r="H2192" t="inlineStr">
        <is>
          <t>No</t>
        </is>
      </c>
      <c r="I2192" t="inlineStr">
        <is>
          <t>1</t>
        </is>
      </c>
      <c r="J2192" t="inlineStr">
        <is>
          <t>No</t>
        </is>
      </c>
      <c r="K2192" t="inlineStr">
        <is>
          <t>No</t>
        </is>
      </c>
      <c r="L2192" t="inlineStr">
        <is>
          <t>0</t>
        </is>
      </c>
      <c r="M2192" t="inlineStr">
        <is>
          <t>Stevenson, Lionel, 1902-1973.</t>
        </is>
      </c>
      <c r="N2192" t="inlineStr">
        <is>
          <t>New York, Russell &amp; Russell [1969]</t>
        </is>
      </c>
      <c r="O2192" t="inlineStr">
        <is>
          <t>1969</t>
        </is>
      </c>
      <c r="Q2192" t="inlineStr">
        <is>
          <t>eng</t>
        </is>
      </c>
      <c r="R2192" t="inlineStr">
        <is>
          <t>nyu</t>
        </is>
      </c>
      <c r="T2192" t="inlineStr">
        <is>
          <t xml:space="preserve">PR </t>
        </is>
      </c>
      <c r="U2192" t="n">
        <v>2</v>
      </c>
      <c r="V2192" t="n">
        <v>2</v>
      </c>
      <c r="W2192" t="inlineStr">
        <is>
          <t>2004-09-27</t>
        </is>
      </c>
      <c r="X2192" t="inlineStr">
        <is>
          <t>2004-09-27</t>
        </is>
      </c>
      <c r="Y2192" t="inlineStr">
        <is>
          <t>1997-07-15</t>
        </is>
      </c>
      <c r="Z2192" t="inlineStr">
        <is>
          <t>1997-07-15</t>
        </is>
      </c>
      <c r="AA2192" t="n">
        <v>134</v>
      </c>
      <c r="AB2192" t="n">
        <v>118</v>
      </c>
      <c r="AC2192" t="n">
        <v>181</v>
      </c>
      <c r="AD2192" t="n">
        <v>2</v>
      </c>
      <c r="AE2192" t="n">
        <v>2</v>
      </c>
      <c r="AF2192" t="n">
        <v>5</v>
      </c>
      <c r="AG2192" t="n">
        <v>8</v>
      </c>
      <c r="AH2192" t="n">
        <v>1</v>
      </c>
      <c r="AI2192" t="n">
        <v>2</v>
      </c>
      <c r="AJ2192" t="n">
        <v>1</v>
      </c>
      <c r="AK2192" t="n">
        <v>3</v>
      </c>
      <c r="AL2192" t="n">
        <v>3</v>
      </c>
      <c r="AM2192" t="n">
        <v>4</v>
      </c>
      <c r="AN2192" t="n">
        <v>1</v>
      </c>
      <c r="AO2192" t="n">
        <v>1</v>
      </c>
      <c r="AP2192" t="n">
        <v>0</v>
      </c>
      <c r="AQ2192" t="n">
        <v>0</v>
      </c>
      <c r="AR2192" t="inlineStr">
        <is>
          <t>No</t>
        </is>
      </c>
      <c r="AS2192" t="inlineStr">
        <is>
          <t>Yes</t>
        </is>
      </c>
      <c r="AT2192">
        <f>HYPERLINK("http://catalog.hathitrust.org/Record/009973779","HathiTrust Record")</f>
        <v/>
      </c>
      <c r="AU2192">
        <f>HYPERLINK("https://creighton-primo.hosted.exlibrisgroup.com/primo-explore/search?tab=default_tab&amp;search_scope=EVERYTHING&amp;vid=01CRU&amp;lang=en_US&amp;offset=0&amp;query=any,contains,991000001699702656","Catalog Record")</f>
        <v/>
      </c>
      <c r="AV2192">
        <f>HYPERLINK("http://www.worldcat.org/oclc/10621","WorldCat Record")</f>
        <v/>
      </c>
      <c r="AW2192" t="inlineStr">
        <is>
          <t>1133743:eng</t>
        </is>
      </c>
      <c r="AX2192" t="inlineStr">
        <is>
          <t>10621</t>
        </is>
      </c>
      <c r="AY2192" t="inlineStr">
        <is>
          <t>991000001699702656</t>
        </is>
      </c>
      <c r="AZ2192" t="inlineStr">
        <is>
          <t>991000001699702656</t>
        </is>
      </c>
      <c r="BA2192" t="inlineStr">
        <is>
          <t>2268078490002656</t>
        </is>
      </c>
      <c r="BB2192" t="inlineStr">
        <is>
          <t>BOOK</t>
        </is>
      </c>
      <c r="BE2192" t="inlineStr">
        <is>
          <t>32285002925591</t>
        </is>
      </c>
      <c r="BF2192" t="inlineStr">
        <is>
          <t>893333106</t>
        </is>
      </c>
    </row>
    <row r="2193">
      <c r="A2193" t="inlineStr">
        <is>
          <t>No</t>
        </is>
      </c>
      <c r="B2193" t="inlineStr">
        <is>
          <t>CURAL</t>
        </is>
      </c>
      <c r="C2193" t="inlineStr">
        <is>
          <t>SHELVES</t>
        </is>
      </c>
      <c r="D2193" t="inlineStr">
        <is>
          <t>PR4886.L4 Z68</t>
        </is>
      </c>
      <c r="E2193" t="inlineStr">
        <is>
          <t>0                      PR 4886000L  4                  Z  68</t>
        </is>
      </c>
      <c r="F2193" t="inlineStr">
        <is>
          <t>George Henry Lewes / by Edgar W. Hirshberg.</t>
        </is>
      </c>
      <c r="H2193" t="inlineStr">
        <is>
          <t>No</t>
        </is>
      </c>
      <c r="I2193" t="inlineStr">
        <is>
          <t>1</t>
        </is>
      </c>
      <c r="J2193" t="inlineStr">
        <is>
          <t>No</t>
        </is>
      </c>
      <c r="K2193" t="inlineStr">
        <is>
          <t>No</t>
        </is>
      </c>
      <c r="L2193" t="inlineStr">
        <is>
          <t>0</t>
        </is>
      </c>
      <c r="M2193" t="inlineStr">
        <is>
          <t>Hirshberg, Edgar W.</t>
        </is>
      </c>
      <c r="N2193" t="inlineStr">
        <is>
          <t>New York : Twayne Publishers, [1970]</t>
        </is>
      </c>
      <c r="O2193" t="inlineStr">
        <is>
          <t>1970</t>
        </is>
      </c>
      <c r="Q2193" t="inlineStr">
        <is>
          <t>eng</t>
        </is>
      </c>
      <c r="R2193" t="inlineStr">
        <is>
          <t>nyu</t>
        </is>
      </c>
      <c r="S2193" t="inlineStr">
        <is>
          <t>Twayne's English authors series ; TEAS 100</t>
        </is>
      </c>
      <c r="T2193" t="inlineStr">
        <is>
          <t xml:space="preserve">PR </t>
        </is>
      </c>
      <c r="U2193" t="n">
        <v>2</v>
      </c>
      <c r="V2193" t="n">
        <v>2</v>
      </c>
      <c r="W2193" t="inlineStr">
        <is>
          <t>2002-12-05</t>
        </is>
      </c>
      <c r="X2193" t="inlineStr">
        <is>
          <t>2002-12-05</t>
        </is>
      </c>
      <c r="Y2193" t="inlineStr">
        <is>
          <t>1993-11-08</t>
        </is>
      </c>
      <c r="Z2193" t="inlineStr">
        <is>
          <t>1993-11-08</t>
        </is>
      </c>
      <c r="AA2193" t="n">
        <v>663</v>
      </c>
      <c r="AB2193" t="n">
        <v>587</v>
      </c>
      <c r="AC2193" t="n">
        <v>595</v>
      </c>
      <c r="AD2193" t="n">
        <v>7</v>
      </c>
      <c r="AE2193" t="n">
        <v>7</v>
      </c>
      <c r="AF2193" t="n">
        <v>28</v>
      </c>
      <c r="AG2193" t="n">
        <v>28</v>
      </c>
      <c r="AH2193" t="n">
        <v>9</v>
      </c>
      <c r="AI2193" t="n">
        <v>9</v>
      </c>
      <c r="AJ2193" t="n">
        <v>7</v>
      </c>
      <c r="AK2193" t="n">
        <v>7</v>
      </c>
      <c r="AL2193" t="n">
        <v>14</v>
      </c>
      <c r="AM2193" t="n">
        <v>14</v>
      </c>
      <c r="AN2193" t="n">
        <v>6</v>
      </c>
      <c r="AO2193" t="n">
        <v>6</v>
      </c>
      <c r="AP2193" t="n">
        <v>0</v>
      </c>
      <c r="AQ2193" t="n">
        <v>0</v>
      </c>
      <c r="AR2193" t="inlineStr">
        <is>
          <t>No</t>
        </is>
      </c>
      <c r="AS2193" t="inlineStr">
        <is>
          <t>Yes</t>
        </is>
      </c>
      <c r="AT2193">
        <f>HYPERLINK("http://catalog.hathitrust.org/Record/001375953","HathiTrust Record")</f>
        <v/>
      </c>
      <c r="AU2193">
        <f>HYPERLINK("https://creighton-primo.hosted.exlibrisgroup.com/primo-explore/search?tab=default_tab&amp;search_scope=EVERYTHING&amp;vid=01CRU&amp;lang=en_US&amp;offset=0&amp;query=any,contains,991000695499702656","Catalog Record")</f>
        <v/>
      </c>
      <c r="AV2193">
        <f>HYPERLINK("http://www.worldcat.org/oclc/123931","WorldCat Record")</f>
        <v/>
      </c>
      <c r="AW2193" t="inlineStr">
        <is>
          <t>1247629:eng</t>
        </is>
      </c>
      <c r="AX2193" t="inlineStr">
        <is>
          <t>123931</t>
        </is>
      </c>
      <c r="AY2193" t="inlineStr">
        <is>
          <t>991000695499702656</t>
        </is>
      </c>
      <c r="AZ2193" t="inlineStr">
        <is>
          <t>991000695499702656</t>
        </is>
      </c>
      <c r="BA2193" t="inlineStr">
        <is>
          <t>2263750000002656</t>
        </is>
      </c>
      <c r="BB2193" t="inlineStr">
        <is>
          <t>BOOK</t>
        </is>
      </c>
      <c r="BE2193" t="inlineStr">
        <is>
          <t>32285001797397</t>
        </is>
      </c>
      <c r="BF2193" t="inlineStr">
        <is>
          <t>893502719</t>
        </is>
      </c>
    </row>
    <row r="2194">
      <c r="A2194" t="inlineStr">
        <is>
          <t>No</t>
        </is>
      </c>
      <c r="B2194" t="inlineStr">
        <is>
          <t>CURAL</t>
        </is>
      </c>
      <c r="C2194" t="inlineStr">
        <is>
          <t>SHELVES</t>
        </is>
      </c>
      <c r="D2194" t="inlineStr">
        <is>
          <t>PR4886.L4 Z97 1983</t>
        </is>
      </c>
      <c r="E2194" t="inlineStr">
        <is>
          <t>0                      PR 4886000L  4                  Z  97          1983</t>
        </is>
      </c>
      <c r="F2194" t="inlineStr">
        <is>
          <t>Mr. George Eliot : a biography of George Henry Lewes / by David Williams.</t>
        </is>
      </c>
      <c r="H2194" t="inlineStr">
        <is>
          <t>No</t>
        </is>
      </c>
      <c r="I2194" t="inlineStr">
        <is>
          <t>1</t>
        </is>
      </c>
      <c r="J2194" t="inlineStr">
        <is>
          <t>No</t>
        </is>
      </c>
      <c r="K2194" t="inlineStr">
        <is>
          <t>No</t>
        </is>
      </c>
      <c r="L2194" t="inlineStr">
        <is>
          <t>0</t>
        </is>
      </c>
      <c r="M2194" t="inlineStr">
        <is>
          <t>Williams, David, 1909-1983.</t>
        </is>
      </c>
      <c r="N2194" t="inlineStr">
        <is>
          <t>New York : F. Watts, 1983.</t>
        </is>
      </c>
      <c r="O2194" t="inlineStr">
        <is>
          <t>1983</t>
        </is>
      </c>
      <c r="Q2194" t="inlineStr">
        <is>
          <t>eng</t>
        </is>
      </c>
      <c r="R2194" t="inlineStr">
        <is>
          <t>nyu</t>
        </is>
      </c>
      <c r="T2194" t="inlineStr">
        <is>
          <t xml:space="preserve">PR </t>
        </is>
      </c>
      <c r="U2194" t="n">
        <v>2</v>
      </c>
      <c r="V2194" t="n">
        <v>2</v>
      </c>
      <c r="W2194" t="inlineStr">
        <is>
          <t>2002-12-05</t>
        </is>
      </c>
      <c r="X2194" t="inlineStr">
        <is>
          <t>2002-12-05</t>
        </is>
      </c>
      <c r="Y2194" t="inlineStr">
        <is>
          <t>1991-11-12</t>
        </is>
      </c>
      <c r="Z2194" t="inlineStr">
        <is>
          <t>1991-11-12</t>
        </is>
      </c>
      <c r="AA2194" t="n">
        <v>343</v>
      </c>
      <c r="AB2194" t="n">
        <v>322</v>
      </c>
      <c r="AC2194" t="n">
        <v>394</v>
      </c>
      <c r="AD2194" t="n">
        <v>1</v>
      </c>
      <c r="AE2194" t="n">
        <v>3</v>
      </c>
      <c r="AF2194" t="n">
        <v>15</v>
      </c>
      <c r="AG2194" t="n">
        <v>18</v>
      </c>
      <c r="AH2194" t="n">
        <v>8</v>
      </c>
      <c r="AI2194" t="n">
        <v>9</v>
      </c>
      <c r="AJ2194" t="n">
        <v>3</v>
      </c>
      <c r="AK2194" t="n">
        <v>4</v>
      </c>
      <c r="AL2194" t="n">
        <v>8</v>
      </c>
      <c r="AM2194" t="n">
        <v>8</v>
      </c>
      <c r="AN2194" t="n">
        <v>0</v>
      </c>
      <c r="AO2194" t="n">
        <v>2</v>
      </c>
      <c r="AP2194" t="n">
        <v>0</v>
      </c>
      <c r="AQ2194" t="n">
        <v>0</v>
      </c>
      <c r="AR2194" t="inlineStr">
        <is>
          <t>No</t>
        </is>
      </c>
      <c r="AS2194" t="inlineStr">
        <is>
          <t>No</t>
        </is>
      </c>
      <c r="AU2194">
        <f>HYPERLINK("https://creighton-primo.hosted.exlibrisgroup.com/primo-explore/search?tab=default_tab&amp;search_scope=EVERYTHING&amp;vid=01CRU&amp;lang=en_US&amp;offset=0&amp;query=any,contains,991000210219702656","Catalog Record")</f>
        <v/>
      </c>
      <c r="AV2194">
        <f>HYPERLINK("http://www.worldcat.org/oclc/9533477","WorldCat Record")</f>
        <v/>
      </c>
      <c r="AW2194" t="inlineStr">
        <is>
          <t>815115732:eng</t>
        </is>
      </c>
      <c r="AX2194" t="inlineStr">
        <is>
          <t>9533477</t>
        </is>
      </c>
      <c r="AY2194" t="inlineStr">
        <is>
          <t>991000210219702656</t>
        </is>
      </c>
      <c r="AZ2194" t="inlineStr">
        <is>
          <t>991000210219702656</t>
        </is>
      </c>
      <c r="BA2194" t="inlineStr">
        <is>
          <t>2263081750002656</t>
        </is>
      </c>
      <c r="BB2194" t="inlineStr">
        <is>
          <t>BOOK</t>
        </is>
      </c>
      <c r="BD2194" t="inlineStr">
        <is>
          <t>9780531098134</t>
        </is>
      </c>
      <c r="BE2194" t="inlineStr">
        <is>
          <t>32285000822329</t>
        </is>
      </c>
      <c r="BF2194" t="inlineStr">
        <is>
          <t>893413190</t>
        </is>
      </c>
    </row>
    <row r="2195">
      <c r="A2195" t="inlineStr">
        <is>
          <t>No</t>
        </is>
      </c>
      <c r="B2195" t="inlineStr">
        <is>
          <t>CURAL</t>
        </is>
      </c>
      <c r="C2195" t="inlineStr">
        <is>
          <t>SHELVES</t>
        </is>
      </c>
      <c r="D2195" t="inlineStr">
        <is>
          <t>PR4963 .A1 1871</t>
        </is>
      </c>
      <c r="E2195" t="inlineStr">
        <is>
          <t>0                      PR 4963000A  1           1871</t>
        </is>
      </c>
      <c r="F2195" t="inlineStr">
        <is>
          <t>The miscellaneous writings and speeches of Lord Macaulay.</t>
        </is>
      </c>
      <c r="H2195" t="inlineStr">
        <is>
          <t>No</t>
        </is>
      </c>
      <c r="I2195" t="inlineStr">
        <is>
          <t>1</t>
        </is>
      </c>
      <c r="J2195" t="inlineStr">
        <is>
          <t>No</t>
        </is>
      </c>
      <c r="K2195" t="inlineStr">
        <is>
          <t>No</t>
        </is>
      </c>
      <c r="L2195" t="inlineStr">
        <is>
          <t>0</t>
        </is>
      </c>
      <c r="M2195" t="inlineStr">
        <is>
          <t>Macaulay, Thomas Babington Macaulay, Baron, 1800-1859.</t>
        </is>
      </c>
      <c r="N2195" t="inlineStr">
        <is>
          <t>London : Longmans, Green, Reader &amp; Dyer, 1871.</t>
        </is>
      </c>
      <c r="O2195" t="inlineStr">
        <is>
          <t>1871</t>
        </is>
      </c>
      <c r="P2195" t="inlineStr">
        <is>
          <t>New ed.</t>
        </is>
      </c>
      <c r="Q2195" t="inlineStr">
        <is>
          <t>eng</t>
        </is>
      </c>
      <c r="R2195" t="inlineStr">
        <is>
          <t>enk</t>
        </is>
      </c>
      <c r="T2195" t="inlineStr">
        <is>
          <t xml:space="preserve">PR </t>
        </is>
      </c>
      <c r="U2195" t="n">
        <v>0</v>
      </c>
      <c r="V2195" t="n">
        <v>0</v>
      </c>
      <c r="W2195" t="inlineStr">
        <is>
          <t>2006-06-29</t>
        </is>
      </c>
      <c r="X2195" t="inlineStr">
        <is>
          <t>2006-06-29</t>
        </is>
      </c>
      <c r="Y2195" t="inlineStr">
        <is>
          <t>1997-07-16</t>
        </is>
      </c>
      <c r="Z2195" t="inlineStr">
        <is>
          <t>1997-07-16</t>
        </is>
      </c>
      <c r="AA2195" t="n">
        <v>20</v>
      </c>
      <c r="AB2195" t="n">
        <v>7</v>
      </c>
      <c r="AC2195" t="n">
        <v>112</v>
      </c>
      <c r="AD2195" t="n">
        <v>1</v>
      </c>
      <c r="AE2195" t="n">
        <v>3</v>
      </c>
      <c r="AF2195" t="n">
        <v>0</v>
      </c>
      <c r="AG2195" t="n">
        <v>7</v>
      </c>
      <c r="AH2195" t="n">
        <v>0</v>
      </c>
      <c r="AI2195" t="n">
        <v>1</v>
      </c>
      <c r="AJ2195" t="n">
        <v>0</v>
      </c>
      <c r="AK2195" t="n">
        <v>3</v>
      </c>
      <c r="AL2195" t="n">
        <v>0</v>
      </c>
      <c r="AM2195" t="n">
        <v>2</v>
      </c>
      <c r="AN2195" t="n">
        <v>0</v>
      </c>
      <c r="AO2195" t="n">
        <v>2</v>
      </c>
      <c r="AP2195" t="n">
        <v>0</v>
      </c>
      <c r="AQ2195" t="n">
        <v>0</v>
      </c>
      <c r="AR2195" t="inlineStr">
        <is>
          <t>Yes</t>
        </is>
      </c>
      <c r="AS2195" t="inlineStr">
        <is>
          <t>No</t>
        </is>
      </c>
      <c r="AT2195">
        <f>HYPERLINK("http://catalog.hathitrust.org/Record/100763273","HathiTrust Record")</f>
        <v/>
      </c>
      <c r="AU2195">
        <f>HYPERLINK("https://creighton-primo.hosted.exlibrisgroup.com/primo-explore/search?tab=default_tab&amp;search_scope=EVERYTHING&amp;vid=01CRU&amp;lang=en_US&amp;offset=0&amp;query=any,contains,991001264089702656","Catalog Record")</f>
        <v/>
      </c>
      <c r="AV2195">
        <f>HYPERLINK("http://www.worldcat.org/oclc/17797366","WorldCat Record")</f>
        <v/>
      </c>
      <c r="AW2195" t="inlineStr">
        <is>
          <t>68506204:eng</t>
        </is>
      </c>
      <c r="AX2195" t="inlineStr">
        <is>
          <t>17797366</t>
        </is>
      </c>
      <c r="AY2195" t="inlineStr">
        <is>
          <t>991001264089702656</t>
        </is>
      </c>
      <c r="AZ2195" t="inlineStr">
        <is>
          <t>991001264089702656</t>
        </is>
      </c>
      <c r="BA2195" t="inlineStr">
        <is>
          <t>2267350700002656</t>
        </is>
      </c>
      <c r="BB2195" t="inlineStr">
        <is>
          <t>BOOK</t>
        </is>
      </c>
      <c r="BE2195" t="inlineStr">
        <is>
          <t>32285002926268</t>
        </is>
      </c>
      <c r="BF2195" t="inlineStr">
        <is>
          <t>893237986</t>
        </is>
      </c>
    </row>
    <row r="2196">
      <c r="A2196" t="inlineStr">
        <is>
          <t>No</t>
        </is>
      </c>
      <c r="B2196" t="inlineStr">
        <is>
          <t>CURAL</t>
        </is>
      </c>
      <c r="C2196" t="inlineStr">
        <is>
          <t>SHELVES</t>
        </is>
      </c>
      <c r="D2196" t="inlineStr">
        <is>
          <t>PR4974.M19 H6</t>
        </is>
      </c>
      <c r="E2196" t="inlineStr">
        <is>
          <t>0                      PR 4974000M  19                 H  6</t>
        </is>
      </c>
      <c r="F2196" t="inlineStr">
        <is>
          <t>The household of Sir Thomas More / by Anne Manning; with Roper's Life of More.</t>
        </is>
      </c>
      <c r="H2196" t="inlineStr">
        <is>
          <t>No</t>
        </is>
      </c>
      <c r="I2196" t="inlineStr">
        <is>
          <t>1</t>
        </is>
      </c>
      <c r="J2196" t="inlineStr">
        <is>
          <t>No</t>
        </is>
      </c>
      <c r="K2196" t="inlineStr">
        <is>
          <t>Yes</t>
        </is>
      </c>
      <c r="L2196" t="inlineStr">
        <is>
          <t>0</t>
        </is>
      </c>
      <c r="M2196" t="inlineStr">
        <is>
          <t>Manning, Anne, 1807-1879.</t>
        </is>
      </c>
      <c r="N2196" t="inlineStr">
        <is>
          <t>London, J.M. Dent &amp; co., New York, E.P. Dutton &amp; co. [1908]</t>
        </is>
      </c>
      <c r="O2196" t="inlineStr">
        <is>
          <t>1908</t>
        </is>
      </c>
      <c r="Q2196" t="inlineStr">
        <is>
          <t>eng</t>
        </is>
      </c>
      <c r="R2196" t="inlineStr">
        <is>
          <t>enk</t>
        </is>
      </c>
      <c r="S2196" t="inlineStr">
        <is>
          <t>Everyman's library, ed. by Ernest Rhys. Fiction [No. 19]</t>
        </is>
      </c>
      <c r="T2196" t="inlineStr">
        <is>
          <t xml:space="preserve">PR </t>
        </is>
      </c>
      <c r="U2196" t="n">
        <v>1</v>
      </c>
      <c r="V2196" t="n">
        <v>1</v>
      </c>
      <c r="W2196" t="inlineStr">
        <is>
          <t>2002-07-26</t>
        </is>
      </c>
      <c r="X2196" t="inlineStr">
        <is>
          <t>2002-07-26</t>
        </is>
      </c>
      <c r="Y2196" t="inlineStr">
        <is>
          <t>1997-07-16</t>
        </is>
      </c>
      <c r="Z2196" t="inlineStr">
        <is>
          <t>1997-07-16</t>
        </is>
      </c>
      <c r="AA2196" t="n">
        <v>95</v>
      </c>
      <c r="AB2196" t="n">
        <v>88</v>
      </c>
      <c r="AC2196" t="n">
        <v>473</v>
      </c>
      <c r="AD2196" t="n">
        <v>1</v>
      </c>
      <c r="AE2196" t="n">
        <v>3</v>
      </c>
      <c r="AF2196" t="n">
        <v>3</v>
      </c>
      <c r="AG2196" t="n">
        <v>30</v>
      </c>
      <c r="AH2196" t="n">
        <v>1</v>
      </c>
      <c r="AI2196" t="n">
        <v>11</v>
      </c>
      <c r="AJ2196" t="n">
        <v>1</v>
      </c>
      <c r="AK2196" t="n">
        <v>6</v>
      </c>
      <c r="AL2196" t="n">
        <v>2</v>
      </c>
      <c r="AM2196" t="n">
        <v>18</v>
      </c>
      <c r="AN2196" t="n">
        <v>0</v>
      </c>
      <c r="AO2196" t="n">
        <v>2</v>
      </c>
      <c r="AP2196" t="n">
        <v>0</v>
      </c>
      <c r="AQ2196" t="n">
        <v>1</v>
      </c>
      <c r="AR2196" t="inlineStr">
        <is>
          <t>No</t>
        </is>
      </c>
      <c r="AS2196" t="inlineStr">
        <is>
          <t>No</t>
        </is>
      </c>
      <c r="AU2196">
        <f>HYPERLINK("https://creighton-primo.hosted.exlibrisgroup.com/primo-explore/search?tab=default_tab&amp;search_scope=EVERYTHING&amp;vid=01CRU&amp;lang=en_US&amp;offset=0&amp;query=any,contains,991004784919702656","Catalog Record")</f>
        <v/>
      </c>
      <c r="AV2196">
        <f>HYPERLINK("http://www.worldcat.org/oclc/5135502","WorldCat Record")</f>
        <v/>
      </c>
      <c r="AW2196" t="inlineStr">
        <is>
          <t>1416253:eng</t>
        </is>
      </c>
      <c r="AX2196" t="inlineStr">
        <is>
          <t>5135502</t>
        </is>
      </c>
      <c r="AY2196" t="inlineStr">
        <is>
          <t>991004784919702656</t>
        </is>
      </c>
      <c r="AZ2196" t="inlineStr">
        <is>
          <t>991004784919702656</t>
        </is>
      </c>
      <c r="BA2196" t="inlineStr">
        <is>
          <t>2269780380002656</t>
        </is>
      </c>
      <c r="BB2196" t="inlineStr">
        <is>
          <t>BOOK</t>
        </is>
      </c>
      <c r="BE2196" t="inlineStr">
        <is>
          <t>32285002926706</t>
        </is>
      </c>
      <c r="BF2196" t="inlineStr">
        <is>
          <t>893600228</t>
        </is>
      </c>
    </row>
    <row r="2197">
      <c r="A2197" t="inlineStr">
        <is>
          <t>No</t>
        </is>
      </c>
      <c r="B2197" t="inlineStr">
        <is>
          <t>CURAL</t>
        </is>
      </c>
      <c r="C2197" t="inlineStr">
        <is>
          <t>SHELVES</t>
        </is>
      </c>
      <c r="D2197" t="inlineStr">
        <is>
          <t>PR4984.M5 Z85 1985</t>
        </is>
      </c>
      <c r="E2197" t="inlineStr">
        <is>
          <t>0                      PR 4984000M  5                  Z  85          1985</t>
        </is>
      </c>
      <c r="F2197" t="inlineStr">
        <is>
          <t>Harriet Martineau / by Gillian Thomas.</t>
        </is>
      </c>
      <c r="H2197" t="inlineStr">
        <is>
          <t>No</t>
        </is>
      </c>
      <c r="I2197" t="inlineStr">
        <is>
          <t>1</t>
        </is>
      </c>
      <c r="J2197" t="inlineStr">
        <is>
          <t>No</t>
        </is>
      </c>
      <c r="K2197" t="inlineStr">
        <is>
          <t>No</t>
        </is>
      </c>
      <c r="L2197" t="inlineStr">
        <is>
          <t>0</t>
        </is>
      </c>
      <c r="M2197" t="inlineStr">
        <is>
          <t>Thomas, Gillian.</t>
        </is>
      </c>
      <c r="N2197" t="inlineStr">
        <is>
          <t>Boston : Twayne, c1985.</t>
        </is>
      </c>
      <c r="O2197" t="inlineStr">
        <is>
          <t>1985</t>
        </is>
      </c>
      <c r="Q2197" t="inlineStr">
        <is>
          <t>eng</t>
        </is>
      </c>
      <c r="R2197" t="inlineStr">
        <is>
          <t>mau</t>
        </is>
      </c>
      <c r="S2197" t="inlineStr">
        <is>
          <t>Twayne's English authors series ; TEAS 404</t>
        </is>
      </c>
      <c r="T2197" t="inlineStr">
        <is>
          <t xml:space="preserve">PR </t>
        </is>
      </c>
      <c r="U2197" t="n">
        <v>2</v>
      </c>
      <c r="V2197" t="n">
        <v>2</v>
      </c>
      <c r="W2197" t="inlineStr">
        <is>
          <t>1996-08-16</t>
        </is>
      </c>
      <c r="X2197" t="inlineStr">
        <is>
          <t>1996-08-16</t>
        </is>
      </c>
      <c r="Y2197" t="inlineStr">
        <is>
          <t>1991-11-21</t>
        </is>
      </c>
      <c r="Z2197" t="inlineStr">
        <is>
          <t>1991-11-21</t>
        </is>
      </c>
      <c r="AA2197" t="n">
        <v>594</v>
      </c>
      <c r="AB2197" t="n">
        <v>521</v>
      </c>
      <c r="AC2197" t="n">
        <v>528</v>
      </c>
      <c r="AD2197" t="n">
        <v>6</v>
      </c>
      <c r="AE2197" t="n">
        <v>6</v>
      </c>
      <c r="AF2197" t="n">
        <v>22</v>
      </c>
      <c r="AG2197" t="n">
        <v>22</v>
      </c>
      <c r="AH2197" t="n">
        <v>6</v>
      </c>
      <c r="AI2197" t="n">
        <v>6</v>
      </c>
      <c r="AJ2197" t="n">
        <v>4</v>
      </c>
      <c r="AK2197" t="n">
        <v>4</v>
      </c>
      <c r="AL2197" t="n">
        <v>14</v>
      </c>
      <c r="AM2197" t="n">
        <v>14</v>
      </c>
      <c r="AN2197" t="n">
        <v>5</v>
      </c>
      <c r="AO2197" t="n">
        <v>5</v>
      </c>
      <c r="AP2197" t="n">
        <v>0</v>
      </c>
      <c r="AQ2197" t="n">
        <v>0</v>
      </c>
      <c r="AR2197" t="inlineStr">
        <is>
          <t>No</t>
        </is>
      </c>
      <c r="AS2197" t="inlineStr">
        <is>
          <t>Yes</t>
        </is>
      </c>
      <c r="AT2197">
        <f>HYPERLINK("http://catalog.hathitrust.org/Record/000562675","HathiTrust Record")</f>
        <v/>
      </c>
      <c r="AU2197">
        <f>HYPERLINK("https://creighton-primo.hosted.exlibrisgroup.com/primo-explore/search?tab=default_tab&amp;search_scope=EVERYTHING&amp;vid=01CRU&amp;lang=en_US&amp;offset=0&amp;query=any,contains,991000464499702656","Catalog Record")</f>
        <v/>
      </c>
      <c r="AV2197">
        <f>HYPERLINK("http://www.worldcat.org/oclc/10949760","WorldCat Record")</f>
        <v/>
      </c>
      <c r="AW2197" t="inlineStr">
        <is>
          <t>3810100:eng</t>
        </is>
      </c>
      <c r="AX2197" t="inlineStr">
        <is>
          <t>10949760</t>
        </is>
      </c>
      <c r="AY2197" t="inlineStr">
        <is>
          <t>991000464499702656</t>
        </is>
      </c>
      <c r="AZ2197" t="inlineStr">
        <is>
          <t>991000464499702656</t>
        </is>
      </c>
      <c r="BA2197" t="inlineStr">
        <is>
          <t>2271398220002656</t>
        </is>
      </c>
      <c r="BB2197" t="inlineStr">
        <is>
          <t>BOOK</t>
        </is>
      </c>
      <c r="BD2197" t="inlineStr">
        <is>
          <t>9780805768947</t>
        </is>
      </c>
      <c r="BE2197" t="inlineStr">
        <is>
          <t>32285000842707</t>
        </is>
      </c>
      <c r="BF2197" t="inlineStr">
        <is>
          <t>893601773</t>
        </is>
      </c>
    </row>
    <row r="2198">
      <c r="A2198" t="inlineStr">
        <is>
          <t>No</t>
        </is>
      </c>
      <c r="B2198" t="inlineStr">
        <is>
          <t>CURAL</t>
        </is>
      </c>
      <c r="C2198" t="inlineStr">
        <is>
          <t>SHELVES</t>
        </is>
      </c>
      <c r="D2198" t="inlineStr">
        <is>
          <t>PR4987.M7 Z75</t>
        </is>
      </c>
      <c r="E2198" t="inlineStr">
        <is>
          <t>0                      PR 4987000M  7                  Z  75</t>
        </is>
      </c>
      <c r="F2198" t="inlineStr">
        <is>
          <t>Charles Robert Maturin.</t>
        </is>
      </c>
      <c r="H2198" t="inlineStr">
        <is>
          <t>No</t>
        </is>
      </c>
      <c r="I2198" t="inlineStr">
        <is>
          <t>1</t>
        </is>
      </c>
      <c r="J2198" t="inlineStr">
        <is>
          <t>No</t>
        </is>
      </c>
      <c r="K2198" t="inlineStr">
        <is>
          <t>No</t>
        </is>
      </c>
      <c r="L2198" t="inlineStr">
        <is>
          <t>0</t>
        </is>
      </c>
      <c r="M2198" t="inlineStr">
        <is>
          <t>Kramer, Dale, 1936-</t>
        </is>
      </c>
      <c r="N2198" t="inlineStr">
        <is>
          <t>New York : Twayne Publishers, [c1973]</t>
        </is>
      </c>
      <c r="O2198" t="inlineStr">
        <is>
          <t>1973</t>
        </is>
      </c>
      <c r="Q2198" t="inlineStr">
        <is>
          <t>eng</t>
        </is>
      </c>
      <c r="R2198" t="inlineStr">
        <is>
          <t>nyu</t>
        </is>
      </c>
      <c r="S2198" t="inlineStr">
        <is>
          <t>Twayne's English authors series ; TEAS 156</t>
        </is>
      </c>
      <c r="T2198" t="inlineStr">
        <is>
          <t xml:space="preserve">PR </t>
        </is>
      </c>
      <c r="U2198" t="n">
        <v>7</v>
      </c>
      <c r="V2198" t="n">
        <v>7</v>
      </c>
      <c r="W2198" t="inlineStr">
        <is>
          <t>2000-10-17</t>
        </is>
      </c>
      <c r="X2198" t="inlineStr">
        <is>
          <t>2000-10-17</t>
        </is>
      </c>
      <c r="Y2198" t="inlineStr">
        <is>
          <t>1991-11-21</t>
        </is>
      </c>
      <c r="Z2198" t="inlineStr">
        <is>
          <t>1991-11-21</t>
        </is>
      </c>
      <c r="AA2198" t="n">
        <v>597</v>
      </c>
      <c r="AB2198" t="n">
        <v>517</v>
      </c>
      <c r="AC2198" t="n">
        <v>528</v>
      </c>
      <c r="AD2198" t="n">
        <v>6</v>
      </c>
      <c r="AE2198" t="n">
        <v>6</v>
      </c>
      <c r="AF2198" t="n">
        <v>27</v>
      </c>
      <c r="AG2198" t="n">
        <v>27</v>
      </c>
      <c r="AH2198" t="n">
        <v>9</v>
      </c>
      <c r="AI2198" t="n">
        <v>9</v>
      </c>
      <c r="AJ2198" t="n">
        <v>6</v>
      </c>
      <c r="AK2198" t="n">
        <v>6</v>
      </c>
      <c r="AL2198" t="n">
        <v>14</v>
      </c>
      <c r="AM2198" t="n">
        <v>14</v>
      </c>
      <c r="AN2198" t="n">
        <v>5</v>
      </c>
      <c r="AO2198" t="n">
        <v>5</v>
      </c>
      <c r="AP2198" t="n">
        <v>0</v>
      </c>
      <c r="AQ2198" t="n">
        <v>0</v>
      </c>
      <c r="AR2198" t="inlineStr">
        <is>
          <t>Yes</t>
        </is>
      </c>
      <c r="AS2198" t="inlineStr">
        <is>
          <t>Yes</t>
        </is>
      </c>
      <c r="AT2198">
        <f>HYPERLINK("http://catalog.hathitrust.org/Record/000631738","HathiTrust Record")</f>
        <v/>
      </c>
      <c r="AU2198">
        <f>HYPERLINK("https://creighton-primo.hosted.exlibrisgroup.com/primo-explore/search?tab=default_tab&amp;search_scope=EVERYTHING&amp;vid=01CRU&amp;lang=en_US&amp;offset=0&amp;query=any,contains,991003325939702656","Catalog Record")</f>
        <v/>
      </c>
      <c r="AV2198">
        <f>HYPERLINK("http://www.worldcat.org/oclc/855040","WorldCat Record")</f>
        <v/>
      </c>
      <c r="AW2198" t="inlineStr">
        <is>
          <t>1801632:eng</t>
        </is>
      </c>
      <c r="AX2198" t="inlineStr">
        <is>
          <t>855040</t>
        </is>
      </c>
      <c r="AY2198" t="inlineStr">
        <is>
          <t>991003325939702656</t>
        </is>
      </c>
      <c r="AZ2198" t="inlineStr">
        <is>
          <t>991003325939702656</t>
        </is>
      </c>
      <c r="BA2198" t="inlineStr">
        <is>
          <t>2268136670002656</t>
        </is>
      </c>
      <c r="BB2198" t="inlineStr">
        <is>
          <t>BOOK</t>
        </is>
      </c>
      <c r="BD2198" t="inlineStr">
        <is>
          <t>9780805713824</t>
        </is>
      </c>
      <c r="BE2198" t="inlineStr">
        <is>
          <t>32285000842715</t>
        </is>
      </c>
      <c r="BF2198" t="inlineStr">
        <is>
          <t>893505476</t>
        </is>
      </c>
    </row>
    <row r="2199">
      <c r="A2199" t="inlineStr">
        <is>
          <t>No</t>
        </is>
      </c>
      <c r="B2199" t="inlineStr">
        <is>
          <t>CURAL</t>
        </is>
      </c>
      <c r="C2199" t="inlineStr">
        <is>
          <t>SHELVES</t>
        </is>
      </c>
      <c r="D2199" t="inlineStr">
        <is>
          <t>PR4987.M7 Z77 1975</t>
        </is>
      </c>
      <c r="E2199" t="inlineStr">
        <is>
          <t>0                      PR 4987000M  7                  Z  77          1975</t>
        </is>
      </c>
      <c r="F2199" t="inlineStr">
        <is>
          <t>Charles Robert Maturin / Robert E. Lougy.</t>
        </is>
      </c>
      <c r="H2199" t="inlineStr">
        <is>
          <t>No</t>
        </is>
      </c>
      <c r="I2199" t="inlineStr">
        <is>
          <t>1</t>
        </is>
      </c>
      <c r="J2199" t="inlineStr">
        <is>
          <t>No</t>
        </is>
      </c>
      <c r="K2199" t="inlineStr">
        <is>
          <t>No</t>
        </is>
      </c>
      <c r="L2199" t="inlineStr">
        <is>
          <t>0</t>
        </is>
      </c>
      <c r="M2199" t="inlineStr">
        <is>
          <t>Lougy, Robert E.</t>
        </is>
      </c>
      <c r="N2199" t="inlineStr">
        <is>
          <t>Lewisburg, [Pa.] : Bucknell University Press, [1975]</t>
        </is>
      </c>
      <c r="O2199" t="inlineStr">
        <is>
          <t>1975</t>
        </is>
      </c>
      <c r="Q2199" t="inlineStr">
        <is>
          <t>eng</t>
        </is>
      </c>
      <c r="R2199" t="inlineStr">
        <is>
          <t>pau</t>
        </is>
      </c>
      <c r="S2199" t="inlineStr">
        <is>
          <t>The Irish writers series</t>
        </is>
      </c>
      <c r="T2199" t="inlineStr">
        <is>
          <t xml:space="preserve">PR </t>
        </is>
      </c>
      <c r="U2199" t="n">
        <v>7</v>
      </c>
      <c r="V2199" t="n">
        <v>7</v>
      </c>
      <c r="W2199" t="inlineStr">
        <is>
          <t>2000-10-17</t>
        </is>
      </c>
      <c r="X2199" t="inlineStr">
        <is>
          <t>2000-10-17</t>
        </is>
      </c>
      <c r="Y2199" t="inlineStr">
        <is>
          <t>1991-11-21</t>
        </is>
      </c>
      <c r="Z2199" t="inlineStr">
        <is>
          <t>1991-11-21</t>
        </is>
      </c>
      <c r="AA2199" t="n">
        <v>456</v>
      </c>
      <c r="AB2199" t="n">
        <v>377</v>
      </c>
      <c r="AC2199" t="n">
        <v>384</v>
      </c>
      <c r="AD2199" t="n">
        <v>5</v>
      </c>
      <c r="AE2199" t="n">
        <v>5</v>
      </c>
      <c r="AF2199" t="n">
        <v>20</v>
      </c>
      <c r="AG2199" t="n">
        <v>21</v>
      </c>
      <c r="AH2199" t="n">
        <v>7</v>
      </c>
      <c r="AI2199" t="n">
        <v>7</v>
      </c>
      <c r="AJ2199" t="n">
        <v>6</v>
      </c>
      <c r="AK2199" t="n">
        <v>7</v>
      </c>
      <c r="AL2199" t="n">
        <v>8</v>
      </c>
      <c r="AM2199" t="n">
        <v>9</v>
      </c>
      <c r="AN2199" t="n">
        <v>4</v>
      </c>
      <c r="AO2199" t="n">
        <v>4</v>
      </c>
      <c r="AP2199" t="n">
        <v>0</v>
      </c>
      <c r="AQ2199" t="n">
        <v>0</v>
      </c>
      <c r="AR2199" t="inlineStr">
        <is>
          <t>No</t>
        </is>
      </c>
      <c r="AS2199" t="inlineStr">
        <is>
          <t>No</t>
        </is>
      </c>
      <c r="AU2199">
        <f>HYPERLINK("https://creighton-primo.hosted.exlibrisgroup.com/primo-explore/search?tab=default_tab&amp;search_scope=EVERYTHING&amp;vid=01CRU&amp;lang=en_US&amp;offset=0&amp;query=any,contains,991003379929702656","Catalog Record")</f>
        <v/>
      </c>
      <c r="AV2199">
        <f>HYPERLINK("http://www.worldcat.org/oclc/916095","WorldCat Record")</f>
        <v/>
      </c>
      <c r="AW2199" t="inlineStr">
        <is>
          <t>503759:eng</t>
        </is>
      </c>
      <c r="AX2199" t="inlineStr">
        <is>
          <t>916095</t>
        </is>
      </c>
      <c r="AY2199" t="inlineStr">
        <is>
          <t>991003379929702656</t>
        </is>
      </c>
      <c r="AZ2199" t="inlineStr">
        <is>
          <t>991003379929702656</t>
        </is>
      </c>
      <c r="BA2199" t="inlineStr">
        <is>
          <t>2264369540002656</t>
        </is>
      </c>
      <c r="BB2199" t="inlineStr">
        <is>
          <t>BOOK</t>
        </is>
      </c>
      <c r="BD2199" t="inlineStr">
        <is>
          <t>9780838779415</t>
        </is>
      </c>
      <c r="BE2199" t="inlineStr">
        <is>
          <t>32285000842723</t>
        </is>
      </c>
      <c r="BF2199" t="inlineStr">
        <is>
          <t>893531136</t>
        </is>
      </c>
    </row>
    <row r="2200">
      <c r="A2200" t="inlineStr">
        <is>
          <t>No</t>
        </is>
      </c>
      <c r="B2200" t="inlineStr">
        <is>
          <t>CURAL</t>
        </is>
      </c>
      <c r="C2200" t="inlineStr">
        <is>
          <t>SHELVES</t>
        </is>
      </c>
      <c r="D2200" t="inlineStr">
        <is>
          <t>PR5002.A1 I94 1998</t>
        </is>
      </c>
      <c r="E2200" t="inlineStr">
        <is>
          <t>0                      PR 5002000A  1                  I  94          1998</t>
        </is>
      </c>
      <c r="F2200" t="inlineStr">
        <is>
          <t>George Meredith's essay On comedy and other New quarterly magazine publications : a critical edition / edited by Maura C. Ives.</t>
        </is>
      </c>
      <c r="H2200" t="inlineStr">
        <is>
          <t>No</t>
        </is>
      </c>
      <c r="I2200" t="inlineStr">
        <is>
          <t>1</t>
        </is>
      </c>
      <c r="J2200" t="inlineStr">
        <is>
          <t>No</t>
        </is>
      </c>
      <c r="K2200" t="inlineStr">
        <is>
          <t>No</t>
        </is>
      </c>
      <c r="L2200" t="inlineStr">
        <is>
          <t>0</t>
        </is>
      </c>
      <c r="M2200" t="inlineStr">
        <is>
          <t>Meredith, George, 1828-1909.</t>
        </is>
      </c>
      <c r="N2200" t="inlineStr">
        <is>
          <t>Lewisburg : Bucknell University Press ; London : Associated University Presses, c1998.</t>
        </is>
      </c>
      <c r="O2200" t="inlineStr">
        <is>
          <t>1998</t>
        </is>
      </c>
      <c r="Q2200" t="inlineStr">
        <is>
          <t>eng</t>
        </is>
      </c>
      <c r="R2200" t="inlineStr">
        <is>
          <t>pau</t>
        </is>
      </c>
      <c r="T2200" t="inlineStr">
        <is>
          <t xml:space="preserve">PR </t>
        </is>
      </c>
      <c r="U2200" t="n">
        <v>1</v>
      </c>
      <c r="V2200" t="n">
        <v>1</v>
      </c>
      <c r="W2200" t="inlineStr">
        <is>
          <t>2000-06-27</t>
        </is>
      </c>
      <c r="X2200" t="inlineStr">
        <is>
          <t>2000-06-27</t>
        </is>
      </c>
      <c r="Y2200" t="inlineStr">
        <is>
          <t>2000-03-28</t>
        </is>
      </c>
      <c r="Z2200" t="inlineStr">
        <is>
          <t>2000-03-28</t>
        </is>
      </c>
      <c r="AA2200" t="n">
        <v>232</v>
      </c>
      <c r="AB2200" t="n">
        <v>200</v>
      </c>
      <c r="AC2200" t="n">
        <v>202</v>
      </c>
      <c r="AD2200" t="n">
        <v>2</v>
      </c>
      <c r="AE2200" t="n">
        <v>2</v>
      </c>
      <c r="AF2200" t="n">
        <v>15</v>
      </c>
      <c r="AG2200" t="n">
        <v>15</v>
      </c>
      <c r="AH2200" t="n">
        <v>3</v>
      </c>
      <c r="AI2200" t="n">
        <v>3</v>
      </c>
      <c r="AJ2200" t="n">
        <v>6</v>
      </c>
      <c r="AK2200" t="n">
        <v>6</v>
      </c>
      <c r="AL2200" t="n">
        <v>9</v>
      </c>
      <c r="AM2200" t="n">
        <v>9</v>
      </c>
      <c r="AN2200" t="n">
        <v>1</v>
      </c>
      <c r="AO2200" t="n">
        <v>1</v>
      </c>
      <c r="AP2200" t="n">
        <v>0</v>
      </c>
      <c r="AQ2200" t="n">
        <v>0</v>
      </c>
      <c r="AR2200" t="inlineStr">
        <is>
          <t>No</t>
        </is>
      </c>
      <c r="AS2200" t="inlineStr">
        <is>
          <t>Yes</t>
        </is>
      </c>
      <c r="AT2200">
        <f>HYPERLINK("http://catalog.hathitrust.org/Record/003971529","HathiTrust Record")</f>
        <v/>
      </c>
      <c r="AU2200">
        <f>HYPERLINK("https://creighton-primo.hosted.exlibrisgroup.com/primo-explore/search?tab=default_tab&amp;search_scope=EVERYTHING&amp;vid=01CRU&amp;lang=en_US&amp;offset=0&amp;query=any,contains,991002879659702656","Catalog Record")</f>
        <v/>
      </c>
      <c r="AV2200">
        <f>HYPERLINK("http://www.worldcat.org/oclc/37955461","WorldCat Record")</f>
        <v/>
      </c>
      <c r="AW2200" t="inlineStr">
        <is>
          <t>234279711:eng</t>
        </is>
      </c>
      <c r="AX2200" t="inlineStr">
        <is>
          <t>37955461</t>
        </is>
      </c>
      <c r="AY2200" t="inlineStr">
        <is>
          <t>991002879659702656</t>
        </is>
      </c>
      <c r="AZ2200" t="inlineStr">
        <is>
          <t>991002879659702656</t>
        </is>
      </c>
      <c r="BA2200" t="inlineStr">
        <is>
          <t>2257221740002656</t>
        </is>
      </c>
      <c r="BB2200" t="inlineStr">
        <is>
          <t>BOOK</t>
        </is>
      </c>
      <c r="BD2200" t="inlineStr">
        <is>
          <t>9780838753491</t>
        </is>
      </c>
      <c r="BE2200" t="inlineStr">
        <is>
          <t>32285003674446</t>
        </is>
      </c>
      <c r="BF2200" t="inlineStr">
        <is>
          <t>893793043</t>
        </is>
      </c>
    </row>
    <row r="2201">
      <c r="A2201" t="inlineStr">
        <is>
          <t>No</t>
        </is>
      </c>
      <c r="B2201" t="inlineStr">
        <is>
          <t>CURAL</t>
        </is>
      </c>
      <c r="C2201" t="inlineStr">
        <is>
          <t>SHELVES</t>
        </is>
      </c>
      <c r="D2201" t="inlineStr">
        <is>
          <t>PR5006 .C4 1916</t>
        </is>
      </c>
      <c r="E2201" t="inlineStr">
        <is>
          <t>0                      PR 5006000C  4           1916</t>
        </is>
      </c>
      <c r="F2201" t="inlineStr">
        <is>
          <t>Celt and Saxon, by George Meredith.</t>
        </is>
      </c>
      <c r="H2201" t="inlineStr">
        <is>
          <t>No</t>
        </is>
      </c>
      <c r="I2201" t="inlineStr">
        <is>
          <t>1</t>
        </is>
      </c>
      <c r="J2201" t="inlineStr">
        <is>
          <t>No</t>
        </is>
      </c>
      <c r="K2201" t="inlineStr">
        <is>
          <t>No</t>
        </is>
      </c>
      <c r="L2201" t="inlineStr">
        <is>
          <t>0</t>
        </is>
      </c>
      <c r="M2201" t="inlineStr">
        <is>
          <t>Meredith, George, 1828-1909.</t>
        </is>
      </c>
      <c r="N2201" t="inlineStr">
        <is>
          <t>New York, C. Scribner's Sons, 1910.</t>
        </is>
      </c>
      <c r="O2201" t="inlineStr">
        <is>
          <t>1910</t>
        </is>
      </c>
      <c r="Q2201" t="inlineStr">
        <is>
          <t>eng</t>
        </is>
      </c>
      <c r="R2201" t="inlineStr">
        <is>
          <t>nyu</t>
        </is>
      </c>
      <c r="T2201" t="inlineStr">
        <is>
          <t xml:space="preserve">PR </t>
        </is>
      </c>
      <c r="U2201" t="n">
        <v>1</v>
      </c>
      <c r="V2201" t="n">
        <v>1</v>
      </c>
      <c r="W2201" t="inlineStr">
        <is>
          <t>2004-09-15</t>
        </is>
      </c>
      <c r="X2201" t="inlineStr">
        <is>
          <t>2004-09-15</t>
        </is>
      </c>
      <c r="Y2201" t="inlineStr">
        <is>
          <t>1997-07-16</t>
        </is>
      </c>
      <c r="Z2201" t="inlineStr">
        <is>
          <t>1997-07-16</t>
        </is>
      </c>
      <c r="AA2201" t="n">
        <v>268</v>
      </c>
      <c r="AB2201" t="n">
        <v>260</v>
      </c>
      <c r="AC2201" t="n">
        <v>419</v>
      </c>
      <c r="AD2201" t="n">
        <v>4</v>
      </c>
      <c r="AE2201" t="n">
        <v>5</v>
      </c>
      <c r="AF2201" t="n">
        <v>14</v>
      </c>
      <c r="AG2201" t="n">
        <v>24</v>
      </c>
      <c r="AH2201" t="n">
        <v>3</v>
      </c>
      <c r="AI2201" t="n">
        <v>7</v>
      </c>
      <c r="AJ2201" t="n">
        <v>3</v>
      </c>
      <c r="AK2201" t="n">
        <v>6</v>
      </c>
      <c r="AL2201" t="n">
        <v>7</v>
      </c>
      <c r="AM2201" t="n">
        <v>13</v>
      </c>
      <c r="AN2201" t="n">
        <v>3</v>
      </c>
      <c r="AO2201" t="n">
        <v>4</v>
      </c>
      <c r="AP2201" t="n">
        <v>0</v>
      </c>
      <c r="AQ2201" t="n">
        <v>0</v>
      </c>
      <c r="AR2201" t="inlineStr">
        <is>
          <t>Yes</t>
        </is>
      </c>
      <c r="AS2201" t="inlineStr">
        <is>
          <t>No</t>
        </is>
      </c>
      <c r="AT2201">
        <f>HYPERLINK("http://catalog.hathitrust.org/Record/000632840","HathiTrust Record")</f>
        <v/>
      </c>
      <c r="AU2201">
        <f>HYPERLINK("https://creighton-primo.hosted.exlibrisgroup.com/primo-explore/search?tab=default_tab&amp;search_scope=EVERYTHING&amp;vid=01CRU&amp;lang=en_US&amp;offset=0&amp;query=any,contains,991002490019702656","Catalog Record")</f>
        <v/>
      </c>
      <c r="AV2201">
        <f>HYPERLINK("http://www.worldcat.org/oclc/362260","WorldCat Record")</f>
        <v/>
      </c>
      <c r="AW2201" t="inlineStr">
        <is>
          <t>1416325:eng</t>
        </is>
      </c>
      <c r="AX2201" t="inlineStr">
        <is>
          <t>362260</t>
        </is>
      </c>
      <c r="AY2201" t="inlineStr">
        <is>
          <t>991002490019702656</t>
        </is>
      </c>
      <c r="AZ2201" t="inlineStr">
        <is>
          <t>991002490019702656</t>
        </is>
      </c>
      <c r="BA2201" t="inlineStr">
        <is>
          <t>2262397480002656</t>
        </is>
      </c>
      <c r="BB2201" t="inlineStr">
        <is>
          <t>BOOK</t>
        </is>
      </c>
      <c r="BE2201" t="inlineStr">
        <is>
          <t>32285002926862</t>
        </is>
      </c>
      <c r="BF2201" t="inlineStr">
        <is>
          <t>893504446</t>
        </is>
      </c>
    </row>
    <row r="2202">
      <c r="A2202" t="inlineStr">
        <is>
          <t>No</t>
        </is>
      </c>
      <c r="B2202" t="inlineStr">
        <is>
          <t>CURAL</t>
        </is>
      </c>
      <c r="C2202" t="inlineStr">
        <is>
          <t>SHELVES</t>
        </is>
      </c>
      <c r="D2202" t="inlineStr">
        <is>
          <t>PR5013.U64 Z515 1995</t>
        </is>
      </c>
      <c r="E2202" t="inlineStr">
        <is>
          <t>0                      PR 5013000U  64                 Z  515         1995</t>
        </is>
      </c>
      <c r="F2202" t="inlineStr">
        <is>
          <t>The green isle of the great deep / Neil Gunn.</t>
        </is>
      </c>
      <c r="H2202" t="inlineStr">
        <is>
          <t>No</t>
        </is>
      </c>
      <c r="I2202" t="inlineStr">
        <is>
          <t>1</t>
        </is>
      </c>
      <c r="J2202" t="inlineStr">
        <is>
          <t>No</t>
        </is>
      </c>
      <c r="K2202" t="inlineStr">
        <is>
          <t>No</t>
        </is>
      </c>
      <c r="L2202" t="inlineStr">
        <is>
          <t>0</t>
        </is>
      </c>
      <c r="M2202" t="inlineStr">
        <is>
          <t>Gunn, Neil M., 1891-1973.</t>
        </is>
      </c>
      <c r="N2202" t="inlineStr">
        <is>
          <t>New York : Walker and Co., 1995.</t>
        </is>
      </c>
      <c r="O2202" t="inlineStr">
        <is>
          <t>1995</t>
        </is>
      </c>
      <c r="Q2202" t="inlineStr">
        <is>
          <t>eng</t>
        </is>
      </c>
      <c r="R2202" t="inlineStr">
        <is>
          <t>nyu</t>
        </is>
      </c>
      <c r="T2202" t="inlineStr">
        <is>
          <t xml:space="preserve">PR </t>
        </is>
      </c>
      <c r="U2202" t="n">
        <v>3</v>
      </c>
      <c r="V2202" t="n">
        <v>3</v>
      </c>
      <c r="W2202" t="inlineStr">
        <is>
          <t>1995-07-13</t>
        </is>
      </c>
      <c r="X2202" t="inlineStr">
        <is>
          <t>1995-07-13</t>
        </is>
      </c>
      <c r="Y2202" t="inlineStr">
        <is>
          <t>1995-05-31</t>
        </is>
      </c>
      <c r="Z2202" t="inlineStr">
        <is>
          <t>1995-05-31</t>
        </is>
      </c>
      <c r="AA2202" t="n">
        <v>158</v>
      </c>
      <c r="AB2202" t="n">
        <v>153</v>
      </c>
      <c r="AC2202" t="n">
        <v>235</v>
      </c>
      <c r="AD2202" t="n">
        <v>1</v>
      </c>
      <c r="AE2202" t="n">
        <v>1</v>
      </c>
      <c r="AF2202" t="n">
        <v>4</v>
      </c>
      <c r="AG2202" t="n">
        <v>7</v>
      </c>
      <c r="AH2202" t="n">
        <v>1</v>
      </c>
      <c r="AI2202" t="n">
        <v>2</v>
      </c>
      <c r="AJ2202" t="n">
        <v>2</v>
      </c>
      <c r="AK2202" t="n">
        <v>4</v>
      </c>
      <c r="AL2202" t="n">
        <v>2</v>
      </c>
      <c r="AM2202" t="n">
        <v>4</v>
      </c>
      <c r="AN2202" t="n">
        <v>0</v>
      </c>
      <c r="AO2202" t="n">
        <v>0</v>
      </c>
      <c r="AP2202" t="n">
        <v>0</v>
      </c>
      <c r="AQ2202" t="n">
        <v>0</v>
      </c>
      <c r="AR2202" t="inlineStr">
        <is>
          <t>No</t>
        </is>
      </c>
      <c r="AS2202" t="inlineStr">
        <is>
          <t>No</t>
        </is>
      </c>
      <c r="AU2202">
        <f>HYPERLINK("https://creighton-primo.hosted.exlibrisgroup.com/primo-explore/search?tab=default_tab&amp;search_scope=EVERYTHING&amp;vid=01CRU&amp;lang=en_US&amp;offset=0&amp;query=any,contains,991002438399702656","Catalog Record")</f>
        <v/>
      </c>
      <c r="AV2202">
        <f>HYPERLINK("http://www.worldcat.org/oclc/31782281","WorldCat Record")</f>
        <v/>
      </c>
      <c r="AW2202" t="inlineStr">
        <is>
          <t>4245987:eng</t>
        </is>
      </c>
      <c r="AX2202" t="inlineStr">
        <is>
          <t>31782281</t>
        </is>
      </c>
      <c r="AY2202" t="inlineStr">
        <is>
          <t>991002438399702656</t>
        </is>
      </c>
      <c r="AZ2202" t="inlineStr">
        <is>
          <t>991002438399702656</t>
        </is>
      </c>
      <c r="BA2202" t="inlineStr">
        <is>
          <t>2261023580002656</t>
        </is>
      </c>
      <c r="BB2202" t="inlineStr">
        <is>
          <t>BOOK</t>
        </is>
      </c>
      <c r="BD2202" t="inlineStr">
        <is>
          <t>9780802713100</t>
        </is>
      </c>
      <c r="BE2202" t="inlineStr">
        <is>
          <t>32285002048485</t>
        </is>
      </c>
      <c r="BF2202" t="inlineStr">
        <is>
          <t>893716453</t>
        </is>
      </c>
    </row>
    <row r="2203">
      <c r="A2203" t="inlineStr">
        <is>
          <t>No</t>
        </is>
      </c>
      <c r="B2203" t="inlineStr">
        <is>
          <t>CURAL</t>
        </is>
      </c>
      <c r="C2203" t="inlineStr">
        <is>
          <t>SHELVES</t>
        </is>
      </c>
      <c r="D2203" t="inlineStr">
        <is>
          <t>PR502 .B277 1988</t>
        </is>
      </c>
      <c r="E2203" t="inlineStr">
        <is>
          <t>0                      PR 0502000B  277         1988</t>
        </is>
      </c>
      <c r="F2203" t="inlineStr">
        <is>
          <t>Poetry, language, and politics / John Barrell.</t>
        </is>
      </c>
      <c r="H2203" t="inlineStr">
        <is>
          <t>No</t>
        </is>
      </c>
      <c r="I2203" t="inlineStr">
        <is>
          <t>1</t>
        </is>
      </c>
      <c r="J2203" t="inlineStr">
        <is>
          <t>No</t>
        </is>
      </c>
      <c r="K2203" t="inlineStr">
        <is>
          <t>No</t>
        </is>
      </c>
      <c r="L2203" t="inlineStr">
        <is>
          <t>0</t>
        </is>
      </c>
      <c r="M2203" t="inlineStr">
        <is>
          <t>Barrell, John.</t>
        </is>
      </c>
      <c r="N2203" t="inlineStr">
        <is>
          <t>Manchester ; New York : Manchester University Press ; New York : Distributed exclusively in the U.S.A. and Canada by St. Martin's Press, c1988.</t>
        </is>
      </c>
      <c r="O2203" t="inlineStr">
        <is>
          <t>1988</t>
        </is>
      </c>
      <c r="Q2203" t="inlineStr">
        <is>
          <t>eng</t>
        </is>
      </c>
      <c r="R2203" t="inlineStr">
        <is>
          <t>enk</t>
        </is>
      </c>
      <c r="S2203" t="inlineStr">
        <is>
          <t>Cultural politics</t>
        </is>
      </c>
      <c r="T2203" t="inlineStr">
        <is>
          <t xml:space="preserve">PR </t>
        </is>
      </c>
      <c r="U2203" t="n">
        <v>2</v>
      </c>
      <c r="V2203" t="n">
        <v>2</v>
      </c>
      <c r="W2203" t="inlineStr">
        <is>
          <t>2003-05-01</t>
        </is>
      </c>
      <c r="X2203" t="inlineStr">
        <is>
          <t>2003-05-01</t>
        </is>
      </c>
      <c r="Y2203" t="inlineStr">
        <is>
          <t>2003-05-01</t>
        </is>
      </c>
      <c r="Z2203" t="inlineStr">
        <is>
          <t>2003-05-01</t>
        </is>
      </c>
      <c r="AA2203" t="n">
        <v>380</v>
      </c>
      <c r="AB2203" t="n">
        <v>212</v>
      </c>
      <c r="AC2203" t="n">
        <v>214</v>
      </c>
      <c r="AD2203" t="n">
        <v>3</v>
      </c>
      <c r="AE2203" t="n">
        <v>3</v>
      </c>
      <c r="AF2203" t="n">
        <v>13</v>
      </c>
      <c r="AG2203" t="n">
        <v>13</v>
      </c>
      <c r="AH2203" t="n">
        <v>3</v>
      </c>
      <c r="AI2203" t="n">
        <v>3</v>
      </c>
      <c r="AJ2203" t="n">
        <v>4</v>
      </c>
      <c r="AK2203" t="n">
        <v>4</v>
      </c>
      <c r="AL2203" t="n">
        <v>8</v>
      </c>
      <c r="AM2203" t="n">
        <v>8</v>
      </c>
      <c r="AN2203" t="n">
        <v>2</v>
      </c>
      <c r="AO2203" t="n">
        <v>2</v>
      </c>
      <c r="AP2203" t="n">
        <v>0</v>
      </c>
      <c r="AQ2203" t="n">
        <v>0</v>
      </c>
      <c r="AR2203" t="inlineStr">
        <is>
          <t>No</t>
        </is>
      </c>
      <c r="AS2203" t="inlineStr">
        <is>
          <t>Yes</t>
        </is>
      </c>
      <c r="AT2203">
        <f>HYPERLINK("http://catalog.hathitrust.org/Record/000945659","HathiTrust Record")</f>
        <v/>
      </c>
      <c r="AU2203">
        <f>HYPERLINK("https://creighton-primo.hosted.exlibrisgroup.com/primo-explore/search?tab=default_tab&amp;search_scope=EVERYTHING&amp;vid=01CRU&amp;lang=en_US&amp;offset=0&amp;query=any,contains,991004043609702656","Catalog Record")</f>
        <v/>
      </c>
      <c r="AV2203">
        <f>HYPERLINK("http://www.worldcat.org/oclc/17413225","WorldCat Record")</f>
        <v/>
      </c>
      <c r="AW2203" t="inlineStr">
        <is>
          <t>15608519:eng</t>
        </is>
      </c>
      <c r="AX2203" t="inlineStr">
        <is>
          <t>17413225</t>
        </is>
      </c>
      <c r="AY2203" t="inlineStr">
        <is>
          <t>991004043609702656</t>
        </is>
      </c>
      <c r="AZ2203" t="inlineStr">
        <is>
          <t>991004043609702656</t>
        </is>
      </c>
      <c r="BA2203" t="inlineStr">
        <is>
          <t>2265078820002656</t>
        </is>
      </c>
      <c r="BB2203" t="inlineStr">
        <is>
          <t>BOOK</t>
        </is>
      </c>
      <c r="BD2203" t="inlineStr">
        <is>
          <t>9780719024412</t>
        </is>
      </c>
      <c r="BE2203" t="inlineStr">
        <is>
          <t>32285004744941</t>
        </is>
      </c>
      <c r="BF2203" t="inlineStr">
        <is>
          <t>893531916</t>
        </is>
      </c>
    </row>
    <row r="2204">
      <c r="A2204" t="inlineStr">
        <is>
          <t>No</t>
        </is>
      </c>
      <c r="B2204" t="inlineStr">
        <is>
          <t>CURAL</t>
        </is>
      </c>
      <c r="C2204" t="inlineStr">
        <is>
          <t>SHELVES</t>
        </is>
      </c>
      <c r="D2204" t="inlineStr">
        <is>
          <t>PR502 .B7</t>
        </is>
      </c>
      <c r="E2204" t="inlineStr">
        <is>
          <t>0                      PR 0502000B  7</t>
        </is>
      </c>
      <c r="F2204" t="inlineStr">
        <is>
          <t>The well wrought urn : studies in the structure of poetry / Cleanth Brooks.</t>
        </is>
      </c>
      <c r="H2204" t="inlineStr">
        <is>
          <t>No</t>
        </is>
      </c>
      <c r="I2204" t="inlineStr">
        <is>
          <t>1</t>
        </is>
      </c>
      <c r="J2204" t="inlineStr">
        <is>
          <t>No</t>
        </is>
      </c>
      <c r="K2204" t="inlineStr">
        <is>
          <t>No</t>
        </is>
      </c>
      <c r="L2204" t="inlineStr">
        <is>
          <t>0</t>
        </is>
      </c>
      <c r="M2204" t="inlineStr">
        <is>
          <t>Brooks, Cleanth, 1906-1994.</t>
        </is>
      </c>
      <c r="N2204" t="inlineStr">
        <is>
          <t>New York : Harcourt, Brace, 1947.</t>
        </is>
      </c>
      <c r="O2204" t="inlineStr">
        <is>
          <t>1947</t>
        </is>
      </c>
      <c r="Q2204" t="inlineStr">
        <is>
          <t>eng</t>
        </is>
      </c>
      <c r="R2204" t="inlineStr">
        <is>
          <t>nyu</t>
        </is>
      </c>
      <c r="T2204" t="inlineStr">
        <is>
          <t xml:space="preserve">PR </t>
        </is>
      </c>
      <c r="U2204" t="n">
        <v>6</v>
      </c>
      <c r="V2204" t="n">
        <v>6</v>
      </c>
      <c r="W2204" t="inlineStr">
        <is>
          <t>2010-10-06</t>
        </is>
      </c>
      <c r="X2204" t="inlineStr">
        <is>
          <t>2010-10-06</t>
        </is>
      </c>
      <c r="Y2204" t="inlineStr">
        <is>
          <t>1992-02-26</t>
        </is>
      </c>
      <c r="Z2204" t="inlineStr">
        <is>
          <t>1992-02-26</t>
        </is>
      </c>
      <c r="AA2204" t="n">
        <v>153</v>
      </c>
      <c r="AB2204" t="n">
        <v>136</v>
      </c>
      <c r="AC2204" t="n">
        <v>1745</v>
      </c>
      <c r="AD2204" t="n">
        <v>3</v>
      </c>
      <c r="AE2204" t="n">
        <v>16</v>
      </c>
      <c r="AF2204" t="n">
        <v>12</v>
      </c>
      <c r="AG2204" t="n">
        <v>64</v>
      </c>
      <c r="AH2204" t="n">
        <v>5</v>
      </c>
      <c r="AI2204" t="n">
        <v>28</v>
      </c>
      <c r="AJ2204" t="n">
        <v>3</v>
      </c>
      <c r="AK2204" t="n">
        <v>11</v>
      </c>
      <c r="AL2204" t="n">
        <v>4</v>
      </c>
      <c r="AM2204" t="n">
        <v>27</v>
      </c>
      <c r="AN2204" t="n">
        <v>1</v>
      </c>
      <c r="AO2204" t="n">
        <v>12</v>
      </c>
      <c r="AP2204" t="n">
        <v>0</v>
      </c>
      <c r="AQ2204" t="n">
        <v>0</v>
      </c>
      <c r="AR2204" t="inlineStr">
        <is>
          <t>No</t>
        </is>
      </c>
      <c r="AS2204" t="inlineStr">
        <is>
          <t>Yes</t>
        </is>
      </c>
      <c r="AT2204">
        <f>HYPERLINK("http://catalog.hathitrust.org/Record/002435916","HathiTrust Record")</f>
        <v/>
      </c>
      <c r="AU2204">
        <f>HYPERLINK("https://creighton-primo.hosted.exlibrisgroup.com/primo-explore/search?tab=default_tab&amp;search_scope=EVERYTHING&amp;vid=01CRU&amp;lang=en_US&amp;offset=0&amp;query=any,contains,991005218459702656","Catalog Record")</f>
        <v/>
      </c>
      <c r="AV2204">
        <f>HYPERLINK("http://www.worldcat.org/oclc/8207584","WorldCat Record")</f>
        <v/>
      </c>
      <c r="AW2204" t="inlineStr">
        <is>
          <t>48887720:eng</t>
        </is>
      </c>
      <c r="AX2204" t="inlineStr">
        <is>
          <t>8207584</t>
        </is>
      </c>
      <c r="AY2204" t="inlineStr">
        <is>
          <t>991005218459702656</t>
        </is>
      </c>
      <c r="AZ2204" t="inlineStr">
        <is>
          <t>991005218459702656</t>
        </is>
      </c>
      <c r="BA2204" t="inlineStr">
        <is>
          <t>2256027520002656</t>
        </is>
      </c>
      <c r="BB2204" t="inlineStr">
        <is>
          <t>BOOK</t>
        </is>
      </c>
      <c r="BE2204" t="inlineStr">
        <is>
          <t>32285000949171</t>
        </is>
      </c>
      <c r="BF2204" t="inlineStr">
        <is>
          <t>893795796</t>
        </is>
      </c>
    </row>
    <row r="2205">
      <c r="A2205" t="inlineStr">
        <is>
          <t>No</t>
        </is>
      </c>
      <c r="B2205" t="inlineStr">
        <is>
          <t>CURAL</t>
        </is>
      </c>
      <c r="C2205" t="inlineStr">
        <is>
          <t>SHELVES</t>
        </is>
      </c>
      <c r="D2205" t="inlineStr">
        <is>
          <t>PR502 .E8 1964</t>
        </is>
      </c>
      <c r="E2205" t="inlineStr">
        <is>
          <t>0                      PR 0502000E  8           1964</t>
        </is>
      </c>
      <c r="F2205" t="inlineStr">
        <is>
          <t>Tradition and romanticism, studies in English poetry from Chaucer to W. B. Yeats.</t>
        </is>
      </c>
      <c r="H2205" t="inlineStr">
        <is>
          <t>No</t>
        </is>
      </c>
      <c r="I2205" t="inlineStr">
        <is>
          <t>1</t>
        </is>
      </c>
      <c r="J2205" t="inlineStr">
        <is>
          <t>No</t>
        </is>
      </c>
      <c r="K2205" t="inlineStr">
        <is>
          <t>No</t>
        </is>
      </c>
      <c r="L2205" t="inlineStr">
        <is>
          <t>0</t>
        </is>
      </c>
      <c r="M2205" t="inlineStr">
        <is>
          <t>Evans, B. Ifor (Benjamin Ifor), 1899-1982.</t>
        </is>
      </c>
      <c r="N2205" t="inlineStr">
        <is>
          <t>Hamden, Conn., Archon Books, 1964.</t>
        </is>
      </c>
      <c r="O2205" t="inlineStr">
        <is>
          <t>1964</t>
        </is>
      </c>
      <c r="Q2205" t="inlineStr">
        <is>
          <t>eng</t>
        </is>
      </c>
      <c r="R2205" t="inlineStr">
        <is>
          <t>ctu</t>
        </is>
      </c>
      <c r="T2205" t="inlineStr">
        <is>
          <t xml:space="preserve">PR </t>
        </is>
      </c>
      <c r="U2205" t="n">
        <v>3</v>
      </c>
      <c r="V2205" t="n">
        <v>3</v>
      </c>
      <c r="W2205" t="inlineStr">
        <is>
          <t>2006-04-11</t>
        </is>
      </c>
      <c r="X2205" t="inlineStr">
        <is>
          <t>2006-04-11</t>
        </is>
      </c>
      <c r="Y2205" t="inlineStr">
        <is>
          <t>1997-08-26</t>
        </is>
      </c>
      <c r="Z2205" t="inlineStr">
        <is>
          <t>1997-08-26</t>
        </is>
      </c>
      <c r="AA2205" t="n">
        <v>672</v>
      </c>
      <c r="AB2205" t="n">
        <v>598</v>
      </c>
      <c r="AC2205" t="n">
        <v>818</v>
      </c>
      <c r="AD2205" t="n">
        <v>2</v>
      </c>
      <c r="AE2205" t="n">
        <v>3</v>
      </c>
      <c r="AF2205" t="n">
        <v>26</v>
      </c>
      <c r="AG2205" t="n">
        <v>36</v>
      </c>
      <c r="AH2205" t="n">
        <v>11</v>
      </c>
      <c r="AI2205" t="n">
        <v>16</v>
      </c>
      <c r="AJ2205" t="n">
        <v>4</v>
      </c>
      <c r="AK2205" t="n">
        <v>6</v>
      </c>
      <c r="AL2205" t="n">
        <v>17</v>
      </c>
      <c r="AM2205" t="n">
        <v>22</v>
      </c>
      <c r="AN2205" t="n">
        <v>1</v>
      </c>
      <c r="AO2205" t="n">
        <v>2</v>
      </c>
      <c r="AP2205" t="n">
        <v>0</v>
      </c>
      <c r="AQ2205" t="n">
        <v>0</v>
      </c>
      <c r="AR2205" t="inlineStr">
        <is>
          <t>No</t>
        </is>
      </c>
      <c r="AS2205" t="inlineStr">
        <is>
          <t>Yes</t>
        </is>
      </c>
      <c r="AT2205">
        <f>HYPERLINK("http://catalog.hathitrust.org/Record/001371458","HathiTrust Record")</f>
        <v/>
      </c>
      <c r="AU2205">
        <f>HYPERLINK("https://creighton-primo.hosted.exlibrisgroup.com/primo-explore/search?tab=default_tab&amp;search_scope=EVERYTHING&amp;vid=01CRU&amp;lang=en_US&amp;offset=0&amp;query=any,contains,991004537139702656","Catalog Record")</f>
        <v/>
      </c>
      <c r="AV2205">
        <f>HYPERLINK("http://www.worldcat.org/oclc/3873206","WorldCat Record")</f>
        <v/>
      </c>
      <c r="AW2205" t="inlineStr">
        <is>
          <t>2052294:eng</t>
        </is>
      </c>
      <c r="AX2205" t="inlineStr">
        <is>
          <t>3873206</t>
        </is>
      </c>
      <c r="AY2205" t="inlineStr">
        <is>
          <t>991004537139702656</t>
        </is>
      </c>
      <c r="AZ2205" t="inlineStr">
        <is>
          <t>991004537139702656</t>
        </is>
      </c>
      <c r="BA2205" t="inlineStr">
        <is>
          <t>2270565850002656</t>
        </is>
      </c>
      <c r="BB2205" t="inlineStr">
        <is>
          <t>BOOK</t>
        </is>
      </c>
      <c r="BE2205" t="inlineStr">
        <is>
          <t>32285003153243</t>
        </is>
      </c>
      <c r="BF2205" t="inlineStr">
        <is>
          <t>893606153</t>
        </is>
      </c>
    </row>
    <row r="2206">
      <c r="A2206" t="inlineStr">
        <is>
          <t>No</t>
        </is>
      </c>
      <c r="B2206" t="inlineStr">
        <is>
          <t>CURAL</t>
        </is>
      </c>
      <c r="C2206" t="inlineStr">
        <is>
          <t>SHELVES</t>
        </is>
      </c>
      <c r="D2206" t="inlineStr">
        <is>
          <t>PR502 .F46 2002</t>
        </is>
      </c>
      <c r="E2206" t="inlineStr">
        <is>
          <t>0                      PR 0502000F  46          2002</t>
        </is>
      </c>
      <c r="F2206" t="inlineStr">
        <is>
          <t>An introduction to English poetry / James Fenton.</t>
        </is>
      </c>
      <c r="H2206" t="inlineStr">
        <is>
          <t>No</t>
        </is>
      </c>
      <c r="I2206" t="inlineStr">
        <is>
          <t>1</t>
        </is>
      </c>
      <c r="J2206" t="inlineStr">
        <is>
          <t>No</t>
        </is>
      </c>
      <c r="K2206" t="inlineStr">
        <is>
          <t>No</t>
        </is>
      </c>
      <c r="L2206" t="inlineStr">
        <is>
          <t>0</t>
        </is>
      </c>
      <c r="M2206" t="inlineStr">
        <is>
          <t>Fenton, James, 1949-</t>
        </is>
      </c>
      <c r="N2206" t="inlineStr">
        <is>
          <t>New York : Farrar, Straus and Giroux, 2002.</t>
        </is>
      </c>
      <c r="O2206" t="inlineStr">
        <is>
          <t>2002</t>
        </is>
      </c>
      <c r="P2206" t="inlineStr">
        <is>
          <t>1st American ed.</t>
        </is>
      </c>
      <c r="Q2206" t="inlineStr">
        <is>
          <t>eng</t>
        </is>
      </c>
      <c r="R2206" t="inlineStr">
        <is>
          <t>nyu</t>
        </is>
      </c>
      <c r="T2206" t="inlineStr">
        <is>
          <t xml:space="preserve">PR </t>
        </is>
      </c>
      <c r="U2206" t="n">
        <v>1</v>
      </c>
      <c r="V2206" t="n">
        <v>1</v>
      </c>
      <c r="W2206" t="inlineStr">
        <is>
          <t>2003-03-26</t>
        </is>
      </c>
      <c r="X2206" t="inlineStr">
        <is>
          <t>2003-03-26</t>
        </is>
      </c>
      <c r="Y2206" t="inlineStr">
        <is>
          <t>2003-03-26</t>
        </is>
      </c>
      <c r="Z2206" t="inlineStr">
        <is>
          <t>2003-03-26</t>
        </is>
      </c>
      <c r="AA2206" t="n">
        <v>437</v>
      </c>
      <c r="AB2206" t="n">
        <v>390</v>
      </c>
      <c r="AC2206" t="n">
        <v>443</v>
      </c>
      <c r="AD2206" t="n">
        <v>4</v>
      </c>
      <c r="AE2206" t="n">
        <v>4</v>
      </c>
      <c r="AF2206" t="n">
        <v>15</v>
      </c>
      <c r="AG2206" t="n">
        <v>16</v>
      </c>
      <c r="AH2206" t="n">
        <v>7</v>
      </c>
      <c r="AI2206" t="n">
        <v>8</v>
      </c>
      <c r="AJ2206" t="n">
        <v>4</v>
      </c>
      <c r="AK2206" t="n">
        <v>4</v>
      </c>
      <c r="AL2206" t="n">
        <v>7</v>
      </c>
      <c r="AM2206" t="n">
        <v>7</v>
      </c>
      <c r="AN2206" t="n">
        <v>2</v>
      </c>
      <c r="AO2206" t="n">
        <v>2</v>
      </c>
      <c r="AP2206" t="n">
        <v>0</v>
      </c>
      <c r="AQ2206" t="n">
        <v>0</v>
      </c>
      <c r="AR2206" t="inlineStr">
        <is>
          <t>No</t>
        </is>
      </c>
      <c r="AS2206" t="inlineStr">
        <is>
          <t>No</t>
        </is>
      </c>
      <c r="AU2206">
        <f>HYPERLINK("https://creighton-primo.hosted.exlibrisgroup.com/primo-explore/search?tab=default_tab&amp;search_scope=EVERYTHING&amp;vid=01CRU&amp;lang=en_US&amp;offset=0&amp;query=any,contains,991004004569702656","Catalog Record")</f>
        <v/>
      </c>
      <c r="AV2206">
        <f>HYPERLINK("http://www.worldcat.org/oclc/49719313","WorldCat Record")</f>
        <v/>
      </c>
      <c r="AW2206" t="inlineStr">
        <is>
          <t>686839:eng</t>
        </is>
      </c>
      <c r="AX2206" t="inlineStr">
        <is>
          <t>49719313</t>
        </is>
      </c>
      <c r="AY2206" t="inlineStr">
        <is>
          <t>991004004569702656</t>
        </is>
      </c>
      <c r="AZ2206" t="inlineStr">
        <is>
          <t>991004004569702656</t>
        </is>
      </c>
      <c r="BA2206" t="inlineStr">
        <is>
          <t>2271531760002656</t>
        </is>
      </c>
      <c r="BB2206" t="inlineStr">
        <is>
          <t>BOOK</t>
        </is>
      </c>
      <c r="BD2206" t="inlineStr">
        <is>
          <t>9780374104641</t>
        </is>
      </c>
      <c r="BE2206" t="inlineStr">
        <is>
          <t>32285004687496</t>
        </is>
      </c>
      <c r="BF2206" t="inlineStr">
        <is>
          <t>893410995</t>
        </is>
      </c>
    </row>
    <row r="2207">
      <c r="A2207" t="inlineStr">
        <is>
          <t>No</t>
        </is>
      </c>
      <c r="B2207" t="inlineStr">
        <is>
          <t>CURAL</t>
        </is>
      </c>
      <c r="C2207" t="inlineStr">
        <is>
          <t>SHELVES</t>
        </is>
      </c>
      <c r="D2207" t="inlineStr">
        <is>
          <t>PR502 .S35 1999</t>
        </is>
      </c>
      <c r="E2207" t="inlineStr">
        <is>
          <t>0                      PR 0502000S  35          1999</t>
        </is>
      </c>
      <c r="F2207" t="inlineStr">
        <is>
          <t>Lives of the poets / Michael Schmidt.</t>
        </is>
      </c>
      <c r="H2207" t="inlineStr">
        <is>
          <t>No</t>
        </is>
      </c>
      <c r="I2207" t="inlineStr">
        <is>
          <t>1</t>
        </is>
      </c>
      <c r="J2207" t="inlineStr">
        <is>
          <t>No</t>
        </is>
      </c>
      <c r="K2207" t="inlineStr">
        <is>
          <t>No</t>
        </is>
      </c>
      <c r="L2207" t="inlineStr">
        <is>
          <t>0</t>
        </is>
      </c>
      <c r="M2207" t="inlineStr">
        <is>
          <t>Schmidt, Michael, 1947-</t>
        </is>
      </c>
      <c r="N2207" t="inlineStr">
        <is>
          <t>New York : Knopf : Distributed by Random House, 1999.</t>
        </is>
      </c>
      <c r="O2207" t="inlineStr">
        <is>
          <t>1999</t>
        </is>
      </c>
      <c r="P2207" t="inlineStr">
        <is>
          <t>1st American ed.</t>
        </is>
      </c>
      <c r="Q2207" t="inlineStr">
        <is>
          <t>eng</t>
        </is>
      </c>
      <c r="R2207" t="inlineStr">
        <is>
          <t>nyu</t>
        </is>
      </c>
      <c r="T2207" t="inlineStr">
        <is>
          <t xml:space="preserve">PR </t>
        </is>
      </c>
      <c r="U2207" t="n">
        <v>3</v>
      </c>
      <c r="V2207" t="n">
        <v>3</v>
      </c>
      <c r="W2207" t="inlineStr">
        <is>
          <t>2006-04-19</t>
        </is>
      </c>
      <c r="X2207" t="inlineStr">
        <is>
          <t>2006-04-19</t>
        </is>
      </c>
      <c r="Y2207" t="inlineStr">
        <is>
          <t>1999-10-13</t>
        </is>
      </c>
      <c r="Z2207" t="inlineStr">
        <is>
          <t>1999-10-13</t>
        </is>
      </c>
      <c r="AA2207" t="n">
        <v>1351</v>
      </c>
      <c r="AB2207" t="n">
        <v>1302</v>
      </c>
      <c r="AC2207" t="n">
        <v>1464</v>
      </c>
      <c r="AD2207" t="n">
        <v>11</v>
      </c>
      <c r="AE2207" t="n">
        <v>11</v>
      </c>
      <c r="AF2207" t="n">
        <v>39</v>
      </c>
      <c r="AG2207" t="n">
        <v>42</v>
      </c>
      <c r="AH2207" t="n">
        <v>18</v>
      </c>
      <c r="AI2207" t="n">
        <v>20</v>
      </c>
      <c r="AJ2207" t="n">
        <v>7</v>
      </c>
      <c r="AK2207" t="n">
        <v>8</v>
      </c>
      <c r="AL2207" t="n">
        <v>15</v>
      </c>
      <c r="AM2207" t="n">
        <v>18</v>
      </c>
      <c r="AN2207" t="n">
        <v>8</v>
      </c>
      <c r="AO2207" t="n">
        <v>8</v>
      </c>
      <c r="AP2207" t="n">
        <v>0</v>
      </c>
      <c r="AQ2207" t="n">
        <v>0</v>
      </c>
      <c r="AR2207" t="inlineStr">
        <is>
          <t>No</t>
        </is>
      </c>
      <c r="AS2207" t="inlineStr">
        <is>
          <t>Yes</t>
        </is>
      </c>
      <c r="AT2207">
        <f>HYPERLINK("http://catalog.hathitrust.org/Record/004053052","HathiTrust Record")</f>
        <v/>
      </c>
      <c r="AU2207">
        <f>HYPERLINK("https://creighton-primo.hosted.exlibrisgroup.com/primo-explore/search?tab=default_tab&amp;search_scope=EVERYTHING&amp;vid=01CRU&amp;lang=en_US&amp;offset=0&amp;query=any,contains,991002993019702656","Catalog Record")</f>
        <v/>
      </c>
      <c r="AV2207">
        <f>HYPERLINK("http://www.worldcat.org/oclc/40433215","WorldCat Record")</f>
        <v/>
      </c>
      <c r="AW2207" t="inlineStr">
        <is>
          <t>3856018273:eng</t>
        </is>
      </c>
      <c r="AX2207" t="inlineStr">
        <is>
          <t>40433215</t>
        </is>
      </c>
      <c r="AY2207" t="inlineStr">
        <is>
          <t>991002993019702656</t>
        </is>
      </c>
      <c r="AZ2207" t="inlineStr">
        <is>
          <t>991002993019702656</t>
        </is>
      </c>
      <c r="BA2207" t="inlineStr">
        <is>
          <t>2266877840002656</t>
        </is>
      </c>
      <c r="BB2207" t="inlineStr">
        <is>
          <t>BOOK</t>
        </is>
      </c>
      <c r="BD2207" t="inlineStr">
        <is>
          <t>9780375406249</t>
        </is>
      </c>
      <c r="BE2207" t="inlineStr">
        <is>
          <t>32285003610333</t>
        </is>
      </c>
      <c r="BF2207" t="inlineStr">
        <is>
          <t>893623007</t>
        </is>
      </c>
    </row>
    <row r="2208">
      <c r="A2208" t="inlineStr">
        <is>
          <t>No</t>
        </is>
      </c>
      <c r="B2208" t="inlineStr">
        <is>
          <t>CURAL</t>
        </is>
      </c>
      <c r="C2208" t="inlineStr">
        <is>
          <t>SHELVES</t>
        </is>
      </c>
      <c r="D2208" t="inlineStr">
        <is>
          <t>PR503 .C54</t>
        </is>
      </c>
      <c r="E2208" t="inlineStr">
        <is>
          <t>0                      PR 0503000C  54</t>
        </is>
      </c>
      <c r="F2208" t="inlineStr">
        <is>
          <t>Lyric resonance : glosses on some poems of Yeats, Frost, Crane, Cummings &amp; others / by David Ridgley Clark. Including "Freedom, joy, and indignation : letters from E. E. Cummings" edited by Robert G. Tucker and David R. Clark.</t>
        </is>
      </c>
      <c r="H2208" t="inlineStr">
        <is>
          <t>No</t>
        </is>
      </c>
      <c r="I2208" t="inlineStr">
        <is>
          <t>1</t>
        </is>
      </c>
      <c r="J2208" t="inlineStr">
        <is>
          <t>No</t>
        </is>
      </c>
      <c r="K2208" t="inlineStr">
        <is>
          <t>No</t>
        </is>
      </c>
      <c r="L2208" t="inlineStr">
        <is>
          <t>0</t>
        </is>
      </c>
      <c r="M2208" t="inlineStr">
        <is>
          <t>Clark, David R. compiler.</t>
        </is>
      </c>
      <c r="N2208" t="inlineStr">
        <is>
          <t>Amherst : University of Massachusetts Press, 1972.</t>
        </is>
      </c>
      <c r="O2208" t="inlineStr">
        <is>
          <t>1972</t>
        </is>
      </c>
      <c r="Q2208" t="inlineStr">
        <is>
          <t>eng</t>
        </is>
      </c>
      <c r="R2208" t="inlineStr">
        <is>
          <t>mau</t>
        </is>
      </c>
      <c r="T2208" t="inlineStr">
        <is>
          <t xml:space="preserve">PR </t>
        </is>
      </c>
      <c r="U2208" t="n">
        <v>2</v>
      </c>
      <c r="V2208" t="n">
        <v>2</v>
      </c>
      <c r="W2208" t="inlineStr">
        <is>
          <t>1995-03-19</t>
        </is>
      </c>
      <c r="X2208" t="inlineStr">
        <is>
          <t>1995-03-19</t>
        </is>
      </c>
      <c r="Y2208" t="inlineStr">
        <is>
          <t>1991-09-04</t>
        </is>
      </c>
      <c r="Z2208" t="inlineStr">
        <is>
          <t>1991-09-04</t>
        </is>
      </c>
      <c r="AA2208" t="n">
        <v>480</v>
      </c>
      <c r="AB2208" t="n">
        <v>436</v>
      </c>
      <c r="AC2208" t="n">
        <v>440</v>
      </c>
      <c r="AD2208" t="n">
        <v>3</v>
      </c>
      <c r="AE2208" t="n">
        <v>3</v>
      </c>
      <c r="AF2208" t="n">
        <v>14</v>
      </c>
      <c r="AG2208" t="n">
        <v>14</v>
      </c>
      <c r="AH2208" t="n">
        <v>4</v>
      </c>
      <c r="AI2208" t="n">
        <v>4</v>
      </c>
      <c r="AJ2208" t="n">
        <v>2</v>
      </c>
      <c r="AK2208" t="n">
        <v>2</v>
      </c>
      <c r="AL2208" t="n">
        <v>9</v>
      </c>
      <c r="AM2208" t="n">
        <v>9</v>
      </c>
      <c r="AN2208" t="n">
        <v>2</v>
      </c>
      <c r="AO2208" t="n">
        <v>2</v>
      </c>
      <c r="AP2208" t="n">
        <v>0</v>
      </c>
      <c r="AQ2208" t="n">
        <v>0</v>
      </c>
      <c r="AR2208" t="inlineStr">
        <is>
          <t>No</t>
        </is>
      </c>
      <c r="AS2208" t="inlineStr">
        <is>
          <t>Yes</t>
        </is>
      </c>
      <c r="AT2208">
        <f>HYPERLINK("http://catalog.hathitrust.org/Record/001371412","HathiTrust Record")</f>
        <v/>
      </c>
      <c r="AU2208">
        <f>HYPERLINK("https://creighton-primo.hosted.exlibrisgroup.com/primo-explore/search?tab=default_tab&amp;search_scope=EVERYTHING&amp;vid=01CRU&amp;lang=en_US&amp;offset=0&amp;query=any,contains,991003644189702656","Catalog Record")</f>
        <v/>
      </c>
      <c r="AV2208">
        <f>HYPERLINK("http://www.worldcat.org/oclc/1243590","WorldCat Record")</f>
        <v/>
      </c>
      <c r="AW2208" t="inlineStr">
        <is>
          <t>2149816:eng</t>
        </is>
      </c>
      <c r="AX2208" t="inlineStr">
        <is>
          <t>1243590</t>
        </is>
      </c>
      <c r="AY2208" t="inlineStr">
        <is>
          <t>991003644189702656</t>
        </is>
      </c>
      <c r="AZ2208" t="inlineStr">
        <is>
          <t>991003644189702656</t>
        </is>
      </c>
      <c r="BA2208" t="inlineStr">
        <is>
          <t>2261400920002656</t>
        </is>
      </c>
      <c r="BB2208" t="inlineStr">
        <is>
          <t>BOOK</t>
        </is>
      </c>
      <c r="BE2208" t="inlineStr">
        <is>
          <t>32285000735265</t>
        </is>
      </c>
      <c r="BF2208" t="inlineStr">
        <is>
          <t>893881389</t>
        </is>
      </c>
    </row>
    <row r="2209">
      <c r="A2209" t="inlineStr">
        <is>
          <t>No</t>
        </is>
      </c>
      <c r="B2209" t="inlineStr">
        <is>
          <t>CURAL</t>
        </is>
      </c>
      <c r="C2209" t="inlineStr">
        <is>
          <t>SHELVES</t>
        </is>
      </c>
      <c r="D2209" t="inlineStr">
        <is>
          <t>PR503 .E4518 1999</t>
        </is>
      </c>
      <c r="E2209" t="inlineStr">
        <is>
          <t>0                      PR 0503000E  4518        1999</t>
        </is>
      </c>
      <c r="F2209" t="inlineStr">
        <is>
          <t>Funciaon de la poesaia y funciaon de la craitica / T.S. Eliot ; ediciaon, traducciaon y praologo de Jaime Gil de Biedma.</t>
        </is>
      </c>
      <c r="H2209" t="inlineStr">
        <is>
          <t>No</t>
        </is>
      </c>
      <c r="I2209" t="inlineStr">
        <is>
          <t>1</t>
        </is>
      </c>
      <c r="J2209" t="inlineStr">
        <is>
          <t>No</t>
        </is>
      </c>
      <c r="K2209" t="inlineStr">
        <is>
          <t>No</t>
        </is>
      </c>
      <c r="L2209" t="inlineStr">
        <is>
          <t>0</t>
        </is>
      </c>
      <c r="M2209" t="inlineStr">
        <is>
          <t>Eliot, T. S. (Thomas Stearns), 1888-1965.</t>
        </is>
      </c>
      <c r="N2209" t="inlineStr">
        <is>
          <t>Barcelona : Tusquets Editores, 1999.</t>
        </is>
      </c>
      <c r="O2209" t="inlineStr">
        <is>
          <t>1999</t>
        </is>
      </c>
      <c r="P2209" t="inlineStr">
        <is>
          <t>1a. ed.</t>
        </is>
      </c>
      <c r="Q2209" t="inlineStr">
        <is>
          <t>spa</t>
        </is>
      </c>
      <c r="R2209" t="inlineStr">
        <is>
          <t xml:space="preserve">sp </t>
        </is>
      </c>
      <c r="T2209" t="inlineStr">
        <is>
          <t xml:space="preserve">PR </t>
        </is>
      </c>
      <c r="U2209" t="n">
        <v>1</v>
      </c>
      <c r="V2209" t="n">
        <v>1</v>
      </c>
      <c r="W2209" t="inlineStr">
        <is>
          <t>2004-09-16</t>
        </is>
      </c>
      <c r="X2209" t="inlineStr">
        <is>
          <t>2004-09-16</t>
        </is>
      </c>
      <c r="Y2209" t="inlineStr">
        <is>
          <t>2004-09-16</t>
        </is>
      </c>
      <c r="Z2209" t="inlineStr">
        <is>
          <t>2004-09-16</t>
        </is>
      </c>
      <c r="AA2209" t="n">
        <v>13</v>
      </c>
      <c r="AB2209" t="n">
        <v>6</v>
      </c>
      <c r="AC2209" t="n">
        <v>6</v>
      </c>
      <c r="AD2209" t="n">
        <v>1</v>
      </c>
      <c r="AE2209" t="n">
        <v>1</v>
      </c>
      <c r="AF2209" t="n">
        <v>1</v>
      </c>
      <c r="AG2209" t="n">
        <v>1</v>
      </c>
      <c r="AH2209" t="n">
        <v>0</v>
      </c>
      <c r="AI2209" t="n">
        <v>0</v>
      </c>
      <c r="AJ2209" t="n">
        <v>1</v>
      </c>
      <c r="AK2209" t="n">
        <v>1</v>
      </c>
      <c r="AL2209" t="n">
        <v>0</v>
      </c>
      <c r="AM2209" t="n">
        <v>0</v>
      </c>
      <c r="AN2209" t="n">
        <v>0</v>
      </c>
      <c r="AO2209" t="n">
        <v>0</v>
      </c>
      <c r="AP2209" t="n">
        <v>0</v>
      </c>
      <c r="AQ2209" t="n">
        <v>0</v>
      </c>
      <c r="AR2209" t="inlineStr">
        <is>
          <t>No</t>
        </is>
      </c>
      <c r="AS2209" t="inlineStr">
        <is>
          <t>No</t>
        </is>
      </c>
      <c r="AU2209">
        <f>HYPERLINK("https://creighton-primo.hosted.exlibrisgroup.com/primo-explore/search?tab=default_tab&amp;search_scope=EVERYTHING&amp;vid=01CRU&amp;lang=en_US&amp;offset=0&amp;query=any,contains,991004331489702656","Catalog Record")</f>
        <v/>
      </c>
      <c r="AV2209">
        <f>HYPERLINK("http://www.worldcat.org/oclc/41459074","WorldCat Record")</f>
        <v/>
      </c>
      <c r="AW2209" t="inlineStr">
        <is>
          <t>5090438292:spa</t>
        </is>
      </c>
      <c r="AX2209" t="inlineStr">
        <is>
          <t>41459074</t>
        </is>
      </c>
      <c r="AY2209" t="inlineStr">
        <is>
          <t>991004331489702656</t>
        </is>
      </c>
      <c r="AZ2209" t="inlineStr">
        <is>
          <t>991004331489702656</t>
        </is>
      </c>
      <c r="BA2209" t="inlineStr">
        <is>
          <t>2270203770002656</t>
        </is>
      </c>
      <c r="BB2209" t="inlineStr">
        <is>
          <t>BOOK</t>
        </is>
      </c>
      <c r="BD2209" t="inlineStr">
        <is>
          <t>9788483106235</t>
        </is>
      </c>
      <c r="BE2209" t="inlineStr">
        <is>
          <t>32285004987904</t>
        </is>
      </c>
      <c r="BF2209" t="inlineStr">
        <is>
          <t>893612224</t>
        </is>
      </c>
    </row>
    <row r="2210">
      <c r="A2210" t="inlineStr">
        <is>
          <t>No</t>
        </is>
      </c>
      <c r="B2210" t="inlineStr">
        <is>
          <t>CURAL</t>
        </is>
      </c>
      <c r="C2210" t="inlineStr">
        <is>
          <t>SHELVES</t>
        </is>
      </c>
      <c r="D2210" t="inlineStr">
        <is>
          <t>PR503 .P58 2003</t>
        </is>
      </c>
      <c r="E2210" t="inlineStr">
        <is>
          <t>0                      PR 0503000P  58          2003</t>
        </is>
      </c>
      <c r="F2210" t="inlineStr">
        <is>
          <t>Argument &amp; song : sources &amp; silences in poetry / Stanley Plumly.</t>
        </is>
      </c>
      <c r="H2210" t="inlineStr">
        <is>
          <t>No</t>
        </is>
      </c>
      <c r="I2210" t="inlineStr">
        <is>
          <t>1</t>
        </is>
      </c>
      <c r="J2210" t="inlineStr">
        <is>
          <t>No</t>
        </is>
      </c>
      <c r="K2210" t="inlineStr">
        <is>
          <t>No</t>
        </is>
      </c>
      <c r="L2210" t="inlineStr">
        <is>
          <t>0</t>
        </is>
      </c>
      <c r="M2210" t="inlineStr">
        <is>
          <t>Plumly, Stanley.</t>
        </is>
      </c>
      <c r="N2210" t="inlineStr">
        <is>
          <t>New York : Hansel Books, 2003.</t>
        </is>
      </c>
      <c r="O2210" t="inlineStr">
        <is>
          <t>2003</t>
        </is>
      </c>
      <c r="Q2210" t="inlineStr">
        <is>
          <t>eng</t>
        </is>
      </c>
      <c r="R2210" t="inlineStr">
        <is>
          <t>nyu</t>
        </is>
      </c>
      <c r="T2210" t="inlineStr">
        <is>
          <t xml:space="preserve">PR </t>
        </is>
      </c>
      <c r="U2210" t="n">
        <v>4</v>
      </c>
      <c r="V2210" t="n">
        <v>4</v>
      </c>
      <c r="W2210" t="inlineStr">
        <is>
          <t>2005-03-22</t>
        </is>
      </c>
      <c r="X2210" t="inlineStr">
        <is>
          <t>2005-03-22</t>
        </is>
      </c>
      <c r="Y2210" t="inlineStr">
        <is>
          <t>2004-09-15</t>
        </is>
      </c>
      <c r="Z2210" t="inlineStr">
        <is>
          <t>2004-09-15</t>
        </is>
      </c>
      <c r="AA2210" t="n">
        <v>235</v>
      </c>
      <c r="AB2210" t="n">
        <v>219</v>
      </c>
      <c r="AC2210" t="n">
        <v>219</v>
      </c>
      <c r="AD2210" t="n">
        <v>1</v>
      </c>
      <c r="AE2210" t="n">
        <v>1</v>
      </c>
      <c r="AF2210" t="n">
        <v>9</v>
      </c>
      <c r="AG2210" t="n">
        <v>9</v>
      </c>
      <c r="AH2210" t="n">
        <v>2</v>
      </c>
      <c r="AI2210" t="n">
        <v>2</v>
      </c>
      <c r="AJ2210" t="n">
        <v>5</v>
      </c>
      <c r="AK2210" t="n">
        <v>5</v>
      </c>
      <c r="AL2210" t="n">
        <v>4</v>
      </c>
      <c r="AM2210" t="n">
        <v>4</v>
      </c>
      <c r="AN2210" t="n">
        <v>0</v>
      </c>
      <c r="AO2210" t="n">
        <v>0</v>
      </c>
      <c r="AP2210" t="n">
        <v>0</v>
      </c>
      <c r="AQ2210" t="n">
        <v>0</v>
      </c>
      <c r="AR2210" t="inlineStr">
        <is>
          <t>No</t>
        </is>
      </c>
      <c r="AS2210" t="inlineStr">
        <is>
          <t>No</t>
        </is>
      </c>
      <c r="AU2210">
        <f>HYPERLINK("https://creighton-primo.hosted.exlibrisgroup.com/primo-explore/search?tab=default_tab&amp;search_scope=EVERYTHING&amp;vid=01CRU&amp;lang=en_US&amp;offset=0&amp;query=any,contains,991004361869702656","Catalog Record")</f>
        <v/>
      </c>
      <c r="AV2210">
        <f>HYPERLINK("http://www.worldcat.org/oclc/51799400","WorldCat Record")</f>
        <v/>
      </c>
      <c r="AW2210" t="inlineStr">
        <is>
          <t>478469751:eng</t>
        </is>
      </c>
      <c r="AX2210" t="inlineStr">
        <is>
          <t>51799400</t>
        </is>
      </c>
      <c r="AY2210" t="inlineStr">
        <is>
          <t>991004361869702656</t>
        </is>
      </c>
      <c r="AZ2210" t="inlineStr">
        <is>
          <t>991004361869702656</t>
        </is>
      </c>
      <c r="BA2210" t="inlineStr">
        <is>
          <t>2272409770002656</t>
        </is>
      </c>
      <c r="BB2210" t="inlineStr">
        <is>
          <t>BOOK</t>
        </is>
      </c>
      <c r="BD2210" t="inlineStr">
        <is>
          <t>9781590510766</t>
        </is>
      </c>
      <c r="BE2210" t="inlineStr">
        <is>
          <t>32285004987227</t>
        </is>
      </c>
      <c r="BF2210" t="inlineStr">
        <is>
          <t>893712496</t>
        </is>
      </c>
    </row>
    <row r="2211">
      <c r="A2211" t="inlineStr">
        <is>
          <t>No</t>
        </is>
      </c>
      <c r="B2211" t="inlineStr">
        <is>
          <t>CURAL</t>
        </is>
      </c>
      <c r="C2211" t="inlineStr">
        <is>
          <t>SHELVES</t>
        </is>
      </c>
      <c r="D2211" t="inlineStr">
        <is>
          <t>PR503 .P64 1991</t>
        </is>
      </c>
      <c r="E2211" t="inlineStr">
        <is>
          <t>0                      PR 0503000P  64          1991</t>
        </is>
      </c>
      <c r="F2211" t="inlineStr">
        <is>
          <t>Poets in their time : essays on English poetry from Donne to Larkin / Barbara Everett.</t>
        </is>
      </c>
      <c r="H2211" t="inlineStr">
        <is>
          <t>No</t>
        </is>
      </c>
      <c r="I2211" t="inlineStr">
        <is>
          <t>1</t>
        </is>
      </c>
      <c r="J2211" t="inlineStr">
        <is>
          <t>No</t>
        </is>
      </c>
      <c r="K2211" t="inlineStr">
        <is>
          <t>No</t>
        </is>
      </c>
      <c r="L2211" t="inlineStr">
        <is>
          <t>0</t>
        </is>
      </c>
      <c r="M2211" t="inlineStr">
        <is>
          <t>Everett, Barbara (Lecturer in English)</t>
        </is>
      </c>
      <c r="N2211" t="inlineStr">
        <is>
          <t>Oxford : Clarendon Press ; New York : Oxford University Press, 1991.</t>
        </is>
      </c>
      <c r="O2211" t="inlineStr">
        <is>
          <t>1991</t>
        </is>
      </c>
      <c r="Q2211" t="inlineStr">
        <is>
          <t>eng</t>
        </is>
      </c>
      <c r="R2211" t="inlineStr">
        <is>
          <t>enk</t>
        </is>
      </c>
      <c r="T2211" t="inlineStr">
        <is>
          <t xml:space="preserve">PR </t>
        </is>
      </c>
      <c r="U2211" t="n">
        <v>1</v>
      </c>
      <c r="V2211" t="n">
        <v>1</v>
      </c>
      <c r="W2211" t="inlineStr">
        <is>
          <t>2002-11-21</t>
        </is>
      </c>
      <c r="X2211" t="inlineStr">
        <is>
          <t>2002-11-21</t>
        </is>
      </c>
      <c r="Y2211" t="inlineStr">
        <is>
          <t>2002-11-21</t>
        </is>
      </c>
      <c r="Z2211" t="inlineStr">
        <is>
          <t>2002-11-21</t>
        </is>
      </c>
      <c r="AA2211" t="n">
        <v>169</v>
      </c>
      <c r="AB2211" t="n">
        <v>93</v>
      </c>
      <c r="AC2211" t="n">
        <v>456</v>
      </c>
      <c r="AD2211" t="n">
        <v>2</v>
      </c>
      <c r="AE2211" t="n">
        <v>4</v>
      </c>
      <c r="AF2211" t="n">
        <v>4</v>
      </c>
      <c r="AG2211" t="n">
        <v>22</v>
      </c>
      <c r="AH2211" t="n">
        <v>2</v>
      </c>
      <c r="AI2211" t="n">
        <v>9</v>
      </c>
      <c r="AJ2211" t="n">
        <v>0</v>
      </c>
      <c r="AK2211" t="n">
        <v>4</v>
      </c>
      <c r="AL2211" t="n">
        <v>3</v>
      </c>
      <c r="AM2211" t="n">
        <v>14</v>
      </c>
      <c r="AN2211" t="n">
        <v>1</v>
      </c>
      <c r="AO2211" t="n">
        <v>3</v>
      </c>
      <c r="AP2211" t="n">
        <v>0</v>
      </c>
      <c r="AQ2211" t="n">
        <v>0</v>
      </c>
      <c r="AR2211" t="inlineStr">
        <is>
          <t>No</t>
        </is>
      </c>
      <c r="AS2211" t="inlineStr">
        <is>
          <t>No</t>
        </is>
      </c>
      <c r="AU2211">
        <f>HYPERLINK("https://creighton-primo.hosted.exlibrisgroup.com/primo-explore/search?tab=default_tab&amp;search_scope=EVERYTHING&amp;vid=01CRU&amp;lang=en_US&amp;offset=0&amp;query=any,contains,991003949569702656","Catalog Record")</f>
        <v/>
      </c>
      <c r="AV2211">
        <f>HYPERLINK("http://www.worldcat.org/oclc/24670122","WorldCat Record")</f>
        <v/>
      </c>
      <c r="AW2211" t="inlineStr">
        <is>
          <t>806600142:eng</t>
        </is>
      </c>
      <c r="AX2211" t="inlineStr">
        <is>
          <t>24670122</t>
        </is>
      </c>
      <c r="AY2211" t="inlineStr">
        <is>
          <t>991003949569702656</t>
        </is>
      </c>
      <c r="AZ2211" t="inlineStr">
        <is>
          <t>991003949569702656</t>
        </is>
      </c>
      <c r="BA2211" t="inlineStr">
        <is>
          <t>2267253440002656</t>
        </is>
      </c>
      <c r="BB2211" t="inlineStr">
        <is>
          <t>BOOK</t>
        </is>
      </c>
      <c r="BD2211" t="inlineStr">
        <is>
          <t>9780198112815</t>
        </is>
      </c>
      <c r="BE2211" t="inlineStr">
        <is>
          <t>32285004665500</t>
        </is>
      </c>
      <c r="BF2211" t="inlineStr">
        <is>
          <t>893331025</t>
        </is>
      </c>
    </row>
    <row r="2212">
      <c r="A2212" t="inlineStr">
        <is>
          <t>No</t>
        </is>
      </c>
      <c r="B2212" t="inlineStr">
        <is>
          <t>CURAL</t>
        </is>
      </c>
      <c r="C2212" t="inlineStr">
        <is>
          <t>SHELVES</t>
        </is>
      </c>
      <c r="D2212" t="inlineStr">
        <is>
          <t>PR503 .P67 1987</t>
        </is>
      </c>
      <c r="E2212" t="inlineStr">
        <is>
          <t>0                      PR 0503000P  67          1987</t>
        </is>
      </c>
      <c r="F2212" t="inlineStr">
        <is>
          <t>Post-structuralist readings of English poetry / edited by Richard Machin and Christopher Norris.</t>
        </is>
      </c>
      <c r="H2212" t="inlineStr">
        <is>
          <t>No</t>
        </is>
      </c>
      <c r="I2212" t="inlineStr">
        <is>
          <t>1</t>
        </is>
      </c>
      <c r="J2212" t="inlineStr">
        <is>
          <t>No</t>
        </is>
      </c>
      <c r="K2212" t="inlineStr">
        <is>
          <t>No</t>
        </is>
      </c>
      <c r="L2212" t="inlineStr">
        <is>
          <t>0</t>
        </is>
      </c>
      <c r="N2212" t="inlineStr">
        <is>
          <t>Cambridge ; New York : Cambridge University Press, 1987.</t>
        </is>
      </c>
      <c r="O2212" t="inlineStr">
        <is>
          <t>1987</t>
        </is>
      </c>
      <c r="Q2212" t="inlineStr">
        <is>
          <t>eng</t>
        </is>
      </c>
      <c r="R2212" t="inlineStr">
        <is>
          <t>enk</t>
        </is>
      </c>
      <c r="T2212" t="inlineStr">
        <is>
          <t xml:space="preserve">PR </t>
        </is>
      </c>
      <c r="U2212" t="n">
        <v>7</v>
      </c>
      <c r="V2212" t="n">
        <v>7</v>
      </c>
      <c r="W2212" t="inlineStr">
        <is>
          <t>1997-10-07</t>
        </is>
      </c>
      <c r="X2212" t="inlineStr">
        <is>
          <t>1997-10-07</t>
        </is>
      </c>
      <c r="Y2212" t="inlineStr">
        <is>
          <t>1991-09-04</t>
        </is>
      </c>
      <c r="Z2212" t="inlineStr">
        <is>
          <t>1991-09-04</t>
        </is>
      </c>
      <c r="AA2212" t="n">
        <v>552</v>
      </c>
      <c r="AB2212" t="n">
        <v>376</v>
      </c>
      <c r="AC2212" t="n">
        <v>376</v>
      </c>
      <c r="AD2212" t="n">
        <v>3</v>
      </c>
      <c r="AE2212" t="n">
        <v>3</v>
      </c>
      <c r="AF2212" t="n">
        <v>18</v>
      </c>
      <c r="AG2212" t="n">
        <v>18</v>
      </c>
      <c r="AH2212" t="n">
        <v>4</v>
      </c>
      <c r="AI2212" t="n">
        <v>4</v>
      </c>
      <c r="AJ2212" t="n">
        <v>5</v>
      </c>
      <c r="AK2212" t="n">
        <v>5</v>
      </c>
      <c r="AL2212" t="n">
        <v>12</v>
      </c>
      <c r="AM2212" t="n">
        <v>12</v>
      </c>
      <c r="AN2212" t="n">
        <v>2</v>
      </c>
      <c r="AO2212" t="n">
        <v>2</v>
      </c>
      <c r="AP2212" t="n">
        <v>0</v>
      </c>
      <c r="AQ2212" t="n">
        <v>0</v>
      </c>
      <c r="AR2212" t="inlineStr">
        <is>
          <t>No</t>
        </is>
      </c>
      <c r="AS2212" t="inlineStr">
        <is>
          <t>No</t>
        </is>
      </c>
      <c r="AU2212">
        <f>HYPERLINK("https://creighton-primo.hosted.exlibrisgroup.com/primo-explore/search?tab=default_tab&amp;search_scope=EVERYTHING&amp;vid=01CRU&amp;lang=en_US&amp;offset=0&amp;query=any,contains,991001005329702656","Catalog Record")</f>
        <v/>
      </c>
      <c r="AV2212">
        <f>HYPERLINK("http://www.worldcat.org/oclc/15231553","WorldCat Record")</f>
        <v/>
      </c>
      <c r="AW2212" t="inlineStr">
        <is>
          <t>351931714:eng</t>
        </is>
      </c>
      <c r="AX2212" t="inlineStr">
        <is>
          <t>15231553</t>
        </is>
      </c>
      <c r="AY2212" t="inlineStr">
        <is>
          <t>991001005329702656</t>
        </is>
      </c>
      <c r="AZ2212" t="inlineStr">
        <is>
          <t>991001005329702656</t>
        </is>
      </c>
      <c r="BA2212" t="inlineStr">
        <is>
          <t>2268146740002656</t>
        </is>
      </c>
      <c r="BB2212" t="inlineStr">
        <is>
          <t>BOOK</t>
        </is>
      </c>
      <c r="BD2212" t="inlineStr">
        <is>
          <t>9780521315838</t>
        </is>
      </c>
      <c r="BE2212" t="inlineStr">
        <is>
          <t>32285000735356</t>
        </is>
      </c>
      <c r="BF2212" t="inlineStr">
        <is>
          <t>893231610</t>
        </is>
      </c>
    </row>
    <row r="2213">
      <c r="A2213" t="inlineStr">
        <is>
          <t>No</t>
        </is>
      </c>
      <c r="B2213" t="inlineStr">
        <is>
          <t>CURAL</t>
        </is>
      </c>
      <c r="C2213" t="inlineStr">
        <is>
          <t>SHELVES</t>
        </is>
      </c>
      <c r="D2213" t="inlineStr">
        <is>
          <t>PR504 .B56</t>
        </is>
      </c>
      <c r="E2213" t="inlineStr">
        <is>
          <t>0                      PR 0504000B  56</t>
        </is>
      </c>
      <c r="F2213" t="inlineStr">
        <is>
          <t>A map of misreading / Harold Bloom.</t>
        </is>
      </c>
      <c r="H2213" t="inlineStr">
        <is>
          <t>No</t>
        </is>
      </c>
      <c r="I2213" t="inlineStr">
        <is>
          <t>1</t>
        </is>
      </c>
      <c r="J2213" t="inlineStr">
        <is>
          <t>No</t>
        </is>
      </c>
      <c r="K2213" t="inlineStr">
        <is>
          <t>No</t>
        </is>
      </c>
      <c r="L2213" t="inlineStr">
        <is>
          <t>0</t>
        </is>
      </c>
      <c r="M2213" t="inlineStr">
        <is>
          <t>Bloom, Harold.</t>
        </is>
      </c>
      <c r="N2213" t="inlineStr">
        <is>
          <t>New York : Oxford University Press, 1975.</t>
        </is>
      </c>
      <c r="O2213" t="inlineStr">
        <is>
          <t>1975</t>
        </is>
      </c>
      <c r="Q2213" t="inlineStr">
        <is>
          <t>eng</t>
        </is>
      </c>
      <c r="R2213" t="inlineStr">
        <is>
          <t>nyu</t>
        </is>
      </c>
      <c r="T2213" t="inlineStr">
        <is>
          <t xml:space="preserve">PR </t>
        </is>
      </c>
      <c r="U2213" t="n">
        <v>6</v>
      </c>
      <c r="V2213" t="n">
        <v>6</v>
      </c>
      <c r="W2213" t="inlineStr">
        <is>
          <t>2000-11-28</t>
        </is>
      </c>
      <c r="X2213" t="inlineStr">
        <is>
          <t>2000-11-28</t>
        </is>
      </c>
      <c r="Y2213" t="inlineStr">
        <is>
          <t>1991-09-04</t>
        </is>
      </c>
      <c r="Z2213" t="inlineStr">
        <is>
          <t>1991-09-04</t>
        </is>
      </c>
      <c r="AA2213" t="n">
        <v>879</v>
      </c>
      <c r="AB2213" t="n">
        <v>722</v>
      </c>
      <c r="AC2213" t="n">
        <v>1012</v>
      </c>
      <c r="AD2213" t="n">
        <v>3</v>
      </c>
      <c r="AE2213" t="n">
        <v>7</v>
      </c>
      <c r="AF2213" t="n">
        <v>38</v>
      </c>
      <c r="AG2213" t="n">
        <v>53</v>
      </c>
      <c r="AH2213" t="n">
        <v>17</v>
      </c>
      <c r="AI2213" t="n">
        <v>24</v>
      </c>
      <c r="AJ2213" t="n">
        <v>8</v>
      </c>
      <c r="AK2213" t="n">
        <v>11</v>
      </c>
      <c r="AL2213" t="n">
        <v>22</v>
      </c>
      <c r="AM2213" t="n">
        <v>26</v>
      </c>
      <c r="AN2213" t="n">
        <v>2</v>
      </c>
      <c r="AO2213" t="n">
        <v>6</v>
      </c>
      <c r="AP2213" t="n">
        <v>0</v>
      </c>
      <c r="AQ2213" t="n">
        <v>0</v>
      </c>
      <c r="AR2213" t="inlineStr">
        <is>
          <t>No</t>
        </is>
      </c>
      <c r="AS2213" t="inlineStr">
        <is>
          <t>Yes</t>
        </is>
      </c>
      <c r="AT2213">
        <f>HYPERLINK("http://catalog.hathitrust.org/Record/001371371","HathiTrust Record")</f>
        <v/>
      </c>
      <c r="AU2213">
        <f>HYPERLINK("https://creighton-primo.hosted.exlibrisgroup.com/primo-explore/search?tab=default_tab&amp;search_scope=EVERYTHING&amp;vid=01CRU&amp;lang=en_US&amp;offset=0&amp;query=any,contains,991003639299702656","Catalog Record")</f>
        <v/>
      </c>
      <c r="AV2213">
        <f>HYPERLINK("http://www.worldcat.org/oclc/1217396","WorldCat Record")</f>
        <v/>
      </c>
      <c r="AW2213" t="inlineStr">
        <is>
          <t>662229:eng</t>
        </is>
      </c>
      <c r="AX2213" t="inlineStr">
        <is>
          <t>1217396</t>
        </is>
      </c>
      <c r="AY2213" t="inlineStr">
        <is>
          <t>991003639299702656</t>
        </is>
      </c>
      <c r="AZ2213" t="inlineStr">
        <is>
          <t>991003639299702656</t>
        </is>
      </c>
      <c r="BA2213" t="inlineStr">
        <is>
          <t>2263775170002656</t>
        </is>
      </c>
      <c r="BB2213" t="inlineStr">
        <is>
          <t>BOOK</t>
        </is>
      </c>
      <c r="BD2213" t="inlineStr">
        <is>
          <t>9780195018745</t>
        </is>
      </c>
      <c r="BE2213" t="inlineStr">
        <is>
          <t>32285000735380</t>
        </is>
      </c>
      <c r="BF2213" t="inlineStr">
        <is>
          <t>893330599</t>
        </is>
      </c>
    </row>
    <row r="2214">
      <c r="A2214" t="inlineStr">
        <is>
          <t>No</t>
        </is>
      </c>
      <c r="B2214" t="inlineStr">
        <is>
          <t>CURAL</t>
        </is>
      </c>
      <c r="C2214" t="inlineStr">
        <is>
          <t>SHELVES</t>
        </is>
      </c>
      <c r="D2214" t="inlineStr">
        <is>
          <t>PR504.5 .C87 1990</t>
        </is>
      </c>
      <c r="E2214" t="inlineStr">
        <is>
          <t>0                      PR 0504500C  87          1990</t>
        </is>
      </c>
      <c r="F2214" t="inlineStr">
        <is>
          <t>How to study modern poetry / Tony Curtis.</t>
        </is>
      </c>
      <c r="H2214" t="inlineStr">
        <is>
          <t>No</t>
        </is>
      </c>
      <c r="I2214" t="inlineStr">
        <is>
          <t>1</t>
        </is>
      </c>
      <c r="J2214" t="inlineStr">
        <is>
          <t>No</t>
        </is>
      </c>
      <c r="K2214" t="inlineStr">
        <is>
          <t>No</t>
        </is>
      </c>
      <c r="L2214" t="inlineStr">
        <is>
          <t>0</t>
        </is>
      </c>
      <c r="M2214" t="inlineStr">
        <is>
          <t>Curtis, Tony, 1946-</t>
        </is>
      </c>
      <c r="N2214" t="inlineStr">
        <is>
          <t>Basingstoke : Macmillan Education, 1990.</t>
        </is>
      </c>
      <c r="O2214" t="inlineStr">
        <is>
          <t>1990</t>
        </is>
      </c>
      <c r="Q2214" t="inlineStr">
        <is>
          <t>eng</t>
        </is>
      </c>
      <c r="R2214" t="inlineStr">
        <is>
          <t>enk</t>
        </is>
      </c>
      <c r="S2214" t="inlineStr">
        <is>
          <t>How to study literature</t>
        </is>
      </c>
      <c r="T2214" t="inlineStr">
        <is>
          <t xml:space="preserve">PR </t>
        </is>
      </c>
      <c r="U2214" t="n">
        <v>3</v>
      </c>
      <c r="V2214" t="n">
        <v>3</v>
      </c>
      <c r="W2214" t="inlineStr">
        <is>
          <t>2000-03-27</t>
        </is>
      </c>
      <c r="X2214" t="inlineStr">
        <is>
          <t>2000-03-27</t>
        </is>
      </c>
      <c r="Y2214" t="inlineStr">
        <is>
          <t>1991-01-17</t>
        </is>
      </c>
      <c r="Z2214" t="inlineStr">
        <is>
          <t>1991-01-17</t>
        </is>
      </c>
      <c r="AA2214" t="n">
        <v>180</v>
      </c>
      <c r="AB2214" t="n">
        <v>40</v>
      </c>
      <c r="AC2214" t="n">
        <v>51</v>
      </c>
      <c r="AD2214" t="n">
        <v>1</v>
      </c>
      <c r="AE2214" t="n">
        <v>1</v>
      </c>
      <c r="AF2214" t="n">
        <v>0</v>
      </c>
      <c r="AG2214" t="n">
        <v>1</v>
      </c>
      <c r="AH2214" t="n">
        <v>0</v>
      </c>
      <c r="AI2214" t="n">
        <v>1</v>
      </c>
      <c r="AJ2214" t="n">
        <v>0</v>
      </c>
      <c r="AK2214" t="n">
        <v>0</v>
      </c>
      <c r="AL2214" t="n">
        <v>0</v>
      </c>
      <c r="AM2214" t="n">
        <v>1</v>
      </c>
      <c r="AN2214" t="n">
        <v>0</v>
      </c>
      <c r="AO2214" t="n">
        <v>0</v>
      </c>
      <c r="AP2214" t="n">
        <v>0</v>
      </c>
      <c r="AQ2214" t="n">
        <v>0</v>
      </c>
      <c r="AR2214" t="inlineStr">
        <is>
          <t>No</t>
        </is>
      </c>
      <c r="AS2214" t="inlineStr">
        <is>
          <t>Yes</t>
        </is>
      </c>
      <c r="AT2214">
        <f>HYPERLINK("http://catalog.hathitrust.org/Record/007108255","HathiTrust Record")</f>
        <v/>
      </c>
      <c r="AU2214">
        <f>HYPERLINK("https://creighton-primo.hosted.exlibrisgroup.com/primo-explore/search?tab=default_tab&amp;search_scope=EVERYTHING&amp;vid=01CRU&amp;lang=en_US&amp;offset=0&amp;query=any,contains,991001553309702656","Catalog Record")</f>
        <v/>
      </c>
      <c r="AV2214">
        <f>HYPERLINK("http://www.worldcat.org/oclc/20259257","WorldCat Record")</f>
        <v/>
      </c>
      <c r="AW2214" t="inlineStr">
        <is>
          <t>115108845:eng</t>
        </is>
      </c>
      <c r="AX2214" t="inlineStr">
        <is>
          <t>20259257</t>
        </is>
      </c>
      <c r="AY2214" t="inlineStr">
        <is>
          <t>991001553309702656</t>
        </is>
      </c>
      <c r="AZ2214" t="inlineStr">
        <is>
          <t>991001553309702656</t>
        </is>
      </c>
      <c r="BA2214" t="inlineStr">
        <is>
          <t>2265723990002656</t>
        </is>
      </c>
      <c r="BB2214" t="inlineStr">
        <is>
          <t>BOOK</t>
        </is>
      </c>
      <c r="BD2214" t="inlineStr">
        <is>
          <t>9780333467299</t>
        </is>
      </c>
      <c r="BE2214" t="inlineStr">
        <is>
          <t>32285000409085</t>
        </is>
      </c>
      <c r="BF2214" t="inlineStr">
        <is>
          <t>893503488</t>
        </is>
      </c>
    </row>
    <row r="2215">
      <c r="A2215" t="inlineStr">
        <is>
          <t>No</t>
        </is>
      </c>
      <c r="B2215" t="inlineStr">
        <is>
          <t>CURAL</t>
        </is>
      </c>
      <c r="C2215" t="inlineStr">
        <is>
          <t>SHELVES</t>
        </is>
      </c>
      <c r="D2215" t="inlineStr">
        <is>
          <t>PR5043 .B7</t>
        </is>
      </c>
      <c r="E2215" t="inlineStr">
        <is>
          <t>0                      PR 5043000B  7</t>
        </is>
      </c>
      <c r="F2215" t="inlineStr">
        <is>
          <t>George Moore: a reconsideration.</t>
        </is>
      </c>
      <c r="H2215" t="inlineStr">
        <is>
          <t>No</t>
        </is>
      </c>
      <c r="I2215" t="inlineStr">
        <is>
          <t>1</t>
        </is>
      </c>
      <c r="J2215" t="inlineStr">
        <is>
          <t>No</t>
        </is>
      </c>
      <c r="K2215" t="inlineStr">
        <is>
          <t>No</t>
        </is>
      </c>
      <c r="L2215" t="inlineStr">
        <is>
          <t>0</t>
        </is>
      </c>
      <c r="M2215" t="inlineStr">
        <is>
          <t>Brown, Malcolm, 1910-1992.</t>
        </is>
      </c>
      <c r="N2215" t="inlineStr">
        <is>
          <t>Seattle, University of Washington Press, 1955.</t>
        </is>
      </c>
      <c r="O2215" t="inlineStr">
        <is>
          <t>1955</t>
        </is>
      </c>
      <c r="Q2215" t="inlineStr">
        <is>
          <t>eng</t>
        </is>
      </c>
      <c r="R2215" t="inlineStr">
        <is>
          <t>wau</t>
        </is>
      </c>
      <c r="T2215" t="inlineStr">
        <is>
          <t xml:space="preserve">PR </t>
        </is>
      </c>
      <c r="U2215" t="n">
        <v>2</v>
      </c>
      <c r="V2215" t="n">
        <v>2</v>
      </c>
      <c r="W2215" t="inlineStr">
        <is>
          <t>2004-10-07</t>
        </is>
      </c>
      <c r="X2215" t="inlineStr">
        <is>
          <t>2004-10-07</t>
        </is>
      </c>
      <c r="Y2215" t="inlineStr">
        <is>
          <t>1997-07-16</t>
        </is>
      </c>
      <c r="Z2215" t="inlineStr">
        <is>
          <t>1997-07-16</t>
        </is>
      </c>
      <c r="AA2215" t="n">
        <v>655</v>
      </c>
      <c r="AB2215" t="n">
        <v>551</v>
      </c>
      <c r="AC2215" t="n">
        <v>559</v>
      </c>
      <c r="AD2215" t="n">
        <v>5</v>
      </c>
      <c r="AE2215" t="n">
        <v>5</v>
      </c>
      <c r="AF2215" t="n">
        <v>30</v>
      </c>
      <c r="AG2215" t="n">
        <v>30</v>
      </c>
      <c r="AH2215" t="n">
        <v>9</v>
      </c>
      <c r="AI2215" t="n">
        <v>9</v>
      </c>
      <c r="AJ2215" t="n">
        <v>9</v>
      </c>
      <c r="AK2215" t="n">
        <v>9</v>
      </c>
      <c r="AL2215" t="n">
        <v>15</v>
      </c>
      <c r="AM2215" t="n">
        <v>15</v>
      </c>
      <c r="AN2215" t="n">
        <v>4</v>
      </c>
      <c r="AO2215" t="n">
        <v>4</v>
      </c>
      <c r="AP2215" t="n">
        <v>0</v>
      </c>
      <c r="AQ2215" t="n">
        <v>0</v>
      </c>
      <c r="AR2215" t="inlineStr">
        <is>
          <t>No</t>
        </is>
      </c>
      <c r="AS2215" t="inlineStr">
        <is>
          <t>No</t>
        </is>
      </c>
      <c r="AT2215">
        <f>HYPERLINK("http://catalog.hathitrust.org/Record/000633126","HathiTrust Record")</f>
        <v/>
      </c>
      <c r="AU2215">
        <f>HYPERLINK("https://creighton-primo.hosted.exlibrisgroup.com/primo-explore/search?tab=default_tab&amp;search_scope=EVERYTHING&amp;vid=01CRU&amp;lang=en_US&amp;offset=0&amp;query=any,contains,991002483969702656","Catalog Record")</f>
        <v/>
      </c>
      <c r="AV2215">
        <f>HYPERLINK("http://www.worldcat.org/oclc/360450","WorldCat Record")</f>
        <v/>
      </c>
      <c r="AW2215" t="inlineStr">
        <is>
          <t>197550141:eng</t>
        </is>
      </c>
      <c r="AX2215" t="inlineStr">
        <is>
          <t>360450</t>
        </is>
      </c>
      <c r="AY2215" t="inlineStr">
        <is>
          <t>991002483969702656</t>
        </is>
      </c>
      <c r="AZ2215" t="inlineStr">
        <is>
          <t>991002483969702656</t>
        </is>
      </c>
      <c r="BA2215" t="inlineStr">
        <is>
          <t>2263836830002656</t>
        </is>
      </c>
      <c r="BB2215" t="inlineStr">
        <is>
          <t>BOOK</t>
        </is>
      </c>
      <c r="BE2215" t="inlineStr">
        <is>
          <t>32285002927555</t>
        </is>
      </c>
      <c r="BF2215" t="inlineStr">
        <is>
          <t>893773676</t>
        </is>
      </c>
    </row>
    <row r="2216">
      <c r="A2216" t="inlineStr">
        <is>
          <t>No</t>
        </is>
      </c>
      <c r="B2216" t="inlineStr">
        <is>
          <t>CURAL</t>
        </is>
      </c>
      <c r="C2216" t="inlineStr">
        <is>
          <t>SHELVES</t>
        </is>
      </c>
      <c r="D2216" t="inlineStr">
        <is>
          <t>PR5043 .D8</t>
        </is>
      </c>
      <c r="E2216" t="inlineStr">
        <is>
          <t>0                      PR 5043000D  8</t>
        </is>
      </c>
      <c r="F2216" t="inlineStr">
        <is>
          <t>George Moore: the artist's vision, the storyteller's art.</t>
        </is>
      </c>
      <c r="H2216" t="inlineStr">
        <is>
          <t>No</t>
        </is>
      </c>
      <c r="I2216" t="inlineStr">
        <is>
          <t>1</t>
        </is>
      </c>
      <c r="J2216" t="inlineStr">
        <is>
          <t>No</t>
        </is>
      </c>
      <c r="K2216" t="inlineStr">
        <is>
          <t>No</t>
        </is>
      </c>
      <c r="L2216" t="inlineStr">
        <is>
          <t>0</t>
        </is>
      </c>
      <c r="M2216" t="inlineStr">
        <is>
          <t>Dunleavy, Janet Egleson.</t>
        </is>
      </c>
      <c r="N2216" t="inlineStr">
        <is>
          <t>Lewisburg, Bucknell University Press [1973]</t>
        </is>
      </c>
      <c r="O2216" t="inlineStr">
        <is>
          <t>1973</t>
        </is>
      </c>
      <c r="Q2216" t="inlineStr">
        <is>
          <t>eng</t>
        </is>
      </c>
      <c r="R2216" t="inlineStr">
        <is>
          <t>pau</t>
        </is>
      </c>
      <c r="T2216" t="inlineStr">
        <is>
          <t xml:space="preserve">PR </t>
        </is>
      </c>
      <c r="U2216" t="n">
        <v>1</v>
      </c>
      <c r="V2216" t="n">
        <v>1</v>
      </c>
      <c r="W2216" t="inlineStr">
        <is>
          <t>1997-12-09</t>
        </is>
      </c>
      <c r="X2216" t="inlineStr">
        <is>
          <t>1997-12-09</t>
        </is>
      </c>
      <c r="Y2216" t="inlineStr">
        <is>
          <t>1997-07-16</t>
        </is>
      </c>
      <c r="Z2216" t="inlineStr">
        <is>
          <t>1997-07-16</t>
        </is>
      </c>
      <c r="AA2216" t="n">
        <v>501</v>
      </c>
      <c r="AB2216" t="n">
        <v>423</v>
      </c>
      <c r="AC2216" t="n">
        <v>429</v>
      </c>
      <c r="AD2216" t="n">
        <v>4</v>
      </c>
      <c r="AE2216" t="n">
        <v>4</v>
      </c>
      <c r="AF2216" t="n">
        <v>25</v>
      </c>
      <c r="AG2216" t="n">
        <v>25</v>
      </c>
      <c r="AH2216" t="n">
        <v>9</v>
      </c>
      <c r="AI2216" t="n">
        <v>9</v>
      </c>
      <c r="AJ2216" t="n">
        <v>6</v>
      </c>
      <c r="AK2216" t="n">
        <v>6</v>
      </c>
      <c r="AL2216" t="n">
        <v>13</v>
      </c>
      <c r="AM2216" t="n">
        <v>13</v>
      </c>
      <c r="AN2216" t="n">
        <v>3</v>
      </c>
      <c r="AO2216" t="n">
        <v>3</v>
      </c>
      <c r="AP2216" t="n">
        <v>0</v>
      </c>
      <c r="AQ2216" t="n">
        <v>0</v>
      </c>
      <c r="AR2216" t="inlineStr">
        <is>
          <t>No</t>
        </is>
      </c>
      <c r="AS2216" t="inlineStr">
        <is>
          <t>Yes</t>
        </is>
      </c>
      <c r="AT2216">
        <f>HYPERLINK("http://catalog.hathitrust.org/Record/000633128","HathiTrust Record")</f>
        <v/>
      </c>
      <c r="AU2216">
        <f>HYPERLINK("https://creighton-primo.hosted.exlibrisgroup.com/primo-explore/search?tab=default_tab&amp;search_scope=EVERYTHING&amp;vid=01CRU&amp;lang=en_US&amp;offset=0&amp;query=any,contains,991002866439702656","Catalog Record")</f>
        <v/>
      </c>
      <c r="AV2216">
        <f>HYPERLINK("http://www.worldcat.org/oclc/496841","WorldCat Record")</f>
        <v/>
      </c>
      <c r="AW2216" t="inlineStr">
        <is>
          <t>503736:eng</t>
        </is>
      </c>
      <c r="AX2216" t="inlineStr">
        <is>
          <t>496841</t>
        </is>
      </c>
      <c r="AY2216" t="inlineStr">
        <is>
          <t>991002866439702656</t>
        </is>
      </c>
      <c r="AZ2216" t="inlineStr">
        <is>
          <t>991002866439702656</t>
        </is>
      </c>
      <c r="BA2216" t="inlineStr">
        <is>
          <t>2271755590002656</t>
        </is>
      </c>
      <c r="BB2216" t="inlineStr">
        <is>
          <t>BOOK</t>
        </is>
      </c>
      <c r="BD2216" t="inlineStr">
        <is>
          <t>9780838777572</t>
        </is>
      </c>
      <c r="BE2216" t="inlineStr">
        <is>
          <t>32285002927563</t>
        </is>
      </c>
      <c r="BF2216" t="inlineStr">
        <is>
          <t>893239607</t>
        </is>
      </c>
    </row>
    <row r="2217">
      <c r="A2217" t="inlineStr">
        <is>
          <t>No</t>
        </is>
      </c>
      <c r="B2217" t="inlineStr">
        <is>
          <t>CURAL</t>
        </is>
      </c>
      <c r="C2217" t="inlineStr">
        <is>
          <t>SHELVES</t>
        </is>
      </c>
      <c r="D2217" t="inlineStr">
        <is>
          <t>PR5043 .F57 2000</t>
        </is>
      </c>
      <c r="E2217" t="inlineStr">
        <is>
          <t>0                      PR 5043000F  57          2000</t>
        </is>
      </c>
      <c r="F2217" t="inlineStr">
        <is>
          <t>George Moore, 1852-1933 / Adrian Frazier.</t>
        </is>
      </c>
      <c r="H2217" t="inlineStr">
        <is>
          <t>No</t>
        </is>
      </c>
      <c r="I2217" t="inlineStr">
        <is>
          <t>1</t>
        </is>
      </c>
      <c r="J2217" t="inlineStr">
        <is>
          <t>No</t>
        </is>
      </c>
      <c r="K2217" t="inlineStr">
        <is>
          <t>No</t>
        </is>
      </c>
      <c r="L2217" t="inlineStr">
        <is>
          <t>0</t>
        </is>
      </c>
      <c r="M2217" t="inlineStr">
        <is>
          <t>Frazier, Adrian Woods.</t>
        </is>
      </c>
      <c r="N2217" t="inlineStr">
        <is>
          <t>New Haven, [Conn.] : Yale University Press, c2000.</t>
        </is>
      </c>
      <c r="O2217" t="inlineStr">
        <is>
          <t>2000</t>
        </is>
      </c>
      <c r="Q2217" t="inlineStr">
        <is>
          <t>eng</t>
        </is>
      </c>
      <c r="R2217" t="inlineStr">
        <is>
          <t>ctu</t>
        </is>
      </c>
      <c r="T2217" t="inlineStr">
        <is>
          <t xml:space="preserve">PR </t>
        </is>
      </c>
      <c r="U2217" t="n">
        <v>1</v>
      </c>
      <c r="V2217" t="n">
        <v>1</v>
      </c>
      <c r="W2217" t="inlineStr">
        <is>
          <t>2004-11-30</t>
        </is>
      </c>
      <c r="X2217" t="inlineStr">
        <is>
          <t>2004-11-30</t>
        </is>
      </c>
      <c r="Y2217" t="inlineStr">
        <is>
          <t>2004-11-30</t>
        </is>
      </c>
      <c r="Z2217" t="inlineStr">
        <is>
          <t>2004-11-30</t>
        </is>
      </c>
      <c r="AA2217" t="n">
        <v>573</v>
      </c>
      <c r="AB2217" t="n">
        <v>429</v>
      </c>
      <c r="AC2217" t="n">
        <v>430</v>
      </c>
      <c r="AD2217" t="n">
        <v>4</v>
      </c>
      <c r="AE2217" t="n">
        <v>4</v>
      </c>
      <c r="AF2217" t="n">
        <v>30</v>
      </c>
      <c r="AG2217" t="n">
        <v>30</v>
      </c>
      <c r="AH2217" t="n">
        <v>12</v>
      </c>
      <c r="AI2217" t="n">
        <v>12</v>
      </c>
      <c r="AJ2217" t="n">
        <v>9</v>
      </c>
      <c r="AK2217" t="n">
        <v>9</v>
      </c>
      <c r="AL2217" t="n">
        <v>16</v>
      </c>
      <c r="AM2217" t="n">
        <v>16</v>
      </c>
      <c r="AN2217" t="n">
        <v>3</v>
      </c>
      <c r="AO2217" t="n">
        <v>3</v>
      </c>
      <c r="AP2217" t="n">
        <v>0</v>
      </c>
      <c r="AQ2217" t="n">
        <v>0</v>
      </c>
      <c r="AR2217" t="inlineStr">
        <is>
          <t>No</t>
        </is>
      </c>
      <c r="AS2217" t="inlineStr">
        <is>
          <t>No</t>
        </is>
      </c>
      <c r="AU2217">
        <f>HYPERLINK("https://creighton-primo.hosted.exlibrisgroup.com/primo-explore/search?tab=default_tab&amp;search_scope=EVERYTHING&amp;vid=01CRU&amp;lang=en_US&amp;offset=0&amp;query=any,contains,991004416519702656","Catalog Record")</f>
        <v/>
      </c>
      <c r="AV2217">
        <f>HYPERLINK("http://www.worldcat.org/oclc/43050156","WorldCat Record")</f>
        <v/>
      </c>
      <c r="AW2217" t="inlineStr">
        <is>
          <t>27477837:eng</t>
        </is>
      </c>
      <c r="AX2217" t="inlineStr">
        <is>
          <t>43050156</t>
        </is>
      </c>
      <c r="AY2217" t="inlineStr">
        <is>
          <t>991004416519702656</t>
        </is>
      </c>
      <c r="AZ2217" t="inlineStr">
        <is>
          <t>991004416519702656</t>
        </is>
      </c>
      <c r="BA2217" t="inlineStr">
        <is>
          <t>2256248750002656</t>
        </is>
      </c>
      <c r="BB2217" t="inlineStr">
        <is>
          <t>BOOK</t>
        </is>
      </c>
      <c r="BD2217" t="inlineStr">
        <is>
          <t>9780300082456</t>
        </is>
      </c>
      <c r="BE2217" t="inlineStr">
        <is>
          <t>32285005013924</t>
        </is>
      </c>
      <c r="BF2217" t="inlineStr">
        <is>
          <t>893606006</t>
        </is>
      </c>
    </row>
    <row r="2218">
      <c r="A2218" t="inlineStr">
        <is>
          <t>No</t>
        </is>
      </c>
      <c r="B2218" t="inlineStr">
        <is>
          <t>CURAL</t>
        </is>
      </c>
      <c r="C2218" t="inlineStr">
        <is>
          <t>SHELVES</t>
        </is>
      </c>
      <c r="D2218" t="inlineStr">
        <is>
          <t>PR5043 .F6 1971</t>
        </is>
      </c>
      <c r="E2218" t="inlineStr">
        <is>
          <t>0                      PR 5043000F  6           1971</t>
        </is>
      </c>
      <c r="F2218" t="inlineStr">
        <is>
          <t>A portrait of George Moore in a study of his work. London, T. W. Laurie, 1922.</t>
        </is>
      </c>
      <c r="H2218" t="inlineStr">
        <is>
          <t>No</t>
        </is>
      </c>
      <c r="I2218" t="inlineStr">
        <is>
          <t>1</t>
        </is>
      </c>
      <c r="J2218" t="inlineStr">
        <is>
          <t>No</t>
        </is>
      </c>
      <c r="K2218" t="inlineStr">
        <is>
          <t>No</t>
        </is>
      </c>
      <c r="L2218" t="inlineStr">
        <is>
          <t>0</t>
        </is>
      </c>
      <c r="M2218" t="inlineStr">
        <is>
          <t>Freeman, John, 1880-1929.</t>
        </is>
      </c>
      <c r="N2218" t="inlineStr">
        <is>
          <t>St. Clair Shores, Mich., Scholarly Press, 1971.</t>
        </is>
      </c>
      <c r="O2218" t="inlineStr">
        <is>
          <t>1971</t>
        </is>
      </c>
      <c r="Q2218" t="inlineStr">
        <is>
          <t>eng</t>
        </is>
      </c>
      <c r="R2218" t="inlineStr">
        <is>
          <t>miu</t>
        </is>
      </c>
      <c r="T2218" t="inlineStr">
        <is>
          <t xml:space="preserve">PR </t>
        </is>
      </c>
      <c r="U2218" t="n">
        <v>1</v>
      </c>
      <c r="V2218" t="n">
        <v>1</v>
      </c>
      <c r="W2218" t="inlineStr">
        <is>
          <t>2004-10-07</t>
        </is>
      </c>
      <c r="X2218" t="inlineStr">
        <is>
          <t>2004-10-07</t>
        </is>
      </c>
      <c r="Y2218" t="inlineStr">
        <is>
          <t>1997-07-16</t>
        </is>
      </c>
      <c r="Z2218" t="inlineStr">
        <is>
          <t>1997-07-16</t>
        </is>
      </c>
      <c r="AA2218" t="n">
        <v>51</v>
      </c>
      <c r="AB2218" t="n">
        <v>47</v>
      </c>
      <c r="AC2218" t="n">
        <v>350</v>
      </c>
      <c r="AD2218" t="n">
        <v>2</v>
      </c>
      <c r="AE2218" t="n">
        <v>3</v>
      </c>
      <c r="AF2218" t="n">
        <v>3</v>
      </c>
      <c r="AG2218" t="n">
        <v>21</v>
      </c>
      <c r="AH2218" t="n">
        <v>1</v>
      </c>
      <c r="AI2218" t="n">
        <v>7</v>
      </c>
      <c r="AJ2218" t="n">
        <v>1</v>
      </c>
      <c r="AK2218" t="n">
        <v>9</v>
      </c>
      <c r="AL2218" t="n">
        <v>1</v>
      </c>
      <c r="AM2218" t="n">
        <v>13</v>
      </c>
      <c r="AN2218" t="n">
        <v>1</v>
      </c>
      <c r="AO2218" t="n">
        <v>2</v>
      </c>
      <c r="AP2218" t="n">
        <v>0</v>
      </c>
      <c r="AQ2218" t="n">
        <v>0</v>
      </c>
      <c r="AR2218" t="inlineStr">
        <is>
          <t>No</t>
        </is>
      </c>
      <c r="AS2218" t="inlineStr">
        <is>
          <t>No</t>
        </is>
      </c>
      <c r="AU2218">
        <f>HYPERLINK("https://creighton-primo.hosted.exlibrisgroup.com/primo-explore/search?tab=default_tab&amp;search_scope=EVERYTHING&amp;vid=01CRU&amp;lang=en_US&amp;offset=0&amp;query=any,contains,991001927969702656","Catalog Record")</f>
        <v/>
      </c>
      <c r="AV2218">
        <f>HYPERLINK("http://www.worldcat.org/oclc/247646","WorldCat Record")</f>
        <v/>
      </c>
      <c r="AW2218" t="inlineStr">
        <is>
          <t>1402965:eng</t>
        </is>
      </c>
      <c r="AX2218" t="inlineStr">
        <is>
          <t>247646</t>
        </is>
      </c>
      <c r="AY2218" t="inlineStr">
        <is>
          <t>991001927969702656</t>
        </is>
      </c>
      <c r="AZ2218" t="inlineStr">
        <is>
          <t>991001927969702656</t>
        </is>
      </c>
      <c r="BA2218" t="inlineStr">
        <is>
          <t>2257999440002656</t>
        </is>
      </c>
      <c r="BB2218" t="inlineStr">
        <is>
          <t>BOOK</t>
        </is>
      </c>
      <c r="BD2218" t="inlineStr">
        <is>
          <t>9780403005987</t>
        </is>
      </c>
      <c r="BE2218" t="inlineStr">
        <is>
          <t>32285002927571</t>
        </is>
      </c>
      <c r="BF2218" t="inlineStr">
        <is>
          <t>893891947</t>
        </is>
      </c>
    </row>
    <row r="2219">
      <c r="A2219" t="inlineStr">
        <is>
          <t>No</t>
        </is>
      </c>
      <c r="B2219" t="inlineStr">
        <is>
          <t>CURAL</t>
        </is>
      </c>
      <c r="C2219" t="inlineStr">
        <is>
          <t>SHELVES</t>
        </is>
      </c>
      <c r="D2219" t="inlineStr">
        <is>
          <t>PR5043.A3 G5 1970</t>
        </is>
      </c>
      <c r="E2219" t="inlineStr">
        <is>
          <t>0                      PR 5043000A  3                  G  5           1970</t>
        </is>
      </c>
      <c r="F2219" t="inlineStr">
        <is>
          <t>A bibliography of George Moore.</t>
        </is>
      </c>
      <c r="H2219" t="inlineStr">
        <is>
          <t>No</t>
        </is>
      </c>
      <c r="I2219" t="inlineStr">
        <is>
          <t>1</t>
        </is>
      </c>
      <c r="J2219" t="inlineStr">
        <is>
          <t>No</t>
        </is>
      </c>
      <c r="K2219" t="inlineStr">
        <is>
          <t>No</t>
        </is>
      </c>
      <c r="L2219" t="inlineStr">
        <is>
          <t>0</t>
        </is>
      </c>
      <c r="M2219" t="inlineStr">
        <is>
          <t>Gilcher, Edwin.</t>
        </is>
      </c>
      <c r="N2219" t="inlineStr">
        <is>
          <t>Dekalb, Northern Illinois University Press [1970]</t>
        </is>
      </c>
      <c r="O2219" t="inlineStr">
        <is>
          <t>1970</t>
        </is>
      </c>
      <c r="Q2219" t="inlineStr">
        <is>
          <t>eng</t>
        </is>
      </c>
      <c r="R2219" t="inlineStr">
        <is>
          <t>ilu</t>
        </is>
      </c>
      <c r="T2219" t="inlineStr">
        <is>
          <t xml:space="preserve">PR </t>
        </is>
      </c>
      <c r="U2219" t="n">
        <v>2</v>
      </c>
      <c r="V2219" t="n">
        <v>2</v>
      </c>
      <c r="W2219" t="inlineStr">
        <is>
          <t>1997-12-09</t>
        </is>
      </c>
      <c r="X2219" t="inlineStr">
        <is>
          <t>1997-12-09</t>
        </is>
      </c>
      <c r="Y2219" t="inlineStr">
        <is>
          <t>1997-07-16</t>
        </is>
      </c>
      <c r="Z2219" t="inlineStr">
        <is>
          <t>1997-07-16</t>
        </is>
      </c>
      <c r="AA2219" t="n">
        <v>463</v>
      </c>
      <c r="AB2219" t="n">
        <v>356</v>
      </c>
      <c r="AC2219" t="n">
        <v>363</v>
      </c>
      <c r="AD2219" t="n">
        <v>3</v>
      </c>
      <c r="AE2219" t="n">
        <v>3</v>
      </c>
      <c r="AF2219" t="n">
        <v>21</v>
      </c>
      <c r="AG2219" t="n">
        <v>21</v>
      </c>
      <c r="AH2219" t="n">
        <v>5</v>
      </c>
      <c r="AI2219" t="n">
        <v>5</v>
      </c>
      <c r="AJ2219" t="n">
        <v>6</v>
      </c>
      <c r="AK2219" t="n">
        <v>6</v>
      </c>
      <c r="AL2219" t="n">
        <v>11</v>
      </c>
      <c r="AM2219" t="n">
        <v>11</v>
      </c>
      <c r="AN2219" t="n">
        <v>2</v>
      </c>
      <c r="AO2219" t="n">
        <v>2</v>
      </c>
      <c r="AP2219" t="n">
        <v>0</v>
      </c>
      <c r="AQ2219" t="n">
        <v>0</v>
      </c>
      <c r="AR2219" t="inlineStr">
        <is>
          <t>No</t>
        </is>
      </c>
      <c r="AS2219" t="inlineStr">
        <is>
          <t>Yes</t>
        </is>
      </c>
      <c r="AT2219">
        <f>HYPERLINK("http://catalog.hathitrust.org/Record/004469118","HathiTrust Record")</f>
        <v/>
      </c>
      <c r="AU2219">
        <f>HYPERLINK("https://creighton-primo.hosted.exlibrisgroup.com/primo-explore/search?tab=default_tab&amp;search_scope=EVERYTHING&amp;vid=01CRU&amp;lang=en_US&amp;offset=0&amp;query=any,contains,991000626369702656","Catalog Record")</f>
        <v/>
      </c>
      <c r="AV2219">
        <f>HYPERLINK("http://www.worldcat.org/oclc/104365","WorldCat Record")</f>
        <v/>
      </c>
      <c r="AW2219" t="inlineStr">
        <is>
          <t>1182158:eng</t>
        </is>
      </c>
      <c r="AX2219" t="inlineStr">
        <is>
          <t>104365</t>
        </is>
      </c>
      <c r="AY2219" t="inlineStr">
        <is>
          <t>991000626369702656</t>
        </is>
      </c>
      <c r="AZ2219" t="inlineStr">
        <is>
          <t>991000626369702656</t>
        </is>
      </c>
      <c r="BA2219" t="inlineStr">
        <is>
          <t>2260778550002656</t>
        </is>
      </c>
      <c r="BB2219" t="inlineStr">
        <is>
          <t>BOOK</t>
        </is>
      </c>
      <c r="BD2219" t="inlineStr">
        <is>
          <t>9780875800172</t>
        </is>
      </c>
      <c r="BE2219" t="inlineStr">
        <is>
          <t>32285002927530</t>
        </is>
      </c>
      <c r="BF2219" t="inlineStr">
        <is>
          <t>893601911</t>
        </is>
      </c>
    </row>
    <row r="2220">
      <c r="A2220" t="inlineStr">
        <is>
          <t>No</t>
        </is>
      </c>
      <c r="B2220" t="inlineStr">
        <is>
          <t>CURAL</t>
        </is>
      </c>
      <c r="C2220" t="inlineStr">
        <is>
          <t>SHELVES</t>
        </is>
      </c>
      <c r="D2220" t="inlineStr">
        <is>
          <t>PR5044 .F4 1932</t>
        </is>
      </c>
      <c r="E2220" t="inlineStr">
        <is>
          <t>0                      PR 5044000F  4           1932</t>
        </is>
      </c>
      <c r="F2220" t="inlineStr">
        <is>
          <t>The influence of Flaubert on George Moore [by] Walter D. Ferguson.</t>
        </is>
      </c>
      <c r="H2220" t="inlineStr">
        <is>
          <t>No</t>
        </is>
      </c>
      <c r="I2220" t="inlineStr">
        <is>
          <t>1</t>
        </is>
      </c>
      <c r="J2220" t="inlineStr">
        <is>
          <t>No</t>
        </is>
      </c>
      <c r="K2220" t="inlineStr">
        <is>
          <t>No</t>
        </is>
      </c>
      <c r="L2220" t="inlineStr">
        <is>
          <t>0</t>
        </is>
      </c>
      <c r="M2220" t="inlineStr">
        <is>
          <t>Ferguson, Walter D. (Walter Dewey), 1898-</t>
        </is>
      </c>
      <c r="O2220" t="inlineStr">
        <is>
          <t>1934</t>
        </is>
      </c>
      <c r="Q2220" t="inlineStr">
        <is>
          <t>eng</t>
        </is>
      </c>
      <c r="R2220" t="inlineStr">
        <is>
          <t xml:space="preserve">xx </t>
        </is>
      </c>
      <c r="T2220" t="inlineStr">
        <is>
          <t xml:space="preserve">PR </t>
        </is>
      </c>
      <c r="U2220" t="n">
        <v>4</v>
      </c>
      <c r="V2220" t="n">
        <v>4</v>
      </c>
      <c r="W2220" t="inlineStr">
        <is>
          <t>2004-10-07</t>
        </is>
      </c>
      <c r="X2220" t="inlineStr">
        <is>
          <t>2004-10-07</t>
        </is>
      </c>
      <c r="Y2220" t="inlineStr">
        <is>
          <t>1997-07-16</t>
        </is>
      </c>
      <c r="Z2220" t="inlineStr">
        <is>
          <t>1997-07-16</t>
        </is>
      </c>
      <c r="AA2220" t="n">
        <v>41</v>
      </c>
      <c r="AB2220" t="n">
        <v>39</v>
      </c>
      <c r="AC2220" t="n">
        <v>370</v>
      </c>
      <c r="AD2220" t="n">
        <v>1</v>
      </c>
      <c r="AE2220" t="n">
        <v>2</v>
      </c>
      <c r="AF2220" t="n">
        <v>1</v>
      </c>
      <c r="AG2220" t="n">
        <v>17</v>
      </c>
      <c r="AH2220" t="n">
        <v>0</v>
      </c>
      <c r="AI2220" t="n">
        <v>7</v>
      </c>
      <c r="AJ2220" t="n">
        <v>0</v>
      </c>
      <c r="AK2220" t="n">
        <v>5</v>
      </c>
      <c r="AL2220" t="n">
        <v>1</v>
      </c>
      <c r="AM2220" t="n">
        <v>9</v>
      </c>
      <c r="AN2220" t="n">
        <v>0</v>
      </c>
      <c r="AO2220" t="n">
        <v>1</v>
      </c>
      <c r="AP2220" t="n">
        <v>0</v>
      </c>
      <c r="AQ2220" t="n">
        <v>0</v>
      </c>
      <c r="AR2220" t="inlineStr">
        <is>
          <t>No</t>
        </is>
      </c>
      <c r="AS2220" t="inlineStr">
        <is>
          <t>No</t>
        </is>
      </c>
      <c r="AU2220">
        <f>HYPERLINK("https://creighton-primo.hosted.exlibrisgroup.com/primo-explore/search?tab=default_tab&amp;search_scope=EVERYTHING&amp;vid=01CRU&amp;lang=en_US&amp;offset=0&amp;query=any,contains,991004739509702656","Catalog Record")</f>
        <v/>
      </c>
      <c r="AV2220">
        <f>HYPERLINK("http://www.worldcat.org/oclc/4876551","WorldCat Record")</f>
        <v/>
      </c>
      <c r="AW2220" t="inlineStr">
        <is>
          <t>1690722:eng</t>
        </is>
      </c>
      <c r="AX2220" t="inlineStr">
        <is>
          <t>4876551</t>
        </is>
      </c>
      <c r="AY2220" t="inlineStr">
        <is>
          <t>991004739509702656</t>
        </is>
      </c>
      <c r="AZ2220" t="inlineStr">
        <is>
          <t>991004739509702656</t>
        </is>
      </c>
      <c r="BA2220" t="inlineStr">
        <is>
          <t>2264911730002656</t>
        </is>
      </c>
      <c r="BB2220" t="inlineStr">
        <is>
          <t>BOOK</t>
        </is>
      </c>
      <c r="BE2220" t="inlineStr">
        <is>
          <t>32285002927597</t>
        </is>
      </c>
      <c r="BF2220" t="inlineStr">
        <is>
          <t>893712962</t>
        </is>
      </c>
    </row>
    <row r="2221">
      <c r="A2221" t="inlineStr">
        <is>
          <t>No</t>
        </is>
      </c>
      <c r="B2221" t="inlineStr">
        <is>
          <t>CURAL</t>
        </is>
      </c>
      <c r="C2221" t="inlineStr">
        <is>
          <t>SHELVES</t>
        </is>
      </c>
      <c r="D2221" t="inlineStr">
        <is>
          <t>PR5044 .H8</t>
        </is>
      </c>
      <c r="E2221" t="inlineStr">
        <is>
          <t>0                      PR 5044000H  8</t>
        </is>
      </c>
      <c r="F2221" t="inlineStr">
        <is>
          <t>The man of wax; critical essays on George Moore. Edited with an introd. by Douglas A. Hughes.</t>
        </is>
      </c>
      <c r="H2221" t="inlineStr">
        <is>
          <t>No</t>
        </is>
      </c>
      <c r="I2221" t="inlineStr">
        <is>
          <t>1</t>
        </is>
      </c>
      <c r="J2221" t="inlineStr">
        <is>
          <t>No</t>
        </is>
      </c>
      <c r="K2221" t="inlineStr">
        <is>
          <t>No</t>
        </is>
      </c>
      <c r="L2221" t="inlineStr">
        <is>
          <t>0</t>
        </is>
      </c>
      <c r="M2221" t="inlineStr">
        <is>
          <t>Hughes, Douglas A., compiler.</t>
        </is>
      </c>
      <c r="N2221" t="inlineStr">
        <is>
          <t>New York, New York University Press, 1971.</t>
        </is>
      </c>
      <c r="O2221" t="inlineStr">
        <is>
          <t>1971</t>
        </is>
      </c>
      <c r="Q2221" t="inlineStr">
        <is>
          <t>eng</t>
        </is>
      </c>
      <c r="R2221" t="inlineStr">
        <is>
          <t>nyu</t>
        </is>
      </c>
      <c r="T2221" t="inlineStr">
        <is>
          <t xml:space="preserve">PR </t>
        </is>
      </c>
      <c r="U2221" t="n">
        <v>3</v>
      </c>
      <c r="V2221" t="n">
        <v>3</v>
      </c>
      <c r="W2221" t="inlineStr">
        <is>
          <t>2004-10-07</t>
        </is>
      </c>
      <c r="X2221" t="inlineStr">
        <is>
          <t>2004-10-07</t>
        </is>
      </c>
      <c r="Y2221" t="inlineStr">
        <is>
          <t>1997-07-16</t>
        </is>
      </c>
      <c r="Z2221" t="inlineStr">
        <is>
          <t>1997-07-16</t>
        </is>
      </c>
      <c r="AA2221" t="n">
        <v>475</v>
      </c>
      <c r="AB2221" t="n">
        <v>398</v>
      </c>
      <c r="AC2221" t="n">
        <v>403</v>
      </c>
      <c r="AD2221" t="n">
        <v>5</v>
      </c>
      <c r="AE2221" t="n">
        <v>5</v>
      </c>
      <c r="AF2221" t="n">
        <v>26</v>
      </c>
      <c r="AG2221" t="n">
        <v>26</v>
      </c>
      <c r="AH2221" t="n">
        <v>5</v>
      </c>
      <c r="AI2221" t="n">
        <v>5</v>
      </c>
      <c r="AJ2221" t="n">
        <v>9</v>
      </c>
      <c r="AK2221" t="n">
        <v>9</v>
      </c>
      <c r="AL2221" t="n">
        <v>16</v>
      </c>
      <c r="AM2221" t="n">
        <v>16</v>
      </c>
      <c r="AN2221" t="n">
        <v>4</v>
      </c>
      <c r="AO2221" t="n">
        <v>4</v>
      </c>
      <c r="AP2221" t="n">
        <v>0</v>
      </c>
      <c r="AQ2221" t="n">
        <v>0</v>
      </c>
      <c r="AR2221" t="inlineStr">
        <is>
          <t>No</t>
        </is>
      </c>
      <c r="AS2221" t="inlineStr">
        <is>
          <t>No</t>
        </is>
      </c>
      <c r="AU2221">
        <f>HYPERLINK("https://creighton-primo.hosted.exlibrisgroup.com/primo-explore/search?tab=default_tab&amp;search_scope=EVERYTHING&amp;vid=01CRU&amp;lang=en_US&amp;offset=0&amp;query=any,contains,991000829309702656","Catalog Record")</f>
        <v/>
      </c>
      <c r="AV2221">
        <f>HYPERLINK("http://www.worldcat.org/oclc/147090","WorldCat Record")</f>
        <v/>
      </c>
      <c r="AW2221" t="inlineStr">
        <is>
          <t>143268915:eng</t>
        </is>
      </c>
      <c r="AX2221" t="inlineStr">
        <is>
          <t>147090</t>
        </is>
      </c>
      <c r="AY2221" t="inlineStr">
        <is>
          <t>991000829309702656</t>
        </is>
      </c>
      <c r="AZ2221" t="inlineStr">
        <is>
          <t>991000829309702656</t>
        </is>
      </c>
      <c r="BA2221" t="inlineStr">
        <is>
          <t>2259089340002656</t>
        </is>
      </c>
      <c r="BB2221" t="inlineStr">
        <is>
          <t>BOOK</t>
        </is>
      </c>
      <c r="BD2221" t="inlineStr">
        <is>
          <t>9780814733806</t>
        </is>
      </c>
      <c r="BE2221" t="inlineStr">
        <is>
          <t>32285002927605</t>
        </is>
      </c>
      <c r="BF2221" t="inlineStr">
        <is>
          <t>893255774</t>
        </is>
      </c>
    </row>
    <row r="2222">
      <c r="A2222" t="inlineStr">
        <is>
          <t>No</t>
        </is>
      </c>
      <c r="B2222" t="inlineStr">
        <is>
          <t>CURAL</t>
        </is>
      </c>
      <c r="C2222" t="inlineStr">
        <is>
          <t>SHELVES</t>
        </is>
      </c>
      <c r="D2222" t="inlineStr">
        <is>
          <t>PR5044 .O9 1970</t>
        </is>
      </c>
      <c r="E2222" t="inlineStr">
        <is>
          <t>0                      PR 5044000O  9           1970</t>
        </is>
      </c>
      <c r="F2222" t="inlineStr">
        <is>
          <t>George Moore's mind and art / [by] A. Norman Jeffares [and others] ; essays edited by Graham Owens.</t>
        </is>
      </c>
      <c r="H2222" t="inlineStr">
        <is>
          <t>No</t>
        </is>
      </c>
      <c r="I2222" t="inlineStr">
        <is>
          <t>1</t>
        </is>
      </c>
      <c r="J2222" t="inlineStr">
        <is>
          <t>No</t>
        </is>
      </c>
      <c r="K2222" t="inlineStr">
        <is>
          <t>No</t>
        </is>
      </c>
      <c r="L2222" t="inlineStr">
        <is>
          <t>0</t>
        </is>
      </c>
      <c r="M2222" t="inlineStr">
        <is>
          <t>Owens, Graham, compiler.</t>
        </is>
      </c>
      <c r="N2222" t="inlineStr">
        <is>
          <t>New York : Barnes &amp; Noble, [1970, c1968]</t>
        </is>
      </c>
      <c r="O2222" t="inlineStr">
        <is>
          <t>1970</t>
        </is>
      </c>
      <c r="Q2222" t="inlineStr">
        <is>
          <t>eng</t>
        </is>
      </c>
      <c r="R2222" t="inlineStr">
        <is>
          <t>nyu</t>
        </is>
      </c>
      <c r="S2222" t="inlineStr">
        <is>
          <t>Essays old and new ; 2</t>
        </is>
      </c>
      <c r="T2222" t="inlineStr">
        <is>
          <t xml:space="preserve">PR </t>
        </is>
      </c>
      <c r="U2222" t="n">
        <v>3</v>
      </c>
      <c r="V2222" t="n">
        <v>3</v>
      </c>
      <c r="W2222" t="inlineStr">
        <is>
          <t>2002-06-03</t>
        </is>
      </c>
      <c r="X2222" t="inlineStr">
        <is>
          <t>2002-06-03</t>
        </is>
      </c>
      <c r="Y2222" t="inlineStr">
        <is>
          <t>1992-11-20</t>
        </is>
      </c>
      <c r="Z2222" t="inlineStr">
        <is>
          <t>1992-11-20</t>
        </is>
      </c>
      <c r="AA2222" t="n">
        <v>232</v>
      </c>
      <c r="AB2222" t="n">
        <v>216</v>
      </c>
      <c r="AC2222" t="n">
        <v>357</v>
      </c>
      <c r="AD2222" t="n">
        <v>2</v>
      </c>
      <c r="AE2222" t="n">
        <v>3</v>
      </c>
      <c r="AF2222" t="n">
        <v>15</v>
      </c>
      <c r="AG2222" t="n">
        <v>21</v>
      </c>
      <c r="AH2222" t="n">
        <v>5</v>
      </c>
      <c r="AI2222" t="n">
        <v>7</v>
      </c>
      <c r="AJ2222" t="n">
        <v>4</v>
      </c>
      <c r="AK2222" t="n">
        <v>6</v>
      </c>
      <c r="AL2222" t="n">
        <v>8</v>
      </c>
      <c r="AM2222" t="n">
        <v>12</v>
      </c>
      <c r="AN2222" t="n">
        <v>1</v>
      </c>
      <c r="AO2222" t="n">
        <v>2</v>
      </c>
      <c r="AP2222" t="n">
        <v>0</v>
      </c>
      <c r="AQ2222" t="n">
        <v>0</v>
      </c>
      <c r="AR2222" t="inlineStr">
        <is>
          <t>No</t>
        </is>
      </c>
      <c r="AS2222" t="inlineStr">
        <is>
          <t>Yes</t>
        </is>
      </c>
      <c r="AT2222">
        <f>HYPERLINK("http://catalog.hathitrust.org/Record/004460961","HathiTrust Record")</f>
        <v/>
      </c>
      <c r="AU2222">
        <f>HYPERLINK("https://creighton-primo.hosted.exlibrisgroup.com/primo-explore/search?tab=default_tab&amp;search_scope=EVERYTHING&amp;vid=01CRU&amp;lang=en_US&amp;offset=0&amp;query=any,contains,991000580969702656","Catalog Record")</f>
        <v/>
      </c>
      <c r="AV2222">
        <f>HYPERLINK("http://www.worldcat.org/oclc/95624","WorldCat Record")</f>
        <v/>
      </c>
      <c r="AW2222" t="inlineStr">
        <is>
          <t>1207381:eng</t>
        </is>
      </c>
      <c r="AX2222" t="inlineStr">
        <is>
          <t>95624</t>
        </is>
      </c>
      <c r="AY2222" t="inlineStr">
        <is>
          <t>991000580969702656</t>
        </is>
      </c>
      <c r="AZ2222" t="inlineStr">
        <is>
          <t>991000580969702656</t>
        </is>
      </c>
      <c r="BA2222" t="inlineStr">
        <is>
          <t>2272337890002656</t>
        </is>
      </c>
      <c r="BB2222" t="inlineStr">
        <is>
          <t>BOOK</t>
        </is>
      </c>
      <c r="BD2222" t="inlineStr">
        <is>
          <t>9780389039822</t>
        </is>
      </c>
      <c r="BE2222" t="inlineStr">
        <is>
          <t>32285001406601</t>
        </is>
      </c>
      <c r="BF2222" t="inlineStr">
        <is>
          <t>893231228</t>
        </is>
      </c>
    </row>
    <row r="2223">
      <c r="A2223" t="inlineStr">
        <is>
          <t>No</t>
        </is>
      </c>
      <c r="B2223" t="inlineStr">
        <is>
          <t>CURAL</t>
        </is>
      </c>
      <c r="C2223" t="inlineStr">
        <is>
          <t>SHELVES</t>
        </is>
      </c>
      <c r="D2223" t="inlineStr">
        <is>
          <t>PR5044 .W3 1982</t>
        </is>
      </c>
      <c r="E2223" t="inlineStr">
        <is>
          <t>0                      PR 5044000W  3           1982</t>
        </is>
      </c>
      <c r="F2223" t="inlineStr">
        <is>
          <t>The Way back : George Moore's The untilled field &amp; The lake / editor, Robert Welch.</t>
        </is>
      </c>
      <c r="H2223" t="inlineStr">
        <is>
          <t>No</t>
        </is>
      </c>
      <c r="I2223" t="inlineStr">
        <is>
          <t>1</t>
        </is>
      </c>
      <c r="J2223" t="inlineStr">
        <is>
          <t>No</t>
        </is>
      </c>
      <c r="K2223" t="inlineStr">
        <is>
          <t>No</t>
        </is>
      </c>
      <c r="L2223" t="inlineStr">
        <is>
          <t>0</t>
        </is>
      </c>
      <c r="N2223" t="inlineStr">
        <is>
          <t>Totowa, N.J. : Barnes &amp; Noble, 1982.</t>
        </is>
      </c>
      <c r="O2223" t="inlineStr">
        <is>
          <t>1982</t>
        </is>
      </c>
      <c r="Q2223" t="inlineStr">
        <is>
          <t>eng</t>
        </is>
      </c>
      <c r="R2223" t="inlineStr">
        <is>
          <t>nju</t>
        </is>
      </c>
      <c r="S2223" t="inlineStr">
        <is>
          <t>The Appraisal series</t>
        </is>
      </c>
      <c r="T2223" t="inlineStr">
        <is>
          <t xml:space="preserve">PR </t>
        </is>
      </c>
      <c r="U2223" t="n">
        <v>9</v>
      </c>
      <c r="V2223" t="n">
        <v>9</v>
      </c>
      <c r="W2223" t="inlineStr">
        <is>
          <t>2000-03-21</t>
        </is>
      </c>
      <c r="X2223" t="inlineStr">
        <is>
          <t>2000-03-21</t>
        </is>
      </c>
      <c r="Y2223" t="inlineStr">
        <is>
          <t>1993-02-24</t>
        </is>
      </c>
      <c r="Z2223" t="inlineStr">
        <is>
          <t>1993-02-24</t>
        </is>
      </c>
      <c r="AA2223" t="n">
        <v>291</v>
      </c>
      <c r="AB2223" t="n">
        <v>270</v>
      </c>
      <c r="AC2223" t="n">
        <v>325</v>
      </c>
      <c r="AD2223" t="n">
        <v>2</v>
      </c>
      <c r="AE2223" t="n">
        <v>3</v>
      </c>
      <c r="AF2223" t="n">
        <v>16</v>
      </c>
      <c r="AG2223" t="n">
        <v>17</v>
      </c>
      <c r="AH2223" t="n">
        <v>5</v>
      </c>
      <c r="AI2223" t="n">
        <v>5</v>
      </c>
      <c r="AJ2223" t="n">
        <v>8</v>
      </c>
      <c r="AK2223" t="n">
        <v>8</v>
      </c>
      <c r="AL2223" t="n">
        <v>8</v>
      </c>
      <c r="AM2223" t="n">
        <v>8</v>
      </c>
      <c r="AN2223" t="n">
        <v>1</v>
      </c>
      <c r="AO2223" t="n">
        <v>2</v>
      </c>
      <c r="AP2223" t="n">
        <v>0</v>
      </c>
      <c r="AQ2223" t="n">
        <v>0</v>
      </c>
      <c r="AR2223" t="inlineStr">
        <is>
          <t>No</t>
        </is>
      </c>
      <c r="AS2223" t="inlineStr">
        <is>
          <t>No</t>
        </is>
      </c>
      <c r="AU2223">
        <f>HYPERLINK("https://creighton-primo.hosted.exlibrisgroup.com/primo-explore/search?tab=default_tab&amp;search_scope=EVERYTHING&amp;vid=01CRU&amp;lang=en_US&amp;offset=0&amp;query=any,contains,991000029019702656","Catalog Record")</f>
        <v/>
      </c>
      <c r="AV2223">
        <f>HYPERLINK("http://www.worldcat.org/oclc/8590740","WorldCat Record")</f>
        <v/>
      </c>
      <c r="AW2223" t="inlineStr">
        <is>
          <t>836642572:eng</t>
        </is>
      </c>
      <c r="AX2223" t="inlineStr">
        <is>
          <t>8590740</t>
        </is>
      </c>
      <c r="AY2223" t="inlineStr">
        <is>
          <t>991000029019702656</t>
        </is>
      </c>
      <c r="AZ2223" t="inlineStr">
        <is>
          <t>991000029019702656</t>
        </is>
      </c>
      <c r="BA2223" t="inlineStr">
        <is>
          <t>2272019370002656</t>
        </is>
      </c>
      <c r="BB2223" t="inlineStr">
        <is>
          <t>BOOK</t>
        </is>
      </c>
      <c r="BD2223" t="inlineStr">
        <is>
          <t>9780389203186</t>
        </is>
      </c>
      <c r="BE2223" t="inlineStr">
        <is>
          <t>32285001496792</t>
        </is>
      </c>
      <c r="BF2223" t="inlineStr">
        <is>
          <t>893865013</t>
        </is>
      </c>
    </row>
    <row r="2224">
      <c r="A2224" t="inlineStr">
        <is>
          <t>No</t>
        </is>
      </c>
      <c r="B2224" t="inlineStr">
        <is>
          <t>CURAL</t>
        </is>
      </c>
      <c r="C2224" t="inlineStr">
        <is>
          <t>SHELVES</t>
        </is>
      </c>
      <c r="D2224" t="inlineStr">
        <is>
          <t>PR505 .R38</t>
        </is>
      </c>
      <c r="E2224" t="inlineStr">
        <is>
          <t>0                      PR 0505000R  38</t>
        </is>
      </c>
      <c r="F2224" t="inlineStr">
        <is>
          <t>Poets in the flesh : Tagore, Yeats, Dunsany, Stephens [and] Drinkwater by R. F. Rattray.</t>
        </is>
      </c>
      <c r="H2224" t="inlineStr">
        <is>
          <t>No</t>
        </is>
      </c>
      <c r="I2224" t="inlineStr">
        <is>
          <t>1</t>
        </is>
      </c>
      <c r="J2224" t="inlineStr">
        <is>
          <t>No</t>
        </is>
      </c>
      <c r="K2224" t="inlineStr">
        <is>
          <t>No</t>
        </is>
      </c>
      <c r="L2224" t="inlineStr">
        <is>
          <t>0</t>
        </is>
      </c>
      <c r="M2224" t="inlineStr">
        <is>
          <t>Rattray, R. F. (Robert Fleming), 1886-1967.</t>
        </is>
      </c>
      <c r="N2224" t="inlineStr">
        <is>
          <t>Cambridge [Eng.] : Golden Head Press, 1961.</t>
        </is>
      </c>
      <c r="O2224" t="inlineStr">
        <is>
          <t>1961</t>
        </is>
      </c>
      <c r="Q2224" t="inlineStr">
        <is>
          <t>eng</t>
        </is>
      </c>
      <c r="R2224" t="inlineStr">
        <is>
          <t>enk</t>
        </is>
      </c>
      <c r="T2224" t="inlineStr">
        <is>
          <t xml:space="preserve">PR </t>
        </is>
      </c>
      <c r="U2224" t="n">
        <v>2</v>
      </c>
      <c r="V2224" t="n">
        <v>2</v>
      </c>
      <c r="W2224" t="inlineStr">
        <is>
          <t>2004-04-17</t>
        </is>
      </c>
      <c r="X2224" t="inlineStr">
        <is>
          <t>2004-04-17</t>
        </is>
      </c>
      <c r="Y2224" t="inlineStr">
        <is>
          <t>1997-08-27</t>
        </is>
      </c>
      <c r="Z2224" t="inlineStr">
        <is>
          <t>1997-08-27</t>
        </is>
      </c>
      <c r="AA2224" t="n">
        <v>59</v>
      </c>
      <c r="AB2224" t="n">
        <v>49</v>
      </c>
      <c r="AC2224" t="n">
        <v>50</v>
      </c>
      <c r="AD2224" t="n">
        <v>1</v>
      </c>
      <c r="AE2224" t="n">
        <v>1</v>
      </c>
      <c r="AF2224" t="n">
        <v>0</v>
      </c>
      <c r="AG2224" t="n">
        <v>0</v>
      </c>
      <c r="AH2224" t="n">
        <v>0</v>
      </c>
      <c r="AI2224" t="n">
        <v>0</v>
      </c>
      <c r="AJ2224" t="n">
        <v>0</v>
      </c>
      <c r="AK2224" t="n">
        <v>0</v>
      </c>
      <c r="AL2224" t="n">
        <v>0</v>
      </c>
      <c r="AM2224" t="n">
        <v>0</v>
      </c>
      <c r="AN2224" t="n">
        <v>0</v>
      </c>
      <c r="AO2224" t="n">
        <v>0</v>
      </c>
      <c r="AP2224" t="n">
        <v>0</v>
      </c>
      <c r="AQ2224" t="n">
        <v>0</v>
      </c>
      <c r="AR2224" t="inlineStr">
        <is>
          <t>No</t>
        </is>
      </c>
      <c r="AS2224" t="inlineStr">
        <is>
          <t>No</t>
        </is>
      </c>
      <c r="AU2224">
        <f>HYPERLINK("https://creighton-primo.hosted.exlibrisgroup.com/primo-explore/search?tab=default_tab&amp;search_scope=EVERYTHING&amp;vid=01CRU&amp;lang=en_US&amp;offset=0&amp;query=any,contains,991004359099702656","Catalog Record")</f>
        <v/>
      </c>
      <c r="AV2224">
        <f>HYPERLINK("http://www.worldcat.org/oclc/3157275","WorldCat Record")</f>
        <v/>
      </c>
      <c r="AW2224" t="inlineStr">
        <is>
          <t>377161341:eng</t>
        </is>
      </c>
      <c r="AX2224" t="inlineStr">
        <is>
          <t>3157275</t>
        </is>
      </c>
      <c r="AY2224" t="inlineStr">
        <is>
          <t>991004359099702656</t>
        </is>
      </c>
      <c r="AZ2224" t="inlineStr">
        <is>
          <t>991004359099702656</t>
        </is>
      </c>
      <c r="BA2224" t="inlineStr">
        <is>
          <t>2254895780002656</t>
        </is>
      </c>
      <c r="BB2224" t="inlineStr">
        <is>
          <t>BOOK</t>
        </is>
      </c>
      <c r="BE2224" t="inlineStr">
        <is>
          <t>32285003153516</t>
        </is>
      </c>
      <c r="BF2224" t="inlineStr">
        <is>
          <t>893605917</t>
        </is>
      </c>
    </row>
    <row r="2225">
      <c r="A2225" t="inlineStr">
        <is>
          <t>No</t>
        </is>
      </c>
      <c r="B2225" t="inlineStr">
        <is>
          <t>CURAL</t>
        </is>
      </c>
      <c r="C2225" t="inlineStr">
        <is>
          <t>SHELVES</t>
        </is>
      </c>
      <c r="D2225" t="inlineStr">
        <is>
          <t>PR5056 .D4</t>
        </is>
      </c>
      <c r="E2225" t="inlineStr">
        <is>
          <t>0                      PR 5056000D  4</t>
        </is>
      </c>
      <c r="F2225" t="inlineStr">
        <is>
          <t>Thomas Moore.</t>
        </is>
      </c>
      <c r="H2225" t="inlineStr">
        <is>
          <t>No</t>
        </is>
      </c>
      <c r="I2225" t="inlineStr">
        <is>
          <t>1</t>
        </is>
      </c>
      <c r="J2225" t="inlineStr">
        <is>
          <t>No</t>
        </is>
      </c>
      <c r="K2225" t="inlineStr">
        <is>
          <t>No</t>
        </is>
      </c>
      <c r="L2225" t="inlineStr">
        <is>
          <t>0</t>
        </is>
      </c>
      <c r="M2225" t="inlineStr">
        <is>
          <t>De Ford, Miriam Allen, 1888-1975.</t>
        </is>
      </c>
      <c r="N2225" t="inlineStr">
        <is>
          <t>New York : Twayne Publishers, [1967]</t>
        </is>
      </c>
      <c r="O2225" t="inlineStr">
        <is>
          <t>1967</t>
        </is>
      </c>
      <c r="Q2225" t="inlineStr">
        <is>
          <t>eng</t>
        </is>
      </c>
      <c r="R2225" t="inlineStr">
        <is>
          <t>nyu</t>
        </is>
      </c>
      <c r="S2225" t="inlineStr">
        <is>
          <t>Twayne's English authors series, 38</t>
        </is>
      </c>
      <c r="T2225" t="inlineStr">
        <is>
          <t xml:space="preserve">PR </t>
        </is>
      </c>
      <c r="U2225" t="n">
        <v>3</v>
      </c>
      <c r="V2225" t="n">
        <v>3</v>
      </c>
      <c r="W2225" t="inlineStr">
        <is>
          <t>2007-09-06</t>
        </is>
      </c>
      <c r="X2225" t="inlineStr">
        <is>
          <t>2007-09-06</t>
        </is>
      </c>
      <c r="Y2225" t="inlineStr">
        <is>
          <t>1993-11-02</t>
        </is>
      </c>
      <c r="Z2225" t="inlineStr">
        <is>
          <t>1993-11-02</t>
        </is>
      </c>
      <c r="AA2225" t="n">
        <v>1079</v>
      </c>
      <c r="AB2225" t="n">
        <v>993</v>
      </c>
      <c r="AC2225" t="n">
        <v>998</v>
      </c>
      <c r="AD2225" t="n">
        <v>8</v>
      </c>
      <c r="AE2225" t="n">
        <v>8</v>
      </c>
      <c r="AF2225" t="n">
        <v>39</v>
      </c>
      <c r="AG2225" t="n">
        <v>39</v>
      </c>
      <c r="AH2225" t="n">
        <v>14</v>
      </c>
      <c r="AI2225" t="n">
        <v>14</v>
      </c>
      <c r="AJ2225" t="n">
        <v>9</v>
      </c>
      <c r="AK2225" t="n">
        <v>9</v>
      </c>
      <c r="AL2225" t="n">
        <v>18</v>
      </c>
      <c r="AM2225" t="n">
        <v>18</v>
      </c>
      <c r="AN2225" t="n">
        <v>7</v>
      </c>
      <c r="AO2225" t="n">
        <v>7</v>
      </c>
      <c r="AP2225" t="n">
        <v>0</v>
      </c>
      <c r="AQ2225" t="n">
        <v>0</v>
      </c>
      <c r="AR2225" t="inlineStr">
        <is>
          <t>No</t>
        </is>
      </c>
      <c r="AS2225" t="inlineStr">
        <is>
          <t>Yes</t>
        </is>
      </c>
      <c r="AT2225">
        <f>HYPERLINK("http://catalog.hathitrust.org/Record/000670527","HathiTrust Record")</f>
        <v/>
      </c>
      <c r="AU2225">
        <f>HYPERLINK("https://creighton-primo.hosted.exlibrisgroup.com/primo-explore/search?tab=default_tab&amp;search_scope=EVERYTHING&amp;vid=01CRU&amp;lang=en_US&amp;offset=0&amp;query=any,contains,991002488109702656","Catalog Record")</f>
        <v/>
      </c>
      <c r="AV2225">
        <f>HYPERLINK("http://www.worldcat.org/oclc/361601","WorldCat Record")</f>
        <v/>
      </c>
      <c r="AW2225" t="inlineStr">
        <is>
          <t>2564789345:eng</t>
        </is>
      </c>
      <c r="AX2225" t="inlineStr">
        <is>
          <t>361601</t>
        </is>
      </c>
      <c r="AY2225" t="inlineStr">
        <is>
          <t>991002488109702656</t>
        </is>
      </c>
      <c r="AZ2225" t="inlineStr">
        <is>
          <t>991002488109702656</t>
        </is>
      </c>
      <c r="BA2225" t="inlineStr">
        <is>
          <t>2263188580002656</t>
        </is>
      </c>
      <c r="BB2225" t="inlineStr">
        <is>
          <t>BOOK</t>
        </is>
      </c>
      <c r="BE2225" t="inlineStr">
        <is>
          <t>32285001795839</t>
        </is>
      </c>
      <c r="BF2225" t="inlineStr">
        <is>
          <t>893716512</t>
        </is>
      </c>
    </row>
    <row r="2226">
      <c r="A2226" t="inlineStr">
        <is>
          <t>No</t>
        </is>
      </c>
      <c r="B2226" t="inlineStr">
        <is>
          <t>CURAL</t>
        </is>
      </c>
      <c r="C2226" t="inlineStr">
        <is>
          <t>SHELVES</t>
        </is>
      </c>
      <c r="D2226" t="inlineStr">
        <is>
          <t>PR5056 .G8 1905</t>
        </is>
      </c>
      <c r="E2226" t="inlineStr">
        <is>
          <t>0                      PR 5056000G  8           1905</t>
        </is>
      </c>
      <c r="F2226" t="inlineStr">
        <is>
          <t>Thomas Moore / by Stephen Gwynn.</t>
        </is>
      </c>
      <c r="H2226" t="inlineStr">
        <is>
          <t>No</t>
        </is>
      </c>
      <c r="I2226" t="inlineStr">
        <is>
          <t>1</t>
        </is>
      </c>
      <c r="J2226" t="inlineStr">
        <is>
          <t>No</t>
        </is>
      </c>
      <c r="K2226" t="inlineStr">
        <is>
          <t>No</t>
        </is>
      </c>
      <c r="L2226" t="inlineStr">
        <is>
          <t>0</t>
        </is>
      </c>
      <c r="M2226" t="inlineStr">
        <is>
          <t>Gwynn, Stephen Lucius, 1864-1950.</t>
        </is>
      </c>
      <c r="N2226" t="inlineStr">
        <is>
          <t>London : Macmillan, 1905.</t>
        </is>
      </c>
      <c r="O2226" t="inlineStr">
        <is>
          <t>1905</t>
        </is>
      </c>
      <c r="Q2226" t="inlineStr">
        <is>
          <t>eng</t>
        </is>
      </c>
      <c r="R2226" t="inlineStr">
        <is>
          <t>enk</t>
        </is>
      </c>
      <c r="S2226" t="inlineStr">
        <is>
          <t>English men of letters</t>
        </is>
      </c>
      <c r="T2226" t="inlineStr">
        <is>
          <t xml:space="preserve">PR </t>
        </is>
      </c>
      <c r="U2226" t="n">
        <v>1</v>
      </c>
      <c r="V2226" t="n">
        <v>1</v>
      </c>
      <c r="W2226" t="inlineStr">
        <is>
          <t>2000-09-12</t>
        </is>
      </c>
      <c r="X2226" t="inlineStr">
        <is>
          <t>2000-09-12</t>
        </is>
      </c>
      <c r="Y2226" t="inlineStr">
        <is>
          <t>1993-11-02</t>
        </is>
      </c>
      <c r="Z2226" t="inlineStr">
        <is>
          <t>1993-11-02</t>
        </is>
      </c>
      <c r="AA2226" t="n">
        <v>281</v>
      </c>
      <c r="AB2226" t="n">
        <v>183</v>
      </c>
      <c r="AC2226" t="n">
        <v>522</v>
      </c>
      <c r="AD2226" t="n">
        <v>3</v>
      </c>
      <c r="AE2226" t="n">
        <v>6</v>
      </c>
      <c r="AF2226" t="n">
        <v>13</v>
      </c>
      <c r="AG2226" t="n">
        <v>22</v>
      </c>
      <c r="AH2226" t="n">
        <v>3</v>
      </c>
      <c r="AI2226" t="n">
        <v>4</v>
      </c>
      <c r="AJ2226" t="n">
        <v>4</v>
      </c>
      <c r="AK2226" t="n">
        <v>6</v>
      </c>
      <c r="AL2226" t="n">
        <v>7</v>
      </c>
      <c r="AM2226" t="n">
        <v>12</v>
      </c>
      <c r="AN2226" t="n">
        <v>2</v>
      </c>
      <c r="AO2226" t="n">
        <v>5</v>
      </c>
      <c r="AP2226" t="n">
        <v>0</v>
      </c>
      <c r="AQ2226" t="n">
        <v>0</v>
      </c>
      <c r="AR2226" t="inlineStr">
        <is>
          <t>Yes</t>
        </is>
      </c>
      <c r="AS2226" t="inlineStr">
        <is>
          <t>No</t>
        </is>
      </c>
      <c r="AT2226">
        <f>HYPERLINK("http://catalog.hathitrust.org/Record/006641524","HathiTrust Record")</f>
        <v/>
      </c>
      <c r="AU2226">
        <f>HYPERLINK("https://creighton-primo.hosted.exlibrisgroup.com/primo-explore/search?tab=default_tab&amp;search_scope=EVERYTHING&amp;vid=01CRU&amp;lang=en_US&amp;offset=0&amp;query=any,contains,991005005679702656","Catalog Record")</f>
        <v/>
      </c>
      <c r="AV2226">
        <f>HYPERLINK("http://www.worldcat.org/oclc/6566768","WorldCat Record")</f>
        <v/>
      </c>
      <c r="AW2226" t="inlineStr">
        <is>
          <t>1415989:eng</t>
        </is>
      </c>
      <c r="AX2226" t="inlineStr">
        <is>
          <t>6566768</t>
        </is>
      </c>
      <c r="AY2226" t="inlineStr">
        <is>
          <t>991005005679702656</t>
        </is>
      </c>
      <c r="AZ2226" t="inlineStr">
        <is>
          <t>991005005679702656</t>
        </is>
      </c>
      <c r="BA2226" t="inlineStr">
        <is>
          <t>2255331360002656</t>
        </is>
      </c>
      <c r="BB2226" t="inlineStr">
        <is>
          <t>BOOK</t>
        </is>
      </c>
      <c r="BE2226" t="inlineStr">
        <is>
          <t>32285001795821</t>
        </is>
      </c>
      <c r="BF2226" t="inlineStr">
        <is>
          <t>893889539</t>
        </is>
      </c>
    </row>
    <row r="2227">
      <c r="A2227" t="inlineStr">
        <is>
          <t>No</t>
        </is>
      </c>
      <c r="B2227" t="inlineStr">
        <is>
          <t>CURAL</t>
        </is>
      </c>
      <c r="C2227" t="inlineStr">
        <is>
          <t>SHELVES</t>
        </is>
      </c>
      <c r="D2227" t="inlineStr">
        <is>
          <t>PR5056 .J6</t>
        </is>
      </c>
      <c r="E2227" t="inlineStr">
        <is>
          <t>0                      PR 5056000J  6</t>
        </is>
      </c>
      <c r="F2227" t="inlineStr">
        <is>
          <t>The harp that once--; a chronicle of the life of Thomas Moore [by] Howard Mumford Jones ...</t>
        </is>
      </c>
      <c r="H2227" t="inlineStr">
        <is>
          <t>No</t>
        </is>
      </c>
      <c r="I2227" t="inlineStr">
        <is>
          <t>1</t>
        </is>
      </c>
      <c r="J2227" t="inlineStr">
        <is>
          <t>No</t>
        </is>
      </c>
      <c r="K2227" t="inlineStr">
        <is>
          <t>No</t>
        </is>
      </c>
      <c r="L2227" t="inlineStr">
        <is>
          <t>0</t>
        </is>
      </c>
      <c r="M2227" t="inlineStr">
        <is>
          <t>Jones, Howard Mumford, 1892-1980.</t>
        </is>
      </c>
      <c r="N2227" t="inlineStr">
        <is>
          <t>New York, H. Holt and company [c1937]</t>
        </is>
      </c>
      <c r="O2227" t="inlineStr">
        <is>
          <t>1937</t>
        </is>
      </c>
      <c r="Q2227" t="inlineStr">
        <is>
          <t>eng</t>
        </is>
      </c>
      <c r="R2227" t="inlineStr">
        <is>
          <t>nyu</t>
        </is>
      </c>
      <c r="T2227" t="inlineStr">
        <is>
          <t xml:space="preserve">PR </t>
        </is>
      </c>
      <c r="U2227" t="n">
        <v>1</v>
      </c>
      <c r="V2227" t="n">
        <v>1</v>
      </c>
      <c r="W2227" t="inlineStr">
        <is>
          <t>2000-09-12</t>
        </is>
      </c>
      <c r="X2227" t="inlineStr">
        <is>
          <t>2000-09-12</t>
        </is>
      </c>
      <c r="Y2227" t="inlineStr">
        <is>
          <t>1997-07-16</t>
        </is>
      </c>
      <c r="Z2227" t="inlineStr">
        <is>
          <t>1997-07-16</t>
        </is>
      </c>
      <c r="AA2227" t="n">
        <v>486</v>
      </c>
      <c r="AB2227" t="n">
        <v>450</v>
      </c>
      <c r="AC2227" t="n">
        <v>550</v>
      </c>
      <c r="AD2227" t="n">
        <v>6</v>
      </c>
      <c r="AE2227" t="n">
        <v>6</v>
      </c>
      <c r="AF2227" t="n">
        <v>30</v>
      </c>
      <c r="AG2227" t="n">
        <v>31</v>
      </c>
      <c r="AH2227" t="n">
        <v>10</v>
      </c>
      <c r="AI2227" t="n">
        <v>11</v>
      </c>
      <c r="AJ2227" t="n">
        <v>7</v>
      </c>
      <c r="AK2227" t="n">
        <v>7</v>
      </c>
      <c r="AL2227" t="n">
        <v>19</v>
      </c>
      <c r="AM2227" t="n">
        <v>19</v>
      </c>
      <c r="AN2227" t="n">
        <v>5</v>
      </c>
      <c r="AO2227" t="n">
        <v>5</v>
      </c>
      <c r="AP2227" t="n">
        <v>0</v>
      </c>
      <c r="AQ2227" t="n">
        <v>0</v>
      </c>
      <c r="AR2227" t="inlineStr">
        <is>
          <t>No</t>
        </is>
      </c>
      <c r="AS2227" t="inlineStr">
        <is>
          <t>No</t>
        </is>
      </c>
      <c r="AT2227">
        <f>HYPERLINK("http://catalog.hathitrust.org/Record/000670534","HathiTrust Record")</f>
        <v/>
      </c>
      <c r="AU2227">
        <f>HYPERLINK("https://creighton-primo.hosted.exlibrisgroup.com/primo-explore/search?tab=default_tab&amp;search_scope=EVERYTHING&amp;vid=01CRU&amp;lang=en_US&amp;offset=0&amp;query=any,contains,991002485899702656","Catalog Record")</f>
        <v/>
      </c>
      <c r="AV2227">
        <f>HYPERLINK("http://www.worldcat.org/oclc/360881","WorldCat Record")</f>
        <v/>
      </c>
      <c r="AW2227" t="inlineStr">
        <is>
          <t>213573350:eng</t>
        </is>
      </c>
      <c r="AX2227" t="inlineStr">
        <is>
          <t>360881</t>
        </is>
      </c>
      <c r="AY2227" t="inlineStr">
        <is>
          <t>991002485899702656</t>
        </is>
      </c>
      <c r="AZ2227" t="inlineStr">
        <is>
          <t>991002485899702656</t>
        </is>
      </c>
      <c r="BA2227" t="inlineStr">
        <is>
          <t>2263762580002656</t>
        </is>
      </c>
      <c r="BB2227" t="inlineStr">
        <is>
          <t>BOOK</t>
        </is>
      </c>
      <c r="BE2227" t="inlineStr">
        <is>
          <t>32285002927720</t>
        </is>
      </c>
      <c r="BF2227" t="inlineStr">
        <is>
          <t>893597502</t>
        </is>
      </c>
    </row>
    <row r="2228">
      <c r="A2228" t="inlineStr">
        <is>
          <t>No</t>
        </is>
      </c>
      <c r="B2228" t="inlineStr">
        <is>
          <t>CURAL</t>
        </is>
      </c>
      <c r="C2228" t="inlineStr">
        <is>
          <t>SHELVES</t>
        </is>
      </c>
      <c r="D2228" t="inlineStr">
        <is>
          <t>PR5059.M3 Z8 1990</t>
        </is>
      </c>
      <c r="E2228" t="inlineStr">
        <is>
          <t>0                      PR 5059000M  3                  Z  8           1990</t>
        </is>
      </c>
      <c r="F2228" t="inlineStr">
        <is>
          <t>Lady Morgan the novelist / James Newcomer.</t>
        </is>
      </c>
      <c r="H2228" t="inlineStr">
        <is>
          <t>No</t>
        </is>
      </c>
      <c r="I2228" t="inlineStr">
        <is>
          <t>1</t>
        </is>
      </c>
      <c r="J2228" t="inlineStr">
        <is>
          <t>No</t>
        </is>
      </c>
      <c r="K2228" t="inlineStr">
        <is>
          <t>No</t>
        </is>
      </c>
      <c r="L2228" t="inlineStr">
        <is>
          <t>0</t>
        </is>
      </c>
      <c r="M2228" t="inlineStr">
        <is>
          <t>Newcomer, James.</t>
        </is>
      </c>
      <c r="N2228" t="inlineStr">
        <is>
          <t>Lewisburg, Pa. : Bucknell University Press, c1990.</t>
        </is>
      </c>
      <c r="O2228" t="inlineStr">
        <is>
          <t>1990</t>
        </is>
      </c>
      <c r="Q2228" t="inlineStr">
        <is>
          <t>eng</t>
        </is>
      </c>
      <c r="R2228" t="inlineStr">
        <is>
          <t>pau</t>
        </is>
      </c>
      <c r="T2228" t="inlineStr">
        <is>
          <t xml:space="preserve">PR </t>
        </is>
      </c>
      <c r="U2228" t="n">
        <v>1</v>
      </c>
      <c r="V2228" t="n">
        <v>1</v>
      </c>
      <c r="W2228" t="inlineStr">
        <is>
          <t>2009-09-15</t>
        </is>
      </c>
      <c r="X2228" t="inlineStr">
        <is>
          <t>2009-09-15</t>
        </is>
      </c>
      <c r="Y2228" t="inlineStr">
        <is>
          <t>1990-10-17</t>
        </is>
      </c>
      <c r="Z2228" t="inlineStr">
        <is>
          <t>1990-10-17</t>
        </is>
      </c>
      <c r="AA2228" t="n">
        <v>232</v>
      </c>
      <c r="AB2228" t="n">
        <v>183</v>
      </c>
      <c r="AC2228" t="n">
        <v>185</v>
      </c>
      <c r="AD2228" t="n">
        <v>2</v>
      </c>
      <c r="AE2228" t="n">
        <v>2</v>
      </c>
      <c r="AF2228" t="n">
        <v>7</v>
      </c>
      <c r="AG2228" t="n">
        <v>7</v>
      </c>
      <c r="AH2228" t="n">
        <v>0</v>
      </c>
      <c r="AI2228" t="n">
        <v>0</v>
      </c>
      <c r="AJ2228" t="n">
        <v>4</v>
      </c>
      <c r="AK2228" t="n">
        <v>4</v>
      </c>
      <c r="AL2228" t="n">
        <v>4</v>
      </c>
      <c r="AM2228" t="n">
        <v>4</v>
      </c>
      <c r="AN2228" t="n">
        <v>1</v>
      </c>
      <c r="AO2228" t="n">
        <v>1</v>
      </c>
      <c r="AP2228" t="n">
        <v>0</v>
      </c>
      <c r="AQ2228" t="n">
        <v>0</v>
      </c>
      <c r="AR2228" t="inlineStr">
        <is>
          <t>No</t>
        </is>
      </c>
      <c r="AS2228" t="inlineStr">
        <is>
          <t>Yes</t>
        </is>
      </c>
      <c r="AT2228">
        <f>HYPERLINK("http://catalog.hathitrust.org/Record/002210125","HathiTrust Record")</f>
        <v/>
      </c>
      <c r="AU2228">
        <f>HYPERLINK("https://creighton-primo.hosted.exlibrisgroup.com/primo-explore/search?tab=default_tab&amp;search_scope=EVERYTHING&amp;vid=01CRU&amp;lang=en_US&amp;offset=0&amp;query=any,contains,991001624369702656","Catalog Record")</f>
        <v/>
      </c>
      <c r="AV2228">
        <f>HYPERLINK("http://www.worldcat.org/oclc/20827698","WorldCat Record")</f>
        <v/>
      </c>
      <c r="AW2228" t="inlineStr">
        <is>
          <t>22473424:eng</t>
        </is>
      </c>
      <c r="AX2228" t="inlineStr">
        <is>
          <t>20827698</t>
        </is>
      </c>
      <c r="AY2228" t="inlineStr">
        <is>
          <t>991001624369702656</t>
        </is>
      </c>
      <c r="AZ2228" t="inlineStr">
        <is>
          <t>991001624369702656</t>
        </is>
      </c>
      <c r="BA2228" t="inlineStr">
        <is>
          <t>2261685740002656</t>
        </is>
      </c>
      <c r="BB2228" t="inlineStr">
        <is>
          <t>BOOK</t>
        </is>
      </c>
      <c r="BD2228" t="inlineStr">
        <is>
          <t>9780838751770</t>
        </is>
      </c>
      <c r="BE2228" t="inlineStr">
        <is>
          <t>32285000311257</t>
        </is>
      </c>
      <c r="BF2228" t="inlineStr">
        <is>
          <t>893444728</t>
        </is>
      </c>
    </row>
    <row r="2229">
      <c r="A2229" t="inlineStr">
        <is>
          <t>No</t>
        </is>
      </c>
      <c r="B2229" t="inlineStr">
        <is>
          <t>CURAL</t>
        </is>
      </c>
      <c r="C2229" t="inlineStr">
        <is>
          <t>SHELVES</t>
        </is>
      </c>
      <c r="D2229" t="inlineStr">
        <is>
          <t>PR507 .B63</t>
        </is>
      </c>
      <c r="E2229" t="inlineStr">
        <is>
          <t>0                      PR 0507000B  63</t>
        </is>
      </c>
      <c r="F2229" t="inlineStr">
        <is>
          <t>The experience of songs / Mark W. Booth.</t>
        </is>
      </c>
      <c r="H2229" t="inlineStr">
        <is>
          <t>No</t>
        </is>
      </c>
      <c r="I2229" t="inlineStr">
        <is>
          <t>1</t>
        </is>
      </c>
      <c r="J2229" t="inlineStr">
        <is>
          <t>No</t>
        </is>
      </c>
      <c r="K2229" t="inlineStr">
        <is>
          <t>No</t>
        </is>
      </c>
      <c r="L2229" t="inlineStr">
        <is>
          <t>0</t>
        </is>
      </c>
      <c r="M2229" t="inlineStr">
        <is>
          <t>Booth, Mark W., 1943-</t>
        </is>
      </c>
      <c r="N2229" t="inlineStr">
        <is>
          <t>New Haven : Yale University Press, c1981.</t>
        </is>
      </c>
      <c r="O2229" t="inlineStr">
        <is>
          <t>1981</t>
        </is>
      </c>
      <c r="Q2229" t="inlineStr">
        <is>
          <t>eng</t>
        </is>
      </c>
      <c r="R2229" t="inlineStr">
        <is>
          <t>ctu</t>
        </is>
      </c>
      <c r="T2229" t="inlineStr">
        <is>
          <t xml:space="preserve">PR </t>
        </is>
      </c>
      <c r="U2229" t="n">
        <v>2</v>
      </c>
      <c r="V2229" t="n">
        <v>2</v>
      </c>
      <c r="W2229" t="inlineStr">
        <is>
          <t>1996-02-20</t>
        </is>
      </c>
      <c r="X2229" t="inlineStr">
        <is>
          <t>1996-02-20</t>
        </is>
      </c>
      <c r="Y2229" t="inlineStr">
        <is>
          <t>1991-09-04</t>
        </is>
      </c>
      <c r="Z2229" t="inlineStr">
        <is>
          <t>1991-09-04</t>
        </is>
      </c>
      <c r="AA2229" t="n">
        <v>526</v>
      </c>
      <c r="AB2229" t="n">
        <v>439</v>
      </c>
      <c r="AC2229" t="n">
        <v>439</v>
      </c>
      <c r="AD2229" t="n">
        <v>4</v>
      </c>
      <c r="AE2229" t="n">
        <v>4</v>
      </c>
      <c r="AF2229" t="n">
        <v>19</v>
      </c>
      <c r="AG2229" t="n">
        <v>19</v>
      </c>
      <c r="AH2229" t="n">
        <v>7</v>
      </c>
      <c r="AI2229" t="n">
        <v>7</v>
      </c>
      <c r="AJ2229" t="n">
        <v>5</v>
      </c>
      <c r="AK2229" t="n">
        <v>5</v>
      </c>
      <c r="AL2229" t="n">
        <v>11</v>
      </c>
      <c r="AM2229" t="n">
        <v>11</v>
      </c>
      <c r="AN2229" t="n">
        <v>3</v>
      </c>
      <c r="AO2229" t="n">
        <v>3</v>
      </c>
      <c r="AP2229" t="n">
        <v>0</v>
      </c>
      <c r="AQ2229" t="n">
        <v>0</v>
      </c>
      <c r="AR2229" t="inlineStr">
        <is>
          <t>No</t>
        </is>
      </c>
      <c r="AS2229" t="inlineStr">
        <is>
          <t>No</t>
        </is>
      </c>
      <c r="AU2229">
        <f>HYPERLINK("https://creighton-primo.hosted.exlibrisgroup.com/primo-explore/search?tab=default_tab&amp;search_scope=EVERYTHING&amp;vid=01CRU&amp;lang=en_US&amp;offset=0&amp;query=any,contains,991005100249702656","Catalog Record")</f>
        <v/>
      </c>
      <c r="AV2229">
        <f>HYPERLINK("http://www.worldcat.org/oclc/7282487","WorldCat Record")</f>
        <v/>
      </c>
      <c r="AW2229" t="inlineStr">
        <is>
          <t>20920939:eng</t>
        </is>
      </c>
      <c r="AX2229" t="inlineStr">
        <is>
          <t>7282487</t>
        </is>
      </c>
      <c r="AY2229" t="inlineStr">
        <is>
          <t>991005100249702656</t>
        </is>
      </c>
      <c r="AZ2229" t="inlineStr">
        <is>
          <t>991005100249702656</t>
        </is>
      </c>
      <c r="BA2229" t="inlineStr">
        <is>
          <t>2257954620002656</t>
        </is>
      </c>
      <c r="BB2229" t="inlineStr">
        <is>
          <t>BOOK</t>
        </is>
      </c>
      <c r="BD2229" t="inlineStr">
        <is>
          <t>9780300026221</t>
        </is>
      </c>
      <c r="BE2229" t="inlineStr">
        <is>
          <t>32285000735430</t>
        </is>
      </c>
      <c r="BF2229" t="inlineStr">
        <is>
          <t>893719763</t>
        </is>
      </c>
    </row>
    <row r="2230">
      <c r="A2230" t="inlineStr">
        <is>
          <t>No</t>
        </is>
      </c>
      <c r="B2230" t="inlineStr">
        <is>
          <t>CURAL</t>
        </is>
      </c>
      <c r="C2230" t="inlineStr">
        <is>
          <t>SHELVES</t>
        </is>
      </c>
      <c r="D2230" t="inlineStr">
        <is>
          <t>PR507 .S53 1962</t>
        </is>
      </c>
      <c r="E2230" t="inlineStr">
        <is>
          <t>0                      PR 0507000S  53          1962</t>
        </is>
      </c>
      <c r="F2230" t="inlineStr">
        <is>
          <t>The broadside ballad: a study in origins and meaning.</t>
        </is>
      </c>
      <c r="H2230" t="inlineStr">
        <is>
          <t>No</t>
        </is>
      </c>
      <c r="I2230" t="inlineStr">
        <is>
          <t>1</t>
        </is>
      </c>
      <c r="J2230" t="inlineStr">
        <is>
          <t>No</t>
        </is>
      </c>
      <c r="K2230" t="inlineStr">
        <is>
          <t>No</t>
        </is>
      </c>
      <c r="L2230" t="inlineStr">
        <is>
          <t>0</t>
        </is>
      </c>
      <c r="M2230" t="inlineStr">
        <is>
          <t>Shepard, Leslie.</t>
        </is>
      </c>
      <c r="N2230" t="inlineStr">
        <is>
          <t>London, H. Jenkins [1962]</t>
        </is>
      </c>
      <c r="O2230" t="inlineStr">
        <is>
          <t>1962</t>
        </is>
      </c>
      <c r="Q2230" t="inlineStr">
        <is>
          <t>eng</t>
        </is>
      </c>
      <c r="R2230" t="inlineStr">
        <is>
          <t>enk</t>
        </is>
      </c>
      <c r="T2230" t="inlineStr">
        <is>
          <t xml:space="preserve">PR </t>
        </is>
      </c>
      <c r="U2230" t="n">
        <v>1</v>
      </c>
      <c r="V2230" t="n">
        <v>1</v>
      </c>
      <c r="W2230" t="inlineStr">
        <is>
          <t>2005-05-09</t>
        </is>
      </c>
      <c r="X2230" t="inlineStr">
        <is>
          <t>2005-05-09</t>
        </is>
      </c>
      <c r="Y2230" t="inlineStr">
        <is>
          <t>1997-08-27</t>
        </is>
      </c>
      <c r="Z2230" t="inlineStr">
        <is>
          <t>1997-08-27</t>
        </is>
      </c>
      <c r="AA2230" t="n">
        <v>524</v>
      </c>
      <c r="AB2230" t="n">
        <v>413</v>
      </c>
      <c r="AC2230" t="n">
        <v>566</v>
      </c>
      <c r="AD2230" t="n">
        <v>6</v>
      </c>
      <c r="AE2230" t="n">
        <v>8</v>
      </c>
      <c r="AF2230" t="n">
        <v>21</v>
      </c>
      <c r="AG2230" t="n">
        <v>31</v>
      </c>
      <c r="AH2230" t="n">
        <v>5</v>
      </c>
      <c r="AI2230" t="n">
        <v>11</v>
      </c>
      <c r="AJ2230" t="n">
        <v>6</v>
      </c>
      <c r="AK2230" t="n">
        <v>7</v>
      </c>
      <c r="AL2230" t="n">
        <v>10</v>
      </c>
      <c r="AM2230" t="n">
        <v>15</v>
      </c>
      <c r="AN2230" t="n">
        <v>5</v>
      </c>
      <c r="AO2230" t="n">
        <v>7</v>
      </c>
      <c r="AP2230" t="n">
        <v>0</v>
      </c>
      <c r="AQ2230" t="n">
        <v>0</v>
      </c>
      <c r="AR2230" t="inlineStr">
        <is>
          <t>No</t>
        </is>
      </c>
      <c r="AS2230" t="inlineStr">
        <is>
          <t>Yes</t>
        </is>
      </c>
      <c r="AT2230">
        <f>HYPERLINK("http://catalog.hathitrust.org/Record/001016453","HathiTrust Record")</f>
        <v/>
      </c>
      <c r="AU2230">
        <f>HYPERLINK("https://creighton-primo.hosted.exlibrisgroup.com/primo-explore/search?tab=default_tab&amp;search_scope=EVERYTHING&amp;vid=01CRU&amp;lang=en_US&amp;offset=0&amp;query=any,contains,991001729049702656","Catalog Record")</f>
        <v/>
      </c>
      <c r="AV2230">
        <f>HYPERLINK("http://www.worldcat.org/oclc/234969","WorldCat Record")</f>
        <v/>
      </c>
      <c r="AW2230" t="inlineStr">
        <is>
          <t>558525:eng</t>
        </is>
      </c>
      <c r="AX2230" t="inlineStr">
        <is>
          <t>234969</t>
        </is>
      </c>
      <c r="AY2230" t="inlineStr">
        <is>
          <t>991001729049702656</t>
        </is>
      </c>
      <c r="AZ2230" t="inlineStr">
        <is>
          <t>991001729049702656</t>
        </is>
      </c>
      <c r="BA2230" t="inlineStr">
        <is>
          <t>2257293820002656</t>
        </is>
      </c>
      <c r="BB2230" t="inlineStr">
        <is>
          <t>BOOK</t>
        </is>
      </c>
      <c r="BE2230" t="inlineStr">
        <is>
          <t>32285003153565</t>
        </is>
      </c>
      <c r="BF2230" t="inlineStr">
        <is>
          <t>893609097</t>
        </is>
      </c>
    </row>
    <row r="2231">
      <c r="A2231" t="inlineStr">
        <is>
          <t>No</t>
        </is>
      </c>
      <c r="B2231" t="inlineStr">
        <is>
          <t>CURAL</t>
        </is>
      </c>
      <c r="C2231" t="inlineStr">
        <is>
          <t>SHELVES</t>
        </is>
      </c>
      <c r="D2231" t="inlineStr">
        <is>
          <t>PR508.A45 W37 2004</t>
        </is>
      </c>
      <c r="E2231" t="inlineStr">
        <is>
          <t>0                      PR 0508000A  45                 W  37          2004</t>
        </is>
      </c>
      <c r="F2231" t="inlineStr">
        <is>
          <t>The spell of the song : letters, meaning, and English poetry / John Powell Ward.</t>
        </is>
      </c>
      <c r="H2231" t="inlineStr">
        <is>
          <t>No</t>
        </is>
      </c>
      <c r="I2231" t="inlineStr">
        <is>
          <t>1</t>
        </is>
      </c>
      <c r="J2231" t="inlineStr">
        <is>
          <t>No</t>
        </is>
      </c>
      <c r="K2231" t="inlineStr">
        <is>
          <t>No</t>
        </is>
      </c>
      <c r="L2231" t="inlineStr">
        <is>
          <t>0</t>
        </is>
      </c>
      <c r="M2231" t="inlineStr">
        <is>
          <t>Ward, John Powell, 1937-</t>
        </is>
      </c>
      <c r="N2231" t="inlineStr">
        <is>
          <t>Madison, N.J. : Fairleigh Dickinson University Press, c2004.</t>
        </is>
      </c>
      <c r="O2231" t="inlineStr">
        <is>
          <t>2004</t>
        </is>
      </c>
      <c r="Q2231" t="inlineStr">
        <is>
          <t>eng</t>
        </is>
      </c>
      <c r="R2231" t="inlineStr">
        <is>
          <t>nju</t>
        </is>
      </c>
      <c r="T2231" t="inlineStr">
        <is>
          <t xml:space="preserve">PR </t>
        </is>
      </c>
      <c r="U2231" t="n">
        <v>1</v>
      </c>
      <c r="V2231" t="n">
        <v>1</v>
      </c>
      <c r="W2231" t="inlineStr">
        <is>
          <t>2005-03-15</t>
        </is>
      </c>
      <c r="X2231" t="inlineStr">
        <is>
          <t>2005-03-15</t>
        </is>
      </c>
      <c r="Y2231" t="inlineStr">
        <is>
          <t>2005-03-15</t>
        </is>
      </c>
      <c r="Z2231" t="inlineStr">
        <is>
          <t>2005-03-15</t>
        </is>
      </c>
      <c r="AA2231" t="n">
        <v>355</v>
      </c>
      <c r="AB2231" t="n">
        <v>311</v>
      </c>
      <c r="AC2231" t="n">
        <v>535</v>
      </c>
      <c r="AD2231" t="n">
        <v>3</v>
      </c>
      <c r="AE2231" t="n">
        <v>19</v>
      </c>
      <c r="AF2231" t="n">
        <v>17</v>
      </c>
      <c r="AG2231" t="n">
        <v>30</v>
      </c>
      <c r="AH2231" t="n">
        <v>9</v>
      </c>
      <c r="AI2231" t="n">
        <v>12</v>
      </c>
      <c r="AJ2231" t="n">
        <v>4</v>
      </c>
      <c r="AK2231" t="n">
        <v>4</v>
      </c>
      <c r="AL2231" t="n">
        <v>7</v>
      </c>
      <c r="AM2231" t="n">
        <v>9</v>
      </c>
      <c r="AN2231" t="n">
        <v>2</v>
      </c>
      <c r="AO2231" t="n">
        <v>11</v>
      </c>
      <c r="AP2231" t="n">
        <v>0</v>
      </c>
      <c r="AQ2231" t="n">
        <v>0</v>
      </c>
      <c r="AR2231" t="inlineStr">
        <is>
          <t>No</t>
        </is>
      </c>
      <c r="AS2231" t="inlineStr">
        <is>
          <t>Yes</t>
        </is>
      </c>
      <c r="AT2231">
        <f>HYPERLINK("http://catalog.hathitrust.org/Record/004737426","HathiTrust Record")</f>
        <v/>
      </c>
      <c r="AU2231">
        <f>HYPERLINK("https://creighton-primo.hosted.exlibrisgroup.com/primo-explore/search?tab=default_tab&amp;search_scope=EVERYTHING&amp;vid=01CRU&amp;lang=en_US&amp;offset=0&amp;query=any,contains,991004462799702656","Catalog Record")</f>
        <v/>
      </c>
      <c r="AV2231">
        <f>HYPERLINK("http://www.worldcat.org/oclc/53972190","WorldCat Record")</f>
        <v/>
      </c>
      <c r="AW2231" t="inlineStr">
        <is>
          <t>12687827:eng</t>
        </is>
      </c>
      <c r="AX2231" t="inlineStr">
        <is>
          <t>53972190</t>
        </is>
      </c>
      <c r="AY2231" t="inlineStr">
        <is>
          <t>991004462799702656</t>
        </is>
      </c>
      <c r="AZ2231" t="inlineStr">
        <is>
          <t>991004462799702656</t>
        </is>
      </c>
      <c r="BA2231" t="inlineStr">
        <is>
          <t>2267828070002656</t>
        </is>
      </c>
      <c r="BB2231" t="inlineStr">
        <is>
          <t>BOOK</t>
        </is>
      </c>
      <c r="BD2231" t="inlineStr">
        <is>
          <t>9780838639870</t>
        </is>
      </c>
      <c r="BE2231" t="inlineStr">
        <is>
          <t>32285005041669</t>
        </is>
      </c>
      <c r="BF2231" t="inlineStr">
        <is>
          <t>893446221</t>
        </is>
      </c>
    </row>
    <row r="2232">
      <c r="A2232" t="inlineStr">
        <is>
          <t>No</t>
        </is>
      </c>
      <c r="B2232" t="inlineStr">
        <is>
          <t>CURAL</t>
        </is>
      </c>
      <c r="C2232" t="inlineStr">
        <is>
          <t>SHELVES</t>
        </is>
      </c>
      <c r="D2232" t="inlineStr">
        <is>
          <t>PR508.A54 F47 2001</t>
        </is>
      </c>
      <c r="E2232" t="inlineStr">
        <is>
          <t>0                      PR 0508000A  54                 F  47          2001</t>
        </is>
      </c>
      <c r="F2232" t="inlineStr">
        <is>
          <t>Tradition and the individual poem : an inquiry into anthologies / Anne Ferry.</t>
        </is>
      </c>
      <c r="H2232" t="inlineStr">
        <is>
          <t>No</t>
        </is>
      </c>
      <c r="I2232" t="inlineStr">
        <is>
          <t>1</t>
        </is>
      </c>
      <c r="J2232" t="inlineStr">
        <is>
          <t>No</t>
        </is>
      </c>
      <c r="K2232" t="inlineStr">
        <is>
          <t>No</t>
        </is>
      </c>
      <c r="L2232" t="inlineStr">
        <is>
          <t>0</t>
        </is>
      </c>
      <c r="M2232" t="inlineStr">
        <is>
          <t>Ferry, Anne.</t>
        </is>
      </c>
      <c r="N2232" t="inlineStr">
        <is>
          <t>Stanford, Calif. : Stanford University Press, c2001.</t>
        </is>
      </c>
      <c r="O2232" t="inlineStr">
        <is>
          <t>2001</t>
        </is>
      </c>
      <c r="Q2232" t="inlineStr">
        <is>
          <t>eng</t>
        </is>
      </c>
      <c r="R2232" t="inlineStr">
        <is>
          <t>cau</t>
        </is>
      </c>
      <c r="T2232" t="inlineStr">
        <is>
          <t xml:space="preserve">PR </t>
        </is>
      </c>
      <c r="U2232" t="n">
        <v>2</v>
      </c>
      <c r="V2232" t="n">
        <v>2</v>
      </c>
      <c r="W2232" t="inlineStr">
        <is>
          <t>2003-04-30</t>
        </is>
      </c>
      <c r="X2232" t="inlineStr">
        <is>
          <t>2003-04-30</t>
        </is>
      </c>
      <c r="Y2232" t="inlineStr">
        <is>
          <t>2003-01-06</t>
        </is>
      </c>
      <c r="Z2232" t="inlineStr">
        <is>
          <t>2003-01-06</t>
        </is>
      </c>
      <c r="AA2232" t="n">
        <v>401</v>
      </c>
      <c r="AB2232" t="n">
        <v>336</v>
      </c>
      <c r="AC2232" t="n">
        <v>356</v>
      </c>
      <c r="AD2232" t="n">
        <v>3</v>
      </c>
      <c r="AE2232" t="n">
        <v>5</v>
      </c>
      <c r="AF2232" t="n">
        <v>23</v>
      </c>
      <c r="AG2232" t="n">
        <v>25</v>
      </c>
      <c r="AH2232" t="n">
        <v>8</v>
      </c>
      <c r="AI2232" t="n">
        <v>8</v>
      </c>
      <c r="AJ2232" t="n">
        <v>9</v>
      </c>
      <c r="AK2232" t="n">
        <v>9</v>
      </c>
      <c r="AL2232" t="n">
        <v>11</v>
      </c>
      <c r="AM2232" t="n">
        <v>11</v>
      </c>
      <c r="AN2232" t="n">
        <v>2</v>
      </c>
      <c r="AO2232" t="n">
        <v>4</v>
      </c>
      <c r="AP2232" t="n">
        <v>0</v>
      </c>
      <c r="AQ2232" t="n">
        <v>0</v>
      </c>
      <c r="AR2232" t="inlineStr">
        <is>
          <t>No</t>
        </is>
      </c>
      <c r="AS2232" t="inlineStr">
        <is>
          <t>No</t>
        </is>
      </c>
      <c r="AU2232">
        <f>HYPERLINK("https://creighton-primo.hosted.exlibrisgroup.com/primo-explore/search?tab=default_tab&amp;search_scope=EVERYTHING&amp;vid=01CRU&amp;lang=en_US&amp;offset=0&amp;query=any,contains,991003920499702656","Catalog Record")</f>
        <v/>
      </c>
      <c r="AV2232">
        <f>HYPERLINK("http://www.worldcat.org/oclc/45618282","WorldCat Record")</f>
        <v/>
      </c>
      <c r="AW2232" t="inlineStr">
        <is>
          <t>793904455:eng</t>
        </is>
      </c>
      <c r="AX2232" t="inlineStr">
        <is>
          <t>45618282</t>
        </is>
      </c>
      <c r="AY2232" t="inlineStr">
        <is>
          <t>991003920499702656</t>
        </is>
      </c>
      <c r="AZ2232" t="inlineStr">
        <is>
          <t>991003920499702656</t>
        </is>
      </c>
      <c r="BA2232" t="inlineStr">
        <is>
          <t>2258734950002656</t>
        </is>
      </c>
      <c r="BB2232" t="inlineStr">
        <is>
          <t>BOOK</t>
        </is>
      </c>
      <c r="BD2232" t="inlineStr">
        <is>
          <t>9780804742351</t>
        </is>
      </c>
      <c r="BE2232" t="inlineStr">
        <is>
          <t>32285004691977</t>
        </is>
      </c>
      <c r="BF2232" t="inlineStr">
        <is>
          <t>893881833</t>
        </is>
      </c>
    </row>
    <row r="2233">
      <c r="A2233" t="inlineStr">
        <is>
          <t>No</t>
        </is>
      </c>
      <c r="B2233" t="inlineStr">
        <is>
          <t>CURAL</t>
        </is>
      </c>
      <c r="C2233" t="inlineStr">
        <is>
          <t>SHELVES</t>
        </is>
      </c>
      <c r="D2233" t="inlineStr">
        <is>
          <t>PR508.C65 P4 1984</t>
        </is>
      </c>
      <c r="E2233" t="inlineStr">
        <is>
          <t>0                      PR 0508000C  65                 P  4           1984</t>
        </is>
      </c>
      <c r="F2233" t="inlineStr">
        <is>
          <t>The Penguin book of English Christian verse / edited by Peter Levi.</t>
        </is>
      </c>
      <c r="H2233" t="inlineStr">
        <is>
          <t>No</t>
        </is>
      </c>
      <c r="I2233" t="inlineStr">
        <is>
          <t>1</t>
        </is>
      </c>
      <c r="J2233" t="inlineStr">
        <is>
          <t>No</t>
        </is>
      </c>
      <c r="K2233" t="inlineStr">
        <is>
          <t>No</t>
        </is>
      </c>
      <c r="L2233" t="inlineStr">
        <is>
          <t>0</t>
        </is>
      </c>
      <c r="N2233" t="inlineStr">
        <is>
          <t>Harmondsworth, Middlesex, England, : Penguin Books, 1984.</t>
        </is>
      </c>
      <c r="O2233" t="inlineStr">
        <is>
          <t>1984</t>
        </is>
      </c>
      <c r="Q2233" t="inlineStr">
        <is>
          <t>eng</t>
        </is>
      </c>
      <c r="R2233" t="inlineStr">
        <is>
          <t>enk</t>
        </is>
      </c>
      <c r="S2233" t="inlineStr">
        <is>
          <t>Penguin poets</t>
        </is>
      </c>
      <c r="T2233" t="inlineStr">
        <is>
          <t xml:space="preserve">PR </t>
        </is>
      </c>
      <c r="U2233" t="n">
        <v>4</v>
      </c>
      <c r="V2233" t="n">
        <v>4</v>
      </c>
      <c r="W2233" t="inlineStr">
        <is>
          <t>1995-01-12</t>
        </is>
      </c>
      <c r="X2233" t="inlineStr">
        <is>
          <t>1995-01-12</t>
        </is>
      </c>
      <c r="Y2233" t="inlineStr">
        <is>
          <t>1991-09-04</t>
        </is>
      </c>
      <c r="Z2233" t="inlineStr">
        <is>
          <t>1991-09-04</t>
        </is>
      </c>
      <c r="AA2233" t="n">
        <v>202</v>
      </c>
      <c r="AB2233" t="n">
        <v>115</v>
      </c>
      <c r="AC2233" t="n">
        <v>137</v>
      </c>
      <c r="AD2233" t="n">
        <v>1</v>
      </c>
      <c r="AE2233" t="n">
        <v>1</v>
      </c>
      <c r="AF2233" t="n">
        <v>4</v>
      </c>
      <c r="AG2233" t="n">
        <v>5</v>
      </c>
      <c r="AH2233" t="n">
        <v>1</v>
      </c>
      <c r="AI2233" t="n">
        <v>1</v>
      </c>
      <c r="AJ2233" t="n">
        <v>0</v>
      </c>
      <c r="AK2233" t="n">
        <v>0</v>
      </c>
      <c r="AL2233" t="n">
        <v>4</v>
      </c>
      <c r="AM2233" t="n">
        <v>5</v>
      </c>
      <c r="AN2233" t="n">
        <v>0</v>
      </c>
      <c r="AO2233" t="n">
        <v>0</v>
      </c>
      <c r="AP2233" t="n">
        <v>0</v>
      </c>
      <c r="AQ2233" t="n">
        <v>0</v>
      </c>
      <c r="AR2233" t="inlineStr">
        <is>
          <t>No</t>
        </is>
      </c>
      <c r="AS2233" t="inlineStr">
        <is>
          <t>No</t>
        </is>
      </c>
      <c r="AU2233">
        <f>HYPERLINK("https://creighton-primo.hosted.exlibrisgroup.com/primo-explore/search?tab=default_tab&amp;search_scope=EVERYTHING&amp;vid=01CRU&amp;lang=en_US&amp;offset=0&amp;query=any,contains,991000623589702656","Catalog Record")</f>
        <v/>
      </c>
      <c r="AV2233">
        <f>HYPERLINK("http://www.worldcat.org/oclc/59154816","WorldCat Record")</f>
        <v/>
      </c>
      <c r="AW2233" t="inlineStr">
        <is>
          <t>55338220:eng</t>
        </is>
      </c>
      <c r="AX2233" t="inlineStr">
        <is>
          <t>59154816</t>
        </is>
      </c>
      <c r="AY2233" t="inlineStr">
        <is>
          <t>991000623589702656</t>
        </is>
      </c>
      <c r="AZ2233" t="inlineStr">
        <is>
          <t>991000623589702656</t>
        </is>
      </c>
      <c r="BA2233" t="inlineStr">
        <is>
          <t>2263274160002656</t>
        </is>
      </c>
      <c r="BB2233" t="inlineStr">
        <is>
          <t>BOOK</t>
        </is>
      </c>
      <c r="BD2233" t="inlineStr">
        <is>
          <t>9780140422924</t>
        </is>
      </c>
      <c r="BE2233" t="inlineStr">
        <is>
          <t>32285000735489</t>
        </is>
      </c>
      <c r="BF2233" t="inlineStr">
        <is>
          <t>893425877</t>
        </is>
      </c>
    </row>
    <row r="2234">
      <c r="A2234" t="inlineStr">
        <is>
          <t>No</t>
        </is>
      </c>
      <c r="B2234" t="inlineStr">
        <is>
          <t>CURAL</t>
        </is>
      </c>
      <c r="C2234" t="inlineStr">
        <is>
          <t>SHELVES</t>
        </is>
      </c>
      <c r="D2234" t="inlineStr">
        <is>
          <t>PR508.C68 B7</t>
        </is>
      </c>
      <c r="E2234" t="inlineStr">
        <is>
          <t>0                      PR 0508000C  68                 B  7</t>
        </is>
      </c>
      <c r="F2234" t="inlineStr">
        <is>
          <t>The classics and English Renaissance poetry : three case studies / Gordon Braden.</t>
        </is>
      </c>
      <c r="H2234" t="inlineStr">
        <is>
          <t>No</t>
        </is>
      </c>
      <c r="I2234" t="inlineStr">
        <is>
          <t>1</t>
        </is>
      </c>
      <c r="J2234" t="inlineStr">
        <is>
          <t>No</t>
        </is>
      </c>
      <c r="K2234" t="inlineStr">
        <is>
          <t>No</t>
        </is>
      </c>
      <c r="L2234" t="inlineStr">
        <is>
          <t>0</t>
        </is>
      </c>
      <c r="M2234" t="inlineStr">
        <is>
          <t>Braden, Gordon, 1947-</t>
        </is>
      </c>
      <c r="N2234" t="inlineStr">
        <is>
          <t>New Haven : Yale University Press, 1978.</t>
        </is>
      </c>
      <c r="O2234" t="inlineStr">
        <is>
          <t>1978</t>
        </is>
      </c>
      <c r="Q2234" t="inlineStr">
        <is>
          <t>eng</t>
        </is>
      </c>
      <c r="R2234" t="inlineStr">
        <is>
          <t>ctu</t>
        </is>
      </c>
      <c r="S2234" t="inlineStr">
        <is>
          <t>Yale studies in English ; 187</t>
        </is>
      </c>
      <c r="T2234" t="inlineStr">
        <is>
          <t xml:space="preserve">PR </t>
        </is>
      </c>
      <c r="U2234" t="n">
        <v>4</v>
      </c>
      <c r="V2234" t="n">
        <v>4</v>
      </c>
      <c r="W2234" t="inlineStr">
        <is>
          <t>1994-10-19</t>
        </is>
      </c>
      <c r="X2234" t="inlineStr">
        <is>
          <t>1994-10-19</t>
        </is>
      </c>
      <c r="Y2234" t="inlineStr">
        <is>
          <t>1991-09-04</t>
        </is>
      </c>
      <c r="Z2234" t="inlineStr">
        <is>
          <t>1991-09-04</t>
        </is>
      </c>
      <c r="AA2234" t="n">
        <v>667</v>
      </c>
      <c r="AB2234" t="n">
        <v>528</v>
      </c>
      <c r="AC2234" t="n">
        <v>529</v>
      </c>
      <c r="AD2234" t="n">
        <v>5</v>
      </c>
      <c r="AE2234" t="n">
        <v>5</v>
      </c>
      <c r="AF2234" t="n">
        <v>32</v>
      </c>
      <c r="AG2234" t="n">
        <v>32</v>
      </c>
      <c r="AH2234" t="n">
        <v>11</v>
      </c>
      <c r="AI2234" t="n">
        <v>11</v>
      </c>
      <c r="AJ2234" t="n">
        <v>6</v>
      </c>
      <c r="AK2234" t="n">
        <v>6</v>
      </c>
      <c r="AL2234" t="n">
        <v>19</v>
      </c>
      <c r="AM2234" t="n">
        <v>19</v>
      </c>
      <c r="AN2234" t="n">
        <v>4</v>
      </c>
      <c r="AO2234" t="n">
        <v>4</v>
      </c>
      <c r="AP2234" t="n">
        <v>0</v>
      </c>
      <c r="AQ2234" t="n">
        <v>0</v>
      </c>
      <c r="AR2234" t="inlineStr">
        <is>
          <t>No</t>
        </is>
      </c>
      <c r="AS2234" t="inlineStr">
        <is>
          <t>No</t>
        </is>
      </c>
      <c r="AU2234">
        <f>HYPERLINK("https://creighton-primo.hosted.exlibrisgroup.com/primo-explore/search?tab=default_tab&amp;search_scope=EVERYTHING&amp;vid=01CRU&amp;lang=en_US&amp;offset=0&amp;query=any,contains,991004374289702656","Catalog Record")</f>
        <v/>
      </c>
      <c r="AV2234">
        <f>HYPERLINK("http://www.worldcat.org/oclc/3203625","WorldCat Record")</f>
        <v/>
      </c>
      <c r="AW2234" t="inlineStr">
        <is>
          <t>198837159:eng</t>
        </is>
      </c>
      <c r="AX2234" t="inlineStr">
        <is>
          <t>3203625</t>
        </is>
      </c>
      <c r="AY2234" t="inlineStr">
        <is>
          <t>991004374289702656</t>
        </is>
      </c>
      <c r="AZ2234" t="inlineStr">
        <is>
          <t>991004374289702656</t>
        </is>
      </c>
      <c r="BA2234" t="inlineStr">
        <is>
          <t>2270815740002656</t>
        </is>
      </c>
      <c r="BB2234" t="inlineStr">
        <is>
          <t>BOOK</t>
        </is>
      </c>
      <c r="BD2234" t="inlineStr">
        <is>
          <t>9780300021547</t>
        </is>
      </c>
      <c r="BE2234" t="inlineStr">
        <is>
          <t>32285000735497</t>
        </is>
      </c>
      <c r="BF2234" t="inlineStr">
        <is>
          <t>893343763</t>
        </is>
      </c>
    </row>
    <row r="2235">
      <c r="A2235" t="inlineStr">
        <is>
          <t>No</t>
        </is>
      </c>
      <c r="B2235" t="inlineStr">
        <is>
          <t>CURAL</t>
        </is>
      </c>
      <c r="C2235" t="inlineStr">
        <is>
          <t>SHELVES</t>
        </is>
      </c>
      <c r="D2235" t="inlineStr">
        <is>
          <t>PR508.C68 R33 1988b</t>
        </is>
      </c>
      <c r="E2235" t="inlineStr">
        <is>
          <t>0                      PR 0508000C  68                 R  33          1988b</t>
        </is>
      </c>
      <c r="F2235" t="inlineStr">
        <is>
          <t>Classical genres and English poetry / William H. Race.</t>
        </is>
      </c>
      <c r="H2235" t="inlineStr">
        <is>
          <t>No</t>
        </is>
      </c>
      <c r="I2235" t="inlineStr">
        <is>
          <t>1</t>
        </is>
      </c>
      <c r="J2235" t="inlineStr">
        <is>
          <t>No</t>
        </is>
      </c>
      <c r="K2235" t="inlineStr">
        <is>
          <t>No</t>
        </is>
      </c>
      <c r="L2235" t="inlineStr">
        <is>
          <t>0</t>
        </is>
      </c>
      <c r="M2235" t="inlineStr">
        <is>
          <t>Race, William H.</t>
        </is>
      </c>
      <c r="N2235" t="inlineStr">
        <is>
          <t>London : Croom Helm, c1988.</t>
        </is>
      </c>
      <c r="O2235" t="inlineStr">
        <is>
          <t>1988</t>
        </is>
      </c>
      <c r="Q2235" t="inlineStr">
        <is>
          <t>eng</t>
        </is>
      </c>
      <c r="R2235" t="inlineStr">
        <is>
          <t>enk</t>
        </is>
      </c>
      <c r="T2235" t="inlineStr">
        <is>
          <t xml:space="preserve">PR </t>
        </is>
      </c>
      <c r="U2235" t="n">
        <v>1</v>
      </c>
      <c r="V2235" t="n">
        <v>1</v>
      </c>
      <c r="W2235" t="inlineStr">
        <is>
          <t>1994-01-07</t>
        </is>
      </c>
      <c r="X2235" t="inlineStr">
        <is>
          <t>1994-01-07</t>
        </is>
      </c>
      <c r="Y2235" t="inlineStr">
        <is>
          <t>1991-09-04</t>
        </is>
      </c>
      <c r="Z2235" t="inlineStr">
        <is>
          <t>1991-09-04</t>
        </is>
      </c>
      <c r="AA2235" t="n">
        <v>291</v>
      </c>
      <c r="AB2235" t="n">
        <v>183</v>
      </c>
      <c r="AC2235" t="n">
        <v>207</v>
      </c>
      <c r="AD2235" t="n">
        <v>2</v>
      </c>
      <c r="AE2235" t="n">
        <v>2</v>
      </c>
      <c r="AF2235" t="n">
        <v>11</v>
      </c>
      <c r="AG2235" t="n">
        <v>11</v>
      </c>
      <c r="AH2235" t="n">
        <v>5</v>
      </c>
      <c r="AI2235" t="n">
        <v>5</v>
      </c>
      <c r="AJ2235" t="n">
        <v>3</v>
      </c>
      <c r="AK2235" t="n">
        <v>3</v>
      </c>
      <c r="AL2235" t="n">
        <v>8</v>
      </c>
      <c r="AM2235" t="n">
        <v>8</v>
      </c>
      <c r="AN2235" t="n">
        <v>1</v>
      </c>
      <c r="AO2235" t="n">
        <v>1</v>
      </c>
      <c r="AP2235" t="n">
        <v>0</v>
      </c>
      <c r="AQ2235" t="n">
        <v>0</v>
      </c>
      <c r="AR2235" t="inlineStr">
        <is>
          <t>No</t>
        </is>
      </c>
      <c r="AS2235" t="inlineStr">
        <is>
          <t>Yes</t>
        </is>
      </c>
      <c r="AT2235">
        <f>HYPERLINK("http://catalog.hathitrust.org/Record/000903290","HathiTrust Record")</f>
        <v/>
      </c>
      <c r="AU2235">
        <f>HYPERLINK("https://creighton-primo.hosted.exlibrisgroup.com/primo-explore/search?tab=default_tab&amp;search_scope=EVERYTHING&amp;vid=01CRU&amp;lang=en_US&amp;offset=0&amp;query=any,contains,991001136329702656","Catalog Record")</f>
        <v/>
      </c>
      <c r="AV2235">
        <f>HYPERLINK("http://www.worldcat.org/oclc/17300545","WorldCat Record")</f>
        <v/>
      </c>
      <c r="AW2235" t="inlineStr">
        <is>
          <t>118178816:eng</t>
        </is>
      </c>
      <c r="AX2235" t="inlineStr">
        <is>
          <t>17300545</t>
        </is>
      </c>
      <c r="AY2235" t="inlineStr">
        <is>
          <t>991001136329702656</t>
        </is>
      </c>
      <c r="AZ2235" t="inlineStr">
        <is>
          <t>991001136329702656</t>
        </is>
      </c>
      <c r="BA2235" t="inlineStr">
        <is>
          <t>2263796170002656</t>
        </is>
      </c>
      <c r="BB2235" t="inlineStr">
        <is>
          <t>BOOK</t>
        </is>
      </c>
      <c r="BD2235" t="inlineStr">
        <is>
          <t>9780709942726</t>
        </is>
      </c>
      <c r="BE2235" t="inlineStr">
        <is>
          <t>32285000735505</t>
        </is>
      </c>
      <c r="BF2235" t="inlineStr">
        <is>
          <t>893808955</t>
        </is>
      </c>
    </row>
    <row r="2236">
      <c r="A2236" t="inlineStr">
        <is>
          <t>No</t>
        </is>
      </c>
      <c r="B2236" t="inlineStr">
        <is>
          <t>CURAL</t>
        </is>
      </c>
      <c r="C2236" t="inlineStr">
        <is>
          <t>SHELVES</t>
        </is>
      </c>
      <c r="D2236" t="inlineStr">
        <is>
          <t>PR508.E5 P6</t>
        </is>
      </c>
      <c r="E2236" t="inlineStr">
        <is>
          <t>0                      PR 0508000E  5                  P  6</t>
        </is>
      </c>
      <c r="F2236" t="inlineStr">
        <is>
          <t>The elegiac mode; poetic form in Wordsworth and other elegists.</t>
        </is>
      </c>
      <c r="H2236" t="inlineStr">
        <is>
          <t>No</t>
        </is>
      </c>
      <c r="I2236" t="inlineStr">
        <is>
          <t>1</t>
        </is>
      </c>
      <c r="J2236" t="inlineStr">
        <is>
          <t>No</t>
        </is>
      </c>
      <c r="K2236" t="inlineStr">
        <is>
          <t>No</t>
        </is>
      </c>
      <c r="L2236" t="inlineStr">
        <is>
          <t>0</t>
        </is>
      </c>
      <c r="M2236" t="inlineStr">
        <is>
          <t>Potts, Abbie Findlay, 1884-1964.</t>
        </is>
      </c>
      <c r="N2236" t="inlineStr">
        <is>
          <t>Ithaca, N.Y., Cornell University Press [1967]</t>
        </is>
      </c>
      <c r="O2236" t="inlineStr">
        <is>
          <t>1967</t>
        </is>
      </c>
      <c r="Q2236" t="inlineStr">
        <is>
          <t>eng</t>
        </is>
      </c>
      <c r="R2236" t="inlineStr">
        <is>
          <t>nyu</t>
        </is>
      </c>
      <c r="T2236" t="inlineStr">
        <is>
          <t xml:space="preserve">PR </t>
        </is>
      </c>
      <c r="U2236" t="n">
        <v>2</v>
      </c>
      <c r="V2236" t="n">
        <v>2</v>
      </c>
      <c r="W2236" t="inlineStr">
        <is>
          <t>2002-04-20</t>
        </is>
      </c>
      <c r="X2236" t="inlineStr">
        <is>
          <t>2002-04-20</t>
        </is>
      </c>
      <c r="Y2236" t="inlineStr">
        <is>
          <t>1997-08-28</t>
        </is>
      </c>
      <c r="Z2236" t="inlineStr">
        <is>
          <t>1997-08-28</t>
        </is>
      </c>
      <c r="AA2236" t="n">
        <v>902</v>
      </c>
      <c r="AB2236" t="n">
        <v>784</v>
      </c>
      <c r="AC2236" t="n">
        <v>791</v>
      </c>
      <c r="AD2236" t="n">
        <v>7</v>
      </c>
      <c r="AE2236" t="n">
        <v>7</v>
      </c>
      <c r="AF2236" t="n">
        <v>42</v>
      </c>
      <c r="AG2236" t="n">
        <v>42</v>
      </c>
      <c r="AH2236" t="n">
        <v>16</v>
      </c>
      <c r="AI2236" t="n">
        <v>16</v>
      </c>
      <c r="AJ2236" t="n">
        <v>9</v>
      </c>
      <c r="AK2236" t="n">
        <v>9</v>
      </c>
      <c r="AL2236" t="n">
        <v>21</v>
      </c>
      <c r="AM2236" t="n">
        <v>21</v>
      </c>
      <c r="AN2236" t="n">
        <v>6</v>
      </c>
      <c r="AO2236" t="n">
        <v>6</v>
      </c>
      <c r="AP2236" t="n">
        <v>0</v>
      </c>
      <c r="AQ2236" t="n">
        <v>0</v>
      </c>
      <c r="AR2236" t="inlineStr">
        <is>
          <t>No</t>
        </is>
      </c>
      <c r="AS2236" t="inlineStr">
        <is>
          <t>Yes</t>
        </is>
      </c>
      <c r="AT2236">
        <f>HYPERLINK("http://catalog.hathitrust.org/Record/001371640","HathiTrust Record")</f>
        <v/>
      </c>
      <c r="AU2236">
        <f>HYPERLINK("https://creighton-primo.hosted.exlibrisgroup.com/primo-explore/search?tab=default_tab&amp;search_scope=EVERYTHING&amp;vid=01CRU&amp;lang=en_US&amp;offset=0&amp;query=any,contains,991002231839702656","Catalog Record")</f>
        <v/>
      </c>
      <c r="AV2236">
        <f>HYPERLINK("http://www.worldcat.org/oclc/294295","WorldCat Record")</f>
        <v/>
      </c>
      <c r="AW2236" t="inlineStr">
        <is>
          <t>422819686:eng</t>
        </is>
      </c>
      <c r="AX2236" t="inlineStr">
        <is>
          <t>294295</t>
        </is>
      </c>
      <c r="AY2236" t="inlineStr">
        <is>
          <t>991002231839702656</t>
        </is>
      </c>
      <c r="AZ2236" t="inlineStr">
        <is>
          <t>991002231839702656</t>
        </is>
      </c>
      <c r="BA2236" t="inlineStr">
        <is>
          <t>2268295280002656</t>
        </is>
      </c>
      <c r="BB2236" t="inlineStr">
        <is>
          <t>BOOK</t>
        </is>
      </c>
      <c r="BE2236" t="inlineStr">
        <is>
          <t>32285003153615</t>
        </is>
      </c>
      <c r="BF2236" t="inlineStr">
        <is>
          <t>893347262</t>
        </is>
      </c>
    </row>
    <row r="2237">
      <c r="A2237" t="inlineStr">
        <is>
          <t>No</t>
        </is>
      </c>
      <c r="B2237" t="inlineStr">
        <is>
          <t>CURAL</t>
        </is>
      </c>
      <c r="C2237" t="inlineStr">
        <is>
          <t>SHELVES</t>
        </is>
      </c>
      <c r="D2237" t="inlineStr">
        <is>
          <t>PR508.E8 S7</t>
        </is>
      </c>
      <c r="E2237" t="inlineStr">
        <is>
          <t>0                      PR 0508000E  8                  S  7</t>
        </is>
      </c>
      <c r="F2237" t="inlineStr">
        <is>
          <t>Darwin among the poets, Lionel Stevenson.</t>
        </is>
      </c>
      <c r="H2237" t="inlineStr">
        <is>
          <t>No</t>
        </is>
      </c>
      <c r="I2237" t="inlineStr">
        <is>
          <t>1</t>
        </is>
      </c>
      <c r="J2237" t="inlineStr">
        <is>
          <t>No</t>
        </is>
      </c>
      <c r="K2237" t="inlineStr">
        <is>
          <t>No</t>
        </is>
      </c>
      <c r="L2237" t="inlineStr">
        <is>
          <t>0</t>
        </is>
      </c>
      <c r="M2237" t="inlineStr">
        <is>
          <t>Stevenson, Lionel, 1902-1973.</t>
        </is>
      </c>
      <c r="N2237" t="inlineStr">
        <is>
          <t>Chicago, Ill., The University of Chicago press [c1932]</t>
        </is>
      </c>
      <c r="O2237" t="inlineStr">
        <is>
          <t>1932</t>
        </is>
      </c>
      <c r="Q2237" t="inlineStr">
        <is>
          <t>eng</t>
        </is>
      </c>
      <c r="R2237" t="inlineStr">
        <is>
          <t xml:space="preserve">xx </t>
        </is>
      </c>
      <c r="T2237" t="inlineStr">
        <is>
          <t xml:space="preserve">PR </t>
        </is>
      </c>
      <c r="U2237" t="n">
        <v>1</v>
      </c>
      <c r="V2237" t="n">
        <v>1</v>
      </c>
      <c r="W2237" t="inlineStr">
        <is>
          <t>2005-10-13</t>
        </is>
      </c>
      <c r="X2237" t="inlineStr">
        <is>
          <t>2005-10-13</t>
        </is>
      </c>
      <c r="Y2237" t="inlineStr">
        <is>
          <t>1997-09-02</t>
        </is>
      </c>
      <c r="Z2237" t="inlineStr">
        <is>
          <t>1997-09-02</t>
        </is>
      </c>
      <c r="AA2237" t="n">
        <v>189</v>
      </c>
      <c r="AB2237" t="n">
        <v>170</v>
      </c>
      <c r="AC2237" t="n">
        <v>699</v>
      </c>
      <c r="AD2237" t="n">
        <v>2</v>
      </c>
      <c r="AE2237" t="n">
        <v>5</v>
      </c>
      <c r="AF2237" t="n">
        <v>7</v>
      </c>
      <c r="AG2237" t="n">
        <v>37</v>
      </c>
      <c r="AH2237" t="n">
        <v>3</v>
      </c>
      <c r="AI2237" t="n">
        <v>18</v>
      </c>
      <c r="AJ2237" t="n">
        <v>1</v>
      </c>
      <c r="AK2237" t="n">
        <v>7</v>
      </c>
      <c r="AL2237" t="n">
        <v>5</v>
      </c>
      <c r="AM2237" t="n">
        <v>18</v>
      </c>
      <c r="AN2237" t="n">
        <v>1</v>
      </c>
      <c r="AO2237" t="n">
        <v>4</v>
      </c>
      <c r="AP2237" t="n">
        <v>0</v>
      </c>
      <c r="AQ2237" t="n">
        <v>0</v>
      </c>
      <c r="AR2237" t="inlineStr">
        <is>
          <t>No</t>
        </is>
      </c>
      <c r="AS2237" t="inlineStr">
        <is>
          <t>No</t>
        </is>
      </c>
      <c r="AU2237">
        <f>HYPERLINK("https://creighton-primo.hosted.exlibrisgroup.com/primo-explore/search?tab=default_tab&amp;search_scope=EVERYTHING&amp;vid=01CRU&amp;lang=en_US&amp;offset=0&amp;query=any,contains,991004290569702656","Catalog Record")</f>
        <v/>
      </c>
      <c r="AV2237">
        <f>HYPERLINK("http://www.worldcat.org/oclc/2943501","WorldCat Record")</f>
        <v/>
      </c>
      <c r="AW2237" t="inlineStr">
        <is>
          <t>1382741:eng</t>
        </is>
      </c>
      <c r="AX2237" t="inlineStr">
        <is>
          <t>2943501</t>
        </is>
      </c>
      <c r="AY2237" t="inlineStr">
        <is>
          <t>991004290569702656</t>
        </is>
      </c>
      <c r="AZ2237" t="inlineStr">
        <is>
          <t>991004290569702656</t>
        </is>
      </c>
      <c r="BA2237" t="inlineStr">
        <is>
          <t>2264923950002656</t>
        </is>
      </c>
      <c r="BB2237" t="inlineStr">
        <is>
          <t>BOOK</t>
        </is>
      </c>
      <c r="BE2237" t="inlineStr">
        <is>
          <t>32285003161907</t>
        </is>
      </c>
      <c r="BF2237" t="inlineStr">
        <is>
          <t>893700058</t>
        </is>
      </c>
    </row>
    <row r="2238">
      <c r="A2238" t="inlineStr">
        <is>
          <t>No</t>
        </is>
      </c>
      <c r="B2238" t="inlineStr">
        <is>
          <t>CURAL</t>
        </is>
      </c>
      <c r="C2238" t="inlineStr">
        <is>
          <t>SHELVES</t>
        </is>
      </c>
      <c r="D2238" t="inlineStr">
        <is>
          <t>PR508.J4 K7</t>
        </is>
      </c>
      <c r="E2238" t="inlineStr">
        <is>
          <t>0                      PR 0508000J  4                  K  7</t>
        </is>
      </c>
      <c r="F2238" t="inlineStr">
        <is>
          <t>The imagination of the resurrection: the poetic continuity of a religious motif in Donne, Blake, and Yeats / [by] Kathryn R. Kremen.</t>
        </is>
      </c>
      <c r="H2238" t="inlineStr">
        <is>
          <t>No</t>
        </is>
      </c>
      <c r="I2238" t="inlineStr">
        <is>
          <t>1</t>
        </is>
      </c>
      <c r="J2238" t="inlineStr">
        <is>
          <t>No</t>
        </is>
      </c>
      <c r="K2238" t="inlineStr">
        <is>
          <t>No</t>
        </is>
      </c>
      <c r="L2238" t="inlineStr">
        <is>
          <t>0</t>
        </is>
      </c>
      <c r="M2238" t="inlineStr">
        <is>
          <t>Kremen, Kathryn R. (Kathryn Rebecca), 1943-</t>
        </is>
      </c>
      <c r="N2238" t="inlineStr">
        <is>
          <t>Lewisburg [Pa.] : Bucknell University Press, 1972.</t>
        </is>
      </c>
      <c r="O2238" t="inlineStr">
        <is>
          <t>1972</t>
        </is>
      </c>
      <c r="Q2238" t="inlineStr">
        <is>
          <t>eng</t>
        </is>
      </c>
      <c r="R2238" t="inlineStr">
        <is>
          <t>pau</t>
        </is>
      </c>
      <c r="T2238" t="inlineStr">
        <is>
          <t xml:space="preserve">PR </t>
        </is>
      </c>
      <c r="U2238" t="n">
        <v>5</v>
      </c>
      <c r="V2238" t="n">
        <v>5</v>
      </c>
      <c r="W2238" t="inlineStr">
        <is>
          <t>1997-12-01</t>
        </is>
      </c>
      <c r="X2238" t="inlineStr">
        <is>
          <t>1997-12-01</t>
        </is>
      </c>
      <c r="Y2238" t="inlineStr">
        <is>
          <t>1990-02-02</t>
        </is>
      </c>
      <c r="Z2238" t="inlineStr">
        <is>
          <t>1990-02-02</t>
        </is>
      </c>
      <c r="AA2238" t="n">
        <v>571</v>
      </c>
      <c r="AB2238" t="n">
        <v>478</v>
      </c>
      <c r="AC2238" t="n">
        <v>486</v>
      </c>
      <c r="AD2238" t="n">
        <v>5</v>
      </c>
      <c r="AE2238" t="n">
        <v>5</v>
      </c>
      <c r="AF2238" t="n">
        <v>25</v>
      </c>
      <c r="AG2238" t="n">
        <v>26</v>
      </c>
      <c r="AH2238" t="n">
        <v>8</v>
      </c>
      <c r="AI2238" t="n">
        <v>8</v>
      </c>
      <c r="AJ2238" t="n">
        <v>5</v>
      </c>
      <c r="AK2238" t="n">
        <v>6</v>
      </c>
      <c r="AL2238" t="n">
        <v>15</v>
      </c>
      <c r="AM2238" t="n">
        <v>16</v>
      </c>
      <c r="AN2238" t="n">
        <v>4</v>
      </c>
      <c r="AO2238" t="n">
        <v>4</v>
      </c>
      <c r="AP2238" t="n">
        <v>0</v>
      </c>
      <c r="AQ2238" t="n">
        <v>0</v>
      </c>
      <c r="AR2238" t="inlineStr">
        <is>
          <t>No</t>
        </is>
      </c>
      <c r="AS2238" t="inlineStr">
        <is>
          <t>Yes</t>
        </is>
      </c>
      <c r="AT2238">
        <f>HYPERLINK("http://catalog.hathitrust.org/Record/001370957","HathiTrust Record")</f>
        <v/>
      </c>
      <c r="AU2238">
        <f>HYPERLINK("https://creighton-primo.hosted.exlibrisgroup.com/primo-explore/search?tab=default_tab&amp;search_scope=EVERYTHING&amp;vid=01CRU&amp;lang=en_US&amp;offset=0&amp;query=any,contains,991001905279702656","Catalog Record")</f>
        <v/>
      </c>
      <c r="AV2238">
        <f>HYPERLINK("http://www.worldcat.org/oclc/240225","WorldCat Record")</f>
        <v/>
      </c>
      <c r="AW2238" t="inlineStr">
        <is>
          <t>200973111:eng</t>
        </is>
      </c>
      <c r="AX2238" t="inlineStr">
        <is>
          <t>240225</t>
        </is>
      </c>
      <c r="AY2238" t="inlineStr">
        <is>
          <t>991001905279702656</t>
        </is>
      </c>
      <c r="AZ2238" t="inlineStr">
        <is>
          <t>991001905279702656</t>
        </is>
      </c>
      <c r="BA2238" t="inlineStr">
        <is>
          <t>2272267150002656</t>
        </is>
      </c>
      <c r="BB2238" t="inlineStr">
        <is>
          <t>BOOK</t>
        </is>
      </c>
      <c r="BD2238" t="inlineStr">
        <is>
          <t>9780838779408</t>
        </is>
      </c>
      <c r="BE2238" t="inlineStr">
        <is>
          <t>32285000032325</t>
        </is>
      </c>
      <c r="BF2238" t="inlineStr">
        <is>
          <t>893256614</t>
        </is>
      </c>
    </row>
    <row r="2239">
      <c r="A2239" t="inlineStr">
        <is>
          <t>No</t>
        </is>
      </c>
      <c r="B2239" t="inlineStr">
        <is>
          <t>CURAL</t>
        </is>
      </c>
      <c r="C2239" t="inlineStr">
        <is>
          <t>SHELVES</t>
        </is>
      </c>
      <c r="D2239" t="inlineStr">
        <is>
          <t>PR508.L3 P3</t>
        </is>
      </c>
      <c r="E2239" t="inlineStr">
        <is>
          <t>0                      PR 0508000L  3                  P  3</t>
        </is>
      </c>
      <c r="F2239" t="inlineStr">
        <is>
          <t>The language of Renaissance poetry : Spenser, Shakespeare, Donne, Milton / [by] A. C. Partridge.</t>
        </is>
      </c>
      <c r="H2239" t="inlineStr">
        <is>
          <t>No</t>
        </is>
      </c>
      <c r="I2239" t="inlineStr">
        <is>
          <t>1</t>
        </is>
      </c>
      <c r="J2239" t="inlineStr">
        <is>
          <t>No</t>
        </is>
      </c>
      <c r="K2239" t="inlineStr">
        <is>
          <t>No</t>
        </is>
      </c>
      <c r="L2239" t="inlineStr">
        <is>
          <t>0</t>
        </is>
      </c>
      <c r="M2239" t="inlineStr">
        <is>
          <t>Partridge, A. C. (Astley Cooper)</t>
        </is>
      </c>
      <c r="N2239" t="inlineStr">
        <is>
          <t>London : Deutsch, 1971.</t>
        </is>
      </c>
      <c r="O2239" t="inlineStr">
        <is>
          <t>1971</t>
        </is>
      </c>
      <c r="Q2239" t="inlineStr">
        <is>
          <t>eng</t>
        </is>
      </c>
      <c r="R2239" t="inlineStr">
        <is>
          <t>enk</t>
        </is>
      </c>
      <c r="S2239" t="inlineStr">
        <is>
          <t>The Language library</t>
        </is>
      </c>
      <c r="T2239" t="inlineStr">
        <is>
          <t xml:space="preserve">PR </t>
        </is>
      </c>
      <c r="U2239" t="n">
        <v>2</v>
      </c>
      <c r="V2239" t="n">
        <v>2</v>
      </c>
      <c r="W2239" t="inlineStr">
        <is>
          <t>2003-04-08</t>
        </is>
      </c>
      <c r="X2239" t="inlineStr">
        <is>
          <t>2003-04-08</t>
        </is>
      </c>
      <c r="Y2239" t="inlineStr">
        <is>
          <t>1991-09-04</t>
        </is>
      </c>
      <c r="Z2239" t="inlineStr">
        <is>
          <t>1991-09-04</t>
        </is>
      </c>
      <c r="AA2239" t="n">
        <v>702</v>
      </c>
      <c r="AB2239" t="n">
        <v>478</v>
      </c>
      <c r="AC2239" t="n">
        <v>483</v>
      </c>
      <c r="AD2239" t="n">
        <v>3</v>
      </c>
      <c r="AE2239" t="n">
        <v>3</v>
      </c>
      <c r="AF2239" t="n">
        <v>26</v>
      </c>
      <c r="AG2239" t="n">
        <v>26</v>
      </c>
      <c r="AH2239" t="n">
        <v>10</v>
      </c>
      <c r="AI2239" t="n">
        <v>10</v>
      </c>
      <c r="AJ2239" t="n">
        <v>5</v>
      </c>
      <c r="AK2239" t="n">
        <v>5</v>
      </c>
      <c r="AL2239" t="n">
        <v>15</v>
      </c>
      <c r="AM2239" t="n">
        <v>15</v>
      </c>
      <c r="AN2239" t="n">
        <v>2</v>
      </c>
      <c r="AO2239" t="n">
        <v>2</v>
      </c>
      <c r="AP2239" t="n">
        <v>0</v>
      </c>
      <c r="AQ2239" t="n">
        <v>0</v>
      </c>
      <c r="AR2239" t="inlineStr">
        <is>
          <t>No</t>
        </is>
      </c>
      <c r="AS2239" t="inlineStr">
        <is>
          <t>No</t>
        </is>
      </c>
      <c r="AU2239">
        <f>HYPERLINK("https://creighton-primo.hosted.exlibrisgroup.com/primo-explore/search?tab=default_tab&amp;search_scope=EVERYTHING&amp;vid=01CRU&amp;lang=en_US&amp;offset=0&amp;query=any,contains,991002228439702656","Catalog Record")</f>
        <v/>
      </c>
      <c r="AV2239">
        <f>HYPERLINK("http://www.worldcat.org/oclc/292813","WorldCat Record")</f>
        <v/>
      </c>
      <c r="AW2239" t="inlineStr">
        <is>
          <t>1480863:eng</t>
        </is>
      </c>
      <c r="AX2239" t="inlineStr">
        <is>
          <t>292813</t>
        </is>
      </c>
      <c r="AY2239" t="inlineStr">
        <is>
          <t>991002228439702656</t>
        </is>
      </c>
      <c r="AZ2239" t="inlineStr">
        <is>
          <t>991002228439702656</t>
        </is>
      </c>
      <c r="BA2239" t="inlineStr">
        <is>
          <t>2267607900002656</t>
        </is>
      </c>
      <c r="BB2239" t="inlineStr">
        <is>
          <t>BOOK</t>
        </is>
      </c>
      <c r="BD2239" t="inlineStr">
        <is>
          <t>9780233962849</t>
        </is>
      </c>
      <c r="BE2239" t="inlineStr">
        <is>
          <t>32285000735521</t>
        </is>
      </c>
      <c r="BF2239" t="inlineStr">
        <is>
          <t>893615867</t>
        </is>
      </c>
    </row>
    <row r="2240">
      <c r="A2240" t="inlineStr">
        <is>
          <t>No</t>
        </is>
      </c>
      <c r="B2240" t="inlineStr">
        <is>
          <t>CURAL</t>
        </is>
      </c>
      <c r="C2240" t="inlineStr">
        <is>
          <t>SHELVES</t>
        </is>
      </c>
      <c r="D2240" t="inlineStr">
        <is>
          <t>PR508.M35 G74 1999</t>
        </is>
      </c>
      <c r="E2240" t="inlineStr">
        <is>
          <t>0                      PR 0508000M  35                 G  74          1999</t>
        </is>
      </c>
      <c r="F2240" t="inlineStr">
        <is>
          <t>The male image : representations of masculinity in postwar poetry / Ian Gregson.</t>
        </is>
      </c>
      <c r="H2240" t="inlineStr">
        <is>
          <t>No</t>
        </is>
      </c>
      <c r="I2240" t="inlineStr">
        <is>
          <t>1</t>
        </is>
      </c>
      <c r="J2240" t="inlineStr">
        <is>
          <t>No</t>
        </is>
      </c>
      <c r="K2240" t="inlineStr">
        <is>
          <t>No</t>
        </is>
      </c>
      <c r="L2240" t="inlineStr">
        <is>
          <t>0</t>
        </is>
      </c>
      <c r="M2240" t="inlineStr">
        <is>
          <t>Gregson, Ian.</t>
        </is>
      </c>
      <c r="N2240" t="inlineStr">
        <is>
          <t>New York : St. Martin's Press, 1999.</t>
        </is>
      </c>
      <c r="O2240" t="inlineStr">
        <is>
          <t>1999</t>
        </is>
      </c>
      <c r="Q2240" t="inlineStr">
        <is>
          <t>eng</t>
        </is>
      </c>
      <c r="R2240" t="inlineStr">
        <is>
          <t>nyu</t>
        </is>
      </c>
      <c r="T2240" t="inlineStr">
        <is>
          <t xml:space="preserve">PR </t>
        </is>
      </c>
      <c r="U2240" t="n">
        <v>1</v>
      </c>
      <c r="V2240" t="n">
        <v>1</v>
      </c>
      <c r="W2240" t="inlineStr">
        <is>
          <t>2001-08-02</t>
        </is>
      </c>
      <c r="X2240" t="inlineStr">
        <is>
          <t>2001-08-02</t>
        </is>
      </c>
      <c r="Y2240" t="inlineStr">
        <is>
          <t>2001-08-01</t>
        </is>
      </c>
      <c r="Z2240" t="inlineStr">
        <is>
          <t>2001-08-01</t>
        </is>
      </c>
      <c r="AA2240" t="n">
        <v>313</v>
      </c>
      <c r="AB2240" t="n">
        <v>233</v>
      </c>
      <c r="AC2240" t="n">
        <v>239</v>
      </c>
      <c r="AD2240" t="n">
        <v>3</v>
      </c>
      <c r="AE2240" t="n">
        <v>3</v>
      </c>
      <c r="AF2240" t="n">
        <v>15</v>
      </c>
      <c r="AG2240" t="n">
        <v>15</v>
      </c>
      <c r="AH2240" t="n">
        <v>3</v>
      </c>
      <c r="AI2240" t="n">
        <v>3</v>
      </c>
      <c r="AJ2240" t="n">
        <v>5</v>
      </c>
      <c r="AK2240" t="n">
        <v>5</v>
      </c>
      <c r="AL2240" t="n">
        <v>9</v>
      </c>
      <c r="AM2240" t="n">
        <v>9</v>
      </c>
      <c r="AN2240" t="n">
        <v>2</v>
      </c>
      <c r="AO2240" t="n">
        <v>2</v>
      </c>
      <c r="AP2240" t="n">
        <v>0</v>
      </c>
      <c r="AQ2240" t="n">
        <v>0</v>
      </c>
      <c r="AR2240" t="inlineStr">
        <is>
          <t>No</t>
        </is>
      </c>
      <c r="AS2240" t="inlineStr">
        <is>
          <t>No</t>
        </is>
      </c>
      <c r="AU2240">
        <f>HYPERLINK("https://creighton-primo.hosted.exlibrisgroup.com/primo-explore/search?tab=default_tab&amp;search_scope=EVERYTHING&amp;vid=01CRU&amp;lang=en_US&amp;offset=0&amp;query=any,contains,991003592449702656","Catalog Record")</f>
        <v/>
      </c>
      <c r="AV2240">
        <f>HYPERLINK("http://www.worldcat.org/oclc/40675054","WorldCat Record")</f>
        <v/>
      </c>
      <c r="AW2240" t="inlineStr">
        <is>
          <t>20814377:eng</t>
        </is>
      </c>
      <c r="AX2240" t="inlineStr">
        <is>
          <t>40675054</t>
        </is>
      </c>
      <c r="AY2240" t="inlineStr">
        <is>
          <t>991003592449702656</t>
        </is>
      </c>
      <c r="AZ2240" t="inlineStr">
        <is>
          <t>991003592449702656</t>
        </is>
      </c>
      <c r="BA2240" t="inlineStr">
        <is>
          <t>2260367920002656</t>
        </is>
      </c>
      <c r="BB2240" t="inlineStr">
        <is>
          <t>BOOK</t>
        </is>
      </c>
      <c r="BD2240" t="inlineStr">
        <is>
          <t>9780312222468</t>
        </is>
      </c>
      <c r="BE2240" t="inlineStr">
        <is>
          <t>32285004375514</t>
        </is>
      </c>
      <c r="BF2240" t="inlineStr">
        <is>
          <t>893887641</t>
        </is>
      </c>
    </row>
    <row r="2241">
      <c r="A2241" t="inlineStr">
        <is>
          <t>No</t>
        </is>
      </c>
      <c r="B2241" t="inlineStr">
        <is>
          <t>CURAL</t>
        </is>
      </c>
      <c r="C2241" t="inlineStr">
        <is>
          <t>SHELVES</t>
        </is>
      </c>
      <c r="D2241" t="inlineStr">
        <is>
          <t>PR508.M4 S5</t>
        </is>
      </c>
      <c r="E2241" t="inlineStr">
        <is>
          <t>0                      PR 0508000M  4                  S  5</t>
        </is>
      </c>
      <c r="F2241" t="inlineStr">
        <is>
          <t>The gloomy egoist; moods and themes of melancholy from Gray to Keats, by Eleanor M. Sickels ...</t>
        </is>
      </c>
      <c r="H2241" t="inlineStr">
        <is>
          <t>No</t>
        </is>
      </c>
      <c r="I2241" t="inlineStr">
        <is>
          <t>1</t>
        </is>
      </c>
      <c r="J2241" t="inlineStr">
        <is>
          <t>No</t>
        </is>
      </c>
      <c r="K2241" t="inlineStr">
        <is>
          <t>No</t>
        </is>
      </c>
      <c r="L2241" t="inlineStr">
        <is>
          <t>0</t>
        </is>
      </c>
      <c r="M2241" t="inlineStr">
        <is>
          <t>Sickels, Eleanor M., 1894-1976.</t>
        </is>
      </c>
      <c r="N2241" t="inlineStr">
        <is>
          <t>New York, Columbia University Press, 1932.</t>
        </is>
      </c>
      <c r="O2241" t="inlineStr">
        <is>
          <t>1932</t>
        </is>
      </c>
      <c r="Q2241" t="inlineStr">
        <is>
          <t>eng</t>
        </is>
      </c>
      <c r="R2241" t="inlineStr">
        <is>
          <t>nyu</t>
        </is>
      </c>
      <c r="S2241" t="inlineStr">
        <is>
          <t>Columbia University studies in English and comparative literature</t>
        </is>
      </c>
      <c r="T2241" t="inlineStr">
        <is>
          <t xml:space="preserve">PR </t>
        </is>
      </c>
      <c r="U2241" t="n">
        <v>1</v>
      </c>
      <c r="V2241" t="n">
        <v>1</v>
      </c>
      <c r="W2241" t="inlineStr">
        <is>
          <t>2001-04-09</t>
        </is>
      </c>
      <c r="X2241" t="inlineStr">
        <is>
          <t>2001-04-09</t>
        </is>
      </c>
      <c r="Y2241" t="inlineStr">
        <is>
          <t>1997-08-28</t>
        </is>
      </c>
      <c r="Z2241" t="inlineStr">
        <is>
          <t>1997-08-28</t>
        </is>
      </c>
      <c r="AA2241" t="n">
        <v>242</v>
      </c>
      <c r="AB2241" t="n">
        <v>211</v>
      </c>
      <c r="AC2241" t="n">
        <v>457</v>
      </c>
      <c r="AD2241" t="n">
        <v>3</v>
      </c>
      <c r="AE2241" t="n">
        <v>4</v>
      </c>
      <c r="AF2241" t="n">
        <v>13</v>
      </c>
      <c r="AG2241" t="n">
        <v>26</v>
      </c>
      <c r="AH2241" t="n">
        <v>3</v>
      </c>
      <c r="AI2241" t="n">
        <v>9</v>
      </c>
      <c r="AJ2241" t="n">
        <v>3</v>
      </c>
      <c r="AK2241" t="n">
        <v>6</v>
      </c>
      <c r="AL2241" t="n">
        <v>7</v>
      </c>
      <c r="AM2241" t="n">
        <v>13</v>
      </c>
      <c r="AN2241" t="n">
        <v>2</v>
      </c>
      <c r="AO2241" t="n">
        <v>3</v>
      </c>
      <c r="AP2241" t="n">
        <v>0</v>
      </c>
      <c r="AQ2241" t="n">
        <v>0</v>
      </c>
      <c r="AR2241" t="inlineStr">
        <is>
          <t>No</t>
        </is>
      </c>
      <c r="AS2241" t="inlineStr">
        <is>
          <t>Yes</t>
        </is>
      </c>
      <c r="AT2241">
        <f>HYPERLINK("http://catalog.hathitrust.org/Record/001016459","HathiTrust Record")</f>
        <v/>
      </c>
      <c r="AU2241">
        <f>HYPERLINK("https://creighton-primo.hosted.exlibrisgroup.com/primo-explore/search?tab=default_tab&amp;search_scope=EVERYTHING&amp;vid=01CRU&amp;lang=en_US&amp;offset=0&amp;query=any,contains,991003497009702656","Catalog Record")</f>
        <v/>
      </c>
      <c r="AV2241">
        <f>HYPERLINK("http://www.worldcat.org/oclc/56659315","WorldCat Record")</f>
        <v/>
      </c>
      <c r="AW2241" t="inlineStr">
        <is>
          <t>1140535:eng</t>
        </is>
      </c>
      <c r="AX2241" t="inlineStr">
        <is>
          <t>56659315</t>
        </is>
      </c>
      <c r="AY2241" t="inlineStr">
        <is>
          <t>991003497009702656</t>
        </is>
      </c>
      <c r="AZ2241" t="inlineStr">
        <is>
          <t>991003497009702656</t>
        </is>
      </c>
      <c r="BA2241" t="inlineStr">
        <is>
          <t>2267604910002656</t>
        </is>
      </c>
      <c r="BB2241" t="inlineStr">
        <is>
          <t>BOOK</t>
        </is>
      </c>
      <c r="BE2241" t="inlineStr">
        <is>
          <t>32285003153649</t>
        </is>
      </c>
      <c r="BF2241" t="inlineStr">
        <is>
          <t>893868472</t>
        </is>
      </c>
    </row>
    <row r="2242">
      <c r="A2242" t="inlineStr">
        <is>
          <t>No</t>
        </is>
      </c>
      <c r="B2242" t="inlineStr">
        <is>
          <t>CURAL</t>
        </is>
      </c>
      <c r="C2242" t="inlineStr">
        <is>
          <t>SHELVES</t>
        </is>
      </c>
      <c r="D2242" t="inlineStr">
        <is>
          <t>PR508.M9 B8 1963</t>
        </is>
      </c>
      <c r="E2242" t="inlineStr">
        <is>
          <t>0                      PR 0508000M  9                  B  8           1963</t>
        </is>
      </c>
      <c r="F2242" t="inlineStr">
        <is>
          <t>Mythology and the Renaissance tradition in English poetry.</t>
        </is>
      </c>
      <c r="H2242" t="inlineStr">
        <is>
          <t>No</t>
        </is>
      </c>
      <c r="I2242" t="inlineStr">
        <is>
          <t>1</t>
        </is>
      </c>
      <c r="J2242" t="inlineStr">
        <is>
          <t>No</t>
        </is>
      </c>
      <c r="K2242" t="inlineStr">
        <is>
          <t>No</t>
        </is>
      </c>
      <c r="L2242" t="inlineStr">
        <is>
          <t>0</t>
        </is>
      </c>
      <c r="M2242" t="inlineStr">
        <is>
          <t>Bush, Douglas, 1896-1983.</t>
        </is>
      </c>
      <c r="N2242" t="inlineStr">
        <is>
          <t>New York : W. W. Norton, [1963]</t>
        </is>
      </c>
      <c r="O2242" t="inlineStr">
        <is>
          <t>1963</t>
        </is>
      </c>
      <c r="P2242" t="inlineStr">
        <is>
          <t>New rev. ed.</t>
        </is>
      </c>
      <c r="Q2242" t="inlineStr">
        <is>
          <t>eng</t>
        </is>
      </c>
      <c r="R2242" t="inlineStr">
        <is>
          <t>nyu</t>
        </is>
      </c>
      <c r="T2242" t="inlineStr">
        <is>
          <t xml:space="preserve">PR </t>
        </is>
      </c>
      <c r="U2242" t="n">
        <v>4</v>
      </c>
      <c r="V2242" t="n">
        <v>4</v>
      </c>
      <c r="W2242" t="inlineStr">
        <is>
          <t>2001-10-31</t>
        </is>
      </c>
      <c r="X2242" t="inlineStr">
        <is>
          <t>2001-10-31</t>
        </is>
      </c>
      <c r="Y2242" t="inlineStr">
        <is>
          <t>1991-09-04</t>
        </is>
      </c>
      <c r="Z2242" t="inlineStr">
        <is>
          <t>1991-09-04</t>
        </is>
      </c>
      <c r="AA2242" t="n">
        <v>1020</v>
      </c>
      <c r="AB2242" t="n">
        <v>904</v>
      </c>
      <c r="AC2242" t="n">
        <v>1315</v>
      </c>
      <c r="AD2242" t="n">
        <v>4</v>
      </c>
      <c r="AE2242" t="n">
        <v>11</v>
      </c>
      <c r="AF2242" t="n">
        <v>32</v>
      </c>
      <c r="AG2242" t="n">
        <v>52</v>
      </c>
      <c r="AH2242" t="n">
        <v>13</v>
      </c>
      <c r="AI2242" t="n">
        <v>22</v>
      </c>
      <c r="AJ2242" t="n">
        <v>5</v>
      </c>
      <c r="AK2242" t="n">
        <v>9</v>
      </c>
      <c r="AL2242" t="n">
        <v>18</v>
      </c>
      <c r="AM2242" t="n">
        <v>23</v>
      </c>
      <c r="AN2242" t="n">
        <v>3</v>
      </c>
      <c r="AO2242" t="n">
        <v>10</v>
      </c>
      <c r="AP2242" t="n">
        <v>0</v>
      </c>
      <c r="AQ2242" t="n">
        <v>0</v>
      </c>
      <c r="AR2242" t="inlineStr">
        <is>
          <t>No</t>
        </is>
      </c>
      <c r="AS2242" t="inlineStr">
        <is>
          <t>No</t>
        </is>
      </c>
      <c r="AT2242">
        <f>HYPERLINK("http://catalog.hathitrust.org/Record/001371397","HathiTrust Record")</f>
        <v/>
      </c>
      <c r="AU2242">
        <f>HYPERLINK("https://creighton-primo.hosted.exlibrisgroup.com/primo-explore/search?tab=default_tab&amp;search_scope=EVERYTHING&amp;vid=01CRU&amp;lang=en_US&amp;offset=0&amp;query=any,contains,991002440969702656","Catalog Record")</f>
        <v/>
      </c>
      <c r="AV2242">
        <f>HYPERLINK("http://www.worldcat.org/oclc/350101","WorldCat Record")</f>
        <v/>
      </c>
      <c r="AW2242" t="inlineStr">
        <is>
          <t>3855259315:eng</t>
        </is>
      </c>
      <c r="AX2242" t="inlineStr">
        <is>
          <t>350101</t>
        </is>
      </c>
      <c r="AY2242" t="inlineStr">
        <is>
          <t>991002440969702656</t>
        </is>
      </c>
      <c r="AZ2242" t="inlineStr">
        <is>
          <t>991002440969702656</t>
        </is>
      </c>
      <c r="BA2242" t="inlineStr">
        <is>
          <t>2268369160002656</t>
        </is>
      </c>
      <c r="BB2242" t="inlineStr">
        <is>
          <t>BOOK</t>
        </is>
      </c>
      <c r="BE2242" t="inlineStr">
        <is>
          <t>32285000735547</t>
        </is>
      </c>
      <c r="BF2242" t="inlineStr">
        <is>
          <t>893798596</t>
        </is>
      </c>
    </row>
    <row r="2243">
      <c r="A2243" t="inlineStr">
        <is>
          <t>No</t>
        </is>
      </c>
      <c r="B2243" t="inlineStr">
        <is>
          <t>CURAL</t>
        </is>
      </c>
      <c r="C2243" t="inlineStr">
        <is>
          <t>SHELVES</t>
        </is>
      </c>
      <c r="D2243" t="inlineStr">
        <is>
          <t>PR508.M9 F4</t>
        </is>
      </c>
      <c r="E2243" t="inlineStr">
        <is>
          <t>0                      PR 0508000M  9                  F  4</t>
        </is>
      </c>
      <c r="F2243" t="inlineStr">
        <is>
          <t>Ancient myth in modern poetry.</t>
        </is>
      </c>
      <c r="H2243" t="inlineStr">
        <is>
          <t>No</t>
        </is>
      </c>
      <c r="I2243" t="inlineStr">
        <is>
          <t>1</t>
        </is>
      </c>
      <c r="J2243" t="inlineStr">
        <is>
          <t>No</t>
        </is>
      </c>
      <c r="K2243" t="inlineStr">
        <is>
          <t>No</t>
        </is>
      </c>
      <c r="L2243" t="inlineStr">
        <is>
          <t>0</t>
        </is>
      </c>
      <c r="M2243" t="inlineStr">
        <is>
          <t>Feder, Lillian.</t>
        </is>
      </c>
      <c r="N2243" t="inlineStr">
        <is>
          <t>Princeton, N.J. : Princeton University Press, 1971 [i.e. 1972]</t>
        </is>
      </c>
      <c r="O2243" t="inlineStr">
        <is>
          <t>1972</t>
        </is>
      </c>
      <c r="Q2243" t="inlineStr">
        <is>
          <t>eng</t>
        </is>
      </c>
      <c r="R2243" t="inlineStr">
        <is>
          <t>nju</t>
        </is>
      </c>
      <c r="T2243" t="inlineStr">
        <is>
          <t xml:space="preserve">PR </t>
        </is>
      </c>
      <c r="U2243" t="n">
        <v>4</v>
      </c>
      <c r="V2243" t="n">
        <v>4</v>
      </c>
      <c r="W2243" t="inlineStr">
        <is>
          <t>2009-03-10</t>
        </is>
      </c>
      <c r="X2243" t="inlineStr">
        <is>
          <t>2009-03-10</t>
        </is>
      </c>
      <c r="Y2243" t="inlineStr">
        <is>
          <t>1991-09-04</t>
        </is>
      </c>
      <c r="Z2243" t="inlineStr">
        <is>
          <t>1991-09-04</t>
        </is>
      </c>
      <c r="AA2243" t="n">
        <v>1056</v>
      </c>
      <c r="AB2243" t="n">
        <v>966</v>
      </c>
      <c r="AC2243" t="n">
        <v>966</v>
      </c>
      <c r="AD2243" t="n">
        <v>6</v>
      </c>
      <c r="AE2243" t="n">
        <v>6</v>
      </c>
      <c r="AF2243" t="n">
        <v>38</v>
      </c>
      <c r="AG2243" t="n">
        <v>38</v>
      </c>
      <c r="AH2243" t="n">
        <v>13</v>
      </c>
      <c r="AI2243" t="n">
        <v>13</v>
      </c>
      <c r="AJ2243" t="n">
        <v>10</v>
      </c>
      <c r="AK2243" t="n">
        <v>10</v>
      </c>
      <c r="AL2243" t="n">
        <v>19</v>
      </c>
      <c r="AM2243" t="n">
        <v>19</v>
      </c>
      <c r="AN2243" t="n">
        <v>5</v>
      </c>
      <c r="AO2243" t="n">
        <v>5</v>
      </c>
      <c r="AP2243" t="n">
        <v>0</v>
      </c>
      <c r="AQ2243" t="n">
        <v>0</v>
      </c>
      <c r="AR2243" t="inlineStr">
        <is>
          <t>No</t>
        </is>
      </c>
      <c r="AS2243" t="inlineStr">
        <is>
          <t>No</t>
        </is>
      </c>
      <c r="AU2243">
        <f>HYPERLINK("https://creighton-primo.hosted.exlibrisgroup.com/primo-explore/search?tab=default_tab&amp;search_scope=EVERYTHING&amp;vid=01CRU&amp;lang=en_US&amp;offset=0&amp;query=any,contains,991001576899702656","Catalog Record")</f>
        <v/>
      </c>
      <c r="AV2243">
        <f>HYPERLINK("http://www.worldcat.org/oclc/232894","WorldCat Record")</f>
        <v/>
      </c>
      <c r="AW2243" t="inlineStr">
        <is>
          <t>5610471189:eng</t>
        </is>
      </c>
      <c r="AX2243" t="inlineStr">
        <is>
          <t>232894</t>
        </is>
      </c>
      <c r="AY2243" t="inlineStr">
        <is>
          <t>991001576899702656</t>
        </is>
      </c>
      <c r="AZ2243" t="inlineStr">
        <is>
          <t>991001576899702656</t>
        </is>
      </c>
      <c r="BA2243" t="inlineStr">
        <is>
          <t>2258666880002656</t>
        </is>
      </c>
      <c r="BB2243" t="inlineStr">
        <is>
          <t>BOOK</t>
        </is>
      </c>
      <c r="BD2243" t="inlineStr">
        <is>
          <t>9780691062075</t>
        </is>
      </c>
      <c r="BE2243" t="inlineStr">
        <is>
          <t>32285000735554</t>
        </is>
      </c>
      <c r="BF2243" t="inlineStr">
        <is>
          <t>893721055</t>
        </is>
      </c>
    </row>
    <row r="2244">
      <c r="A2244" t="inlineStr">
        <is>
          <t>No</t>
        </is>
      </c>
      <c r="B2244" t="inlineStr">
        <is>
          <t>CURAL</t>
        </is>
      </c>
      <c r="C2244" t="inlineStr">
        <is>
          <t>SHELVES</t>
        </is>
      </c>
      <c r="D2244" t="inlineStr">
        <is>
          <t>PR508.P6 H3</t>
        </is>
      </c>
      <c r="E2244" t="inlineStr">
        <is>
          <t>0                      PR 0508000P  6                  H  3</t>
        </is>
      </c>
      <c r="F2244" t="inlineStr">
        <is>
          <t>Platonism in English poetry of the sixteenth and seventeenth centuries, by John Smith Harrison.</t>
        </is>
      </c>
      <c r="H2244" t="inlineStr">
        <is>
          <t>No</t>
        </is>
      </c>
      <c r="I2244" t="inlineStr">
        <is>
          <t>1</t>
        </is>
      </c>
      <c r="J2244" t="inlineStr">
        <is>
          <t>No</t>
        </is>
      </c>
      <c r="K2244" t="inlineStr">
        <is>
          <t>No</t>
        </is>
      </c>
      <c r="L2244" t="inlineStr">
        <is>
          <t>0</t>
        </is>
      </c>
      <c r="M2244" t="inlineStr">
        <is>
          <t>Harrison, John Smith, 1877-</t>
        </is>
      </c>
      <c r="N2244" t="inlineStr">
        <is>
          <t>New York, The Columbia university press, The Macmillan company, agents; London, Macmillan and co., ltd., 1903.</t>
        </is>
      </c>
      <c r="O2244" t="inlineStr">
        <is>
          <t>1903</t>
        </is>
      </c>
      <c r="Q2244" t="inlineStr">
        <is>
          <t>eng</t>
        </is>
      </c>
      <c r="R2244" t="inlineStr">
        <is>
          <t>nyu</t>
        </is>
      </c>
      <c r="S2244" t="inlineStr">
        <is>
          <t>Columbia University studies in comparative literature</t>
        </is>
      </c>
      <c r="T2244" t="inlineStr">
        <is>
          <t xml:space="preserve">PR </t>
        </is>
      </c>
      <c r="U2244" t="n">
        <v>2</v>
      </c>
      <c r="V2244" t="n">
        <v>2</v>
      </c>
      <c r="W2244" t="inlineStr">
        <is>
          <t>2003-04-08</t>
        </is>
      </c>
      <c r="X2244" t="inlineStr">
        <is>
          <t>2003-04-08</t>
        </is>
      </c>
      <c r="Y2244" t="inlineStr">
        <is>
          <t>1997-08-28</t>
        </is>
      </c>
      <c r="Z2244" t="inlineStr">
        <is>
          <t>1997-08-28</t>
        </is>
      </c>
      <c r="AA2244" t="n">
        <v>248</v>
      </c>
      <c r="AB2244" t="n">
        <v>195</v>
      </c>
      <c r="AC2244" t="n">
        <v>637</v>
      </c>
      <c r="AD2244" t="n">
        <v>2</v>
      </c>
      <c r="AE2244" t="n">
        <v>4</v>
      </c>
      <c r="AF2244" t="n">
        <v>11</v>
      </c>
      <c r="AG2244" t="n">
        <v>36</v>
      </c>
      <c r="AH2244" t="n">
        <v>2</v>
      </c>
      <c r="AI2244" t="n">
        <v>14</v>
      </c>
      <c r="AJ2244" t="n">
        <v>2</v>
      </c>
      <c r="AK2244" t="n">
        <v>8</v>
      </c>
      <c r="AL2244" t="n">
        <v>9</v>
      </c>
      <c r="AM2244" t="n">
        <v>21</v>
      </c>
      <c r="AN2244" t="n">
        <v>1</v>
      </c>
      <c r="AO2244" t="n">
        <v>3</v>
      </c>
      <c r="AP2244" t="n">
        <v>0</v>
      </c>
      <c r="AQ2244" t="n">
        <v>0</v>
      </c>
      <c r="AR2244" t="inlineStr">
        <is>
          <t>Yes</t>
        </is>
      </c>
      <c r="AS2244" t="inlineStr">
        <is>
          <t>No</t>
        </is>
      </c>
      <c r="AT2244">
        <f>HYPERLINK("http://catalog.hathitrust.org/Record/001370062","HathiTrust Record")</f>
        <v/>
      </c>
      <c r="AU2244">
        <f>HYPERLINK("https://creighton-primo.hosted.exlibrisgroup.com/primo-explore/search?tab=default_tab&amp;search_scope=EVERYTHING&amp;vid=01CRU&amp;lang=en_US&amp;offset=0&amp;query=any,contains,991004168809702656","Catalog Record")</f>
        <v/>
      </c>
      <c r="AV2244">
        <f>HYPERLINK("http://www.worldcat.org/oclc/2573903","WorldCat Record")</f>
        <v/>
      </c>
      <c r="AW2244" t="inlineStr">
        <is>
          <t>1383958:eng</t>
        </is>
      </c>
      <c r="AX2244" t="inlineStr">
        <is>
          <t>2573903</t>
        </is>
      </c>
      <c r="AY2244" t="inlineStr">
        <is>
          <t>991004168809702656</t>
        </is>
      </c>
      <c r="AZ2244" t="inlineStr">
        <is>
          <t>991004168809702656</t>
        </is>
      </c>
      <c r="BA2244" t="inlineStr">
        <is>
          <t>2256853040002656</t>
        </is>
      </c>
      <c r="BB2244" t="inlineStr">
        <is>
          <t>BOOK</t>
        </is>
      </c>
      <c r="BE2244" t="inlineStr">
        <is>
          <t>32285003153680</t>
        </is>
      </c>
      <c r="BF2244" t="inlineStr">
        <is>
          <t>893788362</t>
        </is>
      </c>
    </row>
    <row r="2245">
      <c r="A2245" t="inlineStr">
        <is>
          <t>No</t>
        </is>
      </c>
      <c r="B2245" t="inlineStr">
        <is>
          <t>CURAL</t>
        </is>
      </c>
      <c r="C2245" t="inlineStr">
        <is>
          <t>SHELVES</t>
        </is>
      </c>
      <c r="D2245" t="inlineStr">
        <is>
          <t>PR508.R4 B4</t>
        </is>
      </c>
      <c r="E2245" t="inlineStr">
        <is>
          <t>0                      PR 0508000R  4                  B  4</t>
        </is>
      </c>
      <c r="F2245" t="inlineStr">
        <is>
          <t>Images of eternity; studies in the poetry of religious vision from Wordsworth to T. S. Eliot.</t>
        </is>
      </c>
      <c r="H2245" t="inlineStr">
        <is>
          <t>No</t>
        </is>
      </c>
      <c r="I2245" t="inlineStr">
        <is>
          <t>1</t>
        </is>
      </c>
      <c r="J2245" t="inlineStr">
        <is>
          <t>No</t>
        </is>
      </c>
      <c r="K2245" t="inlineStr">
        <is>
          <t>No</t>
        </is>
      </c>
      <c r="L2245" t="inlineStr">
        <is>
          <t>0</t>
        </is>
      </c>
      <c r="M2245" t="inlineStr">
        <is>
          <t>Benziger, James G.</t>
        </is>
      </c>
      <c r="N2245" t="inlineStr">
        <is>
          <t>Carbondale, Southern Illinois University Press [1962]</t>
        </is>
      </c>
      <c r="O2245" t="inlineStr">
        <is>
          <t>1962</t>
        </is>
      </c>
      <c r="Q2245" t="inlineStr">
        <is>
          <t>eng</t>
        </is>
      </c>
      <c r="R2245" t="inlineStr">
        <is>
          <t>ilu</t>
        </is>
      </c>
      <c r="T2245" t="inlineStr">
        <is>
          <t xml:space="preserve">PR </t>
        </is>
      </c>
      <c r="U2245" t="n">
        <v>1</v>
      </c>
      <c r="V2245" t="n">
        <v>1</v>
      </c>
      <c r="W2245" t="inlineStr">
        <is>
          <t>2008-06-18</t>
        </is>
      </c>
      <c r="X2245" t="inlineStr">
        <is>
          <t>2008-06-18</t>
        </is>
      </c>
      <c r="Y2245" t="inlineStr">
        <is>
          <t>1997-08-28</t>
        </is>
      </c>
      <c r="Z2245" t="inlineStr">
        <is>
          <t>1997-08-28</t>
        </is>
      </c>
      <c r="AA2245" t="n">
        <v>958</v>
      </c>
      <c r="AB2245" t="n">
        <v>868</v>
      </c>
      <c r="AC2245" t="n">
        <v>976</v>
      </c>
      <c r="AD2245" t="n">
        <v>8</v>
      </c>
      <c r="AE2245" t="n">
        <v>8</v>
      </c>
      <c r="AF2245" t="n">
        <v>44</v>
      </c>
      <c r="AG2245" t="n">
        <v>49</v>
      </c>
      <c r="AH2245" t="n">
        <v>16</v>
      </c>
      <c r="AI2245" t="n">
        <v>19</v>
      </c>
      <c r="AJ2245" t="n">
        <v>10</v>
      </c>
      <c r="AK2245" t="n">
        <v>11</v>
      </c>
      <c r="AL2245" t="n">
        <v>20</v>
      </c>
      <c r="AM2245" t="n">
        <v>22</v>
      </c>
      <c r="AN2245" t="n">
        <v>7</v>
      </c>
      <c r="AO2245" t="n">
        <v>7</v>
      </c>
      <c r="AP2245" t="n">
        <v>0</v>
      </c>
      <c r="AQ2245" t="n">
        <v>0</v>
      </c>
      <c r="AR2245" t="inlineStr">
        <is>
          <t>Yes</t>
        </is>
      </c>
      <c r="AS2245" t="inlineStr">
        <is>
          <t>No</t>
        </is>
      </c>
      <c r="AT2245">
        <f>HYPERLINK("http://catalog.hathitrust.org/Record/001397743","HathiTrust Record")</f>
        <v/>
      </c>
      <c r="AU2245">
        <f>HYPERLINK("https://creighton-primo.hosted.exlibrisgroup.com/primo-explore/search?tab=default_tab&amp;search_scope=EVERYTHING&amp;vid=01CRU&amp;lang=en_US&amp;offset=0&amp;query=any,contains,991001372859702656","Catalog Record")</f>
        <v/>
      </c>
      <c r="AV2245">
        <f>HYPERLINK("http://www.worldcat.org/oclc/224149","WorldCat Record")</f>
        <v/>
      </c>
      <c r="AW2245" t="inlineStr">
        <is>
          <t>466754:eng</t>
        </is>
      </c>
      <c r="AX2245" t="inlineStr">
        <is>
          <t>224149</t>
        </is>
      </c>
      <c r="AY2245" t="inlineStr">
        <is>
          <t>991001372859702656</t>
        </is>
      </c>
      <c r="AZ2245" t="inlineStr">
        <is>
          <t>991001372859702656</t>
        </is>
      </c>
      <c r="BA2245" t="inlineStr">
        <is>
          <t>2264238190002656</t>
        </is>
      </c>
      <c r="BB2245" t="inlineStr">
        <is>
          <t>BOOK</t>
        </is>
      </c>
      <c r="BE2245" t="inlineStr">
        <is>
          <t>32285003153706</t>
        </is>
      </c>
      <c r="BF2245" t="inlineStr">
        <is>
          <t>893328081</t>
        </is>
      </c>
    </row>
    <row r="2246">
      <c r="A2246" t="inlineStr">
        <is>
          <t>No</t>
        </is>
      </c>
      <c r="B2246" t="inlineStr">
        <is>
          <t>CURAL</t>
        </is>
      </c>
      <c r="C2246" t="inlineStr">
        <is>
          <t>SHELVES</t>
        </is>
      </c>
      <c r="D2246" t="inlineStr">
        <is>
          <t>PR508.R4 L3</t>
        </is>
      </c>
      <c r="E2246" t="inlineStr">
        <is>
          <t>0                      PR 0508000R  4                  L  3</t>
        </is>
      </c>
      <c r="F2246" t="inlineStr">
        <is>
          <t>The Christian image; studies in religious art and poetry.</t>
        </is>
      </c>
      <c r="H2246" t="inlineStr">
        <is>
          <t>No</t>
        </is>
      </c>
      <c r="I2246" t="inlineStr">
        <is>
          <t>1</t>
        </is>
      </c>
      <c r="J2246" t="inlineStr">
        <is>
          <t>No</t>
        </is>
      </c>
      <c r="K2246" t="inlineStr">
        <is>
          <t>No</t>
        </is>
      </c>
      <c r="L2246" t="inlineStr">
        <is>
          <t>0</t>
        </is>
      </c>
      <c r="M2246" t="inlineStr">
        <is>
          <t>Lawler, Justus George.</t>
        </is>
      </c>
      <c r="N2246" t="inlineStr">
        <is>
          <t>Pittsburgh, Duquesne University Press, 1965.</t>
        </is>
      </c>
      <c r="O2246" t="inlineStr">
        <is>
          <t>1965</t>
        </is>
      </c>
      <c r="Q2246" t="inlineStr">
        <is>
          <t>eng</t>
        </is>
      </c>
      <c r="R2246" t="inlineStr">
        <is>
          <t>pau</t>
        </is>
      </c>
      <c r="T2246" t="inlineStr">
        <is>
          <t xml:space="preserve">PR </t>
        </is>
      </c>
      <c r="U2246" t="n">
        <v>3</v>
      </c>
      <c r="V2246" t="n">
        <v>3</v>
      </c>
      <c r="W2246" t="inlineStr">
        <is>
          <t>1998-02-25</t>
        </is>
      </c>
      <c r="X2246" t="inlineStr">
        <is>
          <t>1998-02-25</t>
        </is>
      </c>
      <c r="Y2246" t="inlineStr">
        <is>
          <t>1997-08-28</t>
        </is>
      </c>
      <c r="Z2246" t="inlineStr">
        <is>
          <t>1997-08-28</t>
        </is>
      </c>
      <c r="AA2246" t="n">
        <v>150</v>
      </c>
      <c r="AB2246" t="n">
        <v>145</v>
      </c>
      <c r="AC2246" t="n">
        <v>407</v>
      </c>
      <c r="AD2246" t="n">
        <v>3</v>
      </c>
      <c r="AE2246" t="n">
        <v>4</v>
      </c>
      <c r="AF2246" t="n">
        <v>17</v>
      </c>
      <c r="AG2246" t="n">
        <v>31</v>
      </c>
      <c r="AH2246" t="n">
        <v>7</v>
      </c>
      <c r="AI2246" t="n">
        <v>13</v>
      </c>
      <c r="AJ2246" t="n">
        <v>1</v>
      </c>
      <c r="AK2246" t="n">
        <v>4</v>
      </c>
      <c r="AL2246" t="n">
        <v>12</v>
      </c>
      <c r="AM2246" t="n">
        <v>19</v>
      </c>
      <c r="AN2246" t="n">
        <v>2</v>
      </c>
      <c r="AO2246" t="n">
        <v>3</v>
      </c>
      <c r="AP2246" t="n">
        <v>0</v>
      </c>
      <c r="AQ2246" t="n">
        <v>0</v>
      </c>
      <c r="AR2246" t="inlineStr">
        <is>
          <t>No</t>
        </is>
      </c>
      <c r="AS2246" t="inlineStr">
        <is>
          <t>No</t>
        </is>
      </c>
      <c r="AU2246">
        <f>HYPERLINK("https://creighton-primo.hosted.exlibrisgroup.com/primo-explore/search?tab=default_tab&amp;search_scope=EVERYTHING&amp;vid=01CRU&amp;lang=en_US&amp;offset=0&amp;query=any,contains,991005076689702656","Catalog Record")</f>
        <v/>
      </c>
      <c r="AV2246">
        <f>HYPERLINK("http://www.worldcat.org/oclc/7124685","WorldCat Record")</f>
        <v/>
      </c>
      <c r="AW2246" t="inlineStr">
        <is>
          <t>1531728:eng</t>
        </is>
      </c>
      <c r="AX2246" t="inlineStr">
        <is>
          <t>7124685</t>
        </is>
      </c>
      <c r="AY2246" t="inlineStr">
        <is>
          <t>991005076689702656</t>
        </is>
      </c>
      <c r="AZ2246" t="inlineStr">
        <is>
          <t>991005076689702656</t>
        </is>
      </c>
      <c r="BA2246" t="inlineStr">
        <is>
          <t>2261234650002656</t>
        </is>
      </c>
      <c r="BB2246" t="inlineStr">
        <is>
          <t>BOOK</t>
        </is>
      </c>
      <c r="BE2246" t="inlineStr">
        <is>
          <t>32285003153722</t>
        </is>
      </c>
      <c r="BF2246" t="inlineStr">
        <is>
          <t>893350662</t>
        </is>
      </c>
    </row>
    <row r="2247">
      <c r="A2247" t="inlineStr">
        <is>
          <t>No</t>
        </is>
      </c>
      <c r="B2247" t="inlineStr">
        <is>
          <t>CURAL</t>
        </is>
      </c>
      <c r="C2247" t="inlineStr">
        <is>
          <t>SHELVES</t>
        </is>
      </c>
      <c r="D2247" t="inlineStr">
        <is>
          <t>PR508.V55 R5</t>
        </is>
      </c>
      <c r="E2247" t="inlineStr">
        <is>
          <t>0                      PR 0508000V  55                 R  5</t>
        </is>
      </c>
      <c r="F2247" t="inlineStr">
        <is>
          <t>Wolf masks : violence in contemporary poetry / Lawrence R. Ries.</t>
        </is>
      </c>
      <c r="H2247" t="inlineStr">
        <is>
          <t>No</t>
        </is>
      </c>
      <c r="I2247" t="inlineStr">
        <is>
          <t>1</t>
        </is>
      </c>
      <c r="J2247" t="inlineStr">
        <is>
          <t>No</t>
        </is>
      </c>
      <c r="K2247" t="inlineStr">
        <is>
          <t>No</t>
        </is>
      </c>
      <c r="L2247" t="inlineStr">
        <is>
          <t>0</t>
        </is>
      </c>
      <c r="M2247" t="inlineStr">
        <is>
          <t>Ries, Lawrence R.</t>
        </is>
      </c>
      <c r="N2247" t="inlineStr">
        <is>
          <t>Port Washington, N.Y. : Kennikat Press, 1977.</t>
        </is>
      </c>
      <c r="O2247" t="inlineStr">
        <is>
          <t>1977</t>
        </is>
      </c>
      <c r="Q2247" t="inlineStr">
        <is>
          <t>eng</t>
        </is>
      </c>
      <c r="R2247" t="inlineStr">
        <is>
          <t>nyu</t>
        </is>
      </c>
      <c r="S2247" t="inlineStr">
        <is>
          <t>National university publications. Literary criticism series</t>
        </is>
      </c>
      <c r="T2247" t="inlineStr">
        <is>
          <t xml:space="preserve">PR </t>
        </is>
      </c>
      <c r="U2247" t="n">
        <v>2</v>
      </c>
      <c r="V2247" t="n">
        <v>2</v>
      </c>
      <c r="W2247" t="inlineStr">
        <is>
          <t>1992-02-05</t>
        </is>
      </c>
      <c r="X2247" t="inlineStr">
        <is>
          <t>1992-02-05</t>
        </is>
      </c>
      <c r="Y2247" t="inlineStr">
        <is>
          <t>1991-09-04</t>
        </is>
      </c>
      <c r="Z2247" t="inlineStr">
        <is>
          <t>1991-09-04</t>
        </is>
      </c>
      <c r="AA2247" t="n">
        <v>846</v>
      </c>
      <c r="AB2247" t="n">
        <v>752</v>
      </c>
      <c r="AC2247" t="n">
        <v>759</v>
      </c>
      <c r="AD2247" t="n">
        <v>10</v>
      </c>
      <c r="AE2247" t="n">
        <v>10</v>
      </c>
      <c r="AF2247" t="n">
        <v>32</v>
      </c>
      <c r="AG2247" t="n">
        <v>32</v>
      </c>
      <c r="AH2247" t="n">
        <v>14</v>
      </c>
      <c r="AI2247" t="n">
        <v>14</v>
      </c>
      <c r="AJ2247" t="n">
        <v>5</v>
      </c>
      <c r="AK2247" t="n">
        <v>5</v>
      </c>
      <c r="AL2247" t="n">
        <v>12</v>
      </c>
      <c r="AM2247" t="n">
        <v>12</v>
      </c>
      <c r="AN2247" t="n">
        <v>8</v>
      </c>
      <c r="AO2247" t="n">
        <v>8</v>
      </c>
      <c r="AP2247" t="n">
        <v>0</v>
      </c>
      <c r="AQ2247" t="n">
        <v>0</v>
      </c>
      <c r="AR2247" t="inlineStr">
        <is>
          <t>No</t>
        </is>
      </c>
      <c r="AS2247" t="inlineStr">
        <is>
          <t>Yes</t>
        </is>
      </c>
      <c r="AT2247">
        <f>HYPERLINK("http://catalog.hathitrust.org/Record/000169635","HathiTrust Record")</f>
        <v/>
      </c>
      <c r="AU2247">
        <f>HYPERLINK("https://creighton-primo.hosted.exlibrisgroup.com/primo-explore/search?tab=default_tab&amp;search_scope=EVERYTHING&amp;vid=01CRU&amp;lang=en_US&amp;offset=0&amp;query=any,contains,991004201579702656","Catalog Record")</f>
        <v/>
      </c>
      <c r="AV2247">
        <f>HYPERLINK("http://www.worldcat.org/oclc/2655387","WorldCat Record")</f>
        <v/>
      </c>
      <c r="AW2247" t="inlineStr">
        <is>
          <t>347325648:eng</t>
        </is>
      </c>
      <c r="AX2247" t="inlineStr">
        <is>
          <t>2655387</t>
        </is>
      </c>
      <c r="AY2247" t="inlineStr">
        <is>
          <t>991004201579702656</t>
        </is>
      </c>
      <c r="AZ2247" t="inlineStr">
        <is>
          <t>991004201579702656</t>
        </is>
      </c>
      <c r="BA2247" t="inlineStr">
        <is>
          <t>2258490490002656</t>
        </is>
      </c>
      <c r="BB2247" t="inlineStr">
        <is>
          <t>BOOK</t>
        </is>
      </c>
      <c r="BD2247" t="inlineStr">
        <is>
          <t>9780804691680</t>
        </is>
      </c>
      <c r="BE2247" t="inlineStr">
        <is>
          <t>32285000735596</t>
        </is>
      </c>
      <c r="BF2247" t="inlineStr">
        <is>
          <t>893628029</t>
        </is>
      </c>
    </row>
    <row r="2248">
      <c r="A2248" t="inlineStr">
        <is>
          <t>No</t>
        </is>
      </c>
      <c r="B2248" t="inlineStr">
        <is>
          <t>CURAL</t>
        </is>
      </c>
      <c r="C2248" t="inlineStr">
        <is>
          <t>SHELVES</t>
        </is>
      </c>
      <c r="D2248" t="inlineStr">
        <is>
          <t>PR5083 .H4 1967b</t>
        </is>
      </c>
      <c r="E2248" t="inlineStr">
        <is>
          <t>0                      PR 5083000H  4           1967b</t>
        </is>
      </c>
      <c r="F2248" t="inlineStr">
        <is>
          <t>William Morris: his life, work, and friends. Foreword by Allan Temko.</t>
        </is>
      </c>
      <c r="H2248" t="inlineStr">
        <is>
          <t>No</t>
        </is>
      </c>
      <c r="I2248" t="inlineStr">
        <is>
          <t>1</t>
        </is>
      </c>
      <c r="J2248" t="inlineStr">
        <is>
          <t>No</t>
        </is>
      </c>
      <c r="K2248" t="inlineStr">
        <is>
          <t>No</t>
        </is>
      </c>
      <c r="L2248" t="inlineStr">
        <is>
          <t>0</t>
        </is>
      </c>
      <c r="M2248" t="inlineStr">
        <is>
          <t>Henderson, Philip, 1906-1977.</t>
        </is>
      </c>
      <c r="N2248" t="inlineStr">
        <is>
          <t>New York, McGraw-Hill [1967]</t>
        </is>
      </c>
      <c r="O2248" t="inlineStr">
        <is>
          <t>1967</t>
        </is>
      </c>
      <c r="Q2248" t="inlineStr">
        <is>
          <t>eng</t>
        </is>
      </c>
      <c r="R2248" t="inlineStr">
        <is>
          <t>nyu</t>
        </is>
      </c>
      <c r="T2248" t="inlineStr">
        <is>
          <t xml:space="preserve">PR </t>
        </is>
      </c>
      <c r="U2248" t="n">
        <v>1</v>
      </c>
      <c r="V2248" t="n">
        <v>1</v>
      </c>
      <c r="W2248" t="inlineStr">
        <is>
          <t>2000-03-22</t>
        </is>
      </c>
      <c r="X2248" t="inlineStr">
        <is>
          <t>2000-03-22</t>
        </is>
      </c>
      <c r="Y2248" t="inlineStr">
        <is>
          <t>1997-07-16</t>
        </is>
      </c>
      <c r="Z2248" t="inlineStr">
        <is>
          <t>1997-07-16</t>
        </is>
      </c>
      <c r="AA2248" t="n">
        <v>971</v>
      </c>
      <c r="AB2248" t="n">
        <v>921</v>
      </c>
      <c r="AC2248" t="n">
        <v>1204</v>
      </c>
      <c r="AD2248" t="n">
        <v>7</v>
      </c>
      <c r="AE2248" t="n">
        <v>9</v>
      </c>
      <c r="AF2248" t="n">
        <v>41</v>
      </c>
      <c r="AG2248" t="n">
        <v>49</v>
      </c>
      <c r="AH2248" t="n">
        <v>19</v>
      </c>
      <c r="AI2248" t="n">
        <v>23</v>
      </c>
      <c r="AJ2248" t="n">
        <v>10</v>
      </c>
      <c r="AK2248" t="n">
        <v>11</v>
      </c>
      <c r="AL2248" t="n">
        <v>18</v>
      </c>
      <c r="AM2248" t="n">
        <v>22</v>
      </c>
      <c r="AN2248" t="n">
        <v>5</v>
      </c>
      <c r="AO2248" t="n">
        <v>6</v>
      </c>
      <c r="AP2248" t="n">
        <v>0</v>
      </c>
      <c r="AQ2248" t="n">
        <v>0</v>
      </c>
      <c r="AR2248" t="inlineStr">
        <is>
          <t>No</t>
        </is>
      </c>
      <c r="AS2248" t="inlineStr">
        <is>
          <t>Yes</t>
        </is>
      </c>
      <c r="AT2248">
        <f>HYPERLINK("http://catalog.hathitrust.org/Record/000634366","HathiTrust Record")</f>
        <v/>
      </c>
      <c r="AU2248">
        <f>HYPERLINK("https://creighton-primo.hosted.exlibrisgroup.com/primo-explore/search?tab=default_tab&amp;search_scope=EVERYTHING&amp;vid=01CRU&amp;lang=en_US&amp;offset=0&amp;query=any,contains,991005367289702656","Catalog Record")</f>
        <v/>
      </c>
      <c r="AV2248">
        <f>HYPERLINK("http://www.worldcat.org/oclc/1991852","WorldCat Record")</f>
        <v/>
      </c>
      <c r="AW2248" t="inlineStr">
        <is>
          <t>132027487:eng</t>
        </is>
      </c>
      <c r="AX2248" t="inlineStr">
        <is>
          <t>1991852</t>
        </is>
      </c>
      <c r="AY2248" t="inlineStr">
        <is>
          <t>991005367289702656</t>
        </is>
      </c>
      <c r="AZ2248" t="inlineStr">
        <is>
          <t>991005367289702656</t>
        </is>
      </c>
      <c r="BA2248" t="inlineStr">
        <is>
          <t>2264014240002656</t>
        </is>
      </c>
      <c r="BB2248" t="inlineStr">
        <is>
          <t>BOOK</t>
        </is>
      </c>
      <c r="BE2248" t="inlineStr">
        <is>
          <t>32285002927829</t>
        </is>
      </c>
      <c r="BF2248" t="inlineStr">
        <is>
          <t>893802192</t>
        </is>
      </c>
    </row>
    <row r="2249">
      <c r="A2249" t="inlineStr">
        <is>
          <t>No</t>
        </is>
      </c>
      <c r="B2249" t="inlineStr">
        <is>
          <t>CURAL</t>
        </is>
      </c>
      <c r="C2249" t="inlineStr">
        <is>
          <t>SHELVES</t>
        </is>
      </c>
      <c r="D2249" t="inlineStr">
        <is>
          <t>PR5083 .T6</t>
        </is>
      </c>
      <c r="E2249" t="inlineStr">
        <is>
          <t>0                      PR 5083000T  6</t>
        </is>
      </c>
      <c r="F2249" t="inlineStr">
        <is>
          <t>William Morris, romantic to revolutionary.</t>
        </is>
      </c>
      <c r="H2249" t="inlineStr">
        <is>
          <t>No</t>
        </is>
      </c>
      <c r="I2249" t="inlineStr">
        <is>
          <t>1</t>
        </is>
      </c>
      <c r="J2249" t="inlineStr">
        <is>
          <t>No</t>
        </is>
      </c>
      <c r="K2249" t="inlineStr">
        <is>
          <t>No</t>
        </is>
      </c>
      <c r="L2249" t="inlineStr">
        <is>
          <t>0</t>
        </is>
      </c>
      <c r="M2249" t="inlineStr">
        <is>
          <t>Thompson, E. P. (Edward Palmer), 1924-1993.</t>
        </is>
      </c>
      <c r="N2249" t="inlineStr">
        <is>
          <t>London, Lawrence &amp; Wishart, 1955.</t>
        </is>
      </c>
      <c r="O2249" t="inlineStr">
        <is>
          <t>1955</t>
        </is>
      </c>
      <c r="Q2249" t="inlineStr">
        <is>
          <t>eng</t>
        </is>
      </c>
      <c r="R2249" t="inlineStr">
        <is>
          <t xml:space="preserve">xx </t>
        </is>
      </c>
      <c r="T2249" t="inlineStr">
        <is>
          <t xml:space="preserve">PR </t>
        </is>
      </c>
      <c r="U2249" t="n">
        <v>1</v>
      </c>
      <c r="V2249" t="n">
        <v>1</v>
      </c>
      <c r="W2249" t="inlineStr">
        <is>
          <t>2004-09-23</t>
        </is>
      </c>
      <c r="X2249" t="inlineStr">
        <is>
          <t>2004-09-23</t>
        </is>
      </c>
      <c r="Y2249" t="inlineStr">
        <is>
          <t>1997-07-16</t>
        </is>
      </c>
      <c r="Z2249" t="inlineStr">
        <is>
          <t>1997-07-16</t>
        </is>
      </c>
      <c r="AA2249" t="n">
        <v>206</v>
      </c>
      <c r="AB2249" t="n">
        <v>106</v>
      </c>
      <c r="AC2249" t="n">
        <v>1086</v>
      </c>
      <c r="AD2249" t="n">
        <v>1</v>
      </c>
      <c r="AE2249" t="n">
        <v>10</v>
      </c>
      <c r="AF2249" t="n">
        <v>9</v>
      </c>
      <c r="AG2249" t="n">
        <v>46</v>
      </c>
      <c r="AH2249" t="n">
        <v>3</v>
      </c>
      <c r="AI2249" t="n">
        <v>19</v>
      </c>
      <c r="AJ2249" t="n">
        <v>5</v>
      </c>
      <c r="AK2249" t="n">
        <v>8</v>
      </c>
      <c r="AL2249" t="n">
        <v>6</v>
      </c>
      <c r="AM2249" t="n">
        <v>22</v>
      </c>
      <c r="AN2249" t="n">
        <v>0</v>
      </c>
      <c r="AO2249" t="n">
        <v>8</v>
      </c>
      <c r="AP2249" t="n">
        <v>0</v>
      </c>
      <c r="AQ2249" t="n">
        <v>1</v>
      </c>
      <c r="AR2249" t="inlineStr">
        <is>
          <t>No</t>
        </is>
      </c>
      <c r="AS2249" t="inlineStr">
        <is>
          <t>Yes</t>
        </is>
      </c>
      <c r="AT2249">
        <f>HYPERLINK("http://catalog.hathitrust.org/Record/000634408","HathiTrust Record")</f>
        <v/>
      </c>
      <c r="AU2249">
        <f>HYPERLINK("https://creighton-primo.hosted.exlibrisgroup.com/primo-explore/search?tab=default_tab&amp;search_scope=EVERYTHING&amp;vid=01CRU&amp;lang=en_US&amp;offset=0&amp;query=any,contains,991003166659702656","Catalog Record")</f>
        <v/>
      </c>
      <c r="AV2249">
        <f>HYPERLINK("http://www.worldcat.org/oclc/704284","WorldCat Record")</f>
        <v/>
      </c>
      <c r="AW2249" t="inlineStr">
        <is>
          <t>196567543:eng</t>
        </is>
      </c>
      <c r="AX2249" t="inlineStr">
        <is>
          <t>704284</t>
        </is>
      </c>
      <c r="AY2249" t="inlineStr">
        <is>
          <t>991003166659702656</t>
        </is>
      </c>
      <c r="AZ2249" t="inlineStr">
        <is>
          <t>991003166659702656</t>
        </is>
      </c>
      <c r="BA2249" t="inlineStr">
        <is>
          <t>2257142410002656</t>
        </is>
      </c>
      <c r="BB2249" t="inlineStr">
        <is>
          <t>BOOK</t>
        </is>
      </c>
      <c r="BE2249" t="inlineStr">
        <is>
          <t>32285002927910</t>
        </is>
      </c>
      <c r="BF2249" t="inlineStr">
        <is>
          <t>893352711</t>
        </is>
      </c>
    </row>
    <row r="2250">
      <c r="A2250" t="inlineStr">
        <is>
          <t>No</t>
        </is>
      </c>
      <c r="B2250" t="inlineStr">
        <is>
          <t>CURAL</t>
        </is>
      </c>
      <c r="C2250" t="inlineStr">
        <is>
          <t>SHELVES</t>
        </is>
      </c>
      <c r="D2250" t="inlineStr">
        <is>
          <t>PR5084 .T46 1993</t>
        </is>
      </c>
      <c r="E2250" t="inlineStr">
        <is>
          <t>0                      PR 5084000T  46          1993</t>
        </is>
      </c>
      <c r="F2250" t="inlineStr">
        <is>
          <t>The work of William Morris / Paul Thompson.</t>
        </is>
      </c>
      <c r="H2250" t="inlineStr">
        <is>
          <t>No</t>
        </is>
      </c>
      <c r="I2250" t="inlineStr">
        <is>
          <t>1</t>
        </is>
      </c>
      <c r="J2250" t="inlineStr">
        <is>
          <t>No</t>
        </is>
      </c>
      <c r="K2250" t="inlineStr">
        <is>
          <t>Yes</t>
        </is>
      </c>
      <c r="L2250" t="inlineStr">
        <is>
          <t>0</t>
        </is>
      </c>
      <c r="M2250" t="inlineStr">
        <is>
          <t>Thompson, Paul, 1935-</t>
        </is>
      </c>
      <c r="N2250" t="inlineStr">
        <is>
          <t>Oxford ; New York : Oxford University Press, 1993.</t>
        </is>
      </c>
      <c r="O2250" t="inlineStr">
        <is>
          <t>1993</t>
        </is>
      </c>
      <c r="Q2250" t="inlineStr">
        <is>
          <t>eng</t>
        </is>
      </c>
      <c r="R2250" t="inlineStr">
        <is>
          <t>enk</t>
        </is>
      </c>
      <c r="T2250" t="inlineStr">
        <is>
          <t xml:space="preserve">PR </t>
        </is>
      </c>
      <c r="U2250" t="n">
        <v>2</v>
      </c>
      <c r="V2250" t="n">
        <v>2</v>
      </c>
      <c r="W2250" t="inlineStr">
        <is>
          <t>2010-09-21</t>
        </is>
      </c>
      <c r="X2250" t="inlineStr">
        <is>
          <t>2010-09-21</t>
        </is>
      </c>
      <c r="Y2250" t="inlineStr">
        <is>
          <t>1995-08-24</t>
        </is>
      </c>
      <c r="Z2250" t="inlineStr">
        <is>
          <t>1995-08-24</t>
        </is>
      </c>
      <c r="AA2250" t="n">
        <v>111</v>
      </c>
      <c r="AB2250" t="n">
        <v>89</v>
      </c>
      <c r="AC2250" t="n">
        <v>996</v>
      </c>
      <c r="AD2250" t="n">
        <v>1</v>
      </c>
      <c r="AE2250" t="n">
        <v>7</v>
      </c>
      <c r="AF2250" t="n">
        <v>7</v>
      </c>
      <c r="AG2250" t="n">
        <v>44</v>
      </c>
      <c r="AH2250" t="n">
        <v>3</v>
      </c>
      <c r="AI2250" t="n">
        <v>17</v>
      </c>
      <c r="AJ2250" t="n">
        <v>2</v>
      </c>
      <c r="AK2250" t="n">
        <v>9</v>
      </c>
      <c r="AL2250" t="n">
        <v>4</v>
      </c>
      <c r="AM2250" t="n">
        <v>22</v>
      </c>
      <c r="AN2250" t="n">
        <v>0</v>
      </c>
      <c r="AO2250" t="n">
        <v>6</v>
      </c>
      <c r="AP2250" t="n">
        <v>0</v>
      </c>
      <c r="AQ2250" t="n">
        <v>0</v>
      </c>
      <c r="AR2250" t="inlineStr">
        <is>
          <t>No</t>
        </is>
      </c>
      <c r="AS2250" t="inlineStr">
        <is>
          <t>No</t>
        </is>
      </c>
      <c r="AU2250">
        <f>HYPERLINK("https://creighton-primo.hosted.exlibrisgroup.com/primo-explore/search?tab=default_tab&amp;search_scope=EVERYTHING&amp;vid=01CRU&amp;lang=en_US&amp;offset=0&amp;query=any,contains,991002153709702656","Catalog Record")</f>
        <v/>
      </c>
      <c r="AV2250">
        <f>HYPERLINK("http://www.worldcat.org/oclc/27768153","WorldCat Record")</f>
        <v/>
      </c>
      <c r="AW2250" t="inlineStr">
        <is>
          <t>111604845:eng</t>
        </is>
      </c>
      <c r="AX2250" t="inlineStr">
        <is>
          <t>27768153</t>
        </is>
      </c>
      <c r="AY2250" t="inlineStr">
        <is>
          <t>991002153709702656</t>
        </is>
      </c>
      <c r="AZ2250" t="inlineStr">
        <is>
          <t>991002153709702656</t>
        </is>
      </c>
      <c r="BA2250" t="inlineStr">
        <is>
          <t>2267840400002656</t>
        </is>
      </c>
      <c r="BB2250" t="inlineStr">
        <is>
          <t>BOOK</t>
        </is>
      </c>
      <c r="BD2250" t="inlineStr">
        <is>
          <t>9780192831491</t>
        </is>
      </c>
      <c r="BE2250" t="inlineStr">
        <is>
          <t>32285002090321</t>
        </is>
      </c>
      <c r="BF2250" t="inlineStr">
        <is>
          <t>893609523</t>
        </is>
      </c>
    </row>
    <row r="2251">
      <c r="A2251" t="inlineStr">
        <is>
          <t>No</t>
        </is>
      </c>
      <c r="B2251" t="inlineStr">
        <is>
          <t>CURAL</t>
        </is>
      </c>
      <c r="C2251" t="inlineStr">
        <is>
          <t>SHELVES</t>
        </is>
      </c>
      <c r="D2251" t="inlineStr">
        <is>
          <t>PR509.E4 S6</t>
        </is>
      </c>
      <c r="E2251" t="inlineStr">
        <is>
          <t>0                      PR 0509000E  4                  S  6</t>
        </is>
      </c>
      <c r="F2251" t="inlineStr">
        <is>
          <t>By mourning tongues : studies in English elegy / Eric Smith.</t>
        </is>
      </c>
      <c r="H2251" t="inlineStr">
        <is>
          <t>No</t>
        </is>
      </c>
      <c r="I2251" t="inlineStr">
        <is>
          <t>1</t>
        </is>
      </c>
      <c r="J2251" t="inlineStr">
        <is>
          <t>No</t>
        </is>
      </c>
      <c r="K2251" t="inlineStr">
        <is>
          <t>No</t>
        </is>
      </c>
      <c r="L2251" t="inlineStr">
        <is>
          <t>0</t>
        </is>
      </c>
      <c r="M2251" t="inlineStr">
        <is>
          <t>Smith, Eric, 1940-</t>
        </is>
      </c>
      <c r="N2251" t="inlineStr">
        <is>
          <t>Ipswich, Eng. : Boydell Press ; Totowa, N.J. : Rowman and Littlefield, 1977.</t>
        </is>
      </c>
      <c r="O2251" t="inlineStr">
        <is>
          <t>1977</t>
        </is>
      </c>
      <c r="Q2251" t="inlineStr">
        <is>
          <t>eng</t>
        </is>
      </c>
      <c r="R2251" t="inlineStr">
        <is>
          <t>enk</t>
        </is>
      </c>
      <c r="T2251" t="inlineStr">
        <is>
          <t xml:space="preserve">PR </t>
        </is>
      </c>
      <c r="U2251" t="n">
        <v>1</v>
      </c>
      <c r="V2251" t="n">
        <v>1</v>
      </c>
      <c r="W2251" t="inlineStr">
        <is>
          <t>2002-04-20</t>
        </is>
      </c>
      <c r="X2251" t="inlineStr">
        <is>
          <t>2002-04-20</t>
        </is>
      </c>
      <c r="Y2251" t="inlineStr">
        <is>
          <t>1991-09-04</t>
        </is>
      </c>
      <c r="Z2251" t="inlineStr">
        <is>
          <t>1991-09-04</t>
        </is>
      </c>
      <c r="AA2251" t="n">
        <v>643</v>
      </c>
      <c r="AB2251" t="n">
        <v>503</v>
      </c>
      <c r="AC2251" t="n">
        <v>511</v>
      </c>
      <c r="AD2251" t="n">
        <v>4</v>
      </c>
      <c r="AE2251" t="n">
        <v>4</v>
      </c>
      <c r="AF2251" t="n">
        <v>29</v>
      </c>
      <c r="AG2251" t="n">
        <v>29</v>
      </c>
      <c r="AH2251" t="n">
        <v>10</v>
      </c>
      <c r="AI2251" t="n">
        <v>10</v>
      </c>
      <c r="AJ2251" t="n">
        <v>8</v>
      </c>
      <c r="AK2251" t="n">
        <v>8</v>
      </c>
      <c r="AL2251" t="n">
        <v>15</v>
      </c>
      <c r="AM2251" t="n">
        <v>15</v>
      </c>
      <c r="AN2251" t="n">
        <v>3</v>
      </c>
      <c r="AO2251" t="n">
        <v>3</v>
      </c>
      <c r="AP2251" t="n">
        <v>0</v>
      </c>
      <c r="AQ2251" t="n">
        <v>0</v>
      </c>
      <c r="AR2251" t="inlineStr">
        <is>
          <t>No</t>
        </is>
      </c>
      <c r="AS2251" t="inlineStr">
        <is>
          <t>Yes</t>
        </is>
      </c>
      <c r="AT2251">
        <f>HYPERLINK("http://catalog.hathitrust.org/Record/000173287","HathiTrust Record")</f>
        <v/>
      </c>
      <c r="AU2251">
        <f>HYPERLINK("https://creighton-primo.hosted.exlibrisgroup.com/primo-explore/search?tab=default_tab&amp;search_scope=EVERYTHING&amp;vid=01CRU&amp;lang=en_US&amp;offset=0&amp;query=any,contains,991004245029702656","Catalog Record")</f>
        <v/>
      </c>
      <c r="AV2251">
        <f>HYPERLINK("http://www.worldcat.org/oclc/2798097","WorldCat Record")</f>
        <v/>
      </c>
      <c r="AW2251" t="inlineStr">
        <is>
          <t>793447682:eng</t>
        </is>
      </c>
      <c r="AX2251" t="inlineStr">
        <is>
          <t>2798097</t>
        </is>
      </c>
      <c r="AY2251" t="inlineStr">
        <is>
          <t>991004245029702656</t>
        </is>
      </c>
      <c r="AZ2251" t="inlineStr">
        <is>
          <t>991004245029702656</t>
        </is>
      </c>
      <c r="BA2251" t="inlineStr">
        <is>
          <t>2272813970002656</t>
        </is>
      </c>
      <c r="BB2251" t="inlineStr">
        <is>
          <t>BOOK</t>
        </is>
      </c>
      <c r="BD2251" t="inlineStr">
        <is>
          <t>9780874719390</t>
        </is>
      </c>
      <c r="BE2251" t="inlineStr">
        <is>
          <t>32285000735612</t>
        </is>
      </c>
      <c r="BF2251" t="inlineStr">
        <is>
          <t>893429828</t>
        </is>
      </c>
    </row>
    <row r="2252">
      <c r="A2252" t="inlineStr">
        <is>
          <t>No</t>
        </is>
      </c>
      <c r="B2252" t="inlineStr">
        <is>
          <t>CURAL</t>
        </is>
      </c>
      <c r="C2252" t="inlineStr">
        <is>
          <t>SHELVES</t>
        </is>
      </c>
      <c r="D2252" t="inlineStr">
        <is>
          <t>PR509.M6 L3 1985</t>
        </is>
      </c>
      <c r="E2252" t="inlineStr">
        <is>
          <t>0                      PR 0509000M  6                  L  3           1985</t>
        </is>
      </c>
      <c r="F2252" t="inlineStr">
        <is>
          <t>The poetry of experience : the dramatic monologue in modern literary tradition / Robert Langbaum.</t>
        </is>
      </c>
      <c r="H2252" t="inlineStr">
        <is>
          <t>No</t>
        </is>
      </c>
      <c r="I2252" t="inlineStr">
        <is>
          <t>1</t>
        </is>
      </c>
      <c r="J2252" t="inlineStr">
        <is>
          <t>No</t>
        </is>
      </c>
      <c r="K2252" t="inlineStr">
        <is>
          <t>No</t>
        </is>
      </c>
      <c r="L2252" t="inlineStr">
        <is>
          <t>0</t>
        </is>
      </c>
      <c r="M2252" t="inlineStr">
        <is>
          <t>Langbaum, Robert Woodrow, 1924-</t>
        </is>
      </c>
      <c r="N2252" t="inlineStr">
        <is>
          <t>Chicago : University of Chicago Press, 1985.</t>
        </is>
      </c>
      <c r="O2252" t="inlineStr">
        <is>
          <t>1985</t>
        </is>
      </c>
      <c r="Q2252" t="inlineStr">
        <is>
          <t>eng</t>
        </is>
      </c>
      <c r="R2252" t="inlineStr">
        <is>
          <t>ilu</t>
        </is>
      </c>
      <c r="T2252" t="inlineStr">
        <is>
          <t xml:space="preserve">PR </t>
        </is>
      </c>
      <c r="U2252" t="n">
        <v>1</v>
      </c>
      <c r="V2252" t="n">
        <v>1</v>
      </c>
      <c r="W2252" t="inlineStr">
        <is>
          <t>1994-11-28</t>
        </is>
      </c>
      <c r="X2252" t="inlineStr">
        <is>
          <t>1994-11-28</t>
        </is>
      </c>
      <c r="Y2252" t="inlineStr">
        <is>
          <t>1991-09-09</t>
        </is>
      </c>
      <c r="Z2252" t="inlineStr">
        <is>
          <t>1991-09-09</t>
        </is>
      </c>
      <c r="AA2252" t="n">
        <v>149</v>
      </c>
      <c r="AB2252" t="n">
        <v>114</v>
      </c>
      <c r="AC2252" t="n">
        <v>1106</v>
      </c>
      <c r="AD2252" t="n">
        <v>2</v>
      </c>
      <c r="AE2252" t="n">
        <v>7</v>
      </c>
      <c r="AF2252" t="n">
        <v>5</v>
      </c>
      <c r="AG2252" t="n">
        <v>49</v>
      </c>
      <c r="AH2252" t="n">
        <v>1</v>
      </c>
      <c r="AI2252" t="n">
        <v>20</v>
      </c>
      <c r="AJ2252" t="n">
        <v>0</v>
      </c>
      <c r="AK2252" t="n">
        <v>10</v>
      </c>
      <c r="AL2252" t="n">
        <v>4</v>
      </c>
      <c r="AM2252" t="n">
        <v>25</v>
      </c>
      <c r="AN2252" t="n">
        <v>1</v>
      </c>
      <c r="AO2252" t="n">
        <v>6</v>
      </c>
      <c r="AP2252" t="n">
        <v>0</v>
      </c>
      <c r="AQ2252" t="n">
        <v>0</v>
      </c>
      <c r="AR2252" t="inlineStr">
        <is>
          <t>No</t>
        </is>
      </c>
      <c r="AS2252" t="inlineStr">
        <is>
          <t>No</t>
        </is>
      </c>
      <c r="AU2252">
        <f>HYPERLINK("https://creighton-primo.hosted.exlibrisgroup.com/primo-explore/search?tab=default_tab&amp;search_scope=EVERYTHING&amp;vid=01CRU&amp;lang=en_US&amp;offset=0&amp;query=any,contains,991000667579702656","Catalog Record")</f>
        <v/>
      </c>
      <c r="AV2252">
        <f>HYPERLINK("http://www.worldcat.org/oclc/12286718","WorldCat Record")</f>
        <v/>
      </c>
      <c r="AW2252" t="inlineStr">
        <is>
          <t>1154374:eng</t>
        </is>
      </c>
      <c r="AX2252" t="inlineStr">
        <is>
          <t>12286718</t>
        </is>
      </c>
      <c r="AY2252" t="inlineStr">
        <is>
          <t>991000667579702656</t>
        </is>
      </c>
      <c r="AZ2252" t="inlineStr">
        <is>
          <t>991000667579702656</t>
        </is>
      </c>
      <c r="BA2252" t="inlineStr">
        <is>
          <t>2259211520002656</t>
        </is>
      </c>
      <c r="BB2252" t="inlineStr">
        <is>
          <t>BOOK</t>
        </is>
      </c>
      <c r="BD2252" t="inlineStr">
        <is>
          <t>9780226468723</t>
        </is>
      </c>
      <c r="BE2252" t="inlineStr">
        <is>
          <t>32285000739010</t>
        </is>
      </c>
      <c r="BF2252" t="inlineStr">
        <is>
          <t>893515495</t>
        </is>
      </c>
    </row>
    <row r="2253">
      <c r="A2253" t="inlineStr">
        <is>
          <t>No</t>
        </is>
      </c>
      <c r="B2253" t="inlineStr">
        <is>
          <t>CURAL</t>
        </is>
      </c>
      <c r="C2253" t="inlineStr">
        <is>
          <t>SHELVES</t>
        </is>
      </c>
      <c r="D2253" t="inlineStr">
        <is>
          <t>PR51.U5 B73 2001</t>
        </is>
      </c>
      <c r="E2253" t="inlineStr">
        <is>
          <t>0                      PR 0051000U  5                  B  73          2001</t>
        </is>
      </c>
      <c r="F2253" t="inlineStr">
        <is>
          <t>Who killed Shakespeare? : what's happened to English since the radical sixties / Patrick Brantlinger.</t>
        </is>
      </c>
      <c r="H2253" t="inlineStr">
        <is>
          <t>No</t>
        </is>
      </c>
      <c r="I2253" t="inlineStr">
        <is>
          <t>1</t>
        </is>
      </c>
      <c r="J2253" t="inlineStr">
        <is>
          <t>No</t>
        </is>
      </c>
      <c r="K2253" t="inlineStr">
        <is>
          <t>No</t>
        </is>
      </c>
      <c r="L2253" t="inlineStr">
        <is>
          <t>0</t>
        </is>
      </c>
      <c r="M2253" t="inlineStr">
        <is>
          <t>Brantlinger, Patrick, 1941-</t>
        </is>
      </c>
      <c r="N2253" t="inlineStr">
        <is>
          <t>New York : Routledge, 2001.</t>
        </is>
      </c>
      <c r="O2253" t="inlineStr">
        <is>
          <t>2001</t>
        </is>
      </c>
      <c r="Q2253" t="inlineStr">
        <is>
          <t>eng</t>
        </is>
      </c>
      <c r="R2253" t="inlineStr">
        <is>
          <t>nyu</t>
        </is>
      </c>
      <c r="T2253" t="inlineStr">
        <is>
          <t xml:space="preserve">PR </t>
        </is>
      </c>
      <c r="U2253" t="n">
        <v>1</v>
      </c>
      <c r="V2253" t="n">
        <v>1</v>
      </c>
      <c r="W2253" t="inlineStr">
        <is>
          <t>2001-09-27</t>
        </is>
      </c>
      <c r="X2253" t="inlineStr">
        <is>
          <t>2001-09-27</t>
        </is>
      </c>
      <c r="Y2253" t="inlineStr">
        <is>
          <t>2001-09-27</t>
        </is>
      </c>
      <c r="Z2253" t="inlineStr">
        <is>
          <t>2001-09-27</t>
        </is>
      </c>
      <c r="AA2253" t="n">
        <v>390</v>
      </c>
      <c r="AB2253" t="n">
        <v>323</v>
      </c>
      <c r="AC2253" t="n">
        <v>346</v>
      </c>
      <c r="AD2253" t="n">
        <v>3</v>
      </c>
      <c r="AE2253" t="n">
        <v>3</v>
      </c>
      <c r="AF2253" t="n">
        <v>19</v>
      </c>
      <c r="AG2253" t="n">
        <v>19</v>
      </c>
      <c r="AH2253" t="n">
        <v>5</v>
      </c>
      <c r="AI2253" t="n">
        <v>5</v>
      </c>
      <c r="AJ2253" t="n">
        <v>5</v>
      </c>
      <c r="AK2253" t="n">
        <v>5</v>
      </c>
      <c r="AL2253" t="n">
        <v>11</v>
      </c>
      <c r="AM2253" t="n">
        <v>11</v>
      </c>
      <c r="AN2253" t="n">
        <v>2</v>
      </c>
      <c r="AO2253" t="n">
        <v>2</v>
      </c>
      <c r="AP2253" t="n">
        <v>0</v>
      </c>
      <c r="AQ2253" t="n">
        <v>0</v>
      </c>
      <c r="AR2253" t="inlineStr">
        <is>
          <t>No</t>
        </is>
      </c>
      <c r="AS2253" t="inlineStr">
        <is>
          <t>No</t>
        </is>
      </c>
      <c r="AU2253">
        <f>HYPERLINK("https://creighton-primo.hosted.exlibrisgroup.com/primo-explore/search?tab=default_tab&amp;search_scope=EVERYTHING&amp;vid=01CRU&amp;lang=en_US&amp;offset=0&amp;query=any,contains,991003615859702656","Catalog Record")</f>
        <v/>
      </c>
      <c r="AV2253">
        <f>HYPERLINK("http://www.worldcat.org/oclc/45207931","WorldCat Record")</f>
        <v/>
      </c>
      <c r="AW2253" t="inlineStr">
        <is>
          <t>837082367:eng</t>
        </is>
      </c>
      <c r="AX2253" t="inlineStr">
        <is>
          <t>45207931</t>
        </is>
      </c>
      <c r="AY2253" t="inlineStr">
        <is>
          <t>991003615859702656</t>
        </is>
      </c>
      <c r="AZ2253" t="inlineStr">
        <is>
          <t>991003615859702656</t>
        </is>
      </c>
      <c r="BA2253" t="inlineStr">
        <is>
          <t>2258607900002656</t>
        </is>
      </c>
      <c r="BB2253" t="inlineStr">
        <is>
          <t>BOOK</t>
        </is>
      </c>
      <c r="BD2253" t="inlineStr">
        <is>
          <t>9780415930109</t>
        </is>
      </c>
      <c r="BE2253" t="inlineStr">
        <is>
          <t>32285004393699</t>
        </is>
      </c>
      <c r="BF2253" t="inlineStr">
        <is>
          <t>893774951</t>
        </is>
      </c>
    </row>
    <row r="2254">
      <c r="A2254" t="inlineStr">
        <is>
          <t>No</t>
        </is>
      </c>
      <c r="B2254" t="inlineStr">
        <is>
          <t>CURAL</t>
        </is>
      </c>
      <c r="C2254" t="inlineStr">
        <is>
          <t>SHELVES</t>
        </is>
      </c>
      <c r="D2254" t="inlineStr">
        <is>
          <t>PR5108 .B69</t>
        </is>
      </c>
      <c r="E2254" t="inlineStr">
        <is>
          <t>0                      PR 5108000B  69</t>
        </is>
      </c>
      <c r="F2254" t="inlineStr">
        <is>
          <t>Newman, his life and spirituality / by Louis Bouyer ; with a preface by the Very Reverend Monsignor H. Francis Davis.</t>
        </is>
      </c>
      <c r="H2254" t="inlineStr">
        <is>
          <t>No</t>
        </is>
      </c>
      <c r="I2254" t="inlineStr">
        <is>
          <t>1</t>
        </is>
      </c>
      <c r="J2254" t="inlineStr">
        <is>
          <t>No</t>
        </is>
      </c>
      <c r="K2254" t="inlineStr">
        <is>
          <t>No</t>
        </is>
      </c>
      <c r="L2254" t="inlineStr">
        <is>
          <t>0</t>
        </is>
      </c>
      <c r="M2254" t="inlineStr">
        <is>
          <t>Bouyer, Louis, 1913-2004.</t>
        </is>
      </c>
      <c r="N2254" t="inlineStr">
        <is>
          <t>New York : P.J. Kenedy &amp; Sons, c1958.</t>
        </is>
      </c>
      <c r="O2254" t="inlineStr">
        <is>
          <t>1958</t>
        </is>
      </c>
      <c r="Q2254" t="inlineStr">
        <is>
          <t>eng</t>
        </is>
      </c>
      <c r="R2254" t="inlineStr">
        <is>
          <t>nyu</t>
        </is>
      </c>
      <c r="T2254" t="inlineStr">
        <is>
          <t xml:space="preserve">PR </t>
        </is>
      </c>
      <c r="U2254" t="n">
        <v>3</v>
      </c>
      <c r="V2254" t="n">
        <v>3</v>
      </c>
      <c r="W2254" t="inlineStr">
        <is>
          <t>2002-12-03</t>
        </is>
      </c>
      <c r="X2254" t="inlineStr">
        <is>
          <t>2002-12-03</t>
        </is>
      </c>
      <c r="Y2254" t="inlineStr">
        <is>
          <t>1993-04-01</t>
        </is>
      </c>
      <c r="Z2254" t="inlineStr">
        <is>
          <t>1993-04-01</t>
        </is>
      </c>
      <c r="AA2254" t="n">
        <v>403</v>
      </c>
      <c r="AB2254" t="n">
        <v>375</v>
      </c>
      <c r="AC2254" t="n">
        <v>575</v>
      </c>
      <c r="AD2254" t="n">
        <v>3</v>
      </c>
      <c r="AE2254" t="n">
        <v>5</v>
      </c>
      <c r="AF2254" t="n">
        <v>27</v>
      </c>
      <c r="AG2254" t="n">
        <v>38</v>
      </c>
      <c r="AH2254" t="n">
        <v>9</v>
      </c>
      <c r="AI2254" t="n">
        <v>14</v>
      </c>
      <c r="AJ2254" t="n">
        <v>8</v>
      </c>
      <c r="AK2254" t="n">
        <v>9</v>
      </c>
      <c r="AL2254" t="n">
        <v>17</v>
      </c>
      <c r="AM2254" t="n">
        <v>23</v>
      </c>
      <c r="AN2254" t="n">
        <v>1</v>
      </c>
      <c r="AO2254" t="n">
        <v>3</v>
      </c>
      <c r="AP2254" t="n">
        <v>0</v>
      </c>
      <c r="AQ2254" t="n">
        <v>0</v>
      </c>
      <c r="AR2254" t="inlineStr">
        <is>
          <t>No</t>
        </is>
      </c>
      <c r="AS2254" t="inlineStr">
        <is>
          <t>Yes</t>
        </is>
      </c>
      <c r="AT2254">
        <f>HYPERLINK("http://catalog.hathitrust.org/Record/001603039","HathiTrust Record")</f>
        <v/>
      </c>
      <c r="AU2254">
        <f>HYPERLINK("https://creighton-primo.hosted.exlibrisgroup.com/primo-explore/search?tab=default_tab&amp;search_scope=EVERYTHING&amp;vid=01CRU&amp;lang=en_US&amp;offset=0&amp;query=any,contains,991002650239702656","Catalog Record")</f>
        <v/>
      </c>
      <c r="AV2254">
        <f>HYPERLINK("http://www.worldcat.org/oclc/386886","WorldCat Record")</f>
        <v/>
      </c>
      <c r="AW2254" t="inlineStr">
        <is>
          <t>285132208:eng</t>
        </is>
      </c>
      <c r="AX2254" t="inlineStr">
        <is>
          <t>386886</t>
        </is>
      </c>
      <c r="AY2254" t="inlineStr">
        <is>
          <t>991002650239702656</t>
        </is>
      </c>
      <c r="AZ2254" t="inlineStr">
        <is>
          <t>991002650239702656</t>
        </is>
      </c>
      <c r="BA2254" t="inlineStr">
        <is>
          <t>2259632550002656</t>
        </is>
      </c>
      <c r="BB2254" t="inlineStr">
        <is>
          <t>BOOK</t>
        </is>
      </c>
      <c r="BE2254" t="inlineStr">
        <is>
          <t>32285001596542</t>
        </is>
      </c>
      <c r="BF2254" t="inlineStr">
        <is>
          <t>893685611</t>
        </is>
      </c>
    </row>
    <row r="2255">
      <c r="A2255" t="inlineStr">
        <is>
          <t>No</t>
        </is>
      </c>
      <c r="B2255" t="inlineStr">
        <is>
          <t>CURAL</t>
        </is>
      </c>
      <c r="C2255" t="inlineStr">
        <is>
          <t>SHELVES</t>
        </is>
      </c>
      <c r="D2255" t="inlineStr">
        <is>
          <t>PR5108 .M66</t>
        </is>
      </c>
      <c r="E2255" t="inlineStr">
        <is>
          <t>0                      PR 5108000M  66</t>
        </is>
      </c>
      <c r="F2255" t="inlineStr">
        <is>
          <t>John Henry Newman / by John Moody.</t>
        </is>
      </c>
      <c r="H2255" t="inlineStr">
        <is>
          <t>No</t>
        </is>
      </c>
      <c r="I2255" t="inlineStr">
        <is>
          <t>1</t>
        </is>
      </c>
      <c r="J2255" t="inlineStr">
        <is>
          <t>No</t>
        </is>
      </c>
      <c r="K2255" t="inlineStr">
        <is>
          <t>No</t>
        </is>
      </c>
      <c r="L2255" t="inlineStr">
        <is>
          <t>0</t>
        </is>
      </c>
      <c r="M2255" t="inlineStr">
        <is>
          <t>Moody, John, 1868-1958.</t>
        </is>
      </c>
      <c r="N2255" t="inlineStr">
        <is>
          <t>New York : Sheed and Ward, 1945.</t>
        </is>
      </c>
      <c r="O2255" t="inlineStr">
        <is>
          <t>1945</t>
        </is>
      </c>
      <c r="Q2255" t="inlineStr">
        <is>
          <t>eng</t>
        </is>
      </c>
      <c r="R2255" t="inlineStr">
        <is>
          <t>nyu</t>
        </is>
      </c>
      <c r="T2255" t="inlineStr">
        <is>
          <t xml:space="preserve">PR </t>
        </is>
      </c>
      <c r="U2255" t="n">
        <v>2</v>
      </c>
      <c r="V2255" t="n">
        <v>2</v>
      </c>
      <c r="W2255" t="inlineStr">
        <is>
          <t>1993-04-06</t>
        </is>
      </c>
      <c r="X2255" t="inlineStr">
        <is>
          <t>1993-04-06</t>
        </is>
      </c>
      <c r="Y2255" t="inlineStr">
        <is>
          <t>1993-04-06</t>
        </is>
      </c>
      <c r="Z2255" t="inlineStr">
        <is>
          <t>1993-04-06</t>
        </is>
      </c>
      <c r="AA2255" t="n">
        <v>545</v>
      </c>
      <c r="AB2255" t="n">
        <v>498</v>
      </c>
      <c r="AC2255" t="n">
        <v>525</v>
      </c>
      <c r="AD2255" t="n">
        <v>6</v>
      </c>
      <c r="AE2255" t="n">
        <v>6</v>
      </c>
      <c r="AF2255" t="n">
        <v>41</v>
      </c>
      <c r="AG2255" t="n">
        <v>41</v>
      </c>
      <c r="AH2255" t="n">
        <v>18</v>
      </c>
      <c r="AI2255" t="n">
        <v>18</v>
      </c>
      <c r="AJ2255" t="n">
        <v>8</v>
      </c>
      <c r="AK2255" t="n">
        <v>8</v>
      </c>
      <c r="AL2255" t="n">
        <v>23</v>
      </c>
      <c r="AM2255" t="n">
        <v>23</v>
      </c>
      <c r="AN2255" t="n">
        <v>4</v>
      </c>
      <c r="AO2255" t="n">
        <v>4</v>
      </c>
      <c r="AP2255" t="n">
        <v>0</v>
      </c>
      <c r="AQ2255" t="n">
        <v>0</v>
      </c>
      <c r="AR2255" t="inlineStr">
        <is>
          <t>No</t>
        </is>
      </c>
      <c r="AS2255" t="inlineStr">
        <is>
          <t>Yes</t>
        </is>
      </c>
      <c r="AT2255">
        <f>HYPERLINK("http://catalog.hathitrust.org/Record/005772214","HathiTrust Record")</f>
        <v/>
      </c>
      <c r="AU2255">
        <f>HYPERLINK("https://creighton-primo.hosted.exlibrisgroup.com/primo-explore/search?tab=default_tab&amp;search_scope=EVERYTHING&amp;vid=01CRU&amp;lang=en_US&amp;offset=0&amp;query=any,contains,991002650209702656","Catalog Record")</f>
        <v/>
      </c>
      <c r="AV2255">
        <f>HYPERLINK("http://www.worldcat.org/oclc/386884","WorldCat Record")</f>
        <v/>
      </c>
      <c r="AW2255" t="inlineStr">
        <is>
          <t>4915900547:eng</t>
        </is>
      </c>
      <c r="AX2255" t="inlineStr">
        <is>
          <t>386884</t>
        </is>
      </c>
      <c r="AY2255" t="inlineStr">
        <is>
          <t>991002650209702656</t>
        </is>
      </c>
      <c r="AZ2255" t="inlineStr">
        <is>
          <t>991002650209702656</t>
        </is>
      </c>
      <c r="BA2255" t="inlineStr">
        <is>
          <t>2259631600002656</t>
        </is>
      </c>
      <c r="BB2255" t="inlineStr">
        <is>
          <t>BOOK</t>
        </is>
      </c>
      <c r="BE2255" t="inlineStr">
        <is>
          <t>32285001499317</t>
        </is>
      </c>
      <c r="BF2255" t="inlineStr">
        <is>
          <t>893591606</t>
        </is>
      </c>
    </row>
    <row r="2256">
      <c r="A2256" t="inlineStr">
        <is>
          <t>No</t>
        </is>
      </c>
      <c r="B2256" t="inlineStr">
        <is>
          <t>CURAL</t>
        </is>
      </c>
      <c r="C2256" t="inlineStr">
        <is>
          <t>SHELVES</t>
        </is>
      </c>
      <c r="D2256" t="inlineStr">
        <is>
          <t>PR5108 .W37 1912</t>
        </is>
      </c>
      <c r="E2256" t="inlineStr">
        <is>
          <t>0                      PR 5108000W  37          1912</t>
        </is>
      </c>
      <c r="F2256" t="inlineStr">
        <is>
          <t>The life of John Henry, cardinal Newman : based on his private journals and correspondence / by Wilfrid Ward ... with portraits.</t>
        </is>
      </c>
      <c r="G2256" t="inlineStr">
        <is>
          <t>V.1</t>
        </is>
      </c>
      <c r="H2256" t="inlineStr">
        <is>
          <t>Yes</t>
        </is>
      </c>
      <c r="I2256" t="inlineStr">
        <is>
          <t>1</t>
        </is>
      </c>
      <c r="J2256" t="inlineStr">
        <is>
          <t>No</t>
        </is>
      </c>
      <c r="K2256" t="inlineStr">
        <is>
          <t>No</t>
        </is>
      </c>
      <c r="L2256" t="inlineStr">
        <is>
          <t>0</t>
        </is>
      </c>
      <c r="M2256" t="inlineStr">
        <is>
          <t>Ward, Wilfrid, 1856-1916.</t>
        </is>
      </c>
      <c r="N2256" t="inlineStr">
        <is>
          <t>London ; New York : Longmans, Green, and co., 1912.</t>
        </is>
      </c>
      <c r="O2256" t="inlineStr">
        <is>
          <t>1912</t>
        </is>
      </c>
      <c r="Q2256" t="inlineStr">
        <is>
          <t>eng</t>
        </is>
      </c>
      <c r="R2256" t="inlineStr">
        <is>
          <t>enk</t>
        </is>
      </c>
      <c r="T2256" t="inlineStr">
        <is>
          <t xml:space="preserve">PR </t>
        </is>
      </c>
      <c r="U2256" t="n">
        <v>3</v>
      </c>
      <c r="V2256" t="n">
        <v>7</v>
      </c>
      <c r="W2256" t="inlineStr">
        <is>
          <t>1998-08-21</t>
        </is>
      </c>
      <c r="X2256" t="inlineStr">
        <is>
          <t>1998-08-21</t>
        </is>
      </c>
      <c r="Y2256" t="inlineStr">
        <is>
          <t>1998-07-14</t>
        </is>
      </c>
      <c r="Z2256" t="inlineStr">
        <is>
          <t>1998-07-14</t>
        </is>
      </c>
      <c r="AA2256" t="n">
        <v>332</v>
      </c>
      <c r="AB2256" t="n">
        <v>253</v>
      </c>
      <c r="AC2256" t="n">
        <v>682</v>
      </c>
      <c r="AD2256" t="n">
        <v>2</v>
      </c>
      <c r="AE2256" t="n">
        <v>8</v>
      </c>
      <c r="AF2256" t="n">
        <v>22</v>
      </c>
      <c r="AG2256" t="n">
        <v>47</v>
      </c>
      <c r="AH2256" t="n">
        <v>8</v>
      </c>
      <c r="AI2256" t="n">
        <v>17</v>
      </c>
      <c r="AJ2256" t="n">
        <v>8</v>
      </c>
      <c r="AK2256" t="n">
        <v>11</v>
      </c>
      <c r="AL2256" t="n">
        <v>11</v>
      </c>
      <c r="AM2256" t="n">
        <v>27</v>
      </c>
      <c r="AN2256" t="n">
        <v>1</v>
      </c>
      <c r="AO2256" t="n">
        <v>6</v>
      </c>
      <c r="AP2256" t="n">
        <v>0</v>
      </c>
      <c r="AQ2256" t="n">
        <v>0</v>
      </c>
      <c r="AR2256" t="inlineStr">
        <is>
          <t>Yes</t>
        </is>
      </c>
      <c r="AS2256" t="inlineStr">
        <is>
          <t>No</t>
        </is>
      </c>
      <c r="AT2256">
        <f>HYPERLINK("http://catalog.hathitrust.org/Record/006575260","HathiTrust Record")</f>
        <v/>
      </c>
      <c r="AU2256">
        <f>HYPERLINK("https://creighton-primo.hosted.exlibrisgroup.com/primo-explore/search?tab=default_tab&amp;search_scope=EVERYTHING&amp;vid=01CRU&amp;lang=en_US&amp;offset=0&amp;query=any,contains,991004388419702656","Catalog Record")</f>
        <v/>
      </c>
      <c r="AV2256">
        <f>HYPERLINK("http://www.worldcat.org/oclc/3252360","WorldCat Record")</f>
        <v/>
      </c>
      <c r="AW2256" t="inlineStr">
        <is>
          <t>1348724:eng</t>
        </is>
      </c>
      <c r="AX2256" t="inlineStr">
        <is>
          <t>3252360</t>
        </is>
      </c>
      <c r="AY2256" t="inlineStr">
        <is>
          <t>991004388419702656</t>
        </is>
      </c>
      <c r="AZ2256" t="inlineStr">
        <is>
          <t>991004388419702656</t>
        </is>
      </c>
      <c r="BA2256" t="inlineStr">
        <is>
          <t>2255303860002656</t>
        </is>
      </c>
      <c r="BB2256" t="inlineStr">
        <is>
          <t>BOOK</t>
        </is>
      </c>
      <c r="BE2256" t="inlineStr">
        <is>
          <t>32285003435434</t>
        </is>
      </c>
      <c r="BF2256" t="inlineStr">
        <is>
          <t>893423733</t>
        </is>
      </c>
    </row>
    <row r="2257">
      <c r="A2257" t="inlineStr">
        <is>
          <t>No</t>
        </is>
      </c>
      <c r="B2257" t="inlineStr">
        <is>
          <t>CURAL</t>
        </is>
      </c>
      <c r="C2257" t="inlineStr">
        <is>
          <t>SHELVES</t>
        </is>
      </c>
      <c r="D2257" t="inlineStr">
        <is>
          <t>PR5108 .W37 1912</t>
        </is>
      </c>
      <c r="E2257" t="inlineStr">
        <is>
          <t>0                      PR 5108000W  37          1912</t>
        </is>
      </c>
      <c r="F2257" t="inlineStr">
        <is>
          <t>The life of John Henry, cardinal Newman : based on his private journals and correspondence / by Wilfrid Ward ... with portraits.</t>
        </is>
      </c>
      <c r="G2257" t="inlineStr">
        <is>
          <t>V.2</t>
        </is>
      </c>
      <c r="H2257" t="inlineStr">
        <is>
          <t>Yes</t>
        </is>
      </c>
      <c r="I2257" t="inlineStr">
        <is>
          <t>1</t>
        </is>
      </c>
      <c r="J2257" t="inlineStr">
        <is>
          <t>No</t>
        </is>
      </c>
      <c r="K2257" t="inlineStr">
        <is>
          <t>No</t>
        </is>
      </c>
      <c r="L2257" t="inlineStr">
        <is>
          <t>0</t>
        </is>
      </c>
      <c r="M2257" t="inlineStr">
        <is>
          <t>Ward, Wilfrid, 1856-1916.</t>
        </is>
      </c>
      <c r="N2257" t="inlineStr">
        <is>
          <t>London ; New York : Longmans, Green, and co., 1912.</t>
        </is>
      </c>
      <c r="O2257" t="inlineStr">
        <is>
          <t>1912</t>
        </is>
      </c>
      <c r="Q2257" t="inlineStr">
        <is>
          <t>eng</t>
        </is>
      </c>
      <c r="R2257" t="inlineStr">
        <is>
          <t>enk</t>
        </is>
      </c>
      <c r="T2257" t="inlineStr">
        <is>
          <t xml:space="preserve">PR </t>
        </is>
      </c>
      <c r="U2257" t="n">
        <v>4</v>
      </c>
      <c r="V2257" t="n">
        <v>7</v>
      </c>
      <c r="W2257" t="inlineStr">
        <is>
          <t>1998-08-21</t>
        </is>
      </c>
      <c r="X2257" t="inlineStr">
        <is>
          <t>1998-08-21</t>
        </is>
      </c>
      <c r="Y2257" t="inlineStr">
        <is>
          <t>1998-07-14</t>
        </is>
      </c>
      <c r="Z2257" t="inlineStr">
        <is>
          <t>1998-07-14</t>
        </is>
      </c>
      <c r="AA2257" t="n">
        <v>332</v>
      </c>
      <c r="AB2257" t="n">
        <v>253</v>
      </c>
      <c r="AC2257" t="n">
        <v>682</v>
      </c>
      <c r="AD2257" t="n">
        <v>2</v>
      </c>
      <c r="AE2257" t="n">
        <v>8</v>
      </c>
      <c r="AF2257" t="n">
        <v>22</v>
      </c>
      <c r="AG2257" t="n">
        <v>47</v>
      </c>
      <c r="AH2257" t="n">
        <v>8</v>
      </c>
      <c r="AI2257" t="n">
        <v>17</v>
      </c>
      <c r="AJ2257" t="n">
        <v>8</v>
      </c>
      <c r="AK2257" t="n">
        <v>11</v>
      </c>
      <c r="AL2257" t="n">
        <v>11</v>
      </c>
      <c r="AM2257" t="n">
        <v>27</v>
      </c>
      <c r="AN2257" t="n">
        <v>1</v>
      </c>
      <c r="AO2257" t="n">
        <v>6</v>
      </c>
      <c r="AP2257" t="n">
        <v>0</v>
      </c>
      <c r="AQ2257" t="n">
        <v>0</v>
      </c>
      <c r="AR2257" t="inlineStr">
        <is>
          <t>Yes</t>
        </is>
      </c>
      <c r="AS2257" t="inlineStr">
        <is>
          <t>No</t>
        </is>
      </c>
      <c r="AT2257">
        <f>HYPERLINK("http://catalog.hathitrust.org/Record/006575260","HathiTrust Record")</f>
        <v/>
      </c>
      <c r="AU2257">
        <f>HYPERLINK("https://creighton-primo.hosted.exlibrisgroup.com/primo-explore/search?tab=default_tab&amp;search_scope=EVERYTHING&amp;vid=01CRU&amp;lang=en_US&amp;offset=0&amp;query=any,contains,991004388419702656","Catalog Record")</f>
        <v/>
      </c>
      <c r="AV2257">
        <f>HYPERLINK("http://www.worldcat.org/oclc/3252360","WorldCat Record")</f>
        <v/>
      </c>
      <c r="AW2257" t="inlineStr">
        <is>
          <t>1348724:eng</t>
        </is>
      </c>
      <c r="AX2257" t="inlineStr">
        <is>
          <t>3252360</t>
        </is>
      </c>
      <c r="AY2257" t="inlineStr">
        <is>
          <t>991004388419702656</t>
        </is>
      </c>
      <c r="AZ2257" t="inlineStr">
        <is>
          <t>991004388419702656</t>
        </is>
      </c>
      <c r="BA2257" t="inlineStr">
        <is>
          <t>2255303860002656</t>
        </is>
      </c>
      <c r="BB2257" t="inlineStr">
        <is>
          <t>BOOK</t>
        </is>
      </c>
      <c r="BE2257" t="inlineStr">
        <is>
          <t>32285003435442</t>
        </is>
      </c>
      <c r="BF2257" t="inlineStr">
        <is>
          <t>893423732</t>
        </is>
      </c>
    </row>
    <row r="2258">
      <c r="A2258" t="inlineStr">
        <is>
          <t>No</t>
        </is>
      </c>
      <c r="B2258" t="inlineStr">
        <is>
          <t>CURAL</t>
        </is>
      </c>
      <c r="C2258" t="inlineStr">
        <is>
          <t>SHELVES</t>
        </is>
      </c>
      <c r="D2258" t="inlineStr">
        <is>
          <t>PR5108 .W372</t>
        </is>
      </c>
      <c r="E2258" t="inlineStr">
        <is>
          <t>0                      PR 5108000W  372</t>
        </is>
      </c>
      <c r="F2258" t="inlineStr">
        <is>
          <t>Young Mr. Newman.</t>
        </is>
      </c>
      <c r="H2258" t="inlineStr">
        <is>
          <t>No</t>
        </is>
      </c>
      <c r="I2258" t="inlineStr">
        <is>
          <t>1</t>
        </is>
      </c>
      <c r="J2258" t="inlineStr">
        <is>
          <t>No</t>
        </is>
      </c>
      <c r="K2258" t="inlineStr">
        <is>
          <t>No</t>
        </is>
      </c>
      <c r="L2258" t="inlineStr">
        <is>
          <t>0</t>
        </is>
      </c>
      <c r="M2258" t="inlineStr">
        <is>
          <t>Ward, Maisie, 1889-1975.</t>
        </is>
      </c>
      <c r="N2258" t="inlineStr">
        <is>
          <t>New York : Sheed &amp; Ward, 1948.</t>
        </is>
      </c>
      <c r="O2258" t="inlineStr">
        <is>
          <t>1948</t>
        </is>
      </c>
      <c r="Q2258" t="inlineStr">
        <is>
          <t>eng</t>
        </is>
      </c>
      <c r="R2258" t="inlineStr">
        <is>
          <t xml:space="preserve">xx </t>
        </is>
      </c>
      <c r="T2258" t="inlineStr">
        <is>
          <t xml:space="preserve">PR </t>
        </is>
      </c>
      <c r="U2258" t="n">
        <v>5</v>
      </c>
      <c r="V2258" t="n">
        <v>5</v>
      </c>
      <c r="W2258" t="inlineStr">
        <is>
          <t>2002-08-10</t>
        </is>
      </c>
      <c r="X2258" t="inlineStr">
        <is>
          <t>2002-08-10</t>
        </is>
      </c>
      <c r="Y2258" t="inlineStr">
        <is>
          <t>1992-10-16</t>
        </is>
      </c>
      <c r="Z2258" t="inlineStr">
        <is>
          <t>1992-10-16</t>
        </is>
      </c>
      <c r="AA2258" t="n">
        <v>438</v>
      </c>
      <c r="AB2258" t="n">
        <v>384</v>
      </c>
      <c r="AC2258" t="n">
        <v>493</v>
      </c>
      <c r="AD2258" t="n">
        <v>1</v>
      </c>
      <c r="AE2258" t="n">
        <v>5</v>
      </c>
      <c r="AF2258" t="n">
        <v>28</v>
      </c>
      <c r="AG2258" t="n">
        <v>38</v>
      </c>
      <c r="AH2258" t="n">
        <v>10</v>
      </c>
      <c r="AI2258" t="n">
        <v>14</v>
      </c>
      <c r="AJ2258" t="n">
        <v>7</v>
      </c>
      <c r="AK2258" t="n">
        <v>8</v>
      </c>
      <c r="AL2258" t="n">
        <v>19</v>
      </c>
      <c r="AM2258" t="n">
        <v>24</v>
      </c>
      <c r="AN2258" t="n">
        <v>0</v>
      </c>
      <c r="AO2258" t="n">
        <v>3</v>
      </c>
      <c r="AP2258" t="n">
        <v>0</v>
      </c>
      <c r="AQ2258" t="n">
        <v>0</v>
      </c>
      <c r="AR2258" t="inlineStr">
        <is>
          <t>Yes</t>
        </is>
      </c>
      <c r="AS2258" t="inlineStr">
        <is>
          <t>No</t>
        </is>
      </c>
      <c r="AT2258">
        <f>HYPERLINK("http://catalog.hathitrust.org/Record/009007976","HathiTrust Record")</f>
        <v/>
      </c>
      <c r="AU2258">
        <f>HYPERLINK("https://creighton-primo.hosted.exlibrisgroup.com/primo-explore/search?tab=default_tab&amp;search_scope=EVERYTHING&amp;vid=01CRU&amp;lang=en_US&amp;offset=0&amp;query=any,contains,991003244749702656","Catalog Record")</f>
        <v/>
      </c>
      <c r="AV2258">
        <f>HYPERLINK("http://www.worldcat.org/oclc/767726","WorldCat Record")</f>
        <v/>
      </c>
      <c r="AW2258" t="inlineStr">
        <is>
          <t>398689075:eng</t>
        </is>
      </c>
      <c r="AX2258" t="inlineStr">
        <is>
          <t>767726</t>
        </is>
      </c>
      <c r="AY2258" t="inlineStr">
        <is>
          <t>991003244749702656</t>
        </is>
      </c>
      <c r="AZ2258" t="inlineStr">
        <is>
          <t>991003244749702656</t>
        </is>
      </c>
      <c r="BA2258" t="inlineStr">
        <is>
          <t>2267361120002656</t>
        </is>
      </c>
      <c r="BB2258" t="inlineStr">
        <is>
          <t>BOOK</t>
        </is>
      </c>
      <c r="BE2258" t="inlineStr">
        <is>
          <t>32285001348423</t>
        </is>
      </c>
      <c r="BF2258" t="inlineStr">
        <is>
          <t>893317793</t>
        </is>
      </c>
    </row>
    <row r="2259">
      <c r="A2259" t="inlineStr">
        <is>
          <t>No</t>
        </is>
      </c>
      <c r="B2259" t="inlineStr">
        <is>
          <t>CURAL</t>
        </is>
      </c>
      <c r="C2259" t="inlineStr">
        <is>
          <t>SHELVES</t>
        </is>
      </c>
      <c r="D2259" t="inlineStr">
        <is>
          <t>PR5109 .N67</t>
        </is>
      </c>
      <c r="E2259" t="inlineStr">
        <is>
          <t>0                      PR 5109000N  67</t>
        </is>
      </c>
      <c r="F2259" t="inlineStr">
        <is>
          <t>Newman and his theological method : a guide for the theologian today / by Thomas J. Norris.</t>
        </is>
      </c>
      <c r="H2259" t="inlineStr">
        <is>
          <t>No</t>
        </is>
      </c>
      <c r="I2259" t="inlineStr">
        <is>
          <t>1</t>
        </is>
      </c>
      <c r="J2259" t="inlineStr">
        <is>
          <t>No</t>
        </is>
      </c>
      <c r="K2259" t="inlineStr">
        <is>
          <t>No</t>
        </is>
      </c>
      <c r="L2259" t="inlineStr">
        <is>
          <t>0</t>
        </is>
      </c>
      <c r="M2259" t="inlineStr">
        <is>
          <t>Norris, Thomas J.</t>
        </is>
      </c>
      <c r="N2259" t="inlineStr">
        <is>
          <t>Leiden : E. J. Brill, 1977.</t>
        </is>
      </c>
      <c r="O2259" t="inlineStr">
        <is>
          <t>1977</t>
        </is>
      </c>
      <c r="Q2259" t="inlineStr">
        <is>
          <t>eng</t>
        </is>
      </c>
      <c r="R2259" t="inlineStr">
        <is>
          <t xml:space="preserve">ne </t>
        </is>
      </c>
      <c r="T2259" t="inlineStr">
        <is>
          <t xml:space="preserve">PR </t>
        </is>
      </c>
      <c r="U2259" t="n">
        <v>6</v>
      </c>
      <c r="V2259" t="n">
        <v>6</v>
      </c>
      <c r="W2259" t="inlineStr">
        <is>
          <t>2008-08-19</t>
        </is>
      </c>
      <c r="X2259" t="inlineStr">
        <is>
          <t>2008-08-19</t>
        </is>
      </c>
      <c r="Y2259" t="inlineStr">
        <is>
          <t>1997-07-16</t>
        </is>
      </c>
      <c r="Z2259" t="inlineStr">
        <is>
          <t>1997-07-16</t>
        </is>
      </c>
      <c r="AA2259" t="n">
        <v>214</v>
      </c>
      <c r="AB2259" t="n">
        <v>148</v>
      </c>
      <c r="AC2259" t="n">
        <v>148</v>
      </c>
      <c r="AD2259" t="n">
        <v>2</v>
      </c>
      <c r="AE2259" t="n">
        <v>2</v>
      </c>
      <c r="AF2259" t="n">
        <v>21</v>
      </c>
      <c r="AG2259" t="n">
        <v>21</v>
      </c>
      <c r="AH2259" t="n">
        <v>5</v>
      </c>
      <c r="AI2259" t="n">
        <v>5</v>
      </c>
      <c r="AJ2259" t="n">
        <v>5</v>
      </c>
      <c r="AK2259" t="n">
        <v>5</v>
      </c>
      <c r="AL2259" t="n">
        <v>16</v>
      </c>
      <c r="AM2259" t="n">
        <v>16</v>
      </c>
      <c r="AN2259" t="n">
        <v>1</v>
      </c>
      <c r="AO2259" t="n">
        <v>1</v>
      </c>
      <c r="AP2259" t="n">
        <v>0</v>
      </c>
      <c r="AQ2259" t="n">
        <v>0</v>
      </c>
      <c r="AR2259" t="inlineStr">
        <is>
          <t>No</t>
        </is>
      </c>
      <c r="AS2259" t="inlineStr">
        <is>
          <t>No</t>
        </is>
      </c>
      <c r="AU2259">
        <f>HYPERLINK("https://creighton-primo.hosted.exlibrisgroup.com/primo-explore/search?tab=default_tab&amp;search_scope=EVERYTHING&amp;vid=01CRU&amp;lang=en_US&amp;offset=0&amp;query=any,contains,991004413039702656","Catalog Record")</f>
        <v/>
      </c>
      <c r="AV2259">
        <f>HYPERLINK("http://www.worldcat.org/oclc/3350522","WorldCat Record")</f>
        <v/>
      </c>
      <c r="AW2259" t="inlineStr">
        <is>
          <t>891538600:eng</t>
        </is>
      </c>
      <c r="AX2259" t="inlineStr">
        <is>
          <t>3350522</t>
        </is>
      </c>
      <c r="AY2259" t="inlineStr">
        <is>
          <t>991004413039702656</t>
        </is>
      </c>
      <c r="AZ2259" t="inlineStr">
        <is>
          <t>991004413039702656</t>
        </is>
      </c>
      <c r="BA2259" t="inlineStr">
        <is>
          <t>2259360500002656</t>
        </is>
      </c>
      <c r="BB2259" t="inlineStr">
        <is>
          <t>BOOK</t>
        </is>
      </c>
      <c r="BD2259" t="inlineStr">
        <is>
          <t>9789004048843</t>
        </is>
      </c>
      <c r="BE2259" t="inlineStr">
        <is>
          <t>32285002929015</t>
        </is>
      </c>
      <c r="BF2259" t="inlineStr">
        <is>
          <t>893599811</t>
        </is>
      </c>
    </row>
    <row r="2260">
      <c r="A2260" t="inlineStr">
        <is>
          <t>No</t>
        </is>
      </c>
      <c r="B2260" t="inlineStr">
        <is>
          <t>CURAL</t>
        </is>
      </c>
      <c r="C2260" t="inlineStr">
        <is>
          <t>SHELVES</t>
        </is>
      </c>
      <c r="D2260" t="inlineStr">
        <is>
          <t>PR5109 .R8</t>
        </is>
      </c>
      <c r="E2260" t="inlineStr">
        <is>
          <t>0                      PR 5109000R  8</t>
        </is>
      </c>
      <c r="F2260" t="inlineStr">
        <is>
          <t>A college handbook to Newman, by Edwin Ryan, D. D.</t>
        </is>
      </c>
      <c r="H2260" t="inlineStr">
        <is>
          <t>No</t>
        </is>
      </c>
      <c r="I2260" t="inlineStr">
        <is>
          <t>1</t>
        </is>
      </c>
      <c r="J2260" t="inlineStr">
        <is>
          <t>No</t>
        </is>
      </c>
      <c r="K2260" t="inlineStr">
        <is>
          <t>No</t>
        </is>
      </c>
      <c r="L2260" t="inlineStr">
        <is>
          <t>0</t>
        </is>
      </c>
      <c r="M2260" t="inlineStr">
        <is>
          <t>Ryan, Edwin.</t>
        </is>
      </c>
      <c r="N2260" t="inlineStr">
        <is>
          <t>Washington, D. C., The Catholic Education Press, 1930.</t>
        </is>
      </c>
      <c r="O2260" t="inlineStr">
        <is>
          <t>1930</t>
        </is>
      </c>
      <c r="Q2260" t="inlineStr">
        <is>
          <t>eng</t>
        </is>
      </c>
      <c r="R2260" t="inlineStr">
        <is>
          <t xml:space="preserve">xx </t>
        </is>
      </c>
      <c r="T2260" t="inlineStr">
        <is>
          <t xml:space="preserve">PR </t>
        </is>
      </c>
      <c r="U2260" t="n">
        <v>3</v>
      </c>
      <c r="V2260" t="n">
        <v>3</v>
      </c>
      <c r="W2260" t="inlineStr">
        <is>
          <t>2000-02-20</t>
        </is>
      </c>
      <c r="X2260" t="inlineStr">
        <is>
          <t>2000-02-20</t>
        </is>
      </c>
      <c r="Y2260" t="inlineStr">
        <is>
          <t>1997-07-16</t>
        </is>
      </c>
      <c r="Z2260" t="inlineStr">
        <is>
          <t>1997-07-16</t>
        </is>
      </c>
      <c r="AA2260" t="n">
        <v>73</v>
      </c>
      <c r="AB2260" t="n">
        <v>70</v>
      </c>
      <c r="AC2260" t="n">
        <v>71</v>
      </c>
      <c r="AD2260" t="n">
        <v>1</v>
      </c>
      <c r="AE2260" t="n">
        <v>1</v>
      </c>
      <c r="AF2260" t="n">
        <v>11</v>
      </c>
      <c r="AG2260" t="n">
        <v>11</v>
      </c>
      <c r="AH2260" t="n">
        <v>2</v>
      </c>
      <c r="AI2260" t="n">
        <v>2</v>
      </c>
      <c r="AJ2260" t="n">
        <v>2</v>
      </c>
      <c r="AK2260" t="n">
        <v>2</v>
      </c>
      <c r="AL2260" t="n">
        <v>9</v>
      </c>
      <c r="AM2260" t="n">
        <v>9</v>
      </c>
      <c r="AN2260" t="n">
        <v>0</v>
      </c>
      <c r="AO2260" t="n">
        <v>0</v>
      </c>
      <c r="AP2260" t="n">
        <v>0</v>
      </c>
      <c r="AQ2260" t="n">
        <v>0</v>
      </c>
      <c r="AR2260" t="inlineStr">
        <is>
          <t>No</t>
        </is>
      </c>
      <c r="AS2260" t="inlineStr">
        <is>
          <t>Yes</t>
        </is>
      </c>
      <c r="AT2260">
        <f>HYPERLINK("http://catalog.hathitrust.org/Record/006535233","HathiTrust Record")</f>
        <v/>
      </c>
      <c r="AU2260">
        <f>HYPERLINK("https://creighton-primo.hosted.exlibrisgroup.com/primo-explore/search?tab=default_tab&amp;search_scope=EVERYTHING&amp;vid=01CRU&amp;lang=en_US&amp;offset=0&amp;query=any,contains,991003542489702656","Catalog Record")</f>
        <v/>
      </c>
      <c r="AV2260">
        <f>HYPERLINK("http://www.worldcat.org/oclc/1107252","WorldCat Record")</f>
        <v/>
      </c>
      <c r="AW2260" t="inlineStr">
        <is>
          <t>1983547:eng</t>
        </is>
      </c>
      <c r="AX2260" t="inlineStr">
        <is>
          <t>1107252</t>
        </is>
      </c>
      <c r="AY2260" t="inlineStr">
        <is>
          <t>991003542489702656</t>
        </is>
      </c>
      <c r="AZ2260" t="inlineStr">
        <is>
          <t>991003542489702656</t>
        </is>
      </c>
      <c r="BA2260" t="inlineStr">
        <is>
          <t>2257803660002656</t>
        </is>
      </c>
      <c r="BB2260" t="inlineStr">
        <is>
          <t>BOOK</t>
        </is>
      </c>
      <c r="BE2260" t="inlineStr">
        <is>
          <t>32285002929031</t>
        </is>
      </c>
      <c r="BF2260" t="inlineStr">
        <is>
          <t>893799855</t>
        </is>
      </c>
    </row>
    <row r="2261">
      <c r="A2261" t="inlineStr">
        <is>
          <t>No</t>
        </is>
      </c>
      <c r="B2261" t="inlineStr">
        <is>
          <t>CURAL</t>
        </is>
      </c>
      <c r="C2261" t="inlineStr">
        <is>
          <t>SHELVES</t>
        </is>
      </c>
      <c r="D2261" t="inlineStr">
        <is>
          <t>PR5109.B45 B7</t>
        </is>
      </c>
      <c r="E2261" t="inlineStr">
        <is>
          <t>0                      PR 5109000B  45                 B  7</t>
        </is>
      </c>
      <c r="F2261" t="inlineStr">
        <is>
          <t>A preface to Newman's theology, by Rev. Edmond Darvil Benard ...</t>
        </is>
      </c>
      <c r="H2261" t="inlineStr">
        <is>
          <t>No</t>
        </is>
      </c>
      <c r="I2261" t="inlineStr">
        <is>
          <t>1</t>
        </is>
      </c>
      <c r="J2261" t="inlineStr">
        <is>
          <t>No</t>
        </is>
      </c>
      <c r="K2261" t="inlineStr">
        <is>
          <t>No</t>
        </is>
      </c>
      <c r="L2261" t="inlineStr">
        <is>
          <t>0</t>
        </is>
      </c>
      <c r="M2261" t="inlineStr">
        <is>
          <t>Benard, Edmond Darvil, 1914-</t>
        </is>
      </c>
      <c r="N2261" t="inlineStr">
        <is>
          <t>St. Louis, Mo., London, B. Herder book co., 1945.</t>
        </is>
      </c>
      <c r="O2261" t="inlineStr">
        <is>
          <t>1945</t>
        </is>
      </c>
      <c r="Q2261" t="inlineStr">
        <is>
          <t>eng</t>
        </is>
      </c>
      <c r="R2261" t="inlineStr">
        <is>
          <t>mou</t>
        </is>
      </c>
      <c r="T2261" t="inlineStr">
        <is>
          <t xml:space="preserve">PR </t>
        </is>
      </c>
      <c r="U2261" t="n">
        <v>3</v>
      </c>
      <c r="V2261" t="n">
        <v>3</v>
      </c>
      <c r="W2261" t="inlineStr">
        <is>
          <t>1998-03-16</t>
        </is>
      </c>
      <c r="X2261" t="inlineStr">
        <is>
          <t>1998-03-16</t>
        </is>
      </c>
      <c r="Y2261" t="inlineStr">
        <is>
          <t>1997-07-16</t>
        </is>
      </c>
      <c r="Z2261" t="inlineStr">
        <is>
          <t>1997-07-16</t>
        </is>
      </c>
      <c r="AA2261" t="n">
        <v>222</v>
      </c>
      <c r="AB2261" t="n">
        <v>192</v>
      </c>
      <c r="AC2261" t="n">
        <v>231</v>
      </c>
      <c r="AD2261" t="n">
        <v>2</v>
      </c>
      <c r="AE2261" t="n">
        <v>3</v>
      </c>
      <c r="AF2261" t="n">
        <v>32</v>
      </c>
      <c r="AG2261" t="n">
        <v>35</v>
      </c>
      <c r="AH2261" t="n">
        <v>10</v>
      </c>
      <c r="AI2261" t="n">
        <v>11</v>
      </c>
      <c r="AJ2261" t="n">
        <v>8</v>
      </c>
      <c r="AK2261" t="n">
        <v>8</v>
      </c>
      <c r="AL2261" t="n">
        <v>26</v>
      </c>
      <c r="AM2261" t="n">
        <v>27</v>
      </c>
      <c r="AN2261" t="n">
        <v>0</v>
      </c>
      <c r="AO2261" t="n">
        <v>1</v>
      </c>
      <c r="AP2261" t="n">
        <v>0</v>
      </c>
      <c r="AQ2261" t="n">
        <v>0</v>
      </c>
      <c r="AR2261" t="inlineStr">
        <is>
          <t>No</t>
        </is>
      </c>
      <c r="AS2261" t="inlineStr">
        <is>
          <t>Yes</t>
        </is>
      </c>
      <c r="AT2261">
        <f>HYPERLINK("http://catalog.hathitrust.org/Record/102637597","HathiTrust Record")</f>
        <v/>
      </c>
      <c r="AU2261">
        <f>HYPERLINK("https://creighton-primo.hosted.exlibrisgroup.com/primo-explore/search?tab=default_tab&amp;search_scope=EVERYTHING&amp;vid=01CRU&amp;lang=en_US&amp;offset=0&amp;query=any,contains,991003534849702656","Catalog Record")</f>
        <v/>
      </c>
      <c r="AV2261">
        <f>HYPERLINK("http://www.worldcat.org/oclc/1098833","WorldCat Record")</f>
        <v/>
      </c>
      <c r="AW2261" t="inlineStr">
        <is>
          <t>2079367:eng</t>
        </is>
      </c>
      <c r="AX2261" t="inlineStr">
        <is>
          <t>1098833</t>
        </is>
      </c>
      <c r="AY2261" t="inlineStr">
        <is>
          <t>991003534849702656</t>
        </is>
      </c>
      <c r="AZ2261" t="inlineStr">
        <is>
          <t>991003534849702656</t>
        </is>
      </c>
      <c r="BA2261" t="inlineStr">
        <is>
          <t>2267450060002656</t>
        </is>
      </c>
      <c r="BB2261" t="inlineStr">
        <is>
          <t>BOOK</t>
        </is>
      </c>
      <c r="BE2261" t="inlineStr">
        <is>
          <t>32285002928801</t>
        </is>
      </c>
      <c r="BF2261" t="inlineStr">
        <is>
          <t>893721975</t>
        </is>
      </c>
    </row>
    <row r="2262">
      <c r="A2262" t="inlineStr">
        <is>
          <t>No</t>
        </is>
      </c>
      <c r="B2262" t="inlineStr">
        <is>
          <t>CURAL</t>
        </is>
      </c>
      <c r="C2262" t="inlineStr">
        <is>
          <t>SHELVES</t>
        </is>
      </c>
      <c r="D2262" t="inlineStr">
        <is>
          <t>PR5109.B54 N4</t>
        </is>
      </c>
      <c r="E2262" t="inlineStr">
        <is>
          <t>0                      PR 5109000B  54                 N  4</t>
        </is>
      </c>
      <c r="F2262" t="inlineStr">
        <is>
          <t>Newman's Apologia: a classic reconsidered, edited by Vincent Ferrer Blehl and Francis X. Connolly.</t>
        </is>
      </c>
      <c r="H2262" t="inlineStr">
        <is>
          <t>No</t>
        </is>
      </c>
      <c r="I2262" t="inlineStr">
        <is>
          <t>1</t>
        </is>
      </c>
      <c r="J2262" t="inlineStr">
        <is>
          <t>No</t>
        </is>
      </c>
      <c r="K2262" t="inlineStr">
        <is>
          <t>No</t>
        </is>
      </c>
      <c r="L2262" t="inlineStr">
        <is>
          <t>0</t>
        </is>
      </c>
      <c r="M2262" t="inlineStr">
        <is>
          <t>Symposium on the Apologia (1963 : Fordham University)</t>
        </is>
      </c>
      <c r="N2262" t="inlineStr">
        <is>
          <t>New York, Harcourt, Brace &amp; World [1964]</t>
        </is>
      </c>
      <c r="O2262" t="inlineStr">
        <is>
          <t>1964</t>
        </is>
      </c>
      <c r="P2262" t="inlineStr">
        <is>
          <t>[1st ed.]</t>
        </is>
      </c>
      <c r="Q2262" t="inlineStr">
        <is>
          <t>eng</t>
        </is>
      </c>
      <c r="R2262" t="inlineStr">
        <is>
          <t>nyu</t>
        </is>
      </c>
      <c r="T2262" t="inlineStr">
        <is>
          <t xml:space="preserve">PR </t>
        </is>
      </c>
      <c r="U2262" t="n">
        <v>1</v>
      </c>
      <c r="V2262" t="n">
        <v>1</v>
      </c>
      <c r="W2262" t="inlineStr">
        <is>
          <t>1998-03-16</t>
        </is>
      </c>
      <c r="X2262" t="inlineStr">
        <is>
          <t>1998-03-16</t>
        </is>
      </c>
      <c r="Y2262" t="inlineStr">
        <is>
          <t>1997-07-16</t>
        </is>
      </c>
      <c r="Z2262" t="inlineStr">
        <is>
          <t>1997-07-16</t>
        </is>
      </c>
      <c r="AA2262" t="n">
        <v>392</v>
      </c>
      <c r="AB2262" t="n">
        <v>350</v>
      </c>
      <c r="AC2262" t="n">
        <v>353</v>
      </c>
      <c r="AD2262" t="n">
        <v>1</v>
      </c>
      <c r="AE2262" t="n">
        <v>1</v>
      </c>
      <c r="AF2262" t="n">
        <v>25</v>
      </c>
      <c r="AG2262" t="n">
        <v>25</v>
      </c>
      <c r="AH2262" t="n">
        <v>8</v>
      </c>
      <c r="AI2262" t="n">
        <v>8</v>
      </c>
      <c r="AJ2262" t="n">
        <v>6</v>
      </c>
      <c r="AK2262" t="n">
        <v>6</v>
      </c>
      <c r="AL2262" t="n">
        <v>20</v>
      </c>
      <c r="AM2262" t="n">
        <v>20</v>
      </c>
      <c r="AN2262" t="n">
        <v>0</v>
      </c>
      <c r="AO2262" t="n">
        <v>0</v>
      </c>
      <c r="AP2262" t="n">
        <v>0</v>
      </c>
      <c r="AQ2262" t="n">
        <v>0</v>
      </c>
      <c r="AR2262" t="inlineStr">
        <is>
          <t>No</t>
        </is>
      </c>
      <c r="AS2262" t="inlineStr">
        <is>
          <t>Yes</t>
        </is>
      </c>
      <c r="AT2262">
        <f>HYPERLINK("http://catalog.hathitrust.org/Record/001592145","HathiTrust Record")</f>
        <v/>
      </c>
      <c r="AU2262">
        <f>HYPERLINK("https://creighton-primo.hosted.exlibrisgroup.com/primo-explore/search?tab=default_tab&amp;search_scope=EVERYTHING&amp;vid=01CRU&amp;lang=en_US&amp;offset=0&amp;query=any,contains,991003534819702656","Catalog Record")</f>
        <v/>
      </c>
      <c r="AV2262">
        <f>HYPERLINK("http://www.worldcat.org/oclc/1098818","WorldCat Record")</f>
        <v/>
      </c>
      <c r="AW2262" t="inlineStr">
        <is>
          <t>2079348:eng</t>
        </is>
      </c>
      <c r="AX2262" t="inlineStr">
        <is>
          <t>1098818</t>
        </is>
      </c>
      <c r="AY2262" t="inlineStr">
        <is>
          <t>991003534819702656</t>
        </is>
      </c>
      <c r="AZ2262" t="inlineStr">
        <is>
          <t>991003534819702656</t>
        </is>
      </c>
      <c r="BA2262" t="inlineStr">
        <is>
          <t>2267468670002656</t>
        </is>
      </c>
      <c r="BB2262" t="inlineStr">
        <is>
          <t>BOOK</t>
        </is>
      </c>
      <c r="BE2262" t="inlineStr">
        <is>
          <t>32285002928827</t>
        </is>
      </c>
      <c r="BF2262" t="inlineStr">
        <is>
          <t>893692811</t>
        </is>
      </c>
    </row>
    <row r="2263">
      <c r="A2263" t="inlineStr">
        <is>
          <t>No</t>
        </is>
      </c>
      <c r="B2263" t="inlineStr">
        <is>
          <t>CURAL</t>
        </is>
      </c>
      <c r="C2263" t="inlineStr">
        <is>
          <t>SHELVES</t>
        </is>
      </c>
      <c r="D2263" t="inlineStr">
        <is>
          <t>PR5109.C35 J6</t>
        </is>
      </c>
      <c r="E2263" t="inlineStr">
        <is>
          <t>0                      PR 5109000C  35                 J  6</t>
        </is>
      </c>
      <c r="F2263" t="inlineStr">
        <is>
          <t>John Henry Newman.</t>
        </is>
      </c>
      <c r="H2263" t="inlineStr">
        <is>
          <t>No</t>
        </is>
      </c>
      <c r="I2263" t="inlineStr">
        <is>
          <t>1</t>
        </is>
      </c>
      <c r="J2263" t="inlineStr">
        <is>
          <t>No</t>
        </is>
      </c>
      <c r="K2263" t="inlineStr">
        <is>
          <t>No</t>
        </is>
      </c>
      <c r="L2263" t="inlineStr">
        <is>
          <t>0</t>
        </is>
      </c>
      <c r="M2263" t="inlineStr">
        <is>
          <t>Cameron, J. M. (James Malcolm), 1930-2003.</t>
        </is>
      </c>
      <c r="N2263" t="inlineStr">
        <is>
          <t>London, Published for the British Council by Longmans, Green [1956]</t>
        </is>
      </c>
      <c r="O2263" t="inlineStr">
        <is>
          <t>1956</t>
        </is>
      </c>
      <c r="Q2263" t="inlineStr">
        <is>
          <t>eng</t>
        </is>
      </c>
      <c r="R2263" t="inlineStr">
        <is>
          <t>enk</t>
        </is>
      </c>
      <c r="S2263" t="inlineStr">
        <is>
          <t>Writers and their work ; no. 72</t>
        </is>
      </c>
      <c r="T2263" t="inlineStr">
        <is>
          <t xml:space="preserve">PR </t>
        </is>
      </c>
      <c r="U2263" t="n">
        <v>2</v>
      </c>
      <c r="V2263" t="n">
        <v>2</v>
      </c>
      <c r="W2263" t="inlineStr">
        <is>
          <t>2010-08-31</t>
        </is>
      </c>
      <c r="X2263" t="inlineStr">
        <is>
          <t>2010-08-31</t>
        </is>
      </c>
      <c r="Y2263" t="inlineStr">
        <is>
          <t>1998-02-09</t>
        </is>
      </c>
      <c r="Z2263" t="inlineStr">
        <is>
          <t>1998-02-09</t>
        </is>
      </c>
      <c r="AA2263" t="n">
        <v>444</v>
      </c>
      <c r="AB2263" t="n">
        <v>337</v>
      </c>
      <c r="AC2263" t="n">
        <v>545</v>
      </c>
      <c r="AD2263" t="n">
        <v>4</v>
      </c>
      <c r="AE2263" t="n">
        <v>4</v>
      </c>
      <c r="AF2263" t="n">
        <v>30</v>
      </c>
      <c r="AG2263" t="n">
        <v>31</v>
      </c>
      <c r="AH2263" t="n">
        <v>11</v>
      </c>
      <c r="AI2263" t="n">
        <v>12</v>
      </c>
      <c r="AJ2263" t="n">
        <v>7</v>
      </c>
      <c r="AK2263" t="n">
        <v>7</v>
      </c>
      <c r="AL2263" t="n">
        <v>20</v>
      </c>
      <c r="AM2263" t="n">
        <v>20</v>
      </c>
      <c r="AN2263" t="n">
        <v>3</v>
      </c>
      <c r="AO2263" t="n">
        <v>3</v>
      </c>
      <c r="AP2263" t="n">
        <v>0</v>
      </c>
      <c r="AQ2263" t="n">
        <v>0</v>
      </c>
      <c r="AR2263" t="inlineStr">
        <is>
          <t>No</t>
        </is>
      </c>
      <c r="AS2263" t="inlineStr">
        <is>
          <t>Yes</t>
        </is>
      </c>
      <c r="AT2263">
        <f>HYPERLINK("http://catalog.hathitrust.org/Record/006665637","HathiTrust Record")</f>
        <v/>
      </c>
      <c r="AU2263">
        <f>HYPERLINK("https://creighton-primo.hosted.exlibrisgroup.com/primo-explore/search?tab=default_tab&amp;search_scope=EVERYTHING&amp;vid=01CRU&amp;lang=en_US&amp;offset=0&amp;query=any,contains,991002190279702656","Catalog Record")</f>
        <v/>
      </c>
      <c r="AV2263">
        <f>HYPERLINK("http://www.worldcat.org/oclc/280929","WorldCat Record")</f>
        <v/>
      </c>
      <c r="AW2263" t="inlineStr">
        <is>
          <t>119427968:eng</t>
        </is>
      </c>
      <c r="AX2263" t="inlineStr">
        <is>
          <t>280929</t>
        </is>
      </c>
      <c r="AY2263" t="inlineStr">
        <is>
          <t>991002190279702656</t>
        </is>
      </c>
      <c r="AZ2263" t="inlineStr">
        <is>
          <t>991002190279702656</t>
        </is>
      </c>
      <c r="BA2263" t="inlineStr">
        <is>
          <t>2267757910002656</t>
        </is>
      </c>
      <c r="BB2263" t="inlineStr">
        <is>
          <t>BOOK</t>
        </is>
      </c>
      <c r="BE2263" t="inlineStr">
        <is>
          <t>32285003342515</t>
        </is>
      </c>
      <c r="BF2263" t="inlineStr">
        <is>
          <t>893352189</t>
        </is>
      </c>
    </row>
    <row r="2264">
      <c r="A2264" t="inlineStr">
        <is>
          <t>No</t>
        </is>
      </c>
      <c r="B2264" t="inlineStr">
        <is>
          <t>CURAL</t>
        </is>
      </c>
      <c r="C2264" t="inlineStr">
        <is>
          <t>SHELVES</t>
        </is>
      </c>
      <c r="D2264" t="inlineStr">
        <is>
          <t>PR5109.C38 N4</t>
        </is>
      </c>
      <c r="E2264" t="inlineStr">
        <is>
          <t>0                      PR 5109000C  38                 N  4</t>
        </is>
      </c>
      <c r="F2264" t="inlineStr">
        <is>
          <t>A Newman symposium; report on the tenth annual meeting of the Catholic Renascence Society at the College of the Holy Cross, Worcester, Mass., April 1952. Edited by Victor R. Yanitelli.</t>
        </is>
      </c>
      <c r="H2264" t="inlineStr">
        <is>
          <t>No</t>
        </is>
      </c>
      <c r="I2264" t="inlineStr">
        <is>
          <t>1</t>
        </is>
      </c>
      <c r="J2264" t="inlineStr">
        <is>
          <t>No</t>
        </is>
      </c>
      <c r="K2264" t="inlineStr">
        <is>
          <t>No</t>
        </is>
      </c>
      <c r="L2264" t="inlineStr">
        <is>
          <t>0</t>
        </is>
      </c>
      <c r="M2264" t="inlineStr">
        <is>
          <t>Catholic Renascence Society.</t>
        </is>
      </c>
      <c r="N2264" t="inlineStr">
        <is>
          <t>[New York] Fordham University [1952?]</t>
        </is>
      </c>
      <c r="O2264" t="inlineStr">
        <is>
          <t>1952</t>
        </is>
      </c>
      <c r="Q2264" t="inlineStr">
        <is>
          <t>eng</t>
        </is>
      </c>
      <c r="R2264" t="inlineStr">
        <is>
          <t xml:space="preserve">xx </t>
        </is>
      </c>
      <c r="T2264" t="inlineStr">
        <is>
          <t xml:space="preserve">PR </t>
        </is>
      </c>
      <c r="U2264" t="n">
        <v>6</v>
      </c>
      <c r="V2264" t="n">
        <v>6</v>
      </c>
      <c r="W2264" t="inlineStr">
        <is>
          <t>1998-03-16</t>
        </is>
      </c>
      <c r="X2264" t="inlineStr">
        <is>
          <t>1998-03-16</t>
        </is>
      </c>
      <c r="Y2264" t="inlineStr">
        <is>
          <t>1997-07-16</t>
        </is>
      </c>
      <c r="Z2264" t="inlineStr">
        <is>
          <t>1997-07-16</t>
        </is>
      </c>
      <c r="AA2264" t="n">
        <v>87</v>
      </c>
      <c r="AB2264" t="n">
        <v>79</v>
      </c>
      <c r="AC2264" t="n">
        <v>80</v>
      </c>
      <c r="AD2264" t="n">
        <v>1</v>
      </c>
      <c r="AE2264" t="n">
        <v>1</v>
      </c>
      <c r="AF2264" t="n">
        <v>19</v>
      </c>
      <c r="AG2264" t="n">
        <v>19</v>
      </c>
      <c r="AH2264" t="n">
        <v>8</v>
      </c>
      <c r="AI2264" t="n">
        <v>8</v>
      </c>
      <c r="AJ2264" t="n">
        <v>4</v>
      </c>
      <c r="AK2264" t="n">
        <v>4</v>
      </c>
      <c r="AL2264" t="n">
        <v>16</v>
      </c>
      <c r="AM2264" t="n">
        <v>16</v>
      </c>
      <c r="AN2264" t="n">
        <v>0</v>
      </c>
      <c r="AO2264" t="n">
        <v>0</v>
      </c>
      <c r="AP2264" t="n">
        <v>0</v>
      </c>
      <c r="AQ2264" t="n">
        <v>0</v>
      </c>
      <c r="AR2264" t="inlineStr">
        <is>
          <t>No</t>
        </is>
      </c>
      <c r="AS2264" t="inlineStr">
        <is>
          <t>No</t>
        </is>
      </c>
      <c r="AU2264">
        <f>HYPERLINK("https://creighton-primo.hosted.exlibrisgroup.com/primo-explore/search?tab=default_tab&amp;search_scope=EVERYTHING&amp;vid=01CRU&amp;lang=en_US&amp;offset=0&amp;query=any,contains,991003544399702656","Catalog Record")</f>
        <v/>
      </c>
      <c r="AV2264">
        <f>HYPERLINK("http://www.worldcat.org/oclc/1110329","WorldCat Record")</f>
        <v/>
      </c>
      <c r="AW2264" t="inlineStr">
        <is>
          <t>10172053469:eng</t>
        </is>
      </c>
      <c r="AX2264" t="inlineStr">
        <is>
          <t>1110329</t>
        </is>
      </c>
      <c r="AY2264" t="inlineStr">
        <is>
          <t>991003544399702656</t>
        </is>
      </c>
      <c r="AZ2264" t="inlineStr">
        <is>
          <t>991003544399702656</t>
        </is>
      </c>
      <c r="BA2264" t="inlineStr">
        <is>
          <t>2271912360002656</t>
        </is>
      </c>
      <c r="BB2264" t="inlineStr">
        <is>
          <t>BOOK</t>
        </is>
      </c>
      <c r="BE2264" t="inlineStr">
        <is>
          <t>32285002928850</t>
        </is>
      </c>
      <c r="BF2264" t="inlineStr">
        <is>
          <t>893348791</t>
        </is>
      </c>
    </row>
    <row r="2265">
      <c r="A2265" t="inlineStr">
        <is>
          <t>No</t>
        </is>
      </c>
      <c r="B2265" t="inlineStr">
        <is>
          <t>CURAL</t>
        </is>
      </c>
      <c r="C2265" t="inlineStr">
        <is>
          <t>SHELVES</t>
        </is>
      </c>
      <c r="D2265" t="inlineStr">
        <is>
          <t>PR5109.H37 J6</t>
        </is>
      </c>
      <c r="E2265" t="inlineStr">
        <is>
          <t>0                      PR 5109000H  37                 J  6</t>
        </is>
      </c>
      <c r="F2265" t="inlineStr">
        <is>
          <t>John Henry Newman; an expository and critical study of his mind, thought and art, by Charles Frederick Harrold.</t>
        </is>
      </c>
      <c r="H2265" t="inlineStr">
        <is>
          <t>No</t>
        </is>
      </c>
      <c r="I2265" t="inlineStr">
        <is>
          <t>1</t>
        </is>
      </c>
      <c r="J2265" t="inlineStr">
        <is>
          <t>No</t>
        </is>
      </c>
      <c r="K2265" t="inlineStr">
        <is>
          <t>No</t>
        </is>
      </c>
      <c r="L2265" t="inlineStr">
        <is>
          <t>0</t>
        </is>
      </c>
      <c r="M2265" t="inlineStr">
        <is>
          <t>Harrold, Charles Frederick, 1897-1948.</t>
        </is>
      </c>
      <c r="N2265" t="inlineStr">
        <is>
          <t>London, New York [etc.] Longmans, Green &amp; Co., inc., 1945.</t>
        </is>
      </c>
      <c r="O2265" t="inlineStr">
        <is>
          <t>1945</t>
        </is>
      </c>
      <c r="Q2265" t="inlineStr">
        <is>
          <t>eng</t>
        </is>
      </c>
      <c r="R2265" t="inlineStr">
        <is>
          <t>enk</t>
        </is>
      </c>
      <c r="T2265" t="inlineStr">
        <is>
          <t xml:space="preserve">PR </t>
        </is>
      </c>
      <c r="U2265" t="n">
        <v>6</v>
      </c>
      <c r="V2265" t="n">
        <v>6</v>
      </c>
      <c r="W2265" t="inlineStr">
        <is>
          <t>2000-02-20</t>
        </is>
      </c>
      <c r="X2265" t="inlineStr">
        <is>
          <t>2000-02-20</t>
        </is>
      </c>
      <c r="Y2265" t="inlineStr">
        <is>
          <t>1997-07-16</t>
        </is>
      </c>
      <c r="Z2265" t="inlineStr">
        <is>
          <t>1997-07-16</t>
        </is>
      </c>
      <c r="AA2265" t="n">
        <v>564</v>
      </c>
      <c r="AB2265" t="n">
        <v>515</v>
      </c>
      <c r="AC2265" t="n">
        <v>840</v>
      </c>
      <c r="AD2265" t="n">
        <v>5</v>
      </c>
      <c r="AE2265" t="n">
        <v>7</v>
      </c>
      <c r="AF2265" t="n">
        <v>38</v>
      </c>
      <c r="AG2265" t="n">
        <v>45</v>
      </c>
      <c r="AH2265" t="n">
        <v>13</v>
      </c>
      <c r="AI2265" t="n">
        <v>18</v>
      </c>
      <c r="AJ2265" t="n">
        <v>9</v>
      </c>
      <c r="AK2265" t="n">
        <v>9</v>
      </c>
      <c r="AL2265" t="n">
        <v>24</v>
      </c>
      <c r="AM2265" t="n">
        <v>24</v>
      </c>
      <c r="AN2265" t="n">
        <v>3</v>
      </c>
      <c r="AO2265" t="n">
        <v>5</v>
      </c>
      <c r="AP2265" t="n">
        <v>0</v>
      </c>
      <c r="AQ2265" t="n">
        <v>0</v>
      </c>
      <c r="AR2265" t="inlineStr">
        <is>
          <t>No</t>
        </is>
      </c>
      <c r="AS2265" t="inlineStr">
        <is>
          <t>Yes</t>
        </is>
      </c>
      <c r="AT2265">
        <f>HYPERLINK("http://catalog.hathitrust.org/Record/001592127","HathiTrust Record")</f>
        <v/>
      </c>
      <c r="AU2265">
        <f>HYPERLINK("https://creighton-primo.hosted.exlibrisgroup.com/primo-explore/search?tab=default_tab&amp;search_scope=EVERYTHING&amp;vid=01CRU&amp;lang=en_US&amp;offset=0&amp;query=any,contains,991003243029702656","Catalog Record")</f>
        <v/>
      </c>
      <c r="AV2265">
        <f>HYPERLINK("http://www.worldcat.org/oclc/766000","WorldCat Record")</f>
        <v/>
      </c>
      <c r="AW2265" t="inlineStr">
        <is>
          <t>1909421949:eng</t>
        </is>
      </c>
      <c r="AX2265" t="inlineStr">
        <is>
          <t>766000</t>
        </is>
      </c>
      <c r="AY2265" t="inlineStr">
        <is>
          <t>991003243029702656</t>
        </is>
      </c>
      <c r="AZ2265" t="inlineStr">
        <is>
          <t>991003243029702656</t>
        </is>
      </c>
      <c r="BA2265" t="inlineStr">
        <is>
          <t>2270118530002656</t>
        </is>
      </c>
      <c r="BB2265" t="inlineStr">
        <is>
          <t>BOOK</t>
        </is>
      </c>
      <c r="BE2265" t="inlineStr">
        <is>
          <t>32285002928926</t>
        </is>
      </c>
      <c r="BF2265" t="inlineStr">
        <is>
          <t>893317789</t>
        </is>
      </c>
    </row>
    <row r="2266">
      <c r="A2266" t="inlineStr">
        <is>
          <t>No</t>
        </is>
      </c>
      <c r="B2266" t="inlineStr">
        <is>
          <t>CURAL</t>
        </is>
      </c>
      <c r="C2266" t="inlineStr">
        <is>
          <t>SHELVES</t>
        </is>
      </c>
      <c r="D2266" t="inlineStr">
        <is>
          <t>PR5109.M34 C6</t>
        </is>
      </c>
      <c r="E2266" t="inlineStr">
        <is>
          <t>0                      PR 5109000M  34                 C  6</t>
        </is>
      </c>
      <c r="F2266" t="inlineStr">
        <is>
          <t>The consecration of learning : lectures on Newman's Idea of a university.</t>
        </is>
      </c>
      <c r="H2266" t="inlineStr">
        <is>
          <t>No</t>
        </is>
      </c>
      <c r="I2266" t="inlineStr">
        <is>
          <t>1</t>
        </is>
      </c>
      <c r="J2266" t="inlineStr">
        <is>
          <t>No</t>
        </is>
      </c>
      <c r="K2266" t="inlineStr">
        <is>
          <t>No</t>
        </is>
      </c>
      <c r="L2266" t="inlineStr">
        <is>
          <t>0</t>
        </is>
      </c>
      <c r="M2266" t="inlineStr">
        <is>
          <t>McGrath, Fergal, 1895-1988.</t>
        </is>
      </c>
      <c r="N2266" t="inlineStr">
        <is>
          <t>New York : Fordham University Press, [1962]</t>
        </is>
      </c>
      <c r="O2266" t="inlineStr">
        <is>
          <t>1962</t>
        </is>
      </c>
      <c r="Q2266" t="inlineStr">
        <is>
          <t>eng</t>
        </is>
      </c>
      <c r="R2266" t="inlineStr">
        <is>
          <t>nyu</t>
        </is>
      </c>
      <c r="T2266" t="inlineStr">
        <is>
          <t xml:space="preserve">PR </t>
        </is>
      </c>
      <c r="U2266" t="n">
        <v>1</v>
      </c>
      <c r="V2266" t="n">
        <v>1</v>
      </c>
      <c r="W2266" t="inlineStr">
        <is>
          <t>2008-08-19</t>
        </is>
      </c>
      <c r="X2266" t="inlineStr">
        <is>
          <t>2008-08-19</t>
        </is>
      </c>
      <c r="Y2266" t="inlineStr">
        <is>
          <t>1998-10-08</t>
        </is>
      </c>
      <c r="Z2266" t="inlineStr">
        <is>
          <t>1998-10-08</t>
        </is>
      </c>
      <c r="AA2266" t="n">
        <v>374</v>
      </c>
      <c r="AB2266" t="n">
        <v>325</v>
      </c>
      <c r="AC2266" t="n">
        <v>344</v>
      </c>
      <c r="AD2266" t="n">
        <v>2</v>
      </c>
      <c r="AE2266" t="n">
        <v>2</v>
      </c>
      <c r="AF2266" t="n">
        <v>26</v>
      </c>
      <c r="AG2266" t="n">
        <v>29</v>
      </c>
      <c r="AH2266" t="n">
        <v>10</v>
      </c>
      <c r="AI2266" t="n">
        <v>10</v>
      </c>
      <c r="AJ2266" t="n">
        <v>7</v>
      </c>
      <c r="AK2266" t="n">
        <v>8</v>
      </c>
      <c r="AL2266" t="n">
        <v>18</v>
      </c>
      <c r="AM2266" t="n">
        <v>20</v>
      </c>
      <c r="AN2266" t="n">
        <v>1</v>
      </c>
      <c r="AO2266" t="n">
        <v>1</v>
      </c>
      <c r="AP2266" t="n">
        <v>0</v>
      </c>
      <c r="AQ2266" t="n">
        <v>0</v>
      </c>
      <c r="AR2266" t="inlineStr">
        <is>
          <t>No</t>
        </is>
      </c>
      <c r="AS2266" t="inlineStr">
        <is>
          <t>No</t>
        </is>
      </c>
      <c r="AT2266">
        <f>HYPERLINK("http://catalog.hathitrust.org/Record/001068346","HathiTrust Record")</f>
        <v/>
      </c>
      <c r="AU2266">
        <f>HYPERLINK("https://creighton-primo.hosted.exlibrisgroup.com/primo-explore/search?tab=default_tab&amp;search_scope=EVERYTHING&amp;vid=01CRU&amp;lang=en_US&amp;offset=0&amp;query=any,contains,991003053119702656","Catalog Record")</f>
        <v/>
      </c>
      <c r="AV2266">
        <f>HYPERLINK("http://www.worldcat.org/oclc/612370","WorldCat Record")</f>
        <v/>
      </c>
      <c r="AW2266" t="inlineStr">
        <is>
          <t>1649828:eng</t>
        </is>
      </c>
      <c r="AX2266" t="inlineStr">
        <is>
          <t>612370</t>
        </is>
      </c>
      <c r="AY2266" t="inlineStr">
        <is>
          <t>991003053119702656</t>
        </is>
      </c>
      <c r="AZ2266" t="inlineStr">
        <is>
          <t>991003053119702656</t>
        </is>
      </c>
      <c r="BA2266" t="inlineStr">
        <is>
          <t>2266456940002656</t>
        </is>
      </c>
      <c r="BB2266" t="inlineStr">
        <is>
          <t>BOOK</t>
        </is>
      </c>
      <c r="BE2266" t="inlineStr">
        <is>
          <t>32285003474441</t>
        </is>
      </c>
      <c r="BF2266" t="inlineStr">
        <is>
          <t>893352665</t>
        </is>
      </c>
    </row>
    <row r="2267">
      <c r="A2267" t="inlineStr">
        <is>
          <t>No</t>
        </is>
      </c>
      <c r="B2267" t="inlineStr">
        <is>
          <t>CURAL</t>
        </is>
      </c>
      <c r="C2267" t="inlineStr">
        <is>
          <t>SHELVES</t>
        </is>
      </c>
      <c r="D2267" t="inlineStr">
        <is>
          <t>PR5109.M34 N4</t>
        </is>
      </c>
      <c r="E2267" t="inlineStr">
        <is>
          <t>0                      PR 5109000M  34                 N  4</t>
        </is>
      </c>
      <c r="F2267" t="inlineStr">
        <is>
          <t>Newman's university; idea and reality.</t>
        </is>
      </c>
      <c r="H2267" t="inlineStr">
        <is>
          <t>No</t>
        </is>
      </c>
      <c r="I2267" t="inlineStr">
        <is>
          <t>1</t>
        </is>
      </c>
      <c r="J2267" t="inlineStr">
        <is>
          <t>No</t>
        </is>
      </c>
      <c r="K2267" t="inlineStr">
        <is>
          <t>No</t>
        </is>
      </c>
      <c r="L2267" t="inlineStr">
        <is>
          <t>0</t>
        </is>
      </c>
      <c r="M2267" t="inlineStr">
        <is>
          <t>McGrath, Fergal, 1895-1988.</t>
        </is>
      </c>
      <c r="N2267" t="inlineStr">
        <is>
          <t>London, New York, Longmans, Green [1951]</t>
        </is>
      </c>
      <c r="O2267" t="inlineStr">
        <is>
          <t>1951</t>
        </is>
      </c>
      <c r="Q2267" t="inlineStr">
        <is>
          <t>eng</t>
        </is>
      </c>
      <c r="R2267" t="inlineStr">
        <is>
          <t>enk</t>
        </is>
      </c>
      <c r="T2267" t="inlineStr">
        <is>
          <t xml:space="preserve">PR </t>
        </is>
      </c>
      <c r="U2267" t="n">
        <v>4</v>
      </c>
      <c r="V2267" t="n">
        <v>4</v>
      </c>
      <c r="W2267" t="inlineStr">
        <is>
          <t>1996-11-12</t>
        </is>
      </c>
      <c r="X2267" t="inlineStr">
        <is>
          <t>1996-11-12</t>
        </is>
      </c>
      <c r="Y2267" t="inlineStr">
        <is>
          <t>1996-11-12</t>
        </is>
      </c>
      <c r="Z2267" t="inlineStr">
        <is>
          <t>1996-11-12</t>
        </is>
      </c>
      <c r="AA2267" t="n">
        <v>289</v>
      </c>
      <c r="AB2267" t="n">
        <v>211</v>
      </c>
      <c r="AC2267" t="n">
        <v>230</v>
      </c>
      <c r="AD2267" t="n">
        <v>3</v>
      </c>
      <c r="AE2267" t="n">
        <v>3</v>
      </c>
      <c r="AF2267" t="n">
        <v>25</v>
      </c>
      <c r="AG2267" t="n">
        <v>25</v>
      </c>
      <c r="AH2267" t="n">
        <v>6</v>
      </c>
      <c r="AI2267" t="n">
        <v>6</v>
      </c>
      <c r="AJ2267" t="n">
        <v>8</v>
      </c>
      <c r="AK2267" t="n">
        <v>8</v>
      </c>
      <c r="AL2267" t="n">
        <v>19</v>
      </c>
      <c r="AM2267" t="n">
        <v>19</v>
      </c>
      <c r="AN2267" t="n">
        <v>1</v>
      </c>
      <c r="AO2267" t="n">
        <v>1</v>
      </c>
      <c r="AP2267" t="n">
        <v>0</v>
      </c>
      <c r="AQ2267" t="n">
        <v>0</v>
      </c>
      <c r="AR2267" t="inlineStr">
        <is>
          <t>No</t>
        </is>
      </c>
      <c r="AS2267" t="inlineStr">
        <is>
          <t>Yes</t>
        </is>
      </c>
      <c r="AT2267">
        <f>HYPERLINK("http://catalog.hathitrust.org/Record/001452988","HathiTrust Record")</f>
        <v/>
      </c>
      <c r="AU2267">
        <f>HYPERLINK("https://creighton-primo.hosted.exlibrisgroup.com/primo-explore/search?tab=default_tab&amp;search_scope=EVERYTHING&amp;vid=01CRU&amp;lang=en_US&amp;offset=0&amp;query=any,contains,991004543029702656","Catalog Record")</f>
        <v/>
      </c>
      <c r="AV2267">
        <f>HYPERLINK("http://www.worldcat.org/oclc/3905131","WorldCat Record")</f>
        <v/>
      </c>
      <c r="AW2267" t="inlineStr">
        <is>
          <t>4936810:eng</t>
        </is>
      </c>
      <c r="AX2267" t="inlineStr">
        <is>
          <t>3905131</t>
        </is>
      </c>
      <c r="AY2267" t="inlineStr">
        <is>
          <t>991004543029702656</t>
        </is>
      </c>
      <c r="AZ2267" t="inlineStr">
        <is>
          <t>991004543029702656</t>
        </is>
      </c>
      <c r="BA2267" t="inlineStr">
        <is>
          <t>2262365400002656</t>
        </is>
      </c>
      <c r="BB2267" t="inlineStr">
        <is>
          <t>BOOK</t>
        </is>
      </c>
      <c r="BE2267" t="inlineStr">
        <is>
          <t>32285002121951</t>
        </is>
      </c>
      <c r="BF2267" t="inlineStr">
        <is>
          <t>893253809</t>
        </is>
      </c>
    </row>
    <row r="2268">
      <c r="A2268" t="inlineStr">
        <is>
          <t>No</t>
        </is>
      </c>
      <c r="B2268" t="inlineStr">
        <is>
          <t>CURAL</t>
        </is>
      </c>
      <c r="C2268" t="inlineStr">
        <is>
          <t>SHELVES</t>
        </is>
      </c>
      <c r="D2268" t="inlineStr">
        <is>
          <t>PR5109.R93 A5</t>
        </is>
      </c>
      <c r="E2268" t="inlineStr">
        <is>
          <t>0                      PR 5109000R  93                 A  5</t>
        </is>
      </c>
      <c r="F2268" t="inlineStr">
        <is>
          <t>American essays for the Newman centennial, ed. by John K. Ryan and Edmond Darvil Benard.</t>
        </is>
      </c>
      <c r="H2268" t="inlineStr">
        <is>
          <t>No</t>
        </is>
      </c>
      <c r="I2268" t="inlineStr">
        <is>
          <t>1</t>
        </is>
      </c>
      <c r="J2268" t="inlineStr">
        <is>
          <t>No</t>
        </is>
      </c>
      <c r="K2268" t="inlineStr">
        <is>
          <t>No</t>
        </is>
      </c>
      <c r="L2268" t="inlineStr">
        <is>
          <t>0</t>
        </is>
      </c>
      <c r="M2268" t="inlineStr">
        <is>
          <t>Ryan, John K. (John Kenneth), 1897-1981 editor.</t>
        </is>
      </c>
      <c r="N2268" t="inlineStr">
        <is>
          <t>Washington, Catholic Univ. of America Press, 1947.</t>
        </is>
      </c>
      <c r="O2268" t="inlineStr">
        <is>
          <t>1947</t>
        </is>
      </c>
      <c r="Q2268" t="inlineStr">
        <is>
          <t>eng</t>
        </is>
      </c>
      <c r="R2268" t="inlineStr">
        <is>
          <t xml:space="preserve">xx </t>
        </is>
      </c>
      <c r="T2268" t="inlineStr">
        <is>
          <t xml:space="preserve">PR </t>
        </is>
      </c>
      <c r="U2268" t="n">
        <v>1</v>
      </c>
      <c r="V2268" t="n">
        <v>1</v>
      </c>
      <c r="W2268" t="inlineStr">
        <is>
          <t>2002-12-03</t>
        </is>
      </c>
      <c r="X2268" t="inlineStr">
        <is>
          <t>2002-12-03</t>
        </is>
      </c>
      <c r="Y2268" t="inlineStr">
        <is>
          <t>1997-07-16</t>
        </is>
      </c>
      <c r="Z2268" t="inlineStr">
        <is>
          <t>1997-07-16</t>
        </is>
      </c>
      <c r="AA2268" t="n">
        <v>299</v>
      </c>
      <c r="AB2268" t="n">
        <v>267</v>
      </c>
      <c r="AC2268" t="n">
        <v>278</v>
      </c>
      <c r="AD2268" t="n">
        <v>3</v>
      </c>
      <c r="AE2268" t="n">
        <v>3</v>
      </c>
      <c r="AF2268" t="n">
        <v>31</v>
      </c>
      <c r="AG2268" t="n">
        <v>31</v>
      </c>
      <c r="AH2268" t="n">
        <v>11</v>
      </c>
      <c r="AI2268" t="n">
        <v>11</v>
      </c>
      <c r="AJ2268" t="n">
        <v>9</v>
      </c>
      <c r="AK2268" t="n">
        <v>9</v>
      </c>
      <c r="AL2268" t="n">
        <v>23</v>
      </c>
      <c r="AM2268" t="n">
        <v>23</v>
      </c>
      <c r="AN2268" t="n">
        <v>1</v>
      </c>
      <c r="AO2268" t="n">
        <v>1</v>
      </c>
      <c r="AP2268" t="n">
        <v>0</v>
      </c>
      <c r="AQ2268" t="n">
        <v>0</v>
      </c>
      <c r="AR2268" t="inlineStr">
        <is>
          <t>No</t>
        </is>
      </c>
      <c r="AS2268" t="inlineStr">
        <is>
          <t>No</t>
        </is>
      </c>
      <c r="AT2268">
        <f>HYPERLINK("http://catalog.hathitrust.org/Record/001592144","HathiTrust Record")</f>
        <v/>
      </c>
      <c r="AU2268">
        <f>HYPERLINK("https://creighton-primo.hosted.exlibrisgroup.com/primo-explore/search?tab=default_tab&amp;search_scope=EVERYTHING&amp;vid=01CRU&amp;lang=en_US&amp;offset=0&amp;query=any,contains,991003576829702656","Catalog Record")</f>
        <v/>
      </c>
      <c r="AV2268">
        <f>HYPERLINK("http://www.worldcat.org/oclc/1156124","WorldCat Record")</f>
        <v/>
      </c>
      <c r="AW2268" t="inlineStr">
        <is>
          <t>2088489:eng</t>
        </is>
      </c>
      <c r="AX2268" t="inlineStr">
        <is>
          <t>1156124</t>
        </is>
      </c>
      <c r="AY2268" t="inlineStr">
        <is>
          <t>991003576829702656</t>
        </is>
      </c>
      <c r="AZ2268" t="inlineStr">
        <is>
          <t>991003576829702656</t>
        </is>
      </c>
      <c r="BA2268" t="inlineStr">
        <is>
          <t>2262834990002656</t>
        </is>
      </c>
      <c r="BB2268" t="inlineStr">
        <is>
          <t>BOOK</t>
        </is>
      </c>
      <c r="BE2268" t="inlineStr">
        <is>
          <t>32285002929049</t>
        </is>
      </c>
      <c r="BF2268" t="inlineStr">
        <is>
          <t>893686677</t>
        </is>
      </c>
    </row>
    <row r="2269">
      <c r="A2269" t="inlineStr">
        <is>
          <t>No</t>
        </is>
      </c>
      <c r="B2269" t="inlineStr">
        <is>
          <t>CURAL</t>
        </is>
      </c>
      <c r="C2269" t="inlineStr">
        <is>
          <t>SHELVES</t>
        </is>
      </c>
      <c r="D2269" t="inlineStr">
        <is>
          <t>PR5109.T53 T7</t>
        </is>
      </c>
      <c r="E2269" t="inlineStr">
        <is>
          <t>0                      PR 5109000T  53                 T  7</t>
        </is>
      </c>
      <c r="F2269" t="inlineStr">
        <is>
          <t>A Tribute to Newman : essays on aspects of his life and thought / by Patrick Rogers [and others] ... General editor: Professor Michael Tierney.</t>
        </is>
      </c>
      <c r="H2269" t="inlineStr">
        <is>
          <t>No</t>
        </is>
      </c>
      <c r="I2269" t="inlineStr">
        <is>
          <t>1</t>
        </is>
      </c>
      <c r="J2269" t="inlineStr">
        <is>
          <t>No</t>
        </is>
      </c>
      <c r="K2269" t="inlineStr">
        <is>
          <t>No</t>
        </is>
      </c>
      <c r="L2269" t="inlineStr">
        <is>
          <t>0</t>
        </is>
      </c>
      <c r="N2269" t="inlineStr">
        <is>
          <t>Dublin [etc.] : Browne and Nolan limited, [1945]</t>
        </is>
      </c>
      <c r="O2269" t="inlineStr">
        <is>
          <t>1945</t>
        </is>
      </c>
      <c r="Q2269" t="inlineStr">
        <is>
          <t>eng</t>
        </is>
      </c>
      <c r="R2269" t="inlineStr">
        <is>
          <t xml:space="preserve">xx </t>
        </is>
      </c>
      <c r="T2269" t="inlineStr">
        <is>
          <t xml:space="preserve">PR </t>
        </is>
      </c>
      <c r="U2269" t="n">
        <v>1</v>
      </c>
      <c r="V2269" t="n">
        <v>1</v>
      </c>
      <c r="W2269" t="inlineStr">
        <is>
          <t>1993-04-07</t>
        </is>
      </c>
      <c r="X2269" t="inlineStr">
        <is>
          <t>1993-04-07</t>
        </is>
      </c>
      <c r="Y2269" t="inlineStr">
        <is>
          <t>1993-04-07</t>
        </is>
      </c>
      <c r="Z2269" t="inlineStr">
        <is>
          <t>1993-04-07</t>
        </is>
      </c>
      <c r="AA2269" t="n">
        <v>131</v>
      </c>
      <c r="AB2269" t="n">
        <v>83</v>
      </c>
      <c r="AC2269" t="n">
        <v>89</v>
      </c>
      <c r="AD2269" t="n">
        <v>2</v>
      </c>
      <c r="AE2269" t="n">
        <v>2</v>
      </c>
      <c r="AF2269" t="n">
        <v>16</v>
      </c>
      <c r="AG2269" t="n">
        <v>16</v>
      </c>
      <c r="AH2269" t="n">
        <v>6</v>
      </c>
      <c r="AI2269" t="n">
        <v>6</v>
      </c>
      <c r="AJ2269" t="n">
        <v>2</v>
      </c>
      <c r="AK2269" t="n">
        <v>2</v>
      </c>
      <c r="AL2269" t="n">
        <v>12</v>
      </c>
      <c r="AM2269" t="n">
        <v>12</v>
      </c>
      <c r="AN2269" t="n">
        <v>1</v>
      </c>
      <c r="AO2269" t="n">
        <v>1</v>
      </c>
      <c r="AP2269" t="n">
        <v>0</v>
      </c>
      <c r="AQ2269" t="n">
        <v>0</v>
      </c>
      <c r="AR2269" t="inlineStr">
        <is>
          <t>No</t>
        </is>
      </c>
      <c r="AS2269" t="inlineStr">
        <is>
          <t>No</t>
        </is>
      </c>
      <c r="AU2269">
        <f>HYPERLINK("https://creighton-primo.hosted.exlibrisgroup.com/primo-explore/search?tab=default_tab&amp;search_scope=EVERYTHING&amp;vid=01CRU&amp;lang=en_US&amp;offset=0&amp;query=any,contains,991003544069702656","Catalog Record")</f>
        <v/>
      </c>
      <c r="AV2269">
        <f>HYPERLINK("http://www.worldcat.org/oclc/1110092","WorldCat Record")</f>
        <v/>
      </c>
      <c r="AW2269" t="inlineStr">
        <is>
          <t>375692837:eng</t>
        </is>
      </c>
      <c r="AX2269" t="inlineStr">
        <is>
          <t>1110092</t>
        </is>
      </c>
      <c r="AY2269" t="inlineStr">
        <is>
          <t>991003544069702656</t>
        </is>
      </c>
      <c r="AZ2269" t="inlineStr">
        <is>
          <t>991003544069702656</t>
        </is>
      </c>
      <c r="BA2269" t="inlineStr">
        <is>
          <t>2271829180002656</t>
        </is>
      </c>
      <c r="BB2269" t="inlineStr">
        <is>
          <t>BOOK</t>
        </is>
      </c>
      <c r="BE2269" t="inlineStr">
        <is>
          <t>32285001580140</t>
        </is>
      </c>
      <c r="BF2269" t="inlineStr">
        <is>
          <t>893234272</t>
        </is>
      </c>
    </row>
    <row r="2270">
      <c r="A2270" t="inlineStr">
        <is>
          <t>No</t>
        </is>
      </c>
      <c r="B2270" t="inlineStr">
        <is>
          <t>CURAL</t>
        </is>
      </c>
      <c r="C2270" t="inlineStr">
        <is>
          <t>SHELVES</t>
        </is>
      </c>
      <c r="D2270" t="inlineStr">
        <is>
          <t>PR5109.W43 H6</t>
        </is>
      </c>
      <c r="E2270" t="inlineStr">
        <is>
          <t>0                      PR 5109000W  43                 H  6</t>
        </is>
      </c>
      <c r="F2270" t="inlineStr">
        <is>
          <t>Hommage to Newman, 1845-1945 : a collection of essays to make the Cardinal more widely known and more greatly loved in the centenary year of his conversion.</t>
        </is>
      </c>
      <c r="H2270" t="inlineStr">
        <is>
          <t>No</t>
        </is>
      </c>
      <c r="I2270" t="inlineStr">
        <is>
          <t>1</t>
        </is>
      </c>
      <c r="J2270" t="inlineStr">
        <is>
          <t>No</t>
        </is>
      </c>
      <c r="K2270" t="inlineStr">
        <is>
          <t>No</t>
        </is>
      </c>
      <c r="L2270" t="inlineStr">
        <is>
          <t>0</t>
        </is>
      </c>
      <c r="N2270" t="inlineStr">
        <is>
          <t>[London] : Westminster Cathedral Chronicle, [1945]</t>
        </is>
      </c>
      <c r="O2270" t="inlineStr">
        <is>
          <t>1945</t>
        </is>
      </c>
      <c r="Q2270" t="inlineStr">
        <is>
          <t>eng</t>
        </is>
      </c>
      <c r="R2270" t="inlineStr">
        <is>
          <t>enk</t>
        </is>
      </c>
      <c r="T2270" t="inlineStr">
        <is>
          <t xml:space="preserve">PR </t>
        </is>
      </c>
      <c r="U2270" t="n">
        <v>1</v>
      </c>
      <c r="V2270" t="n">
        <v>1</v>
      </c>
      <c r="W2270" t="inlineStr">
        <is>
          <t>1993-04-07</t>
        </is>
      </c>
      <c r="X2270" t="inlineStr">
        <is>
          <t>1993-04-07</t>
        </is>
      </c>
      <c r="Y2270" t="inlineStr">
        <is>
          <t>1993-04-07</t>
        </is>
      </c>
      <c r="Z2270" t="inlineStr">
        <is>
          <t>1993-04-07</t>
        </is>
      </c>
      <c r="AA2270" t="n">
        <v>48</v>
      </c>
      <c r="AB2270" t="n">
        <v>33</v>
      </c>
      <c r="AC2270" t="n">
        <v>45</v>
      </c>
      <c r="AD2270" t="n">
        <v>1</v>
      </c>
      <c r="AE2270" t="n">
        <v>1</v>
      </c>
      <c r="AF2270" t="n">
        <v>5</v>
      </c>
      <c r="AG2270" t="n">
        <v>5</v>
      </c>
      <c r="AH2270" t="n">
        <v>1</v>
      </c>
      <c r="AI2270" t="n">
        <v>1</v>
      </c>
      <c r="AJ2270" t="n">
        <v>0</v>
      </c>
      <c r="AK2270" t="n">
        <v>0</v>
      </c>
      <c r="AL2270" t="n">
        <v>5</v>
      </c>
      <c r="AM2270" t="n">
        <v>5</v>
      </c>
      <c r="AN2270" t="n">
        <v>0</v>
      </c>
      <c r="AO2270" t="n">
        <v>0</v>
      </c>
      <c r="AP2270" t="n">
        <v>0</v>
      </c>
      <c r="AQ2270" t="n">
        <v>0</v>
      </c>
      <c r="AR2270" t="inlineStr">
        <is>
          <t>No</t>
        </is>
      </c>
      <c r="AS2270" t="inlineStr">
        <is>
          <t>No</t>
        </is>
      </c>
      <c r="AU2270">
        <f>HYPERLINK("https://creighton-primo.hosted.exlibrisgroup.com/primo-explore/search?tab=default_tab&amp;search_scope=EVERYTHING&amp;vid=01CRU&amp;lang=en_US&amp;offset=0&amp;query=any,contains,991000724209702656","Catalog Record")</f>
        <v/>
      </c>
      <c r="AV2270">
        <f>HYPERLINK("http://www.worldcat.org/oclc/4127273","WorldCat Record")</f>
        <v/>
      </c>
      <c r="AW2270" t="inlineStr">
        <is>
          <t>14562012:eng</t>
        </is>
      </c>
      <c r="AX2270" t="inlineStr">
        <is>
          <t>4127273</t>
        </is>
      </c>
      <c r="AY2270" t="inlineStr">
        <is>
          <t>991000724209702656</t>
        </is>
      </c>
      <c r="AZ2270" t="inlineStr">
        <is>
          <t>991000724209702656</t>
        </is>
      </c>
      <c r="BA2270" t="inlineStr">
        <is>
          <t>2269747150002656</t>
        </is>
      </c>
      <c r="BB2270" t="inlineStr">
        <is>
          <t>BOOK</t>
        </is>
      </c>
      <c r="BE2270" t="inlineStr">
        <is>
          <t>32285001580165</t>
        </is>
      </c>
      <c r="BF2270" t="inlineStr">
        <is>
          <t>893231360</t>
        </is>
      </c>
    </row>
    <row r="2271">
      <c r="A2271" t="inlineStr">
        <is>
          <t>No</t>
        </is>
      </c>
      <c r="B2271" t="inlineStr">
        <is>
          <t>CURAL</t>
        </is>
      </c>
      <c r="C2271" t="inlineStr">
        <is>
          <t>SHELVES</t>
        </is>
      </c>
      <c r="D2271" t="inlineStr">
        <is>
          <t>PR5112.O55 H3 1986</t>
        </is>
      </c>
      <c r="E2271" t="inlineStr">
        <is>
          <t>0                      PR 5112000O  55                 H  3           1986</t>
        </is>
      </c>
      <c r="F2271" t="inlineStr">
        <is>
          <t>High nonsensical words : a study of the works of Standish James O'Grady / by Edward A. Hagan.</t>
        </is>
      </c>
      <c r="H2271" t="inlineStr">
        <is>
          <t>No</t>
        </is>
      </c>
      <c r="I2271" t="inlineStr">
        <is>
          <t>1</t>
        </is>
      </c>
      <c r="J2271" t="inlineStr">
        <is>
          <t>No</t>
        </is>
      </c>
      <c r="K2271" t="inlineStr">
        <is>
          <t>No</t>
        </is>
      </c>
      <c r="L2271" t="inlineStr">
        <is>
          <t>0</t>
        </is>
      </c>
      <c r="M2271" t="inlineStr">
        <is>
          <t>Hagan, Edward A.</t>
        </is>
      </c>
      <c r="N2271" t="inlineStr">
        <is>
          <t>Troy, N.Y. : Whitston Publishing Co., c1986.</t>
        </is>
      </c>
      <c r="O2271" t="inlineStr">
        <is>
          <t>1986</t>
        </is>
      </c>
      <c r="Q2271" t="inlineStr">
        <is>
          <t>eng</t>
        </is>
      </c>
      <c r="R2271" t="inlineStr">
        <is>
          <t>nyu</t>
        </is>
      </c>
      <c r="T2271" t="inlineStr">
        <is>
          <t xml:space="preserve">PR </t>
        </is>
      </c>
      <c r="U2271" t="n">
        <v>1</v>
      </c>
      <c r="V2271" t="n">
        <v>1</v>
      </c>
      <c r="W2271" t="inlineStr">
        <is>
          <t>2005-11-29</t>
        </is>
      </c>
      <c r="X2271" t="inlineStr">
        <is>
          <t>2005-11-29</t>
        </is>
      </c>
      <c r="Y2271" t="inlineStr">
        <is>
          <t>1991-11-21</t>
        </is>
      </c>
      <c r="Z2271" t="inlineStr">
        <is>
          <t>1991-11-21</t>
        </is>
      </c>
      <c r="AA2271" t="n">
        <v>228</v>
      </c>
      <c r="AB2271" t="n">
        <v>188</v>
      </c>
      <c r="AC2271" t="n">
        <v>278</v>
      </c>
      <c r="AD2271" t="n">
        <v>3</v>
      </c>
      <c r="AE2271" t="n">
        <v>3</v>
      </c>
      <c r="AF2271" t="n">
        <v>16</v>
      </c>
      <c r="AG2271" t="n">
        <v>22</v>
      </c>
      <c r="AH2271" t="n">
        <v>6</v>
      </c>
      <c r="AI2271" t="n">
        <v>11</v>
      </c>
      <c r="AJ2271" t="n">
        <v>4</v>
      </c>
      <c r="AK2271" t="n">
        <v>6</v>
      </c>
      <c r="AL2271" t="n">
        <v>9</v>
      </c>
      <c r="AM2271" t="n">
        <v>10</v>
      </c>
      <c r="AN2271" t="n">
        <v>2</v>
      </c>
      <c r="AO2271" t="n">
        <v>2</v>
      </c>
      <c r="AP2271" t="n">
        <v>0</v>
      </c>
      <c r="AQ2271" t="n">
        <v>0</v>
      </c>
      <c r="AR2271" t="inlineStr">
        <is>
          <t>No</t>
        </is>
      </c>
      <c r="AS2271" t="inlineStr">
        <is>
          <t>Yes</t>
        </is>
      </c>
      <c r="AT2271">
        <f>HYPERLINK("http://catalog.hathitrust.org/Record/000822835","HathiTrust Record")</f>
        <v/>
      </c>
      <c r="AU2271">
        <f>HYPERLINK("https://creighton-primo.hosted.exlibrisgroup.com/primo-explore/search?tab=default_tab&amp;search_scope=EVERYTHING&amp;vid=01CRU&amp;lang=en_US&amp;offset=0&amp;query=any,contains,991001006049702656","Catalog Record")</f>
        <v/>
      </c>
      <c r="AV2271">
        <f>HYPERLINK("http://www.worldcat.org/oclc/15243228","WorldCat Record")</f>
        <v/>
      </c>
      <c r="AW2271" t="inlineStr">
        <is>
          <t>441410064:eng</t>
        </is>
      </c>
      <c r="AX2271" t="inlineStr">
        <is>
          <t>15243228</t>
        </is>
      </c>
      <c r="AY2271" t="inlineStr">
        <is>
          <t>991001006049702656</t>
        </is>
      </c>
      <c r="AZ2271" t="inlineStr">
        <is>
          <t>991001006049702656</t>
        </is>
      </c>
      <c r="BA2271" t="inlineStr">
        <is>
          <t>2258309980002656</t>
        </is>
      </c>
      <c r="BB2271" t="inlineStr">
        <is>
          <t>BOOK</t>
        </is>
      </c>
      <c r="BD2271" t="inlineStr">
        <is>
          <t>9780878753062</t>
        </is>
      </c>
      <c r="BE2271" t="inlineStr">
        <is>
          <t>32285000843002</t>
        </is>
      </c>
      <c r="BF2271" t="inlineStr">
        <is>
          <t>893419970</t>
        </is>
      </c>
    </row>
    <row r="2272">
      <c r="A2272" t="inlineStr">
        <is>
          <t>No</t>
        </is>
      </c>
      <c r="B2272" t="inlineStr">
        <is>
          <t>CURAL</t>
        </is>
      </c>
      <c r="C2272" t="inlineStr">
        <is>
          <t>SHELVES</t>
        </is>
      </c>
      <c r="D2272" t="inlineStr">
        <is>
          <t>PR5136 .W35</t>
        </is>
      </c>
      <c r="E2272" t="inlineStr">
        <is>
          <t>0                      PR 5136000W  35</t>
        </is>
      </c>
      <c r="F2272" t="inlineStr">
        <is>
          <t>Walter Pater : an imaginative sense of fact / edited by Philip Dodd.</t>
        </is>
      </c>
      <c r="H2272" t="inlineStr">
        <is>
          <t>No</t>
        </is>
      </c>
      <c r="I2272" t="inlineStr">
        <is>
          <t>1</t>
        </is>
      </c>
      <c r="J2272" t="inlineStr">
        <is>
          <t>No</t>
        </is>
      </c>
      <c r="K2272" t="inlineStr">
        <is>
          <t>No</t>
        </is>
      </c>
      <c r="L2272" t="inlineStr">
        <is>
          <t>0</t>
        </is>
      </c>
      <c r="N2272" t="inlineStr">
        <is>
          <t>London : Totowa, N.J. : Frank Cass, 1981.</t>
        </is>
      </c>
      <c r="O2272" t="inlineStr">
        <is>
          <t>1981</t>
        </is>
      </c>
      <c r="Q2272" t="inlineStr">
        <is>
          <t>eng</t>
        </is>
      </c>
      <c r="R2272" t="inlineStr">
        <is>
          <t>enk</t>
        </is>
      </c>
      <c r="T2272" t="inlineStr">
        <is>
          <t xml:space="preserve">PR </t>
        </is>
      </c>
      <c r="U2272" t="n">
        <v>3</v>
      </c>
      <c r="V2272" t="n">
        <v>3</v>
      </c>
      <c r="W2272" t="inlineStr">
        <is>
          <t>1995-11-30</t>
        </is>
      </c>
      <c r="X2272" t="inlineStr">
        <is>
          <t>1995-11-30</t>
        </is>
      </c>
      <c r="Y2272" t="inlineStr">
        <is>
          <t>1991-11-21</t>
        </is>
      </c>
      <c r="Z2272" t="inlineStr">
        <is>
          <t>1991-11-21</t>
        </is>
      </c>
      <c r="AA2272" t="n">
        <v>177</v>
      </c>
      <c r="AB2272" t="n">
        <v>102</v>
      </c>
      <c r="AC2272" t="n">
        <v>124</v>
      </c>
      <c r="AD2272" t="n">
        <v>2</v>
      </c>
      <c r="AE2272" t="n">
        <v>2</v>
      </c>
      <c r="AF2272" t="n">
        <v>3</v>
      </c>
      <c r="AG2272" t="n">
        <v>3</v>
      </c>
      <c r="AH2272" t="n">
        <v>0</v>
      </c>
      <c r="AI2272" t="n">
        <v>0</v>
      </c>
      <c r="AJ2272" t="n">
        <v>1</v>
      </c>
      <c r="AK2272" t="n">
        <v>1</v>
      </c>
      <c r="AL2272" t="n">
        <v>2</v>
      </c>
      <c r="AM2272" t="n">
        <v>2</v>
      </c>
      <c r="AN2272" t="n">
        <v>1</v>
      </c>
      <c r="AO2272" t="n">
        <v>1</v>
      </c>
      <c r="AP2272" t="n">
        <v>0</v>
      </c>
      <c r="AQ2272" t="n">
        <v>0</v>
      </c>
      <c r="AR2272" t="inlineStr">
        <is>
          <t>No</t>
        </is>
      </c>
      <c r="AS2272" t="inlineStr">
        <is>
          <t>No</t>
        </is>
      </c>
      <c r="AU2272">
        <f>HYPERLINK("https://creighton-primo.hosted.exlibrisgroup.com/primo-explore/search?tab=default_tab&amp;search_scope=EVERYTHING&amp;vid=01CRU&amp;lang=en_US&amp;offset=0&amp;query=any,contains,991005209969702656","Catalog Record")</f>
        <v/>
      </c>
      <c r="AV2272">
        <f>HYPERLINK("http://www.worldcat.org/oclc/10697217","WorldCat Record")</f>
        <v/>
      </c>
      <c r="AW2272" t="inlineStr">
        <is>
          <t>1806151:eng</t>
        </is>
      </c>
      <c r="AX2272" t="inlineStr">
        <is>
          <t>10697217</t>
        </is>
      </c>
      <c r="AY2272" t="inlineStr">
        <is>
          <t>991005209969702656</t>
        </is>
      </c>
      <c r="AZ2272" t="inlineStr">
        <is>
          <t>991005209969702656</t>
        </is>
      </c>
      <c r="BA2272" t="inlineStr">
        <is>
          <t>2269724670002656</t>
        </is>
      </c>
      <c r="BB2272" t="inlineStr">
        <is>
          <t>BOOK</t>
        </is>
      </c>
      <c r="BD2272" t="inlineStr">
        <is>
          <t>9780714631837</t>
        </is>
      </c>
      <c r="BE2272" t="inlineStr">
        <is>
          <t>32285000843101</t>
        </is>
      </c>
      <c r="BF2272" t="inlineStr">
        <is>
          <t>893437334</t>
        </is>
      </c>
    </row>
    <row r="2273">
      <c r="A2273" t="inlineStr">
        <is>
          <t>No</t>
        </is>
      </c>
      <c r="B2273" t="inlineStr">
        <is>
          <t>CURAL</t>
        </is>
      </c>
      <c r="C2273" t="inlineStr">
        <is>
          <t>SHELVES</t>
        </is>
      </c>
      <c r="D2273" t="inlineStr">
        <is>
          <t>PR5204 .M8</t>
        </is>
      </c>
      <c r="E2273" t="inlineStr">
        <is>
          <t>0                      PR 5204000M  8</t>
        </is>
      </c>
      <c r="F2273" t="inlineStr">
        <is>
          <t>Ann Radcliffe / by E. B. Murray.</t>
        </is>
      </c>
      <c r="H2273" t="inlineStr">
        <is>
          <t>No</t>
        </is>
      </c>
      <c r="I2273" t="inlineStr">
        <is>
          <t>1</t>
        </is>
      </c>
      <c r="J2273" t="inlineStr">
        <is>
          <t>No</t>
        </is>
      </c>
      <c r="K2273" t="inlineStr">
        <is>
          <t>No</t>
        </is>
      </c>
      <c r="L2273" t="inlineStr">
        <is>
          <t>0</t>
        </is>
      </c>
      <c r="M2273" t="inlineStr">
        <is>
          <t>Murray, E. B. (Eugene Bernard), 1927-</t>
        </is>
      </c>
      <c r="N2273" t="inlineStr">
        <is>
          <t>New York : Twayne Publishers, [c1972]</t>
        </is>
      </c>
      <c r="O2273" t="inlineStr">
        <is>
          <t>1972</t>
        </is>
      </c>
      <c r="Q2273" t="inlineStr">
        <is>
          <t>eng</t>
        </is>
      </c>
      <c r="R2273" t="inlineStr">
        <is>
          <t>nyu</t>
        </is>
      </c>
      <c r="S2273" t="inlineStr">
        <is>
          <t>Twayne's English authors series ; TEAS 149</t>
        </is>
      </c>
      <c r="T2273" t="inlineStr">
        <is>
          <t xml:space="preserve">PR </t>
        </is>
      </c>
      <c r="U2273" t="n">
        <v>1</v>
      </c>
      <c r="V2273" t="n">
        <v>1</v>
      </c>
      <c r="W2273" t="inlineStr">
        <is>
          <t>2001-04-04</t>
        </is>
      </c>
      <c r="X2273" t="inlineStr">
        <is>
          <t>2001-04-04</t>
        </is>
      </c>
      <c r="Y2273" t="inlineStr">
        <is>
          <t>1993-11-08</t>
        </is>
      </c>
      <c r="Z2273" t="inlineStr">
        <is>
          <t>1993-11-08</t>
        </is>
      </c>
      <c r="AA2273" t="n">
        <v>777</v>
      </c>
      <c r="AB2273" t="n">
        <v>705</v>
      </c>
      <c r="AC2273" t="n">
        <v>712</v>
      </c>
      <c r="AD2273" t="n">
        <v>8</v>
      </c>
      <c r="AE2273" t="n">
        <v>8</v>
      </c>
      <c r="AF2273" t="n">
        <v>34</v>
      </c>
      <c r="AG2273" t="n">
        <v>34</v>
      </c>
      <c r="AH2273" t="n">
        <v>14</v>
      </c>
      <c r="AI2273" t="n">
        <v>14</v>
      </c>
      <c r="AJ2273" t="n">
        <v>8</v>
      </c>
      <c r="AK2273" t="n">
        <v>8</v>
      </c>
      <c r="AL2273" t="n">
        <v>15</v>
      </c>
      <c r="AM2273" t="n">
        <v>15</v>
      </c>
      <c r="AN2273" t="n">
        <v>7</v>
      </c>
      <c r="AO2273" t="n">
        <v>7</v>
      </c>
      <c r="AP2273" t="n">
        <v>0</v>
      </c>
      <c r="AQ2273" t="n">
        <v>0</v>
      </c>
      <c r="AR2273" t="inlineStr">
        <is>
          <t>No</t>
        </is>
      </c>
      <c r="AS2273" t="inlineStr">
        <is>
          <t>Yes</t>
        </is>
      </c>
      <c r="AT2273">
        <f>HYPERLINK("http://catalog.hathitrust.org/Record/001377020","HathiTrust Record")</f>
        <v/>
      </c>
      <c r="AU2273">
        <f>HYPERLINK("https://creighton-primo.hosted.exlibrisgroup.com/primo-explore/search?tab=default_tab&amp;search_scope=EVERYTHING&amp;vid=01CRU&amp;lang=en_US&amp;offset=0&amp;query=any,contains,991003026689702656","Catalog Record")</f>
        <v/>
      </c>
      <c r="AV2273">
        <f>HYPERLINK("http://www.worldcat.org/oclc/590675","WorldCat Record")</f>
        <v/>
      </c>
      <c r="AW2273" t="inlineStr">
        <is>
          <t>1777381:eng</t>
        </is>
      </c>
      <c r="AX2273" t="inlineStr">
        <is>
          <t>590675</t>
        </is>
      </c>
      <c r="AY2273" t="inlineStr">
        <is>
          <t>991003026689702656</t>
        </is>
      </c>
      <c r="AZ2273" t="inlineStr">
        <is>
          <t>991003026689702656</t>
        </is>
      </c>
      <c r="BA2273" t="inlineStr">
        <is>
          <t>2262894870002656</t>
        </is>
      </c>
      <c r="BB2273" t="inlineStr">
        <is>
          <t>BOOK</t>
        </is>
      </c>
      <c r="BE2273" t="inlineStr">
        <is>
          <t>32285001797363</t>
        </is>
      </c>
      <c r="BF2273" t="inlineStr">
        <is>
          <t>893233740</t>
        </is>
      </c>
    </row>
    <row r="2274">
      <c r="A2274" t="inlineStr">
        <is>
          <t>No</t>
        </is>
      </c>
      <c r="B2274" t="inlineStr">
        <is>
          <t>CURAL</t>
        </is>
      </c>
      <c r="C2274" t="inlineStr">
        <is>
          <t>SHELVES</t>
        </is>
      </c>
      <c r="D2274" t="inlineStr">
        <is>
          <t>PR521 .F6</t>
        </is>
      </c>
      <c r="E2274" t="inlineStr">
        <is>
          <t>0                      PR 0521000F  6</t>
        </is>
      </c>
      <c r="F2274" t="inlineStr">
        <is>
          <t>Conceitful thought : the interpretation of English Renaissance poems / Alastair Fowler.</t>
        </is>
      </c>
      <c r="H2274" t="inlineStr">
        <is>
          <t>No</t>
        </is>
      </c>
      <c r="I2274" t="inlineStr">
        <is>
          <t>1</t>
        </is>
      </c>
      <c r="J2274" t="inlineStr">
        <is>
          <t>No</t>
        </is>
      </c>
      <c r="K2274" t="inlineStr">
        <is>
          <t>No</t>
        </is>
      </c>
      <c r="L2274" t="inlineStr">
        <is>
          <t>0</t>
        </is>
      </c>
      <c r="M2274" t="inlineStr">
        <is>
          <t>Fowler, Alastair.</t>
        </is>
      </c>
      <c r="N2274" t="inlineStr">
        <is>
          <t>Edinburgh : Edinburgh University Press, c1975.</t>
        </is>
      </c>
      <c r="O2274" t="inlineStr">
        <is>
          <t>1975</t>
        </is>
      </c>
      <c r="Q2274" t="inlineStr">
        <is>
          <t>eng</t>
        </is>
      </c>
      <c r="R2274" t="inlineStr">
        <is>
          <t>stk</t>
        </is>
      </c>
      <c r="T2274" t="inlineStr">
        <is>
          <t xml:space="preserve">PR </t>
        </is>
      </c>
      <c r="U2274" t="n">
        <v>1</v>
      </c>
      <c r="V2274" t="n">
        <v>1</v>
      </c>
      <c r="W2274" t="inlineStr">
        <is>
          <t>1995-09-10</t>
        </is>
      </c>
      <c r="X2274" t="inlineStr">
        <is>
          <t>1995-09-10</t>
        </is>
      </c>
      <c r="Y2274" t="inlineStr">
        <is>
          <t>1991-09-04</t>
        </is>
      </c>
      <c r="Z2274" t="inlineStr">
        <is>
          <t>1991-09-04</t>
        </is>
      </c>
      <c r="AA2274" t="n">
        <v>600</v>
      </c>
      <c r="AB2274" t="n">
        <v>423</v>
      </c>
      <c r="AC2274" t="n">
        <v>428</v>
      </c>
      <c r="AD2274" t="n">
        <v>4</v>
      </c>
      <c r="AE2274" t="n">
        <v>4</v>
      </c>
      <c r="AF2274" t="n">
        <v>20</v>
      </c>
      <c r="AG2274" t="n">
        <v>20</v>
      </c>
      <c r="AH2274" t="n">
        <v>5</v>
      </c>
      <c r="AI2274" t="n">
        <v>5</v>
      </c>
      <c r="AJ2274" t="n">
        <v>4</v>
      </c>
      <c r="AK2274" t="n">
        <v>4</v>
      </c>
      <c r="AL2274" t="n">
        <v>12</v>
      </c>
      <c r="AM2274" t="n">
        <v>12</v>
      </c>
      <c r="AN2274" t="n">
        <v>3</v>
      </c>
      <c r="AO2274" t="n">
        <v>3</v>
      </c>
      <c r="AP2274" t="n">
        <v>0</v>
      </c>
      <c r="AQ2274" t="n">
        <v>0</v>
      </c>
      <c r="AR2274" t="inlineStr">
        <is>
          <t>No</t>
        </is>
      </c>
      <c r="AS2274" t="inlineStr">
        <is>
          <t>No</t>
        </is>
      </c>
      <c r="AU2274">
        <f>HYPERLINK("https://creighton-primo.hosted.exlibrisgroup.com/primo-explore/search?tab=default_tab&amp;search_scope=EVERYTHING&amp;vid=01CRU&amp;lang=en_US&amp;offset=0&amp;query=any,contains,991004052049702656","Catalog Record")</f>
        <v/>
      </c>
      <c r="AV2274">
        <f>HYPERLINK("http://www.worldcat.org/oclc/2213519","WorldCat Record")</f>
        <v/>
      </c>
      <c r="AW2274" t="inlineStr">
        <is>
          <t>864556152:eng</t>
        </is>
      </c>
      <c r="AX2274" t="inlineStr">
        <is>
          <t>2213519</t>
        </is>
      </c>
      <c r="AY2274" t="inlineStr">
        <is>
          <t>991004052049702656</t>
        </is>
      </c>
      <c r="AZ2274" t="inlineStr">
        <is>
          <t>991004052049702656</t>
        </is>
      </c>
      <c r="BA2274" t="inlineStr">
        <is>
          <t>2256176970002656</t>
        </is>
      </c>
      <c r="BB2274" t="inlineStr">
        <is>
          <t>BOOK</t>
        </is>
      </c>
      <c r="BD2274" t="inlineStr">
        <is>
          <t>9780852242865</t>
        </is>
      </c>
      <c r="BE2274" t="inlineStr">
        <is>
          <t>32285000735687</t>
        </is>
      </c>
      <c r="BF2274" t="inlineStr">
        <is>
          <t>893888256</t>
        </is>
      </c>
    </row>
    <row r="2275">
      <c r="A2275" t="inlineStr">
        <is>
          <t>No</t>
        </is>
      </c>
      <c r="B2275" t="inlineStr">
        <is>
          <t>CURAL</t>
        </is>
      </c>
      <c r="C2275" t="inlineStr">
        <is>
          <t>SHELVES</t>
        </is>
      </c>
      <c r="D2275" t="inlineStr">
        <is>
          <t>PR5227.R7 Z68 1981</t>
        </is>
      </c>
      <c r="E2275" t="inlineStr">
        <is>
          <t>0                      PR 5227000R  7                  Z  68          1981</t>
        </is>
      </c>
      <c r="F2275" t="inlineStr">
        <is>
          <t>Anne Thackeray Ritchie : a biography / by Winifred Gérin.</t>
        </is>
      </c>
      <c r="H2275" t="inlineStr">
        <is>
          <t>No</t>
        </is>
      </c>
      <c r="I2275" t="inlineStr">
        <is>
          <t>1</t>
        </is>
      </c>
      <c r="J2275" t="inlineStr">
        <is>
          <t>No</t>
        </is>
      </c>
      <c r="K2275" t="inlineStr">
        <is>
          <t>No</t>
        </is>
      </c>
      <c r="L2275" t="inlineStr">
        <is>
          <t>0</t>
        </is>
      </c>
      <c r="M2275" t="inlineStr">
        <is>
          <t>Gérin, Winifred.</t>
        </is>
      </c>
      <c r="N2275" t="inlineStr">
        <is>
          <t>Oxford : Clarendon Press ; New York : Oxford University Press, 1981.</t>
        </is>
      </c>
      <c r="O2275" t="inlineStr">
        <is>
          <t>1981</t>
        </is>
      </c>
      <c r="Q2275" t="inlineStr">
        <is>
          <t>eng</t>
        </is>
      </c>
      <c r="R2275" t="inlineStr">
        <is>
          <t>enk</t>
        </is>
      </c>
      <c r="T2275" t="inlineStr">
        <is>
          <t xml:space="preserve">PR </t>
        </is>
      </c>
      <c r="U2275" t="n">
        <v>4</v>
      </c>
      <c r="V2275" t="n">
        <v>4</v>
      </c>
      <c r="W2275" t="inlineStr">
        <is>
          <t>2009-05-14</t>
        </is>
      </c>
      <c r="X2275" t="inlineStr">
        <is>
          <t>2009-05-14</t>
        </is>
      </c>
      <c r="Y2275" t="inlineStr">
        <is>
          <t>1991-12-04</t>
        </is>
      </c>
      <c r="Z2275" t="inlineStr">
        <is>
          <t>1991-12-04</t>
        </is>
      </c>
      <c r="AA2275" t="n">
        <v>536</v>
      </c>
      <c r="AB2275" t="n">
        <v>386</v>
      </c>
      <c r="AC2275" t="n">
        <v>402</v>
      </c>
      <c r="AD2275" t="n">
        <v>2</v>
      </c>
      <c r="AE2275" t="n">
        <v>2</v>
      </c>
      <c r="AF2275" t="n">
        <v>20</v>
      </c>
      <c r="AG2275" t="n">
        <v>20</v>
      </c>
      <c r="AH2275" t="n">
        <v>9</v>
      </c>
      <c r="AI2275" t="n">
        <v>9</v>
      </c>
      <c r="AJ2275" t="n">
        <v>7</v>
      </c>
      <c r="AK2275" t="n">
        <v>7</v>
      </c>
      <c r="AL2275" t="n">
        <v>12</v>
      </c>
      <c r="AM2275" t="n">
        <v>12</v>
      </c>
      <c r="AN2275" t="n">
        <v>1</v>
      </c>
      <c r="AO2275" t="n">
        <v>1</v>
      </c>
      <c r="AP2275" t="n">
        <v>0</v>
      </c>
      <c r="AQ2275" t="n">
        <v>0</v>
      </c>
      <c r="AR2275" t="inlineStr">
        <is>
          <t>No</t>
        </is>
      </c>
      <c r="AS2275" t="inlineStr">
        <is>
          <t>Yes</t>
        </is>
      </c>
      <c r="AT2275">
        <f>HYPERLINK("http://catalog.hathitrust.org/Record/000097938","HathiTrust Record")</f>
        <v/>
      </c>
      <c r="AU2275">
        <f>HYPERLINK("https://creighton-primo.hosted.exlibrisgroup.com/primo-explore/search?tab=default_tab&amp;search_scope=EVERYTHING&amp;vid=01CRU&amp;lang=en_US&amp;offset=0&amp;query=any,contains,991005087869702656","Catalog Record")</f>
        <v/>
      </c>
      <c r="AV2275">
        <f>HYPERLINK("http://www.worldcat.org/oclc/7197659","WorldCat Record")</f>
        <v/>
      </c>
      <c r="AW2275" t="inlineStr">
        <is>
          <t>26813621:eng</t>
        </is>
      </c>
      <c r="AX2275" t="inlineStr">
        <is>
          <t>7197659</t>
        </is>
      </c>
      <c r="AY2275" t="inlineStr">
        <is>
          <t>991005087869702656</t>
        </is>
      </c>
      <c r="AZ2275" t="inlineStr">
        <is>
          <t>991005087869702656</t>
        </is>
      </c>
      <c r="BA2275" t="inlineStr">
        <is>
          <t>2256833310002656</t>
        </is>
      </c>
      <c r="BB2275" t="inlineStr">
        <is>
          <t>BOOK</t>
        </is>
      </c>
      <c r="BD2275" t="inlineStr">
        <is>
          <t>9780198126645</t>
        </is>
      </c>
      <c r="BE2275" t="inlineStr">
        <is>
          <t>32285000846344</t>
        </is>
      </c>
      <c r="BF2275" t="inlineStr">
        <is>
          <t>893807800</t>
        </is>
      </c>
    </row>
    <row r="2276">
      <c r="A2276" t="inlineStr">
        <is>
          <t>No</t>
        </is>
      </c>
      <c r="B2276" t="inlineStr">
        <is>
          <t>CURAL</t>
        </is>
      </c>
      <c r="C2276" t="inlineStr">
        <is>
          <t>SHELVES</t>
        </is>
      </c>
      <c r="D2276" t="inlineStr">
        <is>
          <t>PR5236.R9 W3</t>
        </is>
      </c>
      <c r="E2276" t="inlineStr">
        <is>
          <t>0                      PR 5236000R  9                  W  3</t>
        </is>
      </c>
      <c r="F2276" t="inlineStr">
        <is>
          <t>The Rossetti family, 1824-1854 / by R. D. Waller.</t>
        </is>
      </c>
      <c r="H2276" t="inlineStr">
        <is>
          <t>No</t>
        </is>
      </c>
      <c r="I2276" t="inlineStr">
        <is>
          <t>1</t>
        </is>
      </c>
      <c r="J2276" t="inlineStr">
        <is>
          <t>No</t>
        </is>
      </c>
      <c r="K2276" t="inlineStr">
        <is>
          <t>No</t>
        </is>
      </c>
      <c r="L2276" t="inlineStr">
        <is>
          <t>0</t>
        </is>
      </c>
      <c r="M2276" t="inlineStr">
        <is>
          <t>Waller, Ross Douglas.</t>
        </is>
      </c>
      <c r="N2276" t="inlineStr">
        <is>
          <t>[n.p.] : Folcroft Library Editions, 1970.</t>
        </is>
      </c>
      <c r="O2276" t="inlineStr">
        <is>
          <t>1970</t>
        </is>
      </c>
      <c r="Q2276" t="inlineStr">
        <is>
          <t>eng</t>
        </is>
      </c>
      <c r="R2276" t="inlineStr">
        <is>
          <t xml:space="preserve">xx </t>
        </is>
      </c>
      <c r="T2276" t="inlineStr">
        <is>
          <t xml:space="preserve">PR </t>
        </is>
      </c>
      <c r="U2276" t="n">
        <v>2</v>
      </c>
      <c r="V2276" t="n">
        <v>2</v>
      </c>
      <c r="W2276" t="inlineStr">
        <is>
          <t>2001-03-25</t>
        </is>
      </c>
      <c r="X2276" t="inlineStr">
        <is>
          <t>2001-03-25</t>
        </is>
      </c>
      <c r="Y2276" t="inlineStr">
        <is>
          <t>1992-09-18</t>
        </is>
      </c>
      <c r="Z2276" t="inlineStr">
        <is>
          <t>1992-09-18</t>
        </is>
      </c>
      <c r="AA2276" t="n">
        <v>39</v>
      </c>
      <c r="AB2276" t="n">
        <v>38</v>
      </c>
      <c r="AC2276" t="n">
        <v>238</v>
      </c>
      <c r="AD2276" t="n">
        <v>1</v>
      </c>
      <c r="AE2276" t="n">
        <v>3</v>
      </c>
      <c r="AF2276" t="n">
        <v>1</v>
      </c>
      <c r="AG2276" t="n">
        <v>7</v>
      </c>
      <c r="AH2276" t="n">
        <v>0</v>
      </c>
      <c r="AI2276" t="n">
        <v>1</v>
      </c>
      <c r="AJ2276" t="n">
        <v>0</v>
      </c>
      <c r="AK2276" t="n">
        <v>2</v>
      </c>
      <c r="AL2276" t="n">
        <v>1</v>
      </c>
      <c r="AM2276" t="n">
        <v>3</v>
      </c>
      <c r="AN2276" t="n">
        <v>0</v>
      </c>
      <c r="AO2276" t="n">
        <v>2</v>
      </c>
      <c r="AP2276" t="n">
        <v>0</v>
      </c>
      <c r="AQ2276" t="n">
        <v>0</v>
      </c>
      <c r="AR2276" t="inlineStr">
        <is>
          <t>No</t>
        </is>
      </c>
      <c r="AS2276" t="inlineStr">
        <is>
          <t>No</t>
        </is>
      </c>
      <c r="AU2276">
        <f>HYPERLINK("https://creighton-primo.hosted.exlibrisgroup.com/primo-explore/search?tab=default_tab&amp;search_scope=EVERYTHING&amp;vid=01CRU&amp;lang=en_US&amp;offset=0&amp;query=any,contains,991004456719702656","Catalog Record")</f>
        <v/>
      </c>
      <c r="AV2276">
        <f>HYPERLINK("http://www.worldcat.org/oclc/3531130","WorldCat Record")</f>
        <v/>
      </c>
      <c r="AW2276" t="inlineStr">
        <is>
          <t>1526585:eng</t>
        </is>
      </c>
      <c r="AX2276" t="inlineStr">
        <is>
          <t>3531130</t>
        </is>
      </c>
      <c r="AY2276" t="inlineStr">
        <is>
          <t>991004456719702656</t>
        </is>
      </c>
      <c r="AZ2276" t="inlineStr">
        <is>
          <t>991004456719702656</t>
        </is>
      </c>
      <c r="BA2276" t="inlineStr">
        <is>
          <t>2259993850002656</t>
        </is>
      </c>
      <c r="BB2276" t="inlineStr">
        <is>
          <t>BOOK</t>
        </is>
      </c>
      <c r="BE2276" t="inlineStr">
        <is>
          <t>32285001303949</t>
        </is>
      </c>
      <c r="BF2276" t="inlineStr">
        <is>
          <t>893810521</t>
        </is>
      </c>
    </row>
    <row r="2277">
      <c r="A2277" t="inlineStr">
        <is>
          <t>No</t>
        </is>
      </c>
      <c r="B2277" t="inlineStr">
        <is>
          <t>CURAL</t>
        </is>
      </c>
      <c r="C2277" t="inlineStr">
        <is>
          <t>SHELVES</t>
        </is>
      </c>
      <c r="D2277" t="inlineStr">
        <is>
          <t>PR5236.R9 W4</t>
        </is>
      </c>
      <c r="E2277" t="inlineStr">
        <is>
          <t>0                      PR 5236000R  9                  W  4</t>
        </is>
      </c>
      <c r="F2277" t="inlineStr">
        <is>
          <t>Four Rossettis : a Victorian biography / Stanley Weintraub.</t>
        </is>
      </c>
      <c r="H2277" t="inlineStr">
        <is>
          <t>No</t>
        </is>
      </c>
      <c r="I2277" t="inlineStr">
        <is>
          <t>1</t>
        </is>
      </c>
      <c r="J2277" t="inlineStr">
        <is>
          <t>No</t>
        </is>
      </c>
      <c r="K2277" t="inlineStr">
        <is>
          <t>No</t>
        </is>
      </c>
      <c r="L2277" t="inlineStr">
        <is>
          <t>0</t>
        </is>
      </c>
      <c r="M2277" t="inlineStr">
        <is>
          <t>Weintraub, Stanley, 1929-2019.</t>
        </is>
      </c>
      <c r="N2277" t="inlineStr">
        <is>
          <t>New York : Weybright and Talley, c1977.</t>
        </is>
      </c>
      <c r="O2277" t="inlineStr">
        <is>
          <t>1977</t>
        </is>
      </c>
      <c r="Q2277" t="inlineStr">
        <is>
          <t>eng</t>
        </is>
      </c>
      <c r="R2277" t="inlineStr">
        <is>
          <t>nyu</t>
        </is>
      </c>
      <c r="T2277" t="inlineStr">
        <is>
          <t xml:space="preserve">PR </t>
        </is>
      </c>
      <c r="U2277" t="n">
        <v>1</v>
      </c>
      <c r="V2277" t="n">
        <v>1</v>
      </c>
      <c r="W2277" t="inlineStr">
        <is>
          <t>1993-02-19</t>
        </is>
      </c>
      <c r="X2277" t="inlineStr">
        <is>
          <t>1993-02-19</t>
        </is>
      </c>
      <c r="Y2277" t="inlineStr">
        <is>
          <t>1991-12-04</t>
        </is>
      </c>
      <c r="Z2277" t="inlineStr">
        <is>
          <t>1991-12-04</t>
        </is>
      </c>
      <c r="AA2277" t="n">
        <v>634</v>
      </c>
      <c r="AB2277" t="n">
        <v>576</v>
      </c>
      <c r="AC2277" t="n">
        <v>596</v>
      </c>
      <c r="AD2277" t="n">
        <v>4</v>
      </c>
      <c r="AE2277" t="n">
        <v>4</v>
      </c>
      <c r="AF2277" t="n">
        <v>27</v>
      </c>
      <c r="AG2277" t="n">
        <v>27</v>
      </c>
      <c r="AH2277" t="n">
        <v>9</v>
      </c>
      <c r="AI2277" t="n">
        <v>9</v>
      </c>
      <c r="AJ2277" t="n">
        <v>8</v>
      </c>
      <c r="AK2277" t="n">
        <v>8</v>
      </c>
      <c r="AL2277" t="n">
        <v>14</v>
      </c>
      <c r="AM2277" t="n">
        <v>14</v>
      </c>
      <c r="AN2277" t="n">
        <v>3</v>
      </c>
      <c r="AO2277" t="n">
        <v>3</v>
      </c>
      <c r="AP2277" t="n">
        <v>0</v>
      </c>
      <c r="AQ2277" t="n">
        <v>0</v>
      </c>
      <c r="AR2277" t="inlineStr">
        <is>
          <t>No</t>
        </is>
      </c>
      <c r="AS2277" t="inlineStr">
        <is>
          <t>Yes</t>
        </is>
      </c>
      <c r="AT2277">
        <f>HYPERLINK("http://catalog.hathitrust.org/Record/000730826","HathiTrust Record")</f>
        <v/>
      </c>
      <c r="AU2277">
        <f>HYPERLINK("https://creighton-primo.hosted.exlibrisgroup.com/primo-explore/search?tab=default_tab&amp;search_scope=EVERYTHING&amp;vid=01CRU&amp;lang=en_US&amp;offset=0&amp;query=any,contains,991004077569702656","Catalog Record")</f>
        <v/>
      </c>
      <c r="AV2277">
        <f>HYPERLINK("http://www.worldcat.org/oclc/2318460","WorldCat Record")</f>
        <v/>
      </c>
      <c r="AW2277" t="inlineStr">
        <is>
          <t>4655468:eng</t>
        </is>
      </c>
      <c r="AX2277" t="inlineStr">
        <is>
          <t>2318460</t>
        </is>
      </c>
      <c r="AY2277" t="inlineStr">
        <is>
          <t>991004077569702656</t>
        </is>
      </c>
      <c r="AZ2277" t="inlineStr">
        <is>
          <t>991004077569702656</t>
        </is>
      </c>
      <c r="BA2277" t="inlineStr">
        <is>
          <t>2266411880002656</t>
        </is>
      </c>
      <c r="BB2277" t="inlineStr">
        <is>
          <t>BOOK</t>
        </is>
      </c>
      <c r="BD2277" t="inlineStr">
        <is>
          <t>9780679401360</t>
        </is>
      </c>
      <c r="BE2277" t="inlineStr">
        <is>
          <t>32285000846369</t>
        </is>
      </c>
      <c r="BF2277" t="inlineStr">
        <is>
          <t>893869255</t>
        </is>
      </c>
    </row>
    <row r="2278">
      <c r="A2278" t="inlineStr">
        <is>
          <t>No</t>
        </is>
      </c>
      <c r="B2278" t="inlineStr">
        <is>
          <t>CURAL</t>
        </is>
      </c>
      <c r="C2278" t="inlineStr">
        <is>
          <t>SHELVES</t>
        </is>
      </c>
      <c r="D2278" t="inlineStr">
        <is>
          <t>PR5238 .B32 1981b</t>
        </is>
      </c>
      <c r="E2278" t="inlineStr">
        <is>
          <t>0                      PR 5238000B  32          1981b</t>
        </is>
      </c>
      <c r="F2278" t="inlineStr">
        <is>
          <t>Christina Rossetti, a divided life / Georgina Battiscombe.</t>
        </is>
      </c>
      <c r="H2278" t="inlineStr">
        <is>
          <t>No</t>
        </is>
      </c>
      <c r="I2278" t="inlineStr">
        <is>
          <t>1</t>
        </is>
      </c>
      <c r="J2278" t="inlineStr">
        <is>
          <t>No</t>
        </is>
      </c>
      <c r="K2278" t="inlineStr">
        <is>
          <t>No</t>
        </is>
      </c>
      <c r="L2278" t="inlineStr">
        <is>
          <t>0</t>
        </is>
      </c>
      <c r="M2278" t="inlineStr">
        <is>
          <t>Battiscombe, Georgina.</t>
        </is>
      </c>
      <c r="N2278" t="inlineStr">
        <is>
          <t>London : Constable, 1981.</t>
        </is>
      </c>
      <c r="O2278" t="inlineStr">
        <is>
          <t>1981</t>
        </is>
      </c>
      <c r="Q2278" t="inlineStr">
        <is>
          <t>eng</t>
        </is>
      </c>
      <c r="R2278" t="inlineStr">
        <is>
          <t>enk</t>
        </is>
      </c>
      <c r="T2278" t="inlineStr">
        <is>
          <t xml:space="preserve">PR </t>
        </is>
      </c>
      <c r="U2278" t="n">
        <v>3</v>
      </c>
      <c r="V2278" t="n">
        <v>3</v>
      </c>
      <c r="W2278" t="inlineStr">
        <is>
          <t>2001-04-18</t>
        </is>
      </c>
      <c r="X2278" t="inlineStr">
        <is>
          <t>2001-04-18</t>
        </is>
      </c>
      <c r="Y2278" t="inlineStr">
        <is>
          <t>1991-12-04</t>
        </is>
      </c>
      <c r="Z2278" t="inlineStr">
        <is>
          <t>1991-12-04</t>
        </is>
      </c>
      <c r="AA2278" t="n">
        <v>155</v>
      </c>
      <c r="AB2278" t="n">
        <v>74</v>
      </c>
      <c r="AC2278" t="n">
        <v>698</v>
      </c>
      <c r="AD2278" t="n">
        <v>2</v>
      </c>
      <c r="AE2278" t="n">
        <v>3</v>
      </c>
      <c r="AF2278" t="n">
        <v>3</v>
      </c>
      <c r="AG2278" t="n">
        <v>25</v>
      </c>
      <c r="AH2278" t="n">
        <v>1</v>
      </c>
      <c r="AI2278" t="n">
        <v>14</v>
      </c>
      <c r="AJ2278" t="n">
        <v>1</v>
      </c>
      <c r="AK2278" t="n">
        <v>5</v>
      </c>
      <c r="AL2278" t="n">
        <v>1</v>
      </c>
      <c r="AM2278" t="n">
        <v>14</v>
      </c>
      <c r="AN2278" t="n">
        <v>1</v>
      </c>
      <c r="AO2278" t="n">
        <v>2</v>
      </c>
      <c r="AP2278" t="n">
        <v>0</v>
      </c>
      <c r="AQ2278" t="n">
        <v>0</v>
      </c>
      <c r="AR2278" t="inlineStr">
        <is>
          <t>No</t>
        </is>
      </c>
      <c r="AS2278" t="inlineStr">
        <is>
          <t>Yes</t>
        </is>
      </c>
      <c r="AT2278">
        <f>HYPERLINK("http://catalog.hathitrust.org/Record/000138751","HathiTrust Record")</f>
        <v/>
      </c>
      <c r="AU2278">
        <f>HYPERLINK("https://creighton-primo.hosted.exlibrisgroup.com/primo-explore/search?tab=default_tab&amp;search_scope=EVERYTHING&amp;vid=01CRU&amp;lang=en_US&amp;offset=0&amp;query=any,contains,991005164939702656","Catalog Record")</f>
        <v/>
      </c>
      <c r="AV2278">
        <f>HYPERLINK("http://www.worldcat.org/oclc/8689102","WorldCat Record")</f>
        <v/>
      </c>
      <c r="AW2278" t="inlineStr">
        <is>
          <t>5378106760:eng</t>
        </is>
      </c>
      <c r="AX2278" t="inlineStr">
        <is>
          <t>8689102</t>
        </is>
      </c>
      <c r="AY2278" t="inlineStr">
        <is>
          <t>991005164939702656</t>
        </is>
      </c>
      <c r="AZ2278" t="inlineStr">
        <is>
          <t>991005164939702656</t>
        </is>
      </c>
      <c r="BA2278" t="inlineStr">
        <is>
          <t>2257922060002656</t>
        </is>
      </c>
      <c r="BB2278" t="inlineStr">
        <is>
          <t>BOOK</t>
        </is>
      </c>
      <c r="BD2278" t="inlineStr">
        <is>
          <t>9780094619500</t>
        </is>
      </c>
      <c r="BE2278" t="inlineStr">
        <is>
          <t>32285000846377</t>
        </is>
      </c>
      <c r="BF2278" t="inlineStr">
        <is>
          <t>893263646</t>
        </is>
      </c>
    </row>
    <row r="2279">
      <c r="A2279" t="inlineStr">
        <is>
          <t>No</t>
        </is>
      </c>
      <c r="B2279" t="inlineStr">
        <is>
          <t>CURAL</t>
        </is>
      </c>
      <c r="C2279" t="inlineStr">
        <is>
          <t>SHELVES</t>
        </is>
      </c>
      <c r="D2279" t="inlineStr">
        <is>
          <t>PR5238 .B4 1971</t>
        </is>
      </c>
      <c r="E2279" t="inlineStr">
        <is>
          <t>0                      PR 5238000B  4           1971</t>
        </is>
      </c>
      <c r="F2279" t="inlineStr">
        <is>
          <t>Christina Rossetti : a biographical and critical study.</t>
        </is>
      </c>
      <c r="H2279" t="inlineStr">
        <is>
          <t>No</t>
        </is>
      </c>
      <c r="I2279" t="inlineStr">
        <is>
          <t>1</t>
        </is>
      </c>
      <c r="J2279" t="inlineStr">
        <is>
          <t>No</t>
        </is>
      </c>
      <c r="K2279" t="inlineStr">
        <is>
          <t>No</t>
        </is>
      </c>
      <c r="L2279" t="inlineStr">
        <is>
          <t>0</t>
        </is>
      </c>
      <c r="M2279" t="inlineStr">
        <is>
          <t>Bell, Mackenzie, 1856-1930.</t>
        </is>
      </c>
      <c r="N2279" t="inlineStr">
        <is>
          <t>New York : Haskell House, 1971.</t>
        </is>
      </c>
      <c r="O2279" t="inlineStr">
        <is>
          <t>1971</t>
        </is>
      </c>
      <c r="P2279" t="inlineStr">
        <is>
          <t>4th ed.</t>
        </is>
      </c>
      <c r="Q2279" t="inlineStr">
        <is>
          <t>eng</t>
        </is>
      </c>
      <c r="R2279" t="inlineStr">
        <is>
          <t>nyu</t>
        </is>
      </c>
      <c r="T2279" t="inlineStr">
        <is>
          <t xml:space="preserve">PR </t>
        </is>
      </c>
      <c r="U2279" t="n">
        <v>4</v>
      </c>
      <c r="V2279" t="n">
        <v>4</v>
      </c>
      <c r="W2279" t="inlineStr">
        <is>
          <t>1996-09-14</t>
        </is>
      </c>
      <c r="X2279" t="inlineStr">
        <is>
          <t>1996-09-14</t>
        </is>
      </c>
      <c r="Y2279" t="inlineStr">
        <is>
          <t>1990-07-13</t>
        </is>
      </c>
      <c r="Z2279" t="inlineStr">
        <is>
          <t>1990-07-13</t>
        </is>
      </c>
      <c r="AA2279" t="n">
        <v>123</v>
      </c>
      <c r="AB2279" t="n">
        <v>112</v>
      </c>
      <c r="AC2279" t="n">
        <v>457</v>
      </c>
      <c r="AD2279" t="n">
        <v>3</v>
      </c>
      <c r="AE2279" t="n">
        <v>5</v>
      </c>
      <c r="AF2279" t="n">
        <v>4</v>
      </c>
      <c r="AG2279" t="n">
        <v>23</v>
      </c>
      <c r="AH2279" t="n">
        <v>0</v>
      </c>
      <c r="AI2279" t="n">
        <v>5</v>
      </c>
      <c r="AJ2279" t="n">
        <v>1</v>
      </c>
      <c r="AK2279" t="n">
        <v>7</v>
      </c>
      <c r="AL2279" t="n">
        <v>2</v>
      </c>
      <c r="AM2279" t="n">
        <v>13</v>
      </c>
      <c r="AN2279" t="n">
        <v>2</v>
      </c>
      <c r="AO2279" t="n">
        <v>4</v>
      </c>
      <c r="AP2279" t="n">
        <v>0</v>
      </c>
      <c r="AQ2279" t="n">
        <v>0</v>
      </c>
      <c r="AR2279" t="inlineStr">
        <is>
          <t>No</t>
        </is>
      </c>
      <c r="AS2279" t="inlineStr">
        <is>
          <t>No</t>
        </is>
      </c>
      <c r="AU2279">
        <f>HYPERLINK("https://creighton-primo.hosted.exlibrisgroup.com/primo-explore/search?tab=default_tab&amp;search_scope=EVERYTHING&amp;vid=01CRU&amp;lang=en_US&amp;offset=0&amp;query=any,contains,991000829819702656","Catalog Record")</f>
        <v/>
      </c>
      <c r="AV2279">
        <f>HYPERLINK("http://www.worldcat.org/oclc/147350","WorldCat Record")</f>
        <v/>
      </c>
      <c r="AW2279" t="inlineStr">
        <is>
          <t>1329651:eng</t>
        </is>
      </c>
      <c r="AX2279" t="inlineStr">
        <is>
          <t>147350</t>
        </is>
      </c>
      <c r="AY2279" t="inlineStr">
        <is>
          <t>991000829819702656</t>
        </is>
      </c>
      <c r="AZ2279" t="inlineStr">
        <is>
          <t>991000829819702656</t>
        </is>
      </c>
      <c r="BA2279" t="inlineStr">
        <is>
          <t>2258851500002656</t>
        </is>
      </c>
      <c r="BB2279" t="inlineStr">
        <is>
          <t>BOOK</t>
        </is>
      </c>
      <c r="BD2279" t="inlineStr">
        <is>
          <t>9780838312926</t>
        </is>
      </c>
      <c r="BE2279" t="inlineStr">
        <is>
          <t>32285000230077</t>
        </is>
      </c>
      <c r="BF2279" t="inlineStr">
        <is>
          <t>893778279</t>
        </is>
      </c>
    </row>
    <row r="2280">
      <c r="A2280" t="inlineStr">
        <is>
          <t>No</t>
        </is>
      </c>
      <c r="B2280" t="inlineStr">
        <is>
          <t>CURAL</t>
        </is>
      </c>
      <c r="C2280" t="inlineStr">
        <is>
          <t>SHELVES</t>
        </is>
      </c>
      <c r="D2280" t="inlineStr">
        <is>
          <t>PR5238 .T36 1992</t>
        </is>
      </c>
      <c r="E2280" t="inlineStr">
        <is>
          <t>0                      PR 5238000T  36          1992</t>
        </is>
      </c>
      <c r="F2280" t="inlineStr">
        <is>
          <t>Christina Rossetti / Frances Thomas.</t>
        </is>
      </c>
      <c r="H2280" t="inlineStr">
        <is>
          <t>No</t>
        </is>
      </c>
      <c r="I2280" t="inlineStr">
        <is>
          <t>1</t>
        </is>
      </c>
      <c r="J2280" t="inlineStr">
        <is>
          <t>No</t>
        </is>
      </c>
      <c r="K2280" t="inlineStr">
        <is>
          <t>No</t>
        </is>
      </c>
      <c r="L2280" t="inlineStr">
        <is>
          <t>0</t>
        </is>
      </c>
      <c r="M2280" t="inlineStr">
        <is>
          <t>Thomas, Frances, 1943-</t>
        </is>
      </c>
      <c r="N2280" t="inlineStr">
        <is>
          <t>Hanley Swan : Self Publishing Association, 1992.</t>
        </is>
      </c>
      <c r="O2280" t="inlineStr">
        <is>
          <t>1992</t>
        </is>
      </c>
      <c r="Q2280" t="inlineStr">
        <is>
          <t>eng</t>
        </is>
      </c>
      <c r="R2280" t="inlineStr">
        <is>
          <t>enk</t>
        </is>
      </c>
      <c r="T2280" t="inlineStr">
        <is>
          <t xml:space="preserve">PR </t>
        </is>
      </c>
      <c r="U2280" t="n">
        <v>5</v>
      </c>
      <c r="V2280" t="n">
        <v>5</v>
      </c>
      <c r="W2280" t="inlineStr">
        <is>
          <t>2001-04-18</t>
        </is>
      </c>
      <c r="X2280" t="inlineStr">
        <is>
          <t>2001-04-18</t>
        </is>
      </c>
      <c r="Y2280" t="inlineStr">
        <is>
          <t>1993-03-16</t>
        </is>
      </c>
      <c r="Z2280" t="inlineStr">
        <is>
          <t>1993-03-16</t>
        </is>
      </c>
      <c r="AA2280" t="n">
        <v>103</v>
      </c>
      <c r="AB2280" t="n">
        <v>43</v>
      </c>
      <c r="AC2280" t="n">
        <v>70</v>
      </c>
      <c r="AD2280" t="n">
        <v>1</v>
      </c>
      <c r="AE2280" t="n">
        <v>1</v>
      </c>
      <c r="AF2280" t="n">
        <v>2</v>
      </c>
      <c r="AG2280" t="n">
        <v>2</v>
      </c>
      <c r="AH2280" t="n">
        <v>0</v>
      </c>
      <c r="AI2280" t="n">
        <v>0</v>
      </c>
      <c r="AJ2280" t="n">
        <v>1</v>
      </c>
      <c r="AK2280" t="n">
        <v>1</v>
      </c>
      <c r="AL2280" t="n">
        <v>2</v>
      </c>
      <c r="AM2280" t="n">
        <v>2</v>
      </c>
      <c r="AN2280" t="n">
        <v>0</v>
      </c>
      <c r="AO2280" t="n">
        <v>0</v>
      </c>
      <c r="AP2280" t="n">
        <v>0</v>
      </c>
      <c r="AQ2280" t="n">
        <v>0</v>
      </c>
      <c r="AR2280" t="inlineStr">
        <is>
          <t>No</t>
        </is>
      </c>
      <c r="AS2280" t="inlineStr">
        <is>
          <t>Yes</t>
        </is>
      </c>
      <c r="AT2280">
        <f>HYPERLINK("http://catalog.hathitrust.org/Record/002554913","HathiTrust Record")</f>
        <v/>
      </c>
      <c r="AU2280">
        <f>HYPERLINK("https://creighton-primo.hosted.exlibrisgroup.com/primo-explore/search?tab=default_tab&amp;search_scope=EVERYTHING&amp;vid=01CRU&amp;lang=en_US&amp;offset=0&amp;query=any,contains,991002071309702656","Catalog Record")</f>
        <v/>
      </c>
      <c r="AV2280">
        <f>HYPERLINK("http://www.worldcat.org/oclc/26353014","WorldCat Record")</f>
        <v/>
      </c>
      <c r="AW2280" t="inlineStr">
        <is>
          <t>2564820099:eng</t>
        </is>
      </c>
      <c r="AX2280" t="inlineStr">
        <is>
          <t>26353014</t>
        </is>
      </c>
      <c r="AY2280" t="inlineStr">
        <is>
          <t>991002071309702656</t>
        </is>
      </c>
      <c r="AZ2280" t="inlineStr">
        <is>
          <t>991002071309702656</t>
        </is>
      </c>
      <c r="BA2280" t="inlineStr">
        <is>
          <t>2263615750002656</t>
        </is>
      </c>
      <c r="BB2280" t="inlineStr">
        <is>
          <t>BOOK</t>
        </is>
      </c>
      <c r="BD2280" t="inlineStr">
        <is>
          <t>9781854211569</t>
        </is>
      </c>
      <c r="BE2280" t="inlineStr">
        <is>
          <t>32285001497899</t>
        </is>
      </c>
      <c r="BF2280" t="inlineStr">
        <is>
          <t>893866769</t>
        </is>
      </c>
    </row>
    <row r="2281">
      <c r="A2281" t="inlineStr">
        <is>
          <t>No</t>
        </is>
      </c>
      <c r="B2281" t="inlineStr">
        <is>
          <t>CURAL</t>
        </is>
      </c>
      <c r="C2281" t="inlineStr">
        <is>
          <t>SHELVES</t>
        </is>
      </c>
      <c r="D2281" t="inlineStr">
        <is>
          <t>PR5246 .D63</t>
        </is>
      </c>
      <c r="E2281" t="inlineStr">
        <is>
          <t>0                      PR 5246000D  63</t>
        </is>
      </c>
      <c r="F2281" t="inlineStr">
        <is>
          <t>Dante Gabriel Rossetti : an alien Victorian / Brian and Judy Dobbs.</t>
        </is>
      </c>
      <c r="H2281" t="inlineStr">
        <is>
          <t>No</t>
        </is>
      </c>
      <c r="I2281" t="inlineStr">
        <is>
          <t>1</t>
        </is>
      </c>
      <c r="J2281" t="inlineStr">
        <is>
          <t>No</t>
        </is>
      </c>
      <c r="K2281" t="inlineStr">
        <is>
          <t>No</t>
        </is>
      </c>
      <c r="L2281" t="inlineStr">
        <is>
          <t>0</t>
        </is>
      </c>
      <c r="M2281" t="inlineStr">
        <is>
          <t>Dobbs, Brian.</t>
        </is>
      </c>
      <c r="N2281" t="inlineStr">
        <is>
          <t>London : MacDonald and Jane's, 1977.</t>
        </is>
      </c>
      <c r="O2281" t="inlineStr">
        <is>
          <t>1977</t>
        </is>
      </c>
      <c r="Q2281" t="inlineStr">
        <is>
          <t>eng</t>
        </is>
      </c>
      <c r="R2281" t="inlineStr">
        <is>
          <t>enk</t>
        </is>
      </c>
      <c r="T2281" t="inlineStr">
        <is>
          <t xml:space="preserve">PR </t>
        </is>
      </c>
      <c r="U2281" t="n">
        <v>2</v>
      </c>
      <c r="V2281" t="n">
        <v>2</v>
      </c>
      <c r="W2281" t="inlineStr">
        <is>
          <t>1993-10-06</t>
        </is>
      </c>
      <c r="X2281" t="inlineStr">
        <is>
          <t>1993-10-06</t>
        </is>
      </c>
      <c r="Y2281" t="inlineStr">
        <is>
          <t>1991-12-04</t>
        </is>
      </c>
      <c r="Z2281" t="inlineStr">
        <is>
          <t>1991-12-04</t>
        </is>
      </c>
      <c r="AA2281" t="n">
        <v>511</v>
      </c>
      <c r="AB2281" t="n">
        <v>365</v>
      </c>
      <c r="AC2281" t="n">
        <v>368</v>
      </c>
      <c r="AD2281" t="n">
        <v>5</v>
      </c>
      <c r="AE2281" t="n">
        <v>5</v>
      </c>
      <c r="AF2281" t="n">
        <v>20</v>
      </c>
      <c r="AG2281" t="n">
        <v>20</v>
      </c>
      <c r="AH2281" t="n">
        <v>7</v>
      </c>
      <c r="AI2281" t="n">
        <v>7</v>
      </c>
      <c r="AJ2281" t="n">
        <v>6</v>
      </c>
      <c r="AK2281" t="n">
        <v>6</v>
      </c>
      <c r="AL2281" t="n">
        <v>7</v>
      </c>
      <c r="AM2281" t="n">
        <v>7</v>
      </c>
      <c r="AN2281" t="n">
        <v>4</v>
      </c>
      <c r="AO2281" t="n">
        <v>4</v>
      </c>
      <c r="AP2281" t="n">
        <v>0</v>
      </c>
      <c r="AQ2281" t="n">
        <v>0</v>
      </c>
      <c r="AR2281" t="inlineStr">
        <is>
          <t>No</t>
        </is>
      </c>
      <c r="AS2281" t="inlineStr">
        <is>
          <t>No</t>
        </is>
      </c>
      <c r="AU2281">
        <f>HYPERLINK("https://creighton-primo.hosted.exlibrisgroup.com/primo-explore/search?tab=default_tab&amp;search_scope=EVERYTHING&amp;vid=01CRU&amp;lang=en_US&amp;offset=0&amp;query=any,contains,991004485829702656","Catalog Record")</f>
        <v/>
      </c>
      <c r="AV2281">
        <f>HYPERLINK("http://www.worldcat.org/oclc/3643581","WorldCat Record")</f>
        <v/>
      </c>
      <c r="AW2281" t="inlineStr">
        <is>
          <t>151340219:eng</t>
        </is>
      </c>
      <c r="AX2281" t="inlineStr">
        <is>
          <t>3643581</t>
        </is>
      </c>
      <c r="AY2281" t="inlineStr">
        <is>
          <t>991004485829702656</t>
        </is>
      </c>
      <c r="AZ2281" t="inlineStr">
        <is>
          <t>991004485829702656</t>
        </is>
      </c>
      <c r="BA2281" t="inlineStr">
        <is>
          <t>2259160820002656</t>
        </is>
      </c>
      <c r="BB2281" t="inlineStr">
        <is>
          <t>BOOK</t>
        </is>
      </c>
      <c r="BD2281" t="inlineStr">
        <is>
          <t>9780345040329</t>
        </is>
      </c>
      <c r="BE2281" t="inlineStr">
        <is>
          <t>32285000846419</t>
        </is>
      </c>
      <c r="BF2281" t="inlineStr">
        <is>
          <t>893229416</t>
        </is>
      </c>
    </row>
    <row r="2282">
      <c r="A2282" t="inlineStr">
        <is>
          <t>No</t>
        </is>
      </c>
      <c r="B2282" t="inlineStr">
        <is>
          <t>CURAL</t>
        </is>
      </c>
      <c r="C2282" t="inlineStr">
        <is>
          <t>SHELVES</t>
        </is>
      </c>
      <c r="D2282" t="inlineStr">
        <is>
          <t>PR5247 .R5 1992</t>
        </is>
      </c>
      <c r="E2282" t="inlineStr">
        <is>
          <t>0                      PR 5247000R  5           1992</t>
        </is>
      </c>
      <c r="F2282" t="inlineStr">
        <is>
          <t>Dante Gabriel Rossetti revisited / David G. Riede.</t>
        </is>
      </c>
      <c r="H2282" t="inlineStr">
        <is>
          <t>No</t>
        </is>
      </c>
      <c r="I2282" t="inlineStr">
        <is>
          <t>1</t>
        </is>
      </c>
      <c r="J2282" t="inlineStr">
        <is>
          <t>No</t>
        </is>
      </c>
      <c r="K2282" t="inlineStr">
        <is>
          <t>No</t>
        </is>
      </c>
      <c r="L2282" t="inlineStr">
        <is>
          <t>0</t>
        </is>
      </c>
      <c r="M2282" t="inlineStr">
        <is>
          <t>Riede, David G.</t>
        </is>
      </c>
      <c r="N2282" t="inlineStr">
        <is>
          <t>New York : Twayne Publishers, 1992.</t>
        </is>
      </c>
      <c r="O2282" t="inlineStr">
        <is>
          <t>1992</t>
        </is>
      </c>
      <c r="Q2282" t="inlineStr">
        <is>
          <t>eng</t>
        </is>
      </c>
      <c r="R2282" t="inlineStr">
        <is>
          <t>nyu</t>
        </is>
      </c>
      <c r="S2282" t="inlineStr">
        <is>
          <t>Twayne's English authors series</t>
        </is>
      </c>
      <c r="T2282" t="inlineStr">
        <is>
          <t xml:space="preserve">PR </t>
        </is>
      </c>
      <c r="U2282" t="n">
        <v>6</v>
      </c>
      <c r="V2282" t="n">
        <v>6</v>
      </c>
      <c r="W2282" t="inlineStr">
        <is>
          <t>1994-04-05</t>
        </is>
      </c>
      <c r="X2282" t="inlineStr">
        <is>
          <t>1994-04-05</t>
        </is>
      </c>
      <c r="Y2282" t="inlineStr">
        <is>
          <t>1992-12-11</t>
        </is>
      </c>
      <c r="Z2282" t="inlineStr">
        <is>
          <t>1992-12-11</t>
        </is>
      </c>
      <c r="AA2282" t="n">
        <v>612</v>
      </c>
      <c r="AB2282" t="n">
        <v>524</v>
      </c>
      <c r="AC2282" t="n">
        <v>530</v>
      </c>
      <c r="AD2282" t="n">
        <v>5</v>
      </c>
      <c r="AE2282" t="n">
        <v>5</v>
      </c>
      <c r="AF2282" t="n">
        <v>29</v>
      </c>
      <c r="AG2282" t="n">
        <v>29</v>
      </c>
      <c r="AH2282" t="n">
        <v>10</v>
      </c>
      <c r="AI2282" t="n">
        <v>10</v>
      </c>
      <c r="AJ2282" t="n">
        <v>6</v>
      </c>
      <c r="AK2282" t="n">
        <v>6</v>
      </c>
      <c r="AL2282" t="n">
        <v>15</v>
      </c>
      <c r="AM2282" t="n">
        <v>15</v>
      </c>
      <c r="AN2282" t="n">
        <v>4</v>
      </c>
      <c r="AO2282" t="n">
        <v>4</v>
      </c>
      <c r="AP2282" t="n">
        <v>0</v>
      </c>
      <c r="AQ2282" t="n">
        <v>0</v>
      </c>
      <c r="AR2282" t="inlineStr">
        <is>
          <t>No</t>
        </is>
      </c>
      <c r="AS2282" t="inlineStr">
        <is>
          <t>Yes</t>
        </is>
      </c>
      <c r="AT2282">
        <f>HYPERLINK("http://catalog.hathitrust.org/Record/002591561","HathiTrust Record")</f>
        <v/>
      </c>
      <c r="AU2282">
        <f>HYPERLINK("https://creighton-primo.hosted.exlibrisgroup.com/primo-explore/search?tab=default_tab&amp;search_scope=EVERYTHING&amp;vid=01CRU&amp;lang=en_US&amp;offset=0&amp;query=any,contains,991001999149702656","Catalog Record")</f>
        <v/>
      </c>
      <c r="AV2282">
        <f>HYPERLINK("http://www.worldcat.org/oclc/25409967","WorldCat Record")</f>
        <v/>
      </c>
      <c r="AW2282" t="inlineStr">
        <is>
          <t>27835622:eng</t>
        </is>
      </c>
      <c r="AX2282" t="inlineStr">
        <is>
          <t>25409967</t>
        </is>
      </c>
      <c r="AY2282" t="inlineStr">
        <is>
          <t>991001999149702656</t>
        </is>
      </c>
      <c r="AZ2282" t="inlineStr">
        <is>
          <t>991001999149702656</t>
        </is>
      </c>
      <c r="BA2282" t="inlineStr">
        <is>
          <t>2266847750002656</t>
        </is>
      </c>
      <c r="BB2282" t="inlineStr">
        <is>
          <t>BOOK</t>
        </is>
      </c>
      <c r="BD2282" t="inlineStr">
        <is>
          <t>9780805770278</t>
        </is>
      </c>
      <c r="BE2282" t="inlineStr">
        <is>
          <t>32285001464337</t>
        </is>
      </c>
      <c r="BF2282" t="inlineStr">
        <is>
          <t>893510169</t>
        </is>
      </c>
    </row>
    <row r="2283">
      <c r="A2283" t="inlineStr">
        <is>
          <t>No</t>
        </is>
      </c>
      <c r="B2283" t="inlineStr">
        <is>
          <t>CURAL</t>
        </is>
      </c>
      <c r="C2283" t="inlineStr">
        <is>
          <t>SHELVES</t>
        </is>
      </c>
      <c r="D2283" t="inlineStr">
        <is>
          <t>PR5252 .R64</t>
        </is>
      </c>
      <c r="E2283" t="inlineStr">
        <is>
          <t>0                      PR 5252000R  64</t>
        </is>
      </c>
      <c r="F2283" t="inlineStr">
        <is>
          <t>The genius of John Ruskin; selections from his writings edited with an introd. by John D. Rosenberg.</t>
        </is>
      </c>
      <c r="H2283" t="inlineStr">
        <is>
          <t>No</t>
        </is>
      </c>
      <c r="I2283" t="inlineStr">
        <is>
          <t>1</t>
        </is>
      </c>
      <c r="J2283" t="inlineStr">
        <is>
          <t>No</t>
        </is>
      </c>
      <c r="K2283" t="inlineStr">
        <is>
          <t>No</t>
        </is>
      </c>
      <c r="L2283" t="inlineStr">
        <is>
          <t>0</t>
        </is>
      </c>
      <c r="M2283" t="inlineStr">
        <is>
          <t>Ruskin, John, 1819-1900.</t>
        </is>
      </c>
      <c r="N2283" t="inlineStr">
        <is>
          <t>New York, G. Braziller [1963]</t>
        </is>
      </c>
      <c r="O2283" t="inlineStr">
        <is>
          <t>1963</t>
        </is>
      </c>
      <c r="Q2283" t="inlineStr">
        <is>
          <t>eng</t>
        </is>
      </c>
      <c r="R2283" t="inlineStr">
        <is>
          <t>nyu</t>
        </is>
      </c>
      <c r="T2283" t="inlineStr">
        <is>
          <t xml:space="preserve">PR </t>
        </is>
      </c>
      <c r="U2283" t="n">
        <v>4</v>
      </c>
      <c r="V2283" t="n">
        <v>4</v>
      </c>
      <c r="W2283" t="inlineStr">
        <is>
          <t>2002-10-16</t>
        </is>
      </c>
      <c r="X2283" t="inlineStr">
        <is>
          <t>2002-10-16</t>
        </is>
      </c>
      <c r="Y2283" t="inlineStr">
        <is>
          <t>1997-07-17</t>
        </is>
      </c>
      <c r="Z2283" t="inlineStr">
        <is>
          <t>1997-07-17</t>
        </is>
      </c>
      <c r="AA2283" t="n">
        <v>623</v>
      </c>
      <c r="AB2283" t="n">
        <v>597</v>
      </c>
      <c r="AC2283" t="n">
        <v>615</v>
      </c>
      <c r="AD2283" t="n">
        <v>6</v>
      </c>
      <c r="AE2283" t="n">
        <v>6</v>
      </c>
      <c r="AF2283" t="n">
        <v>18</v>
      </c>
      <c r="AG2283" t="n">
        <v>18</v>
      </c>
      <c r="AH2283" t="n">
        <v>5</v>
      </c>
      <c r="AI2283" t="n">
        <v>5</v>
      </c>
      <c r="AJ2283" t="n">
        <v>3</v>
      </c>
      <c r="AK2283" t="n">
        <v>3</v>
      </c>
      <c r="AL2283" t="n">
        <v>8</v>
      </c>
      <c r="AM2283" t="n">
        <v>8</v>
      </c>
      <c r="AN2283" t="n">
        <v>4</v>
      </c>
      <c r="AO2283" t="n">
        <v>4</v>
      </c>
      <c r="AP2283" t="n">
        <v>0</v>
      </c>
      <c r="AQ2283" t="n">
        <v>0</v>
      </c>
      <c r="AR2283" t="inlineStr">
        <is>
          <t>No</t>
        </is>
      </c>
      <c r="AS2283" t="inlineStr">
        <is>
          <t>No</t>
        </is>
      </c>
      <c r="AT2283">
        <f>HYPERLINK("http://catalog.hathitrust.org/Record/001911229","HathiTrust Record")</f>
        <v/>
      </c>
      <c r="AU2283">
        <f>HYPERLINK("https://creighton-primo.hosted.exlibrisgroup.com/primo-explore/search?tab=default_tab&amp;search_scope=EVERYTHING&amp;vid=01CRU&amp;lang=en_US&amp;offset=0&amp;query=any,contains,991002489599702656","Catalog Record")</f>
        <v/>
      </c>
      <c r="AV2283">
        <f>HYPERLINK("http://www.worldcat.org/oclc/362135","WorldCat Record")</f>
        <v/>
      </c>
      <c r="AW2283" t="inlineStr">
        <is>
          <t>3944037162:eng</t>
        </is>
      </c>
      <c r="AX2283" t="inlineStr">
        <is>
          <t>362135</t>
        </is>
      </c>
      <c r="AY2283" t="inlineStr">
        <is>
          <t>991002489599702656</t>
        </is>
      </c>
      <c r="AZ2283" t="inlineStr">
        <is>
          <t>991002489599702656</t>
        </is>
      </c>
      <c r="BA2283" t="inlineStr">
        <is>
          <t>2261952520002656</t>
        </is>
      </c>
      <c r="BB2283" t="inlineStr">
        <is>
          <t>BOOK</t>
        </is>
      </c>
      <c r="BE2283" t="inlineStr">
        <is>
          <t>32285002930872</t>
        </is>
      </c>
      <c r="BF2283" t="inlineStr">
        <is>
          <t>893697864</t>
        </is>
      </c>
    </row>
    <row r="2284">
      <c r="A2284" t="inlineStr">
        <is>
          <t>No</t>
        </is>
      </c>
      <c r="B2284" t="inlineStr">
        <is>
          <t>CURAL</t>
        </is>
      </c>
      <c r="C2284" t="inlineStr">
        <is>
          <t>SHELVES</t>
        </is>
      </c>
      <c r="D2284" t="inlineStr">
        <is>
          <t>PR5263 .B34 2000</t>
        </is>
      </c>
      <c r="E2284" t="inlineStr">
        <is>
          <t>0                      PR 5263000B  34          2000</t>
        </is>
      </c>
      <c r="F2284" t="inlineStr">
        <is>
          <t>John Ruskin : a life / John Batchelor.</t>
        </is>
      </c>
      <c r="H2284" t="inlineStr">
        <is>
          <t>No</t>
        </is>
      </c>
      <c r="I2284" t="inlineStr">
        <is>
          <t>1</t>
        </is>
      </c>
      <c r="J2284" t="inlineStr">
        <is>
          <t>No</t>
        </is>
      </c>
      <c r="K2284" t="inlineStr">
        <is>
          <t>No</t>
        </is>
      </c>
      <c r="L2284" t="inlineStr">
        <is>
          <t>0</t>
        </is>
      </c>
      <c r="M2284" t="inlineStr">
        <is>
          <t>Batchelor, John, 1942-</t>
        </is>
      </c>
      <c r="N2284" t="inlineStr">
        <is>
          <t>New York : Carroll &amp; Graf, 2000.</t>
        </is>
      </c>
      <c r="O2284" t="inlineStr">
        <is>
          <t>2000</t>
        </is>
      </c>
      <c r="P2284" t="inlineStr">
        <is>
          <t>1st Carroll &amp; Graf ed.</t>
        </is>
      </c>
      <c r="Q2284" t="inlineStr">
        <is>
          <t>eng</t>
        </is>
      </c>
      <c r="R2284" t="inlineStr">
        <is>
          <t>nyu</t>
        </is>
      </c>
      <c r="T2284" t="inlineStr">
        <is>
          <t xml:space="preserve">PR </t>
        </is>
      </c>
      <c r="U2284" t="n">
        <v>7</v>
      </c>
      <c r="V2284" t="n">
        <v>7</v>
      </c>
      <c r="W2284" t="inlineStr">
        <is>
          <t>2006-03-29</t>
        </is>
      </c>
      <c r="X2284" t="inlineStr">
        <is>
          <t>2006-03-29</t>
        </is>
      </c>
      <c r="Y2284" t="inlineStr">
        <is>
          <t>2001-02-01</t>
        </is>
      </c>
      <c r="Z2284" t="inlineStr">
        <is>
          <t>2001-02-01</t>
        </is>
      </c>
      <c r="AA2284" t="n">
        <v>563</v>
      </c>
      <c r="AB2284" t="n">
        <v>537</v>
      </c>
      <c r="AC2284" t="n">
        <v>538</v>
      </c>
      <c r="AD2284" t="n">
        <v>2</v>
      </c>
      <c r="AE2284" t="n">
        <v>2</v>
      </c>
      <c r="AF2284" t="n">
        <v>18</v>
      </c>
      <c r="AG2284" t="n">
        <v>18</v>
      </c>
      <c r="AH2284" t="n">
        <v>5</v>
      </c>
      <c r="AI2284" t="n">
        <v>5</v>
      </c>
      <c r="AJ2284" t="n">
        <v>5</v>
      </c>
      <c r="AK2284" t="n">
        <v>5</v>
      </c>
      <c r="AL2284" t="n">
        <v>13</v>
      </c>
      <c r="AM2284" t="n">
        <v>13</v>
      </c>
      <c r="AN2284" t="n">
        <v>1</v>
      </c>
      <c r="AO2284" t="n">
        <v>1</v>
      </c>
      <c r="AP2284" t="n">
        <v>0</v>
      </c>
      <c r="AQ2284" t="n">
        <v>0</v>
      </c>
      <c r="AR2284" t="inlineStr">
        <is>
          <t>No</t>
        </is>
      </c>
      <c r="AS2284" t="inlineStr">
        <is>
          <t>No</t>
        </is>
      </c>
      <c r="AU2284">
        <f>HYPERLINK("https://creighton-primo.hosted.exlibrisgroup.com/primo-explore/search?tab=default_tab&amp;search_scope=EVERYTHING&amp;vid=01CRU&amp;lang=en_US&amp;offset=0&amp;query=any,contains,991003473499702656","Catalog Record")</f>
        <v/>
      </c>
      <c r="AV2284">
        <f>HYPERLINK("http://www.worldcat.org/oclc/45184543","WorldCat Record")</f>
        <v/>
      </c>
      <c r="AW2284" t="inlineStr">
        <is>
          <t>34793779:eng</t>
        </is>
      </c>
      <c r="AX2284" t="inlineStr">
        <is>
          <t>45184543</t>
        </is>
      </c>
      <c r="AY2284" t="inlineStr">
        <is>
          <t>991003473499702656</t>
        </is>
      </c>
      <c r="AZ2284" t="inlineStr">
        <is>
          <t>991003473499702656</t>
        </is>
      </c>
      <c r="BA2284" t="inlineStr">
        <is>
          <t>2259083720002656</t>
        </is>
      </c>
      <c r="BB2284" t="inlineStr">
        <is>
          <t>BOOK</t>
        </is>
      </c>
      <c r="BD2284" t="inlineStr">
        <is>
          <t>9780786708147</t>
        </is>
      </c>
      <c r="BE2284" t="inlineStr">
        <is>
          <t>32285004293428</t>
        </is>
      </c>
      <c r="BF2284" t="inlineStr">
        <is>
          <t>893410311</t>
        </is>
      </c>
    </row>
    <row r="2285">
      <c r="A2285" t="inlineStr">
        <is>
          <t>No</t>
        </is>
      </c>
      <c r="B2285" t="inlineStr">
        <is>
          <t>CURAL</t>
        </is>
      </c>
      <c r="C2285" t="inlineStr">
        <is>
          <t>SHELVES</t>
        </is>
      </c>
      <c r="D2285" t="inlineStr">
        <is>
          <t>PR5263 .C5 1902</t>
        </is>
      </c>
      <c r="E2285" t="inlineStr">
        <is>
          <t>0                      PR 5263000C  5           1902</t>
        </is>
      </c>
      <c r="F2285" t="inlineStr">
        <is>
          <t>The life of John Ruskin.</t>
        </is>
      </c>
      <c r="H2285" t="inlineStr">
        <is>
          <t>No</t>
        </is>
      </c>
      <c r="I2285" t="inlineStr">
        <is>
          <t>1</t>
        </is>
      </c>
      <c r="J2285" t="inlineStr">
        <is>
          <t>No</t>
        </is>
      </c>
      <c r="K2285" t="inlineStr">
        <is>
          <t>No</t>
        </is>
      </c>
      <c r="L2285" t="inlineStr">
        <is>
          <t>0</t>
        </is>
      </c>
      <c r="M2285" t="inlineStr">
        <is>
          <t>Collingwood, W. G. (William Gershom), 1854-1932.</t>
        </is>
      </c>
      <c r="N2285" t="inlineStr">
        <is>
          <t>Boston, Houghton Mifflin, 1902.</t>
        </is>
      </c>
      <c r="O2285" t="inlineStr">
        <is>
          <t>1902</t>
        </is>
      </c>
      <c r="Q2285" t="inlineStr">
        <is>
          <t>eng</t>
        </is>
      </c>
      <c r="R2285" t="inlineStr">
        <is>
          <t>mau</t>
        </is>
      </c>
      <c r="T2285" t="inlineStr">
        <is>
          <t xml:space="preserve">PR </t>
        </is>
      </c>
      <c r="U2285" t="n">
        <v>4</v>
      </c>
      <c r="V2285" t="n">
        <v>4</v>
      </c>
      <c r="W2285" t="inlineStr">
        <is>
          <t>2002-10-16</t>
        </is>
      </c>
      <c r="X2285" t="inlineStr">
        <is>
          <t>2002-10-16</t>
        </is>
      </c>
      <c r="Y2285" t="inlineStr">
        <is>
          <t>1997-07-17</t>
        </is>
      </c>
      <c r="Z2285" t="inlineStr">
        <is>
          <t>1997-07-17</t>
        </is>
      </c>
      <c r="AA2285" t="n">
        <v>173</v>
      </c>
      <c r="AB2285" t="n">
        <v>160</v>
      </c>
      <c r="AC2285" t="n">
        <v>368</v>
      </c>
      <c r="AD2285" t="n">
        <v>1</v>
      </c>
      <c r="AE2285" t="n">
        <v>3</v>
      </c>
      <c r="AF2285" t="n">
        <v>9</v>
      </c>
      <c r="AG2285" t="n">
        <v>20</v>
      </c>
      <c r="AH2285" t="n">
        <v>1</v>
      </c>
      <c r="AI2285" t="n">
        <v>5</v>
      </c>
      <c r="AJ2285" t="n">
        <v>2</v>
      </c>
      <c r="AK2285" t="n">
        <v>5</v>
      </c>
      <c r="AL2285" t="n">
        <v>8</v>
      </c>
      <c r="AM2285" t="n">
        <v>12</v>
      </c>
      <c r="AN2285" t="n">
        <v>0</v>
      </c>
      <c r="AO2285" t="n">
        <v>2</v>
      </c>
      <c r="AP2285" t="n">
        <v>0</v>
      </c>
      <c r="AQ2285" t="n">
        <v>0</v>
      </c>
      <c r="AR2285" t="inlineStr">
        <is>
          <t>Yes</t>
        </is>
      </c>
      <c r="AS2285" t="inlineStr">
        <is>
          <t>No</t>
        </is>
      </c>
      <c r="AT2285">
        <f>HYPERLINK("http://catalog.hathitrust.org/Record/001911263","HathiTrust Record")</f>
        <v/>
      </c>
      <c r="AU2285">
        <f>HYPERLINK("https://creighton-primo.hosted.exlibrisgroup.com/primo-explore/search?tab=default_tab&amp;search_scope=EVERYTHING&amp;vid=01CRU&amp;lang=en_US&amp;offset=0&amp;query=any,contains,991003827289702656","Catalog Record")</f>
        <v/>
      </c>
      <c r="AV2285">
        <f>HYPERLINK("http://www.worldcat.org/oclc/1580279","WorldCat Record")</f>
        <v/>
      </c>
      <c r="AW2285" t="inlineStr">
        <is>
          <t>2070146424:eng</t>
        </is>
      </c>
      <c r="AX2285" t="inlineStr">
        <is>
          <t>1580279</t>
        </is>
      </c>
      <c r="AY2285" t="inlineStr">
        <is>
          <t>991003827289702656</t>
        </is>
      </c>
      <c r="AZ2285" t="inlineStr">
        <is>
          <t>991003827289702656</t>
        </is>
      </c>
      <c r="BA2285" t="inlineStr">
        <is>
          <t>2267146720002656</t>
        </is>
      </c>
      <c r="BB2285" t="inlineStr">
        <is>
          <t>BOOK</t>
        </is>
      </c>
      <c r="BE2285" t="inlineStr">
        <is>
          <t>32285002931052</t>
        </is>
      </c>
      <c r="BF2285" t="inlineStr">
        <is>
          <t>893605259</t>
        </is>
      </c>
    </row>
    <row r="2286">
      <c r="A2286" t="inlineStr">
        <is>
          <t>No</t>
        </is>
      </c>
      <c r="B2286" t="inlineStr">
        <is>
          <t>CURAL</t>
        </is>
      </c>
      <c r="C2286" t="inlineStr">
        <is>
          <t>SHELVES</t>
        </is>
      </c>
      <c r="D2286" t="inlineStr">
        <is>
          <t>PR5263 .C7</t>
        </is>
      </c>
      <c r="E2286" t="inlineStr">
        <is>
          <t>0                      PR 5263000C  7</t>
        </is>
      </c>
      <c r="F2286" t="inlineStr">
        <is>
          <t>The life of John Ruskin, by E.T. Cook ...</t>
        </is>
      </c>
      <c r="G2286" t="inlineStr">
        <is>
          <t>V.1</t>
        </is>
      </c>
      <c r="H2286" t="inlineStr">
        <is>
          <t>Yes</t>
        </is>
      </c>
      <c r="I2286" t="inlineStr">
        <is>
          <t>1</t>
        </is>
      </c>
      <c r="J2286" t="inlineStr">
        <is>
          <t>No</t>
        </is>
      </c>
      <c r="K2286" t="inlineStr">
        <is>
          <t>No</t>
        </is>
      </c>
      <c r="L2286" t="inlineStr">
        <is>
          <t>0</t>
        </is>
      </c>
      <c r="M2286" t="inlineStr">
        <is>
          <t>Cook, Edward Tyas, Sir, 1857-1919.</t>
        </is>
      </c>
      <c r="N2286" t="inlineStr">
        <is>
          <t>London, G. Allen &amp; Company, ltd., 1911.</t>
        </is>
      </c>
      <c r="O2286" t="inlineStr">
        <is>
          <t>1911</t>
        </is>
      </c>
      <c r="Q2286" t="inlineStr">
        <is>
          <t>eng</t>
        </is>
      </c>
      <c r="R2286" t="inlineStr">
        <is>
          <t>enk</t>
        </is>
      </c>
      <c r="T2286" t="inlineStr">
        <is>
          <t xml:space="preserve">PR </t>
        </is>
      </c>
      <c r="U2286" t="n">
        <v>4</v>
      </c>
      <c r="V2286" t="n">
        <v>6</v>
      </c>
      <c r="W2286" t="inlineStr">
        <is>
          <t>2002-10-16</t>
        </is>
      </c>
      <c r="X2286" t="inlineStr">
        <is>
          <t>2002-10-16</t>
        </is>
      </c>
      <c r="Y2286" t="inlineStr">
        <is>
          <t>1997-07-17</t>
        </is>
      </c>
      <c r="Z2286" t="inlineStr">
        <is>
          <t>1997-07-17</t>
        </is>
      </c>
      <c r="AA2286" t="n">
        <v>321</v>
      </c>
      <c r="AB2286" t="n">
        <v>244</v>
      </c>
      <c r="AC2286" t="n">
        <v>644</v>
      </c>
      <c r="AD2286" t="n">
        <v>2</v>
      </c>
      <c r="AE2286" t="n">
        <v>4</v>
      </c>
      <c r="AF2286" t="n">
        <v>15</v>
      </c>
      <c r="AG2286" t="n">
        <v>35</v>
      </c>
      <c r="AH2286" t="n">
        <v>7</v>
      </c>
      <c r="AI2286" t="n">
        <v>17</v>
      </c>
      <c r="AJ2286" t="n">
        <v>3</v>
      </c>
      <c r="AK2286" t="n">
        <v>8</v>
      </c>
      <c r="AL2286" t="n">
        <v>10</v>
      </c>
      <c r="AM2286" t="n">
        <v>17</v>
      </c>
      <c r="AN2286" t="n">
        <v>1</v>
      </c>
      <c r="AO2286" t="n">
        <v>3</v>
      </c>
      <c r="AP2286" t="n">
        <v>0</v>
      </c>
      <c r="AQ2286" t="n">
        <v>0</v>
      </c>
      <c r="AR2286" t="inlineStr">
        <is>
          <t>Yes</t>
        </is>
      </c>
      <c r="AS2286" t="inlineStr">
        <is>
          <t>No</t>
        </is>
      </c>
      <c r="AT2286">
        <f>HYPERLINK("http://catalog.hathitrust.org/Record/000408345","HathiTrust Record")</f>
        <v/>
      </c>
      <c r="AU2286">
        <f>HYPERLINK("https://creighton-primo.hosted.exlibrisgroup.com/primo-explore/search?tab=default_tab&amp;search_scope=EVERYTHING&amp;vid=01CRU&amp;lang=en_US&amp;offset=0&amp;query=any,contains,991002489299702656","Catalog Record")</f>
        <v/>
      </c>
      <c r="AV2286">
        <f>HYPERLINK("http://www.worldcat.org/oclc/362093","WorldCat Record")</f>
        <v/>
      </c>
      <c r="AW2286" t="inlineStr">
        <is>
          <t>1124792:eng</t>
        </is>
      </c>
      <c r="AX2286" t="inlineStr">
        <is>
          <t>362093</t>
        </is>
      </c>
      <c r="AY2286" t="inlineStr">
        <is>
          <t>991002489299702656</t>
        </is>
      </c>
      <c r="AZ2286" t="inlineStr">
        <is>
          <t>991002489299702656</t>
        </is>
      </c>
      <c r="BA2286" t="inlineStr">
        <is>
          <t>2262046780002656</t>
        </is>
      </c>
      <c r="BB2286" t="inlineStr">
        <is>
          <t>BOOK</t>
        </is>
      </c>
      <c r="BE2286" t="inlineStr">
        <is>
          <t>32285002931060</t>
        </is>
      </c>
      <c r="BF2286" t="inlineStr">
        <is>
          <t>893898808</t>
        </is>
      </c>
    </row>
    <row r="2287">
      <c r="A2287" t="inlineStr">
        <is>
          <t>No</t>
        </is>
      </c>
      <c r="B2287" t="inlineStr">
        <is>
          <t>CURAL</t>
        </is>
      </c>
      <c r="C2287" t="inlineStr">
        <is>
          <t>SHELVES</t>
        </is>
      </c>
      <c r="D2287" t="inlineStr">
        <is>
          <t>PR5263 .C7</t>
        </is>
      </c>
      <c r="E2287" t="inlineStr">
        <is>
          <t>0                      PR 5263000C  7</t>
        </is>
      </c>
      <c r="F2287" t="inlineStr">
        <is>
          <t>The life of John Ruskin, by E.T. Cook ...</t>
        </is>
      </c>
      <c r="G2287" t="inlineStr">
        <is>
          <t>V.2</t>
        </is>
      </c>
      <c r="H2287" t="inlineStr">
        <is>
          <t>Yes</t>
        </is>
      </c>
      <c r="I2287" t="inlineStr">
        <is>
          <t>1</t>
        </is>
      </c>
      <c r="J2287" t="inlineStr">
        <is>
          <t>No</t>
        </is>
      </c>
      <c r="K2287" t="inlineStr">
        <is>
          <t>No</t>
        </is>
      </c>
      <c r="L2287" t="inlineStr">
        <is>
          <t>0</t>
        </is>
      </c>
      <c r="M2287" t="inlineStr">
        <is>
          <t>Cook, Edward Tyas, Sir, 1857-1919.</t>
        </is>
      </c>
      <c r="N2287" t="inlineStr">
        <is>
          <t>London, G. Allen &amp; Company, ltd., 1911.</t>
        </is>
      </c>
      <c r="O2287" t="inlineStr">
        <is>
          <t>1911</t>
        </is>
      </c>
      <c r="Q2287" t="inlineStr">
        <is>
          <t>eng</t>
        </is>
      </c>
      <c r="R2287" t="inlineStr">
        <is>
          <t>enk</t>
        </is>
      </c>
      <c r="T2287" t="inlineStr">
        <is>
          <t xml:space="preserve">PR </t>
        </is>
      </c>
      <c r="U2287" t="n">
        <v>2</v>
      </c>
      <c r="V2287" t="n">
        <v>6</v>
      </c>
      <c r="W2287" t="inlineStr">
        <is>
          <t>2001-08-30</t>
        </is>
      </c>
      <c r="X2287" t="inlineStr">
        <is>
          <t>2002-10-16</t>
        </is>
      </c>
      <c r="Y2287" t="inlineStr">
        <is>
          <t>1997-07-17</t>
        </is>
      </c>
      <c r="Z2287" t="inlineStr">
        <is>
          <t>1997-07-17</t>
        </is>
      </c>
      <c r="AA2287" t="n">
        <v>321</v>
      </c>
      <c r="AB2287" t="n">
        <v>244</v>
      </c>
      <c r="AC2287" t="n">
        <v>644</v>
      </c>
      <c r="AD2287" t="n">
        <v>2</v>
      </c>
      <c r="AE2287" t="n">
        <v>4</v>
      </c>
      <c r="AF2287" t="n">
        <v>15</v>
      </c>
      <c r="AG2287" t="n">
        <v>35</v>
      </c>
      <c r="AH2287" t="n">
        <v>7</v>
      </c>
      <c r="AI2287" t="n">
        <v>17</v>
      </c>
      <c r="AJ2287" t="n">
        <v>3</v>
      </c>
      <c r="AK2287" t="n">
        <v>8</v>
      </c>
      <c r="AL2287" t="n">
        <v>10</v>
      </c>
      <c r="AM2287" t="n">
        <v>17</v>
      </c>
      <c r="AN2287" t="n">
        <v>1</v>
      </c>
      <c r="AO2287" t="n">
        <v>3</v>
      </c>
      <c r="AP2287" t="n">
        <v>0</v>
      </c>
      <c r="AQ2287" t="n">
        <v>0</v>
      </c>
      <c r="AR2287" t="inlineStr">
        <is>
          <t>Yes</t>
        </is>
      </c>
      <c r="AS2287" t="inlineStr">
        <is>
          <t>No</t>
        </is>
      </c>
      <c r="AT2287">
        <f>HYPERLINK("http://catalog.hathitrust.org/Record/000408345","HathiTrust Record")</f>
        <v/>
      </c>
      <c r="AU2287">
        <f>HYPERLINK("https://creighton-primo.hosted.exlibrisgroup.com/primo-explore/search?tab=default_tab&amp;search_scope=EVERYTHING&amp;vid=01CRU&amp;lang=en_US&amp;offset=0&amp;query=any,contains,991002489299702656","Catalog Record")</f>
        <v/>
      </c>
      <c r="AV2287">
        <f>HYPERLINK("http://www.worldcat.org/oclc/362093","WorldCat Record")</f>
        <v/>
      </c>
      <c r="AW2287" t="inlineStr">
        <is>
          <t>1124792:eng</t>
        </is>
      </c>
      <c r="AX2287" t="inlineStr">
        <is>
          <t>362093</t>
        </is>
      </c>
      <c r="AY2287" t="inlineStr">
        <is>
          <t>991002489299702656</t>
        </is>
      </c>
      <c r="AZ2287" t="inlineStr">
        <is>
          <t>991002489299702656</t>
        </is>
      </c>
      <c r="BA2287" t="inlineStr">
        <is>
          <t>2262046780002656</t>
        </is>
      </c>
      <c r="BB2287" t="inlineStr">
        <is>
          <t>BOOK</t>
        </is>
      </c>
      <c r="BE2287" t="inlineStr">
        <is>
          <t>32285002931078</t>
        </is>
      </c>
      <c r="BF2287" t="inlineStr">
        <is>
          <t>893886346</t>
        </is>
      </c>
    </row>
    <row r="2288">
      <c r="A2288" t="inlineStr">
        <is>
          <t>No</t>
        </is>
      </c>
      <c r="B2288" t="inlineStr">
        <is>
          <t>CURAL</t>
        </is>
      </c>
      <c r="C2288" t="inlineStr">
        <is>
          <t>SHELVES</t>
        </is>
      </c>
      <c r="D2288" t="inlineStr">
        <is>
          <t>PR5263 .L26 1933</t>
        </is>
      </c>
      <c r="E2288" t="inlineStr">
        <is>
          <t>0                      PR 5263000L  26          1933</t>
        </is>
      </c>
      <c r="F2288" t="inlineStr">
        <is>
          <t>John Ruskin / by David Larg.</t>
        </is>
      </c>
      <c r="H2288" t="inlineStr">
        <is>
          <t>No</t>
        </is>
      </c>
      <c r="I2288" t="inlineStr">
        <is>
          <t>1</t>
        </is>
      </c>
      <c r="J2288" t="inlineStr">
        <is>
          <t>No</t>
        </is>
      </c>
      <c r="K2288" t="inlineStr">
        <is>
          <t>No</t>
        </is>
      </c>
      <c r="L2288" t="inlineStr">
        <is>
          <t>0</t>
        </is>
      </c>
      <c r="M2288" t="inlineStr">
        <is>
          <t>Larg, David (David Glass)</t>
        </is>
      </c>
      <c r="N2288" t="inlineStr">
        <is>
          <t>New York : D. Appleton and Company, 1933.</t>
        </is>
      </c>
      <c r="O2288" t="inlineStr">
        <is>
          <t>1933</t>
        </is>
      </c>
      <c r="Q2288" t="inlineStr">
        <is>
          <t>eng</t>
        </is>
      </c>
      <c r="R2288" t="inlineStr">
        <is>
          <t>nyu</t>
        </is>
      </c>
      <c r="S2288" t="inlineStr">
        <is>
          <t>Appleton biographies</t>
        </is>
      </c>
      <c r="T2288" t="inlineStr">
        <is>
          <t xml:space="preserve">PR </t>
        </is>
      </c>
      <c r="U2288" t="n">
        <v>1</v>
      </c>
      <c r="V2288" t="n">
        <v>1</v>
      </c>
      <c r="W2288" t="inlineStr">
        <is>
          <t>1993-04-21</t>
        </is>
      </c>
      <c r="X2288" t="inlineStr">
        <is>
          <t>1993-04-21</t>
        </is>
      </c>
      <c r="Y2288" t="inlineStr">
        <is>
          <t>1993-04-21</t>
        </is>
      </c>
      <c r="Z2288" t="inlineStr">
        <is>
          <t>1993-04-21</t>
        </is>
      </c>
      <c r="AA2288" t="n">
        <v>211</v>
      </c>
      <c r="AB2288" t="n">
        <v>199</v>
      </c>
      <c r="AC2288" t="n">
        <v>270</v>
      </c>
      <c r="AD2288" t="n">
        <v>3</v>
      </c>
      <c r="AE2288" t="n">
        <v>3</v>
      </c>
      <c r="AF2288" t="n">
        <v>13</v>
      </c>
      <c r="AG2288" t="n">
        <v>20</v>
      </c>
      <c r="AH2288" t="n">
        <v>4</v>
      </c>
      <c r="AI2288" t="n">
        <v>7</v>
      </c>
      <c r="AJ2288" t="n">
        <v>3</v>
      </c>
      <c r="AK2288" t="n">
        <v>5</v>
      </c>
      <c r="AL2288" t="n">
        <v>8</v>
      </c>
      <c r="AM2288" t="n">
        <v>14</v>
      </c>
      <c r="AN2288" t="n">
        <v>2</v>
      </c>
      <c r="AO2288" t="n">
        <v>2</v>
      </c>
      <c r="AP2288" t="n">
        <v>1</v>
      </c>
      <c r="AQ2288" t="n">
        <v>1</v>
      </c>
      <c r="AR2288" t="inlineStr">
        <is>
          <t>No</t>
        </is>
      </c>
      <c r="AS2288" t="inlineStr">
        <is>
          <t>No</t>
        </is>
      </c>
      <c r="AU2288">
        <f>HYPERLINK("https://creighton-primo.hosted.exlibrisgroup.com/primo-explore/search?tab=default_tab&amp;search_scope=EVERYTHING&amp;vid=01CRU&amp;lang=en_US&amp;offset=0&amp;query=any,contains,991003258379702656","Catalog Record")</f>
        <v/>
      </c>
      <c r="AV2288">
        <f>HYPERLINK("http://www.worldcat.org/oclc/783924","WorldCat Record")</f>
        <v/>
      </c>
      <c r="AW2288" t="inlineStr">
        <is>
          <t>1671535:eng</t>
        </is>
      </c>
      <c r="AX2288" t="inlineStr">
        <is>
          <t>783924</t>
        </is>
      </c>
      <c r="AY2288" t="inlineStr">
        <is>
          <t>991003258379702656</t>
        </is>
      </c>
      <c r="AZ2288" t="inlineStr">
        <is>
          <t>991003258379702656</t>
        </is>
      </c>
      <c r="BA2288" t="inlineStr">
        <is>
          <t>2264102050002656</t>
        </is>
      </c>
      <c r="BB2288" t="inlineStr">
        <is>
          <t>BOOK</t>
        </is>
      </c>
      <c r="BE2288" t="inlineStr">
        <is>
          <t>32285001580629</t>
        </is>
      </c>
      <c r="BF2288" t="inlineStr">
        <is>
          <t>893592341</t>
        </is>
      </c>
    </row>
    <row r="2289">
      <c r="A2289" t="inlineStr">
        <is>
          <t>No</t>
        </is>
      </c>
      <c r="B2289" t="inlineStr">
        <is>
          <t>CURAL</t>
        </is>
      </c>
      <c r="C2289" t="inlineStr">
        <is>
          <t>SHELVES</t>
        </is>
      </c>
      <c r="D2289" t="inlineStr">
        <is>
          <t>PR5263 .L4 1969</t>
        </is>
      </c>
      <c r="E2289" t="inlineStr">
        <is>
          <t>0                      PR 5263000L  4           1969</t>
        </is>
      </c>
      <c r="F2289" t="inlineStr">
        <is>
          <t>Ruskin, the great Victorian.</t>
        </is>
      </c>
      <c r="H2289" t="inlineStr">
        <is>
          <t>No</t>
        </is>
      </c>
      <c r="I2289" t="inlineStr">
        <is>
          <t>1</t>
        </is>
      </c>
      <c r="J2289" t="inlineStr">
        <is>
          <t>No</t>
        </is>
      </c>
      <c r="K2289" t="inlineStr">
        <is>
          <t>No</t>
        </is>
      </c>
      <c r="L2289" t="inlineStr">
        <is>
          <t>0</t>
        </is>
      </c>
      <c r="M2289" t="inlineStr">
        <is>
          <t>Leon, Derrick, 1908-1944.</t>
        </is>
      </c>
      <c r="N2289" t="inlineStr">
        <is>
          <t>[Hamden, Conn.] : Archon Books, 1969.</t>
        </is>
      </c>
      <c r="O2289" t="inlineStr">
        <is>
          <t>1969</t>
        </is>
      </c>
      <c r="Q2289" t="inlineStr">
        <is>
          <t>eng</t>
        </is>
      </c>
      <c r="R2289" t="inlineStr">
        <is>
          <t>ctu</t>
        </is>
      </c>
      <c r="T2289" t="inlineStr">
        <is>
          <t xml:space="preserve">PR </t>
        </is>
      </c>
      <c r="U2289" t="n">
        <v>4</v>
      </c>
      <c r="V2289" t="n">
        <v>4</v>
      </c>
      <c r="W2289" t="inlineStr">
        <is>
          <t>2002-10-16</t>
        </is>
      </c>
      <c r="X2289" t="inlineStr">
        <is>
          <t>2002-10-16</t>
        </is>
      </c>
      <c r="Y2289" t="inlineStr">
        <is>
          <t>1991-12-04</t>
        </is>
      </c>
      <c r="Z2289" t="inlineStr">
        <is>
          <t>1991-12-04</t>
        </is>
      </c>
      <c r="AA2289" t="n">
        <v>314</v>
      </c>
      <c r="AB2289" t="n">
        <v>284</v>
      </c>
      <c r="AC2289" t="n">
        <v>718</v>
      </c>
      <c r="AD2289" t="n">
        <v>2</v>
      </c>
      <c r="AE2289" t="n">
        <v>4</v>
      </c>
      <c r="AF2289" t="n">
        <v>9</v>
      </c>
      <c r="AG2289" t="n">
        <v>36</v>
      </c>
      <c r="AH2289" t="n">
        <v>6</v>
      </c>
      <c r="AI2289" t="n">
        <v>17</v>
      </c>
      <c r="AJ2289" t="n">
        <v>3</v>
      </c>
      <c r="AK2289" t="n">
        <v>8</v>
      </c>
      <c r="AL2289" t="n">
        <v>3</v>
      </c>
      <c r="AM2289" t="n">
        <v>19</v>
      </c>
      <c r="AN2289" t="n">
        <v>1</v>
      </c>
      <c r="AO2289" t="n">
        <v>3</v>
      </c>
      <c r="AP2289" t="n">
        <v>0</v>
      </c>
      <c r="AQ2289" t="n">
        <v>0</v>
      </c>
      <c r="AR2289" t="inlineStr">
        <is>
          <t>Yes</t>
        </is>
      </c>
      <c r="AS2289" t="inlineStr">
        <is>
          <t>No</t>
        </is>
      </c>
      <c r="AT2289">
        <f>HYPERLINK("http://catalog.hathitrust.org/Record/100235280","HathiTrust Record")</f>
        <v/>
      </c>
      <c r="AU2289">
        <f>HYPERLINK("https://creighton-primo.hosted.exlibrisgroup.com/primo-explore/search?tab=default_tab&amp;search_scope=EVERYTHING&amp;vid=01CRU&amp;lang=en_US&amp;offset=0&amp;query=any,contains,991000109339702656","Catalog Record")</f>
        <v/>
      </c>
      <c r="AV2289">
        <f>HYPERLINK("http://www.worldcat.org/oclc/47506","WorldCat Record")</f>
        <v/>
      </c>
      <c r="AW2289" t="inlineStr">
        <is>
          <t>1217010:eng</t>
        </is>
      </c>
      <c r="AX2289" t="inlineStr">
        <is>
          <t>47506</t>
        </is>
      </c>
      <c r="AY2289" t="inlineStr">
        <is>
          <t>991000109339702656</t>
        </is>
      </c>
      <c r="AZ2289" t="inlineStr">
        <is>
          <t>991000109339702656</t>
        </is>
      </c>
      <c r="BA2289" t="inlineStr">
        <is>
          <t>2262371820002656</t>
        </is>
      </c>
      <c r="BB2289" t="inlineStr">
        <is>
          <t>BOOK</t>
        </is>
      </c>
      <c r="BE2289" t="inlineStr">
        <is>
          <t>32285000846609</t>
        </is>
      </c>
      <c r="BF2289" t="inlineStr">
        <is>
          <t>893595279</t>
        </is>
      </c>
    </row>
    <row r="2290">
      <c r="A2290" t="inlineStr">
        <is>
          <t>No</t>
        </is>
      </c>
      <c r="B2290" t="inlineStr">
        <is>
          <t>CURAL</t>
        </is>
      </c>
      <c r="C2290" t="inlineStr">
        <is>
          <t>SHELVES</t>
        </is>
      </c>
      <c r="D2290" t="inlineStr">
        <is>
          <t>PR5264 .H4 1982</t>
        </is>
      </c>
      <c r="E2290" t="inlineStr">
        <is>
          <t>0                      PR 5264000H  4           1982</t>
        </is>
      </c>
      <c r="F2290" t="inlineStr">
        <is>
          <t>Ruskin and the art of the beholder / Elizabeth K. Helsinger.</t>
        </is>
      </c>
      <c r="H2290" t="inlineStr">
        <is>
          <t>No</t>
        </is>
      </c>
      <c r="I2290" t="inlineStr">
        <is>
          <t>1</t>
        </is>
      </c>
      <c r="J2290" t="inlineStr">
        <is>
          <t>No</t>
        </is>
      </c>
      <c r="K2290" t="inlineStr">
        <is>
          <t>No</t>
        </is>
      </c>
      <c r="L2290" t="inlineStr">
        <is>
          <t>0</t>
        </is>
      </c>
      <c r="M2290" t="inlineStr">
        <is>
          <t>Helsinger, Elizabeth K., 1943-</t>
        </is>
      </c>
      <c r="N2290" t="inlineStr">
        <is>
          <t>Cambridge, Mass. : Harvard University Press, 1982.</t>
        </is>
      </c>
      <c r="O2290" t="inlineStr">
        <is>
          <t>1982</t>
        </is>
      </c>
      <c r="Q2290" t="inlineStr">
        <is>
          <t>eng</t>
        </is>
      </c>
      <c r="R2290" t="inlineStr">
        <is>
          <t>mau</t>
        </is>
      </c>
      <c r="T2290" t="inlineStr">
        <is>
          <t xml:space="preserve">PR </t>
        </is>
      </c>
      <c r="U2290" t="n">
        <v>2</v>
      </c>
      <c r="V2290" t="n">
        <v>2</v>
      </c>
      <c r="W2290" t="inlineStr">
        <is>
          <t>1994-03-09</t>
        </is>
      </c>
      <c r="X2290" t="inlineStr">
        <is>
          <t>1994-03-09</t>
        </is>
      </c>
      <c r="Y2290" t="inlineStr">
        <is>
          <t>1991-12-04</t>
        </is>
      </c>
      <c r="Z2290" t="inlineStr">
        <is>
          <t>1991-12-04</t>
        </is>
      </c>
      <c r="AA2290" t="n">
        <v>592</v>
      </c>
      <c r="AB2290" t="n">
        <v>448</v>
      </c>
      <c r="AC2290" t="n">
        <v>450</v>
      </c>
      <c r="AD2290" t="n">
        <v>3</v>
      </c>
      <c r="AE2290" t="n">
        <v>3</v>
      </c>
      <c r="AF2290" t="n">
        <v>21</v>
      </c>
      <c r="AG2290" t="n">
        <v>21</v>
      </c>
      <c r="AH2290" t="n">
        <v>8</v>
      </c>
      <c r="AI2290" t="n">
        <v>8</v>
      </c>
      <c r="AJ2290" t="n">
        <v>5</v>
      </c>
      <c r="AK2290" t="n">
        <v>5</v>
      </c>
      <c r="AL2290" t="n">
        <v>13</v>
      </c>
      <c r="AM2290" t="n">
        <v>13</v>
      </c>
      <c r="AN2290" t="n">
        <v>2</v>
      </c>
      <c r="AO2290" t="n">
        <v>2</v>
      </c>
      <c r="AP2290" t="n">
        <v>0</v>
      </c>
      <c r="AQ2290" t="n">
        <v>0</v>
      </c>
      <c r="AR2290" t="inlineStr">
        <is>
          <t>No</t>
        </is>
      </c>
      <c r="AS2290" t="inlineStr">
        <is>
          <t>Yes</t>
        </is>
      </c>
      <c r="AT2290">
        <f>HYPERLINK("http://catalog.hathitrust.org/Record/000764138","HathiTrust Record")</f>
        <v/>
      </c>
      <c r="AU2290">
        <f>HYPERLINK("https://creighton-primo.hosted.exlibrisgroup.com/primo-explore/search?tab=default_tab&amp;search_scope=EVERYTHING&amp;vid=01CRU&amp;lang=en_US&amp;offset=0&amp;query=any,contains,991005180449702656","Catalog Record")</f>
        <v/>
      </c>
      <c r="AV2290">
        <f>HYPERLINK("http://www.worldcat.org/oclc/7945522","WorldCat Record")</f>
        <v/>
      </c>
      <c r="AW2290" t="inlineStr">
        <is>
          <t>430454:eng</t>
        </is>
      </c>
      <c r="AX2290" t="inlineStr">
        <is>
          <t>7945522</t>
        </is>
      </c>
      <c r="AY2290" t="inlineStr">
        <is>
          <t>991005180449702656</t>
        </is>
      </c>
      <c r="AZ2290" t="inlineStr">
        <is>
          <t>991005180449702656</t>
        </is>
      </c>
      <c r="BA2290" t="inlineStr">
        <is>
          <t>2271181570002656</t>
        </is>
      </c>
      <c r="BB2290" t="inlineStr">
        <is>
          <t>BOOK</t>
        </is>
      </c>
      <c r="BD2290" t="inlineStr">
        <is>
          <t>9780674780828</t>
        </is>
      </c>
      <c r="BE2290" t="inlineStr">
        <is>
          <t>32285000846641</t>
        </is>
      </c>
      <c r="BF2290" t="inlineStr">
        <is>
          <t>893896019</t>
        </is>
      </c>
    </row>
    <row r="2291">
      <c r="A2291" t="inlineStr">
        <is>
          <t>No</t>
        </is>
      </c>
      <c r="B2291" t="inlineStr">
        <is>
          <t>CURAL</t>
        </is>
      </c>
      <c r="C2291" t="inlineStr">
        <is>
          <t>SHELVES</t>
        </is>
      </c>
      <c r="D2291" t="inlineStr">
        <is>
          <t>PR5267.P6 S65 1984</t>
        </is>
      </c>
      <c r="E2291" t="inlineStr">
        <is>
          <t>0                      PR 5267000P  6                  S  65          1984</t>
        </is>
      </c>
      <c r="F2291" t="inlineStr">
        <is>
          <t>Dreams of an English Eden : Ruskin and his tradition in social criticism / Jeffrey L. Spear.</t>
        </is>
      </c>
      <c r="H2291" t="inlineStr">
        <is>
          <t>No</t>
        </is>
      </c>
      <c r="I2291" t="inlineStr">
        <is>
          <t>1</t>
        </is>
      </c>
      <c r="J2291" t="inlineStr">
        <is>
          <t>No</t>
        </is>
      </c>
      <c r="K2291" t="inlineStr">
        <is>
          <t>No</t>
        </is>
      </c>
      <c r="L2291" t="inlineStr">
        <is>
          <t>0</t>
        </is>
      </c>
      <c r="M2291" t="inlineStr">
        <is>
          <t>Spear, Jeffrey L.</t>
        </is>
      </c>
      <c r="N2291" t="inlineStr">
        <is>
          <t>New York : Columbia University Press, 1984.</t>
        </is>
      </c>
      <c r="O2291" t="inlineStr">
        <is>
          <t>1984</t>
        </is>
      </c>
      <c r="Q2291" t="inlineStr">
        <is>
          <t>eng</t>
        </is>
      </c>
      <c r="R2291" t="inlineStr">
        <is>
          <t>nyu</t>
        </is>
      </c>
      <c r="T2291" t="inlineStr">
        <is>
          <t xml:space="preserve">PR </t>
        </is>
      </c>
      <c r="U2291" t="n">
        <v>1</v>
      </c>
      <c r="V2291" t="n">
        <v>1</v>
      </c>
      <c r="W2291" t="inlineStr">
        <is>
          <t>2005-12-14</t>
        </is>
      </c>
      <c r="X2291" t="inlineStr">
        <is>
          <t>2005-12-14</t>
        </is>
      </c>
      <c r="Y2291" t="inlineStr">
        <is>
          <t>1991-12-04</t>
        </is>
      </c>
      <c r="Z2291" t="inlineStr">
        <is>
          <t>1991-12-04</t>
        </is>
      </c>
      <c r="AA2291" t="n">
        <v>448</v>
      </c>
      <c r="AB2291" t="n">
        <v>337</v>
      </c>
      <c r="AC2291" t="n">
        <v>346</v>
      </c>
      <c r="AD2291" t="n">
        <v>4</v>
      </c>
      <c r="AE2291" t="n">
        <v>4</v>
      </c>
      <c r="AF2291" t="n">
        <v>19</v>
      </c>
      <c r="AG2291" t="n">
        <v>19</v>
      </c>
      <c r="AH2291" t="n">
        <v>5</v>
      </c>
      <c r="AI2291" t="n">
        <v>5</v>
      </c>
      <c r="AJ2291" t="n">
        <v>4</v>
      </c>
      <c r="AK2291" t="n">
        <v>4</v>
      </c>
      <c r="AL2291" t="n">
        <v>10</v>
      </c>
      <c r="AM2291" t="n">
        <v>10</v>
      </c>
      <c r="AN2291" t="n">
        <v>3</v>
      </c>
      <c r="AO2291" t="n">
        <v>3</v>
      </c>
      <c r="AP2291" t="n">
        <v>0</v>
      </c>
      <c r="AQ2291" t="n">
        <v>0</v>
      </c>
      <c r="AR2291" t="inlineStr">
        <is>
          <t>No</t>
        </is>
      </c>
      <c r="AS2291" t="inlineStr">
        <is>
          <t>No</t>
        </is>
      </c>
      <c r="AU2291">
        <f>HYPERLINK("https://creighton-primo.hosted.exlibrisgroup.com/primo-explore/search?tab=default_tab&amp;search_scope=EVERYTHING&amp;vid=01CRU&amp;lang=en_US&amp;offset=0&amp;query=any,contains,991000400389702656","Catalog Record")</f>
        <v/>
      </c>
      <c r="AV2291">
        <f>HYPERLINK("http://www.worldcat.org/oclc/10606073","WorldCat Record")</f>
        <v/>
      </c>
      <c r="AW2291" t="inlineStr">
        <is>
          <t>291880387:eng</t>
        </is>
      </c>
      <c r="AX2291" t="inlineStr">
        <is>
          <t>10606073</t>
        </is>
      </c>
      <c r="AY2291" t="inlineStr">
        <is>
          <t>991000400389702656</t>
        </is>
      </c>
      <c r="AZ2291" t="inlineStr">
        <is>
          <t>991000400389702656</t>
        </is>
      </c>
      <c r="BA2291" t="inlineStr">
        <is>
          <t>2260679310002656</t>
        </is>
      </c>
      <c r="BB2291" t="inlineStr">
        <is>
          <t>BOOK</t>
        </is>
      </c>
      <c r="BD2291" t="inlineStr">
        <is>
          <t>9780231055376</t>
        </is>
      </c>
      <c r="BE2291" t="inlineStr">
        <is>
          <t>32285000846708</t>
        </is>
      </c>
      <c r="BF2291" t="inlineStr">
        <is>
          <t>893683375</t>
        </is>
      </c>
    </row>
    <row r="2292">
      <c r="A2292" t="inlineStr">
        <is>
          <t>No</t>
        </is>
      </c>
      <c r="B2292" t="inlineStr">
        <is>
          <t>CURAL</t>
        </is>
      </c>
      <c r="C2292" t="inlineStr">
        <is>
          <t>SHELVES</t>
        </is>
      </c>
      <c r="D2292" t="inlineStr">
        <is>
          <t>PR531 .A4 1968</t>
        </is>
      </c>
      <c r="E2292" t="inlineStr">
        <is>
          <t>0                      PR 0531000A  4           1968</t>
        </is>
      </c>
      <c r="F2292" t="inlineStr">
        <is>
          <t>Image and meaning; metaphoric traditions in Renaissance poetry.</t>
        </is>
      </c>
      <c r="H2292" t="inlineStr">
        <is>
          <t>No</t>
        </is>
      </c>
      <c r="I2292" t="inlineStr">
        <is>
          <t>1</t>
        </is>
      </c>
      <c r="J2292" t="inlineStr">
        <is>
          <t>No</t>
        </is>
      </c>
      <c r="K2292" t="inlineStr">
        <is>
          <t>No</t>
        </is>
      </c>
      <c r="L2292" t="inlineStr">
        <is>
          <t>0</t>
        </is>
      </c>
      <c r="M2292" t="inlineStr">
        <is>
          <t>Allen, Don Cameron, 1903-1972.</t>
        </is>
      </c>
      <c r="N2292" t="inlineStr">
        <is>
          <t>Baltimore, Johns Hopkins Press [1968]</t>
        </is>
      </c>
      <c r="O2292" t="inlineStr">
        <is>
          <t>1968</t>
        </is>
      </c>
      <c r="P2292" t="inlineStr">
        <is>
          <t>New enl. ed.</t>
        </is>
      </c>
      <c r="Q2292" t="inlineStr">
        <is>
          <t>eng</t>
        </is>
      </c>
      <c r="R2292" t="inlineStr">
        <is>
          <t>mdu</t>
        </is>
      </c>
      <c r="T2292" t="inlineStr">
        <is>
          <t xml:space="preserve">PR </t>
        </is>
      </c>
      <c r="U2292" t="n">
        <v>1</v>
      </c>
      <c r="V2292" t="n">
        <v>1</v>
      </c>
      <c r="W2292" t="inlineStr">
        <is>
          <t>2008-10-05</t>
        </is>
      </c>
      <c r="X2292" t="inlineStr">
        <is>
          <t>2008-10-05</t>
        </is>
      </c>
      <c r="Y2292" t="inlineStr">
        <is>
          <t>1997-08-29</t>
        </is>
      </c>
      <c r="Z2292" t="inlineStr">
        <is>
          <t>1997-08-29</t>
        </is>
      </c>
      <c r="AA2292" t="n">
        <v>881</v>
      </c>
      <c r="AB2292" t="n">
        <v>791</v>
      </c>
      <c r="AC2292" t="n">
        <v>1112</v>
      </c>
      <c r="AD2292" t="n">
        <v>8</v>
      </c>
      <c r="AE2292" t="n">
        <v>12</v>
      </c>
      <c r="AF2292" t="n">
        <v>38</v>
      </c>
      <c r="AG2292" t="n">
        <v>56</v>
      </c>
      <c r="AH2292" t="n">
        <v>16</v>
      </c>
      <c r="AI2292" t="n">
        <v>22</v>
      </c>
      <c r="AJ2292" t="n">
        <v>7</v>
      </c>
      <c r="AK2292" t="n">
        <v>11</v>
      </c>
      <c r="AL2292" t="n">
        <v>16</v>
      </c>
      <c r="AM2292" t="n">
        <v>24</v>
      </c>
      <c r="AN2292" t="n">
        <v>7</v>
      </c>
      <c r="AO2292" t="n">
        <v>11</v>
      </c>
      <c r="AP2292" t="n">
        <v>0</v>
      </c>
      <c r="AQ2292" t="n">
        <v>0</v>
      </c>
      <c r="AR2292" t="inlineStr">
        <is>
          <t>No</t>
        </is>
      </c>
      <c r="AS2292" t="inlineStr">
        <is>
          <t>Yes</t>
        </is>
      </c>
      <c r="AT2292">
        <f>HYPERLINK("http://catalog.hathitrust.org/Record/001397738","HathiTrust Record")</f>
        <v/>
      </c>
      <c r="AU2292">
        <f>HYPERLINK("https://creighton-primo.hosted.exlibrisgroup.com/primo-explore/search?tab=default_tab&amp;search_scope=EVERYTHING&amp;vid=01CRU&amp;lang=en_US&amp;offset=0&amp;query=any,contains,991002776659702656","Catalog Record")</f>
        <v/>
      </c>
      <c r="AV2292">
        <f>HYPERLINK("http://www.worldcat.org/oclc/438947","WorldCat Record")</f>
        <v/>
      </c>
      <c r="AW2292" t="inlineStr">
        <is>
          <t>198660308:eng</t>
        </is>
      </c>
      <c r="AX2292" t="inlineStr">
        <is>
          <t>438947</t>
        </is>
      </c>
      <c r="AY2292" t="inlineStr">
        <is>
          <t>991002776659702656</t>
        </is>
      </c>
      <c r="AZ2292" t="inlineStr">
        <is>
          <t>991002776659702656</t>
        </is>
      </c>
      <c r="BA2292" t="inlineStr">
        <is>
          <t>2265340910002656</t>
        </is>
      </c>
      <c r="BB2292" t="inlineStr">
        <is>
          <t>BOOK</t>
        </is>
      </c>
      <c r="BE2292" t="inlineStr">
        <is>
          <t>32285003153920</t>
        </is>
      </c>
      <c r="BF2292" t="inlineStr">
        <is>
          <t>893704500</t>
        </is>
      </c>
    </row>
    <row r="2293">
      <c r="A2293" t="inlineStr">
        <is>
          <t>No</t>
        </is>
      </c>
      <c r="B2293" t="inlineStr">
        <is>
          <t>CURAL</t>
        </is>
      </c>
      <c r="C2293" t="inlineStr">
        <is>
          <t>SHELVES</t>
        </is>
      </c>
      <c r="D2293" t="inlineStr">
        <is>
          <t>PR531 .P6</t>
        </is>
      </c>
      <c r="E2293" t="inlineStr">
        <is>
          <t>0                      PR 0531000P  6</t>
        </is>
      </c>
      <c r="F2293" t="inlineStr">
        <is>
          <t>The Elizabethan miscellanies, their development and conventions / by Elizabeth W. Pomeroy.</t>
        </is>
      </c>
      <c r="H2293" t="inlineStr">
        <is>
          <t>No</t>
        </is>
      </c>
      <c r="I2293" t="inlineStr">
        <is>
          <t>1</t>
        </is>
      </c>
      <c r="J2293" t="inlineStr">
        <is>
          <t>No</t>
        </is>
      </c>
      <c r="K2293" t="inlineStr">
        <is>
          <t>No</t>
        </is>
      </c>
      <c r="L2293" t="inlineStr">
        <is>
          <t>0</t>
        </is>
      </c>
      <c r="M2293" t="inlineStr">
        <is>
          <t>Pomeroy, Elizabeth W.</t>
        </is>
      </c>
      <c r="N2293" t="inlineStr">
        <is>
          <t>Berkeley : University of California Press, 1973.</t>
        </is>
      </c>
      <c r="O2293" t="inlineStr">
        <is>
          <t>1973</t>
        </is>
      </c>
      <c r="Q2293" t="inlineStr">
        <is>
          <t>eng</t>
        </is>
      </c>
      <c r="R2293" t="inlineStr">
        <is>
          <t>cau</t>
        </is>
      </c>
      <c r="S2293" t="inlineStr">
        <is>
          <t>University of California publications. English studies ; 36</t>
        </is>
      </c>
      <c r="T2293" t="inlineStr">
        <is>
          <t xml:space="preserve">PR </t>
        </is>
      </c>
      <c r="U2293" t="n">
        <v>1</v>
      </c>
      <c r="V2293" t="n">
        <v>1</v>
      </c>
      <c r="W2293" t="inlineStr">
        <is>
          <t>1992-02-22</t>
        </is>
      </c>
      <c r="X2293" t="inlineStr">
        <is>
          <t>1992-02-22</t>
        </is>
      </c>
      <c r="Y2293" t="inlineStr">
        <is>
          <t>1991-09-04</t>
        </is>
      </c>
      <c r="Z2293" t="inlineStr">
        <is>
          <t>1991-09-04</t>
        </is>
      </c>
      <c r="AA2293" t="n">
        <v>335</v>
      </c>
      <c r="AB2293" t="n">
        <v>261</v>
      </c>
      <c r="AC2293" t="n">
        <v>264</v>
      </c>
      <c r="AD2293" t="n">
        <v>4</v>
      </c>
      <c r="AE2293" t="n">
        <v>4</v>
      </c>
      <c r="AF2293" t="n">
        <v>17</v>
      </c>
      <c r="AG2293" t="n">
        <v>17</v>
      </c>
      <c r="AH2293" t="n">
        <v>5</v>
      </c>
      <c r="AI2293" t="n">
        <v>5</v>
      </c>
      <c r="AJ2293" t="n">
        <v>3</v>
      </c>
      <c r="AK2293" t="n">
        <v>3</v>
      </c>
      <c r="AL2293" t="n">
        <v>9</v>
      </c>
      <c r="AM2293" t="n">
        <v>9</v>
      </c>
      <c r="AN2293" t="n">
        <v>3</v>
      </c>
      <c r="AO2293" t="n">
        <v>3</v>
      </c>
      <c r="AP2293" t="n">
        <v>0</v>
      </c>
      <c r="AQ2293" t="n">
        <v>0</v>
      </c>
      <c r="AR2293" t="inlineStr">
        <is>
          <t>No</t>
        </is>
      </c>
      <c r="AS2293" t="inlineStr">
        <is>
          <t>Yes</t>
        </is>
      </c>
      <c r="AT2293">
        <f>HYPERLINK("http://catalog.hathitrust.org/Record/003189055","HathiTrust Record")</f>
        <v/>
      </c>
      <c r="AU2293">
        <f>HYPERLINK("https://creighton-primo.hosted.exlibrisgroup.com/primo-explore/search?tab=default_tab&amp;search_scope=EVERYTHING&amp;vid=01CRU&amp;lang=en_US&amp;offset=0&amp;query=any,contains,991003129419702656","Catalog Record")</f>
        <v/>
      </c>
      <c r="AV2293">
        <f>HYPERLINK("http://www.worldcat.org/oclc/672890","WorldCat Record")</f>
        <v/>
      </c>
      <c r="AW2293" t="inlineStr">
        <is>
          <t>1713326:eng</t>
        </is>
      </c>
      <c r="AX2293" t="inlineStr">
        <is>
          <t>672890</t>
        </is>
      </c>
      <c r="AY2293" t="inlineStr">
        <is>
          <t>991003129419702656</t>
        </is>
      </c>
      <c r="AZ2293" t="inlineStr">
        <is>
          <t>991003129419702656</t>
        </is>
      </c>
      <c r="BA2293" t="inlineStr">
        <is>
          <t>2267848830002656</t>
        </is>
      </c>
      <c r="BB2293" t="inlineStr">
        <is>
          <t>BOOK</t>
        </is>
      </c>
      <c r="BD2293" t="inlineStr">
        <is>
          <t>9780520094383</t>
        </is>
      </c>
      <c r="BE2293" t="inlineStr">
        <is>
          <t>32285000735703</t>
        </is>
      </c>
      <c r="BF2293" t="inlineStr">
        <is>
          <t>893323791</t>
        </is>
      </c>
    </row>
    <row r="2294">
      <c r="A2294" t="inlineStr">
        <is>
          <t>No</t>
        </is>
      </c>
      <c r="B2294" t="inlineStr">
        <is>
          <t>CURAL</t>
        </is>
      </c>
      <c r="C2294" t="inlineStr">
        <is>
          <t>SHELVES</t>
        </is>
      </c>
      <c r="D2294" t="inlineStr">
        <is>
          <t>PR533 .P63 1982</t>
        </is>
      </c>
      <c r="E2294" t="inlineStr">
        <is>
          <t>0                      PR 0533000P  63          1982</t>
        </is>
      </c>
      <c r="F2294" t="inlineStr">
        <is>
          <t>Poetic traditions of the English Renaissance / edited by Maynard Mack and George deForest Lord.</t>
        </is>
      </c>
      <c r="H2294" t="inlineStr">
        <is>
          <t>No</t>
        </is>
      </c>
      <c r="I2294" t="inlineStr">
        <is>
          <t>1</t>
        </is>
      </c>
      <c r="J2294" t="inlineStr">
        <is>
          <t>No</t>
        </is>
      </c>
      <c r="K2294" t="inlineStr">
        <is>
          <t>No</t>
        </is>
      </c>
      <c r="L2294" t="inlineStr">
        <is>
          <t>0</t>
        </is>
      </c>
      <c r="N2294" t="inlineStr">
        <is>
          <t>New Haven : Yale University Press, c1982.</t>
        </is>
      </c>
      <c r="O2294" t="inlineStr">
        <is>
          <t>1982</t>
        </is>
      </c>
      <c r="Q2294" t="inlineStr">
        <is>
          <t>eng</t>
        </is>
      </c>
      <c r="R2294" t="inlineStr">
        <is>
          <t>ctu</t>
        </is>
      </c>
      <c r="T2294" t="inlineStr">
        <is>
          <t xml:space="preserve">PR </t>
        </is>
      </c>
      <c r="U2294" t="n">
        <v>1</v>
      </c>
      <c r="V2294" t="n">
        <v>1</v>
      </c>
      <c r="W2294" t="inlineStr">
        <is>
          <t>2003-11-24</t>
        </is>
      </c>
      <c r="X2294" t="inlineStr">
        <is>
          <t>2003-11-24</t>
        </is>
      </c>
      <c r="Y2294" t="inlineStr">
        <is>
          <t>1991-09-04</t>
        </is>
      </c>
      <c r="Z2294" t="inlineStr">
        <is>
          <t>1991-09-04</t>
        </is>
      </c>
      <c r="AA2294" t="n">
        <v>680</v>
      </c>
      <c r="AB2294" t="n">
        <v>532</v>
      </c>
      <c r="AC2294" t="n">
        <v>673</v>
      </c>
      <c r="AD2294" t="n">
        <v>4</v>
      </c>
      <c r="AE2294" t="n">
        <v>4</v>
      </c>
      <c r="AF2294" t="n">
        <v>32</v>
      </c>
      <c r="AG2294" t="n">
        <v>37</v>
      </c>
      <c r="AH2294" t="n">
        <v>12</v>
      </c>
      <c r="AI2294" t="n">
        <v>16</v>
      </c>
      <c r="AJ2294" t="n">
        <v>8</v>
      </c>
      <c r="AK2294" t="n">
        <v>10</v>
      </c>
      <c r="AL2294" t="n">
        <v>18</v>
      </c>
      <c r="AM2294" t="n">
        <v>19</v>
      </c>
      <c r="AN2294" t="n">
        <v>3</v>
      </c>
      <c r="AO2294" t="n">
        <v>3</v>
      </c>
      <c r="AP2294" t="n">
        <v>0</v>
      </c>
      <c r="AQ2294" t="n">
        <v>0</v>
      </c>
      <c r="AR2294" t="inlineStr">
        <is>
          <t>No</t>
        </is>
      </c>
      <c r="AS2294" t="inlineStr">
        <is>
          <t>No</t>
        </is>
      </c>
      <c r="AU2294">
        <f>HYPERLINK("https://creighton-primo.hosted.exlibrisgroup.com/primo-explore/search?tab=default_tab&amp;search_scope=EVERYTHING&amp;vid=01CRU&amp;lang=en_US&amp;offset=0&amp;query=any,contains,991005211819702656","Catalog Record")</f>
        <v/>
      </c>
      <c r="AV2294">
        <f>HYPERLINK("http://www.worldcat.org/oclc/8169861","WorldCat Record")</f>
        <v/>
      </c>
      <c r="AW2294" t="inlineStr">
        <is>
          <t>767149826:eng</t>
        </is>
      </c>
      <c r="AX2294" t="inlineStr">
        <is>
          <t>8169861</t>
        </is>
      </c>
      <c r="AY2294" t="inlineStr">
        <is>
          <t>991005211819702656</t>
        </is>
      </c>
      <c r="AZ2294" t="inlineStr">
        <is>
          <t>991005211819702656</t>
        </is>
      </c>
      <c r="BA2294" t="inlineStr">
        <is>
          <t>2269777650002656</t>
        </is>
      </c>
      <c r="BB2294" t="inlineStr">
        <is>
          <t>BOOK</t>
        </is>
      </c>
      <c r="BD2294" t="inlineStr">
        <is>
          <t>9780300027853</t>
        </is>
      </c>
      <c r="BE2294" t="inlineStr">
        <is>
          <t>32285000735729</t>
        </is>
      </c>
      <c r="BF2294" t="inlineStr">
        <is>
          <t>893607012</t>
        </is>
      </c>
    </row>
    <row r="2295">
      <c r="A2295" t="inlineStr">
        <is>
          <t>No</t>
        </is>
      </c>
      <c r="B2295" t="inlineStr">
        <is>
          <t>CURAL</t>
        </is>
      </c>
      <c r="C2295" t="inlineStr">
        <is>
          <t>SHELVES</t>
        </is>
      </c>
      <c r="D2295" t="inlineStr">
        <is>
          <t>PR533 .S5 1974</t>
        </is>
      </c>
      <c r="E2295" t="inlineStr">
        <is>
          <t>0                      PR 0533000S  5           1974</t>
        </is>
      </c>
      <c r="F2295" t="inlineStr">
        <is>
          <t>The rhetoric of Renaissance poetry : from Wyatt to Milton / edited by Thomas O. Sloan and Raymond B. Waddington.</t>
        </is>
      </c>
      <c r="H2295" t="inlineStr">
        <is>
          <t>No</t>
        </is>
      </c>
      <c r="I2295" t="inlineStr">
        <is>
          <t>1</t>
        </is>
      </c>
      <c r="J2295" t="inlineStr">
        <is>
          <t>No</t>
        </is>
      </c>
      <c r="K2295" t="inlineStr">
        <is>
          <t>No</t>
        </is>
      </c>
      <c r="L2295" t="inlineStr">
        <is>
          <t>0</t>
        </is>
      </c>
      <c r="M2295" t="inlineStr">
        <is>
          <t>Sloane, Thomas O.</t>
        </is>
      </c>
      <c r="N2295" t="inlineStr">
        <is>
          <t>Berkeley : University of California Press, [1974]</t>
        </is>
      </c>
      <c r="O2295" t="inlineStr">
        <is>
          <t>1974</t>
        </is>
      </c>
      <c r="Q2295" t="inlineStr">
        <is>
          <t>eng</t>
        </is>
      </c>
      <c r="R2295" t="inlineStr">
        <is>
          <t>cau</t>
        </is>
      </c>
      <c r="T2295" t="inlineStr">
        <is>
          <t xml:space="preserve">PR </t>
        </is>
      </c>
      <c r="U2295" t="n">
        <v>1</v>
      </c>
      <c r="V2295" t="n">
        <v>1</v>
      </c>
      <c r="W2295" t="inlineStr">
        <is>
          <t>2002-12-11</t>
        </is>
      </c>
      <c r="X2295" t="inlineStr">
        <is>
          <t>2002-12-11</t>
        </is>
      </c>
      <c r="Y2295" t="inlineStr">
        <is>
          <t>2002-12-11</t>
        </is>
      </c>
      <c r="Z2295" t="inlineStr">
        <is>
          <t>2002-12-11</t>
        </is>
      </c>
      <c r="AA2295" t="n">
        <v>785</v>
      </c>
      <c r="AB2295" t="n">
        <v>648</v>
      </c>
      <c r="AC2295" t="n">
        <v>651</v>
      </c>
      <c r="AD2295" t="n">
        <v>6</v>
      </c>
      <c r="AE2295" t="n">
        <v>6</v>
      </c>
      <c r="AF2295" t="n">
        <v>33</v>
      </c>
      <c r="AG2295" t="n">
        <v>33</v>
      </c>
      <c r="AH2295" t="n">
        <v>13</v>
      </c>
      <c r="AI2295" t="n">
        <v>13</v>
      </c>
      <c r="AJ2295" t="n">
        <v>9</v>
      </c>
      <c r="AK2295" t="n">
        <v>9</v>
      </c>
      <c r="AL2295" t="n">
        <v>16</v>
      </c>
      <c r="AM2295" t="n">
        <v>16</v>
      </c>
      <c r="AN2295" t="n">
        <v>5</v>
      </c>
      <c r="AO2295" t="n">
        <v>5</v>
      </c>
      <c r="AP2295" t="n">
        <v>0</v>
      </c>
      <c r="AQ2295" t="n">
        <v>0</v>
      </c>
      <c r="AR2295" t="inlineStr">
        <is>
          <t>No</t>
        </is>
      </c>
      <c r="AS2295" t="inlineStr">
        <is>
          <t>Yes</t>
        </is>
      </c>
      <c r="AT2295">
        <f>HYPERLINK("http://catalog.hathitrust.org/Record/001016479","HathiTrust Record")</f>
        <v/>
      </c>
      <c r="AU2295">
        <f>HYPERLINK("https://creighton-primo.hosted.exlibrisgroup.com/primo-explore/search?tab=default_tab&amp;search_scope=EVERYTHING&amp;vid=01CRU&amp;lang=en_US&amp;offset=0&amp;query=any,contains,991003960089702656","Catalog Record")</f>
        <v/>
      </c>
      <c r="AV2295">
        <f>HYPERLINK("http://www.worldcat.org/oclc/1159890","WorldCat Record")</f>
        <v/>
      </c>
      <c r="AW2295" t="inlineStr">
        <is>
          <t>917390015:eng</t>
        </is>
      </c>
      <c r="AX2295" t="inlineStr">
        <is>
          <t>1159890</t>
        </is>
      </c>
      <c r="AY2295" t="inlineStr">
        <is>
          <t>991003960089702656</t>
        </is>
      </c>
      <c r="AZ2295" t="inlineStr">
        <is>
          <t>991003960089702656</t>
        </is>
      </c>
      <c r="BA2295" t="inlineStr">
        <is>
          <t>2262288770002656</t>
        </is>
      </c>
      <c r="BB2295" t="inlineStr">
        <is>
          <t>BOOK</t>
        </is>
      </c>
      <c r="BD2295" t="inlineStr">
        <is>
          <t>9780520025011</t>
        </is>
      </c>
      <c r="BE2295" t="inlineStr">
        <is>
          <t>32285004690433</t>
        </is>
      </c>
      <c r="BF2295" t="inlineStr">
        <is>
          <t>893711997</t>
        </is>
      </c>
    </row>
    <row r="2296">
      <c r="A2296" t="inlineStr">
        <is>
          <t>No</t>
        </is>
      </c>
      <c r="B2296" t="inlineStr">
        <is>
          <t>CURAL</t>
        </is>
      </c>
      <c r="C2296" t="inlineStr">
        <is>
          <t>SHELVES</t>
        </is>
      </c>
      <c r="D2296" t="inlineStr">
        <is>
          <t>PR5332 .W5 1980</t>
        </is>
      </c>
      <c r="E2296" t="inlineStr">
        <is>
          <t>0                      PR 5332000W  5           1980</t>
        </is>
      </c>
      <c r="F2296" t="inlineStr">
        <is>
          <t>The Laird of Abbotsford : an essay on Sir Walter Scott / by A. N. Wilson.</t>
        </is>
      </c>
      <c r="H2296" t="inlineStr">
        <is>
          <t>No</t>
        </is>
      </c>
      <c r="I2296" t="inlineStr">
        <is>
          <t>1</t>
        </is>
      </c>
      <c r="J2296" t="inlineStr">
        <is>
          <t>No</t>
        </is>
      </c>
      <c r="K2296" t="inlineStr">
        <is>
          <t>No</t>
        </is>
      </c>
      <c r="L2296" t="inlineStr">
        <is>
          <t>0</t>
        </is>
      </c>
      <c r="M2296" t="inlineStr">
        <is>
          <t>Wilson, A. N., 1950-</t>
        </is>
      </c>
      <c r="N2296" t="inlineStr">
        <is>
          <t>Oxford ; New York : Oxford University Press, 1980.</t>
        </is>
      </c>
      <c r="O2296" t="inlineStr">
        <is>
          <t>1980</t>
        </is>
      </c>
      <c r="Q2296" t="inlineStr">
        <is>
          <t>eng</t>
        </is>
      </c>
      <c r="R2296" t="inlineStr">
        <is>
          <t>enk</t>
        </is>
      </c>
      <c r="T2296" t="inlineStr">
        <is>
          <t xml:space="preserve">PR </t>
        </is>
      </c>
      <c r="U2296" t="n">
        <v>1</v>
      </c>
      <c r="V2296" t="n">
        <v>1</v>
      </c>
      <c r="W2296" t="inlineStr">
        <is>
          <t>1993-06-18</t>
        </is>
      </c>
      <c r="X2296" t="inlineStr">
        <is>
          <t>1993-06-18</t>
        </is>
      </c>
      <c r="Y2296" t="inlineStr">
        <is>
          <t>1992-01-17</t>
        </is>
      </c>
      <c r="Z2296" t="inlineStr">
        <is>
          <t>1992-01-17</t>
        </is>
      </c>
      <c r="AA2296" t="n">
        <v>563</v>
      </c>
      <c r="AB2296" t="n">
        <v>374</v>
      </c>
      <c r="AC2296" t="n">
        <v>427</v>
      </c>
      <c r="AD2296" t="n">
        <v>5</v>
      </c>
      <c r="AE2296" t="n">
        <v>5</v>
      </c>
      <c r="AF2296" t="n">
        <v>20</v>
      </c>
      <c r="AG2296" t="n">
        <v>23</v>
      </c>
      <c r="AH2296" t="n">
        <v>7</v>
      </c>
      <c r="AI2296" t="n">
        <v>8</v>
      </c>
      <c r="AJ2296" t="n">
        <v>6</v>
      </c>
      <c r="AK2296" t="n">
        <v>7</v>
      </c>
      <c r="AL2296" t="n">
        <v>10</v>
      </c>
      <c r="AM2296" t="n">
        <v>12</v>
      </c>
      <c r="AN2296" t="n">
        <v>4</v>
      </c>
      <c r="AO2296" t="n">
        <v>4</v>
      </c>
      <c r="AP2296" t="n">
        <v>0</v>
      </c>
      <c r="AQ2296" t="n">
        <v>0</v>
      </c>
      <c r="AR2296" t="inlineStr">
        <is>
          <t>No</t>
        </is>
      </c>
      <c r="AS2296" t="inlineStr">
        <is>
          <t>Yes</t>
        </is>
      </c>
      <c r="AT2296">
        <f>HYPERLINK("http://catalog.hathitrust.org/Record/000696157","HathiTrust Record")</f>
        <v/>
      </c>
      <c r="AU2296">
        <f>HYPERLINK("https://creighton-primo.hosted.exlibrisgroup.com/primo-explore/search?tab=default_tab&amp;search_scope=EVERYTHING&amp;vid=01CRU&amp;lang=en_US&amp;offset=0&amp;query=any,contains,991004893399702656","Catalog Record")</f>
        <v/>
      </c>
      <c r="AV2296">
        <f>HYPERLINK("http://www.worldcat.org/oclc/5889528","WorldCat Record")</f>
        <v/>
      </c>
      <c r="AW2296" t="inlineStr">
        <is>
          <t>370199387:eng</t>
        </is>
      </c>
      <c r="AX2296" t="inlineStr">
        <is>
          <t>5889528</t>
        </is>
      </c>
      <c r="AY2296" t="inlineStr">
        <is>
          <t>991004893399702656</t>
        </is>
      </c>
      <c r="AZ2296" t="inlineStr">
        <is>
          <t>991004893399702656</t>
        </is>
      </c>
      <c r="BA2296" t="inlineStr">
        <is>
          <t>2271461060002656</t>
        </is>
      </c>
      <c r="BB2296" t="inlineStr">
        <is>
          <t>BOOK</t>
        </is>
      </c>
      <c r="BD2296" t="inlineStr">
        <is>
          <t>9780192117564</t>
        </is>
      </c>
      <c r="BE2296" t="inlineStr">
        <is>
          <t>32285000884956</t>
        </is>
      </c>
      <c r="BF2296" t="inlineStr">
        <is>
          <t>893876671</t>
        </is>
      </c>
    </row>
    <row r="2297">
      <c r="A2297" t="inlineStr">
        <is>
          <t>No</t>
        </is>
      </c>
      <c r="B2297" t="inlineStr">
        <is>
          <t>CURAL</t>
        </is>
      </c>
      <c r="C2297" t="inlineStr">
        <is>
          <t>SHELVES</t>
        </is>
      </c>
      <c r="D2297" t="inlineStr">
        <is>
          <t>PR5334 .R4</t>
        </is>
      </c>
      <c r="E2297" t="inlineStr">
        <is>
          <t>0                      PR 5334000R  4</t>
        </is>
      </c>
      <c r="F2297" t="inlineStr">
        <is>
          <t>Recollections of Sir Walter Scott, bart.</t>
        </is>
      </c>
      <c r="H2297" t="inlineStr">
        <is>
          <t>No</t>
        </is>
      </c>
      <c r="I2297" t="inlineStr">
        <is>
          <t>1</t>
        </is>
      </c>
      <c r="J2297" t="inlineStr">
        <is>
          <t>No</t>
        </is>
      </c>
      <c r="K2297" t="inlineStr">
        <is>
          <t>No</t>
        </is>
      </c>
      <c r="L2297" t="inlineStr">
        <is>
          <t>0</t>
        </is>
      </c>
      <c r="M2297" t="inlineStr">
        <is>
          <t>Gillies, R. P. (Robert Pearse), 1788-1858.</t>
        </is>
      </c>
      <c r="N2297" t="inlineStr">
        <is>
          <t>London, J. Fraser, 1837.</t>
        </is>
      </c>
      <c r="O2297" t="inlineStr">
        <is>
          <t>1837</t>
        </is>
      </c>
      <c r="Q2297" t="inlineStr">
        <is>
          <t>eng</t>
        </is>
      </c>
      <c r="R2297" t="inlineStr">
        <is>
          <t>enk</t>
        </is>
      </c>
      <c r="T2297" t="inlineStr">
        <is>
          <t xml:space="preserve">PR </t>
        </is>
      </c>
      <c r="U2297" t="n">
        <v>0</v>
      </c>
      <c r="V2297" t="n">
        <v>0</v>
      </c>
      <c r="W2297" t="inlineStr">
        <is>
          <t>2002-02-20</t>
        </is>
      </c>
      <c r="X2297" t="inlineStr">
        <is>
          <t>2002-02-20</t>
        </is>
      </c>
      <c r="Y2297" t="inlineStr">
        <is>
          <t>1997-07-17</t>
        </is>
      </c>
      <c r="Z2297" t="inlineStr">
        <is>
          <t>1997-07-17</t>
        </is>
      </c>
      <c r="AA2297" t="n">
        <v>48</v>
      </c>
      <c r="AB2297" t="n">
        <v>34</v>
      </c>
      <c r="AC2297" t="n">
        <v>58</v>
      </c>
      <c r="AD2297" t="n">
        <v>2</v>
      </c>
      <c r="AE2297" t="n">
        <v>2</v>
      </c>
      <c r="AF2297" t="n">
        <v>2</v>
      </c>
      <c r="AG2297" t="n">
        <v>3</v>
      </c>
      <c r="AH2297" t="n">
        <v>0</v>
      </c>
      <c r="AI2297" t="n">
        <v>0</v>
      </c>
      <c r="AJ2297" t="n">
        <v>1</v>
      </c>
      <c r="AK2297" t="n">
        <v>2</v>
      </c>
      <c r="AL2297" t="n">
        <v>1</v>
      </c>
      <c r="AM2297" t="n">
        <v>1</v>
      </c>
      <c r="AN2297" t="n">
        <v>1</v>
      </c>
      <c r="AO2297" t="n">
        <v>1</v>
      </c>
      <c r="AP2297" t="n">
        <v>0</v>
      </c>
      <c r="AQ2297" t="n">
        <v>0</v>
      </c>
      <c r="AR2297" t="inlineStr">
        <is>
          <t>Yes</t>
        </is>
      </c>
      <c r="AS2297" t="inlineStr">
        <is>
          <t>No</t>
        </is>
      </c>
      <c r="AT2297">
        <f>HYPERLINK("http://catalog.hathitrust.org/Record/006156141","HathiTrust Record")</f>
        <v/>
      </c>
      <c r="AU2297">
        <f>HYPERLINK("https://creighton-primo.hosted.exlibrisgroup.com/primo-explore/search?tab=default_tab&amp;search_scope=EVERYTHING&amp;vid=01CRU&amp;lang=en_US&amp;offset=0&amp;query=any,contains,991003536369702656","Catalog Record")</f>
        <v/>
      </c>
      <c r="AV2297">
        <f>HYPERLINK("http://www.worldcat.org/oclc/1080179992","WorldCat Record")</f>
        <v/>
      </c>
      <c r="AW2297" t="inlineStr">
        <is>
          <t>1790766:eng</t>
        </is>
      </c>
      <c r="AX2297" t="inlineStr">
        <is>
          <t>1080179992</t>
        </is>
      </c>
      <c r="AY2297" t="inlineStr">
        <is>
          <t>991003536369702656</t>
        </is>
      </c>
      <c r="AZ2297" t="inlineStr">
        <is>
          <t>991003536369702656</t>
        </is>
      </c>
      <c r="BA2297" t="inlineStr">
        <is>
          <t>2270883760002656</t>
        </is>
      </c>
      <c r="BB2297" t="inlineStr">
        <is>
          <t>BOOK</t>
        </is>
      </c>
      <c r="BE2297" t="inlineStr">
        <is>
          <t>32285002932134</t>
        </is>
      </c>
      <c r="BF2297" t="inlineStr">
        <is>
          <t>893611148</t>
        </is>
      </c>
    </row>
    <row r="2298">
      <c r="A2298" t="inlineStr">
        <is>
          <t>No</t>
        </is>
      </c>
      <c r="B2298" t="inlineStr">
        <is>
          <t>CURAL</t>
        </is>
      </c>
      <c r="C2298" t="inlineStr">
        <is>
          <t>SHELVES</t>
        </is>
      </c>
      <c r="D2298" t="inlineStr">
        <is>
          <t>PR5338 .B2 1839</t>
        </is>
      </c>
      <c r="E2298" t="inlineStr">
        <is>
          <t>0                      PR 5338000B  2           1839</t>
        </is>
      </c>
      <c r="F2298" t="inlineStr">
        <is>
          <t>Refutation of the misstatements and calumnies contained in Mr. Lockhart's Life of Sir Walter Scott, bart. respecting the Messrs Ballantyne / by the trustees and son of the late Mr. James Ballantyne.</t>
        </is>
      </c>
      <c r="H2298" t="inlineStr">
        <is>
          <t>No</t>
        </is>
      </c>
      <c r="I2298" t="inlineStr">
        <is>
          <t>1</t>
        </is>
      </c>
      <c r="J2298" t="inlineStr">
        <is>
          <t>No</t>
        </is>
      </c>
      <c r="K2298" t="inlineStr">
        <is>
          <t>No</t>
        </is>
      </c>
      <c r="L2298" t="inlineStr">
        <is>
          <t>0</t>
        </is>
      </c>
      <c r="N2298" t="inlineStr">
        <is>
          <t>London : Longman, Orme, Brown, Green, and Longmans [etc.], 1839.</t>
        </is>
      </c>
      <c r="O2298" t="inlineStr">
        <is>
          <t>1839</t>
        </is>
      </c>
      <c r="P2298" t="inlineStr">
        <is>
          <t>4th ed.</t>
        </is>
      </c>
      <c r="Q2298" t="inlineStr">
        <is>
          <t>eng</t>
        </is>
      </c>
      <c r="R2298" t="inlineStr">
        <is>
          <t>enk</t>
        </is>
      </c>
      <c r="T2298" t="inlineStr">
        <is>
          <t xml:space="preserve">PR </t>
        </is>
      </c>
      <c r="U2298" t="n">
        <v>0</v>
      </c>
      <c r="V2298" t="n">
        <v>0</v>
      </c>
      <c r="W2298" t="inlineStr">
        <is>
          <t>2002-08-19</t>
        </is>
      </c>
      <c r="X2298" t="inlineStr">
        <is>
          <t>2002-08-19</t>
        </is>
      </c>
      <c r="Y2298" t="inlineStr">
        <is>
          <t>1997-07-17</t>
        </is>
      </c>
      <c r="Z2298" t="inlineStr">
        <is>
          <t>1997-07-17</t>
        </is>
      </c>
      <c r="AA2298" t="n">
        <v>5</v>
      </c>
      <c r="AB2298" t="n">
        <v>4</v>
      </c>
      <c r="AC2298" t="n">
        <v>193</v>
      </c>
      <c r="AD2298" t="n">
        <v>1</v>
      </c>
      <c r="AE2298" t="n">
        <v>3</v>
      </c>
      <c r="AF2298" t="n">
        <v>0</v>
      </c>
      <c r="AG2298" t="n">
        <v>8</v>
      </c>
      <c r="AH2298" t="n">
        <v>0</v>
      </c>
      <c r="AI2298" t="n">
        <v>1</v>
      </c>
      <c r="AJ2298" t="n">
        <v>0</v>
      </c>
      <c r="AK2298" t="n">
        <v>4</v>
      </c>
      <c r="AL2298" t="n">
        <v>0</v>
      </c>
      <c r="AM2298" t="n">
        <v>2</v>
      </c>
      <c r="AN2298" t="n">
        <v>0</v>
      </c>
      <c r="AO2298" t="n">
        <v>2</v>
      </c>
      <c r="AP2298" t="n">
        <v>0</v>
      </c>
      <c r="AQ2298" t="n">
        <v>0</v>
      </c>
      <c r="AR2298" t="inlineStr">
        <is>
          <t>No</t>
        </is>
      </c>
      <c r="AS2298" t="inlineStr">
        <is>
          <t>No</t>
        </is>
      </c>
      <c r="AU2298">
        <f>HYPERLINK("https://creighton-primo.hosted.exlibrisgroup.com/primo-explore/search?tab=default_tab&amp;search_scope=EVERYTHING&amp;vid=01CRU&amp;lang=en_US&amp;offset=0&amp;query=any,contains,991002287459702656","Catalog Record")</f>
        <v/>
      </c>
      <c r="AV2298">
        <f>HYPERLINK("http://www.worldcat.org/oclc/79991583","WorldCat Record")</f>
        <v/>
      </c>
      <c r="AW2298" t="inlineStr">
        <is>
          <t>135013719:eng</t>
        </is>
      </c>
      <c r="AX2298" t="inlineStr">
        <is>
          <t>79991583</t>
        </is>
      </c>
      <c r="AY2298" t="inlineStr">
        <is>
          <t>991002287459702656</t>
        </is>
      </c>
      <c r="AZ2298" t="inlineStr">
        <is>
          <t>991002287459702656</t>
        </is>
      </c>
      <c r="BA2298" t="inlineStr">
        <is>
          <t>2256771100002656</t>
        </is>
      </c>
      <c r="BB2298" t="inlineStr">
        <is>
          <t>BOOK</t>
        </is>
      </c>
      <c r="BE2298" t="inlineStr">
        <is>
          <t>32285002932167</t>
        </is>
      </c>
      <c r="BF2298" t="inlineStr">
        <is>
          <t>893873331</t>
        </is>
      </c>
    </row>
    <row r="2299">
      <c r="A2299" t="inlineStr">
        <is>
          <t>No</t>
        </is>
      </c>
      <c r="B2299" t="inlineStr">
        <is>
          <t>CURAL</t>
        </is>
      </c>
      <c r="C2299" t="inlineStr">
        <is>
          <t>SHELVES</t>
        </is>
      </c>
      <c r="D2299" t="inlineStr">
        <is>
          <t>PR5341 .B75</t>
        </is>
      </c>
      <c r="E2299" t="inlineStr">
        <is>
          <t>0                      PR 5341000B  75</t>
        </is>
      </c>
      <c r="F2299" t="inlineStr">
        <is>
          <t>Walter Scott and the historical imagination / David Brown.</t>
        </is>
      </c>
      <c r="H2299" t="inlineStr">
        <is>
          <t>No</t>
        </is>
      </c>
      <c r="I2299" t="inlineStr">
        <is>
          <t>1</t>
        </is>
      </c>
      <c r="J2299" t="inlineStr">
        <is>
          <t>No</t>
        </is>
      </c>
      <c r="K2299" t="inlineStr">
        <is>
          <t>No</t>
        </is>
      </c>
      <c r="L2299" t="inlineStr">
        <is>
          <t>0</t>
        </is>
      </c>
      <c r="M2299" t="inlineStr">
        <is>
          <t>Brown, David D.</t>
        </is>
      </c>
      <c r="N2299" t="inlineStr">
        <is>
          <t>London ; Boston : Routledge &amp; Kegan Paul, 1979.</t>
        </is>
      </c>
      <c r="O2299" t="inlineStr">
        <is>
          <t>1979</t>
        </is>
      </c>
      <c r="Q2299" t="inlineStr">
        <is>
          <t>eng</t>
        </is>
      </c>
      <c r="R2299" t="inlineStr">
        <is>
          <t>enk</t>
        </is>
      </c>
      <c r="T2299" t="inlineStr">
        <is>
          <t xml:space="preserve">PR </t>
        </is>
      </c>
      <c r="U2299" t="n">
        <v>3</v>
      </c>
      <c r="V2299" t="n">
        <v>3</v>
      </c>
      <c r="W2299" t="inlineStr">
        <is>
          <t>1996-02-10</t>
        </is>
      </c>
      <c r="X2299" t="inlineStr">
        <is>
          <t>1996-02-10</t>
        </is>
      </c>
      <c r="Y2299" t="inlineStr">
        <is>
          <t>1992-01-17</t>
        </is>
      </c>
      <c r="Z2299" t="inlineStr">
        <is>
          <t>1992-01-17</t>
        </is>
      </c>
      <c r="AA2299" t="n">
        <v>568</v>
      </c>
      <c r="AB2299" t="n">
        <v>389</v>
      </c>
      <c r="AC2299" t="n">
        <v>414</v>
      </c>
      <c r="AD2299" t="n">
        <v>5</v>
      </c>
      <c r="AE2299" t="n">
        <v>5</v>
      </c>
      <c r="AF2299" t="n">
        <v>26</v>
      </c>
      <c r="AG2299" t="n">
        <v>26</v>
      </c>
      <c r="AH2299" t="n">
        <v>7</v>
      </c>
      <c r="AI2299" t="n">
        <v>7</v>
      </c>
      <c r="AJ2299" t="n">
        <v>8</v>
      </c>
      <c r="AK2299" t="n">
        <v>8</v>
      </c>
      <c r="AL2299" t="n">
        <v>14</v>
      </c>
      <c r="AM2299" t="n">
        <v>14</v>
      </c>
      <c r="AN2299" t="n">
        <v>4</v>
      </c>
      <c r="AO2299" t="n">
        <v>4</v>
      </c>
      <c r="AP2299" t="n">
        <v>0</v>
      </c>
      <c r="AQ2299" t="n">
        <v>0</v>
      </c>
      <c r="AR2299" t="inlineStr">
        <is>
          <t>No</t>
        </is>
      </c>
      <c r="AS2299" t="inlineStr">
        <is>
          <t>No</t>
        </is>
      </c>
      <c r="AU2299">
        <f>HYPERLINK("https://creighton-primo.hosted.exlibrisgroup.com/primo-explore/search?tab=default_tab&amp;search_scope=EVERYTHING&amp;vid=01CRU&amp;lang=en_US&amp;offset=0&amp;query=any,contains,991004849279702656","Catalog Record")</f>
        <v/>
      </c>
      <c r="AV2299">
        <f>HYPERLINK("http://www.worldcat.org/oclc/5589055","WorldCat Record")</f>
        <v/>
      </c>
      <c r="AW2299" t="inlineStr">
        <is>
          <t>19109649:eng</t>
        </is>
      </c>
      <c r="AX2299" t="inlineStr">
        <is>
          <t>5589055</t>
        </is>
      </c>
      <c r="AY2299" t="inlineStr">
        <is>
          <t>991004849279702656</t>
        </is>
      </c>
      <c r="AZ2299" t="inlineStr">
        <is>
          <t>991004849279702656</t>
        </is>
      </c>
      <c r="BA2299" t="inlineStr">
        <is>
          <t>2263472290002656</t>
        </is>
      </c>
      <c r="BB2299" t="inlineStr">
        <is>
          <t>BOOK</t>
        </is>
      </c>
      <c r="BD2299" t="inlineStr">
        <is>
          <t>9780710003010</t>
        </is>
      </c>
      <c r="BE2299" t="inlineStr">
        <is>
          <t>32285000884998</t>
        </is>
      </c>
      <c r="BF2299" t="inlineStr">
        <is>
          <t>893713128</t>
        </is>
      </c>
    </row>
    <row r="2300">
      <c r="A2300" t="inlineStr">
        <is>
          <t>No</t>
        </is>
      </c>
      <c r="B2300" t="inlineStr">
        <is>
          <t>CURAL</t>
        </is>
      </c>
      <c r="C2300" t="inlineStr">
        <is>
          <t>SHELVES</t>
        </is>
      </c>
      <c r="D2300" t="inlineStr">
        <is>
          <t>PR5341 .W55 1985</t>
        </is>
      </c>
      <c r="E2300" t="inlineStr">
        <is>
          <t>0                      PR 5341000W  55          1985</t>
        </is>
      </c>
      <c r="F2300" t="inlineStr">
        <is>
          <t>Secret leaves : the novels of Walter Scott / Judith Wilt.</t>
        </is>
      </c>
      <c r="H2300" t="inlineStr">
        <is>
          <t>No</t>
        </is>
      </c>
      <c r="I2300" t="inlineStr">
        <is>
          <t>1</t>
        </is>
      </c>
      <c r="J2300" t="inlineStr">
        <is>
          <t>No</t>
        </is>
      </c>
      <c r="K2300" t="inlineStr">
        <is>
          <t>No</t>
        </is>
      </c>
      <c r="L2300" t="inlineStr">
        <is>
          <t>0</t>
        </is>
      </c>
      <c r="M2300" t="inlineStr">
        <is>
          <t>Wilt, Judith, 1941-</t>
        </is>
      </c>
      <c r="N2300" t="inlineStr">
        <is>
          <t>Chicago : University of Chicago Press, 1985.</t>
        </is>
      </c>
      <c r="O2300" t="inlineStr">
        <is>
          <t>1985</t>
        </is>
      </c>
      <c r="Q2300" t="inlineStr">
        <is>
          <t>eng</t>
        </is>
      </c>
      <c r="R2300" t="inlineStr">
        <is>
          <t>ilu</t>
        </is>
      </c>
      <c r="S2300" t="inlineStr">
        <is>
          <t>A Chicago original paperback</t>
        </is>
      </c>
      <c r="T2300" t="inlineStr">
        <is>
          <t xml:space="preserve">PR </t>
        </is>
      </c>
      <c r="U2300" t="n">
        <v>1</v>
      </c>
      <c r="V2300" t="n">
        <v>1</v>
      </c>
      <c r="W2300" t="inlineStr">
        <is>
          <t>2004-12-08</t>
        </is>
      </c>
      <c r="X2300" t="inlineStr">
        <is>
          <t>2004-12-08</t>
        </is>
      </c>
      <c r="Y2300" t="inlineStr">
        <is>
          <t>2004-12-08</t>
        </is>
      </c>
      <c r="Z2300" t="inlineStr">
        <is>
          <t>2004-12-08</t>
        </is>
      </c>
      <c r="AA2300" t="n">
        <v>598</v>
      </c>
      <c r="AB2300" t="n">
        <v>492</v>
      </c>
      <c r="AC2300" t="n">
        <v>498</v>
      </c>
      <c r="AD2300" t="n">
        <v>5</v>
      </c>
      <c r="AE2300" t="n">
        <v>5</v>
      </c>
      <c r="AF2300" t="n">
        <v>31</v>
      </c>
      <c r="AG2300" t="n">
        <v>31</v>
      </c>
      <c r="AH2300" t="n">
        <v>14</v>
      </c>
      <c r="AI2300" t="n">
        <v>14</v>
      </c>
      <c r="AJ2300" t="n">
        <v>6</v>
      </c>
      <c r="AK2300" t="n">
        <v>6</v>
      </c>
      <c r="AL2300" t="n">
        <v>17</v>
      </c>
      <c r="AM2300" t="n">
        <v>17</v>
      </c>
      <c r="AN2300" t="n">
        <v>4</v>
      </c>
      <c r="AO2300" t="n">
        <v>4</v>
      </c>
      <c r="AP2300" t="n">
        <v>0</v>
      </c>
      <c r="AQ2300" t="n">
        <v>0</v>
      </c>
      <c r="AR2300" t="inlineStr">
        <is>
          <t>No</t>
        </is>
      </c>
      <c r="AS2300" t="inlineStr">
        <is>
          <t>Yes</t>
        </is>
      </c>
      <c r="AT2300">
        <f>HYPERLINK("http://catalog.hathitrust.org/Record/000660833","HathiTrust Record")</f>
        <v/>
      </c>
      <c r="AU2300">
        <f>HYPERLINK("https://creighton-primo.hosted.exlibrisgroup.com/primo-explore/search?tab=default_tab&amp;search_scope=EVERYTHING&amp;vid=01CRU&amp;lang=en_US&amp;offset=0&amp;query=any,contains,991004432939702656","Catalog Record")</f>
        <v/>
      </c>
      <c r="AV2300">
        <f>HYPERLINK("http://www.worldcat.org/oclc/12104032","WorldCat Record")</f>
        <v/>
      </c>
      <c r="AW2300" t="inlineStr">
        <is>
          <t>889383394:eng</t>
        </is>
      </c>
      <c r="AX2300" t="inlineStr">
        <is>
          <t>12104032</t>
        </is>
      </c>
      <c r="AY2300" t="inlineStr">
        <is>
          <t>991004432939702656</t>
        </is>
      </c>
      <c r="AZ2300" t="inlineStr">
        <is>
          <t>991004432939702656</t>
        </is>
      </c>
      <c r="BA2300" t="inlineStr">
        <is>
          <t>2260053610002656</t>
        </is>
      </c>
      <c r="BB2300" t="inlineStr">
        <is>
          <t>BOOK</t>
        </is>
      </c>
      <c r="BD2300" t="inlineStr">
        <is>
          <t>9780226901602</t>
        </is>
      </c>
      <c r="BE2300" t="inlineStr">
        <is>
          <t>32285005016018</t>
        </is>
      </c>
      <c r="BF2300" t="inlineStr">
        <is>
          <t>893882471</t>
        </is>
      </c>
    </row>
    <row r="2301">
      <c r="A2301" t="inlineStr">
        <is>
          <t>No</t>
        </is>
      </c>
      <c r="B2301" t="inlineStr">
        <is>
          <t>CURAL</t>
        </is>
      </c>
      <c r="C2301" t="inlineStr">
        <is>
          <t>SHELVES</t>
        </is>
      </c>
      <c r="D2301" t="inlineStr">
        <is>
          <t>PR535 .M4M4 1971</t>
        </is>
      </c>
      <c r="E2301" t="inlineStr">
        <is>
          <t>0                      PR 0535000M  4                  M  4           1971</t>
        </is>
      </c>
      <c r="F2301" t="inlineStr">
        <is>
          <t>Metaphysical poetry. Edited by Malcolm Bradbury and David Palmer.</t>
        </is>
      </c>
      <c r="H2301" t="inlineStr">
        <is>
          <t>No</t>
        </is>
      </c>
      <c r="I2301" t="inlineStr">
        <is>
          <t>1</t>
        </is>
      </c>
      <c r="J2301" t="inlineStr">
        <is>
          <t>No</t>
        </is>
      </c>
      <c r="K2301" t="inlineStr">
        <is>
          <t>No</t>
        </is>
      </c>
      <c r="L2301" t="inlineStr">
        <is>
          <t>0</t>
        </is>
      </c>
      <c r="N2301" t="inlineStr">
        <is>
          <t>Bloomington, Indiana University Press [1971]</t>
        </is>
      </c>
      <c r="O2301" t="inlineStr">
        <is>
          <t>1971</t>
        </is>
      </c>
      <c r="Q2301" t="inlineStr">
        <is>
          <t>eng</t>
        </is>
      </c>
      <c r="R2301" t="inlineStr">
        <is>
          <t>inu</t>
        </is>
      </c>
      <c r="T2301" t="inlineStr">
        <is>
          <t xml:space="preserve">PR </t>
        </is>
      </c>
      <c r="U2301" t="n">
        <v>3</v>
      </c>
      <c r="V2301" t="n">
        <v>3</v>
      </c>
      <c r="W2301" t="inlineStr">
        <is>
          <t>2003-02-26</t>
        </is>
      </c>
      <c r="X2301" t="inlineStr">
        <is>
          <t>2003-02-26</t>
        </is>
      </c>
      <c r="Y2301" t="inlineStr">
        <is>
          <t>1997-08-29</t>
        </is>
      </c>
      <c r="Z2301" t="inlineStr">
        <is>
          <t>1997-08-29</t>
        </is>
      </c>
      <c r="AA2301" t="n">
        <v>147</v>
      </c>
      <c r="AB2301" t="n">
        <v>142</v>
      </c>
      <c r="AC2301" t="n">
        <v>229</v>
      </c>
      <c r="AD2301" t="n">
        <v>2</v>
      </c>
      <c r="AE2301" t="n">
        <v>5</v>
      </c>
      <c r="AF2301" t="n">
        <v>9</v>
      </c>
      <c r="AG2301" t="n">
        <v>14</v>
      </c>
      <c r="AH2301" t="n">
        <v>4</v>
      </c>
      <c r="AI2301" t="n">
        <v>5</v>
      </c>
      <c r="AJ2301" t="n">
        <v>2</v>
      </c>
      <c r="AK2301" t="n">
        <v>2</v>
      </c>
      <c r="AL2301" t="n">
        <v>6</v>
      </c>
      <c r="AM2301" t="n">
        <v>9</v>
      </c>
      <c r="AN2301" t="n">
        <v>1</v>
      </c>
      <c r="AO2301" t="n">
        <v>3</v>
      </c>
      <c r="AP2301" t="n">
        <v>0</v>
      </c>
      <c r="AQ2301" t="n">
        <v>0</v>
      </c>
      <c r="AR2301" t="inlineStr">
        <is>
          <t>No</t>
        </is>
      </c>
      <c r="AS2301" t="inlineStr">
        <is>
          <t>No</t>
        </is>
      </c>
      <c r="AU2301">
        <f>HYPERLINK("https://creighton-primo.hosted.exlibrisgroup.com/primo-explore/search?tab=default_tab&amp;search_scope=EVERYTHING&amp;vid=01CRU&amp;lang=en_US&amp;offset=0&amp;query=any,contains,991003714609702656","Catalog Record")</f>
        <v/>
      </c>
      <c r="AV2301">
        <f>HYPERLINK("http://www.worldcat.org/oclc/1358067","WorldCat Record")</f>
        <v/>
      </c>
      <c r="AW2301" t="inlineStr">
        <is>
          <t>8907163560:eng</t>
        </is>
      </c>
      <c r="AX2301" t="inlineStr">
        <is>
          <t>1358067</t>
        </is>
      </c>
      <c r="AY2301" t="inlineStr">
        <is>
          <t>991003714609702656</t>
        </is>
      </c>
      <c r="AZ2301" t="inlineStr">
        <is>
          <t>991003714609702656</t>
        </is>
      </c>
      <c r="BA2301" t="inlineStr">
        <is>
          <t>2269526450002656</t>
        </is>
      </c>
      <c r="BB2301" t="inlineStr">
        <is>
          <t>BOOK</t>
        </is>
      </c>
      <c r="BE2301" t="inlineStr">
        <is>
          <t>32285003153987</t>
        </is>
      </c>
      <c r="BF2301" t="inlineStr">
        <is>
          <t>893349047</t>
        </is>
      </c>
    </row>
    <row r="2302">
      <c r="A2302" t="inlineStr">
        <is>
          <t>No</t>
        </is>
      </c>
      <c r="B2302" t="inlineStr">
        <is>
          <t>CURAL</t>
        </is>
      </c>
      <c r="C2302" t="inlineStr">
        <is>
          <t>SHELVES</t>
        </is>
      </c>
      <c r="D2302" t="inlineStr">
        <is>
          <t>PR535.F5 T8</t>
        </is>
      </c>
      <c r="E2302" t="inlineStr">
        <is>
          <t>0                      PR 0535000F  5                  T  8</t>
        </is>
      </c>
      <c r="F2302" t="inlineStr">
        <is>
          <t>Elizabethan and metaphysical imagery : renaissance poetic and twentieth-century critics / by Rosemond Tuve.</t>
        </is>
      </c>
      <c r="H2302" t="inlineStr">
        <is>
          <t>No</t>
        </is>
      </c>
      <c r="I2302" t="inlineStr">
        <is>
          <t>1</t>
        </is>
      </c>
      <c r="J2302" t="inlineStr">
        <is>
          <t>No</t>
        </is>
      </c>
      <c r="K2302" t="inlineStr">
        <is>
          <t>No</t>
        </is>
      </c>
      <c r="L2302" t="inlineStr">
        <is>
          <t>0</t>
        </is>
      </c>
      <c r="M2302" t="inlineStr">
        <is>
          <t>Tuve, Rosemond, 1903-1964.</t>
        </is>
      </c>
      <c r="N2302" t="inlineStr">
        <is>
          <t>Chicago, Ill. : The University of Chicago press, [1947]</t>
        </is>
      </c>
      <c r="O2302" t="inlineStr">
        <is>
          <t>1947</t>
        </is>
      </c>
      <c r="Q2302" t="inlineStr">
        <is>
          <t>eng</t>
        </is>
      </c>
      <c r="R2302" t="inlineStr">
        <is>
          <t>ilu</t>
        </is>
      </c>
      <c r="T2302" t="inlineStr">
        <is>
          <t xml:space="preserve">PR </t>
        </is>
      </c>
      <c r="U2302" t="n">
        <v>6</v>
      </c>
      <c r="V2302" t="n">
        <v>6</v>
      </c>
      <c r="W2302" t="inlineStr">
        <is>
          <t>2003-02-26</t>
        </is>
      </c>
      <c r="X2302" t="inlineStr">
        <is>
          <t>2003-02-26</t>
        </is>
      </c>
      <c r="Y2302" t="inlineStr">
        <is>
          <t>1990-10-22</t>
        </is>
      </c>
      <c r="Z2302" t="inlineStr">
        <is>
          <t>1990-10-22</t>
        </is>
      </c>
      <c r="AA2302" t="n">
        <v>1146</v>
      </c>
      <c r="AB2302" t="n">
        <v>986</v>
      </c>
      <c r="AC2302" t="n">
        <v>1235</v>
      </c>
      <c r="AD2302" t="n">
        <v>9</v>
      </c>
      <c r="AE2302" t="n">
        <v>11</v>
      </c>
      <c r="AF2302" t="n">
        <v>47</v>
      </c>
      <c r="AG2302" t="n">
        <v>51</v>
      </c>
      <c r="AH2302" t="n">
        <v>18</v>
      </c>
      <c r="AI2302" t="n">
        <v>19</v>
      </c>
      <c r="AJ2302" t="n">
        <v>8</v>
      </c>
      <c r="AK2302" t="n">
        <v>8</v>
      </c>
      <c r="AL2302" t="n">
        <v>23</v>
      </c>
      <c r="AM2302" t="n">
        <v>24</v>
      </c>
      <c r="AN2302" t="n">
        <v>7</v>
      </c>
      <c r="AO2302" t="n">
        <v>9</v>
      </c>
      <c r="AP2302" t="n">
        <v>0</v>
      </c>
      <c r="AQ2302" t="n">
        <v>0</v>
      </c>
      <c r="AR2302" t="inlineStr">
        <is>
          <t>No</t>
        </is>
      </c>
      <c r="AS2302" t="inlineStr">
        <is>
          <t>Yes</t>
        </is>
      </c>
      <c r="AT2302">
        <f>HYPERLINK("http://catalog.hathitrust.org/Record/001111857","HathiTrust Record")</f>
        <v/>
      </c>
      <c r="AU2302">
        <f>HYPERLINK("https://creighton-primo.hosted.exlibrisgroup.com/primo-explore/search?tab=default_tab&amp;search_scope=EVERYTHING&amp;vid=01CRU&amp;lang=en_US&amp;offset=0&amp;query=any,contains,991001921009702656","Catalog Record")</f>
        <v/>
      </c>
      <c r="AV2302">
        <f>HYPERLINK("http://www.worldcat.org/oclc/245173","WorldCat Record")</f>
        <v/>
      </c>
      <c r="AW2302" t="inlineStr">
        <is>
          <t>419445:eng</t>
        </is>
      </c>
      <c r="AX2302" t="inlineStr">
        <is>
          <t>245173</t>
        </is>
      </c>
      <c r="AY2302" t="inlineStr">
        <is>
          <t>991001921009702656</t>
        </is>
      </c>
      <c r="AZ2302" t="inlineStr">
        <is>
          <t>991001921009702656</t>
        </is>
      </c>
      <c r="BA2302" t="inlineStr">
        <is>
          <t>2267384450002656</t>
        </is>
      </c>
      <c r="BB2302" t="inlineStr">
        <is>
          <t>BOOK</t>
        </is>
      </c>
      <c r="BE2302" t="inlineStr">
        <is>
          <t>32285000351402</t>
        </is>
      </c>
      <c r="BF2302" t="inlineStr">
        <is>
          <t>893420754</t>
        </is>
      </c>
    </row>
    <row r="2303">
      <c r="A2303" t="inlineStr">
        <is>
          <t>No</t>
        </is>
      </c>
      <c r="B2303" t="inlineStr">
        <is>
          <t>CURAL</t>
        </is>
      </c>
      <c r="C2303" t="inlineStr">
        <is>
          <t>SHELVES</t>
        </is>
      </c>
      <c r="D2303" t="inlineStr">
        <is>
          <t>PR535.F5 W4 1961</t>
        </is>
      </c>
      <c r="E2303" t="inlineStr">
        <is>
          <t>0                      PR 0535000F  5                  W  4           1961</t>
        </is>
      </c>
      <c r="F2303" t="inlineStr">
        <is>
          <t>Poetic imagery illustrated from Elizabethan literature.</t>
        </is>
      </c>
      <c r="H2303" t="inlineStr">
        <is>
          <t>No</t>
        </is>
      </c>
      <c r="I2303" t="inlineStr">
        <is>
          <t>1</t>
        </is>
      </c>
      <c r="J2303" t="inlineStr">
        <is>
          <t>No</t>
        </is>
      </c>
      <c r="K2303" t="inlineStr">
        <is>
          <t>No</t>
        </is>
      </c>
      <c r="L2303" t="inlineStr">
        <is>
          <t>0</t>
        </is>
      </c>
      <c r="M2303" t="inlineStr">
        <is>
          <t>Wells, Henry W., 1895-1978.</t>
        </is>
      </c>
      <c r="N2303" t="inlineStr">
        <is>
          <t>New York, Russell &amp; Russell, 1961 [c1951]</t>
        </is>
      </c>
      <c r="O2303" t="inlineStr">
        <is>
          <t>1961</t>
        </is>
      </c>
      <c r="Q2303" t="inlineStr">
        <is>
          <t>eng</t>
        </is>
      </c>
      <c r="R2303" t="inlineStr">
        <is>
          <t>nyu</t>
        </is>
      </c>
      <c r="S2303" t="inlineStr">
        <is>
          <t>Columbia University studies in English and comparative literature</t>
        </is>
      </c>
      <c r="T2303" t="inlineStr">
        <is>
          <t xml:space="preserve">PR </t>
        </is>
      </c>
      <c r="U2303" t="n">
        <v>1</v>
      </c>
      <c r="V2303" t="n">
        <v>1</v>
      </c>
      <c r="W2303" t="inlineStr">
        <is>
          <t>2008-06-18</t>
        </is>
      </c>
      <c r="X2303" t="inlineStr">
        <is>
          <t>2008-06-18</t>
        </is>
      </c>
      <c r="Y2303" t="inlineStr">
        <is>
          <t>1997-08-29</t>
        </is>
      </c>
      <c r="Z2303" t="inlineStr">
        <is>
          <t>1997-08-29</t>
        </is>
      </c>
      <c r="AA2303" t="n">
        <v>508</v>
      </c>
      <c r="AB2303" t="n">
        <v>440</v>
      </c>
      <c r="AC2303" t="n">
        <v>534</v>
      </c>
      <c r="AD2303" t="n">
        <v>5</v>
      </c>
      <c r="AE2303" t="n">
        <v>5</v>
      </c>
      <c r="AF2303" t="n">
        <v>26</v>
      </c>
      <c r="AG2303" t="n">
        <v>29</v>
      </c>
      <c r="AH2303" t="n">
        <v>10</v>
      </c>
      <c r="AI2303" t="n">
        <v>11</v>
      </c>
      <c r="AJ2303" t="n">
        <v>6</v>
      </c>
      <c r="AK2303" t="n">
        <v>7</v>
      </c>
      <c r="AL2303" t="n">
        <v>13</v>
      </c>
      <c r="AM2303" t="n">
        <v>16</v>
      </c>
      <c r="AN2303" t="n">
        <v>4</v>
      </c>
      <c r="AO2303" t="n">
        <v>4</v>
      </c>
      <c r="AP2303" t="n">
        <v>0</v>
      </c>
      <c r="AQ2303" t="n">
        <v>0</v>
      </c>
      <c r="AR2303" t="inlineStr">
        <is>
          <t>Yes</t>
        </is>
      </c>
      <c r="AS2303" t="inlineStr">
        <is>
          <t>No</t>
        </is>
      </c>
      <c r="AT2303">
        <f>HYPERLINK("http://catalog.hathitrust.org/Record/001004174","HathiTrust Record")</f>
        <v/>
      </c>
      <c r="AU2303">
        <f>HYPERLINK("https://creighton-primo.hosted.exlibrisgroup.com/primo-explore/search?tab=default_tab&amp;search_scope=EVERYTHING&amp;vid=01CRU&amp;lang=en_US&amp;offset=0&amp;query=any,contains,991002438179702656","Catalog Record")</f>
        <v/>
      </c>
      <c r="AV2303">
        <f>HYPERLINK("http://www.worldcat.org/oclc/349418","WorldCat Record")</f>
        <v/>
      </c>
      <c r="AW2303" t="inlineStr">
        <is>
          <t>287835348:eng</t>
        </is>
      </c>
      <c r="AX2303" t="inlineStr">
        <is>
          <t>349418</t>
        </is>
      </c>
      <c r="AY2303" t="inlineStr">
        <is>
          <t>991002438179702656</t>
        </is>
      </c>
      <c r="AZ2303" t="inlineStr">
        <is>
          <t>991002438179702656</t>
        </is>
      </c>
      <c r="BA2303" t="inlineStr">
        <is>
          <t>2267256460002656</t>
        </is>
      </c>
      <c r="BB2303" t="inlineStr">
        <is>
          <t>BOOK</t>
        </is>
      </c>
      <c r="BE2303" t="inlineStr">
        <is>
          <t>32285003153979</t>
        </is>
      </c>
      <c r="BF2303" t="inlineStr">
        <is>
          <t>893879932</t>
        </is>
      </c>
    </row>
    <row r="2304">
      <c r="A2304" t="inlineStr">
        <is>
          <t>No</t>
        </is>
      </c>
      <c r="B2304" t="inlineStr">
        <is>
          <t>CURAL</t>
        </is>
      </c>
      <c r="C2304" t="inlineStr">
        <is>
          <t>SHELVES</t>
        </is>
      </c>
      <c r="D2304" t="inlineStr">
        <is>
          <t>PR535.L7 B45 1998</t>
        </is>
      </c>
      <c r="E2304" t="inlineStr">
        <is>
          <t>0                      PR 0535000L  7                  B  45          1998</t>
        </is>
      </c>
      <c r="F2304" t="inlineStr">
        <is>
          <t>Elizabethan women and the poetry of courtship / Ilona Bell.</t>
        </is>
      </c>
      <c r="H2304" t="inlineStr">
        <is>
          <t>No</t>
        </is>
      </c>
      <c r="I2304" t="inlineStr">
        <is>
          <t>1</t>
        </is>
      </c>
      <c r="J2304" t="inlineStr">
        <is>
          <t>No</t>
        </is>
      </c>
      <c r="K2304" t="inlineStr">
        <is>
          <t>No</t>
        </is>
      </c>
      <c r="L2304" t="inlineStr">
        <is>
          <t>0</t>
        </is>
      </c>
      <c r="M2304" t="inlineStr">
        <is>
          <t>Bell, Ilona.</t>
        </is>
      </c>
      <c r="N2304" t="inlineStr">
        <is>
          <t>Cambridge, U.K. ; New York : Cambridge University Press, 1998.</t>
        </is>
      </c>
      <c r="O2304" t="inlineStr">
        <is>
          <t>1998</t>
        </is>
      </c>
      <c r="Q2304" t="inlineStr">
        <is>
          <t>eng</t>
        </is>
      </c>
      <c r="R2304" t="inlineStr">
        <is>
          <t>enk</t>
        </is>
      </c>
      <c r="T2304" t="inlineStr">
        <is>
          <t xml:space="preserve">PR </t>
        </is>
      </c>
      <c r="U2304" t="n">
        <v>2</v>
      </c>
      <c r="V2304" t="n">
        <v>2</v>
      </c>
      <c r="W2304" t="inlineStr">
        <is>
          <t>2001-05-16</t>
        </is>
      </c>
      <c r="X2304" t="inlineStr">
        <is>
          <t>2001-05-16</t>
        </is>
      </c>
      <c r="Y2304" t="inlineStr">
        <is>
          <t>2001-05-09</t>
        </is>
      </c>
      <c r="Z2304" t="inlineStr">
        <is>
          <t>2001-05-09</t>
        </is>
      </c>
      <c r="AA2304" t="n">
        <v>671</v>
      </c>
      <c r="AB2304" t="n">
        <v>550</v>
      </c>
      <c r="AC2304" t="n">
        <v>565</v>
      </c>
      <c r="AD2304" t="n">
        <v>5</v>
      </c>
      <c r="AE2304" t="n">
        <v>5</v>
      </c>
      <c r="AF2304" t="n">
        <v>37</v>
      </c>
      <c r="AG2304" t="n">
        <v>37</v>
      </c>
      <c r="AH2304" t="n">
        <v>15</v>
      </c>
      <c r="AI2304" t="n">
        <v>15</v>
      </c>
      <c r="AJ2304" t="n">
        <v>10</v>
      </c>
      <c r="AK2304" t="n">
        <v>10</v>
      </c>
      <c r="AL2304" t="n">
        <v>18</v>
      </c>
      <c r="AM2304" t="n">
        <v>18</v>
      </c>
      <c r="AN2304" t="n">
        <v>4</v>
      </c>
      <c r="AO2304" t="n">
        <v>4</v>
      </c>
      <c r="AP2304" t="n">
        <v>0</v>
      </c>
      <c r="AQ2304" t="n">
        <v>0</v>
      </c>
      <c r="AR2304" t="inlineStr">
        <is>
          <t>No</t>
        </is>
      </c>
      <c r="AS2304" t="inlineStr">
        <is>
          <t>No</t>
        </is>
      </c>
      <c r="AU2304">
        <f>HYPERLINK("https://creighton-primo.hosted.exlibrisgroup.com/primo-explore/search?tab=default_tab&amp;search_scope=EVERYTHING&amp;vid=01CRU&amp;lang=en_US&amp;offset=0&amp;query=any,contains,991003503629702656","Catalog Record")</f>
        <v/>
      </c>
      <c r="AV2304">
        <f>HYPERLINK("http://www.worldcat.org/oclc/38842013","WorldCat Record")</f>
        <v/>
      </c>
      <c r="AW2304" t="inlineStr">
        <is>
          <t>42374228:eng</t>
        </is>
      </c>
      <c r="AX2304" t="inlineStr">
        <is>
          <t>38842013</t>
        </is>
      </c>
      <c r="AY2304" t="inlineStr">
        <is>
          <t>991003503629702656</t>
        </is>
      </c>
      <c r="AZ2304" t="inlineStr">
        <is>
          <t>991003503629702656</t>
        </is>
      </c>
      <c r="BA2304" t="inlineStr">
        <is>
          <t>2256969390002656</t>
        </is>
      </c>
      <c r="BB2304" t="inlineStr">
        <is>
          <t>BOOK</t>
        </is>
      </c>
      <c r="BD2304" t="inlineStr">
        <is>
          <t>9780521630078</t>
        </is>
      </c>
      <c r="BE2304" t="inlineStr">
        <is>
          <t>32285004316609</t>
        </is>
      </c>
      <c r="BF2304" t="inlineStr">
        <is>
          <t>893721963</t>
        </is>
      </c>
    </row>
    <row r="2305">
      <c r="A2305" t="inlineStr">
        <is>
          <t>No</t>
        </is>
      </c>
      <c r="B2305" t="inlineStr">
        <is>
          <t>CURAL</t>
        </is>
      </c>
      <c r="C2305" t="inlineStr">
        <is>
          <t>SHELVES</t>
        </is>
      </c>
      <c r="D2305" t="inlineStr">
        <is>
          <t>PR535.L7 F4</t>
        </is>
      </c>
      <c r="E2305" t="inlineStr">
        <is>
          <t>0                      PR 0535000L  7                  F  4</t>
        </is>
      </c>
      <c r="F2305" t="inlineStr">
        <is>
          <t>All in war with time : love poetry of Shakespeare, Donne, Jonson, Marvell / Anne Ferry.</t>
        </is>
      </c>
      <c r="H2305" t="inlineStr">
        <is>
          <t>No</t>
        </is>
      </c>
      <c r="I2305" t="inlineStr">
        <is>
          <t>1</t>
        </is>
      </c>
      <c r="J2305" t="inlineStr">
        <is>
          <t>No</t>
        </is>
      </c>
      <c r="K2305" t="inlineStr">
        <is>
          <t>No</t>
        </is>
      </c>
      <c r="L2305" t="inlineStr">
        <is>
          <t>0</t>
        </is>
      </c>
      <c r="M2305" t="inlineStr">
        <is>
          <t>Ferry, Anne.</t>
        </is>
      </c>
      <c r="N2305" t="inlineStr">
        <is>
          <t>Cambridge, Mass. : Harvard University Press, 1975.</t>
        </is>
      </c>
      <c r="O2305" t="inlineStr">
        <is>
          <t>1975</t>
        </is>
      </c>
      <c r="Q2305" t="inlineStr">
        <is>
          <t>eng</t>
        </is>
      </c>
      <c r="R2305" t="inlineStr">
        <is>
          <t>mau</t>
        </is>
      </c>
      <c r="T2305" t="inlineStr">
        <is>
          <t xml:space="preserve">PR </t>
        </is>
      </c>
      <c r="U2305" t="n">
        <v>7</v>
      </c>
      <c r="V2305" t="n">
        <v>7</v>
      </c>
      <c r="W2305" t="inlineStr">
        <is>
          <t>1993-09-08</t>
        </is>
      </c>
      <c r="X2305" t="inlineStr">
        <is>
          <t>1993-09-08</t>
        </is>
      </c>
      <c r="Y2305" t="inlineStr">
        <is>
          <t>1991-09-04</t>
        </is>
      </c>
      <c r="Z2305" t="inlineStr">
        <is>
          <t>1991-09-04</t>
        </is>
      </c>
      <c r="AA2305" t="n">
        <v>595</v>
      </c>
      <c r="AB2305" t="n">
        <v>486</v>
      </c>
      <c r="AC2305" t="n">
        <v>494</v>
      </c>
      <c r="AD2305" t="n">
        <v>4</v>
      </c>
      <c r="AE2305" t="n">
        <v>4</v>
      </c>
      <c r="AF2305" t="n">
        <v>28</v>
      </c>
      <c r="AG2305" t="n">
        <v>28</v>
      </c>
      <c r="AH2305" t="n">
        <v>9</v>
      </c>
      <c r="AI2305" t="n">
        <v>9</v>
      </c>
      <c r="AJ2305" t="n">
        <v>7</v>
      </c>
      <c r="AK2305" t="n">
        <v>7</v>
      </c>
      <c r="AL2305" t="n">
        <v>15</v>
      </c>
      <c r="AM2305" t="n">
        <v>15</v>
      </c>
      <c r="AN2305" t="n">
        <v>3</v>
      </c>
      <c r="AO2305" t="n">
        <v>3</v>
      </c>
      <c r="AP2305" t="n">
        <v>0</v>
      </c>
      <c r="AQ2305" t="n">
        <v>0</v>
      </c>
      <c r="AR2305" t="inlineStr">
        <is>
          <t>No</t>
        </is>
      </c>
      <c r="AS2305" t="inlineStr">
        <is>
          <t>Yes</t>
        </is>
      </c>
      <c r="AT2305">
        <f>HYPERLINK("http://catalog.hathitrust.org/Record/000026271","HathiTrust Record")</f>
        <v/>
      </c>
      <c r="AU2305">
        <f>HYPERLINK("https://creighton-primo.hosted.exlibrisgroup.com/primo-explore/search?tab=default_tab&amp;search_scope=EVERYTHING&amp;vid=01CRU&amp;lang=en_US&amp;offset=0&amp;query=any,contains,991003818709702656","Catalog Record")</f>
        <v/>
      </c>
      <c r="AV2305">
        <f>HYPERLINK("http://www.worldcat.org/oclc/1552017","WorldCat Record")</f>
        <v/>
      </c>
      <c r="AW2305" t="inlineStr">
        <is>
          <t>2376704:eng</t>
        </is>
      </c>
      <c r="AX2305" t="inlineStr">
        <is>
          <t>1552017</t>
        </is>
      </c>
      <c r="AY2305" t="inlineStr">
        <is>
          <t>991003818709702656</t>
        </is>
      </c>
      <c r="AZ2305" t="inlineStr">
        <is>
          <t>991003818709702656</t>
        </is>
      </c>
      <c r="BA2305" t="inlineStr">
        <is>
          <t>2266269930002656</t>
        </is>
      </c>
      <c r="BB2305" t="inlineStr">
        <is>
          <t>BOOK</t>
        </is>
      </c>
      <c r="BD2305" t="inlineStr">
        <is>
          <t>9780674016309</t>
        </is>
      </c>
      <c r="BE2305" t="inlineStr">
        <is>
          <t>32285000735760</t>
        </is>
      </c>
      <c r="BF2305" t="inlineStr">
        <is>
          <t>893234630</t>
        </is>
      </c>
    </row>
    <row r="2306">
      <c r="A2306" t="inlineStr">
        <is>
          <t>No</t>
        </is>
      </c>
      <c r="B2306" t="inlineStr">
        <is>
          <t>CURAL</t>
        </is>
      </c>
      <c r="C2306" t="inlineStr">
        <is>
          <t>SHELVES</t>
        </is>
      </c>
      <c r="D2306" t="inlineStr">
        <is>
          <t>PR535.L7 P48 1995</t>
        </is>
      </c>
      <c r="E2306" t="inlineStr">
        <is>
          <t>0                      PR 0535000L  7                  P  48          1995</t>
        </is>
      </c>
      <c r="F2306" t="inlineStr">
        <is>
          <t>Love's remedies : recantation and renaissance lyric poetry / Patricia Berrahou Phillippy.</t>
        </is>
      </c>
      <c r="H2306" t="inlineStr">
        <is>
          <t>No</t>
        </is>
      </c>
      <c r="I2306" t="inlineStr">
        <is>
          <t>1</t>
        </is>
      </c>
      <c r="J2306" t="inlineStr">
        <is>
          <t>No</t>
        </is>
      </c>
      <c r="K2306" t="inlineStr">
        <is>
          <t>No</t>
        </is>
      </c>
      <c r="L2306" t="inlineStr">
        <is>
          <t>0</t>
        </is>
      </c>
      <c r="M2306" t="inlineStr">
        <is>
          <t>Phillippy, Patricia Berrahou, 1960-</t>
        </is>
      </c>
      <c r="N2306" t="inlineStr">
        <is>
          <t>Lewisburg, Pa. : Bucknell University Press ; London : Associated University Presses, c1995.</t>
        </is>
      </c>
      <c r="O2306" t="inlineStr">
        <is>
          <t>1995</t>
        </is>
      </c>
      <c r="Q2306" t="inlineStr">
        <is>
          <t>eng</t>
        </is>
      </c>
      <c r="R2306" t="inlineStr">
        <is>
          <t>pau</t>
        </is>
      </c>
      <c r="T2306" t="inlineStr">
        <is>
          <t xml:space="preserve">PR </t>
        </is>
      </c>
      <c r="U2306" t="n">
        <v>2</v>
      </c>
      <c r="V2306" t="n">
        <v>2</v>
      </c>
      <c r="W2306" t="inlineStr">
        <is>
          <t>2005-04-24</t>
        </is>
      </c>
      <c r="X2306" t="inlineStr">
        <is>
          <t>2005-04-24</t>
        </is>
      </c>
      <c r="Y2306" t="inlineStr">
        <is>
          <t>1995-12-18</t>
        </is>
      </c>
      <c r="Z2306" t="inlineStr">
        <is>
          <t>1995-12-18</t>
        </is>
      </c>
      <c r="AA2306" t="n">
        <v>348</v>
      </c>
      <c r="AB2306" t="n">
        <v>287</v>
      </c>
      <c r="AC2306" t="n">
        <v>289</v>
      </c>
      <c r="AD2306" t="n">
        <v>3</v>
      </c>
      <c r="AE2306" t="n">
        <v>3</v>
      </c>
      <c r="AF2306" t="n">
        <v>15</v>
      </c>
      <c r="AG2306" t="n">
        <v>15</v>
      </c>
      <c r="AH2306" t="n">
        <v>3</v>
      </c>
      <c r="AI2306" t="n">
        <v>3</v>
      </c>
      <c r="AJ2306" t="n">
        <v>6</v>
      </c>
      <c r="AK2306" t="n">
        <v>6</v>
      </c>
      <c r="AL2306" t="n">
        <v>8</v>
      </c>
      <c r="AM2306" t="n">
        <v>8</v>
      </c>
      <c r="AN2306" t="n">
        <v>2</v>
      </c>
      <c r="AO2306" t="n">
        <v>2</v>
      </c>
      <c r="AP2306" t="n">
        <v>0</v>
      </c>
      <c r="AQ2306" t="n">
        <v>0</v>
      </c>
      <c r="AR2306" t="inlineStr">
        <is>
          <t>No</t>
        </is>
      </c>
      <c r="AS2306" t="inlineStr">
        <is>
          <t>Yes</t>
        </is>
      </c>
      <c r="AT2306">
        <f>HYPERLINK("http://catalog.hathitrust.org/Record/002971145","HathiTrust Record")</f>
        <v/>
      </c>
      <c r="AU2306">
        <f>HYPERLINK("https://creighton-primo.hosted.exlibrisgroup.com/primo-explore/search?tab=default_tab&amp;search_scope=EVERYTHING&amp;vid=01CRU&amp;lang=en_US&amp;offset=0&amp;query=any,contains,991002348909702656","Catalog Record")</f>
        <v/>
      </c>
      <c r="AV2306">
        <f>HYPERLINK("http://www.worldcat.org/oclc/30593889","WorldCat Record")</f>
        <v/>
      </c>
      <c r="AW2306" t="inlineStr">
        <is>
          <t>32770778:eng</t>
        </is>
      </c>
      <c r="AX2306" t="inlineStr">
        <is>
          <t>30593889</t>
        </is>
      </c>
      <c r="AY2306" t="inlineStr">
        <is>
          <t>991002348909702656</t>
        </is>
      </c>
      <c r="AZ2306" t="inlineStr">
        <is>
          <t>991002348909702656</t>
        </is>
      </c>
      <c r="BA2306" t="inlineStr">
        <is>
          <t>2260821490002656</t>
        </is>
      </c>
      <c r="BB2306" t="inlineStr">
        <is>
          <t>BOOK</t>
        </is>
      </c>
      <c r="BD2306" t="inlineStr">
        <is>
          <t>9780838752630</t>
        </is>
      </c>
      <c r="BE2306" t="inlineStr">
        <is>
          <t>32285002111671</t>
        </is>
      </c>
      <c r="BF2306" t="inlineStr">
        <is>
          <t>893609752</t>
        </is>
      </c>
    </row>
    <row r="2307">
      <c r="A2307" t="inlineStr">
        <is>
          <t>No</t>
        </is>
      </c>
      <c r="B2307" t="inlineStr">
        <is>
          <t>CURAL</t>
        </is>
      </c>
      <c r="C2307" t="inlineStr">
        <is>
          <t>SHELVES</t>
        </is>
      </c>
      <c r="D2307" t="inlineStr">
        <is>
          <t>PR535.V4 H37 1989</t>
        </is>
      </c>
      <c r="E2307" t="inlineStr">
        <is>
          <t>0                      PR 0535000V  4                  H  37          1989</t>
        </is>
      </c>
      <c r="F2307" t="inlineStr">
        <is>
          <t>Prosody and purpose in the English renaissance / O.B. Hardison, Jr.</t>
        </is>
      </c>
      <c r="H2307" t="inlineStr">
        <is>
          <t>No</t>
        </is>
      </c>
      <c r="I2307" t="inlineStr">
        <is>
          <t>1</t>
        </is>
      </c>
      <c r="J2307" t="inlineStr">
        <is>
          <t>No</t>
        </is>
      </c>
      <c r="K2307" t="inlineStr">
        <is>
          <t>No</t>
        </is>
      </c>
      <c r="L2307" t="inlineStr">
        <is>
          <t>0</t>
        </is>
      </c>
      <c r="M2307" t="inlineStr">
        <is>
          <t>Hardison, O. B., Jr. (Osborne Bennett), 1928-1990.</t>
        </is>
      </c>
      <c r="N2307" t="inlineStr">
        <is>
          <t>Baltimore : Johns Hopkins University Press, c1989.</t>
        </is>
      </c>
      <c r="O2307" t="inlineStr">
        <is>
          <t>1989</t>
        </is>
      </c>
      <c r="Q2307" t="inlineStr">
        <is>
          <t>eng</t>
        </is>
      </c>
      <c r="R2307" t="inlineStr">
        <is>
          <t>mdu</t>
        </is>
      </c>
      <c r="T2307" t="inlineStr">
        <is>
          <t xml:space="preserve">PR </t>
        </is>
      </c>
      <c r="U2307" t="n">
        <v>5</v>
      </c>
      <c r="V2307" t="n">
        <v>5</v>
      </c>
      <c r="W2307" t="inlineStr">
        <is>
          <t>1998-04-19</t>
        </is>
      </c>
      <c r="X2307" t="inlineStr">
        <is>
          <t>1998-04-19</t>
        </is>
      </c>
      <c r="Y2307" t="inlineStr">
        <is>
          <t>1990-03-15</t>
        </is>
      </c>
      <c r="Z2307" t="inlineStr">
        <is>
          <t>1990-03-15</t>
        </is>
      </c>
      <c r="AA2307" t="n">
        <v>590</v>
      </c>
      <c r="AB2307" t="n">
        <v>488</v>
      </c>
      <c r="AC2307" t="n">
        <v>601</v>
      </c>
      <c r="AD2307" t="n">
        <v>3</v>
      </c>
      <c r="AE2307" t="n">
        <v>5</v>
      </c>
      <c r="AF2307" t="n">
        <v>27</v>
      </c>
      <c r="AG2307" t="n">
        <v>32</v>
      </c>
      <c r="AH2307" t="n">
        <v>9</v>
      </c>
      <c r="AI2307" t="n">
        <v>12</v>
      </c>
      <c r="AJ2307" t="n">
        <v>8</v>
      </c>
      <c r="AK2307" t="n">
        <v>9</v>
      </c>
      <c r="AL2307" t="n">
        <v>17</v>
      </c>
      <c r="AM2307" t="n">
        <v>17</v>
      </c>
      <c r="AN2307" t="n">
        <v>2</v>
      </c>
      <c r="AO2307" t="n">
        <v>4</v>
      </c>
      <c r="AP2307" t="n">
        <v>0</v>
      </c>
      <c r="AQ2307" t="n">
        <v>0</v>
      </c>
      <c r="AR2307" t="inlineStr">
        <is>
          <t>No</t>
        </is>
      </c>
      <c r="AS2307" t="inlineStr">
        <is>
          <t>Yes</t>
        </is>
      </c>
      <c r="AT2307">
        <f>HYPERLINK("http://catalog.hathitrust.org/Record/001296453","HathiTrust Record")</f>
        <v/>
      </c>
      <c r="AU2307">
        <f>HYPERLINK("https://creighton-primo.hosted.exlibrisgroup.com/primo-explore/search?tab=default_tab&amp;search_scope=EVERYTHING&amp;vid=01CRU&amp;lang=en_US&amp;offset=0&amp;query=any,contains,991001322409702656","Catalog Record")</f>
        <v/>
      </c>
      <c r="AV2307">
        <f>HYPERLINK("http://www.worldcat.org/oclc/18254878","WorldCat Record")</f>
        <v/>
      </c>
      <c r="AW2307" t="inlineStr">
        <is>
          <t>3856133248:eng</t>
        </is>
      </c>
      <c r="AX2307" t="inlineStr">
        <is>
          <t>18254878</t>
        </is>
      </c>
      <c r="AY2307" t="inlineStr">
        <is>
          <t>991001322409702656</t>
        </is>
      </c>
      <c r="AZ2307" t="inlineStr">
        <is>
          <t>991001322409702656</t>
        </is>
      </c>
      <c r="BA2307" t="inlineStr">
        <is>
          <t>2258557790002656</t>
        </is>
      </c>
      <c r="BB2307" t="inlineStr">
        <is>
          <t>BOOK</t>
        </is>
      </c>
      <c r="BD2307" t="inlineStr">
        <is>
          <t>9780801837227</t>
        </is>
      </c>
      <c r="BE2307" t="inlineStr">
        <is>
          <t>32285000063734</t>
        </is>
      </c>
      <c r="BF2307" t="inlineStr">
        <is>
          <t>893614978</t>
        </is>
      </c>
    </row>
    <row r="2308">
      <c r="A2308" t="inlineStr">
        <is>
          <t>No</t>
        </is>
      </c>
      <c r="B2308" t="inlineStr">
        <is>
          <t>CURAL</t>
        </is>
      </c>
      <c r="C2308" t="inlineStr">
        <is>
          <t>SHELVES</t>
        </is>
      </c>
      <c r="D2308" t="inlineStr">
        <is>
          <t>PR5363.C35 S8</t>
        </is>
      </c>
      <c r="E2308" t="inlineStr">
        <is>
          <t>0                      PR 5363000C  35                 S  8</t>
        </is>
      </c>
      <c r="F2308" t="inlineStr">
        <is>
          <t>A casebook on Candida.</t>
        </is>
      </c>
      <c r="H2308" t="inlineStr">
        <is>
          <t>No</t>
        </is>
      </c>
      <c r="I2308" t="inlineStr">
        <is>
          <t>1</t>
        </is>
      </c>
      <c r="J2308" t="inlineStr">
        <is>
          <t>No</t>
        </is>
      </c>
      <c r="K2308" t="inlineStr">
        <is>
          <t>No</t>
        </is>
      </c>
      <c r="L2308" t="inlineStr">
        <is>
          <t>0</t>
        </is>
      </c>
      <c r="M2308" t="inlineStr">
        <is>
          <t>Stanton, Stephen Sadler, 1915-, editor.</t>
        </is>
      </c>
      <c r="N2308" t="inlineStr">
        <is>
          <t>New York : Crowell, [1962]</t>
        </is>
      </c>
      <c r="O2308" t="inlineStr">
        <is>
          <t>1962</t>
        </is>
      </c>
      <c r="Q2308" t="inlineStr">
        <is>
          <t>eng</t>
        </is>
      </c>
      <c r="R2308" t="inlineStr">
        <is>
          <t xml:space="preserve">xx </t>
        </is>
      </c>
      <c r="T2308" t="inlineStr">
        <is>
          <t xml:space="preserve">PR </t>
        </is>
      </c>
      <c r="U2308" t="n">
        <v>9</v>
      </c>
      <c r="V2308" t="n">
        <v>9</v>
      </c>
      <c r="W2308" t="inlineStr">
        <is>
          <t>2001-11-04</t>
        </is>
      </c>
      <c r="X2308" t="inlineStr">
        <is>
          <t>2001-11-04</t>
        </is>
      </c>
      <c r="Y2308" t="inlineStr">
        <is>
          <t>1991-09-24</t>
        </is>
      </c>
      <c r="Z2308" t="inlineStr">
        <is>
          <t>1991-09-24</t>
        </is>
      </c>
      <c r="AA2308" t="n">
        <v>361</v>
      </c>
      <c r="AB2308" t="n">
        <v>322</v>
      </c>
      <c r="AC2308" t="n">
        <v>324</v>
      </c>
      <c r="AD2308" t="n">
        <v>4</v>
      </c>
      <c r="AE2308" t="n">
        <v>4</v>
      </c>
      <c r="AF2308" t="n">
        <v>17</v>
      </c>
      <c r="AG2308" t="n">
        <v>17</v>
      </c>
      <c r="AH2308" t="n">
        <v>6</v>
      </c>
      <c r="AI2308" t="n">
        <v>6</v>
      </c>
      <c r="AJ2308" t="n">
        <v>3</v>
      </c>
      <c r="AK2308" t="n">
        <v>3</v>
      </c>
      <c r="AL2308" t="n">
        <v>8</v>
      </c>
      <c r="AM2308" t="n">
        <v>8</v>
      </c>
      <c r="AN2308" t="n">
        <v>3</v>
      </c>
      <c r="AO2308" t="n">
        <v>3</v>
      </c>
      <c r="AP2308" t="n">
        <v>0</v>
      </c>
      <c r="AQ2308" t="n">
        <v>0</v>
      </c>
      <c r="AR2308" t="inlineStr">
        <is>
          <t>No</t>
        </is>
      </c>
      <c r="AS2308" t="inlineStr">
        <is>
          <t>Yes</t>
        </is>
      </c>
      <c r="AT2308">
        <f>HYPERLINK("http://catalog.hathitrust.org/Record/001024392","HathiTrust Record")</f>
        <v/>
      </c>
      <c r="AU2308">
        <f>HYPERLINK("https://creighton-primo.hosted.exlibrisgroup.com/primo-explore/search?tab=default_tab&amp;search_scope=EVERYTHING&amp;vid=01CRU&amp;lang=en_US&amp;offset=0&amp;query=any,contains,991002834719702656","Catalog Record")</f>
        <v/>
      </c>
      <c r="AV2308">
        <f>HYPERLINK("http://www.worldcat.org/oclc/479413","WorldCat Record")</f>
        <v/>
      </c>
      <c r="AW2308" t="inlineStr">
        <is>
          <t>1555656:eng</t>
        </is>
      </c>
      <c r="AX2308" t="inlineStr">
        <is>
          <t>479413</t>
        </is>
      </c>
      <c r="AY2308" t="inlineStr">
        <is>
          <t>991002834719702656</t>
        </is>
      </c>
      <c r="AZ2308" t="inlineStr">
        <is>
          <t>991002834719702656</t>
        </is>
      </c>
      <c r="BA2308" t="inlineStr">
        <is>
          <t>2263710490002656</t>
        </is>
      </c>
      <c r="BB2308" t="inlineStr">
        <is>
          <t>BOOK</t>
        </is>
      </c>
      <c r="BE2308" t="inlineStr">
        <is>
          <t>32285000760685</t>
        </is>
      </c>
      <c r="BF2308" t="inlineStr">
        <is>
          <t>893352540</t>
        </is>
      </c>
    </row>
    <row r="2309">
      <c r="A2309" t="inlineStr">
        <is>
          <t>No</t>
        </is>
      </c>
      <c r="B2309" t="inlineStr">
        <is>
          <t>CURAL</t>
        </is>
      </c>
      <c r="C2309" t="inlineStr">
        <is>
          <t>SHELVES</t>
        </is>
      </c>
      <c r="D2309" t="inlineStr">
        <is>
          <t>PR5363.S33 P5 1987</t>
        </is>
      </c>
      <c r="E2309" t="inlineStr">
        <is>
          <t>0                      PR 5363000S  33                 P  5           1987</t>
        </is>
      </c>
      <c r="F2309" t="inlineStr">
        <is>
          <t>Playing Joan : actresses on the challenge of Shaw's Saint Joan : twenty-six interviews / by Holly Hill.</t>
        </is>
      </c>
      <c r="H2309" t="inlineStr">
        <is>
          <t>No</t>
        </is>
      </c>
      <c r="I2309" t="inlineStr">
        <is>
          <t>1</t>
        </is>
      </c>
      <c r="J2309" t="inlineStr">
        <is>
          <t>No</t>
        </is>
      </c>
      <c r="K2309" t="inlineStr">
        <is>
          <t>No</t>
        </is>
      </c>
      <c r="L2309" t="inlineStr">
        <is>
          <t>0</t>
        </is>
      </c>
      <c r="N2309" t="inlineStr">
        <is>
          <t>New York, NY : Theatre Communications Group, 1987.</t>
        </is>
      </c>
      <c r="O2309" t="inlineStr">
        <is>
          <t>1987</t>
        </is>
      </c>
      <c r="P2309" t="inlineStr">
        <is>
          <t>1st ed.</t>
        </is>
      </c>
      <c r="Q2309" t="inlineStr">
        <is>
          <t>eng</t>
        </is>
      </c>
      <c r="R2309" t="inlineStr">
        <is>
          <t>nyu</t>
        </is>
      </c>
      <c r="T2309" t="inlineStr">
        <is>
          <t xml:space="preserve">PR </t>
        </is>
      </c>
      <c r="U2309" t="n">
        <v>2</v>
      </c>
      <c r="V2309" t="n">
        <v>2</v>
      </c>
      <c r="W2309" t="inlineStr">
        <is>
          <t>2000-04-17</t>
        </is>
      </c>
      <c r="X2309" t="inlineStr">
        <is>
          <t>2000-04-17</t>
        </is>
      </c>
      <c r="Y2309" t="inlineStr">
        <is>
          <t>1993-02-01</t>
        </is>
      </c>
      <c r="Z2309" t="inlineStr">
        <is>
          <t>1993-02-01</t>
        </is>
      </c>
      <c r="AA2309" t="n">
        <v>416</v>
      </c>
      <c r="AB2309" t="n">
        <v>353</v>
      </c>
      <c r="AC2309" t="n">
        <v>360</v>
      </c>
      <c r="AD2309" t="n">
        <v>6</v>
      </c>
      <c r="AE2309" t="n">
        <v>6</v>
      </c>
      <c r="AF2309" t="n">
        <v>21</v>
      </c>
      <c r="AG2309" t="n">
        <v>21</v>
      </c>
      <c r="AH2309" t="n">
        <v>4</v>
      </c>
      <c r="AI2309" t="n">
        <v>4</v>
      </c>
      <c r="AJ2309" t="n">
        <v>5</v>
      </c>
      <c r="AK2309" t="n">
        <v>5</v>
      </c>
      <c r="AL2309" t="n">
        <v>10</v>
      </c>
      <c r="AM2309" t="n">
        <v>10</v>
      </c>
      <c r="AN2309" t="n">
        <v>5</v>
      </c>
      <c r="AO2309" t="n">
        <v>5</v>
      </c>
      <c r="AP2309" t="n">
        <v>0</v>
      </c>
      <c r="AQ2309" t="n">
        <v>0</v>
      </c>
      <c r="AR2309" t="inlineStr">
        <is>
          <t>No</t>
        </is>
      </c>
      <c r="AS2309" t="inlineStr">
        <is>
          <t>Yes</t>
        </is>
      </c>
      <c r="AT2309">
        <f>HYPERLINK("http://catalog.hathitrust.org/Record/000849889","HathiTrust Record")</f>
        <v/>
      </c>
      <c r="AU2309">
        <f>HYPERLINK("https://creighton-primo.hosted.exlibrisgroup.com/primo-explore/search?tab=default_tab&amp;search_scope=EVERYTHING&amp;vid=01CRU&amp;lang=en_US&amp;offset=0&amp;query=any,contains,991001051009702656","Catalog Record")</f>
        <v/>
      </c>
      <c r="AV2309">
        <f>HYPERLINK("http://www.worldcat.org/oclc/15654194","WorldCat Record")</f>
        <v/>
      </c>
      <c r="AW2309" t="inlineStr">
        <is>
          <t>235141598:eng</t>
        </is>
      </c>
      <c r="AX2309" t="inlineStr">
        <is>
          <t>15654194</t>
        </is>
      </c>
      <c r="AY2309" t="inlineStr">
        <is>
          <t>991001051009702656</t>
        </is>
      </c>
      <c r="AZ2309" t="inlineStr">
        <is>
          <t>991001051009702656</t>
        </is>
      </c>
      <c r="BA2309" t="inlineStr">
        <is>
          <t>2266811640002656</t>
        </is>
      </c>
      <c r="BB2309" t="inlineStr">
        <is>
          <t>BOOK</t>
        </is>
      </c>
      <c r="BD2309" t="inlineStr">
        <is>
          <t>9780930452643</t>
        </is>
      </c>
      <c r="BE2309" t="inlineStr">
        <is>
          <t>32285001449056</t>
        </is>
      </c>
      <c r="BF2309" t="inlineStr">
        <is>
          <t>893515867</t>
        </is>
      </c>
    </row>
    <row r="2310">
      <c r="A2310" t="inlineStr">
        <is>
          <t>No</t>
        </is>
      </c>
      <c r="B2310" t="inlineStr">
        <is>
          <t>CURAL</t>
        </is>
      </c>
      <c r="C2310" t="inlineStr">
        <is>
          <t>SHELVES</t>
        </is>
      </c>
      <c r="D2310" t="inlineStr">
        <is>
          <t>PR5363.S33 W4</t>
        </is>
      </c>
      <c r="E2310" t="inlineStr">
        <is>
          <t>0                      PR 5363000S  33                 W  4</t>
        </is>
      </c>
      <c r="F2310" t="inlineStr">
        <is>
          <t>Saint Joan : fifty years after, 1923/24-1973/74 / edited with an introd. by Stanley Weintraub.</t>
        </is>
      </c>
      <c r="H2310" t="inlineStr">
        <is>
          <t>No</t>
        </is>
      </c>
      <c r="I2310" t="inlineStr">
        <is>
          <t>1</t>
        </is>
      </c>
      <c r="J2310" t="inlineStr">
        <is>
          <t>No</t>
        </is>
      </c>
      <c r="K2310" t="inlineStr">
        <is>
          <t>No</t>
        </is>
      </c>
      <c r="L2310" t="inlineStr">
        <is>
          <t>0</t>
        </is>
      </c>
      <c r="M2310" t="inlineStr">
        <is>
          <t>Weintraub, Stanley, 1929-2019 compiler.</t>
        </is>
      </c>
      <c r="N2310" t="inlineStr">
        <is>
          <t>Baton Rouge : Louisiana State University Press, [1973]</t>
        </is>
      </c>
      <c r="O2310" t="inlineStr">
        <is>
          <t>1973</t>
        </is>
      </c>
      <c r="Q2310" t="inlineStr">
        <is>
          <t>eng</t>
        </is>
      </c>
      <c r="R2310" t="inlineStr">
        <is>
          <t>lau</t>
        </is>
      </c>
      <c r="T2310" t="inlineStr">
        <is>
          <t xml:space="preserve">PR </t>
        </is>
      </c>
      <c r="U2310" t="n">
        <v>2</v>
      </c>
      <c r="V2310" t="n">
        <v>2</v>
      </c>
      <c r="W2310" t="inlineStr">
        <is>
          <t>1998-12-01</t>
        </is>
      </c>
      <c r="X2310" t="inlineStr">
        <is>
          <t>1998-12-01</t>
        </is>
      </c>
      <c r="Y2310" t="inlineStr">
        <is>
          <t>1992-01-16</t>
        </is>
      </c>
      <c r="Z2310" t="inlineStr">
        <is>
          <t>1992-01-16</t>
        </is>
      </c>
      <c r="AA2310" t="n">
        <v>735</v>
      </c>
      <c r="AB2310" t="n">
        <v>626</v>
      </c>
      <c r="AC2310" t="n">
        <v>629</v>
      </c>
      <c r="AD2310" t="n">
        <v>3</v>
      </c>
      <c r="AE2310" t="n">
        <v>3</v>
      </c>
      <c r="AF2310" t="n">
        <v>34</v>
      </c>
      <c r="AG2310" t="n">
        <v>34</v>
      </c>
      <c r="AH2310" t="n">
        <v>16</v>
      </c>
      <c r="AI2310" t="n">
        <v>16</v>
      </c>
      <c r="AJ2310" t="n">
        <v>9</v>
      </c>
      <c r="AK2310" t="n">
        <v>9</v>
      </c>
      <c r="AL2310" t="n">
        <v>18</v>
      </c>
      <c r="AM2310" t="n">
        <v>18</v>
      </c>
      <c r="AN2310" t="n">
        <v>2</v>
      </c>
      <c r="AO2310" t="n">
        <v>2</v>
      </c>
      <c r="AP2310" t="n">
        <v>0</v>
      </c>
      <c r="AQ2310" t="n">
        <v>0</v>
      </c>
      <c r="AR2310" t="inlineStr">
        <is>
          <t>No</t>
        </is>
      </c>
      <c r="AS2310" t="inlineStr">
        <is>
          <t>Yes</t>
        </is>
      </c>
      <c r="AT2310">
        <f>HYPERLINK("http://catalog.hathitrust.org/Record/001373878","HathiTrust Record")</f>
        <v/>
      </c>
      <c r="AU2310">
        <f>HYPERLINK("https://creighton-primo.hosted.exlibrisgroup.com/primo-explore/search?tab=default_tab&amp;search_scope=EVERYTHING&amp;vid=01CRU&amp;lang=en_US&amp;offset=0&amp;query=any,contains,991003211459702656","Catalog Record")</f>
        <v/>
      </c>
      <c r="AV2310">
        <f>HYPERLINK("http://www.worldcat.org/oclc/737250","WorldCat Record")</f>
        <v/>
      </c>
      <c r="AW2310" t="inlineStr">
        <is>
          <t>198986899:eng</t>
        </is>
      </c>
      <c r="AX2310" t="inlineStr">
        <is>
          <t>737250</t>
        </is>
      </c>
      <c r="AY2310" t="inlineStr">
        <is>
          <t>991003211459702656</t>
        </is>
      </c>
      <c r="AZ2310" t="inlineStr">
        <is>
          <t>991003211459702656</t>
        </is>
      </c>
      <c r="BA2310" t="inlineStr">
        <is>
          <t>2256710650002656</t>
        </is>
      </c>
      <c r="BB2310" t="inlineStr">
        <is>
          <t>BOOK</t>
        </is>
      </c>
      <c r="BD2310" t="inlineStr">
        <is>
          <t>9780807102084</t>
        </is>
      </c>
      <c r="BE2310" t="inlineStr">
        <is>
          <t>32285000910603</t>
        </is>
      </c>
      <c r="BF2310" t="inlineStr">
        <is>
          <t>893499052</t>
        </is>
      </c>
    </row>
    <row r="2311">
      <c r="A2311" t="inlineStr">
        <is>
          <t>No</t>
        </is>
      </c>
      <c r="B2311" t="inlineStr">
        <is>
          <t>CURAL</t>
        </is>
      </c>
      <c r="C2311" t="inlineStr">
        <is>
          <t>SHELVES</t>
        </is>
      </c>
      <c r="D2311" t="inlineStr">
        <is>
          <t>PR5366 .A23 1972b</t>
        </is>
      </c>
      <c r="E2311" t="inlineStr">
        <is>
          <t>0                      PR 5366000A  23          1972b</t>
        </is>
      </c>
      <c r="F2311" t="inlineStr">
        <is>
          <t>Dictionary to the plays and novels of Bernard Shaw, with bibliography of his works and of the literature concerning him, with a record of the principal Shavian play productions, by C. Lewis Broad and Violet M. Broad.</t>
        </is>
      </c>
      <c r="H2311" t="inlineStr">
        <is>
          <t>No</t>
        </is>
      </c>
      <c r="I2311" t="inlineStr">
        <is>
          <t>1</t>
        </is>
      </c>
      <c r="J2311" t="inlineStr">
        <is>
          <t>No</t>
        </is>
      </c>
      <c r="K2311" t="inlineStr">
        <is>
          <t>No</t>
        </is>
      </c>
      <c r="L2311" t="inlineStr">
        <is>
          <t>0</t>
        </is>
      </c>
      <c r="M2311" t="inlineStr">
        <is>
          <t>Broad, C. Lewis (Charlie Lewis), 1900-</t>
        </is>
      </c>
      <c r="N2311" t="inlineStr">
        <is>
          <t>New York, Gordon Press, 1972.</t>
        </is>
      </c>
      <c r="O2311" t="inlineStr">
        <is>
          <t>1972</t>
        </is>
      </c>
      <c r="Q2311" t="inlineStr">
        <is>
          <t>eng</t>
        </is>
      </c>
      <c r="R2311" t="inlineStr">
        <is>
          <t>nyu</t>
        </is>
      </c>
      <c r="T2311" t="inlineStr">
        <is>
          <t xml:space="preserve">PR </t>
        </is>
      </c>
      <c r="U2311" t="n">
        <v>4</v>
      </c>
      <c r="V2311" t="n">
        <v>4</v>
      </c>
      <c r="W2311" t="inlineStr">
        <is>
          <t>2001-02-20</t>
        </is>
      </c>
      <c r="X2311" t="inlineStr">
        <is>
          <t>2001-02-20</t>
        </is>
      </c>
      <c r="Y2311" t="inlineStr">
        <is>
          <t>1992-01-17</t>
        </is>
      </c>
      <c r="Z2311" t="inlineStr">
        <is>
          <t>1992-01-17</t>
        </is>
      </c>
      <c r="AA2311" t="n">
        <v>14</v>
      </c>
      <c r="AB2311" t="n">
        <v>9</v>
      </c>
      <c r="AC2311" t="n">
        <v>106</v>
      </c>
      <c r="AD2311" t="n">
        <v>1</v>
      </c>
      <c r="AE2311" t="n">
        <v>1</v>
      </c>
      <c r="AF2311" t="n">
        <v>1</v>
      </c>
      <c r="AG2311" t="n">
        <v>3</v>
      </c>
      <c r="AH2311" t="n">
        <v>0</v>
      </c>
      <c r="AI2311" t="n">
        <v>1</v>
      </c>
      <c r="AJ2311" t="n">
        <v>0</v>
      </c>
      <c r="AK2311" t="n">
        <v>0</v>
      </c>
      <c r="AL2311" t="n">
        <v>1</v>
      </c>
      <c r="AM2311" t="n">
        <v>3</v>
      </c>
      <c r="AN2311" t="n">
        <v>0</v>
      </c>
      <c r="AO2311" t="n">
        <v>0</v>
      </c>
      <c r="AP2311" t="n">
        <v>0</v>
      </c>
      <c r="AQ2311" t="n">
        <v>0</v>
      </c>
      <c r="AR2311" t="inlineStr">
        <is>
          <t>No</t>
        </is>
      </c>
      <c r="AS2311" t="inlineStr">
        <is>
          <t>Yes</t>
        </is>
      </c>
      <c r="AT2311">
        <f>HYPERLINK("http://catalog.hathitrust.org/Record/008308674","HathiTrust Record")</f>
        <v/>
      </c>
      <c r="AU2311">
        <f>HYPERLINK("https://creighton-primo.hosted.exlibrisgroup.com/primo-explore/search?tab=default_tab&amp;search_scope=EVERYTHING&amp;vid=01CRU&amp;lang=en_US&amp;offset=0&amp;query=any,contains,991002970629702656","Catalog Record")</f>
        <v/>
      </c>
      <c r="AV2311">
        <f>HYPERLINK("http://www.worldcat.org/oclc/548340","WorldCat Record")</f>
        <v/>
      </c>
      <c r="AW2311" t="inlineStr">
        <is>
          <t>5579406552:eng</t>
        </is>
      </c>
      <c r="AX2311" t="inlineStr">
        <is>
          <t>548340</t>
        </is>
      </c>
      <c r="AY2311" t="inlineStr">
        <is>
          <t>991002970629702656</t>
        </is>
      </c>
      <c r="AZ2311" t="inlineStr">
        <is>
          <t>991002970629702656</t>
        </is>
      </c>
      <c r="BA2311" t="inlineStr">
        <is>
          <t>2266017080002656</t>
        </is>
      </c>
      <c r="BB2311" t="inlineStr">
        <is>
          <t>BOOK</t>
        </is>
      </c>
      <c r="BD2311" t="inlineStr">
        <is>
          <t>9780879680169</t>
        </is>
      </c>
      <c r="BE2311" t="inlineStr">
        <is>
          <t>32285000910785</t>
        </is>
      </c>
      <c r="BF2311" t="inlineStr">
        <is>
          <t>893616834</t>
        </is>
      </c>
    </row>
    <row r="2312">
      <c r="A2312" t="inlineStr">
        <is>
          <t>No</t>
        </is>
      </c>
      <c r="B2312" t="inlineStr">
        <is>
          <t>CURAL</t>
        </is>
      </c>
      <c r="C2312" t="inlineStr">
        <is>
          <t>SHELVES</t>
        </is>
      </c>
      <c r="D2312" t="inlineStr">
        <is>
          <t>PR5366 .A234 1994</t>
        </is>
      </c>
      <c r="E2312" t="inlineStr">
        <is>
          <t>0                      PR 5366000A  234         1994</t>
        </is>
      </c>
      <c r="F2312" t="inlineStr">
        <is>
          <t>The proverbial Bernard Shaw : an index to proverbs in the works of George Bernard Shaw / compiled by George B. Bryan and Wolfgang Mieder.</t>
        </is>
      </c>
      <c r="H2312" t="inlineStr">
        <is>
          <t>No</t>
        </is>
      </c>
      <c r="I2312" t="inlineStr">
        <is>
          <t>1</t>
        </is>
      </c>
      <c r="J2312" t="inlineStr">
        <is>
          <t>No</t>
        </is>
      </c>
      <c r="K2312" t="inlineStr">
        <is>
          <t>No</t>
        </is>
      </c>
      <c r="L2312" t="inlineStr">
        <is>
          <t>0</t>
        </is>
      </c>
      <c r="M2312" t="inlineStr">
        <is>
          <t>Bryan, George B.</t>
        </is>
      </c>
      <c r="N2312" t="inlineStr">
        <is>
          <t>Westport, Conn. : Greenwood Press, 1994.</t>
        </is>
      </c>
      <c r="O2312" t="inlineStr">
        <is>
          <t>1994</t>
        </is>
      </c>
      <c r="Q2312" t="inlineStr">
        <is>
          <t>eng</t>
        </is>
      </c>
      <c r="R2312" t="inlineStr">
        <is>
          <t>ctu</t>
        </is>
      </c>
      <c r="S2312" t="inlineStr">
        <is>
          <t>Bibliographies and indexes in world literature, 0742-6801 ; no. 41</t>
        </is>
      </c>
      <c r="T2312" t="inlineStr">
        <is>
          <t xml:space="preserve">PR </t>
        </is>
      </c>
      <c r="U2312" t="n">
        <v>4</v>
      </c>
      <c r="V2312" t="n">
        <v>4</v>
      </c>
      <c r="W2312" t="inlineStr">
        <is>
          <t>1997-04-24</t>
        </is>
      </c>
      <c r="X2312" t="inlineStr">
        <is>
          <t>1997-04-24</t>
        </is>
      </c>
      <c r="Y2312" t="inlineStr">
        <is>
          <t>1994-05-06</t>
        </is>
      </c>
      <c r="Z2312" t="inlineStr">
        <is>
          <t>1994-05-06</t>
        </is>
      </c>
      <c r="AA2312" t="n">
        <v>159</v>
      </c>
      <c r="AB2312" t="n">
        <v>121</v>
      </c>
      <c r="AC2312" t="n">
        <v>123</v>
      </c>
      <c r="AD2312" t="n">
        <v>2</v>
      </c>
      <c r="AE2312" t="n">
        <v>2</v>
      </c>
      <c r="AF2312" t="n">
        <v>6</v>
      </c>
      <c r="AG2312" t="n">
        <v>6</v>
      </c>
      <c r="AH2312" t="n">
        <v>2</v>
      </c>
      <c r="AI2312" t="n">
        <v>2</v>
      </c>
      <c r="AJ2312" t="n">
        <v>0</v>
      </c>
      <c r="AK2312" t="n">
        <v>0</v>
      </c>
      <c r="AL2312" t="n">
        <v>5</v>
      </c>
      <c r="AM2312" t="n">
        <v>5</v>
      </c>
      <c r="AN2312" t="n">
        <v>1</v>
      </c>
      <c r="AO2312" t="n">
        <v>1</v>
      </c>
      <c r="AP2312" t="n">
        <v>0</v>
      </c>
      <c r="AQ2312" t="n">
        <v>0</v>
      </c>
      <c r="AR2312" t="inlineStr">
        <is>
          <t>No</t>
        </is>
      </c>
      <c r="AS2312" t="inlineStr">
        <is>
          <t>Yes</t>
        </is>
      </c>
      <c r="AT2312">
        <f>HYPERLINK("http://catalog.hathitrust.org/Record/002871295","HathiTrust Record")</f>
        <v/>
      </c>
      <c r="AU2312">
        <f>HYPERLINK("https://creighton-primo.hosted.exlibrisgroup.com/primo-explore/search?tab=default_tab&amp;search_scope=EVERYTHING&amp;vid=01CRU&amp;lang=en_US&amp;offset=0&amp;query=any,contains,991002257809702656","Catalog Record")</f>
        <v/>
      </c>
      <c r="AV2312">
        <f>HYPERLINK("http://www.worldcat.org/oclc/29256130","WorldCat Record")</f>
        <v/>
      </c>
      <c r="AW2312" t="inlineStr">
        <is>
          <t>2626790:eng</t>
        </is>
      </c>
      <c r="AX2312" t="inlineStr">
        <is>
          <t>29256130</t>
        </is>
      </c>
      <c r="AY2312" t="inlineStr">
        <is>
          <t>991002257809702656</t>
        </is>
      </c>
      <c r="AZ2312" t="inlineStr">
        <is>
          <t>991002257809702656</t>
        </is>
      </c>
      <c r="BA2312" t="inlineStr">
        <is>
          <t>2264738040002656</t>
        </is>
      </c>
      <c r="BB2312" t="inlineStr">
        <is>
          <t>BOOK</t>
        </is>
      </c>
      <c r="BD2312" t="inlineStr">
        <is>
          <t>9780313292187</t>
        </is>
      </c>
      <c r="BE2312" t="inlineStr">
        <is>
          <t>32285001879310</t>
        </is>
      </c>
      <c r="BF2312" t="inlineStr">
        <is>
          <t>893903794</t>
        </is>
      </c>
    </row>
    <row r="2313">
      <c r="A2313" t="inlineStr">
        <is>
          <t>No</t>
        </is>
      </c>
      <c r="B2313" t="inlineStr">
        <is>
          <t>CURAL</t>
        </is>
      </c>
      <c r="C2313" t="inlineStr">
        <is>
          <t>SHELVES</t>
        </is>
      </c>
      <c r="D2313" t="inlineStr">
        <is>
          <t>PR5366 .E7 1956a</t>
        </is>
      </c>
      <c r="E2313" t="inlineStr">
        <is>
          <t>0                      PR 5366000E  7           1956a</t>
        </is>
      </c>
      <c r="F2313" t="inlineStr">
        <is>
          <t>Bernard Shaw : his life, work, and friends.</t>
        </is>
      </c>
      <c r="H2313" t="inlineStr">
        <is>
          <t>No</t>
        </is>
      </c>
      <c r="I2313" t="inlineStr">
        <is>
          <t>1</t>
        </is>
      </c>
      <c r="J2313" t="inlineStr">
        <is>
          <t>No</t>
        </is>
      </c>
      <c r="K2313" t="inlineStr">
        <is>
          <t>No</t>
        </is>
      </c>
      <c r="L2313" t="inlineStr">
        <is>
          <t>0</t>
        </is>
      </c>
      <c r="M2313" t="inlineStr">
        <is>
          <t>Ervine, St. John G. (St. John Greer), 1883-1971.</t>
        </is>
      </c>
      <c r="N2313" t="inlineStr">
        <is>
          <t>New York : Morrow, 1956.</t>
        </is>
      </c>
      <c r="O2313" t="inlineStr">
        <is>
          <t>1956</t>
        </is>
      </c>
      <c r="Q2313" t="inlineStr">
        <is>
          <t>eng</t>
        </is>
      </c>
      <c r="R2313" t="inlineStr">
        <is>
          <t>nyu</t>
        </is>
      </c>
      <c r="T2313" t="inlineStr">
        <is>
          <t xml:space="preserve">PR </t>
        </is>
      </c>
      <c r="U2313" t="n">
        <v>2</v>
      </c>
      <c r="V2313" t="n">
        <v>2</v>
      </c>
      <c r="W2313" t="inlineStr">
        <is>
          <t>2000-02-18</t>
        </is>
      </c>
      <c r="X2313" t="inlineStr">
        <is>
          <t>2000-02-18</t>
        </is>
      </c>
      <c r="Y2313" t="inlineStr">
        <is>
          <t>1995-03-07</t>
        </is>
      </c>
      <c r="Z2313" t="inlineStr">
        <is>
          <t>1995-03-07</t>
        </is>
      </c>
      <c r="AA2313" t="n">
        <v>1250</v>
      </c>
      <c r="AB2313" t="n">
        <v>1207</v>
      </c>
      <c r="AC2313" t="n">
        <v>1355</v>
      </c>
      <c r="AD2313" t="n">
        <v>6</v>
      </c>
      <c r="AE2313" t="n">
        <v>9</v>
      </c>
      <c r="AF2313" t="n">
        <v>42</v>
      </c>
      <c r="AG2313" t="n">
        <v>48</v>
      </c>
      <c r="AH2313" t="n">
        <v>21</v>
      </c>
      <c r="AI2313" t="n">
        <v>25</v>
      </c>
      <c r="AJ2313" t="n">
        <v>10</v>
      </c>
      <c r="AK2313" t="n">
        <v>10</v>
      </c>
      <c r="AL2313" t="n">
        <v>16</v>
      </c>
      <c r="AM2313" t="n">
        <v>22</v>
      </c>
      <c r="AN2313" t="n">
        <v>5</v>
      </c>
      <c r="AO2313" t="n">
        <v>5</v>
      </c>
      <c r="AP2313" t="n">
        <v>0</v>
      </c>
      <c r="AQ2313" t="n">
        <v>0</v>
      </c>
      <c r="AR2313" t="inlineStr">
        <is>
          <t>No</t>
        </is>
      </c>
      <c r="AS2313" t="inlineStr">
        <is>
          <t>Yes</t>
        </is>
      </c>
      <c r="AT2313">
        <f>HYPERLINK("http://catalog.hathitrust.org/Record/001378197","HathiTrust Record")</f>
        <v/>
      </c>
      <c r="AU2313">
        <f>HYPERLINK("https://creighton-primo.hosted.exlibrisgroup.com/primo-explore/search?tab=default_tab&amp;search_scope=EVERYTHING&amp;vid=01CRU&amp;lang=en_US&amp;offset=0&amp;query=any,contains,991003236569702656","Catalog Record")</f>
        <v/>
      </c>
      <c r="AV2313">
        <f>HYPERLINK("http://www.worldcat.org/oclc/761058","WorldCat Record")</f>
        <v/>
      </c>
      <c r="AW2313" t="inlineStr">
        <is>
          <t>196528233:eng</t>
        </is>
      </c>
      <c r="AX2313" t="inlineStr">
        <is>
          <t>761058</t>
        </is>
      </c>
      <c r="AY2313" t="inlineStr">
        <is>
          <t>991003236569702656</t>
        </is>
      </c>
      <c r="AZ2313" t="inlineStr">
        <is>
          <t>991003236569702656</t>
        </is>
      </c>
      <c r="BA2313" t="inlineStr">
        <is>
          <t>2267798400002656</t>
        </is>
      </c>
      <c r="BB2313" t="inlineStr">
        <is>
          <t>BOOK</t>
        </is>
      </c>
      <c r="BE2313" t="inlineStr">
        <is>
          <t>32285002011616</t>
        </is>
      </c>
      <c r="BF2313" t="inlineStr">
        <is>
          <t>893518279</t>
        </is>
      </c>
    </row>
    <row r="2314">
      <c r="A2314" t="inlineStr">
        <is>
          <t>No</t>
        </is>
      </c>
      <c r="B2314" t="inlineStr">
        <is>
          <t>CURAL</t>
        </is>
      </c>
      <c r="C2314" t="inlineStr">
        <is>
          <t>SHELVES</t>
        </is>
      </c>
      <c r="D2314" t="inlineStr">
        <is>
          <t>PR5366 .H313 1972</t>
        </is>
      </c>
      <c r="E2314" t="inlineStr">
        <is>
          <t>0                      PR 5366000H  313         1972</t>
        </is>
      </c>
      <c r="F2314" t="inlineStr">
        <is>
          <t>The twentieth century Molière : Bernard Shaw / translated from the French by Eden and Cedar Paul.</t>
        </is>
      </c>
      <c r="H2314" t="inlineStr">
        <is>
          <t>No</t>
        </is>
      </c>
      <c r="I2314" t="inlineStr">
        <is>
          <t>1</t>
        </is>
      </c>
      <c r="J2314" t="inlineStr">
        <is>
          <t>No</t>
        </is>
      </c>
      <c r="K2314" t="inlineStr">
        <is>
          <t>No</t>
        </is>
      </c>
      <c r="L2314" t="inlineStr">
        <is>
          <t>0</t>
        </is>
      </c>
      <c r="M2314" t="inlineStr">
        <is>
          <t>Hamon, Augustin Frédéric, 1862-1945.</t>
        </is>
      </c>
      <c r="N2314" t="inlineStr">
        <is>
          <t>[Folcroft, Pa.] : Folcroft Library Editions, 1972.</t>
        </is>
      </c>
      <c r="O2314" t="inlineStr">
        <is>
          <t>1972</t>
        </is>
      </c>
      <c r="Q2314" t="inlineStr">
        <is>
          <t>eng</t>
        </is>
      </c>
      <c r="R2314" t="inlineStr">
        <is>
          <t>pau</t>
        </is>
      </c>
      <c r="T2314" t="inlineStr">
        <is>
          <t xml:space="preserve">PR </t>
        </is>
      </c>
      <c r="U2314" t="n">
        <v>3</v>
      </c>
      <c r="V2314" t="n">
        <v>3</v>
      </c>
      <c r="W2314" t="inlineStr">
        <is>
          <t>2001-02-14</t>
        </is>
      </c>
      <c r="X2314" t="inlineStr">
        <is>
          <t>2001-02-14</t>
        </is>
      </c>
      <c r="Y2314" t="inlineStr">
        <is>
          <t>1992-01-16</t>
        </is>
      </c>
      <c r="Z2314" t="inlineStr">
        <is>
          <t>1992-01-16</t>
        </is>
      </c>
      <c r="AA2314" t="n">
        <v>49</v>
      </c>
      <c r="AB2314" t="n">
        <v>42</v>
      </c>
      <c r="AC2314" t="n">
        <v>147</v>
      </c>
      <c r="AD2314" t="n">
        <v>1</v>
      </c>
      <c r="AE2314" t="n">
        <v>2</v>
      </c>
      <c r="AF2314" t="n">
        <v>3</v>
      </c>
      <c r="AG2314" t="n">
        <v>4</v>
      </c>
      <c r="AH2314" t="n">
        <v>1</v>
      </c>
      <c r="AI2314" t="n">
        <v>1</v>
      </c>
      <c r="AJ2314" t="n">
        <v>2</v>
      </c>
      <c r="AK2314" t="n">
        <v>2</v>
      </c>
      <c r="AL2314" t="n">
        <v>2</v>
      </c>
      <c r="AM2314" t="n">
        <v>3</v>
      </c>
      <c r="AN2314" t="n">
        <v>0</v>
      </c>
      <c r="AO2314" t="n">
        <v>0</v>
      </c>
      <c r="AP2314" t="n">
        <v>0</v>
      </c>
      <c r="AQ2314" t="n">
        <v>0</v>
      </c>
      <c r="AR2314" t="inlineStr">
        <is>
          <t>No</t>
        </is>
      </c>
      <c r="AS2314" t="inlineStr">
        <is>
          <t>No</t>
        </is>
      </c>
      <c r="AU2314">
        <f>HYPERLINK("https://creighton-primo.hosted.exlibrisgroup.com/primo-explore/search?tab=default_tab&amp;search_scope=EVERYTHING&amp;vid=01CRU&amp;lang=en_US&amp;offset=0&amp;query=any,contains,991002841379702656","Catalog Record")</f>
        <v/>
      </c>
      <c r="AV2314">
        <f>HYPERLINK("http://www.worldcat.org/oclc/482430","WorldCat Record")</f>
        <v/>
      </c>
      <c r="AW2314" t="inlineStr">
        <is>
          <t>1563073:eng</t>
        </is>
      </c>
      <c r="AX2314" t="inlineStr">
        <is>
          <t>482430</t>
        </is>
      </c>
      <c r="AY2314" t="inlineStr">
        <is>
          <t>991002841379702656</t>
        </is>
      </c>
      <c r="AZ2314" t="inlineStr">
        <is>
          <t>991002841379702656</t>
        </is>
      </c>
      <c r="BA2314" t="inlineStr">
        <is>
          <t>2258912250002656</t>
        </is>
      </c>
      <c r="BB2314" t="inlineStr">
        <is>
          <t>BOOK</t>
        </is>
      </c>
      <c r="BD2314" t="inlineStr">
        <is>
          <t>9780841404700</t>
        </is>
      </c>
      <c r="BE2314" t="inlineStr">
        <is>
          <t>32285000910975</t>
        </is>
      </c>
      <c r="BF2314" t="inlineStr">
        <is>
          <t>893504885</t>
        </is>
      </c>
    </row>
    <row r="2315">
      <c r="A2315" t="inlineStr">
        <is>
          <t>No</t>
        </is>
      </c>
      <c r="B2315" t="inlineStr">
        <is>
          <t>CURAL</t>
        </is>
      </c>
      <c r="C2315" t="inlineStr">
        <is>
          <t>SHELVES</t>
        </is>
      </c>
      <c r="D2315" t="inlineStr">
        <is>
          <t>PR5366 .H42</t>
        </is>
      </c>
      <c r="E2315" t="inlineStr">
        <is>
          <t>0                      PR 5366000H  42</t>
        </is>
      </c>
      <c r="F2315" t="inlineStr">
        <is>
          <t>George Bernard Shaw; his life and works,a critical biography (authorized) by Archibald Henderson ...</t>
        </is>
      </c>
      <c r="H2315" t="inlineStr">
        <is>
          <t>No</t>
        </is>
      </c>
      <c r="I2315" t="inlineStr">
        <is>
          <t>1</t>
        </is>
      </c>
      <c r="J2315" t="inlineStr">
        <is>
          <t>No</t>
        </is>
      </c>
      <c r="K2315" t="inlineStr">
        <is>
          <t>No</t>
        </is>
      </c>
      <c r="L2315" t="inlineStr">
        <is>
          <t>0</t>
        </is>
      </c>
      <c r="M2315" t="inlineStr">
        <is>
          <t>Henderson, Archibald, 1877-1963.</t>
        </is>
      </c>
      <c r="N2315" t="inlineStr">
        <is>
          <t>Cincinnati, Stewart &amp; Kidd, 1911.</t>
        </is>
      </c>
      <c r="O2315" t="inlineStr">
        <is>
          <t>1911</t>
        </is>
      </c>
      <c r="Q2315" t="inlineStr">
        <is>
          <t>eng</t>
        </is>
      </c>
      <c r="R2315" t="inlineStr">
        <is>
          <t>ohu</t>
        </is>
      </c>
      <c r="T2315" t="inlineStr">
        <is>
          <t xml:space="preserve">PR </t>
        </is>
      </c>
      <c r="U2315" t="n">
        <v>3</v>
      </c>
      <c r="V2315" t="n">
        <v>3</v>
      </c>
      <c r="W2315" t="inlineStr">
        <is>
          <t>2000-02-18</t>
        </is>
      </c>
      <c r="X2315" t="inlineStr">
        <is>
          <t>2000-02-18</t>
        </is>
      </c>
      <c r="Y2315" t="inlineStr">
        <is>
          <t>1997-07-18</t>
        </is>
      </c>
      <c r="Z2315" t="inlineStr">
        <is>
          <t>1997-07-18</t>
        </is>
      </c>
      <c r="AA2315" t="n">
        <v>228</v>
      </c>
      <c r="AB2315" t="n">
        <v>220</v>
      </c>
      <c r="AC2315" t="n">
        <v>367</v>
      </c>
      <c r="AD2315" t="n">
        <v>3</v>
      </c>
      <c r="AE2315" t="n">
        <v>4</v>
      </c>
      <c r="AF2315" t="n">
        <v>9</v>
      </c>
      <c r="AG2315" t="n">
        <v>15</v>
      </c>
      <c r="AH2315" t="n">
        <v>4</v>
      </c>
      <c r="AI2315" t="n">
        <v>5</v>
      </c>
      <c r="AJ2315" t="n">
        <v>2</v>
      </c>
      <c r="AK2315" t="n">
        <v>3</v>
      </c>
      <c r="AL2315" t="n">
        <v>2</v>
      </c>
      <c r="AM2315" t="n">
        <v>5</v>
      </c>
      <c r="AN2315" t="n">
        <v>2</v>
      </c>
      <c r="AO2315" t="n">
        <v>3</v>
      </c>
      <c r="AP2315" t="n">
        <v>0</v>
      </c>
      <c r="AQ2315" t="n">
        <v>0</v>
      </c>
      <c r="AR2315" t="inlineStr">
        <is>
          <t>Yes</t>
        </is>
      </c>
      <c r="AS2315" t="inlineStr">
        <is>
          <t>No</t>
        </is>
      </c>
      <c r="AT2315">
        <f>HYPERLINK("http://catalog.hathitrust.org/Record/100558086","HathiTrust Record")</f>
        <v/>
      </c>
      <c r="AU2315">
        <f>HYPERLINK("https://creighton-primo.hosted.exlibrisgroup.com/primo-explore/search?tab=default_tab&amp;search_scope=EVERYTHING&amp;vid=01CRU&amp;lang=en_US&amp;offset=0&amp;query=any,contains,991003886739702656","Catalog Record")</f>
        <v/>
      </c>
      <c r="AV2315">
        <f>HYPERLINK("http://www.worldcat.org/oclc/1739348","WorldCat Record")</f>
        <v/>
      </c>
      <c r="AW2315" t="inlineStr">
        <is>
          <t>10667589:eng</t>
        </is>
      </c>
      <c r="AX2315" t="inlineStr">
        <is>
          <t>1739348</t>
        </is>
      </c>
      <c r="AY2315" t="inlineStr">
        <is>
          <t>991003886739702656</t>
        </is>
      </c>
      <c r="AZ2315" t="inlineStr">
        <is>
          <t>991003886739702656</t>
        </is>
      </c>
      <c r="BA2315" t="inlineStr">
        <is>
          <t>2272501780002656</t>
        </is>
      </c>
      <c r="BB2315" t="inlineStr">
        <is>
          <t>BOOK</t>
        </is>
      </c>
      <c r="BE2315" t="inlineStr">
        <is>
          <t>32285002933033</t>
        </is>
      </c>
      <c r="BF2315" t="inlineStr">
        <is>
          <t>893324661</t>
        </is>
      </c>
    </row>
    <row r="2316">
      <c r="A2316" t="inlineStr">
        <is>
          <t>No</t>
        </is>
      </c>
      <c r="B2316" t="inlineStr">
        <is>
          <t>CURAL</t>
        </is>
      </c>
      <c r="C2316" t="inlineStr">
        <is>
          <t>SHELVES</t>
        </is>
      </c>
      <c r="D2316" t="inlineStr">
        <is>
          <t>PR5366 .H43</t>
        </is>
      </c>
      <c r="E2316" t="inlineStr">
        <is>
          <t>0                      PR 5366000H  43</t>
        </is>
      </c>
      <c r="F2316" t="inlineStr">
        <is>
          <t>George Bernard Shaw: man of the century.</t>
        </is>
      </c>
      <c r="H2316" t="inlineStr">
        <is>
          <t>No</t>
        </is>
      </c>
      <c r="I2316" t="inlineStr">
        <is>
          <t>1</t>
        </is>
      </c>
      <c r="J2316" t="inlineStr">
        <is>
          <t>No</t>
        </is>
      </c>
      <c r="K2316" t="inlineStr">
        <is>
          <t>No</t>
        </is>
      </c>
      <c r="L2316" t="inlineStr">
        <is>
          <t>0</t>
        </is>
      </c>
      <c r="M2316" t="inlineStr">
        <is>
          <t>Henderson, Archibald, 1877-1963.</t>
        </is>
      </c>
      <c r="N2316" t="inlineStr">
        <is>
          <t>New York, Appleton-Century-Crofts [1956]</t>
        </is>
      </c>
      <c r="O2316" t="inlineStr">
        <is>
          <t>1956</t>
        </is>
      </c>
      <c r="Q2316" t="inlineStr">
        <is>
          <t>eng</t>
        </is>
      </c>
      <c r="R2316" t="inlineStr">
        <is>
          <t>nyu</t>
        </is>
      </c>
      <c r="T2316" t="inlineStr">
        <is>
          <t xml:space="preserve">PR </t>
        </is>
      </c>
      <c r="U2316" t="n">
        <v>0</v>
      </c>
      <c r="V2316" t="n">
        <v>0</v>
      </c>
      <c r="W2316" t="inlineStr">
        <is>
          <t>2004-03-29</t>
        </is>
      </c>
      <c r="X2316" t="inlineStr">
        <is>
          <t>2004-03-29</t>
        </is>
      </c>
      <c r="Y2316" t="inlineStr">
        <is>
          <t>1997-07-18</t>
        </is>
      </c>
      <c r="Z2316" t="inlineStr">
        <is>
          <t>1997-07-18</t>
        </is>
      </c>
      <c r="AA2316" t="n">
        <v>851</v>
      </c>
      <c r="AB2316" t="n">
        <v>792</v>
      </c>
      <c r="AC2316" t="n">
        <v>950</v>
      </c>
      <c r="AD2316" t="n">
        <v>6</v>
      </c>
      <c r="AE2316" t="n">
        <v>7</v>
      </c>
      <c r="AF2316" t="n">
        <v>33</v>
      </c>
      <c r="AG2316" t="n">
        <v>39</v>
      </c>
      <c r="AH2316" t="n">
        <v>10</v>
      </c>
      <c r="AI2316" t="n">
        <v>15</v>
      </c>
      <c r="AJ2316" t="n">
        <v>7</v>
      </c>
      <c r="AK2316" t="n">
        <v>7</v>
      </c>
      <c r="AL2316" t="n">
        <v>18</v>
      </c>
      <c r="AM2316" t="n">
        <v>19</v>
      </c>
      <c r="AN2316" t="n">
        <v>5</v>
      </c>
      <c r="AO2316" t="n">
        <v>6</v>
      </c>
      <c r="AP2316" t="n">
        <v>0</v>
      </c>
      <c r="AQ2316" t="n">
        <v>0</v>
      </c>
      <c r="AR2316" t="inlineStr">
        <is>
          <t>No</t>
        </is>
      </c>
      <c r="AS2316" t="inlineStr">
        <is>
          <t>Yes</t>
        </is>
      </c>
      <c r="AT2316">
        <f>HYPERLINK("http://catalog.hathitrust.org/Record/001911517","HathiTrust Record")</f>
        <v/>
      </c>
      <c r="AU2316">
        <f>HYPERLINK("https://creighton-primo.hosted.exlibrisgroup.com/primo-explore/search?tab=default_tab&amp;search_scope=EVERYTHING&amp;vid=01CRU&amp;lang=en_US&amp;offset=0&amp;query=any,contains,991003269099702656","Catalog Record")</f>
        <v/>
      </c>
      <c r="AV2316">
        <f>HYPERLINK("http://www.worldcat.org/oclc/795073","WorldCat Record")</f>
        <v/>
      </c>
      <c r="AW2316" t="inlineStr">
        <is>
          <t>2286728271:eng</t>
        </is>
      </c>
      <c r="AX2316" t="inlineStr">
        <is>
          <t>795073</t>
        </is>
      </c>
      <c r="AY2316" t="inlineStr">
        <is>
          <t>991003269099702656</t>
        </is>
      </c>
      <c r="AZ2316" t="inlineStr">
        <is>
          <t>991003269099702656</t>
        </is>
      </c>
      <c r="BA2316" t="inlineStr">
        <is>
          <t>2260164090002656</t>
        </is>
      </c>
      <c r="BB2316" t="inlineStr">
        <is>
          <t>BOOK</t>
        </is>
      </c>
      <c r="BE2316" t="inlineStr">
        <is>
          <t>32285002933041</t>
        </is>
      </c>
      <c r="BF2316" t="inlineStr">
        <is>
          <t>893604603</t>
        </is>
      </c>
    </row>
    <row r="2317">
      <c r="A2317" t="inlineStr">
        <is>
          <t>No</t>
        </is>
      </c>
      <c r="B2317" t="inlineStr">
        <is>
          <t>CURAL</t>
        </is>
      </c>
      <c r="C2317" t="inlineStr">
        <is>
          <t>SHELVES</t>
        </is>
      </c>
      <c r="D2317" t="inlineStr">
        <is>
          <t>PR5366 .H56 1988</t>
        </is>
      </c>
      <c r="E2317" t="inlineStr">
        <is>
          <t>0                      PR 5366000H  56          1988</t>
        </is>
      </c>
      <c r="F2317" t="inlineStr">
        <is>
          <t>Bernard Shaw / by Michael Holroyd.</t>
        </is>
      </c>
      <c r="G2317" t="inlineStr">
        <is>
          <t>V.2</t>
        </is>
      </c>
      <c r="H2317" t="inlineStr">
        <is>
          <t>Yes</t>
        </is>
      </c>
      <c r="I2317" t="inlineStr">
        <is>
          <t>1</t>
        </is>
      </c>
      <c r="J2317" t="inlineStr">
        <is>
          <t>No</t>
        </is>
      </c>
      <c r="K2317" t="inlineStr">
        <is>
          <t>No</t>
        </is>
      </c>
      <c r="L2317" t="inlineStr">
        <is>
          <t>0</t>
        </is>
      </c>
      <c r="M2317" t="inlineStr">
        <is>
          <t>Holroyd, Michael.</t>
        </is>
      </c>
      <c r="N2317" t="inlineStr">
        <is>
          <t>New York : Random House, 1988-</t>
        </is>
      </c>
      <c r="O2317" t="inlineStr">
        <is>
          <t>1988</t>
        </is>
      </c>
      <c r="P2317" t="inlineStr">
        <is>
          <t>1st American ed.</t>
        </is>
      </c>
      <c r="Q2317" t="inlineStr">
        <is>
          <t>eng</t>
        </is>
      </c>
      <c r="R2317" t="inlineStr">
        <is>
          <t>nyu</t>
        </is>
      </c>
      <c r="T2317" t="inlineStr">
        <is>
          <t xml:space="preserve">PR </t>
        </is>
      </c>
      <c r="U2317" t="n">
        <v>1</v>
      </c>
      <c r="V2317" t="n">
        <v>1</v>
      </c>
      <c r="W2317" t="inlineStr">
        <is>
          <t>1992-02-03</t>
        </is>
      </c>
      <c r="X2317" t="inlineStr">
        <is>
          <t>1992-02-03</t>
        </is>
      </c>
      <c r="Y2317" t="inlineStr">
        <is>
          <t>1991-10-15</t>
        </is>
      </c>
      <c r="Z2317" t="inlineStr">
        <is>
          <t>1991-10-15</t>
        </is>
      </c>
      <c r="AA2317" t="n">
        <v>1707</v>
      </c>
      <c r="AB2317" t="n">
        <v>1622</v>
      </c>
      <c r="AC2317" t="n">
        <v>1632</v>
      </c>
      <c r="AD2317" t="n">
        <v>13</v>
      </c>
      <c r="AE2317" t="n">
        <v>13</v>
      </c>
      <c r="AF2317" t="n">
        <v>57</v>
      </c>
      <c r="AG2317" t="n">
        <v>57</v>
      </c>
      <c r="AH2317" t="n">
        <v>25</v>
      </c>
      <c r="AI2317" t="n">
        <v>25</v>
      </c>
      <c r="AJ2317" t="n">
        <v>10</v>
      </c>
      <c r="AK2317" t="n">
        <v>10</v>
      </c>
      <c r="AL2317" t="n">
        <v>25</v>
      </c>
      <c r="AM2317" t="n">
        <v>25</v>
      </c>
      <c r="AN2317" t="n">
        <v>10</v>
      </c>
      <c r="AO2317" t="n">
        <v>10</v>
      </c>
      <c r="AP2317" t="n">
        <v>0</v>
      </c>
      <c r="AQ2317" t="n">
        <v>0</v>
      </c>
      <c r="AR2317" t="inlineStr">
        <is>
          <t>No</t>
        </is>
      </c>
      <c r="AS2317" t="inlineStr">
        <is>
          <t>Yes</t>
        </is>
      </c>
      <c r="AT2317">
        <f>HYPERLINK("http://catalog.hathitrust.org/Record/002456452","HathiTrust Record")</f>
        <v/>
      </c>
      <c r="AU2317">
        <f>HYPERLINK("https://creighton-primo.hosted.exlibrisgroup.com/primo-explore/search?tab=default_tab&amp;search_scope=EVERYTHING&amp;vid=01CRU&amp;lang=en_US&amp;offset=0&amp;query=any,contains,991001347309702656","Catalog Record")</f>
        <v/>
      </c>
      <c r="AV2317">
        <f>HYPERLINK("http://www.worldcat.org/oclc/18415481","WorldCat Record")</f>
        <v/>
      </c>
      <c r="AW2317" t="inlineStr">
        <is>
          <t>10567179664:eng</t>
        </is>
      </c>
      <c r="AX2317" t="inlineStr">
        <is>
          <t>18415481</t>
        </is>
      </c>
      <c r="AY2317" t="inlineStr">
        <is>
          <t>991001347309702656</t>
        </is>
      </c>
      <c r="AZ2317" t="inlineStr">
        <is>
          <t>991001347309702656</t>
        </is>
      </c>
      <c r="BA2317" t="inlineStr">
        <is>
          <t>2258620490002656</t>
        </is>
      </c>
      <c r="BB2317" t="inlineStr">
        <is>
          <t>BOOK</t>
        </is>
      </c>
      <c r="BD2317" t="inlineStr">
        <is>
          <t>9780394525778</t>
        </is>
      </c>
      <c r="BE2317" t="inlineStr">
        <is>
          <t>32285000788850</t>
        </is>
      </c>
      <c r="BF2317" t="inlineStr">
        <is>
          <t>893621266</t>
        </is>
      </c>
    </row>
    <row r="2318">
      <c r="A2318" t="inlineStr">
        <is>
          <t>No</t>
        </is>
      </c>
      <c r="B2318" t="inlineStr">
        <is>
          <t>CURAL</t>
        </is>
      </c>
      <c r="C2318" t="inlineStr">
        <is>
          <t>SHELVES</t>
        </is>
      </c>
      <c r="D2318" t="inlineStr">
        <is>
          <t>PR5366 .H56 1988</t>
        </is>
      </c>
      <c r="E2318" t="inlineStr">
        <is>
          <t>0                      PR 5366000H  56          1988</t>
        </is>
      </c>
      <c r="F2318" t="inlineStr">
        <is>
          <t>Bernard Shaw / by Michael Holroyd.</t>
        </is>
      </c>
      <c r="G2318" t="inlineStr">
        <is>
          <t>V.3</t>
        </is>
      </c>
      <c r="H2318" t="inlineStr">
        <is>
          <t>Yes</t>
        </is>
      </c>
      <c r="I2318" t="inlineStr">
        <is>
          <t>1</t>
        </is>
      </c>
      <c r="J2318" t="inlineStr">
        <is>
          <t>No</t>
        </is>
      </c>
      <c r="K2318" t="inlineStr">
        <is>
          <t>No</t>
        </is>
      </c>
      <c r="L2318" t="inlineStr">
        <is>
          <t>0</t>
        </is>
      </c>
      <c r="M2318" t="inlineStr">
        <is>
          <t>Holroyd, Michael.</t>
        </is>
      </c>
      <c r="N2318" t="inlineStr">
        <is>
          <t>New York : Random House, 1988-</t>
        </is>
      </c>
      <c r="O2318" t="inlineStr">
        <is>
          <t>1988</t>
        </is>
      </c>
      <c r="P2318" t="inlineStr">
        <is>
          <t>1st American ed.</t>
        </is>
      </c>
      <c r="Q2318" t="inlineStr">
        <is>
          <t>eng</t>
        </is>
      </c>
      <c r="R2318" t="inlineStr">
        <is>
          <t>nyu</t>
        </is>
      </c>
      <c r="T2318" t="inlineStr">
        <is>
          <t xml:space="preserve">PR </t>
        </is>
      </c>
      <c r="U2318" t="n">
        <v>0</v>
      </c>
      <c r="V2318" t="n">
        <v>1</v>
      </c>
      <c r="X2318" t="inlineStr">
        <is>
          <t>1992-02-03</t>
        </is>
      </c>
      <c r="Y2318" t="inlineStr">
        <is>
          <t>1991-10-15</t>
        </is>
      </c>
      <c r="Z2318" t="inlineStr">
        <is>
          <t>1991-10-15</t>
        </is>
      </c>
      <c r="AA2318" t="n">
        <v>1707</v>
      </c>
      <c r="AB2318" t="n">
        <v>1622</v>
      </c>
      <c r="AC2318" t="n">
        <v>1632</v>
      </c>
      <c r="AD2318" t="n">
        <v>13</v>
      </c>
      <c r="AE2318" t="n">
        <v>13</v>
      </c>
      <c r="AF2318" t="n">
        <v>57</v>
      </c>
      <c r="AG2318" t="n">
        <v>57</v>
      </c>
      <c r="AH2318" t="n">
        <v>25</v>
      </c>
      <c r="AI2318" t="n">
        <v>25</v>
      </c>
      <c r="AJ2318" t="n">
        <v>10</v>
      </c>
      <c r="AK2318" t="n">
        <v>10</v>
      </c>
      <c r="AL2318" t="n">
        <v>25</v>
      </c>
      <c r="AM2318" t="n">
        <v>25</v>
      </c>
      <c r="AN2318" t="n">
        <v>10</v>
      </c>
      <c r="AO2318" t="n">
        <v>10</v>
      </c>
      <c r="AP2318" t="n">
        <v>0</v>
      </c>
      <c r="AQ2318" t="n">
        <v>0</v>
      </c>
      <c r="AR2318" t="inlineStr">
        <is>
          <t>No</t>
        </is>
      </c>
      <c r="AS2318" t="inlineStr">
        <is>
          <t>Yes</t>
        </is>
      </c>
      <c r="AT2318">
        <f>HYPERLINK("http://catalog.hathitrust.org/Record/002456452","HathiTrust Record")</f>
        <v/>
      </c>
      <c r="AU2318">
        <f>HYPERLINK("https://creighton-primo.hosted.exlibrisgroup.com/primo-explore/search?tab=default_tab&amp;search_scope=EVERYTHING&amp;vid=01CRU&amp;lang=en_US&amp;offset=0&amp;query=any,contains,991001347309702656","Catalog Record")</f>
        <v/>
      </c>
      <c r="AV2318">
        <f>HYPERLINK("http://www.worldcat.org/oclc/18415481","WorldCat Record")</f>
        <v/>
      </c>
      <c r="AW2318" t="inlineStr">
        <is>
          <t>10567179664:eng</t>
        </is>
      </c>
      <c r="AX2318" t="inlineStr">
        <is>
          <t>18415481</t>
        </is>
      </c>
      <c r="AY2318" t="inlineStr">
        <is>
          <t>991001347309702656</t>
        </is>
      </c>
      <c r="AZ2318" t="inlineStr">
        <is>
          <t>991001347309702656</t>
        </is>
      </c>
      <c r="BA2318" t="inlineStr">
        <is>
          <t>2258620490002656</t>
        </is>
      </c>
      <c r="BB2318" t="inlineStr">
        <is>
          <t>BOOK</t>
        </is>
      </c>
      <c r="BD2318" t="inlineStr">
        <is>
          <t>9780394525778</t>
        </is>
      </c>
      <c r="BE2318" t="inlineStr">
        <is>
          <t>32285000788835</t>
        </is>
      </c>
      <c r="BF2318" t="inlineStr">
        <is>
          <t>893608778</t>
        </is>
      </c>
    </row>
    <row r="2319">
      <c r="A2319" t="inlineStr">
        <is>
          <t>No</t>
        </is>
      </c>
      <c r="B2319" t="inlineStr">
        <is>
          <t>CURAL</t>
        </is>
      </c>
      <c r="C2319" t="inlineStr">
        <is>
          <t>SHELVES</t>
        </is>
      </c>
      <c r="D2319" t="inlineStr">
        <is>
          <t>PR5366 .H56 1988</t>
        </is>
      </c>
      <c r="E2319" t="inlineStr">
        <is>
          <t>0                      PR 5366000H  56          1988</t>
        </is>
      </c>
      <c r="F2319" t="inlineStr">
        <is>
          <t>Bernard Shaw / by Michael Holroyd.</t>
        </is>
      </c>
      <c r="G2319" t="inlineStr">
        <is>
          <t>V.1</t>
        </is>
      </c>
      <c r="H2319" t="inlineStr">
        <is>
          <t>Yes</t>
        </is>
      </c>
      <c r="I2319" t="inlineStr">
        <is>
          <t>1</t>
        </is>
      </c>
      <c r="J2319" t="inlineStr">
        <is>
          <t>No</t>
        </is>
      </c>
      <c r="K2319" t="inlineStr">
        <is>
          <t>No</t>
        </is>
      </c>
      <c r="L2319" t="inlineStr">
        <is>
          <t>0</t>
        </is>
      </c>
      <c r="M2319" t="inlineStr">
        <is>
          <t>Holroyd, Michael.</t>
        </is>
      </c>
      <c r="N2319" t="inlineStr">
        <is>
          <t>New York : Random House, 1988-</t>
        </is>
      </c>
      <c r="O2319" t="inlineStr">
        <is>
          <t>1988</t>
        </is>
      </c>
      <c r="P2319" t="inlineStr">
        <is>
          <t>1st American ed.</t>
        </is>
      </c>
      <c r="Q2319" t="inlineStr">
        <is>
          <t>eng</t>
        </is>
      </c>
      <c r="R2319" t="inlineStr">
        <is>
          <t>nyu</t>
        </is>
      </c>
      <c r="T2319" t="inlineStr">
        <is>
          <t xml:space="preserve">PR </t>
        </is>
      </c>
      <c r="U2319" t="n">
        <v>0</v>
      </c>
      <c r="V2319" t="n">
        <v>1</v>
      </c>
      <c r="X2319" t="inlineStr">
        <is>
          <t>1992-02-03</t>
        </is>
      </c>
      <c r="Y2319" t="inlineStr">
        <is>
          <t>1991-10-15</t>
        </is>
      </c>
      <c r="Z2319" t="inlineStr">
        <is>
          <t>1991-10-15</t>
        </is>
      </c>
      <c r="AA2319" t="n">
        <v>1707</v>
      </c>
      <c r="AB2319" t="n">
        <v>1622</v>
      </c>
      <c r="AC2319" t="n">
        <v>1632</v>
      </c>
      <c r="AD2319" t="n">
        <v>13</v>
      </c>
      <c r="AE2319" t="n">
        <v>13</v>
      </c>
      <c r="AF2319" t="n">
        <v>57</v>
      </c>
      <c r="AG2319" t="n">
        <v>57</v>
      </c>
      <c r="AH2319" t="n">
        <v>25</v>
      </c>
      <c r="AI2319" t="n">
        <v>25</v>
      </c>
      <c r="AJ2319" t="n">
        <v>10</v>
      </c>
      <c r="AK2319" t="n">
        <v>10</v>
      </c>
      <c r="AL2319" t="n">
        <v>25</v>
      </c>
      <c r="AM2319" t="n">
        <v>25</v>
      </c>
      <c r="AN2319" t="n">
        <v>10</v>
      </c>
      <c r="AO2319" t="n">
        <v>10</v>
      </c>
      <c r="AP2319" t="n">
        <v>0</v>
      </c>
      <c r="AQ2319" t="n">
        <v>0</v>
      </c>
      <c r="AR2319" t="inlineStr">
        <is>
          <t>No</t>
        </is>
      </c>
      <c r="AS2319" t="inlineStr">
        <is>
          <t>Yes</t>
        </is>
      </c>
      <c r="AT2319">
        <f>HYPERLINK("http://catalog.hathitrust.org/Record/002456452","HathiTrust Record")</f>
        <v/>
      </c>
      <c r="AU2319">
        <f>HYPERLINK("https://creighton-primo.hosted.exlibrisgroup.com/primo-explore/search?tab=default_tab&amp;search_scope=EVERYTHING&amp;vid=01CRU&amp;lang=en_US&amp;offset=0&amp;query=any,contains,991001347309702656","Catalog Record")</f>
        <v/>
      </c>
      <c r="AV2319">
        <f>HYPERLINK("http://www.worldcat.org/oclc/18415481","WorldCat Record")</f>
        <v/>
      </c>
      <c r="AW2319" t="inlineStr">
        <is>
          <t>10567179664:eng</t>
        </is>
      </c>
      <c r="AX2319" t="inlineStr">
        <is>
          <t>18415481</t>
        </is>
      </c>
      <c r="AY2319" t="inlineStr">
        <is>
          <t>991001347309702656</t>
        </is>
      </c>
      <c r="AZ2319" t="inlineStr">
        <is>
          <t>991001347309702656</t>
        </is>
      </c>
      <c r="BA2319" t="inlineStr">
        <is>
          <t>2258620490002656</t>
        </is>
      </c>
      <c r="BB2319" t="inlineStr">
        <is>
          <t>BOOK</t>
        </is>
      </c>
      <c r="BD2319" t="inlineStr">
        <is>
          <t>9780394525778</t>
        </is>
      </c>
      <c r="BE2319" t="inlineStr">
        <is>
          <t>32285000788843</t>
        </is>
      </c>
      <c r="BF2319" t="inlineStr">
        <is>
          <t>893608777</t>
        </is>
      </c>
    </row>
    <row r="2320">
      <c r="A2320" t="inlineStr">
        <is>
          <t>No</t>
        </is>
      </c>
      <c r="B2320" t="inlineStr">
        <is>
          <t>CURAL</t>
        </is>
      </c>
      <c r="C2320" t="inlineStr">
        <is>
          <t>SHELVES</t>
        </is>
      </c>
      <c r="D2320" t="inlineStr">
        <is>
          <t>PR5366 .M68</t>
        </is>
      </c>
      <c r="E2320" t="inlineStr">
        <is>
          <t>0                      PR 5366000M  68</t>
        </is>
      </c>
      <c r="F2320" t="inlineStr">
        <is>
          <t>Wagner and Shaw : a synthesis.</t>
        </is>
      </c>
      <c r="H2320" t="inlineStr">
        <is>
          <t>No</t>
        </is>
      </c>
      <c r="I2320" t="inlineStr">
        <is>
          <t>1</t>
        </is>
      </c>
      <c r="J2320" t="inlineStr">
        <is>
          <t>No</t>
        </is>
      </c>
      <c r="K2320" t="inlineStr">
        <is>
          <t>No</t>
        </is>
      </c>
      <c r="L2320" t="inlineStr">
        <is>
          <t>0</t>
        </is>
      </c>
      <c r="M2320" t="inlineStr">
        <is>
          <t>Mosley, Oswald, 1896-1980.</t>
        </is>
      </c>
      <c r="N2320" t="inlineStr">
        <is>
          <t>London : Sanctuary Press, 1956.</t>
        </is>
      </c>
      <c r="O2320" t="inlineStr">
        <is>
          <t>1956</t>
        </is>
      </c>
      <c r="Q2320" t="inlineStr">
        <is>
          <t>eng</t>
        </is>
      </c>
      <c r="R2320" t="inlineStr">
        <is>
          <t>xxk</t>
        </is>
      </c>
      <c r="T2320" t="inlineStr">
        <is>
          <t xml:space="preserve">PR </t>
        </is>
      </c>
      <c r="U2320" t="n">
        <v>0</v>
      </c>
      <c r="V2320" t="n">
        <v>0</v>
      </c>
      <c r="W2320" t="inlineStr">
        <is>
          <t>2001-03-06</t>
        </is>
      </c>
      <c r="X2320" t="inlineStr">
        <is>
          <t>2001-03-06</t>
        </is>
      </c>
      <c r="Y2320" t="inlineStr">
        <is>
          <t>1998-07-14</t>
        </is>
      </c>
      <c r="Z2320" t="inlineStr">
        <is>
          <t>1998-07-14</t>
        </is>
      </c>
      <c r="AA2320" t="n">
        <v>11</v>
      </c>
      <c r="AB2320" t="n">
        <v>3</v>
      </c>
      <c r="AC2320" t="n">
        <v>6</v>
      </c>
      <c r="AD2320" t="n">
        <v>1</v>
      </c>
      <c r="AE2320" t="n">
        <v>1</v>
      </c>
      <c r="AF2320" t="n">
        <v>0</v>
      </c>
      <c r="AG2320" t="n">
        <v>0</v>
      </c>
      <c r="AH2320" t="n">
        <v>0</v>
      </c>
      <c r="AI2320" t="n">
        <v>0</v>
      </c>
      <c r="AJ2320" t="n">
        <v>0</v>
      </c>
      <c r="AK2320" t="n">
        <v>0</v>
      </c>
      <c r="AL2320" t="n">
        <v>0</v>
      </c>
      <c r="AM2320" t="n">
        <v>0</v>
      </c>
      <c r="AN2320" t="n">
        <v>0</v>
      </c>
      <c r="AO2320" t="n">
        <v>0</v>
      </c>
      <c r="AP2320" t="n">
        <v>0</v>
      </c>
      <c r="AQ2320" t="n">
        <v>0</v>
      </c>
      <c r="AR2320" t="inlineStr">
        <is>
          <t>No</t>
        </is>
      </c>
      <c r="AS2320" t="inlineStr">
        <is>
          <t>No</t>
        </is>
      </c>
      <c r="AU2320">
        <f>HYPERLINK("https://creighton-primo.hosted.exlibrisgroup.com/primo-explore/search?tab=default_tab&amp;search_scope=EVERYTHING&amp;vid=01CRU&amp;lang=en_US&amp;offset=0&amp;query=any,contains,991002326119702656","Catalog Record")</f>
        <v/>
      </c>
      <c r="AV2320">
        <f>HYPERLINK("http://www.worldcat.org/oclc/30201137","WorldCat Record")</f>
        <v/>
      </c>
      <c r="AW2320" t="inlineStr">
        <is>
          <t>287525499:eng</t>
        </is>
      </c>
      <c r="AX2320" t="inlineStr">
        <is>
          <t>30201137</t>
        </is>
      </c>
      <c r="AY2320" t="inlineStr">
        <is>
          <t>991002326119702656</t>
        </is>
      </c>
      <c r="AZ2320" t="inlineStr">
        <is>
          <t>991002326119702656</t>
        </is>
      </c>
      <c r="BA2320" t="inlineStr">
        <is>
          <t>2259107600002656</t>
        </is>
      </c>
      <c r="BB2320" t="inlineStr">
        <is>
          <t>BOOK</t>
        </is>
      </c>
      <c r="BE2320" t="inlineStr">
        <is>
          <t>32285003432001</t>
        </is>
      </c>
      <c r="BF2320" t="inlineStr">
        <is>
          <t>893529834</t>
        </is>
      </c>
    </row>
    <row r="2321">
      <c r="A2321" t="inlineStr">
        <is>
          <t>No</t>
        </is>
      </c>
      <c r="B2321" t="inlineStr">
        <is>
          <t>CURAL</t>
        </is>
      </c>
      <c r="C2321" t="inlineStr">
        <is>
          <t>SHELVES</t>
        </is>
      </c>
      <c r="D2321" t="inlineStr">
        <is>
          <t>PR5366 .R3 1952</t>
        </is>
      </c>
      <c r="E2321" t="inlineStr">
        <is>
          <t>0                      PR 5366000R  3           1952</t>
        </is>
      </c>
      <c r="F2321" t="inlineStr">
        <is>
          <t>Bernard Shaw, a chronicle / by Robert Fleming Rattray ; with photos. by Therese Bonney.</t>
        </is>
      </c>
      <c r="H2321" t="inlineStr">
        <is>
          <t>No</t>
        </is>
      </c>
      <c r="I2321" t="inlineStr">
        <is>
          <t>1</t>
        </is>
      </c>
      <c r="J2321" t="inlineStr">
        <is>
          <t>No</t>
        </is>
      </c>
      <c r="K2321" t="inlineStr">
        <is>
          <t>No</t>
        </is>
      </c>
      <c r="L2321" t="inlineStr">
        <is>
          <t>0</t>
        </is>
      </c>
      <c r="M2321" t="inlineStr">
        <is>
          <t>Rattray, R. F. (Robert Fleming), 1886-1967.</t>
        </is>
      </c>
      <c r="N2321" t="inlineStr">
        <is>
          <t>Luton, Leagrave Press; distributed by Dobson, London 1952 printing.</t>
        </is>
      </c>
      <c r="O2321" t="inlineStr">
        <is>
          <t>1951</t>
        </is>
      </c>
      <c r="Q2321" t="inlineStr">
        <is>
          <t>eng</t>
        </is>
      </c>
      <c r="R2321" t="inlineStr">
        <is>
          <t>enk</t>
        </is>
      </c>
      <c r="T2321" t="inlineStr">
        <is>
          <t xml:space="preserve">PR </t>
        </is>
      </c>
      <c r="U2321" t="n">
        <v>0</v>
      </c>
      <c r="V2321" t="n">
        <v>0</v>
      </c>
      <c r="W2321" t="inlineStr">
        <is>
          <t>2004-03-29</t>
        </is>
      </c>
      <c r="X2321" t="inlineStr">
        <is>
          <t>2004-03-29</t>
        </is>
      </c>
      <c r="Y2321" t="inlineStr">
        <is>
          <t>1992-01-17</t>
        </is>
      </c>
      <c r="Z2321" t="inlineStr">
        <is>
          <t>1992-01-17</t>
        </is>
      </c>
      <c r="AA2321" t="n">
        <v>202</v>
      </c>
      <c r="AB2321" t="n">
        <v>147</v>
      </c>
      <c r="AC2321" t="n">
        <v>318</v>
      </c>
      <c r="AD2321" t="n">
        <v>2</v>
      </c>
      <c r="AE2321" t="n">
        <v>4</v>
      </c>
      <c r="AF2321" t="n">
        <v>5</v>
      </c>
      <c r="AG2321" t="n">
        <v>13</v>
      </c>
      <c r="AH2321" t="n">
        <v>2</v>
      </c>
      <c r="AI2321" t="n">
        <v>3</v>
      </c>
      <c r="AJ2321" t="n">
        <v>1</v>
      </c>
      <c r="AK2321" t="n">
        <v>3</v>
      </c>
      <c r="AL2321" t="n">
        <v>4</v>
      </c>
      <c r="AM2321" t="n">
        <v>7</v>
      </c>
      <c r="AN2321" t="n">
        <v>1</v>
      </c>
      <c r="AO2321" t="n">
        <v>3</v>
      </c>
      <c r="AP2321" t="n">
        <v>0</v>
      </c>
      <c r="AQ2321" t="n">
        <v>1</v>
      </c>
      <c r="AR2321" t="inlineStr">
        <is>
          <t>No</t>
        </is>
      </c>
      <c r="AS2321" t="inlineStr">
        <is>
          <t>Yes</t>
        </is>
      </c>
      <c r="AT2321">
        <f>HYPERLINK("http://catalog.hathitrust.org/Record/001024431","HathiTrust Record")</f>
        <v/>
      </c>
      <c r="AU2321">
        <f>HYPERLINK("https://creighton-primo.hosted.exlibrisgroup.com/primo-explore/search?tab=default_tab&amp;search_scope=EVERYTHING&amp;vid=01CRU&amp;lang=en_US&amp;offset=0&amp;query=any,contains,991004200789702656","Catalog Record")</f>
        <v/>
      </c>
      <c r="AV2321">
        <f>HYPERLINK("http://www.worldcat.org/oclc/2652457","WorldCat Record")</f>
        <v/>
      </c>
      <c r="AW2321" t="inlineStr">
        <is>
          <t>6668287:eng</t>
        </is>
      </c>
      <c r="AX2321" t="inlineStr">
        <is>
          <t>2652457</t>
        </is>
      </c>
      <c r="AY2321" t="inlineStr">
        <is>
          <t>991004200789702656</t>
        </is>
      </c>
      <c r="AZ2321" t="inlineStr">
        <is>
          <t>991004200789702656</t>
        </is>
      </c>
      <c r="BA2321" t="inlineStr">
        <is>
          <t>2257633800002656</t>
        </is>
      </c>
      <c r="BB2321" t="inlineStr">
        <is>
          <t>BOOK</t>
        </is>
      </c>
      <c r="BE2321" t="inlineStr">
        <is>
          <t>32285000911031</t>
        </is>
      </c>
      <c r="BF2321" t="inlineStr">
        <is>
          <t>893325062</t>
        </is>
      </c>
    </row>
    <row r="2322">
      <c r="A2322" t="inlineStr">
        <is>
          <t>No</t>
        </is>
      </c>
      <c r="B2322" t="inlineStr">
        <is>
          <t>CURAL</t>
        </is>
      </c>
      <c r="C2322" t="inlineStr">
        <is>
          <t>SHELVES</t>
        </is>
      </c>
      <c r="D2322" t="inlineStr">
        <is>
          <t>PR5366 .W6</t>
        </is>
      </c>
      <c r="E2322" t="inlineStr">
        <is>
          <t>0                      PR 5366000W  6</t>
        </is>
      </c>
      <c r="F2322" t="inlineStr">
        <is>
          <t>George Bernard Shaw, creative artist / with a pref. by Harry T. Moore.</t>
        </is>
      </c>
      <c r="H2322" t="inlineStr">
        <is>
          <t>No</t>
        </is>
      </c>
      <c r="I2322" t="inlineStr">
        <is>
          <t>1</t>
        </is>
      </c>
      <c r="J2322" t="inlineStr">
        <is>
          <t>No</t>
        </is>
      </c>
      <c r="K2322" t="inlineStr">
        <is>
          <t>No</t>
        </is>
      </c>
      <c r="L2322" t="inlineStr">
        <is>
          <t>0</t>
        </is>
      </c>
      <c r="M2322" t="inlineStr">
        <is>
          <t>Woodbridge, Homer E. (Homer Edwards), 1882-1958.</t>
        </is>
      </c>
      <c r="N2322" t="inlineStr">
        <is>
          <t>Carbondale : Southern Illinois University Press, [1963]</t>
        </is>
      </c>
      <c r="O2322" t="inlineStr">
        <is>
          <t>1963</t>
        </is>
      </c>
      <c r="Q2322" t="inlineStr">
        <is>
          <t>eng</t>
        </is>
      </c>
      <c r="R2322" t="inlineStr">
        <is>
          <t>ilu</t>
        </is>
      </c>
      <c r="S2322" t="inlineStr">
        <is>
          <t>Crosscurrents/modern critiques</t>
        </is>
      </c>
      <c r="T2322" t="inlineStr">
        <is>
          <t xml:space="preserve">PR </t>
        </is>
      </c>
      <c r="U2322" t="n">
        <v>2</v>
      </c>
      <c r="V2322" t="n">
        <v>2</v>
      </c>
      <c r="W2322" t="inlineStr">
        <is>
          <t>1996-01-05</t>
        </is>
      </c>
      <c r="X2322" t="inlineStr">
        <is>
          <t>1996-01-05</t>
        </is>
      </c>
      <c r="Y2322" t="inlineStr">
        <is>
          <t>1992-01-16</t>
        </is>
      </c>
      <c r="Z2322" t="inlineStr">
        <is>
          <t>1992-01-16</t>
        </is>
      </c>
      <c r="AA2322" t="n">
        <v>898</v>
      </c>
      <c r="AB2322" t="n">
        <v>824</v>
      </c>
      <c r="AC2322" t="n">
        <v>882</v>
      </c>
      <c r="AD2322" t="n">
        <v>7</v>
      </c>
      <c r="AE2322" t="n">
        <v>7</v>
      </c>
      <c r="AF2322" t="n">
        <v>37</v>
      </c>
      <c r="AG2322" t="n">
        <v>40</v>
      </c>
      <c r="AH2322" t="n">
        <v>11</v>
      </c>
      <c r="AI2322" t="n">
        <v>13</v>
      </c>
      <c r="AJ2322" t="n">
        <v>8</v>
      </c>
      <c r="AK2322" t="n">
        <v>8</v>
      </c>
      <c r="AL2322" t="n">
        <v>20</v>
      </c>
      <c r="AM2322" t="n">
        <v>21</v>
      </c>
      <c r="AN2322" t="n">
        <v>6</v>
      </c>
      <c r="AO2322" t="n">
        <v>6</v>
      </c>
      <c r="AP2322" t="n">
        <v>0</v>
      </c>
      <c r="AQ2322" t="n">
        <v>0</v>
      </c>
      <c r="AR2322" t="inlineStr">
        <is>
          <t>Yes</t>
        </is>
      </c>
      <c r="AS2322" t="inlineStr">
        <is>
          <t>No</t>
        </is>
      </c>
      <c r="AT2322">
        <f>HYPERLINK("http://catalog.hathitrust.org/Record/001378228","HathiTrust Record")</f>
        <v/>
      </c>
      <c r="AU2322">
        <f>HYPERLINK("https://creighton-primo.hosted.exlibrisgroup.com/primo-explore/search?tab=default_tab&amp;search_scope=EVERYTHING&amp;vid=01CRU&amp;lang=en_US&amp;offset=0&amp;query=any,contains,991002487519702656","Catalog Record")</f>
        <v/>
      </c>
      <c r="AV2322">
        <f>HYPERLINK("http://www.worldcat.org/oclc/361492","WorldCat Record")</f>
        <v/>
      </c>
      <c r="AW2322" t="inlineStr">
        <is>
          <t>1414474:eng</t>
        </is>
      </c>
      <c r="AX2322" t="inlineStr">
        <is>
          <t>361492</t>
        </is>
      </c>
      <c r="AY2322" t="inlineStr">
        <is>
          <t>991002487519702656</t>
        </is>
      </c>
      <c r="AZ2322" t="inlineStr">
        <is>
          <t>991002487519702656</t>
        </is>
      </c>
      <c r="BA2322" t="inlineStr">
        <is>
          <t>2263252710002656</t>
        </is>
      </c>
      <c r="BB2322" t="inlineStr">
        <is>
          <t>BOOK</t>
        </is>
      </c>
      <c r="BE2322" t="inlineStr">
        <is>
          <t>32285000911114</t>
        </is>
      </c>
      <c r="BF2322" t="inlineStr">
        <is>
          <t>893597508</t>
        </is>
      </c>
    </row>
    <row r="2323">
      <c r="A2323" t="inlineStr">
        <is>
          <t>No</t>
        </is>
      </c>
      <c r="B2323" t="inlineStr">
        <is>
          <t>CURAL</t>
        </is>
      </c>
      <c r="C2323" t="inlineStr">
        <is>
          <t>SHELVES</t>
        </is>
      </c>
      <c r="D2323" t="inlineStr">
        <is>
          <t>PR5367 .B44</t>
        </is>
      </c>
      <c r="E2323" t="inlineStr">
        <is>
          <t>0                      PR 5367000B  44</t>
        </is>
      </c>
      <c r="F2323" t="inlineStr">
        <is>
          <t>Bernard Shaw and the art of drama / [by] Charles A. Berst.</t>
        </is>
      </c>
      <c r="H2323" t="inlineStr">
        <is>
          <t>No</t>
        </is>
      </c>
      <c r="I2323" t="inlineStr">
        <is>
          <t>1</t>
        </is>
      </c>
      <c r="J2323" t="inlineStr">
        <is>
          <t>No</t>
        </is>
      </c>
      <c r="K2323" t="inlineStr">
        <is>
          <t>No</t>
        </is>
      </c>
      <c r="L2323" t="inlineStr">
        <is>
          <t>0</t>
        </is>
      </c>
      <c r="M2323" t="inlineStr">
        <is>
          <t>Berst, Charles A.</t>
        </is>
      </c>
      <c r="N2323" t="inlineStr">
        <is>
          <t>Urbana : University of Illinois Press, [1973]</t>
        </is>
      </c>
      <c r="O2323" t="inlineStr">
        <is>
          <t>1973</t>
        </is>
      </c>
      <c r="Q2323" t="inlineStr">
        <is>
          <t>eng</t>
        </is>
      </c>
      <c r="R2323" t="inlineStr">
        <is>
          <t>ilu</t>
        </is>
      </c>
      <c r="T2323" t="inlineStr">
        <is>
          <t xml:space="preserve">PR </t>
        </is>
      </c>
      <c r="U2323" t="n">
        <v>2</v>
      </c>
      <c r="V2323" t="n">
        <v>2</v>
      </c>
      <c r="W2323" t="inlineStr">
        <is>
          <t>1994-04-10</t>
        </is>
      </c>
      <c r="X2323" t="inlineStr">
        <is>
          <t>1994-04-10</t>
        </is>
      </c>
      <c r="Y2323" t="inlineStr">
        <is>
          <t>1992-02-01</t>
        </is>
      </c>
      <c r="Z2323" t="inlineStr">
        <is>
          <t>1992-02-01</t>
        </is>
      </c>
      <c r="AA2323" t="n">
        <v>915</v>
      </c>
      <c r="AB2323" t="n">
        <v>756</v>
      </c>
      <c r="AC2323" t="n">
        <v>762</v>
      </c>
      <c r="AD2323" t="n">
        <v>4</v>
      </c>
      <c r="AE2323" t="n">
        <v>4</v>
      </c>
      <c r="AF2323" t="n">
        <v>41</v>
      </c>
      <c r="AG2323" t="n">
        <v>41</v>
      </c>
      <c r="AH2323" t="n">
        <v>19</v>
      </c>
      <c r="AI2323" t="n">
        <v>19</v>
      </c>
      <c r="AJ2323" t="n">
        <v>11</v>
      </c>
      <c r="AK2323" t="n">
        <v>11</v>
      </c>
      <c r="AL2323" t="n">
        <v>20</v>
      </c>
      <c r="AM2323" t="n">
        <v>20</v>
      </c>
      <c r="AN2323" t="n">
        <v>3</v>
      </c>
      <c r="AO2323" t="n">
        <v>3</v>
      </c>
      <c r="AP2323" t="n">
        <v>0</v>
      </c>
      <c r="AQ2323" t="n">
        <v>0</v>
      </c>
      <c r="AR2323" t="inlineStr">
        <is>
          <t>No</t>
        </is>
      </c>
      <c r="AS2323" t="inlineStr">
        <is>
          <t>Yes</t>
        </is>
      </c>
      <c r="AT2323">
        <f>HYPERLINK("http://catalog.hathitrust.org/Record/001373882","HathiTrust Record")</f>
        <v/>
      </c>
      <c r="AU2323">
        <f>HYPERLINK("https://creighton-primo.hosted.exlibrisgroup.com/primo-explore/search?tab=default_tab&amp;search_scope=EVERYTHING&amp;vid=01CRU&amp;lang=en_US&amp;offset=0&amp;query=any,contains,991003277859702656","Catalog Record")</f>
        <v/>
      </c>
      <c r="AV2323">
        <f>HYPERLINK("http://www.worldcat.org/oclc/801278","WorldCat Record")</f>
        <v/>
      </c>
      <c r="AW2323" t="inlineStr">
        <is>
          <t>420974:eng</t>
        </is>
      </c>
      <c r="AX2323" t="inlineStr">
        <is>
          <t>801278</t>
        </is>
      </c>
      <c r="AY2323" t="inlineStr">
        <is>
          <t>991003277859702656</t>
        </is>
      </c>
      <c r="AZ2323" t="inlineStr">
        <is>
          <t>991003277859702656</t>
        </is>
      </c>
      <c r="BA2323" t="inlineStr">
        <is>
          <t>2267520460002656</t>
        </is>
      </c>
      <c r="BB2323" t="inlineStr">
        <is>
          <t>BOOK</t>
        </is>
      </c>
      <c r="BD2323" t="inlineStr">
        <is>
          <t>9780252002588</t>
        </is>
      </c>
      <c r="BE2323" t="inlineStr">
        <is>
          <t>32285000931971</t>
        </is>
      </c>
      <c r="BF2323" t="inlineStr">
        <is>
          <t>893604610</t>
        </is>
      </c>
    </row>
    <row r="2324">
      <c r="A2324" t="inlineStr">
        <is>
          <t>No</t>
        </is>
      </c>
      <c r="B2324" t="inlineStr">
        <is>
          <t>CURAL</t>
        </is>
      </c>
      <c r="C2324" t="inlineStr">
        <is>
          <t>SHELVES</t>
        </is>
      </c>
      <c r="D2324" t="inlineStr">
        <is>
          <t>PR5367 .C3</t>
        </is>
      </c>
      <c r="E2324" t="inlineStr">
        <is>
          <t>0                      PR 5367000C  3</t>
        </is>
      </c>
      <c r="F2324" t="inlineStr">
        <is>
          <t>Bernard Shaw &amp; the art of destroying ideals : the early plays / [by] Charles A. Carpenter.</t>
        </is>
      </c>
      <c r="H2324" t="inlineStr">
        <is>
          <t>No</t>
        </is>
      </c>
      <c r="I2324" t="inlineStr">
        <is>
          <t>1</t>
        </is>
      </c>
      <c r="J2324" t="inlineStr">
        <is>
          <t>No</t>
        </is>
      </c>
      <c r="K2324" t="inlineStr">
        <is>
          <t>No</t>
        </is>
      </c>
      <c r="L2324" t="inlineStr">
        <is>
          <t>0</t>
        </is>
      </c>
      <c r="M2324" t="inlineStr">
        <is>
          <t>Carpenter, Charles A.</t>
        </is>
      </c>
      <c r="N2324" t="inlineStr">
        <is>
          <t>Madison : University of Wisconsin Press, 1969.</t>
        </is>
      </c>
      <c r="O2324" t="inlineStr">
        <is>
          <t>1969</t>
        </is>
      </c>
      <c r="Q2324" t="inlineStr">
        <is>
          <t>eng</t>
        </is>
      </c>
      <c r="R2324" t="inlineStr">
        <is>
          <t>wiu</t>
        </is>
      </c>
      <c r="T2324" t="inlineStr">
        <is>
          <t xml:space="preserve">PR </t>
        </is>
      </c>
      <c r="U2324" t="n">
        <v>3</v>
      </c>
      <c r="V2324" t="n">
        <v>3</v>
      </c>
      <c r="W2324" t="inlineStr">
        <is>
          <t>1995-02-19</t>
        </is>
      </c>
      <c r="X2324" t="inlineStr">
        <is>
          <t>1995-02-19</t>
        </is>
      </c>
      <c r="Y2324" t="inlineStr">
        <is>
          <t>1992-02-01</t>
        </is>
      </c>
      <c r="Z2324" t="inlineStr">
        <is>
          <t>1992-02-01</t>
        </is>
      </c>
      <c r="AA2324" t="n">
        <v>775</v>
      </c>
      <c r="AB2324" t="n">
        <v>656</v>
      </c>
      <c r="AC2324" t="n">
        <v>666</v>
      </c>
      <c r="AD2324" t="n">
        <v>5</v>
      </c>
      <c r="AE2324" t="n">
        <v>6</v>
      </c>
      <c r="AF2324" t="n">
        <v>28</v>
      </c>
      <c r="AG2324" t="n">
        <v>29</v>
      </c>
      <c r="AH2324" t="n">
        <v>9</v>
      </c>
      <c r="AI2324" t="n">
        <v>9</v>
      </c>
      <c r="AJ2324" t="n">
        <v>10</v>
      </c>
      <c r="AK2324" t="n">
        <v>10</v>
      </c>
      <c r="AL2324" t="n">
        <v>15</v>
      </c>
      <c r="AM2324" t="n">
        <v>15</v>
      </c>
      <c r="AN2324" t="n">
        <v>4</v>
      </c>
      <c r="AO2324" t="n">
        <v>5</v>
      </c>
      <c r="AP2324" t="n">
        <v>0</v>
      </c>
      <c r="AQ2324" t="n">
        <v>0</v>
      </c>
      <c r="AR2324" t="inlineStr">
        <is>
          <t>No</t>
        </is>
      </c>
      <c r="AS2324" t="inlineStr">
        <is>
          <t>Yes</t>
        </is>
      </c>
      <c r="AT2324">
        <f>HYPERLINK("http://catalog.hathitrust.org/Record/001024437","HathiTrust Record")</f>
        <v/>
      </c>
      <c r="AU2324">
        <f>HYPERLINK("https://creighton-primo.hosted.exlibrisgroup.com/primo-explore/search?tab=default_tab&amp;search_scope=EVERYTHING&amp;vid=01CRU&amp;lang=en_US&amp;offset=0&amp;query=any,contains,991000004619702656","Catalog Record")</f>
        <v/>
      </c>
      <c r="AV2324">
        <f>HYPERLINK("http://www.worldcat.org/oclc/12738","WorldCat Record")</f>
        <v/>
      </c>
      <c r="AW2324" t="inlineStr">
        <is>
          <t>1135609:eng</t>
        </is>
      </c>
      <c r="AX2324" t="inlineStr">
        <is>
          <t>12738</t>
        </is>
      </c>
      <c r="AY2324" t="inlineStr">
        <is>
          <t>991000004619702656</t>
        </is>
      </c>
      <c r="AZ2324" t="inlineStr">
        <is>
          <t>991000004619702656</t>
        </is>
      </c>
      <c r="BA2324" t="inlineStr">
        <is>
          <t>2264912350002656</t>
        </is>
      </c>
      <c r="BB2324" t="inlineStr">
        <is>
          <t>BOOK</t>
        </is>
      </c>
      <c r="BD2324" t="inlineStr">
        <is>
          <t>9780299053000</t>
        </is>
      </c>
      <c r="BE2324" t="inlineStr">
        <is>
          <t>32285000932003</t>
        </is>
      </c>
      <c r="BF2324" t="inlineStr">
        <is>
          <t>893345297</t>
        </is>
      </c>
    </row>
    <row r="2325">
      <c r="A2325" t="inlineStr">
        <is>
          <t>No</t>
        </is>
      </c>
      <c r="B2325" t="inlineStr">
        <is>
          <t>CURAL</t>
        </is>
      </c>
      <c r="C2325" t="inlineStr">
        <is>
          <t>SHELVES</t>
        </is>
      </c>
      <c r="D2325" t="inlineStr">
        <is>
          <t>PR5367 .C7</t>
        </is>
      </c>
      <c r="E2325" t="inlineStr">
        <is>
          <t>0                      PR 5367000C  7</t>
        </is>
      </c>
      <c r="F2325" t="inlineStr">
        <is>
          <t>Shaw the dramatist.</t>
        </is>
      </c>
      <c r="H2325" t="inlineStr">
        <is>
          <t>No</t>
        </is>
      </c>
      <c r="I2325" t="inlineStr">
        <is>
          <t>1</t>
        </is>
      </c>
      <c r="J2325" t="inlineStr">
        <is>
          <t>No</t>
        </is>
      </c>
      <c r="K2325" t="inlineStr">
        <is>
          <t>No</t>
        </is>
      </c>
      <c r="L2325" t="inlineStr">
        <is>
          <t>0</t>
        </is>
      </c>
      <c r="M2325" t="inlineStr">
        <is>
          <t>Crompton, Louis, 1925-2009.</t>
        </is>
      </c>
      <c r="N2325" t="inlineStr">
        <is>
          <t>Lincoln : University of Nebraska Press, [1969]</t>
        </is>
      </c>
      <c r="O2325" t="inlineStr">
        <is>
          <t>1969</t>
        </is>
      </c>
      <c r="Q2325" t="inlineStr">
        <is>
          <t>eng</t>
        </is>
      </c>
      <c r="R2325" t="inlineStr">
        <is>
          <t>nbu</t>
        </is>
      </c>
      <c r="T2325" t="inlineStr">
        <is>
          <t xml:space="preserve">PR </t>
        </is>
      </c>
      <c r="U2325" t="n">
        <v>2</v>
      </c>
      <c r="V2325" t="n">
        <v>2</v>
      </c>
      <c r="W2325" t="inlineStr">
        <is>
          <t>2001-02-20</t>
        </is>
      </c>
      <c r="X2325" t="inlineStr">
        <is>
          <t>2001-02-20</t>
        </is>
      </c>
      <c r="Y2325" t="inlineStr">
        <is>
          <t>1995-03-07</t>
        </is>
      </c>
      <c r="Z2325" t="inlineStr">
        <is>
          <t>1995-03-07</t>
        </is>
      </c>
      <c r="AA2325" t="n">
        <v>987</v>
      </c>
      <c r="AB2325" t="n">
        <v>874</v>
      </c>
      <c r="AC2325" t="n">
        <v>894</v>
      </c>
      <c r="AD2325" t="n">
        <v>15</v>
      </c>
      <c r="AE2325" t="n">
        <v>15</v>
      </c>
      <c r="AF2325" t="n">
        <v>44</v>
      </c>
      <c r="AG2325" t="n">
        <v>45</v>
      </c>
      <c r="AH2325" t="n">
        <v>18</v>
      </c>
      <c r="AI2325" t="n">
        <v>18</v>
      </c>
      <c r="AJ2325" t="n">
        <v>7</v>
      </c>
      <c r="AK2325" t="n">
        <v>7</v>
      </c>
      <c r="AL2325" t="n">
        <v>17</v>
      </c>
      <c r="AM2325" t="n">
        <v>18</v>
      </c>
      <c r="AN2325" t="n">
        <v>11</v>
      </c>
      <c r="AO2325" t="n">
        <v>11</v>
      </c>
      <c r="AP2325" t="n">
        <v>0</v>
      </c>
      <c r="AQ2325" t="n">
        <v>0</v>
      </c>
      <c r="AR2325" t="inlineStr">
        <is>
          <t>No</t>
        </is>
      </c>
      <c r="AS2325" t="inlineStr">
        <is>
          <t>Yes</t>
        </is>
      </c>
      <c r="AT2325">
        <f>HYPERLINK("http://catalog.hathitrust.org/Record/001024438","HathiTrust Record")</f>
        <v/>
      </c>
      <c r="AU2325">
        <f>HYPERLINK("https://creighton-primo.hosted.exlibrisgroup.com/primo-explore/search?tab=default_tab&amp;search_scope=EVERYTHING&amp;vid=01CRU&amp;lang=en_US&amp;offset=0&amp;query=any,contains,991005435939702656","Catalog Record")</f>
        <v/>
      </c>
      <c r="AV2325">
        <f>HYPERLINK("http://www.worldcat.org/oclc/4046","WorldCat Record")</f>
        <v/>
      </c>
      <c r="AW2325" t="inlineStr">
        <is>
          <t>334510457:eng</t>
        </is>
      </c>
      <c r="AX2325" t="inlineStr">
        <is>
          <t>4046</t>
        </is>
      </c>
      <c r="AY2325" t="inlineStr">
        <is>
          <t>991005435939702656</t>
        </is>
      </c>
      <c r="AZ2325" t="inlineStr">
        <is>
          <t>991005435939702656</t>
        </is>
      </c>
      <c r="BA2325" t="inlineStr">
        <is>
          <t>2266247590002656</t>
        </is>
      </c>
      <c r="BB2325" t="inlineStr">
        <is>
          <t>BOOK</t>
        </is>
      </c>
      <c r="BE2325" t="inlineStr">
        <is>
          <t>32285002011608</t>
        </is>
      </c>
      <c r="BF2325" t="inlineStr">
        <is>
          <t>893431509</t>
        </is>
      </c>
    </row>
    <row r="2326">
      <c r="A2326" t="inlineStr">
        <is>
          <t>No</t>
        </is>
      </c>
      <c r="B2326" t="inlineStr">
        <is>
          <t>CURAL</t>
        </is>
      </c>
      <c r="C2326" t="inlineStr">
        <is>
          <t>SHELVES</t>
        </is>
      </c>
      <c r="D2326" t="inlineStr">
        <is>
          <t>PR5367 .D84</t>
        </is>
      </c>
      <c r="E2326" t="inlineStr">
        <is>
          <t>0                      PR 5367000D  84</t>
        </is>
      </c>
      <c r="F2326" t="inlineStr">
        <is>
          <t>Bernard Shaw, playwright : aspects of Shavian drama / [by] Bernard F. Dukore.</t>
        </is>
      </c>
      <c r="H2326" t="inlineStr">
        <is>
          <t>No</t>
        </is>
      </c>
      <c r="I2326" t="inlineStr">
        <is>
          <t>1</t>
        </is>
      </c>
      <c r="J2326" t="inlineStr">
        <is>
          <t>No</t>
        </is>
      </c>
      <c r="K2326" t="inlineStr">
        <is>
          <t>No</t>
        </is>
      </c>
      <c r="L2326" t="inlineStr">
        <is>
          <t>0</t>
        </is>
      </c>
      <c r="M2326" t="inlineStr">
        <is>
          <t>Dukore, Bernard F., 1931-</t>
        </is>
      </c>
      <c r="N2326" t="inlineStr">
        <is>
          <t>Columbia : University of Missouri Press, [1973]</t>
        </is>
      </c>
      <c r="O2326" t="inlineStr">
        <is>
          <t>1973</t>
        </is>
      </c>
      <c r="Q2326" t="inlineStr">
        <is>
          <t>eng</t>
        </is>
      </c>
      <c r="R2326" t="inlineStr">
        <is>
          <t>mou</t>
        </is>
      </c>
      <c r="T2326" t="inlineStr">
        <is>
          <t xml:space="preserve">PR </t>
        </is>
      </c>
      <c r="U2326" t="n">
        <v>3</v>
      </c>
      <c r="V2326" t="n">
        <v>3</v>
      </c>
      <c r="W2326" t="inlineStr">
        <is>
          <t>1996-01-05</t>
        </is>
      </c>
      <c r="X2326" t="inlineStr">
        <is>
          <t>1996-01-05</t>
        </is>
      </c>
      <c r="Y2326" t="inlineStr">
        <is>
          <t>1992-02-01</t>
        </is>
      </c>
      <c r="Z2326" t="inlineStr">
        <is>
          <t>1992-02-01</t>
        </is>
      </c>
      <c r="AA2326" t="n">
        <v>816</v>
      </c>
      <c r="AB2326" t="n">
        <v>675</v>
      </c>
      <c r="AC2326" t="n">
        <v>682</v>
      </c>
      <c r="AD2326" t="n">
        <v>6</v>
      </c>
      <c r="AE2326" t="n">
        <v>6</v>
      </c>
      <c r="AF2326" t="n">
        <v>35</v>
      </c>
      <c r="AG2326" t="n">
        <v>35</v>
      </c>
      <c r="AH2326" t="n">
        <v>14</v>
      </c>
      <c r="AI2326" t="n">
        <v>14</v>
      </c>
      <c r="AJ2326" t="n">
        <v>9</v>
      </c>
      <c r="AK2326" t="n">
        <v>9</v>
      </c>
      <c r="AL2326" t="n">
        <v>18</v>
      </c>
      <c r="AM2326" t="n">
        <v>18</v>
      </c>
      <c r="AN2326" t="n">
        <v>5</v>
      </c>
      <c r="AO2326" t="n">
        <v>5</v>
      </c>
      <c r="AP2326" t="n">
        <v>0</v>
      </c>
      <c r="AQ2326" t="n">
        <v>0</v>
      </c>
      <c r="AR2326" t="inlineStr">
        <is>
          <t>No</t>
        </is>
      </c>
      <c r="AS2326" t="inlineStr">
        <is>
          <t>Yes</t>
        </is>
      </c>
      <c r="AT2326">
        <f>HYPERLINK("http://catalog.hathitrust.org/Record/001373891","HathiTrust Record")</f>
        <v/>
      </c>
      <c r="AU2326">
        <f>HYPERLINK("https://creighton-primo.hosted.exlibrisgroup.com/primo-explore/search?tab=default_tab&amp;search_scope=EVERYTHING&amp;vid=01CRU&amp;lang=en_US&amp;offset=0&amp;query=any,contains,991003272049702656","Catalog Record")</f>
        <v/>
      </c>
      <c r="AV2326">
        <f>HYPERLINK("http://www.worldcat.org/oclc/797661","WorldCat Record")</f>
        <v/>
      </c>
      <c r="AW2326" t="inlineStr">
        <is>
          <t>909680798:eng</t>
        </is>
      </c>
      <c r="AX2326" t="inlineStr">
        <is>
          <t>797661</t>
        </is>
      </c>
      <c r="AY2326" t="inlineStr">
        <is>
          <t>991003272049702656</t>
        </is>
      </c>
      <c r="AZ2326" t="inlineStr">
        <is>
          <t>991003272049702656</t>
        </is>
      </c>
      <c r="BA2326" t="inlineStr">
        <is>
          <t>2258312410002656</t>
        </is>
      </c>
      <c r="BB2326" t="inlineStr">
        <is>
          <t>BOOK</t>
        </is>
      </c>
      <c r="BD2326" t="inlineStr">
        <is>
          <t>9780826201461</t>
        </is>
      </c>
      <c r="BE2326" t="inlineStr">
        <is>
          <t>32285000932029</t>
        </is>
      </c>
      <c r="BF2326" t="inlineStr">
        <is>
          <t>893893557</t>
        </is>
      </c>
    </row>
    <row r="2327">
      <c r="A2327" t="inlineStr">
        <is>
          <t>No</t>
        </is>
      </c>
      <c r="B2327" t="inlineStr">
        <is>
          <t>CURAL</t>
        </is>
      </c>
      <c r="C2327" t="inlineStr">
        <is>
          <t>SHELVES</t>
        </is>
      </c>
      <c r="D2327" t="inlineStr">
        <is>
          <t>PR5367 .G48 1983</t>
        </is>
      </c>
      <c r="E2327" t="inlineStr">
        <is>
          <t>0                      PR 5367000G  48          1983</t>
        </is>
      </c>
      <c r="F2327" t="inlineStr">
        <is>
          <t>The art and mind of Shaw : essays in criticism / A.M. Gibbs.</t>
        </is>
      </c>
      <c r="H2327" t="inlineStr">
        <is>
          <t>No</t>
        </is>
      </c>
      <c r="I2327" t="inlineStr">
        <is>
          <t>1</t>
        </is>
      </c>
      <c r="J2327" t="inlineStr">
        <is>
          <t>No</t>
        </is>
      </c>
      <c r="K2327" t="inlineStr">
        <is>
          <t>No</t>
        </is>
      </c>
      <c r="L2327" t="inlineStr">
        <is>
          <t>0</t>
        </is>
      </c>
      <c r="M2327" t="inlineStr">
        <is>
          <t>Gibbs, A. M. (Anthony Matthews), 1933-</t>
        </is>
      </c>
      <c r="N2327" t="inlineStr">
        <is>
          <t>New York : St. Martin's Press, 1983.</t>
        </is>
      </c>
      <c r="O2327" t="inlineStr">
        <is>
          <t>1983</t>
        </is>
      </c>
      <c r="Q2327" t="inlineStr">
        <is>
          <t>eng</t>
        </is>
      </c>
      <c r="R2327" t="inlineStr">
        <is>
          <t>nyu</t>
        </is>
      </c>
      <c r="T2327" t="inlineStr">
        <is>
          <t xml:space="preserve">PR </t>
        </is>
      </c>
      <c r="U2327" t="n">
        <v>3</v>
      </c>
      <c r="V2327" t="n">
        <v>3</v>
      </c>
      <c r="W2327" t="inlineStr">
        <is>
          <t>1993-04-19</t>
        </is>
      </c>
      <c r="X2327" t="inlineStr">
        <is>
          <t>1993-04-19</t>
        </is>
      </c>
      <c r="Y2327" t="inlineStr">
        <is>
          <t>1992-02-01</t>
        </is>
      </c>
      <c r="Z2327" t="inlineStr">
        <is>
          <t>1992-02-01</t>
        </is>
      </c>
      <c r="AA2327" t="n">
        <v>437</v>
      </c>
      <c r="AB2327" t="n">
        <v>402</v>
      </c>
      <c r="AC2327" t="n">
        <v>472</v>
      </c>
      <c r="AD2327" t="n">
        <v>6</v>
      </c>
      <c r="AE2327" t="n">
        <v>7</v>
      </c>
      <c r="AF2327" t="n">
        <v>24</v>
      </c>
      <c r="AG2327" t="n">
        <v>28</v>
      </c>
      <c r="AH2327" t="n">
        <v>9</v>
      </c>
      <c r="AI2327" t="n">
        <v>10</v>
      </c>
      <c r="AJ2327" t="n">
        <v>5</v>
      </c>
      <c r="AK2327" t="n">
        <v>6</v>
      </c>
      <c r="AL2327" t="n">
        <v>13</v>
      </c>
      <c r="AM2327" t="n">
        <v>15</v>
      </c>
      <c r="AN2327" t="n">
        <v>5</v>
      </c>
      <c r="AO2327" t="n">
        <v>6</v>
      </c>
      <c r="AP2327" t="n">
        <v>0</v>
      </c>
      <c r="AQ2327" t="n">
        <v>0</v>
      </c>
      <c r="AR2327" t="inlineStr">
        <is>
          <t>No</t>
        </is>
      </c>
      <c r="AS2327" t="inlineStr">
        <is>
          <t>No</t>
        </is>
      </c>
      <c r="AU2327">
        <f>HYPERLINK("https://creighton-primo.hosted.exlibrisgroup.com/primo-explore/search?tab=default_tab&amp;search_scope=EVERYTHING&amp;vid=01CRU&amp;lang=en_US&amp;offset=0&amp;query=any,contains,991000096599702656","Catalog Record")</f>
        <v/>
      </c>
      <c r="AV2327">
        <f>HYPERLINK("http://www.worldcat.org/oclc/8929370","WorldCat Record")</f>
        <v/>
      </c>
      <c r="AW2327" t="inlineStr">
        <is>
          <t>3567549:eng</t>
        </is>
      </c>
      <c r="AX2327" t="inlineStr">
        <is>
          <t>8929370</t>
        </is>
      </c>
      <c r="AY2327" t="inlineStr">
        <is>
          <t>991000096599702656</t>
        </is>
      </c>
      <c r="AZ2327" t="inlineStr">
        <is>
          <t>991000096599702656</t>
        </is>
      </c>
      <c r="BA2327" t="inlineStr">
        <is>
          <t>2265897100002656</t>
        </is>
      </c>
      <c r="BB2327" t="inlineStr">
        <is>
          <t>BOOK</t>
        </is>
      </c>
      <c r="BD2327" t="inlineStr">
        <is>
          <t>9780312049928</t>
        </is>
      </c>
      <c r="BE2327" t="inlineStr">
        <is>
          <t>32285000932052</t>
        </is>
      </c>
      <c r="BF2327" t="inlineStr">
        <is>
          <t>893896613</t>
        </is>
      </c>
    </row>
    <row r="2328">
      <c r="A2328" t="inlineStr">
        <is>
          <t>No</t>
        </is>
      </c>
      <c r="B2328" t="inlineStr">
        <is>
          <t>CURAL</t>
        </is>
      </c>
      <c r="C2328" t="inlineStr">
        <is>
          <t>SHELVES</t>
        </is>
      </c>
      <c r="D2328" t="inlineStr">
        <is>
          <t>PR5367 .G73 1984</t>
        </is>
      </c>
      <c r="E2328" t="inlineStr">
        <is>
          <t>0                      PR 5367000G  73          1984</t>
        </is>
      </c>
      <c r="F2328" t="inlineStr">
        <is>
          <t>Bernard Shaw, a critical view / Nicholas Grene.</t>
        </is>
      </c>
      <c r="H2328" t="inlineStr">
        <is>
          <t>No</t>
        </is>
      </c>
      <c r="I2328" t="inlineStr">
        <is>
          <t>1</t>
        </is>
      </c>
      <c r="J2328" t="inlineStr">
        <is>
          <t>No</t>
        </is>
      </c>
      <c r="K2328" t="inlineStr">
        <is>
          <t>No</t>
        </is>
      </c>
      <c r="L2328" t="inlineStr">
        <is>
          <t>0</t>
        </is>
      </c>
      <c r="M2328" t="inlineStr">
        <is>
          <t>Grene, Nicholas.</t>
        </is>
      </c>
      <c r="N2328" t="inlineStr">
        <is>
          <t>New York : St. Martin's Press, 1984.</t>
        </is>
      </c>
      <c r="O2328" t="inlineStr">
        <is>
          <t>1984</t>
        </is>
      </c>
      <c r="Q2328" t="inlineStr">
        <is>
          <t>eng</t>
        </is>
      </c>
      <c r="R2328" t="inlineStr">
        <is>
          <t>nyu</t>
        </is>
      </c>
      <c r="T2328" t="inlineStr">
        <is>
          <t xml:space="preserve">PR </t>
        </is>
      </c>
      <c r="U2328" t="n">
        <v>4</v>
      </c>
      <c r="V2328" t="n">
        <v>4</v>
      </c>
      <c r="W2328" t="inlineStr">
        <is>
          <t>1996-01-05</t>
        </is>
      </c>
      <c r="X2328" t="inlineStr">
        <is>
          <t>1996-01-05</t>
        </is>
      </c>
      <c r="Y2328" t="inlineStr">
        <is>
          <t>1992-02-01</t>
        </is>
      </c>
      <c r="Z2328" t="inlineStr">
        <is>
          <t>1992-02-01</t>
        </is>
      </c>
      <c r="AA2328" t="n">
        <v>327</v>
      </c>
      <c r="AB2328" t="n">
        <v>289</v>
      </c>
      <c r="AC2328" t="n">
        <v>370</v>
      </c>
      <c r="AD2328" t="n">
        <v>2</v>
      </c>
      <c r="AE2328" t="n">
        <v>4</v>
      </c>
      <c r="AF2328" t="n">
        <v>14</v>
      </c>
      <c r="AG2328" t="n">
        <v>20</v>
      </c>
      <c r="AH2328" t="n">
        <v>8</v>
      </c>
      <c r="AI2328" t="n">
        <v>9</v>
      </c>
      <c r="AJ2328" t="n">
        <v>2</v>
      </c>
      <c r="AK2328" t="n">
        <v>4</v>
      </c>
      <c r="AL2328" t="n">
        <v>9</v>
      </c>
      <c r="AM2328" t="n">
        <v>12</v>
      </c>
      <c r="AN2328" t="n">
        <v>0</v>
      </c>
      <c r="AO2328" t="n">
        <v>2</v>
      </c>
      <c r="AP2328" t="n">
        <v>0</v>
      </c>
      <c r="AQ2328" t="n">
        <v>0</v>
      </c>
      <c r="AR2328" t="inlineStr">
        <is>
          <t>No</t>
        </is>
      </c>
      <c r="AS2328" t="inlineStr">
        <is>
          <t>No</t>
        </is>
      </c>
      <c r="AU2328">
        <f>HYPERLINK("https://creighton-primo.hosted.exlibrisgroup.com/primo-explore/search?tab=default_tab&amp;search_scope=EVERYTHING&amp;vid=01CRU&amp;lang=en_US&amp;offset=0&amp;query=any,contains,991000329239702656","Catalog Record")</f>
        <v/>
      </c>
      <c r="AV2328">
        <f>HYPERLINK("http://www.worldcat.org/oclc/10185514","WorldCat Record")</f>
        <v/>
      </c>
      <c r="AW2328" t="inlineStr">
        <is>
          <t>3486289:eng</t>
        </is>
      </c>
      <c r="AX2328" t="inlineStr">
        <is>
          <t>10185514</t>
        </is>
      </c>
      <c r="AY2328" t="inlineStr">
        <is>
          <t>991000329239702656</t>
        </is>
      </c>
      <c r="AZ2328" t="inlineStr">
        <is>
          <t>991000329239702656</t>
        </is>
      </c>
      <c r="BA2328" t="inlineStr">
        <is>
          <t>2267737960002656</t>
        </is>
      </c>
      <c r="BB2328" t="inlineStr">
        <is>
          <t>BOOK</t>
        </is>
      </c>
      <c r="BD2328" t="inlineStr">
        <is>
          <t>9780312076610</t>
        </is>
      </c>
      <c r="BE2328" t="inlineStr">
        <is>
          <t>32285000932060</t>
        </is>
      </c>
      <c r="BF2328" t="inlineStr">
        <is>
          <t>893515187</t>
        </is>
      </c>
    </row>
    <row r="2329">
      <c r="A2329" t="inlineStr">
        <is>
          <t>No</t>
        </is>
      </c>
      <c r="B2329" t="inlineStr">
        <is>
          <t>CURAL</t>
        </is>
      </c>
      <c r="C2329" t="inlineStr">
        <is>
          <t>SHELVES</t>
        </is>
      </c>
      <c r="D2329" t="inlineStr">
        <is>
          <t>PR5367 .H5 1978</t>
        </is>
      </c>
      <c r="E2329" t="inlineStr">
        <is>
          <t>0                      PR 5367000H  5           1978</t>
        </is>
      </c>
      <c r="F2329" t="inlineStr">
        <is>
          <t>George Bernard Shaw / by Eldon C. Hill.</t>
        </is>
      </c>
      <c r="H2329" t="inlineStr">
        <is>
          <t>No</t>
        </is>
      </c>
      <c r="I2329" t="inlineStr">
        <is>
          <t>1</t>
        </is>
      </c>
      <c r="J2329" t="inlineStr">
        <is>
          <t>No</t>
        </is>
      </c>
      <c r="K2329" t="inlineStr">
        <is>
          <t>No</t>
        </is>
      </c>
      <c r="L2329" t="inlineStr">
        <is>
          <t>0</t>
        </is>
      </c>
      <c r="M2329" t="inlineStr">
        <is>
          <t>Hill, Eldon C. (Eldon Cleon), 1906-1987.</t>
        </is>
      </c>
      <c r="N2329" t="inlineStr">
        <is>
          <t>Boston : Twayne Publishers, c1978.</t>
        </is>
      </c>
      <c r="O2329" t="inlineStr">
        <is>
          <t>1978</t>
        </is>
      </c>
      <c r="Q2329" t="inlineStr">
        <is>
          <t>eng</t>
        </is>
      </c>
      <c r="R2329" t="inlineStr">
        <is>
          <t>mau</t>
        </is>
      </c>
      <c r="S2329" t="inlineStr">
        <is>
          <t>Twayne's English authors series ; TEAS 236</t>
        </is>
      </c>
      <c r="T2329" t="inlineStr">
        <is>
          <t xml:space="preserve">PR </t>
        </is>
      </c>
      <c r="U2329" t="n">
        <v>3</v>
      </c>
      <c r="V2329" t="n">
        <v>3</v>
      </c>
      <c r="W2329" t="inlineStr">
        <is>
          <t>1996-01-05</t>
        </is>
      </c>
      <c r="X2329" t="inlineStr">
        <is>
          <t>1996-01-05</t>
        </is>
      </c>
      <c r="Y2329" t="inlineStr">
        <is>
          <t>1992-02-01</t>
        </is>
      </c>
      <c r="Z2329" t="inlineStr">
        <is>
          <t>1992-02-01</t>
        </is>
      </c>
      <c r="AA2329" t="n">
        <v>1301</v>
      </c>
      <c r="AB2329" t="n">
        <v>1164</v>
      </c>
      <c r="AC2329" t="n">
        <v>1255</v>
      </c>
      <c r="AD2329" t="n">
        <v>12</v>
      </c>
      <c r="AE2329" t="n">
        <v>12</v>
      </c>
      <c r="AF2329" t="n">
        <v>44</v>
      </c>
      <c r="AG2329" t="n">
        <v>46</v>
      </c>
      <c r="AH2329" t="n">
        <v>18</v>
      </c>
      <c r="AI2329" t="n">
        <v>19</v>
      </c>
      <c r="AJ2329" t="n">
        <v>9</v>
      </c>
      <c r="AK2329" t="n">
        <v>9</v>
      </c>
      <c r="AL2329" t="n">
        <v>18</v>
      </c>
      <c r="AM2329" t="n">
        <v>19</v>
      </c>
      <c r="AN2329" t="n">
        <v>9</v>
      </c>
      <c r="AO2329" t="n">
        <v>9</v>
      </c>
      <c r="AP2329" t="n">
        <v>0</v>
      </c>
      <c r="AQ2329" t="n">
        <v>0</v>
      </c>
      <c r="AR2329" t="inlineStr">
        <is>
          <t>No</t>
        </is>
      </c>
      <c r="AS2329" t="inlineStr">
        <is>
          <t>No</t>
        </is>
      </c>
      <c r="AU2329">
        <f>HYPERLINK("https://creighton-primo.hosted.exlibrisgroup.com/primo-explore/search?tab=default_tab&amp;search_scope=EVERYTHING&amp;vid=01CRU&amp;lang=en_US&amp;offset=0&amp;query=any,contains,991004453929702656","Catalog Record")</f>
        <v/>
      </c>
      <c r="AV2329">
        <f>HYPERLINK("http://www.worldcat.org/oclc/3516951","WorldCat Record")</f>
        <v/>
      </c>
      <c r="AW2329" t="inlineStr">
        <is>
          <t>461550:eng</t>
        </is>
      </c>
      <c r="AX2329" t="inlineStr">
        <is>
          <t>3516951</t>
        </is>
      </c>
      <c r="AY2329" t="inlineStr">
        <is>
          <t>991004453929702656</t>
        </is>
      </c>
      <c r="AZ2329" t="inlineStr">
        <is>
          <t>991004453929702656</t>
        </is>
      </c>
      <c r="BA2329" t="inlineStr">
        <is>
          <t>2272374920002656</t>
        </is>
      </c>
      <c r="BB2329" t="inlineStr">
        <is>
          <t>BOOK</t>
        </is>
      </c>
      <c r="BD2329" t="inlineStr">
        <is>
          <t>9780805767094</t>
        </is>
      </c>
      <c r="BE2329" t="inlineStr">
        <is>
          <t>32285000932086</t>
        </is>
      </c>
      <c r="BF2329" t="inlineStr">
        <is>
          <t>893411562</t>
        </is>
      </c>
    </row>
    <row r="2330">
      <c r="A2330" t="inlineStr">
        <is>
          <t>No</t>
        </is>
      </c>
      <c r="B2330" t="inlineStr">
        <is>
          <t>CURAL</t>
        </is>
      </c>
      <c r="C2330" t="inlineStr">
        <is>
          <t>SHELVES</t>
        </is>
      </c>
      <c r="D2330" t="inlineStr">
        <is>
          <t>PR5367 .M4</t>
        </is>
      </c>
      <c r="E2330" t="inlineStr">
        <is>
          <t>0                      PR 5367000M  4</t>
        </is>
      </c>
      <c r="F2330" t="inlineStr">
        <is>
          <t>George Bernard Shaw : his plays / by Henry L. Mencken.</t>
        </is>
      </c>
      <c r="H2330" t="inlineStr">
        <is>
          <t>No</t>
        </is>
      </c>
      <c r="I2330" t="inlineStr">
        <is>
          <t>1</t>
        </is>
      </c>
      <c r="J2330" t="inlineStr">
        <is>
          <t>No</t>
        </is>
      </c>
      <c r="K2330" t="inlineStr">
        <is>
          <t>No</t>
        </is>
      </c>
      <c r="L2330" t="inlineStr">
        <is>
          <t>0</t>
        </is>
      </c>
      <c r="M2330" t="inlineStr">
        <is>
          <t>Mencken, H. L. (Henry Louis), 1880-1956.</t>
        </is>
      </c>
      <c r="N2330" t="inlineStr">
        <is>
          <t>[s.l.] : Folcroft Library Editions, 1971.</t>
        </is>
      </c>
      <c r="O2330" t="inlineStr">
        <is>
          <t>1971</t>
        </is>
      </c>
      <c r="Q2330" t="inlineStr">
        <is>
          <t>eng</t>
        </is>
      </c>
      <c r="R2330" t="inlineStr">
        <is>
          <t xml:space="preserve">xx </t>
        </is>
      </c>
      <c r="T2330" t="inlineStr">
        <is>
          <t xml:space="preserve">PR </t>
        </is>
      </c>
      <c r="U2330" t="n">
        <v>1</v>
      </c>
      <c r="V2330" t="n">
        <v>1</v>
      </c>
      <c r="W2330" t="inlineStr">
        <is>
          <t>2003-01-26</t>
        </is>
      </c>
      <c r="X2330" t="inlineStr">
        <is>
          <t>2003-01-26</t>
        </is>
      </c>
      <c r="Y2330" t="inlineStr">
        <is>
          <t>1990-04-10</t>
        </is>
      </c>
      <c r="Z2330" t="inlineStr">
        <is>
          <t>1990-04-10</t>
        </is>
      </c>
      <c r="AA2330" t="n">
        <v>39</v>
      </c>
      <c r="AB2330" t="n">
        <v>37</v>
      </c>
      <c r="AC2330" t="n">
        <v>658</v>
      </c>
      <c r="AD2330" t="n">
        <v>1</v>
      </c>
      <c r="AE2330" t="n">
        <v>6</v>
      </c>
      <c r="AF2330" t="n">
        <v>1</v>
      </c>
      <c r="AG2330" t="n">
        <v>30</v>
      </c>
      <c r="AH2330" t="n">
        <v>0</v>
      </c>
      <c r="AI2330" t="n">
        <v>11</v>
      </c>
      <c r="AJ2330" t="n">
        <v>0</v>
      </c>
      <c r="AK2330" t="n">
        <v>6</v>
      </c>
      <c r="AL2330" t="n">
        <v>1</v>
      </c>
      <c r="AM2330" t="n">
        <v>14</v>
      </c>
      <c r="AN2330" t="n">
        <v>0</v>
      </c>
      <c r="AO2330" t="n">
        <v>5</v>
      </c>
      <c r="AP2330" t="n">
        <v>0</v>
      </c>
      <c r="AQ2330" t="n">
        <v>0</v>
      </c>
      <c r="AR2330" t="inlineStr">
        <is>
          <t>No</t>
        </is>
      </c>
      <c r="AS2330" t="inlineStr">
        <is>
          <t>No</t>
        </is>
      </c>
      <c r="AU2330">
        <f>HYPERLINK("https://creighton-primo.hosted.exlibrisgroup.com/primo-explore/search?tab=default_tab&amp;search_scope=EVERYTHING&amp;vid=01CRU&amp;lang=en_US&amp;offset=0&amp;query=any,contains,991004418259702656","Catalog Record")</f>
        <v/>
      </c>
      <c r="AV2330">
        <f>HYPERLINK("http://www.worldcat.org/oclc/3373358","WorldCat Record")</f>
        <v/>
      </c>
      <c r="AW2330" t="inlineStr">
        <is>
          <t>1131741:eng</t>
        </is>
      </c>
      <c r="AX2330" t="inlineStr">
        <is>
          <t>3373358</t>
        </is>
      </c>
      <c r="AY2330" t="inlineStr">
        <is>
          <t>991004418259702656</t>
        </is>
      </c>
      <c r="AZ2330" t="inlineStr">
        <is>
          <t>991004418259702656</t>
        </is>
      </c>
      <c r="BA2330" t="inlineStr">
        <is>
          <t>2259672370002656</t>
        </is>
      </c>
      <c r="BB2330" t="inlineStr">
        <is>
          <t>BOOK</t>
        </is>
      </c>
      <c r="BE2330" t="inlineStr">
        <is>
          <t>32285000082197</t>
        </is>
      </c>
      <c r="BF2330" t="inlineStr">
        <is>
          <t>893337704</t>
        </is>
      </c>
    </row>
    <row r="2331">
      <c r="A2331" t="inlineStr">
        <is>
          <t>No</t>
        </is>
      </c>
      <c r="B2331" t="inlineStr">
        <is>
          <t>CURAL</t>
        </is>
      </c>
      <c r="C2331" t="inlineStr">
        <is>
          <t>SHELVES</t>
        </is>
      </c>
      <c r="D2331" t="inlineStr">
        <is>
          <t>PR5367 .M6</t>
        </is>
      </c>
      <c r="E2331" t="inlineStr">
        <is>
          <t>0                      PR 5367000M  6</t>
        </is>
      </c>
      <c r="F2331" t="inlineStr">
        <is>
          <t>The Shavian playground : an exploration of the art of George Bernard Shaw / [by] Margery M. Morgan.</t>
        </is>
      </c>
      <c r="H2331" t="inlineStr">
        <is>
          <t>No</t>
        </is>
      </c>
      <c r="I2331" t="inlineStr">
        <is>
          <t>1</t>
        </is>
      </c>
      <c r="J2331" t="inlineStr">
        <is>
          <t>No</t>
        </is>
      </c>
      <c r="K2331" t="inlineStr">
        <is>
          <t>No</t>
        </is>
      </c>
      <c r="L2331" t="inlineStr">
        <is>
          <t>0</t>
        </is>
      </c>
      <c r="M2331" t="inlineStr">
        <is>
          <t>Morgan, Margery M.</t>
        </is>
      </c>
      <c r="N2331" t="inlineStr">
        <is>
          <t>London : Methuen, 1972.</t>
        </is>
      </c>
      <c r="O2331" t="inlineStr">
        <is>
          <t>1972</t>
        </is>
      </c>
      <c r="Q2331" t="inlineStr">
        <is>
          <t>eng</t>
        </is>
      </c>
      <c r="R2331" t="inlineStr">
        <is>
          <t>enk</t>
        </is>
      </c>
      <c r="T2331" t="inlineStr">
        <is>
          <t xml:space="preserve">PR </t>
        </is>
      </c>
      <c r="U2331" t="n">
        <v>3</v>
      </c>
      <c r="V2331" t="n">
        <v>3</v>
      </c>
      <c r="W2331" t="inlineStr">
        <is>
          <t>1996-01-05</t>
        </is>
      </c>
      <c r="X2331" t="inlineStr">
        <is>
          <t>1996-01-05</t>
        </is>
      </c>
      <c r="Y2331" t="inlineStr">
        <is>
          <t>1992-02-01</t>
        </is>
      </c>
      <c r="Z2331" t="inlineStr">
        <is>
          <t>1992-02-01</t>
        </is>
      </c>
      <c r="AA2331" t="n">
        <v>687</v>
      </c>
      <c r="AB2331" t="n">
        <v>457</v>
      </c>
      <c r="AC2331" t="n">
        <v>457</v>
      </c>
      <c r="AD2331" t="n">
        <v>5</v>
      </c>
      <c r="AE2331" t="n">
        <v>5</v>
      </c>
      <c r="AF2331" t="n">
        <v>25</v>
      </c>
      <c r="AG2331" t="n">
        <v>25</v>
      </c>
      <c r="AH2331" t="n">
        <v>7</v>
      </c>
      <c r="AI2331" t="n">
        <v>7</v>
      </c>
      <c r="AJ2331" t="n">
        <v>7</v>
      </c>
      <c r="AK2331" t="n">
        <v>7</v>
      </c>
      <c r="AL2331" t="n">
        <v>13</v>
      </c>
      <c r="AM2331" t="n">
        <v>13</v>
      </c>
      <c r="AN2331" t="n">
        <v>4</v>
      </c>
      <c r="AO2331" t="n">
        <v>4</v>
      </c>
      <c r="AP2331" t="n">
        <v>0</v>
      </c>
      <c r="AQ2331" t="n">
        <v>0</v>
      </c>
      <c r="AR2331" t="inlineStr">
        <is>
          <t>No</t>
        </is>
      </c>
      <c r="AS2331" t="inlineStr">
        <is>
          <t>Yes</t>
        </is>
      </c>
      <c r="AT2331">
        <f>HYPERLINK("http://catalog.hathitrust.org/Record/001373903","HathiTrust Record")</f>
        <v/>
      </c>
      <c r="AU2331">
        <f>HYPERLINK("https://creighton-primo.hosted.exlibrisgroup.com/primo-explore/search?tab=default_tab&amp;search_scope=EVERYTHING&amp;vid=01CRU&amp;lang=en_US&amp;offset=0&amp;query=any,contains,991003009189702656","Catalog Record")</f>
        <v/>
      </c>
      <c r="AV2331">
        <f>HYPERLINK("http://www.worldcat.org/oclc/576556","WorldCat Record")</f>
        <v/>
      </c>
      <c r="AW2331" t="inlineStr">
        <is>
          <t>8910094363:eng</t>
        </is>
      </c>
      <c r="AX2331" t="inlineStr">
        <is>
          <t>576556</t>
        </is>
      </c>
      <c r="AY2331" t="inlineStr">
        <is>
          <t>991003009189702656</t>
        </is>
      </c>
      <c r="AZ2331" t="inlineStr">
        <is>
          <t>991003009189702656</t>
        </is>
      </c>
      <c r="BA2331" t="inlineStr">
        <is>
          <t>2257585330002656</t>
        </is>
      </c>
      <c r="BB2331" t="inlineStr">
        <is>
          <t>BOOK</t>
        </is>
      </c>
      <c r="BD2331" t="inlineStr">
        <is>
          <t>9780416089905</t>
        </is>
      </c>
      <c r="BE2331" t="inlineStr">
        <is>
          <t>32285000932102</t>
        </is>
      </c>
      <c r="BF2331" t="inlineStr">
        <is>
          <t>893899526</t>
        </is>
      </c>
    </row>
    <row r="2332">
      <c r="A2332" t="inlineStr">
        <is>
          <t>No</t>
        </is>
      </c>
      <c r="B2332" t="inlineStr">
        <is>
          <t>CURAL</t>
        </is>
      </c>
      <c r="C2332" t="inlineStr">
        <is>
          <t>SHELVES</t>
        </is>
      </c>
      <c r="D2332" t="inlineStr">
        <is>
          <t>PR5367 .P8 1963a</t>
        </is>
      </c>
      <c r="E2332" t="inlineStr">
        <is>
          <t>0                      PR 5367000P  8           1963a</t>
        </is>
      </c>
      <c r="F2332" t="inlineStr">
        <is>
          <t>A guide to the plays of Bernard Shaw.</t>
        </is>
      </c>
      <c r="H2332" t="inlineStr">
        <is>
          <t>No</t>
        </is>
      </c>
      <c r="I2332" t="inlineStr">
        <is>
          <t>1</t>
        </is>
      </c>
      <c r="J2332" t="inlineStr">
        <is>
          <t>No</t>
        </is>
      </c>
      <c r="K2332" t="inlineStr">
        <is>
          <t>No</t>
        </is>
      </c>
      <c r="L2332" t="inlineStr">
        <is>
          <t>0</t>
        </is>
      </c>
      <c r="M2332" t="inlineStr">
        <is>
          <t>Purdom, C. B. (Charles Benjamin), 1883-1965.</t>
        </is>
      </c>
      <c r="N2332" t="inlineStr">
        <is>
          <t>New York : Crowell, [1963]</t>
        </is>
      </c>
      <c r="O2332" t="inlineStr">
        <is>
          <t>1963</t>
        </is>
      </c>
      <c r="Q2332" t="inlineStr">
        <is>
          <t>eng</t>
        </is>
      </c>
      <c r="R2332" t="inlineStr">
        <is>
          <t>nyu</t>
        </is>
      </c>
      <c r="T2332" t="inlineStr">
        <is>
          <t xml:space="preserve">PR </t>
        </is>
      </c>
      <c r="U2332" t="n">
        <v>2</v>
      </c>
      <c r="V2332" t="n">
        <v>2</v>
      </c>
      <c r="W2332" t="inlineStr">
        <is>
          <t>2001-02-20</t>
        </is>
      </c>
      <c r="X2332" t="inlineStr">
        <is>
          <t>2001-02-20</t>
        </is>
      </c>
      <c r="Y2332" t="inlineStr">
        <is>
          <t>1990-05-09</t>
        </is>
      </c>
      <c r="Z2332" t="inlineStr">
        <is>
          <t>1990-05-09</t>
        </is>
      </c>
      <c r="AA2332" t="n">
        <v>573</v>
      </c>
      <c r="AB2332" t="n">
        <v>537</v>
      </c>
      <c r="AC2332" t="n">
        <v>705</v>
      </c>
      <c r="AD2332" t="n">
        <v>3</v>
      </c>
      <c r="AE2332" t="n">
        <v>3</v>
      </c>
      <c r="AF2332" t="n">
        <v>24</v>
      </c>
      <c r="AG2332" t="n">
        <v>28</v>
      </c>
      <c r="AH2332" t="n">
        <v>12</v>
      </c>
      <c r="AI2332" t="n">
        <v>13</v>
      </c>
      <c r="AJ2332" t="n">
        <v>5</v>
      </c>
      <c r="AK2332" t="n">
        <v>7</v>
      </c>
      <c r="AL2332" t="n">
        <v>11</v>
      </c>
      <c r="AM2332" t="n">
        <v>13</v>
      </c>
      <c r="AN2332" t="n">
        <v>2</v>
      </c>
      <c r="AO2332" t="n">
        <v>2</v>
      </c>
      <c r="AP2332" t="n">
        <v>0</v>
      </c>
      <c r="AQ2332" t="n">
        <v>0</v>
      </c>
      <c r="AR2332" t="inlineStr">
        <is>
          <t>No</t>
        </is>
      </c>
      <c r="AS2332" t="inlineStr">
        <is>
          <t>Yes</t>
        </is>
      </c>
      <c r="AT2332">
        <f>HYPERLINK("http://catalog.hathitrust.org/Record/001024430","HathiTrust Record")</f>
        <v/>
      </c>
      <c r="AU2332">
        <f>HYPERLINK("https://creighton-primo.hosted.exlibrisgroup.com/primo-explore/search?tab=default_tab&amp;search_scope=EVERYTHING&amp;vid=01CRU&amp;lang=en_US&amp;offset=0&amp;query=any,contains,991003870719702656","Catalog Record")</f>
        <v/>
      </c>
      <c r="AV2332">
        <f>HYPERLINK("http://www.worldcat.org/oclc/1692512","WorldCat Record")</f>
        <v/>
      </c>
      <c r="AW2332" t="inlineStr">
        <is>
          <t>1416086:eng</t>
        </is>
      </c>
      <c r="AX2332" t="inlineStr">
        <is>
          <t>1692512</t>
        </is>
      </c>
      <c r="AY2332" t="inlineStr">
        <is>
          <t>991003870719702656</t>
        </is>
      </c>
      <c r="AZ2332" t="inlineStr">
        <is>
          <t>991003870719702656</t>
        </is>
      </c>
      <c r="BA2332" t="inlineStr">
        <is>
          <t>2255961360002656</t>
        </is>
      </c>
      <c r="BB2332" t="inlineStr">
        <is>
          <t>BOOK</t>
        </is>
      </c>
      <c r="BE2332" t="inlineStr">
        <is>
          <t>32285000136779</t>
        </is>
      </c>
      <c r="BF2332" t="inlineStr">
        <is>
          <t>893617886</t>
        </is>
      </c>
    </row>
    <row r="2333">
      <c r="A2333" t="inlineStr">
        <is>
          <t>No</t>
        </is>
      </c>
      <c r="B2333" t="inlineStr">
        <is>
          <t>CURAL</t>
        </is>
      </c>
      <c r="C2333" t="inlineStr">
        <is>
          <t>SHELVES</t>
        </is>
      </c>
      <c r="D2333" t="inlineStr">
        <is>
          <t>PR5367 .W3 1971</t>
        </is>
      </c>
      <c r="E2333" t="inlineStr">
        <is>
          <t>0                      PR 5367000W  3           1971</t>
        </is>
      </c>
      <c r="F2333" t="inlineStr">
        <is>
          <t>A guide to Bernard Shaw / by Edward Wagenknecht.</t>
        </is>
      </c>
      <c r="H2333" t="inlineStr">
        <is>
          <t>No</t>
        </is>
      </c>
      <c r="I2333" t="inlineStr">
        <is>
          <t>1</t>
        </is>
      </c>
      <c r="J2333" t="inlineStr">
        <is>
          <t>No</t>
        </is>
      </c>
      <c r="K2333" t="inlineStr">
        <is>
          <t>No</t>
        </is>
      </c>
      <c r="L2333" t="inlineStr">
        <is>
          <t>0</t>
        </is>
      </c>
      <c r="M2333" t="inlineStr">
        <is>
          <t>Wagenknecht, Edward, 1900-2004.</t>
        </is>
      </c>
      <c r="N2333" t="inlineStr">
        <is>
          <t>New York : Russell &amp; Russell, [1971, c1929]</t>
        </is>
      </c>
      <c r="O2333" t="inlineStr">
        <is>
          <t>1971</t>
        </is>
      </c>
      <c r="Q2333" t="inlineStr">
        <is>
          <t>eng</t>
        </is>
      </c>
      <c r="R2333" t="inlineStr">
        <is>
          <t>nyu</t>
        </is>
      </c>
      <c r="T2333" t="inlineStr">
        <is>
          <t xml:space="preserve">PR </t>
        </is>
      </c>
      <c r="U2333" t="n">
        <v>2</v>
      </c>
      <c r="V2333" t="n">
        <v>2</v>
      </c>
      <c r="W2333" t="inlineStr">
        <is>
          <t>1993-04-19</t>
        </is>
      </c>
      <c r="X2333" t="inlineStr">
        <is>
          <t>1993-04-19</t>
        </is>
      </c>
      <c r="Y2333" t="inlineStr">
        <is>
          <t>1992-02-01</t>
        </is>
      </c>
      <c r="Z2333" t="inlineStr">
        <is>
          <t>1992-02-01</t>
        </is>
      </c>
      <c r="AA2333" t="n">
        <v>157</v>
      </c>
      <c r="AB2333" t="n">
        <v>122</v>
      </c>
      <c r="AC2333" t="n">
        <v>253</v>
      </c>
      <c r="AD2333" t="n">
        <v>1</v>
      </c>
      <c r="AE2333" t="n">
        <v>2</v>
      </c>
      <c r="AF2333" t="n">
        <v>6</v>
      </c>
      <c r="AG2333" t="n">
        <v>9</v>
      </c>
      <c r="AH2333" t="n">
        <v>3</v>
      </c>
      <c r="AI2333" t="n">
        <v>4</v>
      </c>
      <c r="AJ2333" t="n">
        <v>1</v>
      </c>
      <c r="AK2333" t="n">
        <v>2</v>
      </c>
      <c r="AL2333" t="n">
        <v>4</v>
      </c>
      <c r="AM2333" t="n">
        <v>5</v>
      </c>
      <c r="AN2333" t="n">
        <v>0</v>
      </c>
      <c r="AO2333" t="n">
        <v>1</v>
      </c>
      <c r="AP2333" t="n">
        <v>0</v>
      </c>
      <c r="AQ2333" t="n">
        <v>0</v>
      </c>
      <c r="AR2333" t="inlineStr">
        <is>
          <t>No</t>
        </is>
      </c>
      <c r="AS2333" t="inlineStr">
        <is>
          <t>No</t>
        </is>
      </c>
      <c r="AU2333">
        <f>HYPERLINK("https://creighton-primo.hosted.exlibrisgroup.com/primo-explore/search?tab=default_tab&amp;search_scope=EVERYTHING&amp;vid=01CRU&amp;lang=en_US&amp;offset=0&amp;query=any,contains,991000701569702656","Catalog Record")</f>
        <v/>
      </c>
      <c r="AV2333">
        <f>HYPERLINK("http://www.worldcat.org/oclc/124228","WorldCat Record")</f>
        <v/>
      </c>
      <c r="AW2333" t="inlineStr">
        <is>
          <t>149379553:eng</t>
        </is>
      </c>
      <c r="AX2333" t="inlineStr">
        <is>
          <t>124228</t>
        </is>
      </c>
      <c r="AY2333" t="inlineStr">
        <is>
          <t>991000701569702656</t>
        </is>
      </c>
      <c r="AZ2333" t="inlineStr">
        <is>
          <t>991000701569702656</t>
        </is>
      </c>
      <c r="BA2333" t="inlineStr">
        <is>
          <t>2259713390002656</t>
        </is>
      </c>
      <c r="BB2333" t="inlineStr">
        <is>
          <t>BOOK</t>
        </is>
      </c>
      <c r="BE2333" t="inlineStr">
        <is>
          <t>32285000932128</t>
        </is>
      </c>
      <c r="BF2333" t="inlineStr">
        <is>
          <t>893327506</t>
        </is>
      </c>
    </row>
    <row r="2334">
      <c r="A2334" t="inlineStr">
        <is>
          <t>No</t>
        </is>
      </c>
      <c r="B2334" t="inlineStr">
        <is>
          <t>CURAL</t>
        </is>
      </c>
      <c r="C2334" t="inlineStr">
        <is>
          <t>SHELVES</t>
        </is>
      </c>
      <c r="D2334" t="inlineStr">
        <is>
          <t>PR5368 .P5 1955</t>
        </is>
      </c>
      <c r="E2334" t="inlineStr">
        <is>
          <t>0                      PR 5368000P  5           1955</t>
        </is>
      </c>
      <c r="F2334" t="inlineStr">
        <is>
          <t>Theatrical companion to Shaw; a pictorial record of the first performances of the plays of George Bernard Shaw / by Raymond Mander &amp; Joe Mitchenson. Introd. by Sir Barry Jackson.</t>
        </is>
      </c>
      <c r="H2334" t="inlineStr">
        <is>
          <t>No</t>
        </is>
      </c>
      <c r="I2334" t="inlineStr">
        <is>
          <t>1</t>
        </is>
      </c>
      <c r="J2334" t="inlineStr">
        <is>
          <t>No</t>
        </is>
      </c>
      <c r="K2334" t="inlineStr">
        <is>
          <t>No</t>
        </is>
      </c>
      <c r="L2334" t="inlineStr">
        <is>
          <t>0</t>
        </is>
      </c>
      <c r="M2334" t="inlineStr">
        <is>
          <t>Mander, Raymond compiler.</t>
        </is>
      </c>
      <c r="N2334" t="inlineStr">
        <is>
          <t>New York : Pitman, 1955.</t>
        </is>
      </c>
      <c r="O2334" t="inlineStr">
        <is>
          <t>1955</t>
        </is>
      </c>
      <c r="Q2334" t="inlineStr">
        <is>
          <t>eng</t>
        </is>
      </c>
      <c r="R2334" t="inlineStr">
        <is>
          <t>nyu</t>
        </is>
      </c>
      <c r="T2334" t="inlineStr">
        <is>
          <t xml:space="preserve">PR </t>
        </is>
      </c>
      <c r="U2334" t="n">
        <v>2</v>
      </c>
      <c r="V2334" t="n">
        <v>2</v>
      </c>
      <c r="W2334" t="inlineStr">
        <is>
          <t>1993-10-07</t>
        </is>
      </c>
      <c r="X2334" t="inlineStr">
        <is>
          <t>1993-10-07</t>
        </is>
      </c>
      <c r="Y2334" t="inlineStr">
        <is>
          <t>1992-02-01</t>
        </is>
      </c>
      <c r="Z2334" t="inlineStr">
        <is>
          <t>1992-02-01</t>
        </is>
      </c>
      <c r="AA2334" t="n">
        <v>172</v>
      </c>
      <c r="AB2334" t="n">
        <v>165</v>
      </c>
      <c r="AC2334" t="n">
        <v>431</v>
      </c>
      <c r="AD2334" t="n">
        <v>2</v>
      </c>
      <c r="AE2334" t="n">
        <v>5</v>
      </c>
      <c r="AF2334" t="n">
        <v>9</v>
      </c>
      <c r="AG2334" t="n">
        <v>22</v>
      </c>
      <c r="AH2334" t="n">
        <v>4</v>
      </c>
      <c r="AI2334" t="n">
        <v>9</v>
      </c>
      <c r="AJ2334" t="n">
        <v>2</v>
      </c>
      <c r="AK2334" t="n">
        <v>5</v>
      </c>
      <c r="AL2334" t="n">
        <v>4</v>
      </c>
      <c r="AM2334" t="n">
        <v>9</v>
      </c>
      <c r="AN2334" t="n">
        <v>1</v>
      </c>
      <c r="AO2334" t="n">
        <v>4</v>
      </c>
      <c r="AP2334" t="n">
        <v>0</v>
      </c>
      <c r="AQ2334" t="n">
        <v>0</v>
      </c>
      <c r="AR2334" t="inlineStr">
        <is>
          <t>No</t>
        </is>
      </c>
      <c r="AS2334" t="inlineStr">
        <is>
          <t>Yes</t>
        </is>
      </c>
      <c r="AT2334">
        <f>HYPERLINK("http://catalog.hathitrust.org/Record/007120281","HathiTrust Record")</f>
        <v/>
      </c>
      <c r="AU2334">
        <f>HYPERLINK("https://creighton-primo.hosted.exlibrisgroup.com/primo-explore/search?tab=default_tab&amp;search_scope=EVERYTHING&amp;vid=01CRU&amp;lang=en_US&amp;offset=0&amp;query=any,contains,991003815729702656","Catalog Record")</f>
        <v/>
      </c>
      <c r="AV2334">
        <f>HYPERLINK("http://www.worldcat.org/oclc/1548212","WorldCat Record")</f>
        <v/>
      </c>
      <c r="AW2334" t="inlineStr">
        <is>
          <t>1451810:eng</t>
        </is>
      </c>
      <c r="AX2334" t="inlineStr">
        <is>
          <t>1548212</t>
        </is>
      </c>
      <c r="AY2334" t="inlineStr">
        <is>
          <t>991003815729702656</t>
        </is>
      </c>
      <c r="AZ2334" t="inlineStr">
        <is>
          <t>991003815729702656</t>
        </is>
      </c>
      <c r="BA2334" t="inlineStr">
        <is>
          <t>2271826540002656</t>
        </is>
      </c>
      <c r="BB2334" t="inlineStr">
        <is>
          <t>BOOK</t>
        </is>
      </c>
      <c r="BE2334" t="inlineStr">
        <is>
          <t>32285000932169</t>
        </is>
      </c>
      <c r="BF2334" t="inlineStr">
        <is>
          <t>893234625</t>
        </is>
      </c>
    </row>
    <row r="2335">
      <c r="A2335" t="inlineStr">
        <is>
          <t>No</t>
        </is>
      </c>
      <c r="B2335" t="inlineStr">
        <is>
          <t>CURAL</t>
        </is>
      </c>
      <c r="C2335" t="inlineStr">
        <is>
          <t>SHELVES</t>
        </is>
      </c>
      <c r="D2335" t="inlineStr">
        <is>
          <t>PR5368.A75 B47 1989</t>
        </is>
      </c>
      <c r="E2335" t="inlineStr">
        <is>
          <t>0                      PR 5368000A  75                 B  47          1989</t>
        </is>
      </c>
      <c r="F2335" t="inlineStr">
        <is>
          <t>Bernard Shaw on the London art scene, 1885-1950 / edited with an introduction by Stanley Weintraub.</t>
        </is>
      </c>
      <c r="H2335" t="inlineStr">
        <is>
          <t>No</t>
        </is>
      </c>
      <c r="I2335" t="inlineStr">
        <is>
          <t>1</t>
        </is>
      </c>
      <c r="J2335" t="inlineStr">
        <is>
          <t>No</t>
        </is>
      </c>
      <c r="K2335" t="inlineStr">
        <is>
          <t>No</t>
        </is>
      </c>
      <c r="L2335" t="inlineStr">
        <is>
          <t>0</t>
        </is>
      </c>
      <c r="N2335" t="inlineStr">
        <is>
          <t>University Park, Pa. : Pennsylvania State University Press, c1989.</t>
        </is>
      </c>
      <c r="O2335" t="inlineStr">
        <is>
          <t>1989</t>
        </is>
      </c>
      <c r="Q2335" t="inlineStr">
        <is>
          <t>eng</t>
        </is>
      </c>
      <c r="R2335" t="inlineStr">
        <is>
          <t>pau</t>
        </is>
      </c>
      <c r="T2335" t="inlineStr">
        <is>
          <t xml:space="preserve">PR </t>
        </is>
      </c>
      <c r="U2335" t="n">
        <v>1</v>
      </c>
      <c r="V2335" t="n">
        <v>1</v>
      </c>
      <c r="W2335" t="inlineStr">
        <is>
          <t>1995-03-01</t>
        </is>
      </c>
      <c r="X2335" t="inlineStr">
        <is>
          <t>1995-03-01</t>
        </is>
      </c>
      <c r="Y2335" t="inlineStr">
        <is>
          <t>1990-02-07</t>
        </is>
      </c>
      <c r="Z2335" t="inlineStr">
        <is>
          <t>1990-02-07</t>
        </is>
      </c>
      <c r="AA2335" t="n">
        <v>317</v>
      </c>
      <c r="AB2335" t="n">
        <v>253</v>
      </c>
      <c r="AC2335" t="n">
        <v>255</v>
      </c>
      <c r="AD2335" t="n">
        <v>5</v>
      </c>
      <c r="AE2335" t="n">
        <v>5</v>
      </c>
      <c r="AF2335" t="n">
        <v>13</v>
      </c>
      <c r="AG2335" t="n">
        <v>13</v>
      </c>
      <c r="AH2335" t="n">
        <v>1</v>
      </c>
      <c r="AI2335" t="n">
        <v>1</v>
      </c>
      <c r="AJ2335" t="n">
        <v>3</v>
      </c>
      <c r="AK2335" t="n">
        <v>3</v>
      </c>
      <c r="AL2335" t="n">
        <v>8</v>
      </c>
      <c r="AM2335" t="n">
        <v>8</v>
      </c>
      <c r="AN2335" t="n">
        <v>4</v>
      </c>
      <c r="AO2335" t="n">
        <v>4</v>
      </c>
      <c r="AP2335" t="n">
        <v>0</v>
      </c>
      <c r="AQ2335" t="n">
        <v>0</v>
      </c>
      <c r="AR2335" t="inlineStr">
        <is>
          <t>No</t>
        </is>
      </c>
      <c r="AS2335" t="inlineStr">
        <is>
          <t>Yes</t>
        </is>
      </c>
      <c r="AT2335">
        <f>HYPERLINK("http://catalog.hathitrust.org/Record/001840337","HathiTrust Record")</f>
        <v/>
      </c>
      <c r="AU2335">
        <f>HYPERLINK("https://creighton-primo.hosted.exlibrisgroup.com/primo-explore/search?tab=default_tab&amp;search_scope=EVERYTHING&amp;vid=01CRU&amp;lang=en_US&amp;offset=0&amp;query=any,contains,991001416859702656","Catalog Record")</f>
        <v/>
      </c>
      <c r="AV2335">
        <f>HYPERLINK("http://www.worldcat.org/oclc/18950120","WorldCat Record")</f>
        <v/>
      </c>
      <c r="AW2335" t="inlineStr">
        <is>
          <t>18172011:eng</t>
        </is>
      </c>
      <c r="AX2335" t="inlineStr">
        <is>
          <t>18950120</t>
        </is>
      </c>
      <c r="AY2335" t="inlineStr">
        <is>
          <t>991001416859702656</t>
        </is>
      </c>
      <c r="AZ2335" t="inlineStr">
        <is>
          <t>991001416859702656</t>
        </is>
      </c>
      <c r="BA2335" t="inlineStr">
        <is>
          <t>2262473720002656</t>
        </is>
      </c>
      <c r="BB2335" t="inlineStr">
        <is>
          <t>BOOK</t>
        </is>
      </c>
      <c r="BD2335" t="inlineStr">
        <is>
          <t>9780271006659</t>
        </is>
      </c>
      <c r="BE2335" t="inlineStr">
        <is>
          <t>32285000036425</t>
        </is>
      </c>
      <c r="BF2335" t="inlineStr">
        <is>
          <t>893608860</t>
        </is>
      </c>
    </row>
    <row r="2336">
      <c r="A2336" t="inlineStr">
        <is>
          <t>No</t>
        </is>
      </c>
      <c r="B2336" t="inlineStr">
        <is>
          <t>CURAL</t>
        </is>
      </c>
      <c r="C2336" t="inlineStr">
        <is>
          <t>SHELVES</t>
        </is>
      </c>
      <c r="D2336" t="inlineStr">
        <is>
          <t>PR5368.C56 G67 1990</t>
        </is>
      </c>
      <c r="E2336" t="inlineStr">
        <is>
          <t>0                      PR 5368000C  56                 G  67          1990</t>
        </is>
      </c>
      <c r="F2336" t="inlineStr">
        <is>
          <t>Bernard Shaw and the comic sublime / David J. Gordon.</t>
        </is>
      </c>
      <c r="H2336" t="inlineStr">
        <is>
          <t>No</t>
        </is>
      </c>
      <c r="I2336" t="inlineStr">
        <is>
          <t>1</t>
        </is>
      </c>
      <c r="J2336" t="inlineStr">
        <is>
          <t>No</t>
        </is>
      </c>
      <c r="K2336" t="inlineStr">
        <is>
          <t>No</t>
        </is>
      </c>
      <c r="L2336" t="inlineStr">
        <is>
          <t>0</t>
        </is>
      </c>
      <c r="M2336" t="inlineStr">
        <is>
          <t>Gordon, David J.</t>
        </is>
      </c>
      <c r="N2336" t="inlineStr">
        <is>
          <t>New York : St. Martin's Press, 1990.</t>
        </is>
      </c>
      <c r="O2336" t="inlineStr">
        <is>
          <t>1990</t>
        </is>
      </c>
      <c r="Q2336" t="inlineStr">
        <is>
          <t>eng</t>
        </is>
      </c>
      <c r="R2336" t="inlineStr">
        <is>
          <t>nyu</t>
        </is>
      </c>
      <c r="T2336" t="inlineStr">
        <is>
          <t xml:space="preserve">PR </t>
        </is>
      </c>
      <c r="U2336" t="n">
        <v>4</v>
      </c>
      <c r="V2336" t="n">
        <v>4</v>
      </c>
      <c r="W2336" t="inlineStr">
        <is>
          <t>1996-01-05</t>
        </is>
      </c>
      <c r="X2336" t="inlineStr">
        <is>
          <t>1996-01-05</t>
        </is>
      </c>
      <c r="Y2336" t="inlineStr">
        <is>
          <t>1990-05-25</t>
        </is>
      </c>
      <c r="Z2336" t="inlineStr">
        <is>
          <t>1990-05-25</t>
        </is>
      </c>
      <c r="AA2336" t="n">
        <v>325</v>
      </c>
      <c r="AB2336" t="n">
        <v>299</v>
      </c>
      <c r="AC2336" t="n">
        <v>379</v>
      </c>
      <c r="AD2336" t="n">
        <v>4</v>
      </c>
      <c r="AE2336" t="n">
        <v>6</v>
      </c>
      <c r="AF2336" t="n">
        <v>19</v>
      </c>
      <c r="AG2336" t="n">
        <v>25</v>
      </c>
      <c r="AH2336" t="n">
        <v>5</v>
      </c>
      <c r="AI2336" t="n">
        <v>6</v>
      </c>
      <c r="AJ2336" t="n">
        <v>5</v>
      </c>
      <c r="AK2336" t="n">
        <v>5</v>
      </c>
      <c r="AL2336" t="n">
        <v>11</v>
      </c>
      <c r="AM2336" t="n">
        <v>15</v>
      </c>
      <c r="AN2336" t="n">
        <v>3</v>
      </c>
      <c r="AO2336" t="n">
        <v>5</v>
      </c>
      <c r="AP2336" t="n">
        <v>0</v>
      </c>
      <c r="AQ2336" t="n">
        <v>0</v>
      </c>
      <c r="AR2336" t="inlineStr">
        <is>
          <t>No</t>
        </is>
      </c>
      <c r="AS2336" t="inlineStr">
        <is>
          <t>No</t>
        </is>
      </c>
      <c r="AU2336">
        <f>HYPERLINK("https://creighton-primo.hosted.exlibrisgroup.com/primo-explore/search?tab=default_tab&amp;search_scope=EVERYTHING&amp;vid=01CRU&amp;lang=en_US&amp;offset=0&amp;query=any,contains,991001574449702656","Catalog Record")</f>
        <v/>
      </c>
      <c r="AV2336">
        <f>HYPERLINK("http://www.worldcat.org/oclc/20420426","WorldCat Record")</f>
        <v/>
      </c>
      <c r="AW2336" t="inlineStr">
        <is>
          <t>21164486:eng</t>
        </is>
      </c>
      <c r="AX2336" t="inlineStr">
        <is>
          <t>20420426</t>
        </is>
      </c>
      <c r="AY2336" t="inlineStr">
        <is>
          <t>991001574449702656</t>
        </is>
      </c>
      <c r="AZ2336" t="inlineStr">
        <is>
          <t>991001574449702656</t>
        </is>
      </c>
      <c r="BA2336" t="inlineStr">
        <is>
          <t>2268098190002656</t>
        </is>
      </c>
      <c r="BB2336" t="inlineStr">
        <is>
          <t>BOOK</t>
        </is>
      </c>
      <c r="BD2336" t="inlineStr">
        <is>
          <t>9780312040673</t>
        </is>
      </c>
      <c r="BE2336" t="inlineStr">
        <is>
          <t>32285000155829</t>
        </is>
      </c>
      <c r="BF2336" t="inlineStr">
        <is>
          <t>893509694</t>
        </is>
      </c>
    </row>
    <row r="2337">
      <c r="A2337" t="inlineStr">
        <is>
          <t>No</t>
        </is>
      </c>
      <c r="B2337" t="inlineStr">
        <is>
          <t>CURAL</t>
        </is>
      </c>
      <c r="C2337" t="inlineStr">
        <is>
          <t>SHELVES</t>
        </is>
      </c>
      <c r="D2337" t="inlineStr">
        <is>
          <t>PR5368.P5 W5</t>
        </is>
      </c>
      <c r="E2337" t="inlineStr">
        <is>
          <t>0                      PR 5368000P  5                  W  5</t>
        </is>
      </c>
      <c r="F2337" t="inlineStr">
        <is>
          <t>Shaw and the play of ideas / Robert F. Whitman.</t>
        </is>
      </c>
      <c r="H2337" t="inlineStr">
        <is>
          <t>No</t>
        </is>
      </c>
      <c r="I2337" t="inlineStr">
        <is>
          <t>1</t>
        </is>
      </c>
      <c r="J2337" t="inlineStr">
        <is>
          <t>No</t>
        </is>
      </c>
      <c r="K2337" t="inlineStr">
        <is>
          <t>No</t>
        </is>
      </c>
      <c r="L2337" t="inlineStr">
        <is>
          <t>0</t>
        </is>
      </c>
      <c r="M2337" t="inlineStr">
        <is>
          <t>Whitman, Robert F.</t>
        </is>
      </c>
      <c r="N2337" t="inlineStr">
        <is>
          <t>Ithaca, N.Y. : Cornell University Press, 1977.</t>
        </is>
      </c>
      <c r="O2337" t="inlineStr">
        <is>
          <t>1977</t>
        </is>
      </c>
      <c r="Q2337" t="inlineStr">
        <is>
          <t>eng</t>
        </is>
      </c>
      <c r="R2337" t="inlineStr">
        <is>
          <t>nyu</t>
        </is>
      </c>
      <c r="T2337" t="inlineStr">
        <is>
          <t xml:space="preserve">PR </t>
        </is>
      </c>
      <c r="U2337" t="n">
        <v>3</v>
      </c>
      <c r="V2337" t="n">
        <v>3</v>
      </c>
      <c r="W2337" t="inlineStr">
        <is>
          <t>1995-06-12</t>
        </is>
      </c>
      <c r="X2337" t="inlineStr">
        <is>
          <t>1995-06-12</t>
        </is>
      </c>
      <c r="Y2337" t="inlineStr">
        <is>
          <t>1992-02-01</t>
        </is>
      </c>
      <c r="Z2337" t="inlineStr">
        <is>
          <t>1992-02-01</t>
        </is>
      </c>
      <c r="AA2337" t="n">
        <v>550</v>
      </c>
      <c r="AB2337" t="n">
        <v>423</v>
      </c>
      <c r="AC2337" t="n">
        <v>440</v>
      </c>
      <c r="AD2337" t="n">
        <v>4</v>
      </c>
      <c r="AE2337" t="n">
        <v>4</v>
      </c>
      <c r="AF2337" t="n">
        <v>23</v>
      </c>
      <c r="AG2337" t="n">
        <v>23</v>
      </c>
      <c r="AH2337" t="n">
        <v>8</v>
      </c>
      <c r="AI2337" t="n">
        <v>8</v>
      </c>
      <c r="AJ2337" t="n">
        <v>6</v>
      </c>
      <c r="AK2337" t="n">
        <v>6</v>
      </c>
      <c r="AL2337" t="n">
        <v>12</v>
      </c>
      <c r="AM2337" t="n">
        <v>12</v>
      </c>
      <c r="AN2337" t="n">
        <v>3</v>
      </c>
      <c r="AO2337" t="n">
        <v>3</v>
      </c>
      <c r="AP2337" t="n">
        <v>0</v>
      </c>
      <c r="AQ2337" t="n">
        <v>0</v>
      </c>
      <c r="AR2337" t="inlineStr">
        <is>
          <t>No</t>
        </is>
      </c>
      <c r="AS2337" t="inlineStr">
        <is>
          <t>Yes</t>
        </is>
      </c>
      <c r="AT2337">
        <f>HYPERLINK("http://catalog.hathitrust.org/Record/000741457","HathiTrust Record")</f>
        <v/>
      </c>
      <c r="AU2337">
        <f>HYPERLINK("https://creighton-primo.hosted.exlibrisgroup.com/primo-explore/search?tab=default_tab&amp;search_scope=EVERYTHING&amp;vid=01CRU&amp;lang=en_US&amp;offset=0&amp;query=any,contains,991004175969702656","Catalog Record")</f>
        <v/>
      </c>
      <c r="AV2337">
        <f>HYPERLINK("http://www.worldcat.org/oclc/2597090","WorldCat Record")</f>
        <v/>
      </c>
      <c r="AW2337" t="inlineStr">
        <is>
          <t>450284:eng</t>
        </is>
      </c>
      <c r="AX2337" t="inlineStr">
        <is>
          <t>2597090</t>
        </is>
      </c>
      <c r="AY2337" t="inlineStr">
        <is>
          <t>991004175969702656</t>
        </is>
      </c>
      <c r="AZ2337" t="inlineStr">
        <is>
          <t>991004175969702656</t>
        </is>
      </c>
      <c r="BA2337" t="inlineStr">
        <is>
          <t>2266443990002656</t>
        </is>
      </c>
      <c r="BB2337" t="inlineStr">
        <is>
          <t>BOOK</t>
        </is>
      </c>
      <c r="BD2337" t="inlineStr">
        <is>
          <t>9780801410727</t>
        </is>
      </c>
      <c r="BE2337" t="inlineStr">
        <is>
          <t>32285000932177</t>
        </is>
      </c>
      <c r="BF2337" t="inlineStr">
        <is>
          <t>893693630</t>
        </is>
      </c>
    </row>
    <row r="2338">
      <c r="A2338" t="inlineStr">
        <is>
          <t>No</t>
        </is>
      </c>
      <c r="B2338" t="inlineStr">
        <is>
          <t>CURAL</t>
        </is>
      </c>
      <c r="C2338" t="inlineStr">
        <is>
          <t>SHELVES</t>
        </is>
      </c>
      <c r="D2338" t="inlineStr">
        <is>
          <t>PR5368.S6 D38 1994</t>
        </is>
      </c>
      <c r="E2338" t="inlineStr">
        <is>
          <t>0                      PR 5368000S  6                  D  38          1994</t>
        </is>
      </c>
      <c r="F2338" t="inlineStr">
        <is>
          <t>George Bernard Shaw and the socialist theatre / Tracy C. Davis.</t>
        </is>
      </c>
      <c r="H2338" t="inlineStr">
        <is>
          <t>No</t>
        </is>
      </c>
      <c r="I2338" t="inlineStr">
        <is>
          <t>1</t>
        </is>
      </c>
      <c r="J2338" t="inlineStr">
        <is>
          <t>No</t>
        </is>
      </c>
      <c r="K2338" t="inlineStr">
        <is>
          <t>No</t>
        </is>
      </c>
      <c r="L2338" t="inlineStr">
        <is>
          <t>0</t>
        </is>
      </c>
      <c r="M2338" t="inlineStr">
        <is>
          <t>Davis, Tracy C., 1960-</t>
        </is>
      </c>
      <c r="N2338" t="inlineStr">
        <is>
          <t>Westport, Conn. : Greenwood Press, 1994.</t>
        </is>
      </c>
      <c r="O2338" t="inlineStr">
        <is>
          <t>1994</t>
        </is>
      </c>
      <c r="Q2338" t="inlineStr">
        <is>
          <t>eng</t>
        </is>
      </c>
      <c r="R2338" t="inlineStr">
        <is>
          <t>ctu</t>
        </is>
      </c>
      <c r="S2338" t="inlineStr">
        <is>
          <t>Contributions in drama and theatre studies, 0163-3821 ; no. 56</t>
        </is>
      </c>
      <c r="T2338" t="inlineStr">
        <is>
          <t xml:space="preserve">PR </t>
        </is>
      </c>
      <c r="U2338" t="n">
        <v>1</v>
      </c>
      <c r="V2338" t="n">
        <v>1</v>
      </c>
      <c r="W2338" t="inlineStr">
        <is>
          <t>1995-03-01</t>
        </is>
      </c>
      <c r="X2338" t="inlineStr">
        <is>
          <t>1995-03-01</t>
        </is>
      </c>
      <c r="Y2338" t="inlineStr">
        <is>
          <t>1994-12-06</t>
        </is>
      </c>
      <c r="Z2338" t="inlineStr">
        <is>
          <t>1994-12-06</t>
        </is>
      </c>
      <c r="AA2338" t="n">
        <v>419</v>
      </c>
      <c r="AB2338" t="n">
        <v>347</v>
      </c>
      <c r="AC2338" t="n">
        <v>365</v>
      </c>
      <c r="AD2338" t="n">
        <v>5</v>
      </c>
      <c r="AE2338" t="n">
        <v>5</v>
      </c>
      <c r="AF2338" t="n">
        <v>25</v>
      </c>
      <c r="AG2338" t="n">
        <v>25</v>
      </c>
      <c r="AH2338" t="n">
        <v>9</v>
      </c>
      <c r="AI2338" t="n">
        <v>9</v>
      </c>
      <c r="AJ2338" t="n">
        <v>4</v>
      </c>
      <c r="AK2338" t="n">
        <v>4</v>
      </c>
      <c r="AL2338" t="n">
        <v>13</v>
      </c>
      <c r="AM2338" t="n">
        <v>13</v>
      </c>
      <c r="AN2338" t="n">
        <v>4</v>
      </c>
      <c r="AO2338" t="n">
        <v>4</v>
      </c>
      <c r="AP2338" t="n">
        <v>0</v>
      </c>
      <c r="AQ2338" t="n">
        <v>0</v>
      </c>
      <c r="AR2338" t="inlineStr">
        <is>
          <t>No</t>
        </is>
      </c>
      <c r="AS2338" t="inlineStr">
        <is>
          <t>Yes</t>
        </is>
      </c>
      <c r="AT2338">
        <f>HYPERLINK("http://catalog.hathitrust.org/Record/002893578","HathiTrust Record")</f>
        <v/>
      </c>
      <c r="AU2338">
        <f>HYPERLINK("https://creighton-primo.hosted.exlibrisgroup.com/primo-explore/search?tab=default_tab&amp;search_scope=EVERYTHING&amp;vid=01CRU&amp;lang=en_US&amp;offset=0&amp;query=any,contains,991002281789702656","Catalog Record")</f>
        <v/>
      </c>
      <c r="AV2338">
        <f>HYPERLINK("http://www.worldcat.org/oclc/29594475","WorldCat Record")</f>
        <v/>
      </c>
      <c r="AW2338" t="inlineStr">
        <is>
          <t>2568413:eng</t>
        </is>
      </c>
      <c r="AX2338" t="inlineStr">
        <is>
          <t>29594475</t>
        </is>
      </c>
      <c r="AY2338" t="inlineStr">
        <is>
          <t>991002281789702656</t>
        </is>
      </c>
      <c r="AZ2338" t="inlineStr">
        <is>
          <t>991002281789702656</t>
        </is>
      </c>
      <c r="BA2338" t="inlineStr">
        <is>
          <t>2260756770002656</t>
        </is>
      </c>
      <c r="BB2338" t="inlineStr">
        <is>
          <t>BOOK</t>
        </is>
      </c>
      <c r="BD2338" t="inlineStr">
        <is>
          <t>9780313276118</t>
        </is>
      </c>
      <c r="BE2338" t="inlineStr">
        <is>
          <t>32285001975860</t>
        </is>
      </c>
      <c r="BF2338" t="inlineStr">
        <is>
          <t>893879715</t>
        </is>
      </c>
    </row>
    <row r="2339">
      <c r="A2339" t="inlineStr">
        <is>
          <t>No</t>
        </is>
      </c>
      <c r="B2339" t="inlineStr">
        <is>
          <t>CURAL</t>
        </is>
      </c>
      <c r="C2339" t="inlineStr">
        <is>
          <t>SHELVES</t>
        </is>
      </c>
      <c r="D2339" t="inlineStr">
        <is>
          <t>PR5368.W6 F3</t>
        </is>
      </c>
      <c r="E2339" t="inlineStr">
        <is>
          <t>0                      PR 5368000W  6                  F  3</t>
        </is>
      </c>
      <c r="F2339" t="inlineStr">
        <is>
          <t>Fabian feminist : Bernard Shaw and woman / edited by Rodelle Weintraub.</t>
        </is>
      </c>
      <c r="H2339" t="inlineStr">
        <is>
          <t>No</t>
        </is>
      </c>
      <c r="I2339" t="inlineStr">
        <is>
          <t>1</t>
        </is>
      </c>
      <c r="J2339" t="inlineStr">
        <is>
          <t>No</t>
        </is>
      </c>
      <c r="K2339" t="inlineStr">
        <is>
          <t>No</t>
        </is>
      </c>
      <c r="L2339" t="inlineStr">
        <is>
          <t>0</t>
        </is>
      </c>
      <c r="N2339" t="inlineStr">
        <is>
          <t>University Park : Pennsylvania State University Press, c1977.</t>
        </is>
      </c>
      <c r="O2339" t="inlineStr">
        <is>
          <t>1977</t>
        </is>
      </c>
      <c r="Q2339" t="inlineStr">
        <is>
          <t>eng</t>
        </is>
      </c>
      <c r="R2339" t="inlineStr">
        <is>
          <t>pau</t>
        </is>
      </c>
      <c r="T2339" t="inlineStr">
        <is>
          <t xml:space="preserve">PR </t>
        </is>
      </c>
      <c r="U2339" t="n">
        <v>2</v>
      </c>
      <c r="V2339" t="n">
        <v>2</v>
      </c>
      <c r="W2339" t="inlineStr">
        <is>
          <t>1993-04-19</t>
        </is>
      </c>
      <c r="X2339" t="inlineStr">
        <is>
          <t>1993-04-19</t>
        </is>
      </c>
      <c r="Y2339" t="inlineStr">
        <is>
          <t>1992-02-01</t>
        </is>
      </c>
      <c r="Z2339" t="inlineStr">
        <is>
          <t>1992-02-01</t>
        </is>
      </c>
      <c r="AA2339" t="n">
        <v>601</v>
      </c>
      <c r="AB2339" t="n">
        <v>471</v>
      </c>
      <c r="AC2339" t="n">
        <v>478</v>
      </c>
      <c r="AD2339" t="n">
        <v>5</v>
      </c>
      <c r="AE2339" t="n">
        <v>5</v>
      </c>
      <c r="AF2339" t="n">
        <v>24</v>
      </c>
      <c r="AG2339" t="n">
        <v>24</v>
      </c>
      <c r="AH2339" t="n">
        <v>6</v>
      </c>
      <c r="AI2339" t="n">
        <v>6</v>
      </c>
      <c r="AJ2339" t="n">
        <v>8</v>
      </c>
      <c r="AK2339" t="n">
        <v>8</v>
      </c>
      <c r="AL2339" t="n">
        <v>11</v>
      </c>
      <c r="AM2339" t="n">
        <v>11</v>
      </c>
      <c r="AN2339" t="n">
        <v>4</v>
      </c>
      <c r="AO2339" t="n">
        <v>4</v>
      </c>
      <c r="AP2339" t="n">
        <v>0</v>
      </c>
      <c r="AQ2339" t="n">
        <v>0</v>
      </c>
      <c r="AR2339" t="inlineStr">
        <is>
          <t>No</t>
        </is>
      </c>
      <c r="AS2339" t="inlineStr">
        <is>
          <t>Yes</t>
        </is>
      </c>
      <c r="AT2339">
        <f>HYPERLINK("http://catalog.hathitrust.org/Record/000210012","HathiTrust Record")</f>
        <v/>
      </c>
      <c r="AU2339">
        <f>HYPERLINK("https://creighton-primo.hosted.exlibrisgroup.com/primo-explore/search?tab=default_tab&amp;search_scope=EVERYTHING&amp;vid=01CRU&amp;lang=en_US&amp;offset=0&amp;query=any,contains,991004249729702656","Catalog Record")</f>
        <v/>
      </c>
      <c r="AV2339">
        <f>HYPERLINK("http://www.worldcat.org/oclc/2806584","WorldCat Record")</f>
        <v/>
      </c>
      <c r="AW2339" t="inlineStr">
        <is>
          <t>909680133:eng</t>
        </is>
      </c>
      <c r="AX2339" t="inlineStr">
        <is>
          <t>2806584</t>
        </is>
      </c>
      <c r="AY2339" t="inlineStr">
        <is>
          <t>991004249729702656</t>
        </is>
      </c>
      <c r="AZ2339" t="inlineStr">
        <is>
          <t>991004249729702656</t>
        </is>
      </c>
      <c r="BA2339" t="inlineStr">
        <is>
          <t>2265497060002656</t>
        </is>
      </c>
      <c r="BB2339" t="inlineStr">
        <is>
          <t>BOOK</t>
        </is>
      </c>
      <c r="BD2339" t="inlineStr">
        <is>
          <t>9780271012353</t>
        </is>
      </c>
      <c r="BE2339" t="inlineStr">
        <is>
          <t>32285000932227</t>
        </is>
      </c>
      <c r="BF2339" t="inlineStr">
        <is>
          <t>893525854</t>
        </is>
      </c>
    </row>
    <row r="2340">
      <c r="A2340" t="inlineStr">
        <is>
          <t>No</t>
        </is>
      </c>
      <c r="B2340" t="inlineStr">
        <is>
          <t>CURAL</t>
        </is>
      </c>
      <c r="C2340" t="inlineStr">
        <is>
          <t>SHELVES</t>
        </is>
      </c>
      <c r="D2340" t="inlineStr">
        <is>
          <t>PR5377.S5 Z66 1997</t>
        </is>
      </c>
      <c r="E2340" t="inlineStr">
        <is>
          <t>0                      PR 5377000S  5                  Z  66          1997</t>
        </is>
      </c>
      <c r="F2340" t="inlineStr">
        <is>
          <t>Catholic nationalism in the Irish revival : a study of Canon Sheehan, 1852-1913 / Ruth Fleischmann.</t>
        </is>
      </c>
      <c r="H2340" t="inlineStr">
        <is>
          <t>No</t>
        </is>
      </c>
      <c r="I2340" t="inlineStr">
        <is>
          <t>1</t>
        </is>
      </c>
      <c r="J2340" t="inlineStr">
        <is>
          <t>No</t>
        </is>
      </c>
      <c r="K2340" t="inlineStr">
        <is>
          <t>No</t>
        </is>
      </c>
      <c r="L2340" t="inlineStr">
        <is>
          <t>0</t>
        </is>
      </c>
      <c r="M2340" t="inlineStr">
        <is>
          <t>Fleischmann, Ruth, 1942-</t>
        </is>
      </c>
      <c r="N2340" t="inlineStr">
        <is>
          <t>New York : St. Martin's Press, 1997.</t>
        </is>
      </c>
      <c r="O2340" t="inlineStr">
        <is>
          <t>1997</t>
        </is>
      </c>
      <c r="Q2340" t="inlineStr">
        <is>
          <t>eng</t>
        </is>
      </c>
      <c r="R2340" t="inlineStr">
        <is>
          <t>nyu</t>
        </is>
      </c>
      <c r="T2340" t="inlineStr">
        <is>
          <t xml:space="preserve">PR </t>
        </is>
      </c>
      <c r="U2340" t="n">
        <v>1</v>
      </c>
      <c r="V2340" t="n">
        <v>1</v>
      </c>
      <c r="W2340" t="inlineStr">
        <is>
          <t>2004-11-22</t>
        </is>
      </c>
      <c r="X2340" t="inlineStr">
        <is>
          <t>2004-11-22</t>
        </is>
      </c>
      <c r="Y2340" t="inlineStr">
        <is>
          <t>2004-11-22</t>
        </is>
      </c>
      <c r="Z2340" t="inlineStr">
        <is>
          <t>2004-11-22</t>
        </is>
      </c>
      <c r="AA2340" t="n">
        <v>176</v>
      </c>
      <c r="AB2340" t="n">
        <v>140</v>
      </c>
      <c r="AC2340" t="n">
        <v>159</v>
      </c>
      <c r="AD2340" t="n">
        <v>2</v>
      </c>
      <c r="AE2340" t="n">
        <v>2</v>
      </c>
      <c r="AF2340" t="n">
        <v>14</v>
      </c>
      <c r="AG2340" t="n">
        <v>14</v>
      </c>
      <c r="AH2340" t="n">
        <v>3</v>
      </c>
      <c r="AI2340" t="n">
        <v>3</v>
      </c>
      <c r="AJ2340" t="n">
        <v>4</v>
      </c>
      <c r="AK2340" t="n">
        <v>4</v>
      </c>
      <c r="AL2340" t="n">
        <v>11</v>
      </c>
      <c r="AM2340" t="n">
        <v>11</v>
      </c>
      <c r="AN2340" t="n">
        <v>1</v>
      </c>
      <c r="AO2340" t="n">
        <v>1</v>
      </c>
      <c r="AP2340" t="n">
        <v>0</v>
      </c>
      <c r="AQ2340" t="n">
        <v>0</v>
      </c>
      <c r="AR2340" t="inlineStr">
        <is>
          <t>No</t>
        </is>
      </c>
      <c r="AS2340" t="inlineStr">
        <is>
          <t>No</t>
        </is>
      </c>
      <c r="AU2340">
        <f>HYPERLINK("https://creighton-primo.hosted.exlibrisgroup.com/primo-explore/search?tab=default_tab&amp;search_scope=EVERYTHING&amp;vid=01CRU&amp;lang=en_US&amp;offset=0&amp;query=any,contains,991004415609702656","Catalog Record")</f>
        <v/>
      </c>
      <c r="AV2340">
        <f>HYPERLINK("http://www.worldcat.org/oclc/36104101","WorldCat Record")</f>
        <v/>
      </c>
      <c r="AW2340" t="inlineStr">
        <is>
          <t>837049112:eng</t>
        </is>
      </c>
      <c r="AX2340" t="inlineStr">
        <is>
          <t>36104101</t>
        </is>
      </c>
      <c r="AY2340" t="inlineStr">
        <is>
          <t>991004415609702656</t>
        </is>
      </c>
      <c r="AZ2340" t="inlineStr">
        <is>
          <t>991004415609702656</t>
        </is>
      </c>
      <c r="BA2340" t="inlineStr">
        <is>
          <t>2263752330002656</t>
        </is>
      </c>
      <c r="BB2340" t="inlineStr">
        <is>
          <t>BOOK</t>
        </is>
      </c>
      <c r="BD2340" t="inlineStr">
        <is>
          <t>9780312173661</t>
        </is>
      </c>
      <c r="BE2340" t="inlineStr">
        <is>
          <t>32285005012744</t>
        </is>
      </c>
      <c r="BF2340" t="inlineStr">
        <is>
          <t>893259698</t>
        </is>
      </c>
    </row>
    <row r="2341">
      <c r="A2341" t="inlineStr">
        <is>
          <t>No</t>
        </is>
      </c>
      <c r="B2341" t="inlineStr">
        <is>
          <t>CURAL</t>
        </is>
      </c>
      <c r="C2341" t="inlineStr">
        <is>
          <t>SHELVES</t>
        </is>
      </c>
      <c r="D2341" t="inlineStr">
        <is>
          <t>PR539.N3 K4</t>
        </is>
      </c>
      <c r="E2341" t="inlineStr">
        <is>
          <t>0                      PR 0539000N  3                  K  4</t>
        </is>
      </c>
      <c r="F2341" t="inlineStr">
        <is>
          <t>Elizabethan erotic narratives : irony and pathos in the Ovidian poetry of Shakespeare, Marlowe, and their contemporaries / William Keach.</t>
        </is>
      </c>
      <c r="H2341" t="inlineStr">
        <is>
          <t>No</t>
        </is>
      </c>
      <c r="I2341" t="inlineStr">
        <is>
          <t>1</t>
        </is>
      </c>
      <c r="J2341" t="inlineStr">
        <is>
          <t>No</t>
        </is>
      </c>
      <c r="K2341" t="inlineStr">
        <is>
          <t>No</t>
        </is>
      </c>
      <c r="L2341" t="inlineStr">
        <is>
          <t>0</t>
        </is>
      </c>
      <c r="M2341" t="inlineStr">
        <is>
          <t>Keach, William, 1942-</t>
        </is>
      </c>
      <c r="N2341" t="inlineStr">
        <is>
          <t>New Brunswick, N.J. : Rutgers University Press, c1977.</t>
        </is>
      </c>
      <c r="O2341" t="inlineStr">
        <is>
          <t>1976</t>
        </is>
      </c>
      <c r="Q2341" t="inlineStr">
        <is>
          <t>eng</t>
        </is>
      </c>
      <c r="R2341" t="inlineStr">
        <is>
          <t>nju</t>
        </is>
      </c>
      <c r="T2341" t="inlineStr">
        <is>
          <t xml:space="preserve">PR </t>
        </is>
      </c>
      <c r="U2341" t="n">
        <v>3</v>
      </c>
      <c r="V2341" t="n">
        <v>3</v>
      </c>
      <c r="W2341" t="inlineStr">
        <is>
          <t>1993-12-29</t>
        </is>
      </c>
      <c r="X2341" t="inlineStr">
        <is>
          <t>1993-12-29</t>
        </is>
      </c>
      <c r="Y2341" t="inlineStr">
        <is>
          <t>1991-09-04</t>
        </is>
      </c>
      <c r="Z2341" t="inlineStr">
        <is>
          <t>1991-09-04</t>
        </is>
      </c>
      <c r="AA2341" t="n">
        <v>520</v>
      </c>
      <c r="AB2341" t="n">
        <v>415</v>
      </c>
      <c r="AC2341" t="n">
        <v>462</v>
      </c>
      <c r="AD2341" t="n">
        <v>3</v>
      </c>
      <c r="AE2341" t="n">
        <v>3</v>
      </c>
      <c r="AF2341" t="n">
        <v>24</v>
      </c>
      <c r="AG2341" t="n">
        <v>28</v>
      </c>
      <c r="AH2341" t="n">
        <v>13</v>
      </c>
      <c r="AI2341" t="n">
        <v>13</v>
      </c>
      <c r="AJ2341" t="n">
        <v>4</v>
      </c>
      <c r="AK2341" t="n">
        <v>8</v>
      </c>
      <c r="AL2341" t="n">
        <v>12</v>
      </c>
      <c r="AM2341" t="n">
        <v>15</v>
      </c>
      <c r="AN2341" t="n">
        <v>2</v>
      </c>
      <c r="AO2341" t="n">
        <v>2</v>
      </c>
      <c r="AP2341" t="n">
        <v>0</v>
      </c>
      <c r="AQ2341" t="n">
        <v>0</v>
      </c>
      <c r="AR2341" t="inlineStr">
        <is>
          <t>No</t>
        </is>
      </c>
      <c r="AS2341" t="inlineStr">
        <is>
          <t>Yes</t>
        </is>
      </c>
      <c r="AT2341">
        <f>HYPERLINK("http://catalog.hathitrust.org/Record/000726863","HathiTrust Record")</f>
        <v/>
      </c>
      <c r="AU2341">
        <f>HYPERLINK("https://creighton-primo.hosted.exlibrisgroup.com/primo-explore/search?tab=default_tab&amp;search_scope=EVERYTHING&amp;vid=01CRU&amp;lang=en_US&amp;offset=0&amp;query=any,contains,991004092729702656","Catalog Record")</f>
        <v/>
      </c>
      <c r="AV2341">
        <f>HYPERLINK("http://www.worldcat.org/oclc/2346826","WorldCat Record")</f>
        <v/>
      </c>
      <c r="AW2341" t="inlineStr">
        <is>
          <t>5028259:eng</t>
        </is>
      </c>
      <c r="AX2341" t="inlineStr">
        <is>
          <t>2346826</t>
        </is>
      </c>
      <c r="AY2341" t="inlineStr">
        <is>
          <t>991004092729702656</t>
        </is>
      </c>
      <c r="AZ2341" t="inlineStr">
        <is>
          <t>991004092729702656</t>
        </is>
      </c>
      <c r="BA2341" t="inlineStr">
        <is>
          <t>2260772740002656</t>
        </is>
      </c>
      <c r="BB2341" t="inlineStr">
        <is>
          <t>BOOK</t>
        </is>
      </c>
      <c r="BD2341" t="inlineStr">
        <is>
          <t>9780813508306</t>
        </is>
      </c>
      <c r="BE2341" t="inlineStr">
        <is>
          <t>32285000735828</t>
        </is>
      </c>
      <c r="BF2341" t="inlineStr">
        <is>
          <t>893324910</t>
        </is>
      </c>
    </row>
    <row r="2342">
      <c r="A2342" t="inlineStr">
        <is>
          <t>No</t>
        </is>
      </c>
      <c r="B2342" t="inlineStr">
        <is>
          <t>CURAL</t>
        </is>
      </c>
      <c r="C2342" t="inlineStr">
        <is>
          <t>SHELVES</t>
        </is>
      </c>
      <c r="D2342" t="inlineStr">
        <is>
          <t>PR539.S7 F47 1983</t>
        </is>
      </c>
      <c r="E2342" t="inlineStr">
        <is>
          <t>0                      PR 0539000S  7                  F  47          1983</t>
        </is>
      </c>
      <c r="F2342" t="inlineStr">
        <is>
          <t>The "inward" language : sonnets of Wyatt, Sidney, Shakespeare, Donne / Anne Ferry.</t>
        </is>
      </c>
      <c r="H2342" t="inlineStr">
        <is>
          <t>No</t>
        </is>
      </c>
      <c r="I2342" t="inlineStr">
        <is>
          <t>1</t>
        </is>
      </c>
      <c r="J2342" t="inlineStr">
        <is>
          <t>No</t>
        </is>
      </c>
      <c r="K2342" t="inlineStr">
        <is>
          <t>No</t>
        </is>
      </c>
      <c r="L2342" t="inlineStr">
        <is>
          <t>0</t>
        </is>
      </c>
      <c r="M2342" t="inlineStr">
        <is>
          <t>Ferry, Anne.</t>
        </is>
      </c>
      <c r="N2342" t="inlineStr">
        <is>
          <t>Chicago : University of Chicago Press, 1983.</t>
        </is>
      </c>
      <c r="O2342" t="inlineStr">
        <is>
          <t>1983</t>
        </is>
      </c>
      <c r="Q2342" t="inlineStr">
        <is>
          <t>eng</t>
        </is>
      </c>
      <c r="R2342" t="inlineStr">
        <is>
          <t>ilu</t>
        </is>
      </c>
      <c r="T2342" t="inlineStr">
        <is>
          <t xml:space="preserve">PR </t>
        </is>
      </c>
      <c r="U2342" t="n">
        <v>3</v>
      </c>
      <c r="V2342" t="n">
        <v>3</v>
      </c>
      <c r="W2342" t="inlineStr">
        <is>
          <t>2000-10-17</t>
        </is>
      </c>
      <c r="X2342" t="inlineStr">
        <is>
          <t>2000-10-17</t>
        </is>
      </c>
      <c r="Y2342" t="inlineStr">
        <is>
          <t>1991-09-04</t>
        </is>
      </c>
      <c r="Z2342" t="inlineStr">
        <is>
          <t>1991-09-04</t>
        </is>
      </c>
      <c r="AA2342" t="n">
        <v>710</v>
      </c>
      <c r="AB2342" t="n">
        <v>577</v>
      </c>
      <c r="AC2342" t="n">
        <v>582</v>
      </c>
      <c r="AD2342" t="n">
        <v>4</v>
      </c>
      <c r="AE2342" t="n">
        <v>4</v>
      </c>
      <c r="AF2342" t="n">
        <v>34</v>
      </c>
      <c r="AG2342" t="n">
        <v>34</v>
      </c>
      <c r="AH2342" t="n">
        <v>16</v>
      </c>
      <c r="AI2342" t="n">
        <v>16</v>
      </c>
      <c r="AJ2342" t="n">
        <v>8</v>
      </c>
      <c r="AK2342" t="n">
        <v>8</v>
      </c>
      <c r="AL2342" t="n">
        <v>17</v>
      </c>
      <c r="AM2342" t="n">
        <v>17</v>
      </c>
      <c r="AN2342" t="n">
        <v>3</v>
      </c>
      <c r="AO2342" t="n">
        <v>3</v>
      </c>
      <c r="AP2342" t="n">
        <v>0</v>
      </c>
      <c r="AQ2342" t="n">
        <v>0</v>
      </c>
      <c r="AR2342" t="inlineStr">
        <is>
          <t>No</t>
        </is>
      </c>
      <c r="AS2342" t="inlineStr">
        <is>
          <t>No</t>
        </is>
      </c>
      <c r="AU2342">
        <f>HYPERLINK("https://creighton-primo.hosted.exlibrisgroup.com/primo-explore/search?tab=default_tab&amp;search_scope=EVERYTHING&amp;vid=01CRU&amp;lang=en_US&amp;offset=0&amp;query=any,contains,991000147089702656","Catalog Record")</f>
        <v/>
      </c>
      <c r="AV2342">
        <f>HYPERLINK("http://www.worldcat.org/oclc/9196383","WorldCat Record")</f>
        <v/>
      </c>
      <c r="AW2342" t="inlineStr">
        <is>
          <t>19942131:eng</t>
        </is>
      </c>
      <c r="AX2342" t="inlineStr">
        <is>
          <t>9196383</t>
        </is>
      </c>
      <c r="AY2342" t="inlineStr">
        <is>
          <t>991000147089702656</t>
        </is>
      </c>
      <c r="AZ2342" t="inlineStr">
        <is>
          <t>991000147089702656</t>
        </is>
      </c>
      <c r="BA2342" t="inlineStr">
        <is>
          <t>2268340690002656</t>
        </is>
      </c>
      <c r="BB2342" t="inlineStr">
        <is>
          <t>BOOK</t>
        </is>
      </c>
      <c r="BD2342" t="inlineStr">
        <is>
          <t>9780226244662</t>
        </is>
      </c>
      <c r="BE2342" t="inlineStr">
        <is>
          <t>32285000735844</t>
        </is>
      </c>
      <c r="BF2342" t="inlineStr">
        <is>
          <t>893327072</t>
        </is>
      </c>
    </row>
    <row r="2343">
      <c r="A2343" t="inlineStr">
        <is>
          <t>No</t>
        </is>
      </c>
      <c r="B2343" t="inlineStr">
        <is>
          <t>CURAL</t>
        </is>
      </c>
      <c r="C2343" t="inlineStr">
        <is>
          <t>SHELVES</t>
        </is>
      </c>
      <c r="D2343" t="inlineStr">
        <is>
          <t>PR539.S7 L4 1966</t>
        </is>
      </c>
      <c r="E2343" t="inlineStr">
        <is>
          <t>0                      PR 0539000S  7                  L  4           1966</t>
        </is>
      </c>
      <c r="F2343" t="inlineStr">
        <is>
          <t>The Elizabethan love sonnet / by J.W. Lever.</t>
        </is>
      </c>
      <c r="H2343" t="inlineStr">
        <is>
          <t>No</t>
        </is>
      </c>
      <c r="I2343" t="inlineStr">
        <is>
          <t>1</t>
        </is>
      </c>
      <c r="J2343" t="inlineStr">
        <is>
          <t>No</t>
        </is>
      </c>
      <c r="K2343" t="inlineStr">
        <is>
          <t>No</t>
        </is>
      </c>
      <c r="L2343" t="inlineStr">
        <is>
          <t>0</t>
        </is>
      </c>
      <c r="M2343" t="inlineStr">
        <is>
          <t>Lever, J. W. (Julius Walter)</t>
        </is>
      </c>
      <c r="N2343" t="inlineStr">
        <is>
          <t>London : Methuen, 1966.</t>
        </is>
      </c>
      <c r="O2343" t="inlineStr">
        <is>
          <t>1966</t>
        </is>
      </c>
      <c r="P2343" t="inlineStr">
        <is>
          <t>2nd ed.</t>
        </is>
      </c>
      <c r="Q2343" t="inlineStr">
        <is>
          <t>eng</t>
        </is>
      </c>
      <c r="R2343" t="inlineStr">
        <is>
          <t>enk</t>
        </is>
      </c>
      <c r="T2343" t="inlineStr">
        <is>
          <t xml:space="preserve">PR </t>
        </is>
      </c>
      <c r="U2343" t="n">
        <v>2</v>
      </c>
      <c r="V2343" t="n">
        <v>2</v>
      </c>
      <c r="W2343" t="inlineStr">
        <is>
          <t>1994-11-15</t>
        </is>
      </c>
      <c r="X2343" t="inlineStr">
        <is>
          <t>1994-11-15</t>
        </is>
      </c>
      <c r="Y2343" t="inlineStr">
        <is>
          <t>1992-03-20</t>
        </is>
      </c>
      <c r="Z2343" t="inlineStr">
        <is>
          <t>1992-03-20</t>
        </is>
      </c>
      <c r="AA2343" t="n">
        <v>519</v>
      </c>
      <c r="AB2343" t="n">
        <v>461</v>
      </c>
      <c r="AC2343" t="n">
        <v>958</v>
      </c>
      <c r="AD2343" t="n">
        <v>4</v>
      </c>
      <c r="AE2343" t="n">
        <v>8</v>
      </c>
      <c r="AF2343" t="n">
        <v>23</v>
      </c>
      <c r="AG2343" t="n">
        <v>51</v>
      </c>
      <c r="AH2343" t="n">
        <v>11</v>
      </c>
      <c r="AI2343" t="n">
        <v>21</v>
      </c>
      <c r="AJ2343" t="n">
        <v>3</v>
      </c>
      <c r="AK2343" t="n">
        <v>10</v>
      </c>
      <c r="AL2343" t="n">
        <v>9</v>
      </c>
      <c r="AM2343" t="n">
        <v>23</v>
      </c>
      <c r="AN2343" t="n">
        <v>3</v>
      </c>
      <c r="AO2343" t="n">
        <v>7</v>
      </c>
      <c r="AP2343" t="n">
        <v>0</v>
      </c>
      <c r="AQ2343" t="n">
        <v>0</v>
      </c>
      <c r="AR2343" t="inlineStr">
        <is>
          <t>No</t>
        </is>
      </c>
      <c r="AS2343" t="inlineStr">
        <is>
          <t>Yes</t>
        </is>
      </c>
      <c r="AT2343">
        <f>HYPERLINK("http://catalog.hathitrust.org/Record/001111858","HathiTrust Record")</f>
        <v/>
      </c>
      <c r="AU2343">
        <f>HYPERLINK("https://creighton-primo.hosted.exlibrisgroup.com/primo-explore/search?tab=default_tab&amp;search_scope=EVERYTHING&amp;vid=01CRU&amp;lang=en_US&amp;offset=0&amp;query=any,contains,991001924979702656","Catalog Record")</f>
        <v/>
      </c>
      <c r="AV2343">
        <f>HYPERLINK("http://www.worldcat.org/oclc/246115","WorldCat Record")</f>
        <v/>
      </c>
      <c r="AW2343" t="inlineStr">
        <is>
          <t>1364893:eng</t>
        </is>
      </c>
      <c r="AX2343" t="inlineStr">
        <is>
          <t>246115</t>
        </is>
      </c>
      <c r="AY2343" t="inlineStr">
        <is>
          <t>991001924979702656</t>
        </is>
      </c>
      <c r="AZ2343" t="inlineStr">
        <is>
          <t>991001924979702656</t>
        </is>
      </c>
      <c r="BA2343" t="inlineStr">
        <is>
          <t>2257336080002656</t>
        </is>
      </c>
      <c r="BB2343" t="inlineStr">
        <is>
          <t>BOOK</t>
        </is>
      </c>
      <c r="BE2343" t="inlineStr">
        <is>
          <t>32285001025617</t>
        </is>
      </c>
      <c r="BF2343" t="inlineStr">
        <is>
          <t>893433256</t>
        </is>
      </c>
    </row>
    <row r="2344">
      <c r="A2344" t="inlineStr">
        <is>
          <t>No</t>
        </is>
      </c>
      <c r="B2344" t="inlineStr">
        <is>
          <t>CURAL</t>
        </is>
      </c>
      <c r="C2344" t="inlineStr">
        <is>
          <t>SHELVES</t>
        </is>
      </c>
      <c r="D2344" t="inlineStr">
        <is>
          <t>PR5397 .F738</t>
        </is>
      </c>
      <c r="E2344" t="inlineStr">
        <is>
          <t>0                      PR 5397000F  738</t>
        </is>
      </c>
      <c r="F2344" t="inlineStr">
        <is>
          <t>Ariel like a harpy : Shelley, Mary and Frankenstein / by Christopher Small.</t>
        </is>
      </c>
      <c r="H2344" t="inlineStr">
        <is>
          <t>No</t>
        </is>
      </c>
      <c r="I2344" t="inlineStr">
        <is>
          <t>1</t>
        </is>
      </c>
      <c r="J2344" t="inlineStr">
        <is>
          <t>No</t>
        </is>
      </c>
      <c r="K2344" t="inlineStr">
        <is>
          <t>No</t>
        </is>
      </c>
      <c r="L2344" t="inlineStr">
        <is>
          <t>0</t>
        </is>
      </c>
      <c r="M2344" t="inlineStr">
        <is>
          <t>Small, Christopher.</t>
        </is>
      </c>
      <c r="N2344" t="inlineStr">
        <is>
          <t>London : Gollancz, 1972.</t>
        </is>
      </c>
      <c r="O2344" t="inlineStr">
        <is>
          <t>1972</t>
        </is>
      </c>
      <c r="Q2344" t="inlineStr">
        <is>
          <t>eng</t>
        </is>
      </c>
      <c r="R2344" t="inlineStr">
        <is>
          <t>enk</t>
        </is>
      </c>
      <c r="T2344" t="inlineStr">
        <is>
          <t xml:space="preserve">PR </t>
        </is>
      </c>
      <c r="U2344" t="n">
        <v>7</v>
      </c>
      <c r="V2344" t="n">
        <v>7</v>
      </c>
      <c r="W2344" t="inlineStr">
        <is>
          <t>2007-11-15</t>
        </is>
      </c>
      <c r="X2344" t="inlineStr">
        <is>
          <t>2007-11-15</t>
        </is>
      </c>
      <c r="Y2344" t="inlineStr">
        <is>
          <t>1990-03-15</t>
        </is>
      </c>
      <c r="Z2344" t="inlineStr">
        <is>
          <t>1990-03-15</t>
        </is>
      </c>
      <c r="AA2344" t="n">
        <v>369</v>
      </c>
      <c r="AB2344" t="n">
        <v>222</v>
      </c>
      <c r="AC2344" t="n">
        <v>228</v>
      </c>
      <c r="AD2344" t="n">
        <v>3</v>
      </c>
      <c r="AE2344" t="n">
        <v>3</v>
      </c>
      <c r="AF2344" t="n">
        <v>12</v>
      </c>
      <c r="AG2344" t="n">
        <v>12</v>
      </c>
      <c r="AH2344" t="n">
        <v>3</v>
      </c>
      <c r="AI2344" t="n">
        <v>3</v>
      </c>
      <c r="AJ2344" t="n">
        <v>4</v>
      </c>
      <c r="AK2344" t="n">
        <v>4</v>
      </c>
      <c r="AL2344" t="n">
        <v>8</v>
      </c>
      <c r="AM2344" t="n">
        <v>8</v>
      </c>
      <c r="AN2344" t="n">
        <v>2</v>
      </c>
      <c r="AO2344" t="n">
        <v>2</v>
      </c>
      <c r="AP2344" t="n">
        <v>0</v>
      </c>
      <c r="AQ2344" t="n">
        <v>0</v>
      </c>
      <c r="AR2344" t="inlineStr">
        <is>
          <t>No</t>
        </is>
      </c>
      <c r="AS2344" t="inlineStr">
        <is>
          <t>No</t>
        </is>
      </c>
      <c r="AU2344">
        <f>HYPERLINK("https://creighton-primo.hosted.exlibrisgroup.com/primo-explore/search?tab=default_tab&amp;search_scope=EVERYTHING&amp;vid=01CRU&amp;lang=en_US&amp;offset=0&amp;query=any,contains,991002695469702656","Catalog Record")</f>
        <v/>
      </c>
      <c r="AV2344">
        <f>HYPERLINK("http://www.worldcat.org/oclc/403290","WorldCat Record")</f>
        <v/>
      </c>
      <c r="AW2344" t="inlineStr">
        <is>
          <t>3901619328:eng</t>
        </is>
      </c>
      <c r="AX2344" t="inlineStr">
        <is>
          <t>403290</t>
        </is>
      </c>
      <c r="AY2344" t="inlineStr">
        <is>
          <t>991002695469702656</t>
        </is>
      </c>
      <c r="AZ2344" t="inlineStr">
        <is>
          <t>991002695469702656</t>
        </is>
      </c>
      <c r="BA2344" t="inlineStr">
        <is>
          <t>2259847270002656</t>
        </is>
      </c>
      <c r="BB2344" t="inlineStr">
        <is>
          <t>BOOK</t>
        </is>
      </c>
      <c r="BD2344" t="inlineStr">
        <is>
          <t>9780575013933</t>
        </is>
      </c>
      <c r="BE2344" t="inlineStr">
        <is>
          <t>32285000084680</t>
        </is>
      </c>
      <c r="BF2344" t="inlineStr">
        <is>
          <t>893867572</t>
        </is>
      </c>
    </row>
    <row r="2345">
      <c r="A2345" t="inlineStr">
        <is>
          <t>No</t>
        </is>
      </c>
      <c r="B2345" t="inlineStr">
        <is>
          <t>CURAL</t>
        </is>
      </c>
      <c r="C2345" t="inlineStr">
        <is>
          <t>SHELVES</t>
        </is>
      </c>
      <c r="D2345" t="inlineStr">
        <is>
          <t>PR5398 .B5 1959a</t>
        </is>
      </c>
      <c r="E2345" t="inlineStr">
        <is>
          <t>0                      PR 5398000B  5           1959a</t>
        </is>
      </c>
      <c r="F2345" t="inlineStr">
        <is>
          <t>Mary Shelley.</t>
        </is>
      </c>
      <c r="H2345" t="inlineStr">
        <is>
          <t>No</t>
        </is>
      </c>
      <c r="I2345" t="inlineStr">
        <is>
          <t>1</t>
        </is>
      </c>
      <c r="J2345" t="inlineStr">
        <is>
          <t>No</t>
        </is>
      </c>
      <c r="K2345" t="inlineStr">
        <is>
          <t>No</t>
        </is>
      </c>
      <c r="L2345" t="inlineStr">
        <is>
          <t>0</t>
        </is>
      </c>
      <c r="M2345" t="inlineStr">
        <is>
          <t>Bigland, Eileen.</t>
        </is>
      </c>
      <c r="N2345" t="inlineStr">
        <is>
          <t>New York, Appleton-Century-Crofts [1959]</t>
        </is>
      </c>
      <c r="O2345" t="inlineStr">
        <is>
          <t>1959</t>
        </is>
      </c>
      <c r="Q2345" t="inlineStr">
        <is>
          <t>eng</t>
        </is>
      </c>
      <c r="R2345" t="inlineStr">
        <is>
          <t>nyu</t>
        </is>
      </c>
      <c r="T2345" t="inlineStr">
        <is>
          <t xml:space="preserve">PR </t>
        </is>
      </c>
      <c r="U2345" t="n">
        <v>2</v>
      </c>
      <c r="V2345" t="n">
        <v>2</v>
      </c>
      <c r="W2345" t="inlineStr">
        <is>
          <t>2007-11-15</t>
        </is>
      </c>
      <c r="X2345" t="inlineStr">
        <is>
          <t>2007-11-15</t>
        </is>
      </c>
      <c r="Y2345" t="inlineStr">
        <is>
          <t>1997-07-18</t>
        </is>
      </c>
      <c r="Z2345" t="inlineStr">
        <is>
          <t>1997-07-18</t>
        </is>
      </c>
      <c r="AA2345" t="n">
        <v>488</v>
      </c>
      <c r="AB2345" t="n">
        <v>472</v>
      </c>
      <c r="AC2345" t="n">
        <v>633</v>
      </c>
      <c r="AD2345" t="n">
        <v>2</v>
      </c>
      <c r="AE2345" t="n">
        <v>4</v>
      </c>
      <c r="AF2345" t="n">
        <v>18</v>
      </c>
      <c r="AG2345" t="n">
        <v>28</v>
      </c>
      <c r="AH2345" t="n">
        <v>7</v>
      </c>
      <c r="AI2345" t="n">
        <v>12</v>
      </c>
      <c r="AJ2345" t="n">
        <v>6</v>
      </c>
      <c r="AK2345" t="n">
        <v>7</v>
      </c>
      <c r="AL2345" t="n">
        <v>9</v>
      </c>
      <c r="AM2345" t="n">
        <v>11</v>
      </c>
      <c r="AN2345" t="n">
        <v>1</v>
      </c>
      <c r="AO2345" t="n">
        <v>3</v>
      </c>
      <c r="AP2345" t="n">
        <v>0</v>
      </c>
      <c r="AQ2345" t="n">
        <v>0</v>
      </c>
      <c r="AR2345" t="inlineStr">
        <is>
          <t>No</t>
        </is>
      </c>
      <c r="AS2345" t="inlineStr">
        <is>
          <t>Yes</t>
        </is>
      </c>
      <c r="AT2345">
        <f>HYPERLINK("http://catalog.hathitrust.org/Record/007122573","HathiTrust Record")</f>
        <v/>
      </c>
      <c r="AU2345">
        <f>HYPERLINK("https://creighton-primo.hosted.exlibrisgroup.com/primo-explore/search?tab=default_tab&amp;search_scope=EVERYTHING&amp;vid=01CRU&amp;lang=en_US&amp;offset=0&amp;query=any,contains,991003661239702656","Catalog Record")</f>
        <v/>
      </c>
      <c r="AV2345">
        <f>HYPERLINK("http://www.worldcat.org/oclc/1269954","WorldCat Record")</f>
        <v/>
      </c>
      <c r="AW2345" t="inlineStr">
        <is>
          <t>1534955:eng</t>
        </is>
      </c>
      <c r="AX2345" t="inlineStr">
        <is>
          <t>1269954</t>
        </is>
      </c>
      <c r="AY2345" t="inlineStr">
        <is>
          <t>991003661239702656</t>
        </is>
      </c>
      <c r="AZ2345" t="inlineStr">
        <is>
          <t>991003661239702656</t>
        </is>
      </c>
      <c r="BA2345" t="inlineStr">
        <is>
          <t>2259803430002656</t>
        </is>
      </c>
      <c r="BB2345" t="inlineStr">
        <is>
          <t>BOOK</t>
        </is>
      </c>
      <c r="BE2345" t="inlineStr">
        <is>
          <t>32285002933686</t>
        </is>
      </c>
      <c r="BF2345" t="inlineStr">
        <is>
          <t>893246594</t>
        </is>
      </c>
    </row>
    <row r="2346">
      <c r="A2346" t="inlineStr">
        <is>
          <t>No</t>
        </is>
      </c>
      <c r="B2346" t="inlineStr">
        <is>
          <t>CURAL</t>
        </is>
      </c>
      <c r="C2346" t="inlineStr">
        <is>
          <t>SHELVES</t>
        </is>
      </c>
      <c r="D2346" t="inlineStr">
        <is>
          <t>PR5398 .B68 1993</t>
        </is>
      </c>
      <c r="E2346" t="inlineStr">
        <is>
          <t>0                      PR 5398000B  68          1993</t>
        </is>
      </c>
      <c r="F2346" t="inlineStr">
        <is>
          <t>Mary Shelley's early novels : 'this child of imagination and misery' / Jane Blumberg.</t>
        </is>
      </c>
      <c r="H2346" t="inlineStr">
        <is>
          <t>No</t>
        </is>
      </c>
      <c r="I2346" t="inlineStr">
        <is>
          <t>1</t>
        </is>
      </c>
      <c r="J2346" t="inlineStr">
        <is>
          <t>No</t>
        </is>
      </c>
      <c r="K2346" t="inlineStr">
        <is>
          <t>No</t>
        </is>
      </c>
      <c r="L2346" t="inlineStr">
        <is>
          <t>0</t>
        </is>
      </c>
      <c r="M2346" t="inlineStr">
        <is>
          <t>Blumberg, Jane.</t>
        </is>
      </c>
      <c r="N2346" t="inlineStr">
        <is>
          <t>Iowa City : University of Iowa Press, c1993.</t>
        </is>
      </c>
      <c r="O2346" t="inlineStr">
        <is>
          <t>1993</t>
        </is>
      </c>
      <c r="Q2346" t="inlineStr">
        <is>
          <t>eng</t>
        </is>
      </c>
      <c r="R2346" t="inlineStr">
        <is>
          <t>iau</t>
        </is>
      </c>
      <c r="T2346" t="inlineStr">
        <is>
          <t xml:space="preserve">PR </t>
        </is>
      </c>
      <c r="U2346" t="n">
        <v>6</v>
      </c>
      <c r="V2346" t="n">
        <v>6</v>
      </c>
      <c r="W2346" t="inlineStr">
        <is>
          <t>2005-01-26</t>
        </is>
      </c>
      <c r="X2346" t="inlineStr">
        <is>
          <t>2005-01-26</t>
        </is>
      </c>
      <c r="Y2346" t="inlineStr">
        <is>
          <t>1993-07-06</t>
        </is>
      </c>
      <c r="Z2346" t="inlineStr">
        <is>
          <t>1993-07-06</t>
        </is>
      </c>
      <c r="AA2346" t="n">
        <v>392</v>
      </c>
      <c r="AB2346" t="n">
        <v>357</v>
      </c>
      <c r="AC2346" t="n">
        <v>382</v>
      </c>
      <c r="AD2346" t="n">
        <v>3</v>
      </c>
      <c r="AE2346" t="n">
        <v>3</v>
      </c>
      <c r="AF2346" t="n">
        <v>21</v>
      </c>
      <c r="AG2346" t="n">
        <v>21</v>
      </c>
      <c r="AH2346" t="n">
        <v>7</v>
      </c>
      <c r="AI2346" t="n">
        <v>7</v>
      </c>
      <c r="AJ2346" t="n">
        <v>5</v>
      </c>
      <c r="AK2346" t="n">
        <v>5</v>
      </c>
      <c r="AL2346" t="n">
        <v>13</v>
      </c>
      <c r="AM2346" t="n">
        <v>13</v>
      </c>
      <c r="AN2346" t="n">
        <v>2</v>
      </c>
      <c r="AO2346" t="n">
        <v>2</v>
      </c>
      <c r="AP2346" t="n">
        <v>0</v>
      </c>
      <c r="AQ2346" t="n">
        <v>0</v>
      </c>
      <c r="AR2346" t="inlineStr">
        <is>
          <t>No</t>
        </is>
      </c>
      <c r="AS2346" t="inlineStr">
        <is>
          <t>Yes</t>
        </is>
      </c>
      <c r="AT2346">
        <f>HYPERLINK("http://catalog.hathitrust.org/Record/002648333","HathiTrust Record")</f>
        <v/>
      </c>
      <c r="AU2346">
        <f>HYPERLINK("https://creighton-primo.hosted.exlibrisgroup.com/primo-explore/search?tab=default_tab&amp;search_scope=EVERYTHING&amp;vid=01CRU&amp;lang=en_US&amp;offset=0&amp;query=any,contains,991002179099702656","Catalog Record")</f>
        <v/>
      </c>
      <c r="AV2346">
        <f>HYPERLINK("http://www.worldcat.org/oclc/28056732","WorldCat Record")</f>
        <v/>
      </c>
      <c r="AW2346" t="inlineStr">
        <is>
          <t>376497:eng</t>
        </is>
      </c>
      <c r="AX2346" t="inlineStr">
        <is>
          <t>28056732</t>
        </is>
      </c>
      <c r="AY2346" t="inlineStr">
        <is>
          <t>991002179099702656</t>
        </is>
      </c>
      <c r="AZ2346" t="inlineStr">
        <is>
          <t>991002179099702656</t>
        </is>
      </c>
      <c r="BA2346" t="inlineStr">
        <is>
          <t>2269003610002656</t>
        </is>
      </c>
      <c r="BB2346" t="inlineStr">
        <is>
          <t>BOOK</t>
        </is>
      </c>
      <c r="BD2346" t="inlineStr">
        <is>
          <t>9780877453970</t>
        </is>
      </c>
      <c r="BE2346" t="inlineStr">
        <is>
          <t>32285001701613</t>
        </is>
      </c>
      <c r="BF2346" t="inlineStr">
        <is>
          <t>893792113</t>
        </is>
      </c>
    </row>
    <row r="2347">
      <c r="A2347" t="inlineStr">
        <is>
          <t>No</t>
        </is>
      </c>
      <c r="B2347" t="inlineStr">
        <is>
          <t>CURAL</t>
        </is>
      </c>
      <c r="C2347" t="inlineStr">
        <is>
          <t>SHELVES</t>
        </is>
      </c>
      <c r="D2347" t="inlineStr">
        <is>
          <t>PR5398 .D85</t>
        </is>
      </c>
      <c r="E2347" t="inlineStr">
        <is>
          <t>0                      PR 5398000D  85</t>
        </is>
      </c>
      <c r="F2347" t="inlineStr">
        <is>
          <t>Moon in eclipse : a life of Mary Shelley / Jane Dunn. --</t>
        </is>
      </c>
      <c r="H2347" t="inlineStr">
        <is>
          <t>No</t>
        </is>
      </c>
      <c r="I2347" t="inlineStr">
        <is>
          <t>1</t>
        </is>
      </c>
      <c r="J2347" t="inlineStr">
        <is>
          <t>No</t>
        </is>
      </c>
      <c r="K2347" t="inlineStr">
        <is>
          <t>No</t>
        </is>
      </c>
      <c r="L2347" t="inlineStr">
        <is>
          <t>0</t>
        </is>
      </c>
      <c r="M2347" t="inlineStr">
        <is>
          <t>Dunn, Jane.</t>
        </is>
      </c>
      <c r="N2347" t="inlineStr">
        <is>
          <t>New York : St. Martin's Press, 1978.</t>
        </is>
      </c>
      <c r="O2347" t="inlineStr">
        <is>
          <t>1978</t>
        </is>
      </c>
      <c r="Q2347" t="inlineStr">
        <is>
          <t>eng</t>
        </is>
      </c>
      <c r="R2347" t="inlineStr">
        <is>
          <t>nyu</t>
        </is>
      </c>
      <c r="T2347" t="inlineStr">
        <is>
          <t xml:space="preserve">PR </t>
        </is>
      </c>
      <c r="U2347" t="n">
        <v>7</v>
      </c>
      <c r="V2347" t="n">
        <v>7</v>
      </c>
      <c r="W2347" t="inlineStr">
        <is>
          <t>2009-03-30</t>
        </is>
      </c>
      <c r="X2347" t="inlineStr">
        <is>
          <t>2009-03-30</t>
        </is>
      </c>
      <c r="Y2347" t="inlineStr">
        <is>
          <t>1992-02-01</t>
        </is>
      </c>
      <c r="Z2347" t="inlineStr">
        <is>
          <t>1992-02-01</t>
        </is>
      </c>
      <c r="AA2347" t="n">
        <v>287</v>
      </c>
      <c r="AB2347" t="n">
        <v>258</v>
      </c>
      <c r="AC2347" t="n">
        <v>308</v>
      </c>
      <c r="AD2347" t="n">
        <v>2</v>
      </c>
      <c r="AE2347" t="n">
        <v>3</v>
      </c>
      <c r="AF2347" t="n">
        <v>11</v>
      </c>
      <c r="AG2347" t="n">
        <v>14</v>
      </c>
      <c r="AH2347" t="n">
        <v>3</v>
      </c>
      <c r="AI2347" t="n">
        <v>3</v>
      </c>
      <c r="AJ2347" t="n">
        <v>5</v>
      </c>
      <c r="AK2347" t="n">
        <v>6</v>
      </c>
      <c r="AL2347" t="n">
        <v>6</v>
      </c>
      <c r="AM2347" t="n">
        <v>8</v>
      </c>
      <c r="AN2347" t="n">
        <v>1</v>
      </c>
      <c r="AO2347" t="n">
        <v>2</v>
      </c>
      <c r="AP2347" t="n">
        <v>0</v>
      </c>
      <c r="AQ2347" t="n">
        <v>0</v>
      </c>
      <c r="AR2347" t="inlineStr">
        <is>
          <t>No</t>
        </is>
      </c>
      <c r="AS2347" t="inlineStr">
        <is>
          <t>No</t>
        </is>
      </c>
      <c r="AU2347">
        <f>HYPERLINK("https://creighton-primo.hosted.exlibrisgroup.com/primo-explore/search?tab=default_tab&amp;search_scope=EVERYTHING&amp;vid=01CRU&amp;lang=en_US&amp;offset=0&amp;query=any,contains,991004480929702656","Catalog Record")</f>
        <v/>
      </c>
      <c r="AV2347">
        <f>HYPERLINK("http://www.worldcat.org/oclc/3627371","WorldCat Record")</f>
        <v/>
      </c>
      <c r="AW2347" t="inlineStr">
        <is>
          <t>11647273:eng</t>
        </is>
      </c>
      <c r="AX2347" t="inlineStr">
        <is>
          <t>3627371</t>
        </is>
      </c>
      <c r="AY2347" t="inlineStr">
        <is>
          <t>991004480929702656</t>
        </is>
      </c>
      <c r="AZ2347" t="inlineStr">
        <is>
          <t>991004480929702656</t>
        </is>
      </c>
      <c r="BA2347" t="inlineStr">
        <is>
          <t>2269277880002656</t>
        </is>
      </c>
      <c r="BB2347" t="inlineStr">
        <is>
          <t>BOOK</t>
        </is>
      </c>
      <c r="BD2347" t="inlineStr">
        <is>
          <t>9780312546922</t>
        </is>
      </c>
      <c r="BE2347" t="inlineStr">
        <is>
          <t>32285000932243</t>
        </is>
      </c>
      <c r="BF2347" t="inlineStr">
        <is>
          <t>893436332</t>
        </is>
      </c>
    </row>
    <row r="2348">
      <c r="A2348" t="inlineStr">
        <is>
          <t>No</t>
        </is>
      </c>
      <c r="B2348" t="inlineStr">
        <is>
          <t>CURAL</t>
        </is>
      </c>
      <c r="C2348" t="inlineStr">
        <is>
          <t>SHELVES</t>
        </is>
      </c>
      <c r="D2348" t="inlineStr">
        <is>
          <t>PR5398 .G4 1973</t>
        </is>
      </c>
      <c r="E2348" t="inlineStr">
        <is>
          <t>0                      PR 5398000G  4           1973</t>
        </is>
      </c>
      <c r="F2348" t="inlineStr">
        <is>
          <t>Daughter of earth and water : a biography of Mary Wollstonecraft Shelley / [by] Noel B. Gerson.</t>
        </is>
      </c>
      <c r="H2348" t="inlineStr">
        <is>
          <t>No</t>
        </is>
      </c>
      <c r="I2348" t="inlineStr">
        <is>
          <t>1</t>
        </is>
      </c>
      <c r="J2348" t="inlineStr">
        <is>
          <t>No</t>
        </is>
      </c>
      <c r="K2348" t="inlineStr">
        <is>
          <t>No</t>
        </is>
      </c>
      <c r="L2348" t="inlineStr">
        <is>
          <t>0</t>
        </is>
      </c>
      <c r="M2348" t="inlineStr">
        <is>
          <t>Gerson, Noel B. (Noel Bertram), 1914-1988.</t>
        </is>
      </c>
      <c r="N2348" t="inlineStr">
        <is>
          <t>New York : Morrow, 1973.</t>
        </is>
      </c>
      <c r="O2348" t="inlineStr">
        <is>
          <t>1973</t>
        </is>
      </c>
      <c r="Q2348" t="inlineStr">
        <is>
          <t>eng</t>
        </is>
      </c>
      <c r="R2348" t="inlineStr">
        <is>
          <t>nyu</t>
        </is>
      </c>
      <c r="T2348" t="inlineStr">
        <is>
          <t xml:space="preserve">PR </t>
        </is>
      </c>
      <c r="U2348" t="n">
        <v>5</v>
      </c>
      <c r="V2348" t="n">
        <v>5</v>
      </c>
      <c r="W2348" t="inlineStr">
        <is>
          <t>2007-12-02</t>
        </is>
      </c>
      <c r="X2348" t="inlineStr">
        <is>
          <t>2007-12-02</t>
        </is>
      </c>
      <c r="Y2348" t="inlineStr">
        <is>
          <t>1991-12-23</t>
        </is>
      </c>
      <c r="Z2348" t="inlineStr">
        <is>
          <t>1991-12-23</t>
        </is>
      </c>
      <c r="AA2348" t="n">
        <v>792</v>
      </c>
      <c r="AB2348" t="n">
        <v>748</v>
      </c>
      <c r="AC2348" t="n">
        <v>812</v>
      </c>
      <c r="AD2348" t="n">
        <v>5</v>
      </c>
      <c r="AE2348" t="n">
        <v>6</v>
      </c>
      <c r="AF2348" t="n">
        <v>14</v>
      </c>
      <c r="AG2348" t="n">
        <v>14</v>
      </c>
      <c r="AH2348" t="n">
        <v>2</v>
      </c>
      <c r="AI2348" t="n">
        <v>2</v>
      </c>
      <c r="AJ2348" t="n">
        <v>5</v>
      </c>
      <c r="AK2348" t="n">
        <v>5</v>
      </c>
      <c r="AL2348" t="n">
        <v>10</v>
      </c>
      <c r="AM2348" t="n">
        <v>10</v>
      </c>
      <c r="AN2348" t="n">
        <v>2</v>
      </c>
      <c r="AO2348" t="n">
        <v>2</v>
      </c>
      <c r="AP2348" t="n">
        <v>0</v>
      </c>
      <c r="AQ2348" t="n">
        <v>0</v>
      </c>
      <c r="AR2348" t="inlineStr">
        <is>
          <t>No</t>
        </is>
      </c>
      <c r="AS2348" t="inlineStr">
        <is>
          <t>Yes</t>
        </is>
      </c>
      <c r="AT2348">
        <f>HYPERLINK("http://catalog.hathitrust.org/Record/001024458","HathiTrust Record")</f>
        <v/>
      </c>
      <c r="AU2348">
        <f>HYPERLINK("https://creighton-primo.hosted.exlibrisgroup.com/primo-explore/search?tab=default_tab&amp;search_scope=EVERYTHING&amp;vid=01CRU&amp;lang=en_US&amp;offset=0&amp;query=any,contains,991002713289702656","Catalog Record")</f>
        <v/>
      </c>
      <c r="AV2348">
        <f>HYPERLINK("http://www.worldcat.org/oclc/410448","WorldCat Record")</f>
        <v/>
      </c>
      <c r="AW2348" t="inlineStr">
        <is>
          <t>196053898:eng</t>
        </is>
      </c>
      <c r="AX2348" t="inlineStr">
        <is>
          <t>410448</t>
        </is>
      </c>
      <c r="AY2348" t="inlineStr">
        <is>
          <t>991002713289702656</t>
        </is>
      </c>
      <c r="AZ2348" t="inlineStr">
        <is>
          <t>991002713289702656</t>
        </is>
      </c>
      <c r="BA2348" t="inlineStr">
        <is>
          <t>2262522520002656</t>
        </is>
      </c>
      <c r="BB2348" t="inlineStr">
        <is>
          <t>BOOK</t>
        </is>
      </c>
      <c r="BE2348" t="inlineStr">
        <is>
          <t>32285000878818</t>
        </is>
      </c>
      <c r="BF2348" t="inlineStr">
        <is>
          <t>893867594</t>
        </is>
      </c>
    </row>
    <row r="2349">
      <c r="A2349" t="inlineStr">
        <is>
          <t>No</t>
        </is>
      </c>
      <c r="B2349" t="inlineStr">
        <is>
          <t>CURAL</t>
        </is>
      </c>
      <c r="C2349" t="inlineStr">
        <is>
          <t>SHELVES</t>
        </is>
      </c>
      <c r="D2349" t="inlineStr">
        <is>
          <t>PR5398 .I46 1997</t>
        </is>
      </c>
      <c r="E2349" t="inlineStr">
        <is>
          <t>0                      PR 5398000I  46          1997</t>
        </is>
      </c>
      <c r="F2349" t="inlineStr">
        <is>
          <t>Iconoclastic departures : Mary Shelley after Frankenstein : essays in honor of the bicentenary of Mary Shelley's birth / edited by Syndy M. Conger, Frederick S. Frank, and Gregory O'Dea ; assistant editor, Jennifer Yocum.</t>
        </is>
      </c>
      <c r="H2349" t="inlineStr">
        <is>
          <t>No</t>
        </is>
      </c>
      <c r="I2349" t="inlineStr">
        <is>
          <t>1</t>
        </is>
      </c>
      <c r="J2349" t="inlineStr">
        <is>
          <t>No</t>
        </is>
      </c>
      <c r="K2349" t="inlineStr">
        <is>
          <t>No</t>
        </is>
      </c>
      <c r="L2349" t="inlineStr">
        <is>
          <t>0</t>
        </is>
      </c>
      <c r="N2349" t="inlineStr">
        <is>
          <t>Madison, NJ : Fairleigh Dickinson University Press ; London ; Cranbury, NJ : Associated University Presses, c1997.</t>
        </is>
      </c>
      <c r="O2349" t="inlineStr">
        <is>
          <t>1997</t>
        </is>
      </c>
      <c r="Q2349" t="inlineStr">
        <is>
          <t>eng</t>
        </is>
      </c>
      <c r="R2349" t="inlineStr">
        <is>
          <t>nju</t>
        </is>
      </c>
      <c r="T2349" t="inlineStr">
        <is>
          <t xml:space="preserve">PR </t>
        </is>
      </c>
      <c r="U2349" t="n">
        <v>5</v>
      </c>
      <c r="V2349" t="n">
        <v>5</v>
      </c>
      <c r="W2349" t="inlineStr">
        <is>
          <t>2003-04-08</t>
        </is>
      </c>
      <c r="X2349" t="inlineStr">
        <is>
          <t>2003-04-08</t>
        </is>
      </c>
      <c r="Y2349" t="inlineStr">
        <is>
          <t>1998-05-28</t>
        </is>
      </c>
      <c r="Z2349" t="inlineStr">
        <is>
          <t>1998-05-28</t>
        </is>
      </c>
      <c r="AA2349" t="n">
        <v>409</v>
      </c>
      <c r="AB2349" t="n">
        <v>342</v>
      </c>
      <c r="AC2349" t="n">
        <v>344</v>
      </c>
      <c r="AD2349" t="n">
        <v>4</v>
      </c>
      <c r="AE2349" t="n">
        <v>4</v>
      </c>
      <c r="AF2349" t="n">
        <v>27</v>
      </c>
      <c r="AG2349" t="n">
        <v>27</v>
      </c>
      <c r="AH2349" t="n">
        <v>8</v>
      </c>
      <c r="AI2349" t="n">
        <v>8</v>
      </c>
      <c r="AJ2349" t="n">
        <v>7</v>
      </c>
      <c r="AK2349" t="n">
        <v>7</v>
      </c>
      <c r="AL2349" t="n">
        <v>14</v>
      </c>
      <c r="AM2349" t="n">
        <v>14</v>
      </c>
      <c r="AN2349" t="n">
        <v>3</v>
      </c>
      <c r="AO2349" t="n">
        <v>3</v>
      </c>
      <c r="AP2349" t="n">
        <v>0</v>
      </c>
      <c r="AQ2349" t="n">
        <v>0</v>
      </c>
      <c r="AR2349" t="inlineStr">
        <is>
          <t>No</t>
        </is>
      </c>
      <c r="AS2349" t="inlineStr">
        <is>
          <t>Yes</t>
        </is>
      </c>
      <c r="AT2349">
        <f>HYPERLINK("http://catalog.hathitrust.org/Record/003948033","HathiTrust Record")</f>
        <v/>
      </c>
      <c r="AU2349">
        <f>HYPERLINK("https://creighton-primo.hosted.exlibrisgroup.com/primo-explore/search?tab=default_tab&amp;search_scope=EVERYTHING&amp;vid=01CRU&amp;lang=en_US&amp;offset=0&amp;query=any,contains,991002746589702656","Catalog Record")</f>
        <v/>
      </c>
      <c r="AV2349">
        <f>HYPERLINK("http://www.worldcat.org/oclc/36042421","WorldCat Record")</f>
        <v/>
      </c>
      <c r="AW2349" t="inlineStr">
        <is>
          <t>365643833:eng</t>
        </is>
      </c>
      <c r="AX2349" t="inlineStr">
        <is>
          <t>36042421</t>
        </is>
      </c>
      <c r="AY2349" t="inlineStr">
        <is>
          <t>991002746589702656</t>
        </is>
      </c>
      <c r="AZ2349" t="inlineStr">
        <is>
          <t>991002746589702656</t>
        </is>
      </c>
      <c r="BA2349" t="inlineStr">
        <is>
          <t>2267353930002656</t>
        </is>
      </c>
      <c r="BB2349" t="inlineStr">
        <is>
          <t>BOOK</t>
        </is>
      </c>
      <c r="BD2349" t="inlineStr">
        <is>
          <t>9780838636848</t>
        </is>
      </c>
      <c r="BE2349" t="inlineStr">
        <is>
          <t>32285003412441</t>
        </is>
      </c>
      <c r="BF2349" t="inlineStr">
        <is>
          <t>893616522</t>
        </is>
      </c>
    </row>
    <row r="2350">
      <c r="A2350" t="inlineStr">
        <is>
          <t>No</t>
        </is>
      </c>
      <c r="B2350" t="inlineStr">
        <is>
          <t>CURAL</t>
        </is>
      </c>
      <c r="C2350" t="inlineStr">
        <is>
          <t>SHELVES</t>
        </is>
      </c>
      <c r="D2350" t="inlineStr">
        <is>
          <t>PR5398 .S47 2000</t>
        </is>
      </c>
      <c r="E2350" t="inlineStr">
        <is>
          <t>0                      PR 5398000S  47          2000</t>
        </is>
      </c>
      <c r="F2350" t="inlineStr">
        <is>
          <t>Mary Shelley / Miranda Seymour.</t>
        </is>
      </c>
      <c r="H2350" t="inlineStr">
        <is>
          <t>No</t>
        </is>
      </c>
      <c r="I2350" t="inlineStr">
        <is>
          <t>1</t>
        </is>
      </c>
      <c r="J2350" t="inlineStr">
        <is>
          <t>No</t>
        </is>
      </c>
      <c r="K2350" t="inlineStr">
        <is>
          <t>No</t>
        </is>
      </c>
      <c r="L2350" t="inlineStr">
        <is>
          <t>0</t>
        </is>
      </c>
      <c r="M2350" t="inlineStr">
        <is>
          <t>Seymour, Miranda.</t>
        </is>
      </c>
      <c r="N2350" t="inlineStr">
        <is>
          <t>New York : Grove Press, 2000.</t>
        </is>
      </c>
      <c r="O2350" t="inlineStr">
        <is>
          <t>2000</t>
        </is>
      </c>
      <c r="P2350" t="inlineStr">
        <is>
          <t>1st American ed.</t>
        </is>
      </c>
      <c r="Q2350" t="inlineStr">
        <is>
          <t>eng</t>
        </is>
      </c>
      <c r="R2350" t="inlineStr">
        <is>
          <t>nyu</t>
        </is>
      </c>
      <c r="T2350" t="inlineStr">
        <is>
          <t xml:space="preserve">PR </t>
        </is>
      </c>
      <c r="U2350" t="n">
        <v>8</v>
      </c>
      <c r="V2350" t="n">
        <v>8</v>
      </c>
      <c r="W2350" t="inlineStr">
        <is>
          <t>2007-11-09</t>
        </is>
      </c>
      <c r="X2350" t="inlineStr">
        <is>
          <t>2007-11-09</t>
        </is>
      </c>
      <c r="Y2350" t="inlineStr">
        <is>
          <t>2001-09-13</t>
        </is>
      </c>
      <c r="Z2350" t="inlineStr">
        <is>
          <t>2001-09-13</t>
        </is>
      </c>
      <c r="AA2350" t="n">
        <v>1463</v>
      </c>
      <c r="AB2350" t="n">
        <v>1409</v>
      </c>
      <c r="AC2350" t="n">
        <v>1613</v>
      </c>
      <c r="AD2350" t="n">
        <v>8</v>
      </c>
      <c r="AE2350" t="n">
        <v>10</v>
      </c>
      <c r="AF2350" t="n">
        <v>37</v>
      </c>
      <c r="AG2350" t="n">
        <v>47</v>
      </c>
      <c r="AH2350" t="n">
        <v>22</v>
      </c>
      <c r="AI2350" t="n">
        <v>23</v>
      </c>
      <c r="AJ2350" t="n">
        <v>6</v>
      </c>
      <c r="AK2350" t="n">
        <v>9</v>
      </c>
      <c r="AL2350" t="n">
        <v>15</v>
      </c>
      <c r="AM2350" t="n">
        <v>21</v>
      </c>
      <c r="AN2350" t="n">
        <v>4</v>
      </c>
      <c r="AO2350" t="n">
        <v>6</v>
      </c>
      <c r="AP2350" t="n">
        <v>0</v>
      </c>
      <c r="AQ2350" t="n">
        <v>0</v>
      </c>
      <c r="AR2350" t="inlineStr">
        <is>
          <t>No</t>
        </is>
      </c>
      <c r="AS2350" t="inlineStr">
        <is>
          <t>No</t>
        </is>
      </c>
      <c r="AU2350">
        <f>HYPERLINK("https://creighton-primo.hosted.exlibrisgroup.com/primo-explore/search?tab=default_tab&amp;search_scope=EVERYTHING&amp;vid=01CRU&amp;lang=en_US&amp;offset=0&amp;query=any,contains,991003599699702656","Catalog Record")</f>
        <v/>
      </c>
      <c r="AV2350">
        <f>HYPERLINK("http://www.worldcat.org/oclc/46731236","WorldCat Record")</f>
        <v/>
      </c>
      <c r="AW2350" t="inlineStr">
        <is>
          <t>3901205122:eng</t>
        </is>
      </c>
      <c r="AX2350" t="inlineStr">
        <is>
          <t>46731236</t>
        </is>
      </c>
      <c r="AY2350" t="inlineStr">
        <is>
          <t>991003599699702656</t>
        </is>
      </c>
      <c r="AZ2350" t="inlineStr">
        <is>
          <t>991003599699702656</t>
        </is>
      </c>
      <c r="BA2350" t="inlineStr">
        <is>
          <t>2259891890002656</t>
        </is>
      </c>
      <c r="BB2350" t="inlineStr">
        <is>
          <t>BOOK</t>
        </is>
      </c>
      <c r="BD2350" t="inlineStr">
        <is>
          <t>9780802117021</t>
        </is>
      </c>
      <c r="BE2350" t="inlineStr">
        <is>
          <t>32285004391537</t>
        </is>
      </c>
      <c r="BF2350" t="inlineStr">
        <is>
          <t>893410450</t>
        </is>
      </c>
    </row>
    <row r="2351">
      <c r="A2351" t="inlineStr">
        <is>
          <t>No</t>
        </is>
      </c>
      <c r="B2351" t="inlineStr">
        <is>
          <t>CURAL</t>
        </is>
      </c>
      <c r="C2351" t="inlineStr">
        <is>
          <t>SHELVES</t>
        </is>
      </c>
      <c r="D2351" t="inlineStr">
        <is>
          <t>PR5398 .S55 1996</t>
        </is>
      </c>
      <c r="E2351" t="inlineStr">
        <is>
          <t>0                      PR 5398000S  55          1996</t>
        </is>
      </c>
      <c r="F2351" t="inlineStr">
        <is>
          <t>Mary Shelley / Johanna M. Smith.</t>
        </is>
      </c>
      <c r="H2351" t="inlineStr">
        <is>
          <t>No</t>
        </is>
      </c>
      <c r="I2351" t="inlineStr">
        <is>
          <t>1</t>
        </is>
      </c>
      <c r="J2351" t="inlineStr">
        <is>
          <t>No</t>
        </is>
      </c>
      <c r="K2351" t="inlineStr">
        <is>
          <t>No</t>
        </is>
      </c>
      <c r="L2351" t="inlineStr">
        <is>
          <t>0</t>
        </is>
      </c>
      <c r="M2351" t="inlineStr">
        <is>
          <t>Smith, Johanna M.</t>
        </is>
      </c>
      <c r="N2351" t="inlineStr">
        <is>
          <t>New York : Twayne, 1996.</t>
        </is>
      </c>
      <c r="O2351" t="inlineStr">
        <is>
          <t>1996</t>
        </is>
      </c>
      <c r="Q2351" t="inlineStr">
        <is>
          <t>eng</t>
        </is>
      </c>
      <c r="R2351" t="inlineStr">
        <is>
          <t>nyu</t>
        </is>
      </c>
      <c r="S2351" t="inlineStr">
        <is>
          <t>Twayne's English authors series ; TEAS 526</t>
        </is>
      </c>
      <c r="T2351" t="inlineStr">
        <is>
          <t xml:space="preserve">PR </t>
        </is>
      </c>
      <c r="U2351" t="n">
        <v>4</v>
      </c>
      <c r="V2351" t="n">
        <v>4</v>
      </c>
      <c r="W2351" t="inlineStr">
        <is>
          <t>2007-11-15</t>
        </is>
      </c>
      <c r="X2351" t="inlineStr">
        <is>
          <t>2007-11-15</t>
        </is>
      </c>
      <c r="Y2351" t="inlineStr">
        <is>
          <t>1996-10-29</t>
        </is>
      </c>
      <c r="Z2351" t="inlineStr">
        <is>
          <t>1996-10-29</t>
        </is>
      </c>
      <c r="AA2351" t="n">
        <v>725</v>
      </c>
      <c r="AB2351" t="n">
        <v>639</v>
      </c>
      <c r="AC2351" t="n">
        <v>645</v>
      </c>
      <c r="AD2351" t="n">
        <v>5</v>
      </c>
      <c r="AE2351" t="n">
        <v>5</v>
      </c>
      <c r="AF2351" t="n">
        <v>27</v>
      </c>
      <c r="AG2351" t="n">
        <v>27</v>
      </c>
      <c r="AH2351" t="n">
        <v>10</v>
      </c>
      <c r="AI2351" t="n">
        <v>10</v>
      </c>
      <c r="AJ2351" t="n">
        <v>5</v>
      </c>
      <c r="AK2351" t="n">
        <v>5</v>
      </c>
      <c r="AL2351" t="n">
        <v>15</v>
      </c>
      <c r="AM2351" t="n">
        <v>15</v>
      </c>
      <c r="AN2351" t="n">
        <v>4</v>
      </c>
      <c r="AO2351" t="n">
        <v>4</v>
      </c>
      <c r="AP2351" t="n">
        <v>0</v>
      </c>
      <c r="AQ2351" t="n">
        <v>0</v>
      </c>
      <c r="AR2351" t="inlineStr">
        <is>
          <t>No</t>
        </is>
      </c>
      <c r="AS2351" t="inlineStr">
        <is>
          <t>Yes</t>
        </is>
      </c>
      <c r="AT2351">
        <f>HYPERLINK("http://catalog.hathitrust.org/Record/003097960","HathiTrust Record")</f>
        <v/>
      </c>
      <c r="AU2351">
        <f>HYPERLINK("https://creighton-primo.hosted.exlibrisgroup.com/primo-explore/search?tab=default_tab&amp;search_scope=EVERYTHING&amp;vid=01CRU&amp;lang=en_US&amp;offset=0&amp;query=any,contains,991002626689702656","Catalog Record")</f>
        <v/>
      </c>
      <c r="AV2351">
        <f>HYPERLINK("http://www.worldcat.org/oclc/34413634","WorldCat Record")</f>
        <v/>
      </c>
      <c r="AW2351" t="inlineStr">
        <is>
          <t>39460580:eng</t>
        </is>
      </c>
      <c r="AX2351" t="inlineStr">
        <is>
          <t>34413634</t>
        </is>
      </c>
      <c r="AY2351" t="inlineStr">
        <is>
          <t>991002626689702656</t>
        </is>
      </c>
      <c r="AZ2351" t="inlineStr">
        <is>
          <t>991002626689702656</t>
        </is>
      </c>
      <c r="BA2351" t="inlineStr">
        <is>
          <t>2259983670002656</t>
        </is>
      </c>
      <c r="BB2351" t="inlineStr">
        <is>
          <t>BOOK</t>
        </is>
      </c>
      <c r="BD2351" t="inlineStr">
        <is>
          <t>9780805770452</t>
        </is>
      </c>
      <c r="BE2351" t="inlineStr">
        <is>
          <t>32285002390291</t>
        </is>
      </c>
      <c r="BF2351" t="inlineStr">
        <is>
          <t>893804829</t>
        </is>
      </c>
    </row>
    <row r="2352">
      <c r="A2352" t="inlineStr">
        <is>
          <t>No</t>
        </is>
      </c>
      <c r="B2352" t="inlineStr">
        <is>
          <t>CURAL</t>
        </is>
      </c>
      <c r="C2352" t="inlineStr">
        <is>
          <t>SHELVES</t>
        </is>
      </c>
      <c r="D2352" t="inlineStr">
        <is>
          <t>PR5398 .S6 1951</t>
        </is>
      </c>
      <c r="E2352" t="inlineStr">
        <is>
          <t>0                      PR 5398000S  6           1951</t>
        </is>
      </c>
      <c r="F2352" t="inlineStr">
        <is>
          <t>Child of light : a reassessment of Mary Wollstonecraft Shelley. / by Muriel Spark.</t>
        </is>
      </c>
      <c r="H2352" t="inlineStr">
        <is>
          <t>No</t>
        </is>
      </c>
      <c r="I2352" t="inlineStr">
        <is>
          <t>1</t>
        </is>
      </c>
      <c r="J2352" t="inlineStr">
        <is>
          <t>No</t>
        </is>
      </c>
      <c r="K2352" t="inlineStr">
        <is>
          <t>No</t>
        </is>
      </c>
      <c r="L2352" t="inlineStr">
        <is>
          <t>0</t>
        </is>
      </c>
      <c r="M2352" t="inlineStr">
        <is>
          <t>Spark, Muriel.</t>
        </is>
      </c>
      <c r="N2352" t="inlineStr">
        <is>
          <t>Hadleigh ; Essex : Tower Bridge Publications, [1951]</t>
        </is>
      </c>
      <c r="O2352" t="inlineStr">
        <is>
          <t>1951</t>
        </is>
      </c>
      <c r="Q2352" t="inlineStr">
        <is>
          <t>eng</t>
        </is>
      </c>
      <c r="R2352" t="inlineStr">
        <is>
          <t>enk</t>
        </is>
      </c>
      <c r="T2352" t="inlineStr">
        <is>
          <t xml:space="preserve">PR </t>
        </is>
      </c>
      <c r="U2352" t="n">
        <v>5</v>
      </c>
      <c r="V2352" t="n">
        <v>5</v>
      </c>
      <c r="W2352" t="inlineStr">
        <is>
          <t>2006-12-02</t>
        </is>
      </c>
      <c r="X2352" t="inlineStr">
        <is>
          <t>2006-12-02</t>
        </is>
      </c>
      <c r="Y2352" t="inlineStr">
        <is>
          <t>1991-07-10</t>
        </is>
      </c>
      <c r="Z2352" t="inlineStr">
        <is>
          <t>1991-07-10</t>
        </is>
      </c>
      <c r="AA2352" t="n">
        <v>325</v>
      </c>
      <c r="AB2352" t="n">
        <v>260</v>
      </c>
      <c r="AC2352" t="n">
        <v>311</v>
      </c>
      <c r="AD2352" t="n">
        <v>2</v>
      </c>
      <c r="AE2352" t="n">
        <v>3</v>
      </c>
      <c r="AF2352" t="n">
        <v>14</v>
      </c>
      <c r="AG2352" t="n">
        <v>15</v>
      </c>
      <c r="AH2352" t="n">
        <v>6</v>
      </c>
      <c r="AI2352" t="n">
        <v>6</v>
      </c>
      <c r="AJ2352" t="n">
        <v>4</v>
      </c>
      <c r="AK2352" t="n">
        <v>4</v>
      </c>
      <c r="AL2352" t="n">
        <v>9</v>
      </c>
      <c r="AM2352" t="n">
        <v>9</v>
      </c>
      <c r="AN2352" t="n">
        <v>1</v>
      </c>
      <c r="AO2352" t="n">
        <v>2</v>
      </c>
      <c r="AP2352" t="n">
        <v>0</v>
      </c>
      <c r="AQ2352" t="n">
        <v>0</v>
      </c>
      <c r="AR2352" t="inlineStr">
        <is>
          <t>No</t>
        </is>
      </c>
      <c r="AS2352" t="inlineStr">
        <is>
          <t>No</t>
        </is>
      </c>
      <c r="AU2352">
        <f>HYPERLINK("https://creighton-primo.hosted.exlibrisgroup.com/primo-explore/search?tab=default_tab&amp;search_scope=EVERYTHING&amp;vid=01CRU&amp;lang=en_US&amp;offset=0&amp;query=any,contains,991003514639702656","Catalog Record")</f>
        <v/>
      </c>
      <c r="AV2352">
        <f>HYPERLINK("http://www.worldcat.org/oclc/1071364","WorldCat Record")</f>
        <v/>
      </c>
      <c r="AW2352" t="inlineStr">
        <is>
          <t>2025752:eng</t>
        </is>
      </c>
      <c r="AX2352" t="inlineStr">
        <is>
          <t>1071364</t>
        </is>
      </c>
      <c r="AY2352" t="inlineStr">
        <is>
          <t>991003514639702656</t>
        </is>
      </c>
      <c r="AZ2352" t="inlineStr">
        <is>
          <t>991003514639702656</t>
        </is>
      </c>
      <c r="BA2352" t="inlineStr">
        <is>
          <t>2256976720002656</t>
        </is>
      </c>
      <c r="BB2352" t="inlineStr">
        <is>
          <t>BOOK</t>
        </is>
      </c>
      <c r="BE2352" t="inlineStr">
        <is>
          <t>32285000648450</t>
        </is>
      </c>
      <c r="BF2352" t="inlineStr">
        <is>
          <t>893324137</t>
        </is>
      </c>
    </row>
    <row r="2353">
      <c r="A2353" t="inlineStr">
        <is>
          <t>No</t>
        </is>
      </c>
      <c r="B2353" t="inlineStr">
        <is>
          <t>CURAL</t>
        </is>
      </c>
      <c r="C2353" t="inlineStr">
        <is>
          <t>SHELVES</t>
        </is>
      </c>
      <c r="D2353" t="inlineStr">
        <is>
          <t>PR5398 .S86 1989</t>
        </is>
      </c>
      <c r="E2353" t="inlineStr">
        <is>
          <t>0                      PR 5398000S  86          1989</t>
        </is>
      </c>
      <c r="F2353" t="inlineStr">
        <is>
          <t>Mary Shelley : romance and reality / by Emily W. Sunstein.</t>
        </is>
      </c>
      <c r="H2353" t="inlineStr">
        <is>
          <t>No</t>
        </is>
      </c>
      <c r="I2353" t="inlineStr">
        <is>
          <t>1</t>
        </is>
      </c>
      <c r="J2353" t="inlineStr">
        <is>
          <t>No</t>
        </is>
      </c>
      <c r="K2353" t="inlineStr">
        <is>
          <t>No</t>
        </is>
      </c>
      <c r="L2353" t="inlineStr">
        <is>
          <t>0</t>
        </is>
      </c>
      <c r="M2353" t="inlineStr">
        <is>
          <t>Sunstein, Emily W.</t>
        </is>
      </c>
      <c r="N2353" t="inlineStr">
        <is>
          <t>Boston : Little, Brown, c1989.</t>
        </is>
      </c>
      <c r="O2353" t="inlineStr">
        <is>
          <t>1989</t>
        </is>
      </c>
      <c r="P2353" t="inlineStr">
        <is>
          <t>1st ed.</t>
        </is>
      </c>
      <c r="Q2353" t="inlineStr">
        <is>
          <t>eng</t>
        </is>
      </c>
      <c r="R2353" t="inlineStr">
        <is>
          <t>mau</t>
        </is>
      </c>
      <c r="T2353" t="inlineStr">
        <is>
          <t xml:space="preserve">PR </t>
        </is>
      </c>
      <c r="U2353" t="n">
        <v>9</v>
      </c>
      <c r="V2353" t="n">
        <v>9</v>
      </c>
      <c r="W2353" t="inlineStr">
        <is>
          <t>2007-11-18</t>
        </is>
      </c>
      <c r="X2353" t="inlineStr">
        <is>
          <t>2007-11-18</t>
        </is>
      </c>
      <c r="Y2353" t="inlineStr">
        <is>
          <t>1992-01-28</t>
        </is>
      </c>
      <c r="Z2353" t="inlineStr">
        <is>
          <t>1992-01-28</t>
        </is>
      </c>
      <c r="AA2353" t="n">
        <v>1452</v>
      </c>
      <c r="AB2353" t="n">
        <v>1326</v>
      </c>
      <c r="AC2353" t="n">
        <v>1554</v>
      </c>
      <c r="AD2353" t="n">
        <v>6</v>
      </c>
      <c r="AE2353" t="n">
        <v>9</v>
      </c>
      <c r="AF2353" t="n">
        <v>43</v>
      </c>
      <c r="AG2353" t="n">
        <v>52</v>
      </c>
      <c r="AH2353" t="n">
        <v>19</v>
      </c>
      <c r="AI2353" t="n">
        <v>23</v>
      </c>
      <c r="AJ2353" t="n">
        <v>9</v>
      </c>
      <c r="AK2353" t="n">
        <v>10</v>
      </c>
      <c r="AL2353" t="n">
        <v>21</v>
      </c>
      <c r="AM2353" t="n">
        <v>22</v>
      </c>
      <c r="AN2353" t="n">
        <v>5</v>
      </c>
      <c r="AO2353" t="n">
        <v>8</v>
      </c>
      <c r="AP2353" t="n">
        <v>0</v>
      </c>
      <c r="AQ2353" t="n">
        <v>0</v>
      </c>
      <c r="AR2353" t="inlineStr">
        <is>
          <t>No</t>
        </is>
      </c>
      <c r="AS2353" t="inlineStr">
        <is>
          <t>No</t>
        </is>
      </c>
      <c r="AU2353">
        <f>HYPERLINK("https://creighton-primo.hosted.exlibrisgroup.com/primo-explore/search?tab=default_tab&amp;search_scope=EVERYTHING&amp;vid=01CRU&amp;lang=en_US&amp;offset=0&amp;query=any,contains,991001310739702656","Catalog Record")</f>
        <v/>
      </c>
      <c r="AV2353">
        <f>HYPERLINK("http://www.worldcat.org/oclc/18136574","WorldCat Record")</f>
        <v/>
      </c>
      <c r="AW2353" t="inlineStr">
        <is>
          <t>16960102:eng</t>
        </is>
      </c>
      <c r="AX2353" t="inlineStr">
        <is>
          <t>18136574</t>
        </is>
      </c>
      <c r="AY2353" t="inlineStr">
        <is>
          <t>991001310739702656</t>
        </is>
      </c>
      <c r="AZ2353" t="inlineStr">
        <is>
          <t>991001310739702656</t>
        </is>
      </c>
      <c r="BA2353" t="inlineStr">
        <is>
          <t>2267937990002656</t>
        </is>
      </c>
      <c r="BB2353" t="inlineStr">
        <is>
          <t>BOOK</t>
        </is>
      </c>
      <c r="BE2353" t="inlineStr">
        <is>
          <t>32285000898980</t>
        </is>
      </c>
      <c r="BF2353" t="inlineStr">
        <is>
          <t>893238028</t>
        </is>
      </c>
    </row>
    <row r="2354">
      <c r="A2354" t="inlineStr">
        <is>
          <t>No</t>
        </is>
      </c>
      <c r="B2354" t="inlineStr">
        <is>
          <t>CURAL</t>
        </is>
      </c>
      <c r="C2354" t="inlineStr">
        <is>
          <t>SHELVES</t>
        </is>
      </c>
      <c r="D2354" t="inlineStr">
        <is>
          <t>PR5407 .H6 1933a</t>
        </is>
      </c>
      <c r="E2354" t="inlineStr">
        <is>
          <t>0                      PR 5407000H  6           1933a</t>
        </is>
      </c>
      <c r="F2354" t="inlineStr">
        <is>
          <t>An odyssey of the soul, Shelley's Alastor / by Harold Leroy Hoffman.</t>
        </is>
      </c>
      <c r="H2354" t="inlineStr">
        <is>
          <t>No</t>
        </is>
      </c>
      <c r="I2354" t="inlineStr">
        <is>
          <t>1</t>
        </is>
      </c>
      <c r="J2354" t="inlineStr">
        <is>
          <t>No</t>
        </is>
      </c>
      <c r="K2354" t="inlineStr">
        <is>
          <t>No</t>
        </is>
      </c>
      <c r="L2354" t="inlineStr">
        <is>
          <t>0</t>
        </is>
      </c>
      <c r="M2354" t="inlineStr">
        <is>
          <t>Hoffman, Harold Leroy, 1893-</t>
        </is>
      </c>
      <c r="N2354" t="inlineStr">
        <is>
          <t>New York : Columbia University Press, 1933.</t>
        </is>
      </c>
      <c r="O2354" t="inlineStr">
        <is>
          <t>1933</t>
        </is>
      </c>
      <c r="Q2354" t="inlineStr">
        <is>
          <t>eng</t>
        </is>
      </c>
      <c r="R2354" t="inlineStr">
        <is>
          <t>nyu</t>
        </is>
      </c>
      <c r="S2354" t="inlineStr">
        <is>
          <t>Columbia University studies in English and comparative literature</t>
        </is>
      </c>
      <c r="T2354" t="inlineStr">
        <is>
          <t xml:space="preserve">PR </t>
        </is>
      </c>
      <c r="U2354" t="n">
        <v>2</v>
      </c>
      <c r="V2354" t="n">
        <v>2</v>
      </c>
      <c r="W2354" t="inlineStr">
        <is>
          <t>1998-11-09</t>
        </is>
      </c>
      <c r="X2354" t="inlineStr">
        <is>
          <t>1998-11-09</t>
        </is>
      </c>
      <c r="Y2354" t="inlineStr">
        <is>
          <t>1997-07-18</t>
        </is>
      </c>
      <c r="Z2354" t="inlineStr">
        <is>
          <t>1997-07-18</t>
        </is>
      </c>
      <c r="AA2354" t="n">
        <v>190</v>
      </c>
      <c r="AB2354" t="n">
        <v>181</v>
      </c>
      <c r="AC2354" t="n">
        <v>390</v>
      </c>
      <c r="AD2354" t="n">
        <v>3</v>
      </c>
      <c r="AE2354" t="n">
        <v>5</v>
      </c>
      <c r="AF2354" t="n">
        <v>14</v>
      </c>
      <c r="AG2354" t="n">
        <v>23</v>
      </c>
      <c r="AH2354" t="n">
        <v>4</v>
      </c>
      <c r="AI2354" t="n">
        <v>9</v>
      </c>
      <c r="AJ2354" t="n">
        <v>2</v>
      </c>
      <c r="AK2354" t="n">
        <v>4</v>
      </c>
      <c r="AL2354" t="n">
        <v>9</v>
      </c>
      <c r="AM2354" t="n">
        <v>12</v>
      </c>
      <c r="AN2354" t="n">
        <v>2</v>
      </c>
      <c r="AO2354" t="n">
        <v>4</v>
      </c>
      <c r="AP2354" t="n">
        <v>0</v>
      </c>
      <c r="AQ2354" t="n">
        <v>0</v>
      </c>
      <c r="AR2354" t="inlineStr">
        <is>
          <t>Yes</t>
        </is>
      </c>
      <c r="AS2354" t="inlineStr">
        <is>
          <t>No</t>
        </is>
      </c>
      <c r="AT2354">
        <f>HYPERLINK("http://catalog.hathitrust.org/Record/001185511","HathiTrust Record")</f>
        <v/>
      </c>
      <c r="AU2354">
        <f>HYPERLINK("https://creighton-primo.hosted.exlibrisgroup.com/primo-explore/search?tab=default_tab&amp;search_scope=EVERYTHING&amp;vid=01CRU&amp;lang=en_US&amp;offset=0&amp;query=any,contains,991000207089702656","Catalog Record")</f>
        <v/>
      </c>
      <c r="AV2354">
        <f>HYPERLINK("http://www.worldcat.org/oclc/9506113","WorldCat Record")</f>
        <v/>
      </c>
      <c r="AW2354" t="inlineStr">
        <is>
          <t>1414086:eng</t>
        </is>
      </c>
      <c r="AX2354" t="inlineStr">
        <is>
          <t>9506113</t>
        </is>
      </c>
      <c r="AY2354" t="inlineStr">
        <is>
          <t>991000207089702656</t>
        </is>
      </c>
      <c r="AZ2354" t="inlineStr">
        <is>
          <t>991000207089702656</t>
        </is>
      </c>
      <c r="BA2354" t="inlineStr">
        <is>
          <t>2269432150002656</t>
        </is>
      </c>
      <c r="BB2354" t="inlineStr">
        <is>
          <t>BOOK</t>
        </is>
      </c>
      <c r="BE2354" t="inlineStr">
        <is>
          <t>32285002933983</t>
        </is>
      </c>
      <c r="BF2354" t="inlineStr">
        <is>
          <t>893890510</t>
        </is>
      </c>
    </row>
    <row r="2355">
      <c r="A2355" t="inlineStr">
        <is>
          <t>No</t>
        </is>
      </c>
      <c r="B2355" t="inlineStr">
        <is>
          <t>CURAL</t>
        </is>
      </c>
      <c r="C2355" t="inlineStr">
        <is>
          <t>SHELVES</t>
        </is>
      </c>
      <c r="D2355" t="inlineStr">
        <is>
          <t>PR541 .H36 1990</t>
        </is>
      </c>
      <c r="E2355" t="inlineStr">
        <is>
          <t>0                      PR 0541000H  36          1990</t>
        </is>
      </c>
      <c r="F2355" t="inlineStr">
        <is>
          <t>Fleeting things : English poets and poems, 1616-1660 / Gerald Hammond.</t>
        </is>
      </c>
      <c r="H2355" t="inlineStr">
        <is>
          <t>No</t>
        </is>
      </c>
      <c r="I2355" t="inlineStr">
        <is>
          <t>1</t>
        </is>
      </c>
      <c r="J2355" t="inlineStr">
        <is>
          <t>No</t>
        </is>
      </c>
      <c r="K2355" t="inlineStr">
        <is>
          <t>No</t>
        </is>
      </c>
      <c r="L2355" t="inlineStr">
        <is>
          <t>0</t>
        </is>
      </c>
      <c r="M2355" t="inlineStr">
        <is>
          <t>Hammond, Gerald.</t>
        </is>
      </c>
      <c r="N2355" t="inlineStr">
        <is>
          <t>Cambridge, Mass. : Harvard University Press, 1990.</t>
        </is>
      </c>
      <c r="O2355" t="inlineStr">
        <is>
          <t>1990</t>
        </is>
      </c>
      <c r="Q2355" t="inlineStr">
        <is>
          <t>eng</t>
        </is>
      </c>
      <c r="R2355" t="inlineStr">
        <is>
          <t>mau</t>
        </is>
      </c>
      <c r="T2355" t="inlineStr">
        <is>
          <t xml:space="preserve">PR </t>
        </is>
      </c>
      <c r="U2355" t="n">
        <v>2</v>
      </c>
      <c r="V2355" t="n">
        <v>2</v>
      </c>
      <c r="W2355" t="inlineStr">
        <is>
          <t>1996-04-08</t>
        </is>
      </c>
      <c r="X2355" t="inlineStr">
        <is>
          <t>1996-04-08</t>
        </is>
      </c>
      <c r="Y2355" t="inlineStr">
        <is>
          <t>1990-11-14</t>
        </is>
      </c>
      <c r="Z2355" t="inlineStr">
        <is>
          <t>1990-11-14</t>
        </is>
      </c>
      <c r="AA2355" t="n">
        <v>464</v>
      </c>
      <c r="AB2355" t="n">
        <v>342</v>
      </c>
      <c r="AC2355" t="n">
        <v>353</v>
      </c>
      <c r="AD2355" t="n">
        <v>3</v>
      </c>
      <c r="AE2355" t="n">
        <v>3</v>
      </c>
      <c r="AF2355" t="n">
        <v>23</v>
      </c>
      <c r="AG2355" t="n">
        <v>23</v>
      </c>
      <c r="AH2355" t="n">
        <v>9</v>
      </c>
      <c r="AI2355" t="n">
        <v>9</v>
      </c>
      <c r="AJ2355" t="n">
        <v>6</v>
      </c>
      <c r="AK2355" t="n">
        <v>6</v>
      </c>
      <c r="AL2355" t="n">
        <v>13</v>
      </c>
      <c r="AM2355" t="n">
        <v>13</v>
      </c>
      <c r="AN2355" t="n">
        <v>2</v>
      </c>
      <c r="AO2355" t="n">
        <v>2</v>
      </c>
      <c r="AP2355" t="n">
        <v>0</v>
      </c>
      <c r="AQ2355" t="n">
        <v>0</v>
      </c>
      <c r="AR2355" t="inlineStr">
        <is>
          <t>No</t>
        </is>
      </c>
      <c r="AS2355" t="inlineStr">
        <is>
          <t>Yes</t>
        </is>
      </c>
      <c r="AT2355">
        <f>HYPERLINK("http://catalog.hathitrust.org/Record/001943889","HathiTrust Record")</f>
        <v/>
      </c>
      <c r="AU2355">
        <f>HYPERLINK("https://creighton-primo.hosted.exlibrisgroup.com/primo-explore/search?tab=default_tab&amp;search_scope=EVERYTHING&amp;vid=01CRU&amp;lang=en_US&amp;offset=0&amp;query=any,contains,991001539289702656","Catalog Record")</f>
        <v/>
      </c>
      <c r="AV2355">
        <f>HYPERLINK("http://www.worldcat.org/oclc/20098273","WorldCat Record")</f>
        <v/>
      </c>
      <c r="AW2355" t="inlineStr">
        <is>
          <t>347351741:eng</t>
        </is>
      </c>
      <c r="AX2355" t="inlineStr">
        <is>
          <t>20098273</t>
        </is>
      </c>
      <c r="AY2355" t="inlineStr">
        <is>
          <t>991001539289702656</t>
        </is>
      </c>
      <c r="AZ2355" t="inlineStr">
        <is>
          <t>991001539289702656</t>
        </is>
      </c>
      <c r="BA2355" t="inlineStr">
        <is>
          <t>2269170090002656</t>
        </is>
      </c>
      <c r="BB2355" t="inlineStr">
        <is>
          <t>BOOK</t>
        </is>
      </c>
      <c r="BD2355" t="inlineStr">
        <is>
          <t>9780674306257</t>
        </is>
      </c>
      <c r="BE2355" t="inlineStr">
        <is>
          <t>32285000355452</t>
        </is>
      </c>
      <c r="BF2355" t="inlineStr">
        <is>
          <t>893872587</t>
        </is>
      </c>
    </row>
    <row r="2356">
      <c r="A2356" t="inlineStr">
        <is>
          <t>No</t>
        </is>
      </c>
      <c r="B2356" t="inlineStr">
        <is>
          <t>CURAL</t>
        </is>
      </c>
      <c r="C2356" t="inlineStr">
        <is>
          <t>SHELVES</t>
        </is>
      </c>
      <c r="D2356" t="inlineStr">
        <is>
          <t>PR541 .H8</t>
        </is>
      </c>
      <c r="E2356" t="inlineStr">
        <is>
          <t>0                      PR 0541000H  8</t>
        </is>
      </c>
      <c r="F2356" t="inlineStr">
        <is>
          <t>The metaphysical poets.</t>
        </is>
      </c>
      <c r="H2356" t="inlineStr">
        <is>
          <t>No</t>
        </is>
      </c>
      <c r="I2356" t="inlineStr">
        <is>
          <t>1</t>
        </is>
      </c>
      <c r="J2356" t="inlineStr">
        <is>
          <t>No</t>
        </is>
      </c>
      <c r="K2356" t="inlineStr">
        <is>
          <t>No</t>
        </is>
      </c>
      <c r="L2356" t="inlineStr">
        <is>
          <t>0</t>
        </is>
      </c>
      <c r="M2356" t="inlineStr">
        <is>
          <t>Hunter, Jim.</t>
        </is>
      </c>
      <c r="N2356" t="inlineStr">
        <is>
          <t>London, Evans Bros. [1965]</t>
        </is>
      </c>
      <c r="O2356" t="inlineStr">
        <is>
          <t>1965</t>
        </is>
      </c>
      <c r="Q2356" t="inlineStr">
        <is>
          <t>eng</t>
        </is>
      </c>
      <c r="R2356" t="inlineStr">
        <is>
          <t>enk</t>
        </is>
      </c>
      <c r="S2356" t="inlineStr">
        <is>
          <t>Literature in perspective</t>
        </is>
      </c>
      <c r="T2356" t="inlineStr">
        <is>
          <t xml:space="preserve">PR </t>
        </is>
      </c>
      <c r="U2356" t="n">
        <v>2</v>
      </c>
      <c r="V2356" t="n">
        <v>2</v>
      </c>
      <c r="W2356" t="inlineStr">
        <is>
          <t>2010-01-24</t>
        </is>
      </c>
      <c r="X2356" t="inlineStr">
        <is>
          <t>2010-01-24</t>
        </is>
      </c>
      <c r="Y2356" t="inlineStr">
        <is>
          <t>1998-01-16</t>
        </is>
      </c>
      <c r="Z2356" t="inlineStr">
        <is>
          <t>1998-01-16</t>
        </is>
      </c>
      <c r="AA2356" t="n">
        <v>367</v>
      </c>
      <c r="AB2356" t="n">
        <v>237</v>
      </c>
      <c r="AC2356" t="n">
        <v>351</v>
      </c>
      <c r="AD2356" t="n">
        <v>3</v>
      </c>
      <c r="AE2356" t="n">
        <v>3</v>
      </c>
      <c r="AF2356" t="n">
        <v>17</v>
      </c>
      <c r="AG2356" t="n">
        <v>27</v>
      </c>
      <c r="AH2356" t="n">
        <v>9</v>
      </c>
      <c r="AI2356" t="n">
        <v>14</v>
      </c>
      <c r="AJ2356" t="n">
        <v>1</v>
      </c>
      <c r="AK2356" t="n">
        <v>5</v>
      </c>
      <c r="AL2356" t="n">
        <v>8</v>
      </c>
      <c r="AM2356" t="n">
        <v>13</v>
      </c>
      <c r="AN2356" t="n">
        <v>2</v>
      </c>
      <c r="AO2356" t="n">
        <v>2</v>
      </c>
      <c r="AP2356" t="n">
        <v>0</v>
      </c>
      <c r="AQ2356" t="n">
        <v>0</v>
      </c>
      <c r="AR2356" t="inlineStr">
        <is>
          <t>No</t>
        </is>
      </c>
      <c r="AS2356" t="inlineStr">
        <is>
          <t>No</t>
        </is>
      </c>
      <c r="AU2356">
        <f>HYPERLINK("https://creighton-primo.hosted.exlibrisgroup.com/primo-explore/search?tab=default_tab&amp;search_scope=EVERYTHING&amp;vid=01CRU&amp;lang=en_US&amp;offset=0&amp;query=any,contains,991002498479702656","Catalog Record")</f>
        <v/>
      </c>
      <c r="AV2356">
        <f>HYPERLINK("http://www.worldcat.org/oclc/364134","WorldCat Record")</f>
        <v/>
      </c>
      <c r="AW2356" t="inlineStr">
        <is>
          <t>1421642:eng</t>
        </is>
      </c>
      <c r="AX2356" t="inlineStr">
        <is>
          <t>364134</t>
        </is>
      </c>
      <c r="AY2356" t="inlineStr">
        <is>
          <t>991002498479702656</t>
        </is>
      </c>
      <c r="AZ2356" t="inlineStr">
        <is>
          <t>991002498479702656</t>
        </is>
      </c>
      <c r="BA2356" t="inlineStr">
        <is>
          <t>2263005850002656</t>
        </is>
      </c>
      <c r="BB2356" t="inlineStr">
        <is>
          <t>BOOK</t>
        </is>
      </c>
      <c r="BE2356" t="inlineStr">
        <is>
          <t>32285003319653</t>
        </is>
      </c>
      <c r="BF2356" t="inlineStr">
        <is>
          <t>893691676</t>
        </is>
      </c>
    </row>
    <row r="2357">
      <c r="A2357" t="inlineStr">
        <is>
          <t>No</t>
        </is>
      </c>
      <c r="B2357" t="inlineStr">
        <is>
          <t>CURAL</t>
        </is>
      </c>
      <c r="C2357" t="inlineStr">
        <is>
          <t>SHELVES</t>
        </is>
      </c>
      <c r="D2357" t="inlineStr">
        <is>
          <t>PR541 .M48</t>
        </is>
      </c>
      <c r="E2357" t="inlineStr">
        <is>
          <t>0                      PR 0541000M  48</t>
        </is>
      </c>
      <c r="F2357" t="inlineStr">
        <is>
          <t>The Cavalier mode from Jonson to Cotton / by Earl Miner.</t>
        </is>
      </c>
      <c r="H2357" t="inlineStr">
        <is>
          <t>No</t>
        </is>
      </c>
      <c r="I2357" t="inlineStr">
        <is>
          <t>1</t>
        </is>
      </c>
      <c r="J2357" t="inlineStr">
        <is>
          <t>No</t>
        </is>
      </c>
      <c r="K2357" t="inlineStr">
        <is>
          <t>No</t>
        </is>
      </c>
      <c r="L2357" t="inlineStr">
        <is>
          <t>0</t>
        </is>
      </c>
      <c r="M2357" t="inlineStr">
        <is>
          <t>Miner, Earl, 1927-2004.</t>
        </is>
      </c>
      <c r="N2357" t="inlineStr">
        <is>
          <t>Princeton, N.J. : Princeton University Press, 1971.</t>
        </is>
      </c>
      <c r="O2357" t="inlineStr">
        <is>
          <t>1971</t>
        </is>
      </c>
      <c r="Q2357" t="inlineStr">
        <is>
          <t>eng</t>
        </is>
      </c>
      <c r="R2357" t="inlineStr">
        <is>
          <t>nju</t>
        </is>
      </c>
      <c r="T2357" t="inlineStr">
        <is>
          <t xml:space="preserve">PR </t>
        </is>
      </c>
      <c r="U2357" t="n">
        <v>2</v>
      </c>
      <c r="V2357" t="n">
        <v>2</v>
      </c>
      <c r="W2357" t="inlineStr">
        <is>
          <t>1997-09-07</t>
        </is>
      </c>
      <c r="X2357" t="inlineStr">
        <is>
          <t>1997-09-07</t>
        </is>
      </c>
      <c r="Y2357" t="inlineStr">
        <is>
          <t>1990-04-10</t>
        </is>
      </c>
      <c r="Z2357" t="inlineStr">
        <is>
          <t>1990-04-10</t>
        </is>
      </c>
      <c r="AA2357" t="n">
        <v>828</v>
      </c>
      <c r="AB2357" t="n">
        <v>650</v>
      </c>
      <c r="AC2357" t="n">
        <v>655</v>
      </c>
      <c r="AD2357" t="n">
        <v>7</v>
      </c>
      <c r="AE2357" t="n">
        <v>7</v>
      </c>
      <c r="AF2357" t="n">
        <v>38</v>
      </c>
      <c r="AG2357" t="n">
        <v>38</v>
      </c>
      <c r="AH2357" t="n">
        <v>13</v>
      </c>
      <c r="AI2357" t="n">
        <v>13</v>
      </c>
      <c r="AJ2357" t="n">
        <v>10</v>
      </c>
      <c r="AK2357" t="n">
        <v>10</v>
      </c>
      <c r="AL2357" t="n">
        <v>18</v>
      </c>
      <c r="AM2357" t="n">
        <v>18</v>
      </c>
      <c r="AN2357" t="n">
        <v>6</v>
      </c>
      <c r="AO2357" t="n">
        <v>6</v>
      </c>
      <c r="AP2357" t="n">
        <v>0</v>
      </c>
      <c r="AQ2357" t="n">
        <v>0</v>
      </c>
      <c r="AR2357" t="inlineStr">
        <is>
          <t>No</t>
        </is>
      </c>
      <c r="AS2357" t="inlineStr">
        <is>
          <t>No</t>
        </is>
      </c>
      <c r="AU2357">
        <f>HYPERLINK("https://creighton-primo.hosted.exlibrisgroup.com/primo-explore/search?tab=default_tab&amp;search_scope=EVERYTHING&amp;vid=01CRU&amp;lang=en_US&amp;offset=0&amp;query=any,contains,991001217569702656","Catalog Record")</f>
        <v/>
      </c>
      <c r="AV2357">
        <f>HYPERLINK("http://www.worldcat.org/oclc/195058","WorldCat Record")</f>
        <v/>
      </c>
      <c r="AW2357" t="inlineStr">
        <is>
          <t>1362455:eng</t>
        </is>
      </c>
      <c r="AX2357" t="inlineStr">
        <is>
          <t>195058</t>
        </is>
      </c>
      <c r="AY2357" t="inlineStr">
        <is>
          <t>991001217569702656</t>
        </is>
      </c>
      <c r="AZ2357" t="inlineStr">
        <is>
          <t>991001217569702656</t>
        </is>
      </c>
      <c r="BA2357" t="inlineStr">
        <is>
          <t>2267378300002656</t>
        </is>
      </c>
      <c r="BB2357" t="inlineStr">
        <is>
          <t>BOOK</t>
        </is>
      </c>
      <c r="BD2357" t="inlineStr">
        <is>
          <t>9780691062099</t>
        </is>
      </c>
      <c r="BE2357" t="inlineStr">
        <is>
          <t>32285000102870</t>
        </is>
      </c>
      <c r="BF2357" t="inlineStr">
        <is>
          <t>893407954</t>
        </is>
      </c>
    </row>
    <row r="2358">
      <c r="A2358" t="inlineStr">
        <is>
          <t>No</t>
        </is>
      </c>
      <c r="B2358" t="inlineStr">
        <is>
          <t>CURAL</t>
        </is>
      </c>
      <c r="C2358" t="inlineStr">
        <is>
          <t>SHELVES</t>
        </is>
      </c>
      <c r="D2358" t="inlineStr">
        <is>
          <t>PR541 .M5</t>
        </is>
      </c>
      <c r="E2358" t="inlineStr">
        <is>
          <t>0                      PR 0541000M  5</t>
        </is>
      </c>
      <c r="F2358" t="inlineStr">
        <is>
          <t>The metaphysical mode from Donne to Cowley / by Earl Miner.</t>
        </is>
      </c>
      <c r="H2358" t="inlineStr">
        <is>
          <t>No</t>
        </is>
      </c>
      <c r="I2358" t="inlineStr">
        <is>
          <t>1</t>
        </is>
      </c>
      <c r="J2358" t="inlineStr">
        <is>
          <t>No</t>
        </is>
      </c>
      <c r="K2358" t="inlineStr">
        <is>
          <t>No</t>
        </is>
      </c>
      <c r="L2358" t="inlineStr">
        <is>
          <t>0</t>
        </is>
      </c>
      <c r="M2358" t="inlineStr">
        <is>
          <t>Miner, Earl, 1927-2004.</t>
        </is>
      </c>
      <c r="N2358" t="inlineStr">
        <is>
          <t>Princeton, N.J. : Princeton University Press, 1969.</t>
        </is>
      </c>
      <c r="O2358" t="inlineStr">
        <is>
          <t>1969</t>
        </is>
      </c>
      <c r="Q2358" t="inlineStr">
        <is>
          <t>eng</t>
        </is>
      </c>
      <c r="R2358" t="inlineStr">
        <is>
          <t>nju</t>
        </is>
      </c>
      <c r="T2358" t="inlineStr">
        <is>
          <t xml:space="preserve">PR </t>
        </is>
      </c>
      <c r="U2358" t="n">
        <v>9</v>
      </c>
      <c r="V2358" t="n">
        <v>9</v>
      </c>
      <c r="W2358" t="inlineStr">
        <is>
          <t>2003-02-26</t>
        </is>
      </c>
      <c r="X2358" t="inlineStr">
        <is>
          <t>2003-02-26</t>
        </is>
      </c>
      <c r="Y2358" t="inlineStr">
        <is>
          <t>1990-04-10</t>
        </is>
      </c>
      <c r="Z2358" t="inlineStr">
        <is>
          <t>1990-04-10</t>
        </is>
      </c>
      <c r="AA2358" t="n">
        <v>904</v>
      </c>
      <c r="AB2358" t="n">
        <v>742</v>
      </c>
      <c r="AC2358" t="n">
        <v>784</v>
      </c>
      <c r="AD2358" t="n">
        <v>5</v>
      </c>
      <c r="AE2358" t="n">
        <v>6</v>
      </c>
      <c r="AF2358" t="n">
        <v>39</v>
      </c>
      <c r="AG2358" t="n">
        <v>41</v>
      </c>
      <c r="AH2358" t="n">
        <v>17</v>
      </c>
      <c r="AI2358" t="n">
        <v>18</v>
      </c>
      <c r="AJ2358" t="n">
        <v>7</v>
      </c>
      <c r="AK2358" t="n">
        <v>7</v>
      </c>
      <c r="AL2358" t="n">
        <v>17</v>
      </c>
      <c r="AM2358" t="n">
        <v>18</v>
      </c>
      <c r="AN2358" t="n">
        <v>4</v>
      </c>
      <c r="AO2358" t="n">
        <v>5</v>
      </c>
      <c r="AP2358" t="n">
        <v>0</v>
      </c>
      <c r="AQ2358" t="n">
        <v>0</v>
      </c>
      <c r="AR2358" t="inlineStr">
        <is>
          <t>No</t>
        </is>
      </c>
      <c r="AS2358" t="inlineStr">
        <is>
          <t>No</t>
        </is>
      </c>
      <c r="AU2358">
        <f>HYPERLINK("https://creighton-primo.hosted.exlibrisgroup.com/primo-explore/search?tab=default_tab&amp;search_scope=EVERYTHING&amp;vid=01CRU&amp;lang=en_US&amp;offset=0&amp;query=any,contains,991000077739702656","Catalog Record")</f>
        <v/>
      </c>
      <c r="AV2358">
        <f>HYPERLINK("http://www.worldcat.org/oclc/30387","WorldCat Record")</f>
        <v/>
      </c>
      <c r="AW2358" t="inlineStr">
        <is>
          <t>1178865:eng</t>
        </is>
      </c>
      <c r="AX2358" t="inlineStr">
        <is>
          <t>30387</t>
        </is>
      </c>
      <c r="AY2358" t="inlineStr">
        <is>
          <t>991000077739702656</t>
        </is>
      </c>
      <c r="AZ2358" t="inlineStr">
        <is>
          <t>991000077739702656</t>
        </is>
      </c>
      <c r="BA2358" t="inlineStr">
        <is>
          <t>2262296530002656</t>
        </is>
      </c>
      <c r="BB2358" t="inlineStr">
        <is>
          <t>BOOK</t>
        </is>
      </c>
      <c r="BD2358" t="inlineStr">
        <is>
          <t>9780691061702</t>
        </is>
      </c>
      <c r="BE2358" t="inlineStr">
        <is>
          <t>32285000102862</t>
        </is>
      </c>
      <c r="BF2358" t="inlineStr">
        <is>
          <t>893689396</t>
        </is>
      </c>
    </row>
    <row r="2359">
      <c r="A2359" t="inlineStr">
        <is>
          <t>No</t>
        </is>
      </c>
      <c r="B2359" t="inlineStr">
        <is>
          <t>CURAL</t>
        </is>
      </c>
      <c r="C2359" t="inlineStr">
        <is>
          <t>SHELVES</t>
        </is>
      </c>
      <c r="D2359" t="inlineStr">
        <is>
          <t>PR541 .M52</t>
        </is>
      </c>
      <c r="E2359" t="inlineStr">
        <is>
          <t>0                      PR 0541000M  52</t>
        </is>
      </c>
      <c r="F2359" t="inlineStr">
        <is>
          <t>The restoration mode from Milton to Dryden / by Earl Miner.</t>
        </is>
      </c>
      <c r="H2359" t="inlineStr">
        <is>
          <t>No</t>
        </is>
      </c>
      <c r="I2359" t="inlineStr">
        <is>
          <t>1</t>
        </is>
      </c>
      <c r="J2359" t="inlineStr">
        <is>
          <t>No</t>
        </is>
      </c>
      <c r="K2359" t="inlineStr">
        <is>
          <t>No</t>
        </is>
      </c>
      <c r="L2359" t="inlineStr">
        <is>
          <t>0</t>
        </is>
      </c>
      <c r="M2359" t="inlineStr">
        <is>
          <t>Miner, Earl, 1927-2004.</t>
        </is>
      </c>
      <c r="N2359" t="inlineStr">
        <is>
          <t>Princeton, N.J., Princeton University Press [1974, c1973]</t>
        </is>
      </c>
      <c r="O2359" t="inlineStr">
        <is>
          <t>1974</t>
        </is>
      </c>
      <c r="Q2359" t="inlineStr">
        <is>
          <t>eng</t>
        </is>
      </c>
      <c r="R2359" t="inlineStr">
        <is>
          <t>nju</t>
        </is>
      </c>
      <c r="T2359" t="inlineStr">
        <is>
          <t xml:space="preserve">PR </t>
        </is>
      </c>
      <c r="U2359" t="n">
        <v>2</v>
      </c>
      <c r="V2359" t="n">
        <v>2</v>
      </c>
      <c r="W2359" t="inlineStr">
        <is>
          <t>1997-09-21</t>
        </is>
      </c>
      <c r="X2359" t="inlineStr">
        <is>
          <t>1997-09-21</t>
        </is>
      </c>
      <c r="Y2359" t="inlineStr">
        <is>
          <t>1990-04-10</t>
        </is>
      </c>
      <c r="Z2359" t="inlineStr">
        <is>
          <t>1990-04-10</t>
        </is>
      </c>
      <c r="AA2359" t="n">
        <v>989</v>
      </c>
      <c r="AB2359" t="n">
        <v>829</v>
      </c>
      <c r="AC2359" t="n">
        <v>834</v>
      </c>
      <c r="AD2359" t="n">
        <v>7</v>
      </c>
      <c r="AE2359" t="n">
        <v>7</v>
      </c>
      <c r="AF2359" t="n">
        <v>42</v>
      </c>
      <c r="AG2359" t="n">
        <v>42</v>
      </c>
      <c r="AH2359" t="n">
        <v>16</v>
      </c>
      <c r="AI2359" t="n">
        <v>16</v>
      </c>
      <c r="AJ2359" t="n">
        <v>10</v>
      </c>
      <c r="AK2359" t="n">
        <v>10</v>
      </c>
      <c r="AL2359" t="n">
        <v>22</v>
      </c>
      <c r="AM2359" t="n">
        <v>22</v>
      </c>
      <c r="AN2359" t="n">
        <v>6</v>
      </c>
      <c r="AO2359" t="n">
        <v>6</v>
      </c>
      <c r="AP2359" t="n">
        <v>0</v>
      </c>
      <c r="AQ2359" t="n">
        <v>0</v>
      </c>
      <c r="AR2359" t="inlineStr">
        <is>
          <t>No</t>
        </is>
      </c>
      <c r="AS2359" t="inlineStr">
        <is>
          <t>Yes</t>
        </is>
      </c>
      <c r="AT2359">
        <f>HYPERLINK("http://catalog.hathitrust.org/Record/001016489","HathiTrust Record")</f>
        <v/>
      </c>
      <c r="AU2359">
        <f>HYPERLINK("https://creighton-primo.hosted.exlibrisgroup.com/primo-explore/search?tab=default_tab&amp;search_scope=EVERYTHING&amp;vid=01CRU&amp;lang=en_US&amp;offset=0&amp;query=any,contains,991003163289702656","Catalog Record")</f>
        <v/>
      </c>
      <c r="AV2359">
        <f>HYPERLINK("http://www.worldcat.org/oclc/701639","WorldCat Record")</f>
        <v/>
      </c>
      <c r="AW2359" t="inlineStr">
        <is>
          <t>5218858708:eng</t>
        </is>
      </c>
      <c r="AX2359" t="inlineStr">
        <is>
          <t>701639</t>
        </is>
      </c>
      <c r="AY2359" t="inlineStr">
        <is>
          <t>991003163289702656</t>
        </is>
      </c>
      <c r="AZ2359" t="inlineStr">
        <is>
          <t>991003163289702656</t>
        </is>
      </c>
      <c r="BA2359" t="inlineStr">
        <is>
          <t>2255157690002656</t>
        </is>
      </c>
      <c r="BB2359" t="inlineStr">
        <is>
          <t>BOOK</t>
        </is>
      </c>
      <c r="BD2359" t="inlineStr">
        <is>
          <t>9780691100197</t>
        </is>
      </c>
      <c r="BE2359" t="inlineStr">
        <is>
          <t>32285000102854</t>
        </is>
      </c>
      <c r="BF2359" t="inlineStr">
        <is>
          <t>893780668</t>
        </is>
      </c>
    </row>
    <row r="2360">
      <c r="A2360" t="inlineStr">
        <is>
          <t>No</t>
        </is>
      </c>
      <c r="B2360" t="inlineStr">
        <is>
          <t>CURAL</t>
        </is>
      </c>
      <c r="C2360" t="inlineStr">
        <is>
          <t>SHELVES</t>
        </is>
      </c>
      <c r="D2360" t="inlineStr">
        <is>
          <t>PR541 .P3 1985</t>
        </is>
      </c>
      <c r="E2360" t="inlineStr">
        <is>
          <t>0                      PR 0541000P  3           1985</t>
        </is>
      </c>
      <c r="F2360" t="inlineStr">
        <is>
          <t>English poetry of the seventeenth century / George Parfitt.</t>
        </is>
      </c>
      <c r="H2360" t="inlineStr">
        <is>
          <t>No</t>
        </is>
      </c>
      <c r="I2360" t="inlineStr">
        <is>
          <t>1</t>
        </is>
      </c>
      <c r="J2360" t="inlineStr">
        <is>
          <t>No</t>
        </is>
      </c>
      <c r="K2360" t="inlineStr">
        <is>
          <t>No</t>
        </is>
      </c>
      <c r="L2360" t="inlineStr">
        <is>
          <t>0</t>
        </is>
      </c>
      <c r="M2360" t="inlineStr">
        <is>
          <t>Parfitt, George A. E.</t>
        </is>
      </c>
      <c r="N2360" t="inlineStr">
        <is>
          <t>London ; New York : Longman, 1985.</t>
        </is>
      </c>
      <c r="O2360" t="inlineStr">
        <is>
          <t>1985</t>
        </is>
      </c>
      <c r="Q2360" t="inlineStr">
        <is>
          <t>eng</t>
        </is>
      </c>
      <c r="R2360" t="inlineStr">
        <is>
          <t>enk</t>
        </is>
      </c>
      <c r="S2360" t="inlineStr">
        <is>
          <t>Longman literature in English series</t>
        </is>
      </c>
      <c r="T2360" t="inlineStr">
        <is>
          <t xml:space="preserve">PR </t>
        </is>
      </c>
      <c r="U2360" t="n">
        <v>2</v>
      </c>
      <c r="V2360" t="n">
        <v>2</v>
      </c>
      <c r="W2360" t="inlineStr">
        <is>
          <t>1997-08-22</t>
        </is>
      </c>
      <c r="X2360" t="inlineStr">
        <is>
          <t>1997-08-22</t>
        </is>
      </c>
      <c r="Y2360" t="inlineStr">
        <is>
          <t>1991-09-04</t>
        </is>
      </c>
      <c r="Z2360" t="inlineStr">
        <is>
          <t>1991-09-04</t>
        </is>
      </c>
      <c r="AA2360" t="n">
        <v>540</v>
      </c>
      <c r="AB2360" t="n">
        <v>369</v>
      </c>
      <c r="AC2360" t="n">
        <v>471</v>
      </c>
      <c r="AD2360" t="n">
        <v>3</v>
      </c>
      <c r="AE2360" t="n">
        <v>3</v>
      </c>
      <c r="AF2360" t="n">
        <v>16</v>
      </c>
      <c r="AG2360" t="n">
        <v>19</v>
      </c>
      <c r="AH2360" t="n">
        <v>6</v>
      </c>
      <c r="AI2360" t="n">
        <v>7</v>
      </c>
      <c r="AJ2360" t="n">
        <v>4</v>
      </c>
      <c r="AK2360" t="n">
        <v>5</v>
      </c>
      <c r="AL2360" t="n">
        <v>7</v>
      </c>
      <c r="AM2360" t="n">
        <v>10</v>
      </c>
      <c r="AN2360" t="n">
        <v>2</v>
      </c>
      <c r="AO2360" t="n">
        <v>2</v>
      </c>
      <c r="AP2360" t="n">
        <v>0</v>
      </c>
      <c r="AQ2360" t="n">
        <v>0</v>
      </c>
      <c r="AR2360" t="inlineStr">
        <is>
          <t>No</t>
        </is>
      </c>
      <c r="AS2360" t="inlineStr">
        <is>
          <t>Yes</t>
        </is>
      </c>
      <c r="AT2360">
        <f>HYPERLINK("http://catalog.hathitrust.org/Record/000570626","HathiTrust Record")</f>
        <v/>
      </c>
      <c r="AU2360">
        <f>HYPERLINK("https://creighton-primo.hosted.exlibrisgroup.com/primo-explore/search?tab=default_tab&amp;search_scope=EVERYTHING&amp;vid=01CRU&amp;lang=en_US&amp;offset=0&amp;query=any,contains,991000472399702656","Catalog Record")</f>
        <v/>
      </c>
      <c r="AV2360">
        <f>HYPERLINK("http://www.worldcat.org/oclc/10998519","WorldCat Record")</f>
        <v/>
      </c>
      <c r="AW2360" t="inlineStr">
        <is>
          <t>138561775:eng</t>
        </is>
      </c>
      <c r="AX2360" t="inlineStr">
        <is>
          <t>10998519</t>
        </is>
      </c>
      <c r="AY2360" t="inlineStr">
        <is>
          <t>991000472399702656</t>
        </is>
      </c>
      <c r="AZ2360" t="inlineStr">
        <is>
          <t>991000472399702656</t>
        </is>
      </c>
      <c r="BA2360" t="inlineStr">
        <is>
          <t>2261278130002656</t>
        </is>
      </c>
      <c r="BB2360" t="inlineStr">
        <is>
          <t>BOOK</t>
        </is>
      </c>
      <c r="BD2360" t="inlineStr">
        <is>
          <t>9780582492325</t>
        </is>
      </c>
      <c r="BE2360" t="inlineStr">
        <is>
          <t>32285000735869</t>
        </is>
      </c>
      <c r="BF2360" t="inlineStr">
        <is>
          <t>893871691</t>
        </is>
      </c>
    </row>
    <row r="2361">
      <c r="A2361" t="inlineStr">
        <is>
          <t>No</t>
        </is>
      </c>
      <c r="B2361" t="inlineStr">
        <is>
          <t>CURAL</t>
        </is>
      </c>
      <c r="C2361" t="inlineStr">
        <is>
          <t>SHELVES</t>
        </is>
      </c>
      <c r="D2361" t="inlineStr">
        <is>
          <t>PR541 .S5 1965</t>
        </is>
      </c>
      <c r="E2361" t="inlineStr">
        <is>
          <t>0                      PR 0541000S  5           1965</t>
        </is>
      </c>
      <c r="F2361" t="inlineStr">
        <is>
          <t>From Donne to Dryden : the revolt against metaphysical poetry.</t>
        </is>
      </c>
      <c r="H2361" t="inlineStr">
        <is>
          <t>No</t>
        </is>
      </c>
      <c r="I2361" t="inlineStr">
        <is>
          <t>1</t>
        </is>
      </c>
      <c r="J2361" t="inlineStr">
        <is>
          <t>No</t>
        </is>
      </c>
      <c r="K2361" t="inlineStr">
        <is>
          <t>No</t>
        </is>
      </c>
      <c r="L2361" t="inlineStr">
        <is>
          <t>0</t>
        </is>
      </c>
      <c r="M2361" t="inlineStr">
        <is>
          <t>Sharp, Robert Lathrop.</t>
        </is>
      </c>
      <c r="N2361" t="inlineStr">
        <is>
          <t>Hamden, Conn. : Archon Books, 1965 [c1940]</t>
        </is>
      </c>
      <c r="O2361" t="inlineStr">
        <is>
          <t>1965</t>
        </is>
      </c>
      <c r="Q2361" t="inlineStr">
        <is>
          <t>eng</t>
        </is>
      </c>
      <c r="R2361" t="inlineStr">
        <is>
          <t>ctu</t>
        </is>
      </c>
      <c r="T2361" t="inlineStr">
        <is>
          <t xml:space="preserve">PR </t>
        </is>
      </c>
      <c r="U2361" t="n">
        <v>3</v>
      </c>
      <c r="V2361" t="n">
        <v>3</v>
      </c>
      <c r="W2361" t="inlineStr">
        <is>
          <t>2005-10-24</t>
        </is>
      </c>
      <c r="X2361" t="inlineStr">
        <is>
          <t>2005-10-24</t>
        </is>
      </c>
      <c r="Y2361" t="inlineStr">
        <is>
          <t>1991-01-11</t>
        </is>
      </c>
      <c r="Z2361" t="inlineStr">
        <is>
          <t>1991-01-11</t>
        </is>
      </c>
      <c r="AA2361" t="n">
        <v>405</v>
      </c>
      <c r="AB2361" t="n">
        <v>360</v>
      </c>
      <c r="AC2361" t="n">
        <v>760</v>
      </c>
      <c r="AD2361" t="n">
        <v>2</v>
      </c>
      <c r="AE2361" t="n">
        <v>4</v>
      </c>
      <c r="AF2361" t="n">
        <v>19</v>
      </c>
      <c r="AG2361" t="n">
        <v>38</v>
      </c>
      <c r="AH2361" t="n">
        <v>9</v>
      </c>
      <c r="AI2361" t="n">
        <v>19</v>
      </c>
      <c r="AJ2361" t="n">
        <v>4</v>
      </c>
      <c r="AK2361" t="n">
        <v>6</v>
      </c>
      <c r="AL2361" t="n">
        <v>9</v>
      </c>
      <c r="AM2361" t="n">
        <v>19</v>
      </c>
      <c r="AN2361" t="n">
        <v>1</v>
      </c>
      <c r="AO2361" t="n">
        <v>3</v>
      </c>
      <c r="AP2361" t="n">
        <v>0</v>
      </c>
      <c r="AQ2361" t="n">
        <v>0</v>
      </c>
      <c r="AR2361" t="inlineStr">
        <is>
          <t>No</t>
        </is>
      </c>
      <c r="AS2361" t="inlineStr">
        <is>
          <t>Yes</t>
        </is>
      </c>
      <c r="AT2361">
        <f>HYPERLINK("http://catalog.hathitrust.org/Record/001371684","HathiTrust Record")</f>
        <v/>
      </c>
      <c r="AU2361">
        <f>HYPERLINK("https://creighton-primo.hosted.exlibrisgroup.com/primo-explore/search?tab=default_tab&amp;search_scope=EVERYTHING&amp;vid=01CRU&amp;lang=en_US&amp;offset=0&amp;query=any,contains,991002438109702656","Catalog Record")</f>
        <v/>
      </c>
      <c r="AV2361">
        <f>HYPERLINK("http://www.worldcat.org/oclc/349384","WorldCat Record")</f>
        <v/>
      </c>
      <c r="AW2361" t="inlineStr">
        <is>
          <t>1508891:eng</t>
        </is>
      </c>
      <c r="AX2361" t="inlineStr">
        <is>
          <t>349384</t>
        </is>
      </c>
      <c r="AY2361" t="inlineStr">
        <is>
          <t>991002438109702656</t>
        </is>
      </c>
      <c r="AZ2361" t="inlineStr">
        <is>
          <t>991002438109702656</t>
        </is>
      </c>
      <c r="BA2361" t="inlineStr">
        <is>
          <t>2267160840002656</t>
        </is>
      </c>
      <c r="BB2361" t="inlineStr">
        <is>
          <t>BOOK</t>
        </is>
      </c>
      <c r="BE2361" t="inlineStr">
        <is>
          <t>32285000428259</t>
        </is>
      </c>
      <c r="BF2361" t="inlineStr">
        <is>
          <t>893873521</t>
        </is>
      </c>
    </row>
    <row r="2362">
      <c r="A2362" t="inlineStr">
        <is>
          <t>No</t>
        </is>
      </c>
      <c r="B2362" t="inlineStr">
        <is>
          <t>CURAL</t>
        </is>
      </c>
      <c r="C2362" t="inlineStr">
        <is>
          <t>SHELVES</t>
        </is>
      </c>
      <c r="D2362" t="inlineStr">
        <is>
          <t>PR541 .S8</t>
        </is>
      </c>
      <c r="E2362" t="inlineStr">
        <is>
          <t>0                      PR 0541000S  8</t>
        </is>
      </c>
      <c r="F2362" t="inlineStr">
        <is>
          <t>The enclosed garden; the tradition and the image in seventeenth-century poetry [by] Stanley Stewart.</t>
        </is>
      </c>
      <c r="H2362" t="inlineStr">
        <is>
          <t>No</t>
        </is>
      </c>
      <c r="I2362" t="inlineStr">
        <is>
          <t>1</t>
        </is>
      </c>
      <c r="J2362" t="inlineStr">
        <is>
          <t>No</t>
        </is>
      </c>
      <c r="K2362" t="inlineStr">
        <is>
          <t>No</t>
        </is>
      </c>
      <c r="L2362" t="inlineStr">
        <is>
          <t>0</t>
        </is>
      </c>
      <c r="M2362" t="inlineStr">
        <is>
          <t>Stewart, Stanley, 1931-</t>
        </is>
      </c>
      <c r="N2362" t="inlineStr">
        <is>
          <t>Madison, University of Wisconsin Press, 1966.</t>
        </is>
      </c>
      <c r="O2362" t="inlineStr">
        <is>
          <t>1966</t>
        </is>
      </c>
      <c r="Q2362" t="inlineStr">
        <is>
          <t>eng</t>
        </is>
      </c>
      <c r="R2362" t="inlineStr">
        <is>
          <t>wiu</t>
        </is>
      </c>
      <c r="T2362" t="inlineStr">
        <is>
          <t xml:space="preserve">PR </t>
        </is>
      </c>
      <c r="U2362" t="n">
        <v>1</v>
      </c>
      <c r="V2362" t="n">
        <v>1</v>
      </c>
      <c r="W2362" t="inlineStr">
        <is>
          <t>2000-09-26</t>
        </is>
      </c>
      <c r="X2362" t="inlineStr">
        <is>
          <t>2000-09-26</t>
        </is>
      </c>
      <c r="Y2362" t="inlineStr">
        <is>
          <t>1997-08-29</t>
        </is>
      </c>
      <c r="Z2362" t="inlineStr">
        <is>
          <t>1997-08-29</t>
        </is>
      </c>
      <c r="AA2362" t="n">
        <v>756</v>
      </c>
      <c r="AB2362" t="n">
        <v>614</v>
      </c>
      <c r="AC2362" t="n">
        <v>625</v>
      </c>
      <c r="AD2362" t="n">
        <v>5</v>
      </c>
      <c r="AE2362" t="n">
        <v>5</v>
      </c>
      <c r="AF2362" t="n">
        <v>35</v>
      </c>
      <c r="AG2362" t="n">
        <v>35</v>
      </c>
      <c r="AH2362" t="n">
        <v>12</v>
      </c>
      <c r="AI2362" t="n">
        <v>12</v>
      </c>
      <c r="AJ2362" t="n">
        <v>8</v>
      </c>
      <c r="AK2362" t="n">
        <v>8</v>
      </c>
      <c r="AL2362" t="n">
        <v>18</v>
      </c>
      <c r="AM2362" t="n">
        <v>18</v>
      </c>
      <c r="AN2362" t="n">
        <v>4</v>
      </c>
      <c r="AO2362" t="n">
        <v>4</v>
      </c>
      <c r="AP2362" t="n">
        <v>0</v>
      </c>
      <c r="AQ2362" t="n">
        <v>0</v>
      </c>
      <c r="AR2362" t="inlineStr">
        <is>
          <t>No</t>
        </is>
      </c>
      <c r="AS2362" t="inlineStr">
        <is>
          <t>Yes</t>
        </is>
      </c>
      <c r="AT2362">
        <f>HYPERLINK("http://catalog.hathitrust.org/Record/001371715","HathiTrust Record")</f>
        <v/>
      </c>
      <c r="AU2362">
        <f>HYPERLINK("https://creighton-primo.hosted.exlibrisgroup.com/primo-explore/search?tab=default_tab&amp;search_scope=EVERYTHING&amp;vid=01CRU&amp;lang=en_US&amp;offset=0&amp;query=any,contains,991001922959702656","Catalog Record")</f>
        <v/>
      </c>
      <c r="AV2362">
        <f>HYPERLINK("http://www.worldcat.org/oclc/245697","WorldCat Record")</f>
        <v/>
      </c>
      <c r="AW2362" t="inlineStr">
        <is>
          <t>1398932:eng</t>
        </is>
      </c>
      <c r="AX2362" t="inlineStr">
        <is>
          <t>245697</t>
        </is>
      </c>
      <c r="AY2362" t="inlineStr">
        <is>
          <t>991001922959702656</t>
        </is>
      </c>
      <c r="AZ2362" t="inlineStr">
        <is>
          <t>991001922959702656</t>
        </is>
      </c>
      <c r="BA2362" t="inlineStr">
        <is>
          <t>2266999460002656</t>
        </is>
      </c>
      <c r="BB2362" t="inlineStr">
        <is>
          <t>BOOK</t>
        </is>
      </c>
      <c r="BE2362" t="inlineStr">
        <is>
          <t>32285003154035</t>
        </is>
      </c>
      <c r="BF2362" t="inlineStr">
        <is>
          <t>893621718</t>
        </is>
      </c>
    </row>
    <row r="2363">
      <c r="A2363" t="inlineStr">
        <is>
          <t>No</t>
        </is>
      </c>
      <c r="B2363" t="inlineStr">
        <is>
          <t>CURAL</t>
        </is>
      </c>
      <c r="C2363" t="inlineStr">
        <is>
          <t>SHELVES</t>
        </is>
      </c>
      <c r="D2363" t="inlineStr">
        <is>
          <t>PR541 .W5</t>
        </is>
      </c>
      <c r="E2363" t="inlineStr">
        <is>
          <t>0                      PR 0541000W  5</t>
        </is>
      </c>
      <c r="F2363" t="inlineStr">
        <is>
          <t>The Donne tradition; a study in English poetry from Donne to the death of Cowley, by George Williamson.</t>
        </is>
      </c>
      <c r="H2363" t="inlineStr">
        <is>
          <t>No</t>
        </is>
      </c>
      <c r="I2363" t="inlineStr">
        <is>
          <t>1</t>
        </is>
      </c>
      <c r="J2363" t="inlineStr">
        <is>
          <t>No</t>
        </is>
      </c>
      <c r="K2363" t="inlineStr">
        <is>
          <t>No</t>
        </is>
      </c>
      <c r="L2363" t="inlineStr">
        <is>
          <t>0</t>
        </is>
      </c>
      <c r="M2363" t="inlineStr">
        <is>
          <t>Williamson, George, 1898-1968.</t>
        </is>
      </c>
      <c r="N2363" t="inlineStr">
        <is>
          <t>Cambridge, Harvard University Press, 1930.</t>
        </is>
      </c>
      <c r="O2363" t="inlineStr">
        <is>
          <t>1930</t>
        </is>
      </c>
      <c r="Q2363" t="inlineStr">
        <is>
          <t>eng</t>
        </is>
      </c>
      <c r="R2363" t="inlineStr">
        <is>
          <t>enk</t>
        </is>
      </c>
      <c r="T2363" t="inlineStr">
        <is>
          <t xml:space="preserve">PR </t>
        </is>
      </c>
      <c r="U2363" t="n">
        <v>3</v>
      </c>
      <c r="V2363" t="n">
        <v>3</v>
      </c>
      <c r="W2363" t="inlineStr">
        <is>
          <t>2005-10-24</t>
        </is>
      </c>
      <c r="X2363" t="inlineStr">
        <is>
          <t>2005-10-24</t>
        </is>
      </c>
      <c r="Y2363" t="inlineStr">
        <is>
          <t>1997-08-29</t>
        </is>
      </c>
      <c r="Z2363" t="inlineStr">
        <is>
          <t>1997-08-29</t>
        </is>
      </c>
      <c r="AA2363" t="n">
        <v>282</v>
      </c>
      <c r="AB2363" t="n">
        <v>237</v>
      </c>
      <c r="AC2363" t="n">
        <v>998</v>
      </c>
      <c r="AD2363" t="n">
        <v>5</v>
      </c>
      <c r="AE2363" t="n">
        <v>8</v>
      </c>
      <c r="AF2363" t="n">
        <v>16</v>
      </c>
      <c r="AG2363" t="n">
        <v>48</v>
      </c>
      <c r="AH2363" t="n">
        <v>6</v>
      </c>
      <c r="AI2363" t="n">
        <v>21</v>
      </c>
      <c r="AJ2363" t="n">
        <v>2</v>
      </c>
      <c r="AK2363" t="n">
        <v>9</v>
      </c>
      <c r="AL2363" t="n">
        <v>10</v>
      </c>
      <c r="AM2363" t="n">
        <v>24</v>
      </c>
      <c r="AN2363" t="n">
        <v>4</v>
      </c>
      <c r="AO2363" t="n">
        <v>7</v>
      </c>
      <c r="AP2363" t="n">
        <v>0</v>
      </c>
      <c r="AQ2363" t="n">
        <v>0</v>
      </c>
      <c r="AR2363" t="inlineStr">
        <is>
          <t>No</t>
        </is>
      </c>
      <c r="AS2363" t="inlineStr">
        <is>
          <t>Yes</t>
        </is>
      </c>
      <c r="AT2363">
        <f>HYPERLINK("http://catalog.hathitrust.org/Record/004432249","HathiTrust Record")</f>
        <v/>
      </c>
      <c r="AU2363">
        <f>HYPERLINK("https://creighton-primo.hosted.exlibrisgroup.com/primo-explore/search?tab=default_tab&amp;search_scope=EVERYTHING&amp;vid=01CRU&amp;lang=en_US&amp;offset=0&amp;query=any,contains,991004043069702656","Catalog Record")</f>
        <v/>
      </c>
      <c r="AV2363">
        <f>HYPERLINK("http://www.worldcat.org/oclc/2190757","WorldCat Record")</f>
        <v/>
      </c>
      <c r="AW2363" t="inlineStr">
        <is>
          <t>1400004:eng</t>
        </is>
      </c>
      <c r="AX2363" t="inlineStr">
        <is>
          <t>2190757</t>
        </is>
      </c>
      <c r="AY2363" t="inlineStr">
        <is>
          <t>991004043069702656</t>
        </is>
      </c>
      <c r="AZ2363" t="inlineStr">
        <is>
          <t>991004043069702656</t>
        </is>
      </c>
      <c r="BA2363" t="inlineStr">
        <is>
          <t>2255791290002656</t>
        </is>
      </c>
      <c r="BB2363" t="inlineStr">
        <is>
          <t>BOOK</t>
        </is>
      </c>
      <c r="BE2363" t="inlineStr">
        <is>
          <t>32285003154043</t>
        </is>
      </c>
      <c r="BF2363" t="inlineStr">
        <is>
          <t>893337273</t>
        </is>
      </c>
    </row>
    <row r="2364">
      <c r="A2364" t="inlineStr">
        <is>
          <t>No</t>
        </is>
      </c>
      <c r="B2364" t="inlineStr">
        <is>
          <t>CURAL</t>
        </is>
      </c>
      <c r="C2364" t="inlineStr">
        <is>
          <t>SHELVES</t>
        </is>
      </c>
      <c r="D2364" t="inlineStr">
        <is>
          <t>PR5416 .G73 1968</t>
        </is>
      </c>
      <c r="E2364" t="inlineStr">
        <is>
          <t>0                      PR 5416000G  73          1968</t>
        </is>
      </c>
      <c r="F2364" t="inlineStr">
        <is>
          <t>Prometheus unbound : an interpretation / by Carl Grabo.</t>
        </is>
      </c>
      <c r="H2364" t="inlineStr">
        <is>
          <t>No</t>
        </is>
      </c>
      <c r="I2364" t="inlineStr">
        <is>
          <t>1</t>
        </is>
      </c>
      <c r="J2364" t="inlineStr">
        <is>
          <t>No</t>
        </is>
      </c>
      <c r="K2364" t="inlineStr">
        <is>
          <t>No</t>
        </is>
      </c>
      <c r="L2364" t="inlineStr">
        <is>
          <t>0</t>
        </is>
      </c>
      <c r="M2364" t="inlineStr">
        <is>
          <t>Grabo, Carl H. (Carl Henry), 1881-1955.</t>
        </is>
      </c>
      <c r="N2364" t="inlineStr">
        <is>
          <t>New York : Gordian Press, 1968.</t>
        </is>
      </c>
      <c r="O2364" t="inlineStr">
        <is>
          <t>1968</t>
        </is>
      </c>
      <c r="Q2364" t="inlineStr">
        <is>
          <t>eng</t>
        </is>
      </c>
      <c r="R2364" t="inlineStr">
        <is>
          <t>nyu</t>
        </is>
      </c>
      <c r="T2364" t="inlineStr">
        <is>
          <t xml:space="preserve">PR </t>
        </is>
      </c>
      <c r="U2364" t="n">
        <v>2</v>
      </c>
      <c r="V2364" t="n">
        <v>2</v>
      </c>
      <c r="W2364" t="inlineStr">
        <is>
          <t>2000-02-21</t>
        </is>
      </c>
      <c r="X2364" t="inlineStr">
        <is>
          <t>2000-02-21</t>
        </is>
      </c>
      <c r="Y2364" t="inlineStr">
        <is>
          <t>1992-02-01</t>
        </is>
      </c>
      <c r="Z2364" t="inlineStr">
        <is>
          <t>1992-02-01</t>
        </is>
      </c>
      <c r="AA2364" t="n">
        <v>473</v>
      </c>
      <c r="AB2364" t="n">
        <v>433</v>
      </c>
      <c r="AC2364" t="n">
        <v>634</v>
      </c>
      <c r="AD2364" t="n">
        <v>3</v>
      </c>
      <c r="AE2364" t="n">
        <v>6</v>
      </c>
      <c r="AF2364" t="n">
        <v>19</v>
      </c>
      <c r="AG2364" t="n">
        <v>31</v>
      </c>
      <c r="AH2364" t="n">
        <v>9</v>
      </c>
      <c r="AI2364" t="n">
        <v>12</v>
      </c>
      <c r="AJ2364" t="n">
        <v>5</v>
      </c>
      <c r="AK2364" t="n">
        <v>7</v>
      </c>
      <c r="AL2364" t="n">
        <v>8</v>
      </c>
      <c r="AM2364" t="n">
        <v>16</v>
      </c>
      <c r="AN2364" t="n">
        <v>2</v>
      </c>
      <c r="AO2364" t="n">
        <v>5</v>
      </c>
      <c r="AP2364" t="n">
        <v>0</v>
      </c>
      <c r="AQ2364" t="n">
        <v>0</v>
      </c>
      <c r="AR2364" t="inlineStr">
        <is>
          <t>No</t>
        </is>
      </c>
      <c r="AS2364" t="inlineStr">
        <is>
          <t>Yes</t>
        </is>
      </c>
      <c r="AT2364">
        <f>HYPERLINK("http://catalog.hathitrust.org/Record/001185525","HathiTrust Record")</f>
        <v/>
      </c>
      <c r="AU2364">
        <f>HYPERLINK("https://creighton-primo.hosted.exlibrisgroup.com/primo-explore/search?tab=default_tab&amp;search_scope=EVERYTHING&amp;vid=01CRU&amp;lang=en_US&amp;offset=0&amp;query=any,contains,991001092059702656","Catalog Record")</f>
        <v/>
      </c>
      <c r="AV2364">
        <f>HYPERLINK("http://www.worldcat.org/oclc/181546","WorldCat Record")</f>
        <v/>
      </c>
      <c r="AW2364" t="inlineStr">
        <is>
          <t>2286802444:eng</t>
        </is>
      </c>
      <c r="AX2364" t="inlineStr">
        <is>
          <t>181546</t>
        </is>
      </c>
      <c r="AY2364" t="inlineStr">
        <is>
          <t>991001092059702656</t>
        </is>
      </c>
      <c r="AZ2364" t="inlineStr">
        <is>
          <t>991001092059702656</t>
        </is>
      </c>
      <c r="BA2364" t="inlineStr">
        <is>
          <t>2272610830002656</t>
        </is>
      </c>
      <c r="BB2364" t="inlineStr">
        <is>
          <t>BOOK</t>
        </is>
      </c>
      <c r="BE2364" t="inlineStr">
        <is>
          <t>32285000932292</t>
        </is>
      </c>
      <c r="BF2364" t="inlineStr">
        <is>
          <t>893684024</t>
        </is>
      </c>
    </row>
    <row r="2365">
      <c r="A2365" t="inlineStr">
        <is>
          <t>No</t>
        </is>
      </c>
      <c r="B2365" t="inlineStr">
        <is>
          <t>CURAL</t>
        </is>
      </c>
      <c r="C2365" t="inlineStr">
        <is>
          <t>SHELVES</t>
        </is>
      </c>
      <c r="D2365" t="inlineStr">
        <is>
          <t>PR5416 .W3</t>
        </is>
      </c>
      <c r="E2365" t="inlineStr">
        <is>
          <t>0                      PR 5416000W  3</t>
        </is>
      </c>
      <c r="F2365" t="inlineStr">
        <is>
          <t>Shelley's Prometheus unbound : a critical reading / by Earl R. Wasserman.</t>
        </is>
      </c>
      <c r="H2365" t="inlineStr">
        <is>
          <t>No</t>
        </is>
      </c>
      <c r="I2365" t="inlineStr">
        <is>
          <t>1</t>
        </is>
      </c>
      <c r="J2365" t="inlineStr">
        <is>
          <t>No</t>
        </is>
      </c>
      <c r="K2365" t="inlineStr">
        <is>
          <t>No</t>
        </is>
      </c>
      <c r="L2365" t="inlineStr">
        <is>
          <t>0</t>
        </is>
      </c>
      <c r="M2365" t="inlineStr">
        <is>
          <t>Wasserman, Earl R. (Earl Reeves), 1913-1973.</t>
        </is>
      </c>
      <c r="N2365" t="inlineStr">
        <is>
          <t>Baltimore : Johns Hopkins Press, 1965.</t>
        </is>
      </c>
      <c r="O2365" t="inlineStr">
        <is>
          <t>1965</t>
        </is>
      </c>
      <c r="Q2365" t="inlineStr">
        <is>
          <t>eng</t>
        </is>
      </c>
      <c r="R2365" t="inlineStr">
        <is>
          <t>mdu</t>
        </is>
      </c>
      <c r="T2365" t="inlineStr">
        <is>
          <t xml:space="preserve">PR </t>
        </is>
      </c>
      <c r="U2365" t="n">
        <v>4</v>
      </c>
      <c r="V2365" t="n">
        <v>4</v>
      </c>
      <c r="W2365" t="inlineStr">
        <is>
          <t>1995-03-18</t>
        </is>
      </c>
      <c r="X2365" t="inlineStr">
        <is>
          <t>1995-03-18</t>
        </is>
      </c>
      <c r="Y2365" t="inlineStr">
        <is>
          <t>1990-05-30</t>
        </is>
      </c>
      <c r="Z2365" t="inlineStr">
        <is>
          <t>1990-05-30</t>
        </is>
      </c>
      <c r="AA2365" t="n">
        <v>879</v>
      </c>
      <c r="AB2365" t="n">
        <v>728</v>
      </c>
      <c r="AC2365" t="n">
        <v>736</v>
      </c>
      <c r="AD2365" t="n">
        <v>7</v>
      </c>
      <c r="AE2365" t="n">
        <v>7</v>
      </c>
      <c r="AF2365" t="n">
        <v>48</v>
      </c>
      <c r="AG2365" t="n">
        <v>48</v>
      </c>
      <c r="AH2365" t="n">
        <v>21</v>
      </c>
      <c r="AI2365" t="n">
        <v>21</v>
      </c>
      <c r="AJ2365" t="n">
        <v>9</v>
      </c>
      <c r="AK2365" t="n">
        <v>9</v>
      </c>
      <c r="AL2365" t="n">
        <v>24</v>
      </c>
      <c r="AM2365" t="n">
        <v>24</v>
      </c>
      <c r="AN2365" t="n">
        <v>6</v>
      </c>
      <c r="AO2365" t="n">
        <v>6</v>
      </c>
      <c r="AP2365" t="n">
        <v>0</v>
      </c>
      <c r="AQ2365" t="n">
        <v>0</v>
      </c>
      <c r="AR2365" t="inlineStr">
        <is>
          <t>No</t>
        </is>
      </c>
      <c r="AS2365" t="inlineStr">
        <is>
          <t>Yes</t>
        </is>
      </c>
      <c r="AT2365">
        <f>HYPERLINK("http://catalog.hathitrust.org/Record/001185527","HathiTrust Record")</f>
        <v/>
      </c>
      <c r="AU2365">
        <f>HYPERLINK("https://creighton-primo.hosted.exlibrisgroup.com/primo-explore/search?tab=default_tab&amp;search_scope=EVERYTHING&amp;vid=01CRU&amp;lang=en_US&amp;offset=0&amp;query=any,contains,991002492479702656","Catalog Record")</f>
        <v/>
      </c>
      <c r="AV2365">
        <f>HYPERLINK("http://www.worldcat.org/oclc/362905","WorldCat Record")</f>
        <v/>
      </c>
      <c r="AW2365" t="inlineStr">
        <is>
          <t>111601032:eng</t>
        </is>
      </c>
      <c r="AX2365" t="inlineStr">
        <is>
          <t>362905</t>
        </is>
      </c>
      <c r="AY2365" t="inlineStr">
        <is>
          <t>991002492479702656</t>
        </is>
      </c>
      <c r="AZ2365" t="inlineStr">
        <is>
          <t>991002492479702656</t>
        </is>
      </c>
      <c r="BA2365" t="inlineStr">
        <is>
          <t>2262471300002656</t>
        </is>
      </c>
      <c r="BB2365" t="inlineStr">
        <is>
          <t>BOOK</t>
        </is>
      </c>
      <c r="BE2365" t="inlineStr">
        <is>
          <t>32285000159680</t>
        </is>
      </c>
      <c r="BF2365" t="inlineStr">
        <is>
          <t>893427652</t>
        </is>
      </c>
    </row>
    <row r="2366">
      <c r="A2366" t="inlineStr">
        <is>
          <t>No</t>
        </is>
      </c>
      <c r="B2366" t="inlineStr">
        <is>
          <t>CURAL</t>
        </is>
      </c>
      <c r="C2366" t="inlineStr">
        <is>
          <t>SHELVES</t>
        </is>
      </c>
      <c r="D2366" t="inlineStr">
        <is>
          <t>PR5416 .W4 1969</t>
        </is>
      </c>
      <c r="E2366" t="inlineStr">
        <is>
          <t>0                      PR 5416000W  4           1969</t>
        </is>
      </c>
      <c r="F2366" t="inlineStr">
        <is>
          <t>Prometheus unbound.</t>
        </is>
      </c>
      <c r="H2366" t="inlineStr">
        <is>
          <t>No</t>
        </is>
      </c>
      <c r="I2366" t="inlineStr">
        <is>
          <t>1</t>
        </is>
      </c>
      <c r="J2366" t="inlineStr">
        <is>
          <t>No</t>
        </is>
      </c>
      <c r="K2366" t="inlineStr">
        <is>
          <t>No</t>
        </is>
      </c>
      <c r="L2366" t="inlineStr">
        <is>
          <t>0</t>
        </is>
      </c>
      <c r="M2366" t="inlineStr">
        <is>
          <t>Weaver, Bennett, 1892-1970.</t>
        </is>
      </c>
      <c r="N2366" t="inlineStr">
        <is>
          <t>[Hamden, Conn.] : Archon Books, 1969 [c1957]</t>
        </is>
      </c>
      <c r="O2366" t="inlineStr">
        <is>
          <t>1969</t>
        </is>
      </c>
      <c r="Q2366" t="inlineStr">
        <is>
          <t>eng</t>
        </is>
      </c>
      <c r="R2366" t="inlineStr">
        <is>
          <t>ctu</t>
        </is>
      </c>
      <c r="T2366" t="inlineStr">
        <is>
          <t xml:space="preserve">PR </t>
        </is>
      </c>
      <c r="U2366" t="n">
        <v>4</v>
      </c>
      <c r="V2366" t="n">
        <v>4</v>
      </c>
      <c r="W2366" t="inlineStr">
        <is>
          <t>2000-02-21</t>
        </is>
      </c>
      <c r="X2366" t="inlineStr">
        <is>
          <t>2000-02-21</t>
        </is>
      </c>
      <c r="Y2366" t="inlineStr">
        <is>
          <t>1990-05-30</t>
        </is>
      </c>
      <c r="Z2366" t="inlineStr">
        <is>
          <t>1990-05-30</t>
        </is>
      </c>
      <c r="AA2366" t="n">
        <v>245</v>
      </c>
      <c r="AB2366" t="n">
        <v>218</v>
      </c>
      <c r="AC2366" t="n">
        <v>374</v>
      </c>
      <c r="AD2366" t="n">
        <v>2</v>
      </c>
      <c r="AE2366" t="n">
        <v>3</v>
      </c>
      <c r="AF2366" t="n">
        <v>15</v>
      </c>
      <c r="AG2366" t="n">
        <v>24</v>
      </c>
      <c r="AH2366" t="n">
        <v>9</v>
      </c>
      <c r="AI2366" t="n">
        <v>12</v>
      </c>
      <c r="AJ2366" t="n">
        <v>2</v>
      </c>
      <c r="AK2366" t="n">
        <v>4</v>
      </c>
      <c r="AL2366" t="n">
        <v>5</v>
      </c>
      <c r="AM2366" t="n">
        <v>11</v>
      </c>
      <c r="AN2366" t="n">
        <v>1</v>
      </c>
      <c r="AO2366" t="n">
        <v>2</v>
      </c>
      <c r="AP2366" t="n">
        <v>0</v>
      </c>
      <c r="AQ2366" t="n">
        <v>0</v>
      </c>
      <c r="AR2366" t="inlineStr">
        <is>
          <t>No</t>
        </is>
      </c>
      <c r="AS2366" t="inlineStr">
        <is>
          <t>No</t>
        </is>
      </c>
      <c r="AU2366">
        <f>HYPERLINK("https://creighton-primo.hosted.exlibrisgroup.com/primo-explore/search?tab=default_tab&amp;search_scope=EVERYTHING&amp;vid=01CRU&amp;lang=en_US&amp;offset=0&amp;query=any,contains,991005438439702656","Catalog Record")</f>
        <v/>
      </c>
      <c r="AV2366">
        <f>HYPERLINK("http://www.worldcat.org/oclc/6043","WorldCat Record")</f>
        <v/>
      </c>
      <c r="AW2366" t="inlineStr">
        <is>
          <t>2287059783:eng</t>
        </is>
      </c>
      <c r="AX2366" t="inlineStr">
        <is>
          <t>6043</t>
        </is>
      </c>
      <c r="AY2366" t="inlineStr">
        <is>
          <t>991005438439702656</t>
        </is>
      </c>
      <c r="AZ2366" t="inlineStr">
        <is>
          <t>991005438439702656</t>
        </is>
      </c>
      <c r="BA2366" t="inlineStr">
        <is>
          <t>2265147180002656</t>
        </is>
      </c>
      <c r="BB2366" t="inlineStr">
        <is>
          <t>BOOK</t>
        </is>
      </c>
      <c r="BD2366" t="inlineStr">
        <is>
          <t>9780208007254</t>
        </is>
      </c>
      <c r="BE2366" t="inlineStr">
        <is>
          <t>32285000159698</t>
        </is>
      </c>
      <c r="BF2366" t="inlineStr">
        <is>
          <t>893248927</t>
        </is>
      </c>
    </row>
    <row r="2367">
      <c r="A2367" t="inlineStr">
        <is>
          <t>No</t>
        </is>
      </c>
      <c r="B2367" t="inlineStr">
        <is>
          <t>CURAL</t>
        </is>
      </c>
      <c r="C2367" t="inlineStr">
        <is>
          <t>SHELVES</t>
        </is>
      </c>
      <c r="D2367" t="inlineStr">
        <is>
          <t>PR5422 .P5 1920</t>
        </is>
      </c>
      <c r="E2367" t="inlineStr">
        <is>
          <t>0                      PR 5422000P  5           1920</t>
        </is>
      </c>
      <c r="F2367" t="inlineStr">
        <is>
          <t>A philosophical view of reform.</t>
        </is>
      </c>
      <c r="H2367" t="inlineStr">
        <is>
          <t>No</t>
        </is>
      </c>
      <c r="I2367" t="inlineStr">
        <is>
          <t>1</t>
        </is>
      </c>
      <c r="J2367" t="inlineStr">
        <is>
          <t>No</t>
        </is>
      </c>
      <c r="K2367" t="inlineStr">
        <is>
          <t>No</t>
        </is>
      </c>
      <c r="L2367" t="inlineStr">
        <is>
          <t>0</t>
        </is>
      </c>
      <c r="M2367" t="inlineStr">
        <is>
          <t>Shelley, Percy Bysshe, 1792-1822.</t>
        </is>
      </c>
      <c r="N2367" t="inlineStr">
        <is>
          <t>London, New York [etc.] H. Milford, Oxford university press, 1920.</t>
        </is>
      </c>
      <c r="O2367" t="inlineStr">
        <is>
          <t>1920</t>
        </is>
      </c>
      <c r="Q2367" t="inlineStr">
        <is>
          <t>eng</t>
        </is>
      </c>
      <c r="R2367" t="inlineStr">
        <is>
          <t xml:space="preserve">xx </t>
        </is>
      </c>
      <c r="T2367" t="inlineStr">
        <is>
          <t xml:space="preserve">PR </t>
        </is>
      </c>
      <c r="U2367" t="n">
        <v>5</v>
      </c>
      <c r="V2367" t="n">
        <v>5</v>
      </c>
      <c r="W2367" t="inlineStr">
        <is>
          <t>2001-04-16</t>
        </is>
      </c>
      <c r="X2367" t="inlineStr">
        <is>
          <t>2001-04-16</t>
        </is>
      </c>
      <c r="Y2367" t="inlineStr">
        <is>
          <t>1997-07-18</t>
        </is>
      </c>
      <c r="Z2367" t="inlineStr">
        <is>
          <t>1997-07-18</t>
        </is>
      </c>
      <c r="AA2367" t="n">
        <v>143</v>
      </c>
      <c r="AB2367" t="n">
        <v>135</v>
      </c>
      <c r="AC2367" t="n">
        <v>242</v>
      </c>
      <c r="AD2367" t="n">
        <v>2</v>
      </c>
      <c r="AE2367" t="n">
        <v>3</v>
      </c>
      <c r="AF2367" t="n">
        <v>6</v>
      </c>
      <c r="AG2367" t="n">
        <v>10</v>
      </c>
      <c r="AH2367" t="n">
        <v>1</v>
      </c>
      <c r="AI2367" t="n">
        <v>1</v>
      </c>
      <c r="AJ2367" t="n">
        <v>2</v>
      </c>
      <c r="AK2367" t="n">
        <v>4</v>
      </c>
      <c r="AL2367" t="n">
        <v>2</v>
      </c>
      <c r="AM2367" t="n">
        <v>4</v>
      </c>
      <c r="AN2367" t="n">
        <v>1</v>
      </c>
      <c r="AO2367" t="n">
        <v>2</v>
      </c>
      <c r="AP2367" t="n">
        <v>0</v>
      </c>
      <c r="AQ2367" t="n">
        <v>0</v>
      </c>
      <c r="AR2367" t="inlineStr">
        <is>
          <t>Yes</t>
        </is>
      </c>
      <c r="AS2367" t="inlineStr">
        <is>
          <t>No</t>
        </is>
      </c>
      <c r="AT2367">
        <f>HYPERLINK("http://catalog.hathitrust.org/Record/001112862","HathiTrust Record")</f>
        <v/>
      </c>
      <c r="AU2367">
        <f>HYPERLINK("https://creighton-primo.hosted.exlibrisgroup.com/primo-explore/search?tab=default_tab&amp;search_scope=EVERYTHING&amp;vid=01CRU&amp;lang=en_US&amp;offset=0&amp;query=any,contains,991002492509702656","Catalog Record")</f>
        <v/>
      </c>
      <c r="AV2367">
        <f>HYPERLINK("http://www.worldcat.org/oclc/362906","WorldCat Record")</f>
        <v/>
      </c>
      <c r="AW2367" t="inlineStr">
        <is>
          <t>1417830:eng</t>
        </is>
      </c>
      <c r="AX2367" t="inlineStr">
        <is>
          <t>362906</t>
        </is>
      </c>
      <c r="AY2367" t="inlineStr">
        <is>
          <t>991002492509702656</t>
        </is>
      </c>
      <c r="AZ2367" t="inlineStr">
        <is>
          <t>991002492509702656</t>
        </is>
      </c>
      <c r="BA2367" t="inlineStr">
        <is>
          <t>2262472650002656</t>
        </is>
      </c>
      <c r="BB2367" t="inlineStr">
        <is>
          <t>BOOK</t>
        </is>
      </c>
      <c r="BE2367" t="inlineStr">
        <is>
          <t>32285002934015</t>
        </is>
      </c>
      <c r="BF2367" t="inlineStr">
        <is>
          <t>893616197</t>
        </is>
      </c>
    </row>
    <row r="2368">
      <c r="A2368" t="inlineStr">
        <is>
          <t>No</t>
        </is>
      </c>
      <c r="B2368" t="inlineStr">
        <is>
          <t>CURAL</t>
        </is>
      </c>
      <c r="C2368" t="inlineStr">
        <is>
          <t>SHELVES</t>
        </is>
      </c>
      <c r="D2368" t="inlineStr">
        <is>
          <t>PR543 .D65 1946</t>
        </is>
      </c>
      <c r="E2368" t="inlineStr">
        <is>
          <t>0                      PR 0543000D  65          1946</t>
        </is>
      </c>
      <c r="F2368" t="inlineStr">
        <is>
          <t>Studies in religious poetry of the seventeenth century.</t>
        </is>
      </c>
      <c r="H2368" t="inlineStr">
        <is>
          <t>No</t>
        </is>
      </c>
      <c r="I2368" t="inlineStr">
        <is>
          <t>1</t>
        </is>
      </c>
      <c r="J2368" t="inlineStr">
        <is>
          <t>No</t>
        </is>
      </c>
      <c r="K2368" t="inlineStr">
        <is>
          <t>No</t>
        </is>
      </c>
      <c r="L2368" t="inlineStr">
        <is>
          <t>0</t>
        </is>
      </c>
      <c r="M2368" t="inlineStr">
        <is>
          <t>Doughty, W. L. (William Lamplough)</t>
        </is>
      </c>
      <c r="N2368" t="inlineStr">
        <is>
          <t>London, Epworth Press [1946]</t>
        </is>
      </c>
      <c r="O2368" t="inlineStr">
        <is>
          <t>1946</t>
        </is>
      </c>
      <c r="Q2368" t="inlineStr">
        <is>
          <t>eng</t>
        </is>
      </c>
      <c r="R2368" t="inlineStr">
        <is>
          <t>enk</t>
        </is>
      </c>
      <c r="T2368" t="inlineStr">
        <is>
          <t xml:space="preserve">PR </t>
        </is>
      </c>
      <c r="U2368" t="n">
        <v>2</v>
      </c>
      <c r="V2368" t="n">
        <v>2</v>
      </c>
      <c r="W2368" t="inlineStr">
        <is>
          <t>2005-10-24</t>
        </is>
      </c>
      <c r="X2368" t="inlineStr">
        <is>
          <t>2005-10-24</t>
        </is>
      </c>
      <c r="Y2368" t="inlineStr">
        <is>
          <t>1997-08-29</t>
        </is>
      </c>
      <c r="Z2368" t="inlineStr">
        <is>
          <t>1997-08-29</t>
        </is>
      </c>
      <c r="AA2368" t="n">
        <v>203</v>
      </c>
      <c r="AB2368" t="n">
        <v>152</v>
      </c>
      <c r="AC2368" t="n">
        <v>428</v>
      </c>
      <c r="AD2368" t="n">
        <v>1</v>
      </c>
      <c r="AE2368" t="n">
        <v>3</v>
      </c>
      <c r="AF2368" t="n">
        <v>10</v>
      </c>
      <c r="AG2368" t="n">
        <v>23</v>
      </c>
      <c r="AH2368" t="n">
        <v>5</v>
      </c>
      <c r="AI2368" t="n">
        <v>9</v>
      </c>
      <c r="AJ2368" t="n">
        <v>3</v>
      </c>
      <c r="AK2368" t="n">
        <v>7</v>
      </c>
      <c r="AL2368" t="n">
        <v>6</v>
      </c>
      <c r="AM2368" t="n">
        <v>14</v>
      </c>
      <c r="AN2368" t="n">
        <v>0</v>
      </c>
      <c r="AO2368" t="n">
        <v>2</v>
      </c>
      <c r="AP2368" t="n">
        <v>0</v>
      </c>
      <c r="AQ2368" t="n">
        <v>0</v>
      </c>
      <c r="AR2368" t="inlineStr">
        <is>
          <t>No</t>
        </is>
      </c>
      <c r="AS2368" t="inlineStr">
        <is>
          <t>Yes</t>
        </is>
      </c>
      <c r="AT2368">
        <f>HYPERLINK("http://catalog.hathitrust.org/Record/001016638","HathiTrust Record")</f>
        <v/>
      </c>
      <c r="AU2368">
        <f>HYPERLINK("https://creighton-primo.hosted.exlibrisgroup.com/primo-explore/search?tab=default_tab&amp;search_scope=EVERYTHING&amp;vid=01CRU&amp;lang=en_US&amp;offset=0&amp;query=any,contains,991003745499702656","Catalog Record")</f>
        <v/>
      </c>
      <c r="AV2368">
        <f>HYPERLINK("http://www.worldcat.org/oclc/1416527","WorldCat Record")</f>
        <v/>
      </c>
      <c r="AW2368" t="inlineStr">
        <is>
          <t>1124928:eng</t>
        </is>
      </c>
      <c r="AX2368" t="inlineStr">
        <is>
          <t>1416527</t>
        </is>
      </c>
      <c r="AY2368" t="inlineStr">
        <is>
          <t>991003745499702656</t>
        </is>
      </c>
      <c r="AZ2368" t="inlineStr">
        <is>
          <t>991003745499702656</t>
        </is>
      </c>
      <c r="BA2368" t="inlineStr">
        <is>
          <t>2264238450002656</t>
        </is>
      </c>
      <c r="BB2368" t="inlineStr">
        <is>
          <t>BOOK</t>
        </is>
      </c>
      <c r="BE2368" t="inlineStr">
        <is>
          <t>32285003154068</t>
        </is>
      </c>
      <c r="BF2368" t="inlineStr">
        <is>
          <t>893787695</t>
        </is>
      </c>
    </row>
    <row r="2369">
      <c r="A2369" t="inlineStr">
        <is>
          <t>No</t>
        </is>
      </c>
      <c r="B2369" t="inlineStr">
        <is>
          <t>CURAL</t>
        </is>
      </c>
      <c r="C2369" t="inlineStr">
        <is>
          <t>SHELVES</t>
        </is>
      </c>
      <c r="D2369" t="inlineStr">
        <is>
          <t>PR543 .K4</t>
        </is>
      </c>
      <c r="E2369" t="inlineStr">
        <is>
          <t>0                      PR 0543000K  4</t>
        </is>
      </c>
      <c r="F2369" t="inlineStr">
        <is>
          <t>Seventeenth-century English poetry : modern essays in criticism.</t>
        </is>
      </c>
      <c r="H2369" t="inlineStr">
        <is>
          <t>No</t>
        </is>
      </c>
      <c r="I2369" t="inlineStr">
        <is>
          <t>1</t>
        </is>
      </c>
      <c r="J2369" t="inlineStr">
        <is>
          <t>No</t>
        </is>
      </c>
      <c r="K2369" t="inlineStr">
        <is>
          <t>No</t>
        </is>
      </c>
      <c r="L2369" t="inlineStr">
        <is>
          <t>0</t>
        </is>
      </c>
      <c r="M2369" t="inlineStr">
        <is>
          <t>Keast, William R., editor.</t>
        </is>
      </c>
      <c r="N2369" t="inlineStr">
        <is>
          <t>New York : Oxford University Press, 1962.</t>
        </is>
      </c>
      <c r="O2369" t="inlineStr">
        <is>
          <t>1962</t>
        </is>
      </c>
      <c r="Q2369" t="inlineStr">
        <is>
          <t>eng</t>
        </is>
      </c>
      <c r="R2369" t="inlineStr">
        <is>
          <t>nyu</t>
        </is>
      </c>
      <c r="S2369" t="inlineStr">
        <is>
          <t>A Galaxy book, GB89</t>
        </is>
      </c>
      <c r="T2369" t="inlineStr">
        <is>
          <t xml:space="preserve">PR </t>
        </is>
      </c>
      <c r="U2369" t="n">
        <v>10</v>
      </c>
      <c r="V2369" t="n">
        <v>10</v>
      </c>
      <c r="W2369" t="inlineStr">
        <is>
          <t>2005-10-24</t>
        </is>
      </c>
      <c r="X2369" t="inlineStr">
        <is>
          <t>2005-10-24</t>
        </is>
      </c>
      <c r="Y2369" t="inlineStr">
        <is>
          <t>1990-04-10</t>
        </is>
      </c>
      <c r="Z2369" t="inlineStr">
        <is>
          <t>1990-04-10</t>
        </is>
      </c>
      <c r="AA2369" t="n">
        <v>937</v>
      </c>
      <c r="AB2369" t="n">
        <v>808</v>
      </c>
      <c r="AC2369" t="n">
        <v>1288</v>
      </c>
      <c r="AD2369" t="n">
        <v>10</v>
      </c>
      <c r="AE2369" t="n">
        <v>13</v>
      </c>
      <c r="AF2369" t="n">
        <v>36</v>
      </c>
      <c r="AG2369" t="n">
        <v>55</v>
      </c>
      <c r="AH2369" t="n">
        <v>14</v>
      </c>
      <c r="AI2369" t="n">
        <v>23</v>
      </c>
      <c r="AJ2369" t="n">
        <v>5</v>
      </c>
      <c r="AK2369" t="n">
        <v>8</v>
      </c>
      <c r="AL2369" t="n">
        <v>18</v>
      </c>
      <c r="AM2369" t="n">
        <v>25</v>
      </c>
      <c r="AN2369" t="n">
        <v>7</v>
      </c>
      <c r="AO2369" t="n">
        <v>10</v>
      </c>
      <c r="AP2369" t="n">
        <v>0</v>
      </c>
      <c r="AQ2369" t="n">
        <v>0</v>
      </c>
      <c r="AR2369" t="inlineStr">
        <is>
          <t>No</t>
        </is>
      </c>
      <c r="AS2369" t="inlineStr">
        <is>
          <t>No</t>
        </is>
      </c>
      <c r="AT2369">
        <f>HYPERLINK("http://catalog.hathitrust.org/Record/001371558","HathiTrust Record")</f>
        <v/>
      </c>
      <c r="AU2369">
        <f>HYPERLINK("https://creighton-primo.hosted.exlibrisgroup.com/primo-explore/search?tab=default_tab&amp;search_scope=EVERYTHING&amp;vid=01CRU&amp;lang=en_US&amp;offset=0&amp;query=any,contains,991002438059702656","Catalog Record")</f>
        <v/>
      </c>
      <c r="AV2369">
        <f>HYPERLINK("http://www.worldcat.org/oclc/349378","WorldCat Record")</f>
        <v/>
      </c>
      <c r="AW2369" t="inlineStr">
        <is>
          <t>889352554:eng</t>
        </is>
      </c>
      <c r="AX2369" t="inlineStr">
        <is>
          <t>349378</t>
        </is>
      </c>
      <c r="AY2369" t="inlineStr">
        <is>
          <t>991002438059702656</t>
        </is>
      </c>
      <c r="AZ2369" t="inlineStr">
        <is>
          <t>991002438059702656</t>
        </is>
      </c>
      <c r="BA2369" t="inlineStr">
        <is>
          <t>2267162470002656</t>
        </is>
      </c>
      <c r="BB2369" t="inlineStr">
        <is>
          <t>BOOK</t>
        </is>
      </c>
      <c r="BE2369" t="inlineStr">
        <is>
          <t>32285000102847</t>
        </is>
      </c>
      <c r="BF2369" t="inlineStr">
        <is>
          <t>893504386</t>
        </is>
      </c>
    </row>
    <row r="2370">
      <c r="A2370" t="inlineStr">
        <is>
          <t>No</t>
        </is>
      </c>
      <c r="B2370" t="inlineStr">
        <is>
          <t>CURAL</t>
        </is>
      </c>
      <c r="C2370" t="inlineStr">
        <is>
          <t>SHELVES</t>
        </is>
      </c>
      <c r="D2370" t="inlineStr">
        <is>
          <t>PR5431 .A33</t>
        </is>
      </c>
      <c r="E2370" t="inlineStr">
        <is>
          <t>0                      PR 5431000A  33</t>
        </is>
      </c>
      <c r="F2370" t="inlineStr">
        <is>
          <t>Shelley and his circle, 1773-1822 / edited by Kenneth Neill Cameron.</t>
        </is>
      </c>
      <c r="G2370" t="inlineStr">
        <is>
          <t>V.1</t>
        </is>
      </c>
      <c r="H2370" t="inlineStr">
        <is>
          <t>Yes</t>
        </is>
      </c>
      <c r="I2370" t="inlineStr">
        <is>
          <t>1</t>
        </is>
      </c>
      <c r="J2370" t="inlineStr">
        <is>
          <t>No</t>
        </is>
      </c>
      <c r="K2370" t="inlineStr">
        <is>
          <t>No</t>
        </is>
      </c>
      <c r="L2370" t="inlineStr">
        <is>
          <t>0</t>
        </is>
      </c>
      <c r="M2370" t="inlineStr">
        <is>
          <t>Carl H. Pforzheimer Library.</t>
        </is>
      </c>
      <c r="N2370" t="inlineStr">
        <is>
          <t>Cambridge : Harvard University Press, 1961-</t>
        </is>
      </c>
      <c r="O2370" t="inlineStr">
        <is>
          <t>1961</t>
        </is>
      </c>
      <c r="Q2370" t="inlineStr">
        <is>
          <t>eng</t>
        </is>
      </c>
      <c r="R2370" t="inlineStr">
        <is>
          <t>mau</t>
        </is>
      </c>
      <c r="T2370" t="inlineStr">
        <is>
          <t xml:space="preserve">PR </t>
        </is>
      </c>
      <c r="U2370" t="n">
        <v>2</v>
      </c>
      <c r="V2370" t="n">
        <v>7</v>
      </c>
      <c r="W2370" t="inlineStr">
        <is>
          <t>2002-02-15</t>
        </is>
      </c>
      <c r="X2370" t="inlineStr">
        <is>
          <t>2002-02-15</t>
        </is>
      </c>
      <c r="Y2370" t="inlineStr">
        <is>
          <t>1992-02-01</t>
        </is>
      </c>
      <c r="Z2370" t="inlineStr">
        <is>
          <t>1992-02-01</t>
        </is>
      </c>
      <c r="AA2370" t="n">
        <v>1005</v>
      </c>
      <c r="AB2370" t="n">
        <v>867</v>
      </c>
      <c r="AC2370" t="n">
        <v>884</v>
      </c>
      <c r="AD2370" t="n">
        <v>11</v>
      </c>
      <c r="AE2370" t="n">
        <v>11</v>
      </c>
      <c r="AF2370" t="n">
        <v>48</v>
      </c>
      <c r="AG2370" t="n">
        <v>49</v>
      </c>
      <c r="AH2370" t="n">
        <v>18</v>
      </c>
      <c r="AI2370" t="n">
        <v>19</v>
      </c>
      <c r="AJ2370" t="n">
        <v>10</v>
      </c>
      <c r="AK2370" t="n">
        <v>10</v>
      </c>
      <c r="AL2370" t="n">
        <v>20</v>
      </c>
      <c r="AM2370" t="n">
        <v>21</v>
      </c>
      <c r="AN2370" t="n">
        <v>10</v>
      </c>
      <c r="AO2370" t="n">
        <v>10</v>
      </c>
      <c r="AP2370" t="n">
        <v>0</v>
      </c>
      <c r="AQ2370" t="n">
        <v>0</v>
      </c>
      <c r="AR2370" t="inlineStr">
        <is>
          <t>No</t>
        </is>
      </c>
      <c r="AS2370" t="inlineStr">
        <is>
          <t>Yes</t>
        </is>
      </c>
      <c r="AT2370">
        <f>HYPERLINK("http://catalog.hathitrust.org/Record/000143156","HathiTrust Record")</f>
        <v/>
      </c>
      <c r="AU2370">
        <f>HYPERLINK("https://creighton-primo.hosted.exlibrisgroup.com/primo-explore/search?tab=default_tab&amp;search_scope=EVERYTHING&amp;vid=01CRU&amp;lang=en_US&amp;offset=0&amp;query=any,contains,991001836629702656","Catalog Record")</f>
        <v/>
      </c>
      <c r="AV2370">
        <f>HYPERLINK("http://www.worldcat.org/oclc/237429","WorldCat Record")</f>
        <v/>
      </c>
      <c r="AW2370" t="inlineStr">
        <is>
          <t>4160337519:eng</t>
        </is>
      </c>
      <c r="AX2370" t="inlineStr">
        <is>
          <t>237429</t>
        </is>
      </c>
      <c r="AY2370" t="inlineStr">
        <is>
          <t>991001836629702656</t>
        </is>
      </c>
      <c r="AZ2370" t="inlineStr">
        <is>
          <t>991001836629702656</t>
        </is>
      </c>
      <c r="BA2370" t="inlineStr">
        <is>
          <t>2254900700002656</t>
        </is>
      </c>
      <c r="BB2370" t="inlineStr">
        <is>
          <t>BOOK</t>
        </is>
      </c>
      <c r="BD2370" t="inlineStr">
        <is>
          <t>9780674806122</t>
        </is>
      </c>
      <c r="BE2370" t="inlineStr">
        <is>
          <t>32285000932342</t>
        </is>
      </c>
      <c r="BF2370" t="inlineStr">
        <is>
          <t>893684688</t>
        </is>
      </c>
    </row>
    <row r="2371">
      <c r="A2371" t="inlineStr">
        <is>
          <t>No</t>
        </is>
      </c>
      <c r="B2371" t="inlineStr">
        <is>
          <t>CURAL</t>
        </is>
      </c>
      <c r="C2371" t="inlineStr">
        <is>
          <t>SHELVES</t>
        </is>
      </c>
      <c r="D2371" t="inlineStr">
        <is>
          <t>PR5431 .A33</t>
        </is>
      </c>
      <c r="E2371" t="inlineStr">
        <is>
          <t>0                      PR 5431000A  33</t>
        </is>
      </c>
      <c r="F2371" t="inlineStr">
        <is>
          <t>Shelley and his circle, 1773-1822 / edited by Kenneth Neill Cameron.</t>
        </is>
      </c>
      <c r="G2371" t="inlineStr">
        <is>
          <t>V.6</t>
        </is>
      </c>
      <c r="H2371" t="inlineStr">
        <is>
          <t>Yes</t>
        </is>
      </c>
      <c r="I2371" t="inlineStr">
        <is>
          <t>1</t>
        </is>
      </c>
      <c r="J2371" t="inlineStr">
        <is>
          <t>No</t>
        </is>
      </c>
      <c r="K2371" t="inlineStr">
        <is>
          <t>No</t>
        </is>
      </c>
      <c r="L2371" t="inlineStr">
        <is>
          <t>0</t>
        </is>
      </c>
      <c r="M2371" t="inlineStr">
        <is>
          <t>Carl H. Pforzheimer Library.</t>
        </is>
      </c>
      <c r="N2371" t="inlineStr">
        <is>
          <t>Cambridge : Harvard University Press, 1961-</t>
        </is>
      </c>
      <c r="O2371" t="inlineStr">
        <is>
          <t>1961</t>
        </is>
      </c>
      <c r="Q2371" t="inlineStr">
        <is>
          <t>eng</t>
        </is>
      </c>
      <c r="R2371" t="inlineStr">
        <is>
          <t>mau</t>
        </is>
      </c>
      <c r="T2371" t="inlineStr">
        <is>
          <t xml:space="preserve">PR </t>
        </is>
      </c>
      <c r="U2371" t="n">
        <v>1</v>
      </c>
      <c r="V2371" t="n">
        <v>7</v>
      </c>
      <c r="W2371" t="inlineStr">
        <is>
          <t>2002-02-15</t>
        </is>
      </c>
      <c r="X2371" t="inlineStr">
        <is>
          <t>2002-02-15</t>
        </is>
      </c>
      <c r="Y2371" t="inlineStr">
        <is>
          <t>1992-02-01</t>
        </is>
      </c>
      <c r="Z2371" t="inlineStr">
        <is>
          <t>1992-02-01</t>
        </is>
      </c>
      <c r="AA2371" t="n">
        <v>1005</v>
      </c>
      <c r="AB2371" t="n">
        <v>867</v>
      </c>
      <c r="AC2371" t="n">
        <v>884</v>
      </c>
      <c r="AD2371" t="n">
        <v>11</v>
      </c>
      <c r="AE2371" t="n">
        <v>11</v>
      </c>
      <c r="AF2371" t="n">
        <v>48</v>
      </c>
      <c r="AG2371" t="n">
        <v>49</v>
      </c>
      <c r="AH2371" t="n">
        <v>18</v>
      </c>
      <c r="AI2371" t="n">
        <v>19</v>
      </c>
      <c r="AJ2371" t="n">
        <v>10</v>
      </c>
      <c r="AK2371" t="n">
        <v>10</v>
      </c>
      <c r="AL2371" t="n">
        <v>20</v>
      </c>
      <c r="AM2371" t="n">
        <v>21</v>
      </c>
      <c r="AN2371" t="n">
        <v>10</v>
      </c>
      <c r="AO2371" t="n">
        <v>10</v>
      </c>
      <c r="AP2371" t="n">
        <v>0</v>
      </c>
      <c r="AQ2371" t="n">
        <v>0</v>
      </c>
      <c r="AR2371" t="inlineStr">
        <is>
          <t>No</t>
        </is>
      </c>
      <c r="AS2371" t="inlineStr">
        <is>
          <t>Yes</t>
        </is>
      </c>
      <c r="AT2371">
        <f>HYPERLINK("http://catalog.hathitrust.org/Record/000143156","HathiTrust Record")</f>
        <v/>
      </c>
      <c r="AU2371">
        <f>HYPERLINK("https://creighton-primo.hosted.exlibrisgroup.com/primo-explore/search?tab=default_tab&amp;search_scope=EVERYTHING&amp;vid=01CRU&amp;lang=en_US&amp;offset=0&amp;query=any,contains,991001836629702656","Catalog Record")</f>
        <v/>
      </c>
      <c r="AV2371">
        <f>HYPERLINK("http://www.worldcat.org/oclc/237429","WorldCat Record")</f>
        <v/>
      </c>
      <c r="AW2371" t="inlineStr">
        <is>
          <t>4160337519:eng</t>
        </is>
      </c>
      <c r="AX2371" t="inlineStr">
        <is>
          <t>237429</t>
        </is>
      </c>
      <c r="AY2371" t="inlineStr">
        <is>
          <t>991001836629702656</t>
        </is>
      </c>
      <c r="AZ2371" t="inlineStr">
        <is>
          <t>991001836629702656</t>
        </is>
      </c>
      <c r="BA2371" t="inlineStr">
        <is>
          <t>2254900700002656</t>
        </is>
      </c>
      <c r="BB2371" t="inlineStr">
        <is>
          <t>BOOK</t>
        </is>
      </c>
      <c r="BD2371" t="inlineStr">
        <is>
          <t>9780674806122</t>
        </is>
      </c>
      <c r="BE2371" t="inlineStr">
        <is>
          <t>32285000932391</t>
        </is>
      </c>
      <c r="BF2371" t="inlineStr">
        <is>
          <t>893684689</t>
        </is>
      </c>
    </row>
    <row r="2372">
      <c r="A2372" t="inlineStr">
        <is>
          <t>No</t>
        </is>
      </c>
      <c r="B2372" t="inlineStr">
        <is>
          <t>CURAL</t>
        </is>
      </c>
      <c r="C2372" t="inlineStr">
        <is>
          <t>SHELVES</t>
        </is>
      </c>
      <c r="D2372" t="inlineStr">
        <is>
          <t>PR5431 .A33</t>
        </is>
      </c>
      <c r="E2372" t="inlineStr">
        <is>
          <t>0                      PR 5431000A  33</t>
        </is>
      </c>
      <c r="F2372" t="inlineStr">
        <is>
          <t>Shelley and his circle, 1773-1822 / edited by Kenneth Neill Cameron.</t>
        </is>
      </c>
      <c r="G2372" t="inlineStr">
        <is>
          <t>V.2</t>
        </is>
      </c>
      <c r="H2372" t="inlineStr">
        <is>
          <t>Yes</t>
        </is>
      </c>
      <c r="I2372" t="inlineStr">
        <is>
          <t>1</t>
        </is>
      </c>
      <c r="J2372" t="inlineStr">
        <is>
          <t>No</t>
        </is>
      </c>
      <c r="K2372" t="inlineStr">
        <is>
          <t>No</t>
        </is>
      </c>
      <c r="L2372" t="inlineStr">
        <is>
          <t>0</t>
        </is>
      </c>
      <c r="M2372" t="inlineStr">
        <is>
          <t>Carl H. Pforzheimer Library.</t>
        </is>
      </c>
      <c r="N2372" t="inlineStr">
        <is>
          <t>Cambridge : Harvard University Press, 1961-</t>
        </is>
      </c>
      <c r="O2372" t="inlineStr">
        <is>
          <t>1961</t>
        </is>
      </c>
      <c r="Q2372" t="inlineStr">
        <is>
          <t>eng</t>
        </is>
      </c>
      <c r="R2372" t="inlineStr">
        <is>
          <t>mau</t>
        </is>
      </c>
      <c r="T2372" t="inlineStr">
        <is>
          <t xml:space="preserve">PR </t>
        </is>
      </c>
      <c r="U2372" t="n">
        <v>1</v>
      </c>
      <c r="V2372" t="n">
        <v>7</v>
      </c>
      <c r="W2372" t="inlineStr">
        <is>
          <t>2002-02-15</t>
        </is>
      </c>
      <c r="X2372" t="inlineStr">
        <is>
          <t>2002-02-15</t>
        </is>
      </c>
      <c r="Y2372" t="inlineStr">
        <is>
          <t>1992-02-01</t>
        </is>
      </c>
      <c r="Z2372" t="inlineStr">
        <is>
          <t>1992-02-01</t>
        </is>
      </c>
      <c r="AA2372" t="n">
        <v>1005</v>
      </c>
      <c r="AB2372" t="n">
        <v>867</v>
      </c>
      <c r="AC2372" t="n">
        <v>884</v>
      </c>
      <c r="AD2372" t="n">
        <v>11</v>
      </c>
      <c r="AE2372" t="n">
        <v>11</v>
      </c>
      <c r="AF2372" t="n">
        <v>48</v>
      </c>
      <c r="AG2372" t="n">
        <v>49</v>
      </c>
      <c r="AH2372" t="n">
        <v>18</v>
      </c>
      <c r="AI2372" t="n">
        <v>19</v>
      </c>
      <c r="AJ2372" t="n">
        <v>10</v>
      </c>
      <c r="AK2372" t="n">
        <v>10</v>
      </c>
      <c r="AL2372" t="n">
        <v>20</v>
      </c>
      <c r="AM2372" t="n">
        <v>21</v>
      </c>
      <c r="AN2372" t="n">
        <v>10</v>
      </c>
      <c r="AO2372" t="n">
        <v>10</v>
      </c>
      <c r="AP2372" t="n">
        <v>0</v>
      </c>
      <c r="AQ2372" t="n">
        <v>0</v>
      </c>
      <c r="AR2372" t="inlineStr">
        <is>
          <t>No</t>
        </is>
      </c>
      <c r="AS2372" t="inlineStr">
        <is>
          <t>Yes</t>
        </is>
      </c>
      <c r="AT2372">
        <f>HYPERLINK("http://catalog.hathitrust.org/Record/000143156","HathiTrust Record")</f>
        <v/>
      </c>
      <c r="AU2372">
        <f>HYPERLINK("https://creighton-primo.hosted.exlibrisgroup.com/primo-explore/search?tab=default_tab&amp;search_scope=EVERYTHING&amp;vid=01CRU&amp;lang=en_US&amp;offset=0&amp;query=any,contains,991001836629702656","Catalog Record")</f>
        <v/>
      </c>
      <c r="AV2372">
        <f>HYPERLINK("http://www.worldcat.org/oclc/237429","WorldCat Record")</f>
        <v/>
      </c>
      <c r="AW2372" t="inlineStr">
        <is>
          <t>4160337519:eng</t>
        </is>
      </c>
      <c r="AX2372" t="inlineStr">
        <is>
          <t>237429</t>
        </is>
      </c>
      <c r="AY2372" t="inlineStr">
        <is>
          <t>991001836629702656</t>
        </is>
      </c>
      <c r="AZ2372" t="inlineStr">
        <is>
          <t>991001836629702656</t>
        </is>
      </c>
      <c r="BA2372" t="inlineStr">
        <is>
          <t>2254900700002656</t>
        </is>
      </c>
      <c r="BB2372" t="inlineStr">
        <is>
          <t>BOOK</t>
        </is>
      </c>
      <c r="BD2372" t="inlineStr">
        <is>
          <t>9780674806122</t>
        </is>
      </c>
      <c r="BE2372" t="inlineStr">
        <is>
          <t>32285000932359</t>
        </is>
      </c>
      <c r="BF2372" t="inlineStr">
        <is>
          <t>893697077</t>
        </is>
      </c>
    </row>
    <row r="2373">
      <c r="A2373" t="inlineStr">
        <is>
          <t>No</t>
        </is>
      </c>
      <c r="B2373" t="inlineStr">
        <is>
          <t>CURAL</t>
        </is>
      </c>
      <c r="C2373" t="inlineStr">
        <is>
          <t>SHELVES</t>
        </is>
      </c>
      <c r="D2373" t="inlineStr">
        <is>
          <t>PR5431 .A33</t>
        </is>
      </c>
      <c r="E2373" t="inlineStr">
        <is>
          <t>0                      PR 5431000A  33</t>
        </is>
      </c>
      <c r="F2373" t="inlineStr">
        <is>
          <t>Shelley and his circle, 1773-1822 / edited by Kenneth Neill Cameron.</t>
        </is>
      </c>
      <c r="G2373" t="inlineStr">
        <is>
          <t>V.3</t>
        </is>
      </c>
      <c r="H2373" t="inlineStr">
        <is>
          <t>Yes</t>
        </is>
      </c>
      <c r="I2373" t="inlineStr">
        <is>
          <t>1</t>
        </is>
      </c>
      <c r="J2373" t="inlineStr">
        <is>
          <t>No</t>
        </is>
      </c>
      <c r="K2373" t="inlineStr">
        <is>
          <t>No</t>
        </is>
      </c>
      <c r="L2373" t="inlineStr">
        <is>
          <t>0</t>
        </is>
      </c>
      <c r="M2373" t="inlineStr">
        <is>
          <t>Carl H. Pforzheimer Library.</t>
        </is>
      </c>
      <c r="N2373" t="inlineStr">
        <is>
          <t>Cambridge : Harvard University Press, 1961-</t>
        </is>
      </c>
      <c r="O2373" t="inlineStr">
        <is>
          <t>1961</t>
        </is>
      </c>
      <c r="Q2373" t="inlineStr">
        <is>
          <t>eng</t>
        </is>
      </c>
      <c r="R2373" t="inlineStr">
        <is>
          <t>mau</t>
        </is>
      </c>
      <c r="T2373" t="inlineStr">
        <is>
          <t xml:space="preserve">PR </t>
        </is>
      </c>
      <c r="U2373" t="n">
        <v>1</v>
      </c>
      <c r="V2373" t="n">
        <v>7</v>
      </c>
      <c r="W2373" t="inlineStr">
        <is>
          <t>2002-02-15</t>
        </is>
      </c>
      <c r="X2373" t="inlineStr">
        <is>
          <t>2002-02-15</t>
        </is>
      </c>
      <c r="Y2373" t="inlineStr">
        <is>
          <t>1992-02-01</t>
        </is>
      </c>
      <c r="Z2373" t="inlineStr">
        <is>
          <t>1992-02-01</t>
        </is>
      </c>
      <c r="AA2373" t="n">
        <v>1005</v>
      </c>
      <c r="AB2373" t="n">
        <v>867</v>
      </c>
      <c r="AC2373" t="n">
        <v>884</v>
      </c>
      <c r="AD2373" t="n">
        <v>11</v>
      </c>
      <c r="AE2373" t="n">
        <v>11</v>
      </c>
      <c r="AF2373" t="n">
        <v>48</v>
      </c>
      <c r="AG2373" t="n">
        <v>49</v>
      </c>
      <c r="AH2373" t="n">
        <v>18</v>
      </c>
      <c r="AI2373" t="n">
        <v>19</v>
      </c>
      <c r="AJ2373" t="n">
        <v>10</v>
      </c>
      <c r="AK2373" t="n">
        <v>10</v>
      </c>
      <c r="AL2373" t="n">
        <v>20</v>
      </c>
      <c r="AM2373" t="n">
        <v>21</v>
      </c>
      <c r="AN2373" t="n">
        <v>10</v>
      </c>
      <c r="AO2373" t="n">
        <v>10</v>
      </c>
      <c r="AP2373" t="n">
        <v>0</v>
      </c>
      <c r="AQ2373" t="n">
        <v>0</v>
      </c>
      <c r="AR2373" t="inlineStr">
        <is>
          <t>No</t>
        </is>
      </c>
      <c r="AS2373" t="inlineStr">
        <is>
          <t>Yes</t>
        </is>
      </c>
      <c r="AT2373">
        <f>HYPERLINK("http://catalog.hathitrust.org/Record/000143156","HathiTrust Record")</f>
        <v/>
      </c>
      <c r="AU2373">
        <f>HYPERLINK("https://creighton-primo.hosted.exlibrisgroup.com/primo-explore/search?tab=default_tab&amp;search_scope=EVERYTHING&amp;vid=01CRU&amp;lang=en_US&amp;offset=0&amp;query=any,contains,991001836629702656","Catalog Record")</f>
        <v/>
      </c>
      <c r="AV2373">
        <f>HYPERLINK("http://www.worldcat.org/oclc/237429","WorldCat Record")</f>
        <v/>
      </c>
      <c r="AW2373" t="inlineStr">
        <is>
          <t>4160337519:eng</t>
        </is>
      </c>
      <c r="AX2373" t="inlineStr">
        <is>
          <t>237429</t>
        </is>
      </c>
      <c r="AY2373" t="inlineStr">
        <is>
          <t>991001836629702656</t>
        </is>
      </c>
      <c r="AZ2373" t="inlineStr">
        <is>
          <t>991001836629702656</t>
        </is>
      </c>
      <c r="BA2373" t="inlineStr">
        <is>
          <t>2254900700002656</t>
        </is>
      </c>
      <c r="BB2373" t="inlineStr">
        <is>
          <t>BOOK</t>
        </is>
      </c>
      <c r="BD2373" t="inlineStr">
        <is>
          <t>9780674806122</t>
        </is>
      </c>
      <c r="BE2373" t="inlineStr">
        <is>
          <t>32285000932367</t>
        </is>
      </c>
      <c r="BF2373" t="inlineStr">
        <is>
          <t>893697078</t>
        </is>
      </c>
    </row>
    <row r="2374">
      <c r="A2374" t="inlineStr">
        <is>
          <t>No</t>
        </is>
      </c>
      <c r="B2374" t="inlineStr">
        <is>
          <t>CURAL</t>
        </is>
      </c>
      <c r="C2374" t="inlineStr">
        <is>
          <t>SHELVES</t>
        </is>
      </c>
      <c r="D2374" t="inlineStr">
        <is>
          <t>PR5431 .A33</t>
        </is>
      </c>
      <c r="E2374" t="inlineStr">
        <is>
          <t>0                      PR 5431000A  33</t>
        </is>
      </c>
      <c r="F2374" t="inlineStr">
        <is>
          <t>Shelley and his circle, 1773-1822 / edited by Kenneth Neill Cameron.</t>
        </is>
      </c>
      <c r="G2374" t="inlineStr">
        <is>
          <t>V.5</t>
        </is>
      </c>
      <c r="H2374" t="inlineStr">
        <is>
          <t>Yes</t>
        </is>
      </c>
      <c r="I2374" t="inlineStr">
        <is>
          <t>1</t>
        </is>
      </c>
      <c r="J2374" t="inlineStr">
        <is>
          <t>No</t>
        </is>
      </c>
      <c r="K2374" t="inlineStr">
        <is>
          <t>No</t>
        </is>
      </c>
      <c r="L2374" t="inlineStr">
        <is>
          <t>0</t>
        </is>
      </c>
      <c r="M2374" t="inlineStr">
        <is>
          <t>Carl H. Pforzheimer Library.</t>
        </is>
      </c>
      <c r="N2374" t="inlineStr">
        <is>
          <t>Cambridge : Harvard University Press, 1961-</t>
        </is>
      </c>
      <c r="O2374" t="inlineStr">
        <is>
          <t>1961</t>
        </is>
      </c>
      <c r="Q2374" t="inlineStr">
        <is>
          <t>eng</t>
        </is>
      </c>
      <c r="R2374" t="inlineStr">
        <is>
          <t>mau</t>
        </is>
      </c>
      <c r="T2374" t="inlineStr">
        <is>
          <t xml:space="preserve">PR </t>
        </is>
      </c>
      <c r="U2374" t="n">
        <v>1</v>
      </c>
      <c r="V2374" t="n">
        <v>7</v>
      </c>
      <c r="W2374" t="inlineStr">
        <is>
          <t>2002-02-15</t>
        </is>
      </c>
      <c r="X2374" t="inlineStr">
        <is>
          <t>2002-02-15</t>
        </is>
      </c>
      <c r="Y2374" t="inlineStr">
        <is>
          <t>1992-02-01</t>
        </is>
      </c>
      <c r="Z2374" t="inlineStr">
        <is>
          <t>1992-02-01</t>
        </is>
      </c>
      <c r="AA2374" t="n">
        <v>1005</v>
      </c>
      <c r="AB2374" t="n">
        <v>867</v>
      </c>
      <c r="AC2374" t="n">
        <v>884</v>
      </c>
      <c r="AD2374" t="n">
        <v>11</v>
      </c>
      <c r="AE2374" t="n">
        <v>11</v>
      </c>
      <c r="AF2374" t="n">
        <v>48</v>
      </c>
      <c r="AG2374" t="n">
        <v>49</v>
      </c>
      <c r="AH2374" t="n">
        <v>18</v>
      </c>
      <c r="AI2374" t="n">
        <v>19</v>
      </c>
      <c r="AJ2374" t="n">
        <v>10</v>
      </c>
      <c r="AK2374" t="n">
        <v>10</v>
      </c>
      <c r="AL2374" t="n">
        <v>20</v>
      </c>
      <c r="AM2374" t="n">
        <v>21</v>
      </c>
      <c r="AN2374" t="n">
        <v>10</v>
      </c>
      <c r="AO2374" t="n">
        <v>10</v>
      </c>
      <c r="AP2374" t="n">
        <v>0</v>
      </c>
      <c r="AQ2374" t="n">
        <v>0</v>
      </c>
      <c r="AR2374" t="inlineStr">
        <is>
          <t>No</t>
        </is>
      </c>
      <c r="AS2374" t="inlineStr">
        <is>
          <t>Yes</t>
        </is>
      </c>
      <c r="AT2374">
        <f>HYPERLINK("http://catalog.hathitrust.org/Record/000143156","HathiTrust Record")</f>
        <v/>
      </c>
      <c r="AU2374">
        <f>HYPERLINK("https://creighton-primo.hosted.exlibrisgroup.com/primo-explore/search?tab=default_tab&amp;search_scope=EVERYTHING&amp;vid=01CRU&amp;lang=en_US&amp;offset=0&amp;query=any,contains,991001836629702656","Catalog Record")</f>
        <v/>
      </c>
      <c r="AV2374">
        <f>HYPERLINK("http://www.worldcat.org/oclc/237429","WorldCat Record")</f>
        <v/>
      </c>
      <c r="AW2374" t="inlineStr">
        <is>
          <t>4160337519:eng</t>
        </is>
      </c>
      <c r="AX2374" t="inlineStr">
        <is>
          <t>237429</t>
        </is>
      </c>
      <c r="AY2374" t="inlineStr">
        <is>
          <t>991001836629702656</t>
        </is>
      </c>
      <c r="AZ2374" t="inlineStr">
        <is>
          <t>991001836629702656</t>
        </is>
      </c>
      <c r="BA2374" t="inlineStr">
        <is>
          <t>2254900700002656</t>
        </is>
      </c>
      <c r="BB2374" t="inlineStr">
        <is>
          <t>BOOK</t>
        </is>
      </c>
      <c r="BD2374" t="inlineStr">
        <is>
          <t>9780674806122</t>
        </is>
      </c>
      <c r="BE2374" t="inlineStr">
        <is>
          <t>32285000932383</t>
        </is>
      </c>
      <c r="BF2374" t="inlineStr">
        <is>
          <t>893697076</t>
        </is>
      </c>
    </row>
    <row r="2375">
      <c r="A2375" t="inlineStr">
        <is>
          <t>No</t>
        </is>
      </c>
      <c r="B2375" t="inlineStr">
        <is>
          <t>CURAL</t>
        </is>
      </c>
      <c r="C2375" t="inlineStr">
        <is>
          <t>SHELVES</t>
        </is>
      </c>
      <c r="D2375" t="inlineStr">
        <is>
          <t>PR5431 .A33</t>
        </is>
      </c>
      <c r="E2375" t="inlineStr">
        <is>
          <t>0                      PR 5431000A  33</t>
        </is>
      </c>
      <c r="F2375" t="inlineStr">
        <is>
          <t>Shelley and his circle, 1773-1822 / edited by Kenneth Neill Cameron.</t>
        </is>
      </c>
      <c r="G2375" t="inlineStr">
        <is>
          <t>V.4</t>
        </is>
      </c>
      <c r="H2375" t="inlineStr">
        <is>
          <t>Yes</t>
        </is>
      </c>
      <c r="I2375" t="inlineStr">
        <is>
          <t>1</t>
        </is>
      </c>
      <c r="J2375" t="inlineStr">
        <is>
          <t>No</t>
        </is>
      </c>
      <c r="K2375" t="inlineStr">
        <is>
          <t>No</t>
        </is>
      </c>
      <c r="L2375" t="inlineStr">
        <is>
          <t>0</t>
        </is>
      </c>
      <c r="M2375" t="inlineStr">
        <is>
          <t>Carl H. Pforzheimer Library.</t>
        </is>
      </c>
      <c r="N2375" t="inlineStr">
        <is>
          <t>Cambridge : Harvard University Press, 1961-</t>
        </is>
      </c>
      <c r="O2375" t="inlineStr">
        <is>
          <t>1961</t>
        </is>
      </c>
      <c r="Q2375" t="inlineStr">
        <is>
          <t>eng</t>
        </is>
      </c>
      <c r="R2375" t="inlineStr">
        <is>
          <t>mau</t>
        </is>
      </c>
      <c r="T2375" t="inlineStr">
        <is>
          <t xml:space="preserve">PR </t>
        </is>
      </c>
      <c r="U2375" t="n">
        <v>1</v>
      </c>
      <c r="V2375" t="n">
        <v>7</v>
      </c>
      <c r="W2375" t="inlineStr">
        <is>
          <t>2002-02-15</t>
        </is>
      </c>
      <c r="X2375" t="inlineStr">
        <is>
          <t>2002-02-15</t>
        </is>
      </c>
      <c r="Y2375" t="inlineStr">
        <is>
          <t>1992-02-01</t>
        </is>
      </c>
      <c r="Z2375" t="inlineStr">
        <is>
          <t>1992-02-01</t>
        </is>
      </c>
      <c r="AA2375" t="n">
        <v>1005</v>
      </c>
      <c r="AB2375" t="n">
        <v>867</v>
      </c>
      <c r="AC2375" t="n">
        <v>884</v>
      </c>
      <c r="AD2375" t="n">
        <v>11</v>
      </c>
      <c r="AE2375" t="n">
        <v>11</v>
      </c>
      <c r="AF2375" t="n">
        <v>48</v>
      </c>
      <c r="AG2375" t="n">
        <v>49</v>
      </c>
      <c r="AH2375" t="n">
        <v>18</v>
      </c>
      <c r="AI2375" t="n">
        <v>19</v>
      </c>
      <c r="AJ2375" t="n">
        <v>10</v>
      </c>
      <c r="AK2375" t="n">
        <v>10</v>
      </c>
      <c r="AL2375" t="n">
        <v>20</v>
      </c>
      <c r="AM2375" t="n">
        <v>21</v>
      </c>
      <c r="AN2375" t="n">
        <v>10</v>
      </c>
      <c r="AO2375" t="n">
        <v>10</v>
      </c>
      <c r="AP2375" t="n">
        <v>0</v>
      </c>
      <c r="AQ2375" t="n">
        <v>0</v>
      </c>
      <c r="AR2375" t="inlineStr">
        <is>
          <t>No</t>
        </is>
      </c>
      <c r="AS2375" t="inlineStr">
        <is>
          <t>Yes</t>
        </is>
      </c>
      <c r="AT2375">
        <f>HYPERLINK("http://catalog.hathitrust.org/Record/000143156","HathiTrust Record")</f>
        <v/>
      </c>
      <c r="AU2375">
        <f>HYPERLINK("https://creighton-primo.hosted.exlibrisgroup.com/primo-explore/search?tab=default_tab&amp;search_scope=EVERYTHING&amp;vid=01CRU&amp;lang=en_US&amp;offset=0&amp;query=any,contains,991001836629702656","Catalog Record")</f>
        <v/>
      </c>
      <c r="AV2375">
        <f>HYPERLINK("http://www.worldcat.org/oclc/237429","WorldCat Record")</f>
        <v/>
      </c>
      <c r="AW2375" t="inlineStr">
        <is>
          <t>4160337519:eng</t>
        </is>
      </c>
      <c r="AX2375" t="inlineStr">
        <is>
          <t>237429</t>
        </is>
      </c>
      <c r="AY2375" t="inlineStr">
        <is>
          <t>991001836629702656</t>
        </is>
      </c>
      <c r="AZ2375" t="inlineStr">
        <is>
          <t>991001836629702656</t>
        </is>
      </c>
      <c r="BA2375" t="inlineStr">
        <is>
          <t>2254900700002656</t>
        </is>
      </c>
      <c r="BB2375" t="inlineStr">
        <is>
          <t>BOOK</t>
        </is>
      </c>
      <c r="BD2375" t="inlineStr">
        <is>
          <t>9780674806122</t>
        </is>
      </c>
      <c r="BE2375" t="inlineStr">
        <is>
          <t>32285000932375</t>
        </is>
      </c>
      <c r="BF2375" t="inlineStr">
        <is>
          <t>893690953</t>
        </is>
      </c>
    </row>
    <row r="2376">
      <c r="A2376" t="inlineStr">
        <is>
          <t>No</t>
        </is>
      </c>
      <c r="B2376" t="inlineStr">
        <is>
          <t>CURAL</t>
        </is>
      </c>
      <c r="C2376" t="inlineStr">
        <is>
          <t>SHELVES</t>
        </is>
      </c>
      <c r="D2376" t="inlineStr">
        <is>
          <t>PR5431 .B5 1947</t>
        </is>
      </c>
      <c r="E2376" t="inlineStr">
        <is>
          <t>0                      PR 5431000B  5           1947</t>
        </is>
      </c>
      <c r="F2376" t="inlineStr">
        <is>
          <t>Shelley, a life story, by Edmund Blunden ...</t>
        </is>
      </c>
      <c r="H2376" t="inlineStr">
        <is>
          <t>No</t>
        </is>
      </c>
      <c r="I2376" t="inlineStr">
        <is>
          <t>1</t>
        </is>
      </c>
      <c r="J2376" t="inlineStr">
        <is>
          <t>No</t>
        </is>
      </c>
      <c r="K2376" t="inlineStr">
        <is>
          <t>No</t>
        </is>
      </c>
      <c r="L2376" t="inlineStr">
        <is>
          <t>0</t>
        </is>
      </c>
      <c r="M2376" t="inlineStr">
        <is>
          <t>Blunden, Edmund, 1896-1974.</t>
        </is>
      </c>
      <c r="N2376" t="inlineStr">
        <is>
          <t>New York, The Viking Press, 1947.</t>
        </is>
      </c>
      <c r="O2376" t="inlineStr">
        <is>
          <t>1947</t>
        </is>
      </c>
      <c r="Q2376" t="inlineStr">
        <is>
          <t>eng</t>
        </is>
      </c>
      <c r="R2376" t="inlineStr">
        <is>
          <t>nyu</t>
        </is>
      </c>
      <c r="T2376" t="inlineStr">
        <is>
          <t xml:space="preserve">PR </t>
        </is>
      </c>
      <c r="U2376" t="n">
        <v>2</v>
      </c>
      <c r="V2376" t="n">
        <v>2</v>
      </c>
      <c r="W2376" t="inlineStr">
        <is>
          <t>1998-11-09</t>
        </is>
      </c>
      <c r="X2376" t="inlineStr">
        <is>
          <t>1998-11-09</t>
        </is>
      </c>
      <c r="Y2376" t="inlineStr">
        <is>
          <t>1997-07-18</t>
        </is>
      </c>
      <c r="Z2376" t="inlineStr">
        <is>
          <t>1997-07-18</t>
        </is>
      </c>
      <c r="AA2376" t="n">
        <v>730</v>
      </c>
      <c r="AB2376" t="n">
        <v>695</v>
      </c>
      <c r="AC2376" t="n">
        <v>1057</v>
      </c>
      <c r="AD2376" t="n">
        <v>4</v>
      </c>
      <c r="AE2376" t="n">
        <v>8</v>
      </c>
      <c r="AF2376" t="n">
        <v>30</v>
      </c>
      <c r="AG2376" t="n">
        <v>52</v>
      </c>
      <c r="AH2376" t="n">
        <v>13</v>
      </c>
      <c r="AI2376" t="n">
        <v>24</v>
      </c>
      <c r="AJ2376" t="n">
        <v>6</v>
      </c>
      <c r="AK2376" t="n">
        <v>9</v>
      </c>
      <c r="AL2376" t="n">
        <v>14</v>
      </c>
      <c r="AM2376" t="n">
        <v>23</v>
      </c>
      <c r="AN2376" t="n">
        <v>3</v>
      </c>
      <c r="AO2376" t="n">
        <v>7</v>
      </c>
      <c r="AP2376" t="n">
        <v>0</v>
      </c>
      <c r="AQ2376" t="n">
        <v>0</v>
      </c>
      <c r="AR2376" t="inlineStr">
        <is>
          <t>No</t>
        </is>
      </c>
      <c r="AS2376" t="inlineStr">
        <is>
          <t>Yes</t>
        </is>
      </c>
      <c r="AT2376">
        <f>HYPERLINK("http://catalog.hathitrust.org/Record/001024483","HathiTrust Record")</f>
        <v/>
      </c>
      <c r="AU2376">
        <f>HYPERLINK("https://creighton-primo.hosted.exlibrisgroup.com/primo-explore/search?tab=default_tab&amp;search_scope=EVERYTHING&amp;vid=01CRU&amp;lang=en_US&amp;offset=0&amp;query=any,contains,991003051419702656","Catalog Record")</f>
        <v/>
      </c>
      <c r="AV2376">
        <f>HYPERLINK("http://www.worldcat.org/oclc/611007","WorldCat Record")</f>
        <v/>
      </c>
      <c r="AW2376" t="inlineStr">
        <is>
          <t>1862326930:eng</t>
        </is>
      </c>
      <c r="AX2376" t="inlineStr">
        <is>
          <t>611007</t>
        </is>
      </c>
      <c r="AY2376" t="inlineStr">
        <is>
          <t>991003051419702656</t>
        </is>
      </c>
      <c r="AZ2376" t="inlineStr">
        <is>
          <t>991003051419702656</t>
        </is>
      </c>
      <c r="BA2376" t="inlineStr">
        <is>
          <t>2265280770002656</t>
        </is>
      </c>
      <c r="BB2376" t="inlineStr">
        <is>
          <t>BOOK</t>
        </is>
      </c>
      <c r="BE2376" t="inlineStr">
        <is>
          <t>32285002934114</t>
        </is>
      </c>
      <c r="BF2376" t="inlineStr">
        <is>
          <t>893505146</t>
        </is>
      </c>
    </row>
    <row r="2377">
      <c r="A2377" t="inlineStr">
        <is>
          <t>No</t>
        </is>
      </c>
      <c r="B2377" t="inlineStr">
        <is>
          <t>CURAL</t>
        </is>
      </c>
      <c r="C2377" t="inlineStr">
        <is>
          <t>SHELVES</t>
        </is>
      </c>
      <c r="D2377" t="inlineStr">
        <is>
          <t>PR5431 .C28 1973</t>
        </is>
      </c>
      <c r="E2377" t="inlineStr">
        <is>
          <t>0                      PR 5431000C  28          1973</t>
        </is>
      </c>
      <c r="F2377" t="inlineStr">
        <is>
          <t>Romantic rebels : essays on Shelley and his circle.</t>
        </is>
      </c>
      <c r="H2377" t="inlineStr">
        <is>
          <t>No</t>
        </is>
      </c>
      <c r="I2377" t="inlineStr">
        <is>
          <t>1</t>
        </is>
      </c>
      <c r="J2377" t="inlineStr">
        <is>
          <t>No</t>
        </is>
      </c>
      <c r="K2377" t="inlineStr">
        <is>
          <t>No</t>
        </is>
      </c>
      <c r="L2377" t="inlineStr">
        <is>
          <t>0</t>
        </is>
      </c>
      <c r="M2377" t="inlineStr">
        <is>
          <t>Cameron, Kenneth Neill, compiler.</t>
        </is>
      </c>
      <c r="N2377" t="inlineStr">
        <is>
          <t>Cambridge : Harvard University Press, 1973.</t>
        </is>
      </c>
      <c r="O2377" t="inlineStr">
        <is>
          <t>1973</t>
        </is>
      </c>
      <c r="Q2377" t="inlineStr">
        <is>
          <t>eng</t>
        </is>
      </c>
      <c r="R2377" t="inlineStr">
        <is>
          <t>mau</t>
        </is>
      </c>
      <c r="T2377" t="inlineStr">
        <is>
          <t xml:space="preserve">PR </t>
        </is>
      </c>
      <c r="U2377" t="n">
        <v>3</v>
      </c>
      <c r="V2377" t="n">
        <v>3</v>
      </c>
      <c r="W2377" t="inlineStr">
        <is>
          <t>2007-04-12</t>
        </is>
      </c>
      <c r="X2377" t="inlineStr">
        <is>
          <t>2007-04-12</t>
        </is>
      </c>
      <c r="Y2377" t="inlineStr">
        <is>
          <t>1991-12-23</t>
        </is>
      </c>
      <c r="Z2377" t="inlineStr">
        <is>
          <t>1991-12-23</t>
        </is>
      </c>
      <c r="AA2377" t="n">
        <v>722</v>
      </c>
      <c r="AB2377" t="n">
        <v>607</v>
      </c>
      <c r="AC2377" t="n">
        <v>618</v>
      </c>
      <c r="AD2377" t="n">
        <v>4</v>
      </c>
      <c r="AE2377" t="n">
        <v>4</v>
      </c>
      <c r="AF2377" t="n">
        <v>31</v>
      </c>
      <c r="AG2377" t="n">
        <v>31</v>
      </c>
      <c r="AH2377" t="n">
        <v>12</v>
      </c>
      <c r="AI2377" t="n">
        <v>12</v>
      </c>
      <c r="AJ2377" t="n">
        <v>8</v>
      </c>
      <c r="AK2377" t="n">
        <v>8</v>
      </c>
      <c r="AL2377" t="n">
        <v>19</v>
      </c>
      <c r="AM2377" t="n">
        <v>19</v>
      </c>
      <c r="AN2377" t="n">
        <v>3</v>
      </c>
      <c r="AO2377" t="n">
        <v>3</v>
      </c>
      <c r="AP2377" t="n">
        <v>0</v>
      </c>
      <c r="AQ2377" t="n">
        <v>0</v>
      </c>
      <c r="AR2377" t="inlineStr">
        <is>
          <t>No</t>
        </is>
      </c>
      <c r="AS2377" t="inlineStr">
        <is>
          <t>Yes</t>
        </is>
      </c>
      <c r="AT2377">
        <f>HYPERLINK("http://catalog.hathitrust.org/Record/004465224","HathiTrust Record")</f>
        <v/>
      </c>
      <c r="AU2377">
        <f>HYPERLINK("https://creighton-primo.hosted.exlibrisgroup.com/primo-explore/search?tab=default_tab&amp;search_scope=EVERYTHING&amp;vid=01CRU&amp;lang=en_US&amp;offset=0&amp;query=any,contains,991003159689702656","Catalog Record")</f>
        <v/>
      </c>
      <c r="AV2377">
        <f>HYPERLINK("http://www.worldcat.org/oclc/698525","WorldCat Record")</f>
        <v/>
      </c>
      <c r="AW2377" t="inlineStr">
        <is>
          <t>430442:eng</t>
        </is>
      </c>
      <c r="AX2377" t="inlineStr">
        <is>
          <t>698525</t>
        </is>
      </c>
      <c r="AY2377" t="inlineStr">
        <is>
          <t>991003159689702656</t>
        </is>
      </c>
      <c r="AZ2377" t="inlineStr">
        <is>
          <t>991003159689702656</t>
        </is>
      </c>
      <c r="BA2377" t="inlineStr">
        <is>
          <t>2265128080002656</t>
        </is>
      </c>
      <c r="BB2377" t="inlineStr">
        <is>
          <t>BOOK</t>
        </is>
      </c>
      <c r="BD2377" t="inlineStr">
        <is>
          <t>9780674779372</t>
        </is>
      </c>
      <c r="BE2377" t="inlineStr">
        <is>
          <t>32285000878800</t>
        </is>
      </c>
      <c r="BF2377" t="inlineStr">
        <is>
          <t>893799439</t>
        </is>
      </c>
    </row>
    <row r="2378">
      <c r="A2378" t="inlineStr">
        <is>
          <t>No</t>
        </is>
      </c>
      <c r="B2378" t="inlineStr">
        <is>
          <t>CURAL</t>
        </is>
      </c>
      <c r="C2378" t="inlineStr">
        <is>
          <t>SHELVES</t>
        </is>
      </c>
      <c r="D2378" t="inlineStr">
        <is>
          <t>PR5431 .C29</t>
        </is>
      </c>
      <c r="E2378" t="inlineStr">
        <is>
          <t>0                      PR 5431000C  29</t>
        </is>
      </c>
      <c r="F2378" t="inlineStr">
        <is>
          <t>Shelley : the golden years.</t>
        </is>
      </c>
      <c r="H2378" t="inlineStr">
        <is>
          <t>No</t>
        </is>
      </c>
      <c r="I2378" t="inlineStr">
        <is>
          <t>1</t>
        </is>
      </c>
      <c r="J2378" t="inlineStr">
        <is>
          <t>No</t>
        </is>
      </c>
      <c r="K2378" t="inlineStr">
        <is>
          <t>No</t>
        </is>
      </c>
      <c r="L2378" t="inlineStr">
        <is>
          <t>0</t>
        </is>
      </c>
      <c r="M2378" t="inlineStr">
        <is>
          <t>Cameron, Kenneth Neill.</t>
        </is>
      </c>
      <c r="N2378" t="inlineStr">
        <is>
          <t>Cambridge : Harvard University Press, 1974.</t>
        </is>
      </c>
      <c r="O2378" t="inlineStr">
        <is>
          <t>1974</t>
        </is>
      </c>
      <c r="Q2378" t="inlineStr">
        <is>
          <t>eng</t>
        </is>
      </c>
      <c r="R2378" t="inlineStr">
        <is>
          <t>mau</t>
        </is>
      </c>
      <c r="T2378" t="inlineStr">
        <is>
          <t xml:space="preserve">PR </t>
        </is>
      </c>
      <c r="U2378" t="n">
        <v>3</v>
      </c>
      <c r="V2378" t="n">
        <v>3</v>
      </c>
      <c r="W2378" t="inlineStr">
        <is>
          <t>1997-09-27</t>
        </is>
      </c>
      <c r="X2378" t="inlineStr">
        <is>
          <t>1997-09-27</t>
        </is>
      </c>
      <c r="Y2378" t="inlineStr">
        <is>
          <t>1992-02-01</t>
        </is>
      </c>
      <c r="Z2378" t="inlineStr">
        <is>
          <t>1992-02-01</t>
        </is>
      </c>
      <c r="AA2378" t="n">
        <v>1036</v>
      </c>
      <c r="AB2378" t="n">
        <v>859</v>
      </c>
      <c r="AC2378" t="n">
        <v>871</v>
      </c>
      <c r="AD2378" t="n">
        <v>8</v>
      </c>
      <c r="AE2378" t="n">
        <v>8</v>
      </c>
      <c r="AF2378" t="n">
        <v>43</v>
      </c>
      <c r="AG2378" t="n">
        <v>43</v>
      </c>
      <c r="AH2378" t="n">
        <v>18</v>
      </c>
      <c r="AI2378" t="n">
        <v>18</v>
      </c>
      <c r="AJ2378" t="n">
        <v>9</v>
      </c>
      <c r="AK2378" t="n">
        <v>9</v>
      </c>
      <c r="AL2378" t="n">
        <v>19</v>
      </c>
      <c r="AM2378" t="n">
        <v>19</v>
      </c>
      <c r="AN2378" t="n">
        <v>7</v>
      </c>
      <c r="AO2378" t="n">
        <v>7</v>
      </c>
      <c r="AP2378" t="n">
        <v>0</v>
      </c>
      <c r="AQ2378" t="n">
        <v>0</v>
      </c>
      <c r="AR2378" t="inlineStr">
        <is>
          <t>No</t>
        </is>
      </c>
      <c r="AS2378" t="inlineStr">
        <is>
          <t>Yes</t>
        </is>
      </c>
      <c r="AT2378">
        <f>HYPERLINK("http://catalog.hathitrust.org/Record/000015990","HathiTrust Record")</f>
        <v/>
      </c>
      <c r="AU2378">
        <f>HYPERLINK("https://creighton-primo.hosted.exlibrisgroup.com/primo-explore/search?tab=default_tab&amp;search_scope=EVERYTHING&amp;vid=01CRU&amp;lang=en_US&amp;offset=0&amp;query=any,contains,991003447939702656","Catalog Record")</f>
        <v/>
      </c>
      <c r="AV2378">
        <f>HYPERLINK("http://www.worldcat.org/oclc/983744","WorldCat Record")</f>
        <v/>
      </c>
      <c r="AW2378" t="inlineStr">
        <is>
          <t>430517:eng</t>
        </is>
      </c>
      <c r="AX2378" t="inlineStr">
        <is>
          <t>983744</t>
        </is>
      </c>
      <c r="AY2378" t="inlineStr">
        <is>
          <t>991003447939702656</t>
        </is>
      </c>
      <c r="AZ2378" t="inlineStr">
        <is>
          <t>991003447939702656</t>
        </is>
      </c>
      <c r="BA2378" t="inlineStr">
        <is>
          <t>2272637520002656</t>
        </is>
      </c>
      <c r="BB2378" t="inlineStr">
        <is>
          <t>BOOK</t>
        </is>
      </c>
      <c r="BD2378" t="inlineStr">
        <is>
          <t>9780674031609</t>
        </is>
      </c>
      <c r="BE2378" t="inlineStr">
        <is>
          <t>32285000932409</t>
        </is>
      </c>
      <c r="BF2378" t="inlineStr">
        <is>
          <t>893717652</t>
        </is>
      </c>
    </row>
    <row r="2379">
      <c r="A2379" t="inlineStr">
        <is>
          <t>No</t>
        </is>
      </c>
      <c r="B2379" t="inlineStr">
        <is>
          <t>CURAL</t>
        </is>
      </c>
      <c r="C2379" t="inlineStr">
        <is>
          <t>SHELVES</t>
        </is>
      </c>
      <c r="D2379" t="inlineStr">
        <is>
          <t>PR5431 .C33</t>
        </is>
      </c>
      <c r="E2379" t="inlineStr">
        <is>
          <t>0                      PR 5431000C  33</t>
        </is>
      </c>
      <c r="F2379" t="inlineStr">
        <is>
          <t>The psychology of the poet Shelley, by Edward Carpenter and George Barnefield.</t>
        </is>
      </c>
      <c r="H2379" t="inlineStr">
        <is>
          <t>No</t>
        </is>
      </c>
      <c r="I2379" t="inlineStr">
        <is>
          <t>1</t>
        </is>
      </c>
      <c r="J2379" t="inlineStr">
        <is>
          <t>No</t>
        </is>
      </c>
      <c r="K2379" t="inlineStr">
        <is>
          <t>No</t>
        </is>
      </c>
      <c r="L2379" t="inlineStr">
        <is>
          <t>0</t>
        </is>
      </c>
      <c r="M2379" t="inlineStr">
        <is>
          <t>Carpenter, Edward, 1844-1929.</t>
        </is>
      </c>
      <c r="N2379" t="inlineStr">
        <is>
          <t>London, G. Allen &amp; Unwin ltd. [1925]</t>
        </is>
      </c>
      <c r="O2379" t="inlineStr">
        <is>
          <t>1925</t>
        </is>
      </c>
      <c r="Q2379" t="inlineStr">
        <is>
          <t>eng</t>
        </is>
      </c>
      <c r="R2379" t="inlineStr">
        <is>
          <t>enk</t>
        </is>
      </c>
      <c r="T2379" t="inlineStr">
        <is>
          <t xml:space="preserve">PR </t>
        </is>
      </c>
      <c r="U2379" t="n">
        <v>3</v>
      </c>
      <c r="V2379" t="n">
        <v>3</v>
      </c>
      <c r="W2379" t="inlineStr">
        <is>
          <t>1998-11-09</t>
        </is>
      </c>
      <c r="X2379" t="inlineStr">
        <is>
          <t>1998-11-09</t>
        </is>
      </c>
      <c r="Y2379" t="inlineStr">
        <is>
          <t>1997-07-18</t>
        </is>
      </c>
      <c r="Z2379" t="inlineStr">
        <is>
          <t>1997-07-18</t>
        </is>
      </c>
      <c r="AA2379" t="n">
        <v>178</v>
      </c>
      <c r="AB2379" t="n">
        <v>125</v>
      </c>
      <c r="AC2379" t="n">
        <v>315</v>
      </c>
      <c r="AD2379" t="n">
        <v>2</v>
      </c>
      <c r="AE2379" t="n">
        <v>2</v>
      </c>
      <c r="AF2379" t="n">
        <v>7</v>
      </c>
      <c r="AG2379" t="n">
        <v>12</v>
      </c>
      <c r="AH2379" t="n">
        <v>3</v>
      </c>
      <c r="AI2379" t="n">
        <v>4</v>
      </c>
      <c r="AJ2379" t="n">
        <v>1</v>
      </c>
      <c r="AK2379" t="n">
        <v>5</v>
      </c>
      <c r="AL2379" t="n">
        <v>5</v>
      </c>
      <c r="AM2379" t="n">
        <v>8</v>
      </c>
      <c r="AN2379" t="n">
        <v>1</v>
      </c>
      <c r="AO2379" t="n">
        <v>1</v>
      </c>
      <c r="AP2379" t="n">
        <v>0</v>
      </c>
      <c r="AQ2379" t="n">
        <v>0</v>
      </c>
      <c r="AR2379" t="inlineStr">
        <is>
          <t>No</t>
        </is>
      </c>
      <c r="AS2379" t="inlineStr">
        <is>
          <t>Yes</t>
        </is>
      </c>
      <c r="AT2379">
        <f>HYPERLINK("http://catalog.hathitrust.org/Record/001185536","HathiTrust Record")</f>
        <v/>
      </c>
      <c r="AU2379">
        <f>HYPERLINK("https://creighton-primo.hosted.exlibrisgroup.com/primo-explore/search?tab=default_tab&amp;search_scope=EVERYTHING&amp;vid=01CRU&amp;lang=en_US&amp;offset=0&amp;query=any,contains,991003984019702656","Catalog Record")</f>
        <v/>
      </c>
      <c r="AV2379">
        <f>HYPERLINK("http://www.worldcat.org/oclc/2024065","WorldCat Record")</f>
        <v/>
      </c>
      <c r="AW2379" t="inlineStr">
        <is>
          <t>357720:eng</t>
        </is>
      </c>
      <c r="AX2379" t="inlineStr">
        <is>
          <t>2024065</t>
        </is>
      </c>
      <c r="AY2379" t="inlineStr">
        <is>
          <t>991003984019702656</t>
        </is>
      </c>
      <c r="AZ2379" t="inlineStr">
        <is>
          <t>991003984019702656</t>
        </is>
      </c>
      <c r="BA2379" t="inlineStr">
        <is>
          <t>2265100150002656</t>
        </is>
      </c>
      <c r="BB2379" t="inlineStr">
        <is>
          <t>BOOK</t>
        </is>
      </c>
      <c r="BE2379" t="inlineStr">
        <is>
          <t>32285002934130</t>
        </is>
      </c>
      <c r="BF2379" t="inlineStr">
        <is>
          <t>893718313</t>
        </is>
      </c>
    </row>
    <row r="2380">
      <c r="A2380" t="inlineStr">
        <is>
          <t>No</t>
        </is>
      </c>
      <c r="B2380" t="inlineStr">
        <is>
          <t>CURAL</t>
        </is>
      </c>
      <c r="C2380" t="inlineStr">
        <is>
          <t>SHELVES</t>
        </is>
      </c>
      <c r="D2380" t="inlineStr">
        <is>
          <t>PR5431 .D6 1909</t>
        </is>
      </c>
      <c r="E2380" t="inlineStr">
        <is>
          <t>0                      PR 5431000D  6           1909</t>
        </is>
      </c>
      <c r="F2380" t="inlineStr">
        <is>
          <t>The life of Percy Bysshe Shelley, by Edward Dowden.</t>
        </is>
      </c>
      <c r="H2380" t="inlineStr">
        <is>
          <t>No</t>
        </is>
      </c>
      <c r="I2380" t="inlineStr">
        <is>
          <t>1</t>
        </is>
      </c>
      <c r="J2380" t="inlineStr">
        <is>
          <t>No</t>
        </is>
      </c>
      <c r="K2380" t="inlineStr">
        <is>
          <t>No</t>
        </is>
      </c>
      <c r="L2380" t="inlineStr">
        <is>
          <t>0</t>
        </is>
      </c>
      <c r="M2380" t="inlineStr">
        <is>
          <t>Dowden, Edward, 1843-1913.</t>
        </is>
      </c>
      <c r="N2380" t="inlineStr">
        <is>
          <t>London, K. Paul, Trench, Trübner &amp; co., ltd., 1909.</t>
        </is>
      </c>
      <c r="O2380" t="inlineStr">
        <is>
          <t>1909</t>
        </is>
      </c>
      <c r="P2380" t="inlineStr">
        <is>
          <t>New Ed.</t>
        </is>
      </c>
      <c r="Q2380" t="inlineStr">
        <is>
          <t>eng</t>
        </is>
      </c>
      <c r="R2380" t="inlineStr">
        <is>
          <t>enk</t>
        </is>
      </c>
      <c r="T2380" t="inlineStr">
        <is>
          <t xml:space="preserve">PR </t>
        </is>
      </c>
      <c r="U2380" t="n">
        <v>2</v>
      </c>
      <c r="V2380" t="n">
        <v>2</v>
      </c>
      <c r="W2380" t="inlineStr">
        <is>
          <t>1998-02-19</t>
        </is>
      </c>
      <c r="X2380" t="inlineStr">
        <is>
          <t>1998-02-19</t>
        </is>
      </c>
      <c r="Y2380" t="inlineStr">
        <is>
          <t>1997-07-18</t>
        </is>
      </c>
      <c r="Z2380" t="inlineStr">
        <is>
          <t>1997-07-18</t>
        </is>
      </c>
      <c r="AA2380" t="n">
        <v>99</v>
      </c>
      <c r="AB2380" t="n">
        <v>81</v>
      </c>
      <c r="AC2380" t="n">
        <v>982</v>
      </c>
      <c r="AD2380" t="n">
        <v>2</v>
      </c>
      <c r="AE2380" t="n">
        <v>7</v>
      </c>
      <c r="AF2380" t="n">
        <v>9</v>
      </c>
      <c r="AG2380" t="n">
        <v>48</v>
      </c>
      <c r="AH2380" t="n">
        <v>2</v>
      </c>
      <c r="AI2380" t="n">
        <v>21</v>
      </c>
      <c r="AJ2380" t="n">
        <v>2</v>
      </c>
      <c r="AK2380" t="n">
        <v>11</v>
      </c>
      <c r="AL2380" t="n">
        <v>6</v>
      </c>
      <c r="AM2380" t="n">
        <v>23</v>
      </c>
      <c r="AN2380" t="n">
        <v>1</v>
      </c>
      <c r="AO2380" t="n">
        <v>6</v>
      </c>
      <c r="AP2380" t="n">
        <v>0</v>
      </c>
      <c r="AQ2380" t="n">
        <v>0</v>
      </c>
      <c r="AR2380" t="inlineStr">
        <is>
          <t>Yes</t>
        </is>
      </c>
      <c r="AS2380" t="inlineStr">
        <is>
          <t>No</t>
        </is>
      </c>
      <c r="AT2380">
        <f>HYPERLINK("http://catalog.hathitrust.org/Record/102376569","HathiTrust Record")</f>
        <v/>
      </c>
      <c r="AU2380">
        <f>HYPERLINK("https://creighton-primo.hosted.exlibrisgroup.com/primo-explore/search?tab=default_tab&amp;search_scope=EVERYTHING&amp;vid=01CRU&amp;lang=en_US&amp;offset=0&amp;query=any,contains,991004211769702656","Catalog Record")</f>
        <v/>
      </c>
      <c r="AV2380">
        <f>HYPERLINK("http://www.worldcat.org/oclc/2684185","WorldCat Record")</f>
        <v/>
      </c>
      <c r="AW2380" t="inlineStr">
        <is>
          <t>1591286:eng</t>
        </is>
      </c>
      <c r="AX2380" t="inlineStr">
        <is>
          <t>2684185</t>
        </is>
      </c>
      <c r="AY2380" t="inlineStr">
        <is>
          <t>991004211769702656</t>
        </is>
      </c>
      <c r="AZ2380" t="inlineStr">
        <is>
          <t>991004211769702656</t>
        </is>
      </c>
      <c r="BA2380" t="inlineStr">
        <is>
          <t>2265215050002656</t>
        </is>
      </c>
      <c r="BB2380" t="inlineStr">
        <is>
          <t>BOOK</t>
        </is>
      </c>
      <c r="BE2380" t="inlineStr">
        <is>
          <t>32285002934171</t>
        </is>
      </c>
      <c r="BF2380" t="inlineStr">
        <is>
          <t>893318933</t>
        </is>
      </c>
    </row>
    <row r="2381">
      <c r="A2381" t="inlineStr">
        <is>
          <t>No</t>
        </is>
      </c>
      <c r="B2381" t="inlineStr">
        <is>
          <t>CURAL</t>
        </is>
      </c>
      <c r="C2381" t="inlineStr">
        <is>
          <t>SHELVES</t>
        </is>
      </c>
      <c r="D2381" t="inlineStr">
        <is>
          <t>PR5431 .E4</t>
        </is>
      </c>
      <c r="E2381" t="inlineStr">
        <is>
          <t>0                      PR 5431000E  4</t>
        </is>
      </c>
      <c r="F2381" t="inlineStr">
        <is>
          <t>Shelley &amp; his poetry / by E. W. Edmunds.</t>
        </is>
      </c>
      <c r="H2381" t="inlineStr">
        <is>
          <t>No</t>
        </is>
      </c>
      <c r="I2381" t="inlineStr">
        <is>
          <t>1</t>
        </is>
      </c>
      <c r="J2381" t="inlineStr">
        <is>
          <t>No</t>
        </is>
      </c>
      <c r="K2381" t="inlineStr">
        <is>
          <t>No</t>
        </is>
      </c>
      <c r="L2381" t="inlineStr">
        <is>
          <t>0</t>
        </is>
      </c>
      <c r="M2381" t="inlineStr">
        <is>
          <t>Edmunds, Edward William.</t>
        </is>
      </c>
      <c r="N2381" t="inlineStr">
        <is>
          <t>London : G. G. Harrap &amp; co., ltd., 1930.</t>
        </is>
      </c>
      <c r="O2381" t="inlineStr">
        <is>
          <t>1930</t>
        </is>
      </c>
      <c r="Q2381" t="inlineStr">
        <is>
          <t>eng</t>
        </is>
      </c>
      <c r="R2381" t="inlineStr">
        <is>
          <t>enk</t>
        </is>
      </c>
      <c r="S2381" t="inlineStr">
        <is>
          <t>Poetry and life series. no. 4</t>
        </is>
      </c>
      <c r="T2381" t="inlineStr">
        <is>
          <t xml:space="preserve">PR </t>
        </is>
      </c>
      <c r="U2381" t="n">
        <v>5</v>
      </c>
      <c r="V2381" t="n">
        <v>5</v>
      </c>
      <c r="W2381" t="inlineStr">
        <is>
          <t>2010-09-08</t>
        </is>
      </c>
      <c r="X2381" t="inlineStr">
        <is>
          <t>2010-09-08</t>
        </is>
      </c>
      <c r="Y2381" t="inlineStr">
        <is>
          <t>1997-07-18</t>
        </is>
      </c>
      <c r="Z2381" t="inlineStr">
        <is>
          <t>1997-07-18</t>
        </is>
      </c>
      <c r="AA2381" t="n">
        <v>14</v>
      </c>
      <c r="AB2381" t="n">
        <v>11</v>
      </c>
      <c r="AC2381" t="n">
        <v>217</v>
      </c>
      <c r="AD2381" t="n">
        <v>1</v>
      </c>
      <c r="AE2381" t="n">
        <v>2</v>
      </c>
      <c r="AF2381" t="n">
        <v>0</v>
      </c>
      <c r="AG2381" t="n">
        <v>9</v>
      </c>
      <c r="AH2381" t="n">
        <v>0</v>
      </c>
      <c r="AI2381" t="n">
        <v>3</v>
      </c>
      <c r="AJ2381" t="n">
        <v>0</v>
      </c>
      <c r="AK2381" t="n">
        <v>2</v>
      </c>
      <c r="AL2381" t="n">
        <v>0</v>
      </c>
      <c r="AM2381" t="n">
        <v>6</v>
      </c>
      <c r="AN2381" t="n">
        <v>0</v>
      </c>
      <c r="AO2381" t="n">
        <v>1</v>
      </c>
      <c r="AP2381" t="n">
        <v>0</v>
      </c>
      <c r="AQ2381" t="n">
        <v>0</v>
      </c>
      <c r="AR2381" t="inlineStr">
        <is>
          <t>No</t>
        </is>
      </c>
      <c r="AS2381" t="inlineStr">
        <is>
          <t>No</t>
        </is>
      </c>
      <c r="AU2381">
        <f>HYPERLINK("https://creighton-primo.hosted.exlibrisgroup.com/primo-explore/search?tab=default_tab&amp;search_scope=EVERYTHING&amp;vid=01CRU&amp;lang=en_US&amp;offset=0&amp;query=any,contains,991000676399702656","Catalog Record")</f>
        <v/>
      </c>
      <c r="AV2381">
        <f>HYPERLINK("http://www.worldcat.org/oclc/12356171","WorldCat Record")</f>
        <v/>
      </c>
      <c r="AW2381" t="inlineStr">
        <is>
          <t>1457616:eng</t>
        </is>
      </c>
      <c r="AX2381" t="inlineStr">
        <is>
          <t>12356171</t>
        </is>
      </c>
      <c r="AY2381" t="inlineStr">
        <is>
          <t>991000676399702656</t>
        </is>
      </c>
      <c r="AZ2381" t="inlineStr">
        <is>
          <t>991000676399702656</t>
        </is>
      </c>
      <c r="BA2381" t="inlineStr">
        <is>
          <t>2270465780002656</t>
        </is>
      </c>
      <c r="BB2381" t="inlineStr">
        <is>
          <t>BOOK</t>
        </is>
      </c>
      <c r="BE2381" t="inlineStr">
        <is>
          <t>32285002934189</t>
        </is>
      </c>
      <c r="BF2381" t="inlineStr">
        <is>
          <t>893345871</t>
        </is>
      </c>
    </row>
    <row r="2382">
      <c r="A2382" t="inlineStr">
        <is>
          <t>No</t>
        </is>
      </c>
      <c r="B2382" t="inlineStr">
        <is>
          <t>CURAL</t>
        </is>
      </c>
      <c r="C2382" t="inlineStr">
        <is>
          <t>SHELVES</t>
        </is>
      </c>
      <c r="D2382" t="inlineStr">
        <is>
          <t>PR5431 .F66</t>
        </is>
      </c>
      <c r="E2382" t="inlineStr">
        <is>
          <t>0                      PR 5431000F  66</t>
        </is>
      </c>
      <c r="F2382" t="inlineStr">
        <is>
          <t>Red Shelley / Paul Foot.</t>
        </is>
      </c>
      <c r="H2382" t="inlineStr">
        <is>
          <t>No</t>
        </is>
      </c>
      <c r="I2382" t="inlineStr">
        <is>
          <t>1</t>
        </is>
      </c>
      <c r="J2382" t="inlineStr">
        <is>
          <t>No</t>
        </is>
      </c>
      <c r="K2382" t="inlineStr">
        <is>
          <t>No</t>
        </is>
      </c>
      <c r="L2382" t="inlineStr">
        <is>
          <t>0</t>
        </is>
      </c>
      <c r="M2382" t="inlineStr">
        <is>
          <t>Foot, Paul, 1937-2004.</t>
        </is>
      </c>
      <c r="N2382" t="inlineStr">
        <is>
          <t>London : Sidgwick &amp; Jackson, c1980.</t>
        </is>
      </c>
      <c r="O2382" t="inlineStr">
        <is>
          <t>1980</t>
        </is>
      </c>
      <c r="Q2382" t="inlineStr">
        <is>
          <t>eng</t>
        </is>
      </c>
      <c r="R2382" t="inlineStr">
        <is>
          <t>enk</t>
        </is>
      </c>
      <c r="T2382" t="inlineStr">
        <is>
          <t xml:space="preserve">PR </t>
        </is>
      </c>
      <c r="U2382" t="n">
        <v>5</v>
      </c>
      <c r="V2382" t="n">
        <v>5</v>
      </c>
      <c r="W2382" t="inlineStr">
        <is>
          <t>1997-09-27</t>
        </is>
      </c>
      <c r="X2382" t="inlineStr">
        <is>
          <t>1997-09-27</t>
        </is>
      </c>
      <c r="Y2382" t="inlineStr">
        <is>
          <t>1992-02-01</t>
        </is>
      </c>
      <c r="Z2382" t="inlineStr">
        <is>
          <t>1992-02-01</t>
        </is>
      </c>
      <c r="AA2382" t="n">
        <v>214</v>
      </c>
      <c r="AB2382" t="n">
        <v>98</v>
      </c>
      <c r="AC2382" t="n">
        <v>111</v>
      </c>
      <c r="AD2382" t="n">
        <v>2</v>
      </c>
      <c r="AE2382" t="n">
        <v>2</v>
      </c>
      <c r="AF2382" t="n">
        <v>4</v>
      </c>
      <c r="AG2382" t="n">
        <v>4</v>
      </c>
      <c r="AH2382" t="n">
        <v>0</v>
      </c>
      <c r="AI2382" t="n">
        <v>0</v>
      </c>
      <c r="AJ2382" t="n">
        <v>2</v>
      </c>
      <c r="AK2382" t="n">
        <v>2</v>
      </c>
      <c r="AL2382" t="n">
        <v>2</v>
      </c>
      <c r="AM2382" t="n">
        <v>2</v>
      </c>
      <c r="AN2382" t="n">
        <v>1</v>
      </c>
      <c r="AO2382" t="n">
        <v>1</v>
      </c>
      <c r="AP2382" t="n">
        <v>0</v>
      </c>
      <c r="AQ2382" t="n">
        <v>0</v>
      </c>
      <c r="AR2382" t="inlineStr">
        <is>
          <t>No</t>
        </is>
      </c>
      <c r="AS2382" t="inlineStr">
        <is>
          <t>Yes</t>
        </is>
      </c>
      <c r="AT2382">
        <f>HYPERLINK("http://catalog.hathitrust.org/Record/000263577","HathiTrust Record")</f>
        <v/>
      </c>
      <c r="AU2382">
        <f>HYPERLINK("https://creighton-primo.hosted.exlibrisgroup.com/primo-explore/search?tab=default_tab&amp;search_scope=EVERYTHING&amp;vid=01CRU&amp;lang=en_US&amp;offset=0&amp;query=any,contains,991005143399702656","Catalog Record")</f>
        <v/>
      </c>
      <c r="AV2382">
        <f>HYPERLINK("http://www.worldcat.org/oclc/7649016","WorldCat Record")</f>
        <v/>
      </c>
      <c r="AW2382" t="inlineStr">
        <is>
          <t>432750:eng</t>
        </is>
      </c>
      <c r="AX2382" t="inlineStr">
        <is>
          <t>7649016</t>
        </is>
      </c>
      <c r="AY2382" t="inlineStr">
        <is>
          <t>991005143399702656</t>
        </is>
      </c>
      <c r="AZ2382" t="inlineStr">
        <is>
          <t>991005143399702656</t>
        </is>
      </c>
      <c r="BA2382" t="inlineStr">
        <is>
          <t>2262095850002656</t>
        </is>
      </c>
      <c r="BB2382" t="inlineStr">
        <is>
          <t>BOOK</t>
        </is>
      </c>
      <c r="BD2382" t="inlineStr">
        <is>
          <t>9780283986796</t>
        </is>
      </c>
      <c r="BE2382" t="inlineStr">
        <is>
          <t>32285000932425</t>
        </is>
      </c>
      <c r="BF2382" t="inlineStr">
        <is>
          <t>893776904</t>
        </is>
      </c>
    </row>
    <row r="2383">
      <c r="A2383" t="inlineStr">
        <is>
          <t>No</t>
        </is>
      </c>
      <c r="B2383" t="inlineStr">
        <is>
          <t>CURAL</t>
        </is>
      </c>
      <c r="C2383" t="inlineStr">
        <is>
          <t>SHELVES</t>
        </is>
      </c>
      <c r="D2383" t="inlineStr">
        <is>
          <t>PR5431 .G65</t>
        </is>
      </c>
      <c r="E2383" t="inlineStr">
        <is>
          <t>0                      PR 5431000G  65</t>
        </is>
      </c>
      <c r="F2383" t="inlineStr">
        <is>
          <t>The magic plant.</t>
        </is>
      </c>
      <c r="H2383" t="inlineStr">
        <is>
          <t>No</t>
        </is>
      </c>
      <c r="I2383" t="inlineStr">
        <is>
          <t>1</t>
        </is>
      </c>
      <c r="J2383" t="inlineStr">
        <is>
          <t>No</t>
        </is>
      </c>
      <c r="K2383" t="inlineStr">
        <is>
          <t>No</t>
        </is>
      </c>
      <c r="L2383" t="inlineStr">
        <is>
          <t>0</t>
        </is>
      </c>
      <c r="M2383" t="inlineStr">
        <is>
          <t>Grabo, Carl H. (Carl Henry), 1881-1955.</t>
        </is>
      </c>
      <c r="N2383" t="inlineStr">
        <is>
          <t>Chapel Hill : The University of North Carolina press, [c1936]</t>
        </is>
      </c>
      <c r="O2383" t="inlineStr">
        <is>
          <t>1936</t>
        </is>
      </c>
      <c r="Q2383" t="inlineStr">
        <is>
          <t>eng</t>
        </is>
      </c>
      <c r="R2383" t="inlineStr">
        <is>
          <t>ncu</t>
        </is>
      </c>
      <c r="T2383" t="inlineStr">
        <is>
          <t xml:space="preserve">PR </t>
        </is>
      </c>
      <c r="U2383" t="n">
        <v>2</v>
      </c>
      <c r="V2383" t="n">
        <v>2</v>
      </c>
      <c r="W2383" t="inlineStr">
        <is>
          <t>1997-09-27</t>
        </is>
      </c>
      <c r="X2383" t="inlineStr">
        <is>
          <t>1997-09-27</t>
        </is>
      </c>
      <c r="Y2383" t="inlineStr">
        <is>
          <t>1992-12-22</t>
        </is>
      </c>
      <c r="Z2383" t="inlineStr">
        <is>
          <t>1992-12-22</t>
        </is>
      </c>
      <c r="AA2383" t="n">
        <v>710</v>
      </c>
      <c r="AB2383" t="n">
        <v>681</v>
      </c>
      <c r="AC2383" t="n">
        <v>732</v>
      </c>
      <c r="AD2383" t="n">
        <v>7</v>
      </c>
      <c r="AE2383" t="n">
        <v>7</v>
      </c>
      <c r="AF2383" t="n">
        <v>41</v>
      </c>
      <c r="AG2383" t="n">
        <v>44</v>
      </c>
      <c r="AH2383" t="n">
        <v>17</v>
      </c>
      <c r="AI2383" t="n">
        <v>18</v>
      </c>
      <c r="AJ2383" t="n">
        <v>7</v>
      </c>
      <c r="AK2383" t="n">
        <v>8</v>
      </c>
      <c r="AL2383" t="n">
        <v>20</v>
      </c>
      <c r="AM2383" t="n">
        <v>22</v>
      </c>
      <c r="AN2383" t="n">
        <v>6</v>
      </c>
      <c r="AO2383" t="n">
        <v>6</v>
      </c>
      <c r="AP2383" t="n">
        <v>0</v>
      </c>
      <c r="AQ2383" t="n">
        <v>0</v>
      </c>
      <c r="AR2383" t="inlineStr">
        <is>
          <t>Yes</t>
        </is>
      </c>
      <c r="AS2383" t="inlineStr">
        <is>
          <t>No</t>
        </is>
      </c>
      <c r="AT2383">
        <f>HYPERLINK("http://catalog.hathitrust.org/Record/001020118","HathiTrust Record")</f>
        <v/>
      </c>
      <c r="AU2383">
        <f>HYPERLINK("https://creighton-primo.hosted.exlibrisgroup.com/primo-explore/search?tab=default_tab&amp;search_scope=EVERYTHING&amp;vid=01CRU&amp;lang=en_US&amp;offset=0&amp;query=any,contains,991002490969702656","Catalog Record")</f>
        <v/>
      </c>
      <c r="AV2383">
        <f>HYPERLINK("http://www.worldcat.org/oclc/362677","WorldCat Record")</f>
        <v/>
      </c>
      <c r="AW2383" t="inlineStr">
        <is>
          <t>151467926:eng</t>
        </is>
      </c>
      <c r="AX2383" t="inlineStr">
        <is>
          <t>362677</t>
        </is>
      </c>
      <c r="AY2383" t="inlineStr">
        <is>
          <t>991002490969702656</t>
        </is>
      </c>
      <c r="AZ2383" t="inlineStr">
        <is>
          <t>991002490969702656</t>
        </is>
      </c>
      <c r="BA2383" t="inlineStr">
        <is>
          <t>2262483600002656</t>
        </is>
      </c>
      <c r="BB2383" t="inlineStr">
        <is>
          <t>BOOK</t>
        </is>
      </c>
      <c r="BE2383" t="inlineStr">
        <is>
          <t>32285001470425</t>
        </is>
      </c>
      <c r="BF2383" t="inlineStr">
        <is>
          <t>893716519</t>
        </is>
      </c>
    </row>
    <row r="2384">
      <c r="A2384" t="inlineStr">
        <is>
          <t>No</t>
        </is>
      </c>
      <c r="B2384" t="inlineStr">
        <is>
          <t>CURAL</t>
        </is>
      </c>
      <c r="C2384" t="inlineStr">
        <is>
          <t>SHELVES</t>
        </is>
      </c>
      <c r="D2384" t="inlineStr">
        <is>
          <t>PR5431 .K5</t>
        </is>
      </c>
      <c r="E2384" t="inlineStr">
        <is>
          <t>0                      PR 5431000K  5</t>
        </is>
      </c>
      <c r="F2384" t="inlineStr">
        <is>
          <t>Shelley, the man and the poet.</t>
        </is>
      </c>
      <c r="H2384" t="inlineStr">
        <is>
          <t>No</t>
        </is>
      </c>
      <c r="I2384" t="inlineStr">
        <is>
          <t>1</t>
        </is>
      </c>
      <c r="J2384" t="inlineStr">
        <is>
          <t>No</t>
        </is>
      </c>
      <c r="K2384" t="inlineStr">
        <is>
          <t>No</t>
        </is>
      </c>
      <c r="L2384" t="inlineStr">
        <is>
          <t>0</t>
        </is>
      </c>
      <c r="M2384" t="inlineStr">
        <is>
          <t>King-Hele, Desmond, 1927-</t>
        </is>
      </c>
      <c r="N2384" t="inlineStr">
        <is>
          <t>New York : T. Yoseloff, [1960]</t>
        </is>
      </c>
      <c r="O2384" t="inlineStr">
        <is>
          <t>1960</t>
        </is>
      </c>
      <c r="Q2384" t="inlineStr">
        <is>
          <t>eng</t>
        </is>
      </c>
      <c r="R2384" t="inlineStr">
        <is>
          <t>nyu</t>
        </is>
      </c>
      <c r="T2384" t="inlineStr">
        <is>
          <t xml:space="preserve">PR </t>
        </is>
      </c>
      <c r="U2384" t="n">
        <v>6</v>
      </c>
      <c r="V2384" t="n">
        <v>6</v>
      </c>
      <c r="W2384" t="inlineStr">
        <is>
          <t>1999-05-06</t>
        </is>
      </c>
      <c r="X2384" t="inlineStr">
        <is>
          <t>1999-05-06</t>
        </is>
      </c>
      <c r="Y2384" t="inlineStr">
        <is>
          <t>1990-05-15</t>
        </is>
      </c>
      <c r="Z2384" t="inlineStr">
        <is>
          <t>1990-05-15</t>
        </is>
      </c>
      <c r="AA2384" t="n">
        <v>953</v>
      </c>
      <c r="AB2384" t="n">
        <v>912</v>
      </c>
      <c r="AC2384" t="n">
        <v>928</v>
      </c>
      <c r="AD2384" t="n">
        <v>11</v>
      </c>
      <c r="AE2384" t="n">
        <v>11</v>
      </c>
      <c r="AF2384" t="n">
        <v>34</v>
      </c>
      <c r="AG2384" t="n">
        <v>34</v>
      </c>
      <c r="AH2384" t="n">
        <v>11</v>
      </c>
      <c r="AI2384" t="n">
        <v>11</v>
      </c>
      <c r="AJ2384" t="n">
        <v>8</v>
      </c>
      <c r="AK2384" t="n">
        <v>8</v>
      </c>
      <c r="AL2384" t="n">
        <v>12</v>
      </c>
      <c r="AM2384" t="n">
        <v>12</v>
      </c>
      <c r="AN2384" t="n">
        <v>9</v>
      </c>
      <c r="AO2384" t="n">
        <v>9</v>
      </c>
      <c r="AP2384" t="n">
        <v>0</v>
      </c>
      <c r="AQ2384" t="n">
        <v>0</v>
      </c>
      <c r="AR2384" t="inlineStr">
        <is>
          <t>No</t>
        </is>
      </c>
      <c r="AS2384" t="inlineStr">
        <is>
          <t>Yes</t>
        </is>
      </c>
      <c r="AT2384">
        <f>HYPERLINK("http://catalog.hathitrust.org/Record/001024488","HathiTrust Record")</f>
        <v/>
      </c>
      <c r="AU2384">
        <f>HYPERLINK("https://creighton-primo.hosted.exlibrisgroup.com/primo-explore/search?tab=default_tab&amp;search_scope=EVERYTHING&amp;vid=01CRU&amp;lang=en_US&amp;offset=0&amp;query=any,contains,991002490609702656","Catalog Record")</f>
        <v/>
      </c>
      <c r="AV2384">
        <f>HYPERLINK("http://www.worldcat.org/oclc/362571","WorldCat Record")</f>
        <v/>
      </c>
      <c r="AW2384" t="inlineStr">
        <is>
          <t>2564853105:eng</t>
        </is>
      </c>
      <c r="AX2384" t="inlineStr">
        <is>
          <t>362571</t>
        </is>
      </c>
      <c r="AY2384" t="inlineStr">
        <is>
          <t>991002490609702656</t>
        </is>
      </c>
      <c r="AZ2384" t="inlineStr">
        <is>
          <t>991002490609702656</t>
        </is>
      </c>
      <c r="BA2384" t="inlineStr">
        <is>
          <t>2262445000002656</t>
        </is>
      </c>
      <c r="BB2384" t="inlineStr">
        <is>
          <t>BOOK</t>
        </is>
      </c>
      <c r="BE2384" t="inlineStr">
        <is>
          <t>32285000155431</t>
        </is>
      </c>
      <c r="BF2384" t="inlineStr">
        <is>
          <t>893710356</t>
        </is>
      </c>
    </row>
    <row r="2385">
      <c r="A2385" t="inlineStr">
        <is>
          <t>No</t>
        </is>
      </c>
      <c r="B2385" t="inlineStr">
        <is>
          <t>CURAL</t>
        </is>
      </c>
      <c r="C2385" t="inlineStr">
        <is>
          <t>SHELVES</t>
        </is>
      </c>
      <c r="D2385" t="inlineStr">
        <is>
          <t>PR5431 .P45</t>
        </is>
      </c>
      <c r="E2385" t="inlineStr">
        <is>
          <t>0                      PR 5431000P  45</t>
        </is>
      </c>
      <c r="F2385" t="inlineStr">
        <is>
          <t>Shelley, his life and work / Walter Edwin Peck.</t>
        </is>
      </c>
      <c r="G2385" t="inlineStr">
        <is>
          <t>V.2</t>
        </is>
      </c>
      <c r="H2385" t="inlineStr">
        <is>
          <t>Yes</t>
        </is>
      </c>
      <c r="I2385" t="inlineStr">
        <is>
          <t>1</t>
        </is>
      </c>
      <c r="J2385" t="inlineStr">
        <is>
          <t>No</t>
        </is>
      </c>
      <c r="K2385" t="inlineStr">
        <is>
          <t>No</t>
        </is>
      </c>
      <c r="L2385" t="inlineStr">
        <is>
          <t>0</t>
        </is>
      </c>
      <c r="M2385" t="inlineStr">
        <is>
          <t>Peck, Walter Edwin, 1891-1954.</t>
        </is>
      </c>
      <c r="N2385" t="inlineStr">
        <is>
          <t>Boston : Houghton Mifflin Co., 1927.</t>
        </is>
      </c>
      <c r="O2385" t="inlineStr">
        <is>
          <t>1927</t>
        </is>
      </c>
      <c r="Q2385" t="inlineStr">
        <is>
          <t>eng</t>
        </is>
      </c>
      <c r="R2385" t="inlineStr">
        <is>
          <t>nyu</t>
        </is>
      </c>
      <c r="T2385" t="inlineStr">
        <is>
          <t xml:space="preserve">PR </t>
        </is>
      </c>
      <c r="U2385" t="n">
        <v>2</v>
      </c>
      <c r="V2385" t="n">
        <v>2</v>
      </c>
      <c r="W2385" t="inlineStr">
        <is>
          <t>2001-03-23</t>
        </is>
      </c>
      <c r="X2385" t="inlineStr">
        <is>
          <t>2001-03-23</t>
        </is>
      </c>
      <c r="Y2385" t="inlineStr">
        <is>
          <t>1997-07-18</t>
        </is>
      </c>
      <c r="Z2385" t="inlineStr">
        <is>
          <t>1997-07-18</t>
        </is>
      </c>
      <c r="AA2385" t="n">
        <v>676</v>
      </c>
      <c r="AB2385" t="n">
        <v>632</v>
      </c>
      <c r="AC2385" t="n">
        <v>735</v>
      </c>
      <c r="AD2385" t="n">
        <v>5</v>
      </c>
      <c r="AE2385" t="n">
        <v>7</v>
      </c>
      <c r="AF2385" t="n">
        <v>33</v>
      </c>
      <c r="AG2385" t="n">
        <v>39</v>
      </c>
      <c r="AH2385" t="n">
        <v>11</v>
      </c>
      <c r="AI2385" t="n">
        <v>13</v>
      </c>
      <c r="AJ2385" t="n">
        <v>7</v>
      </c>
      <c r="AK2385" t="n">
        <v>7</v>
      </c>
      <c r="AL2385" t="n">
        <v>19</v>
      </c>
      <c r="AM2385" t="n">
        <v>21</v>
      </c>
      <c r="AN2385" t="n">
        <v>4</v>
      </c>
      <c r="AO2385" t="n">
        <v>6</v>
      </c>
      <c r="AP2385" t="n">
        <v>0</v>
      </c>
      <c r="AQ2385" t="n">
        <v>0</v>
      </c>
      <c r="AR2385" t="inlineStr">
        <is>
          <t>No</t>
        </is>
      </c>
      <c r="AS2385" t="inlineStr">
        <is>
          <t>Yes</t>
        </is>
      </c>
      <c r="AT2385">
        <f>HYPERLINK("http://catalog.hathitrust.org/Record/001024490","HathiTrust Record")</f>
        <v/>
      </c>
      <c r="AU2385">
        <f>HYPERLINK("https://creighton-primo.hosted.exlibrisgroup.com/primo-explore/search?tab=default_tab&amp;search_scope=EVERYTHING&amp;vid=01CRU&amp;lang=en_US&amp;offset=0&amp;query=any,contains,991002487729702656","Catalog Record")</f>
        <v/>
      </c>
      <c r="AV2385">
        <f>HYPERLINK("http://www.worldcat.org/oclc/32376720","WorldCat Record")</f>
        <v/>
      </c>
      <c r="AW2385" t="inlineStr">
        <is>
          <t>2826366390:eng</t>
        </is>
      </c>
      <c r="AX2385" t="inlineStr">
        <is>
          <t>32376720</t>
        </is>
      </c>
      <c r="AY2385" t="inlineStr">
        <is>
          <t>991002487729702656</t>
        </is>
      </c>
      <c r="AZ2385" t="inlineStr">
        <is>
          <t>991002487729702656</t>
        </is>
      </c>
      <c r="BA2385" t="inlineStr">
        <is>
          <t>2256403160002656</t>
        </is>
      </c>
      <c r="BB2385" t="inlineStr">
        <is>
          <t>BOOK</t>
        </is>
      </c>
      <c r="BE2385" t="inlineStr">
        <is>
          <t>32285002934270</t>
        </is>
      </c>
      <c r="BF2385" t="inlineStr">
        <is>
          <t>893779871</t>
        </is>
      </c>
    </row>
    <row r="2386">
      <c r="A2386" t="inlineStr">
        <is>
          <t>No</t>
        </is>
      </c>
      <c r="B2386" t="inlineStr">
        <is>
          <t>CURAL</t>
        </is>
      </c>
      <c r="C2386" t="inlineStr">
        <is>
          <t>SHELVES</t>
        </is>
      </c>
      <c r="D2386" t="inlineStr">
        <is>
          <t>PR5431 .P45</t>
        </is>
      </c>
      <c r="E2386" t="inlineStr">
        <is>
          <t>0                      PR 5431000P  45</t>
        </is>
      </c>
      <c r="F2386" t="inlineStr">
        <is>
          <t>Shelley, his life and work / Walter Edwin Peck.</t>
        </is>
      </c>
      <c r="G2386" t="inlineStr">
        <is>
          <t>V.1</t>
        </is>
      </c>
      <c r="H2386" t="inlineStr">
        <is>
          <t>Yes</t>
        </is>
      </c>
      <c r="I2386" t="inlineStr">
        <is>
          <t>1</t>
        </is>
      </c>
      <c r="J2386" t="inlineStr">
        <is>
          <t>No</t>
        </is>
      </c>
      <c r="K2386" t="inlineStr">
        <is>
          <t>No</t>
        </is>
      </c>
      <c r="L2386" t="inlineStr">
        <is>
          <t>0</t>
        </is>
      </c>
      <c r="M2386" t="inlineStr">
        <is>
          <t>Peck, Walter Edwin, 1891-1954.</t>
        </is>
      </c>
      <c r="N2386" t="inlineStr">
        <is>
          <t>Boston : Houghton Mifflin Co., 1927.</t>
        </is>
      </c>
      <c r="O2386" t="inlineStr">
        <is>
          <t>1927</t>
        </is>
      </c>
      <c r="Q2386" t="inlineStr">
        <is>
          <t>eng</t>
        </is>
      </c>
      <c r="R2386" t="inlineStr">
        <is>
          <t>nyu</t>
        </is>
      </c>
      <c r="T2386" t="inlineStr">
        <is>
          <t xml:space="preserve">PR </t>
        </is>
      </c>
      <c r="U2386" t="n">
        <v>0</v>
      </c>
      <c r="V2386" t="n">
        <v>2</v>
      </c>
      <c r="X2386" t="inlineStr">
        <is>
          <t>2001-03-23</t>
        </is>
      </c>
      <c r="Y2386" t="inlineStr">
        <is>
          <t>1997-07-18</t>
        </is>
      </c>
      <c r="Z2386" t="inlineStr">
        <is>
          <t>1997-07-18</t>
        </is>
      </c>
      <c r="AA2386" t="n">
        <v>676</v>
      </c>
      <c r="AB2386" t="n">
        <v>632</v>
      </c>
      <c r="AC2386" t="n">
        <v>735</v>
      </c>
      <c r="AD2386" t="n">
        <v>5</v>
      </c>
      <c r="AE2386" t="n">
        <v>7</v>
      </c>
      <c r="AF2386" t="n">
        <v>33</v>
      </c>
      <c r="AG2386" t="n">
        <v>39</v>
      </c>
      <c r="AH2386" t="n">
        <v>11</v>
      </c>
      <c r="AI2386" t="n">
        <v>13</v>
      </c>
      <c r="AJ2386" t="n">
        <v>7</v>
      </c>
      <c r="AK2386" t="n">
        <v>7</v>
      </c>
      <c r="AL2386" t="n">
        <v>19</v>
      </c>
      <c r="AM2386" t="n">
        <v>21</v>
      </c>
      <c r="AN2386" t="n">
        <v>4</v>
      </c>
      <c r="AO2386" t="n">
        <v>6</v>
      </c>
      <c r="AP2386" t="n">
        <v>0</v>
      </c>
      <c r="AQ2386" t="n">
        <v>0</v>
      </c>
      <c r="AR2386" t="inlineStr">
        <is>
          <t>No</t>
        </is>
      </c>
      <c r="AS2386" t="inlineStr">
        <is>
          <t>Yes</t>
        </is>
      </c>
      <c r="AT2386">
        <f>HYPERLINK("http://catalog.hathitrust.org/Record/001024490","HathiTrust Record")</f>
        <v/>
      </c>
      <c r="AU2386">
        <f>HYPERLINK("https://creighton-primo.hosted.exlibrisgroup.com/primo-explore/search?tab=default_tab&amp;search_scope=EVERYTHING&amp;vid=01CRU&amp;lang=en_US&amp;offset=0&amp;query=any,contains,991002487729702656","Catalog Record")</f>
        <v/>
      </c>
      <c r="AV2386">
        <f>HYPERLINK("http://www.worldcat.org/oclc/32376720","WorldCat Record")</f>
        <v/>
      </c>
      <c r="AW2386" t="inlineStr">
        <is>
          <t>2826366390:eng</t>
        </is>
      </c>
      <c r="AX2386" t="inlineStr">
        <is>
          <t>32376720</t>
        </is>
      </c>
      <c r="AY2386" t="inlineStr">
        <is>
          <t>991002487729702656</t>
        </is>
      </c>
      <c r="AZ2386" t="inlineStr">
        <is>
          <t>991002487729702656</t>
        </is>
      </c>
      <c r="BA2386" t="inlineStr">
        <is>
          <t>2256403160002656</t>
        </is>
      </c>
      <c r="BB2386" t="inlineStr">
        <is>
          <t>BOOK</t>
        </is>
      </c>
      <c r="BE2386" t="inlineStr">
        <is>
          <t>32285002934262</t>
        </is>
      </c>
      <c r="BF2386" t="inlineStr">
        <is>
          <t>893809518</t>
        </is>
      </c>
    </row>
    <row r="2387">
      <c r="A2387" t="inlineStr">
        <is>
          <t>No</t>
        </is>
      </c>
      <c r="B2387" t="inlineStr">
        <is>
          <t>CURAL</t>
        </is>
      </c>
      <c r="C2387" t="inlineStr">
        <is>
          <t>SHELVES</t>
        </is>
      </c>
      <c r="D2387" t="inlineStr">
        <is>
          <t>PR5431 .R4</t>
        </is>
      </c>
      <c r="E2387" t="inlineStr">
        <is>
          <t>0                      PR 5431000R  4</t>
        </is>
      </c>
      <c r="F2387" t="inlineStr">
        <is>
          <t>Percy Bysshe Shelley / by Donald H. Reiman.</t>
        </is>
      </c>
      <c r="H2387" t="inlineStr">
        <is>
          <t>No</t>
        </is>
      </c>
      <c r="I2387" t="inlineStr">
        <is>
          <t>1</t>
        </is>
      </c>
      <c r="J2387" t="inlineStr">
        <is>
          <t>No</t>
        </is>
      </c>
      <c r="K2387" t="inlineStr">
        <is>
          <t>Yes</t>
        </is>
      </c>
      <c r="L2387" t="inlineStr">
        <is>
          <t>0</t>
        </is>
      </c>
      <c r="M2387" t="inlineStr">
        <is>
          <t>Reiman, Donald H.</t>
        </is>
      </c>
      <c r="N2387" t="inlineStr">
        <is>
          <t>New York : Twayne Publishers, [1969]</t>
        </is>
      </c>
      <c r="O2387" t="inlineStr">
        <is>
          <t>1969</t>
        </is>
      </c>
      <c r="Q2387" t="inlineStr">
        <is>
          <t>eng</t>
        </is>
      </c>
      <c r="R2387" t="inlineStr">
        <is>
          <t>nyu</t>
        </is>
      </c>
      <c r="S2387" t="inlineStr">
        <is>
          <t>Twayne's English authors series, 81</t>
        </is>
      </c>
      <c r="T2387" t="inlineStr">
        <is>
          <t xml:space="preserve">PR </t>
        </is>
      </c>
      <c r="U2387" t="n">
        <v>8</v>
      </c>
      <c r="V2387" t="n">
        <v>8</v>
      </c>
      <c r="W2387" t="inlineStr">
        <is>
          <t>1998-11-11</t>
        </is>
      </c>
      <c r="X2387" t="inlineStr">
        <is>
          <t>1998-11-11</t>
        </is>
      </c>
      <c r="Y2387" t="inlineStr">
        <is>
          <t>1991-08-02</t>
        </is>
      </c>
      <c r="Z2387" t="inlineStr">
        <is>
          <t>1991-08-02</t>
        </is>
      </c>
      <c r="AA2387" t="n">
        <v>1288</v>
      </c>
      <c r="AB2387" t="n">
        <v>1185</v>
      </c>
      <c r="AC2387" t="n">
        <v>1665</v>
      </c>
      <c r="AD2387" t="n">
        <v>9</v>
      </c>
      <c r="AE2387" t="n">
        <v>13</v>
      </c>
      <c r="AF2387" t="n">
        <v>39</v>
      </c>
      <c r="AG2387" t="n">
        <v>51</v>
      </c>
      <c r="AH2387" t="n">
        <v>16</v>
      </c>
      <c r="AI2387" t="n">
        <v>22</v>
      </c>
      <c r="AJ2387" t="n">
        <v>9</v>
      </c>
      <c r="AK2387" t="n">
        <v>10</v>
      </c>
      <c r="AL2387" t="n">
        <v>18</v>
      </c>
      <c r="AM2387" t="n">
        <v>22</v>
      </c>
      <c r="AN2387" t="n">
        <v>7</v>
      </c>
      <c r="AO2387" t="n">
        <v>9</v>
      </c>
      <c r="AP2387" t="n">
        <v>0</v>
      </c>
      <c r="AQ2387" t="n">
        <v>0</v>
      </c>
      <c r="AR2387" t="inlineStr">
        <is>
          <t>No</t>
        </is>
      </c>
      <c r="AS2387" t="inlineStr">
        <is>
          <t>Yes</t>
        </is>
      </c>
      <c r="AT2387">
        <f>HYPERLINK("http://catalog.hathitrust.org/Record/001024491","HathiTrust Record")</f>
        <v/>
      </c>
      <c r="AU2387">
        <f>HYPERLINK("https://creighton-primo.hosted.exlibrisgroup.com/primo-explore/search?tab=default_tab&amp;search_scope=EVERYTHING&amp;vid=01CRU&amp;lang=en_US&amp;offset=0&amp;query=any,contains,991000022729702656","Catalog Record")</f>
        <v/>
      </c>
      <c r="AV2387">
        <f>HYPERLINK("http://www.worldcat.org/oclc/18080","WorldCat Record")</f>
        <v/>
      </c>
      <c r="AW2387" t="inlineStr">
        <is>
          <t>3806371347:eng</t>
        </is>
      </c>
      <c r="AX2387" t="inlineStr">
        <is>
          <t>18080</t>
        </is>
      </c>
      <c r="AY2387" t="inlineStr">
        <is>
          <t>991000022729702656</t>
        </is>
      </c>
      <c r="AZ2387" t="inlineStr">
        <is>
          <t>991000022729702656</t>
        </is>
      </c>
      <c r="BA2387" t="inlineStr">
        <is>
          <t>2272499550002656</t>
        </is>
      </c>
      <c r="BB2387" t="inlineStr">
        <is>
          <t>BOOK</t>
        </is>
      </c>
      <c r="BE2387" t="inlineStr">
        <is>
          <t>32285000680560</t>
        </is>
      </c>
      <c r="BF2387" t="inlineStr">
        <is>
          <t>893431602</t>
        </is>
      </c>
    </row>
    <row r="2388">
      <c r="A2388" t="inlineStr">
        <is>
          <t>No</t>
        </is>
      </c>
      <c r="B2388" t="inlineStr">
        <is>
          <t>CURAL</t>
        </is>
      </c>
      <c r="C2388" t="inlineStr">
        <is>
          <t>SHELVES</t>
        </is>
      </c>
      <c r="D2388" t="inlineStr">
        <is>
          <t>PR5431 .R4 1990</t>
        </is>
      </c>
      <c r="E2388" t="inlineStr">
        <is>
          <t>0                      PR 5431000R  4           1990</t>
        </is>
      </c>
      <c r="F2388" t="inlineStr">
        <is>
          <t>Percy Bysshe Shelley / by Donald H. Reiman.</t>
        </is>
      </c>
      <c r="H2388" t="inlineStr">
        <is>
          <t>No</t>
        </is>
      </c>
      <c r="I2388" t="inlineStr">
        <is>
          <t>1</t>
        </is>
      </c>
      <c r="J2388" t="inlineStr">
        <is>
          <t>No</t>
        </is>
      </c>
      <c r="K2388" t="inlineStr">
        <is>
          <t>Yes</t>
        </is>
      </c>
      <c r="L2388" t="inlineStr">
        <is>
          <t>0</t>
        </is>
      </c>
      <c r="M2388" t="inlineStr">
        <is>
          <t>Reiman, Donald H.</t>
        </is>
      </c>
      <c r="N2388" t="inlineStr">
        <is>
          <t>Boston : Twayne Publishers, c1990.</t>
        </is>
      </c>
      <c r="O2388" t="inlineStr">
        <is>
          <t>1990</t>
        </is>
      </c>
      <c r="P2388" t="inlineStr">
        <is>
          <t>Updated ed.</t>
        </is>
      </c>
      <c r="Q2388" t="inlineStr">
        <is>
          <t>eng</t>
        </is>
      </c>
      <c r="R2388" t="inlineStr">
        <is>
          <t>mau</t>
        </is>
      </c>
      <c r="S2388" t="inlineStr">
        <is>
          <t>Twayne's English authors series ; TEAS 81</t>
        </is>
      </c>
      <c r="T2388" t="inlineStr">
        <is>
          <t xml:space="preserve">PR </t>
        </is>
      </c>
      <c r="U2388" t="n">
        <v>7</v>
      </c>
      <c r="V2388" t="n">
        <v>7</v>
      </c>
      <c r="W2388" t="inlineStr">
        <is>
          <t>2000-05-05</t>
        </is>
      </c>
      <c r="X2388" t="inlineStr">
        <is>
          <t>2000-05-05</t>
        </is>
      </c>
      <c r="Y2388" t="inlineStr">
        <is>
          <t>1989-12-05</t>
        </is>
      </c>
      <c r="Z2388" t="inlineStr">
        <is>
          <t>1989-12-05</t>
        </is>
      </c>
      <c r="AA2388" t="n">
        <v>624</v>
      </c>
      <c r="AB2388" t="n">
        <v>564</v>
      </c>
      <c r="AC2388" t="n">
        <v>1665</v>
      </c>
      <c r="AD2388" t="n">
        <v>7</v>
      </c>
      <c r="AE2388" t="n">
        <v>13</v>
      </c>
      <c r="AF2388" t="n">
        <v>24</v>
      </c>
      <c r="AG2388" t="n">
        <v>51</v>
      </c>
      <c r="AH2388" t="n">
        <v>8</v>
      </c>
      <c r="AI2388" t="n">
        <v>22</v>
      </c>
      <c r="AJ2388" t="n">
        <v>4</v>
      </c>
      <c r="AK2388" t="n">
        <v>10</v>
      </c>
      <c r="AL2388" t="n">
        <v>14</v>
      </c>
      <c r="AM2388" t="n">
        <v>22</v>
      </c>
      <c r="AN2388" t="n">
        <v>4</v>
      </c>
      <c r="AO2388" t="n">
        <v>9</v>
      </c>
      <c r="AP2388" t="n">
        <v>0</v>
      </c>
      <c r="AQ2388" t="n">
        <v>0</v>
      </c>
      <c r="AR2388" t="inlineStr">
        <is>
          <t>No</t>
        </is>
      </c>
      <c r="AS2388" t="inlineStr">
        <is>
          <t>Yes</t>
        </is>
      </c>
      <c r="AT2388">
        <f>HYPERLINK("http://catalog.hathitrust.org/Record/001825773","HathiTrust Record")</f>
        <v/>
      </c>
      <c r="AU2388">
        <f>HYPERLINK("https://creighton-primo.hosted.exlibrisgroup.com/primo-explore/search?tab=default_tab&amp;search_scope=EVERYTHING&amp;vid=01CRU&amp;lang=en_US&amp;offset=0&amp;query=any,contains,991001529699702656","Catalog Record")</f>
        <v/>
      </c>
      <c r="AV2388">
        <f>HYPERLINK("http://www.worldcat.org/oclc/20016405","WorldCat Record")</f>
        <v/>
      </c>
      <c r="AW2388" t="inlineStr">
        <is>
          <t>3806371347:eng</t>
        </is>
      </c>
      <c r="AX2388" t="inlineStr">
        <is>
          <t>20016405</t>
        </is>
      </c>
      <c r="AY2388" t="inlineStr">
        <is>
          <t>991001529699702656</t>
        </is>
      </c>
      <c r="AZ2388" t="inlineStr">
        <is>
          <t>991001529699702656</t>
        </is>
      </c>
      <c r="BA2388" t="inlineStr">
        <is>
          <t>2261666670002656</t>
        </is>
      </c>
      <c r="BB2388" t="inlineStr">
        <is>
          <t>BOOK</t>
        </is>
      </c>
      <c r="BD2388" t="inlineStr">
        <is>
          <t>9780805769814</t>
        </is>
      </c>
      <c r="BE2388" t="inlineStr">
        <is>
          <t>32285000020213</t>
        </is>
      </c>
      <c r="BF2388" t="inlineStr">
        <is>
          <t>893602656</t>
        </is>
      </c>
    </row>
    <row r="2389">
      <c r="A2389" t="inlineStr">
        <is>
          <t>No</t>
        </is>
      </c>
      <c r="B2389" t="inlineStr">
        <is>
          <t>CURAL</t>
        </is>
      </c>
      <c r="C2389" t="inlineStr">
        <is>
          <t>SHELVES</t>
        </is>
      </c>
      <c r="D2389" t="inlineStr">
        <is>
          <t>PR5431 .R5</t>
        </is>
      </c>
      <c r="E2389" t="inlineStr">
        <is>
          <t>0                      PR 5431000R  5</t>
        </is>
      </c>
      <c r="F2389" t="inlineStr">
        <is>
          <t>Shelley : a collection of critical essays / edited by George M. Ridenour.</t>
        </is>
      </c>
      <c r="H2389" t="inlineStr">
        <is>
          <t>No</t>
        </is>
      </c>
      <c r="I2389" t="inlineStr">
        <is>
          <t>1</t>
        </is>
      </c>
      <c r="J2389" t="inlineStr">
        <is>
          <t>No</t>
        </is>
      </c>
      <c r="K2389" t="inlineStr">
        <is>
          <t>No</t>
        </is>
      </c>
      <c r="L2389" t="inlineStr">
        <is>
          <t>0</t>
        </is>
      </c>
      <c r="M2389" t="inlineStr">
        <is>
          <t>Ridenour, George M., editor.</t>
        </is>
      </c>
      <c r="N2389" t="inlineStr">
        <is>
          <t>Englewood Cliffs, N.J. : Prentice-Hall, [1965]</t>
        </is>
      </c>
      <c r="O2389" t="inlineStr">
        <is>
          <t>1965</t>
        </is>
      </c>
      <c r="Q2389" t="inlineStr">
        <is>
          <t>eng</t>
        </is>
      </c>
      <c r="R2389" t="inlineStr">
        <is>
          <t>nju</t>
        </is>
      </c>
      <c r="S2389" t="inlineStr">
        <is>
          <t>Twentieth century views</t>
        </is>
      </c>
      <c r="T2389" t="inlineStr">
        <is>
          <t xml:space="preserve">PR </t>
        </is>
      </c>
      <c r="U2389" t="n">
        <v>4</v>
      </c>
      <c r="V2389" t="n">
        <v>4</v>
      </c>
      <c r="W2389" t="inlineStr">
        <is>
          <t>1998-04-15</t>
        </is>
      </c>
      <c r="X2389" t="inlineStr">
        <is>
          <t>1998-04-15</t>
        </is>
      </c>
      <c r="Y2389" t="inlineStr">
        <is>
          <t>1992-02-01</t>
        </is>
      </c>
      <c r="Z2389" t="inlineStr">
        <is>
          <t>1992-02-01</t>
        </is>
      </c>
      <c r="AA2389" t="n">
        <v>1982</v>
      </c>
      <c r="AB2389" t="n">
        <v>1757</v>
      </c>
      <c r="AC2389" t="n">
        <v>1768</v>
      </c>
      <c r="AD2389" t="n">
        <v>14</v>
      </c>
      <c r="AE2389" t="n">
        <v>14</v>
      </c>
      <c r="AF2389" t="n">
        <v>54</v>
      </c>
      <c r="AG2389" t="n">
        <v>54</v>
      </c>
      <c r="AH2389" t="n">
        <v>23</v>
      </c>
      <c r="AI2389" t="n">
        <v>23</v>
      </c>
      <c r="AJ2389" t="n">
        <v>7</v>
      </c>
      <c r="AK2389" t="n">
        <v>7</v>
      </c>
      <c r="AL2389" t="n">
        <v>24</v>
      </c>
      <c r="AM2389" t="n">
        <v>24</v>
      </c>
      <c r="AN2389" t="n">
        <v>11</v>
      </c>
      <c r="AO2389" t="n">
        <v>11</v>
      </c>
      <c r="AP2389" t="n">
        <v>0</v>
      </c>
      <c r="AQ2389" t="n">
        <v>0</v>
      </c>
      <c r="AR2389" t="inlineStr">
        <is>
          <t>No</t>
        </is>
      </c>
      <c r="AS2389" t="inlineStr">
        <is>
          <t>Yes</t>
        </is>
      </c>
      <c r="AT2389">
        <f>HYPERLINK("http://catalog.hathitrust.org/Record/001024492","HathiTrust Record")</f>
        <v/>
      </c>
      <c r="AU2389">
        <f>HYPERLINK("https://creighton-primo.hosted.exlibrisgroup.com/primo-explore/search?tab=default_tab&amp;search_scope=EVERYTHING&amp;vid=01CRU&amp;lang=en_US&amp;offset=0&amp;query=any,contains,991003558469702656","Catalog Record")</f>
        <v/>
      </c>
      <c r="AV2389">
        <f>HYPERLINK("http://www.worldcat.org/oclc/1127625","WorldCat Record")</f>
        <v/>
      </c>
      <c r="AW2389" t="inlineStr">
        <is>
          <t>795053253:eng</t>
        </is>
      </c>
      <c r="AX2389" t="inlineStr">
        <is>
          <t>1127625</t>
        </is>
      </c>
      <c r="AY2389" t="inlineStr">
        <is>
          <t>991003558469702656</t>
        </is>
      </c>
      <c r="AZ2389" t="inlineStr">
        <is>
          <t>991003558469702656</t>
        </is>
      </c>
      <c r="BA2389" t="inlineStr">
        <is>
          <t>2267466930002656</t>
        </is>
      </c>
      <c r="BB2389" t="inlineStr">
        <is>
          <t>BOOK</t>
        </is>
      </c>
      <c r="BE2389" t="inlineStr">
        <is>
          <t>32285000932433</t>
        </is>
      </c>
      <c r="BF2389" t="inlineStr">
        <is>
          <t>893699118</t>
        </is>
      </c>
    </row>
    <row r="2390">
      <c r="A2390" t="inlineStr">
        <is>
          <t>No</t>
        </is>
      </c>
      <c r="B2390" t="inlineStr">
        <is>
          <t>CURAL</t>
        </is>
      </c>
      <c r="C2390" t="inlineStr">
        <is>
          <t>SHELVES</t>
        </is>
      </c>
      <c r="D2390" t="inlineStr">
        <is>
          <t>PR5431 .R65 1967</t>
        </is>
      </c>
      <c r="E2390" t="inlineStr">
        <is>
          <t>0                      PR 5431000R  65          1967</t>
        </is>
      </c>
      <c r="F2390" t="inlineStr">
        <is>
          <t>Shelley at work; a critical inquiry.</t>
        </is>
      </c>
      <c r="H2390" t="inlineStr">
        <is>
          <t>No</t>
        </is>
      </c>
      <c r="I2390" t="inlineStr">
        <is>
          <t>1</t>
        </is>
      </c>
      <c r="J2390" t="inlineStr">
        <is>
          <t>No</t>
        </is>
      </c>
      <c r="K2390" t="inlineStr">
        <is>
          <t>No</t>
        </is>
      </c>
      <c r="L2390" t="inlineStr">
        <is>
          <t>0</t>
        </is>
      </c>
      <c r="M2390" t="inlineStr">
        <is>
          <t>Rogers, Neville.</t>
        </is>
      </c>
      <c r="N2390" t="inlineStr">
        <is>
          <t>Oxford, Clarendon P., 1967.</t>
        </is>
      </c>
      <c r="O2390" t="inlineStr">
        <is>
          <t>1967</t>
        </is>
      </c>
      <c r="P2390" t="inlineStr">
        <is>
          <t>2nd ed.</t>
        </is>
      </c>
      <c r="Q2390" t="inlineStr">
        <is>
          <t>eng</t>
        </is>
      </c>
      <c r="R2390" t="inlineStr">
        <is>
          <t>enk</t>
        </is>
      </c>
      <c r="T2390" t="inlineStr">
        <is>
          <t xml:space="preserve">PR </t>
        </is>
      </c>
      <c r="U2390" t="n">
        <v>5</v>
      </c>
      <c r="V2390" t="n">
        <v>5</v>
      </c>
      <c r="W2390" t="inlineStr">
        <is>
          <t>2001-03-23</t>
        </is>
      </c>
      <c r="X2390" t="inlineStr">
        <is>
          <t>2001-03-23</t>
        </is>
      </c>
      <c r="Y2390" t="inlineStr">
        <is>
          <t>1992-04-08</t>
        </is>
      </c>
      <c r="Z2390" t="inlineStr">
        <is>
          <t>1992-04-08</t>
        </is>
      </c>
      <c r="AA2390" t="n">
        <v>682</v>
      </c>
      <c r="AB2390" t="n">
        <v>528</v>
      </c>
      <c r="AC2390" t="n">
        <v>829</v>
      </c>
      <c r="AD2390" t="n">
        <v>2</v>
      </c>
      <c r="AE2390" t="n">
        <v>5</v>
      </c>
      <c r="AF2390" t="n">
        <v>27</v>
      </c>
      <c r="AG2390" t="n">
        <v>46</v>
      </c>
      <c r="AH2390" t="n">
        <v>13</v>
      </c>
      <c r="AI2390" t="n">
        <v>22</v>
      </c>
      <c r="AJ2390" t="n">
        <v>8</v>
      </c>
      <c r="AK2390" t="n">
        <v>9</v>
      </c>
      <c r="AL2390" t="n">
        <v>15</v>
      </c>
      <c r="AM2390" t="n">
        <v>24</v>
      </c>
      <c r="AN2390" t="n">
        <v>1</v>
      </c>
      <c r="AO2390" t="n">
        <v>4</v>
      </c>
      <c r="AP2390" t="n">
        <v>0</v>
      </c>
      <c r="AQ2390" t="n">
        <v>0</v>
      </c>
      <c r="AR2390" t="inlineStr">
        <is>
          <t>No</t>
        </is>
      </c>
      <c r="AS2390" t="inlineStr">
        <is>
          <t>Yes</t>
        </is>
      </c>
      <c r="AT2390">
        <f>HYPERLINK("http://catalog.hathitrust.org/Record/001185574","HathiTrust Record")</f>
        <v/>
      </c>
      <c r="AU2390">
        <f>HYPERLINK("https://creighton-primo.hosted.exlibrisgroup.com/primo-explore/search?tab=default_tab&amp;search_scope=EVERYTHING&amp;vid=01CRU&amp;lang=en_US&amp;offset=0&amp;query=any,contains,991002492369702656","Catalog Record")</f>
        <v/>
      </c>
      <c r="AV2390">
        <f>HYPERLINK("http://www.worldcat.org/oclc/362898","WorldCat Record")</f>
        <v/>
      </c>
      <c r="AW2390" t="inlineStr">
        <is>
          <t>1417806:eng</t>
        </is>
      </c>
      <c r="AX2390" t="inlineStr">
        <is>
          <t>362898</t>
        </is>
      </c>
      <c r="AY2390" t="inlineStr">
        <is>
          <t>991002492369702656</t>
        </is>
      </c>
      <c r="AZ2390" t="inlineStr">
        <is>
          <t>991002492369702656</t>
        </is>
      </c>
      <c r="BA2390" t="inlineStr">
        <is>
          <t>2262466280002656</t>
        </is>
      </c>
      <c r="BB2390" t="inlineStr">
        <is>
          <t>BOOK</t>
        </is>
      </c>
      <c r="BE2390" t="inlineStr">
        <is>
          <t>32285001051530</t>
        </is>
      </c>
      <c r="BF2390" t="inlineStr">
        <is>
          <t>893226910</t>
        </is>
      </c>
    </row>
    <row r="2391">
      <c r="A2391" t="inlineStr">
        <is>
          <t>No</t>
        </is>
      </c>
      <c r="B2391" t="inlineStr">
        <is>
          <t>CURAL</t>
        </is>
      </c>
      <c r="C2391" t="inlineStr">
        <is>
          <t>SHELVES</t>
        </is>
      </c>
      <c r="D2391" t="inlineStr">
        <is>
          <t>PR5431 .S4</t>
        </is>
      </c>
      <c r="E2391" t="inlineStr">
        <is>
          <t>0                      PR 5431000S  4</t>
        </is>
      </c>
      <c r="F2391" t="inlineStr">
        <is>
          <t>Studies in Shelley, by Amiyakumar Sen.</t>
        </is>
      </c>
      <c r="H2391" t="inlineStr">
        <is>
          <t>No</t>
        </is>
      </c>
      <c r="I2391" t="inlineStr">
        <is>
          <t>1</t>
        </is>
      </c>
      <c r="J2391" t="inlineStr">
        <is>
          <t>No</t>
        </is>
      </c>
      <c r="K2391" t="inlineStr">
        <is>
          <t>No</t>
        </is>
      </c>
      <c r="L2391" t="inlineStr">
        <is>
          <t>0</t>
        </is>
      </c>
      <c r="M2391" t="inlineStr">
        <is>
          <t>Sen, Amiyakumar.</t>
        </is>
      </c>
      <c r="N2391" t="inlineStr">
        <is>
          <t>[Calcutta] The University of Calcutta, 1936.</t>
        </is>
      </c>
      <c r="O2391" t="inlineStr">
        <is>
          <t>1936</t>
        </is>
      </c>
      <c r="Q2391" t="inlineStr">
        <is>
          <t>eng</t>
        </is>
      </c>
      <c r="R2391" t="inlineStr">
        <is>
          <t xml:space="preserve">ii </t>
        </is>
      </c>
      <c r="T2391" t="inlineStr">
        <is>
          <t xml:space="preserve">PR </t>
        </is>
      </c>
      <c r="U2391" t="n">
        <v>1</v>
      </c>
      <c r="V2391" t="n">
        <v>1</v>
      </c>
      <c r="W2391" t="inlineStr">
        <is>
          <t>1998-02-19</t>
        </is>
      </c>
      <c r="X2391" t="inlineStr">
        <is>
          <t>1998-02-19</t>
        </is>
      </c>
      <c r="Y2391" t="inlineStr">
        <is>
          <t>1997-07-18</t>
        </is>
      </c>
      <c r="Z2391" t="inlineStr">
        <is>
          <t>1997-07-18</t>
        </is>
      </c>
      <c r="AA2391" t="n">
        <v>50</v>
      </c>
      <c r="AB2391" t="n">
        <v>37</v>
      </c>
      <c r="AC2391" t="n">
        <v>77</v>
      </c>
      <c r="AD2391" t="n">
        <v>2</v>
      </c>
      <c r="AE2391" t="n">
        <v>2</v>
      </c>
      <c r="AF2391" t="n">
        <v>2</v>
      </c>
      <c r="AG2391" t="n">
        <v>2</v>
      </c>
      <c r="AH2391" t="n">
        <v>1</v>
      </c>
      <c r="AI2391" t="n">
        <v>1</v>
      </c>
      <c r="AJ2391" t="n">
        <v>0</v>
      </c>
      <c r="AK2391" t="n">
        <v>0</v>
      </c>
      <c r="AL2391" t="n">
        <v>0</v>
      </c>
      <c r="AM2391" t="n">
        <v>0</v>
      </c>
      <c r="AN2391" t="n">
        <v>1</v>
      </c>
      <c r="AO2391" t="n">
        <v>1</v>
      </c>
      <c r="AP2391" t="n">
        <v>0</v>
      </c>
      <c r="AQ2391" t="n">
        <v>0</v>
      </c>
      <c r="AR2391" t="inlineStr">
        <is>
          <t>No</t>
        </is>
      </c>
      <c r="AS2391" t="inlineStr">
        <is>
          <t>Yes</t>
        </is>
      </c>
      <c r="AT2391">
        <f>HYPERLINK("http://catalog.hathitrust.org/Record/006672637","HathiTrust Record")</f>
        <v/>
      </c>
      <c r="AU2391">
        <f>HYPERLINK("https://creighton-primo.hosted.exlibrisgroup.com/primo-explore/search?tab=default_tab&amp;search_scope=EVERYTHING&amp;vid=01CRU&amp;lang=en_US&amp;offset=0&amp;query=any,contains,991004426349702656","Catalog Record")</f>
        <v/>
      </c>
      <c r="AV2391">
        <f>HYPERLINK("http://www.worldcat.org/oclc/3399199","WorldCat Record")</f>
        <v/>
      </c>
      <c r="AW2391" t="inlineStr">
        <is>
          <t>1577634:eng</t>
        </is>
      </c>
      <c r="AX2391" t="inlineStr">
        <is>
          <t>3399199</t>
        </is>
      </c>
      <c r="AY2391" t="inlineStr">
        <is>
          <t>991004426349702656</t>
        </is>
      </c>
      <c r="AZ2391" t="inlineStr">
        <is>
          <t>991004426349702656</t>
        </is>
      </c>
      <c r="BA2391" t="inlineStr">
        <is>
          <t>2270780110002656</t>
        </is>
      </c>
      <c r="BB2391" t="inlineStr">
        <is>
          <t>BOOK</t>
        </is>
      </c>
      <c r="BE2391" t="inlineStr">
        <is>
          <t>32285002934312</t>
        </is>
      </c>
      <c r="BF2391" t="inlineStr">
        <is>
          <t>893343823</t>
        </is>
      </c>
    </row>
    <row r="2392">
      <c r="A2392" t="inlineStr">
        <is>
          <t>No</t>
        </is>
      </c>
      <c r="B2392" t="inlineStr">
        <is>
          <t>CURAL</t>
        </is>
      </c>
      <c r="C2392" t="inlineStr">
        <is>
          <t>SHELVES</t>
        </is>
      </c>
      <c r="D2392" t="inlineStr">
        <is>
          <t>PR5431 .T66</t>
        </is>
      </c>
      <c r="E2392" t="inlineStr">
        <is>
          <t>0                      PR 5431000T  66</t>
        </is>
      </c>
      <c r="F2392" t="inlineStr">
        <is>
          <t>Shelley and his world / Claire Tomalin.</t>
        </is>
      </c>
      <c r="H2392" t="inlineStr">
        <is>
          <t>No</t>
        </is>
      </c>
      <c r="I2392" t="inlineStr">
        <is>
          <t>1</t>
        </is>
      </c>
      <c r="J2392" t="inlineStr">
        <is>
          <t>No</t>
        </is>
      </c>
      <c r="K2392" t="inlineStr">
        <is>
          <t>No</t>
        </is>
      </c>
      <c r="L2392" t="inlineStr">
        <is>
          <t>0</t>
        </is>
      </c>
      <c r="M2392" t="inlineStr">
        <is>
          <t>Tomalin, Claire.</t>
        </is>
      </c>
      <c r="N2392" t="inlineStr">
        <is>
          <t>London : Thames and Hudson, 1980.</t>
        </is>
      </c>
      <c r="O2392" t="inlineStr">
        <is>
          <t>1980</t>
        </is>
      </c>
      <c r="Q2392" t="inlineStr">
        <is>
          <t>eng</t>
        </is>
      </c>
      <c r="R2392" t="inlineStr">
        <is>
          <t>enk</t>
        </is>
      </c>
      <c r="T2392" t="inlineStr">
        <is>
          <t xml:space="preserve">PR </t>
        </is>
      </c>
      <c r="U2392" t="n">
        <v>1</v>
      </c>
      <c r="V2392" t="n">
        <v>1</v>
      </c>
      <c r="W2392" t="inlineStr">
        <is>
          <t>1999-06-04</t>
        </is>
      </c>
      <c r="X2392" t="inlineStr">
        <is>
          <t>1999-06-04</t>
        </is>
      </c>
      <c r="Y2392" t="inlineStr">
        <is>
          <t>1992-02-01</t>
        </is>
      </c>
      <c r="Z2392" t="inlineStr">
        <is>
          <t>1992-02-01</t>
        </is>
      </c>
      <c r="AA2392" t="n">
        <v>264</v>
      </c>
      <c r="AB2392" t="n">
        <v>70</v>
      </c>
      <c r="AC2392" t="n">
        <v>599</v>
      </c>
      <c r="AD2392" t="n">
        <v>3</v>
      </c>
      <c r="AE2392" t="n">
        <v>6</v>
      </c>
      <c r="AF2392" t="n">
        <v>7</v>
      </c>
      <c r="AG2392" t="n">
        <v>26</v>
      </c>
      <c r="AH2392" t="n">
        <v>2</v>
      </c>
      <c r="AI2392" t="n">
        <v>11</v>
      </c>
      <c r="AJ2392" t="n">
        <v>2</v>
      </c>
      <c r="AK2392" t="n">
        <v>8</v>
      </c>
      <c r="AL2392" t="n">
        <v>4</v>
      </c>
      <c r="AM2392" t="n">
        <v>11</v>
      </c>
      <c r="AN2392" t="n">
        <v>2</v>
      </c>
      <c r="AO2392" t="n">
        <v>5</v>
      </c>
      <c r="AP2392" t="n">
        <v>0</v>
      </c>
      <c r="AQ2392" t="n">
        <v>0</v>
      </c>
      <c r="AR2392" t="inlineStr">
        <is>
          <t>No</t>
        </is>
      </c>
      <c r="AS2392" t="inlineStr">
        <is>
          <t>No</t>
        </is>
      </c>
      <c r="AU2392">
        <f>HYPERLINK("https://creighton-primo.hosted.exlibrisgroup.com/primo-explore/search?tab=default_tab&amp;search_scope=EVERYTHING&amp;vid=01CRU&amp;lang=en_US&amp;offset=0&amp;query=any,contains,991005034599702656","Catalog Record")</f>
        <v/>
      </c>
      <c r="AV2392">
        <f>HYPERLINK("http://www.worldcat.org/oclc/6742259","WorldCat Record")</f>
        <v/>
      </c>
      <c r="AW2392" t="inlineStr">
        <is>
          <t>23589660:eng</t>
        </is>
      </c>
      <c r="AX2392" t="inlineStr">
        <is>
          <t>6742259</t>
        </is>
      </c>
      <c r="AY2392" t="inlineStr">
        <is>
          <t>991005034599702656</t>
        </is>
      </c>
      <c r="AZ2392" t="inlineStr">
        <is>
          <t>991005034599702656</t>
        </is>
      </c>
      <c r="BA2392" t="inlineStr">
        <is>
          <t>2265125740002656</t>
        </is>
      </c>
      <c r="BB2392" t="inlineStr">
        <is>
          <t>BOOK</t>
        </is>
      </c>
      <c r="BE2392" t="inlineStr">
        <is>
          <t>32285000932458</t>
        </is>
      </c>
      <c r="BF2392" t="inlineStr">
        <is>
          <t>893782931</t>
        </is>
      </c>
    </row>
    <row r="2393">
      <c r="A2393" t="inlineStr">
        <is>
          <t>No</t>
        </is>
      </c>
      <c r="B2393" t="inlineStr">
        <is>
          <t>CURAL</t>
        </is>
      </c>
      <c r="C2393" t="inlineStr">
        <is>
          <t>SHELVES</t>
        </is>
      </c>
      <c r="D2393" t="inlineStr">
        <is>
          <t>PR5431 .U6</t>
        </is>
      </c>
      <c r="E2393" t="inlineStr">
        <is>
          <t>0                      PR 5431000U  6</t>
        </is>
      </c>
      <c r="F2393" t="inlineStr">
        <is>
          <t>Mad Shelley, by James Ramsey Ullman.</t>
        </is>
      </c>
      <c r="H2393" t="inlineStr">
        <is>
          <t>No</t>
        </is>
      </c>
      <c r="I2393" t="inlineStr">
        <is>
          <t>1</t>
        </is>
      </c>
      <c r="J2393" t="inlineStr">
        <is>
          <t>No</t>
        </is>
      </c>
      <c r="K2393" t="inlineStr">
        <is>
          <t>No</t>
        </is>
      </c>
      <c r="L2393" t="inlineStr">
        <is>
          <t>0</t>
        </is>
      </c>
      <c r="M2393" t="inlineStr">
        <is>
          <t>Ullman, James Ramsey, 1907-1971.</t>
        </is>
      </c>
      <c r="N2393" t="inlineStr">
        <is>
          <t>Princeton, Princeton University Press, 1930.</t>
        </is>
      </c>
      <c r="O2393" t="inlineStr">
        <is>
          <t>1930</t>
        </is>
      </c>
      <c r="Q2393" t="inlineStr">
        <is>
          <t>eng</t>
        </is>
      </c>
      <c r="R2393" t="inlineStr">
        <is>
          <t>nju</t>
        </is>
      </c>
      <c r="T2393" t="inlineStr">
        <is>
          <t xml:space="preserve">PR </t>
        </is>
      </c>
      <c r="U2393" t="n">
        <v>2</v>
      </c>
      <c r="V2393" t="n">
        <v>2</v>
      </c>
      <c r="W2393" t="inlineStr">
        <is>
          <t>2006-06-23</t>
        </is>
      </c>
      <c r="X2393" t="inlineStr">
        <is>
          <t>2006-06-23</t>
        </is>
      </c>
      <c r="Y2393" t="inlineStr">
        <is>
          <t>1997-07-18</t>
        </is>
      </c>
      <c r="Z2393" t="inlineStr">
        <is>
          <t>1997-07-18</t>
        </is>
      </c>
      <c r="AA2393" t="n">
        <v>241</v>
      </c>
      <c r="AB2393" t="n">
        <v>212</v>
      </c>
      <c r="AC2393" t="n">
        <v>282</v>
      </c>
      <c r="AD2393" t="n">
        <v>1</v>
      </c>
      <c r="AE2393" t="n">
        <v>2</v>
      </c>
      <c r="AF2393" t="n">
        <v>8</v>
      </c>
      <c r="AG2393" t="n">
        <v>11</v>
      </c>
      <c r="AH2393" t="n">
        <v>2</v>
      </c>
      <c r="AI2393" t="n">
        <v>2</v>
      </c>
      <c r="AJ2393" t="n">
        <v>4</v>
      </c>
      <c r="AK2393" t="n">
        <v>4</v>
      </c>
      <c r="AL2393" t="n">
        <v>4</v>
      </c>
      <c r="AM2393" t="n">
        <v>6</v>
      </c>
      <c r="AN2393" t="n">
        <v>0</v>
      </c>
      <c r="AO2393" t="n">
        <v>1</v>
      </c>
      <c r="AP2393" t="n">
        <v>0</v>
      </c>
      <c r="AQ2393" t="n">
        <v>0</v>
      </c>
      <c r="AR2393" t="inlineStr">
        <is>
          <t>No</t>
        </is>
      </c>
      <c r="AS2393" t="inlineStr">
        <is>
          <t>Yes</t>
        </is>
      </c>
      <c r="AT2393">
        <f>HYPERLINK("http://catalog.hathitrust.org/Record/007915210","HathiTrust Record")</f>
        <v/>
      </c>
      <c r="AU2393">
        <f>HYPERLINK("https://creighton-primo.hosted.exlibrisgroup.com/primo-explore/search?tab=default_tab&amp;search_scope=EVERYTHING&amp;vid=01CRU&amp;lang=en_US&amp;offset=0&amp;query=any,contains,991001093439702656","Catalog Record")</f>
        <v/>
      </c>
      <c r="AV2393">
        <f>HYPERLINK("http://www.worldcat.org/oclc/182117","WorldCat Record")</f>
        <v/>
      </c>
      <c r="AW2393" t="inlineStr">
        <is>
          <t>1325753:eng</t>
        </is>
      </c>
      <c r="AX2393" t="inlineStr">
        <is>
          <t>182117</t>
        </is>
      </c>
      <c r="AY2393" t="inlineStr">
        <is>
          <t>991001093439702656</t>
        </is>
      </c>
      <c r="AZ2393" t="inlineStr">
        <is>
          <t>991001093439702656</t>
        </is>
      </c>
      <c r="BA2393" t="inlineStr">
        <is>
          <t>2271438860002656</t>
        </is>
      </c>
      <c r="BB2393" t="inlineStr">
        <is>
          <t>BOOK</t>
        </is>
      </c>
      <c r="BE2393" t="inlineStr">
        <is>
          <t>32285002934379</t>
        </is>
      </c>
      <c r="BF2393" t="inlineStr">
        <is>
          <t>893413947</t>
        </is>
      </c>
    </row>
    <row r="2394">
      <c r="A2394" t="inlineStr">
        <is>
          <t>No</t>
        </is>
      </c>
      <c r="B2394" t="inlineStr">
        <is>
          <t>CURAL</t>
        </is>
      </c>
      <c r="C2394" t="inlineStr">
        <is>
          <t>SHELVES</t>
        </is>
      </c>
      <c r="D2394" t="inlineStr">
        <is>
          <t>PR5431 .W4</t>
        </is>
      </c>
      <c r="E2394" t="inlineStr">
        <is>
          <t>0                      PR 5431000W  4</t>
        </is>
      </c>
      <c r="F2394" t="inlineStr">
        <is>
          <t>Shelley : a voice not understood / Timothy Webb.</t>
        </is>
      </c>
      <c r="H2394" t="inlineStr">
        <is>
          <t>No</t>
        </is>
      </c>
      <c r="I2394" t="inlineStr">
        <is>
          <t>1</t>
        </is>
      </c>
      <c r="J2394" t="inlineStr">
        <is>
          <t>No</t>
        </is>
      </c>
      <c r="K2394" t="inlineStr">
        <is>
          <t>No</t>
        </is>
      </c>
      <c r="L2394" t="inlineStr">
        <is>
          <t>0</t>
        </is>
      </c>
      <c r="M2394" t="inlineStr">
        <is>
          <t>Webb, Timothy.</t>
        </is>
      </c>
      <c r="N2394" t="inlineStr">
        <is>
          <t>Atlantic Highlands, N.J. : Humanities Press, 1977.</t>
        </is>
      </c>
      <c r="O2394" t="inlineStr">
        <is>
          <t>1977</t>
        </is>
      </c>
      <c r="Q2394" t="inlineStr">
        <is>
          <t>eng</t>
        </is>
      </c>
      <c r="R2394" t="inlineStr">
        <is>
          <t>nju</t>
        </is>
      </c>
      <c r="T2394" t="inlineStr">
        <is>
          <t xml:space="preserve">PR </t>
        </is>
      </c>
      <c r="U2394" t="n">
        <v>4</v>
      </c>
      <c r="V2394" t="n">
        <v>4</v>
      </c>
      <c r="W2394" t="inlineStr">
        <is>
          <t>1998-10-20</t>
        </is>
      </c>
      <c r="X2394" t="inlineStr">
        <is>
          <t>1998-10-20</t>
        </is>
      </c>
      <c r="Y2394" t="inlineStr">
        <is>
          <t>1992-02-01</t>
        </is>
      </c>
      <c r="Z2394" t="inlineStr">
        <is>
          <t>1992-02-01</t>
        </is>
      </c>
      <c r="AA2394" t="n">
        <v>408</v>
      </c>
      <c r="AB2394" t="n">
        <v>374</v>
      </c>
      <c r="AC2394" t="n">
        <v>443</v>
      </c>
      <c r="AD2394" t="n">
        <v>4</v>
      </c>
      <c r="AE2394" t="n">
        <v>4</v>
      </c>
      <c r="AF2394" t="n">
        <v>23</v>
      </c>
      <c r="AG2394" t="n">
        <v>27</v>
      </c>
      <c r="AH2394" t="n">
        <v>10</v>
      </c>
      <c r="AI2394" t="n">
        <v>11</v>
      </c>
      <c r="AJ2394" t="n">
        <v>9</v>
      </c>
      <c r="AK2394" t="n">
        <v>9</v>
      </c>
      <c r="AL2394" t="n">
        <v>8</v>
      </c>
      <c r="AM2394" t="n">
        <v>11</v>
      </c>
      <c r="AN2394" t="n">
        <v>3</v>
      </c>
      <c r="AO2394" t="n">
        <v>3</v>
      </c>
      <c r="AP2394" t="n">
        <v>0</v>
      </c>
      <c r="AQ2394" t="n">
        <v>0</v>
      </c>
      <c r="AR2394" t="inlineStr">
        <is>
          <t>No</t>
        </is>
      </c>
      <c r="AS2394" t="inlineStr">
        <is>
          <t>Yes</t>
        </is>
      </c>
      <c r="AT2394">
        <f>HYPERLINK("http://catalog.hathitrust.org/Record/000254169","HathiTrust Record")</f>
        <v/>
      </c>
      <c r="AU2394">
        <f>HYPERLINK("https://creighton-primo.hosted.exlibrisgroup.com/primo-explore/search?tab=default_tab&amp;search_scope=EVERYTHING&amp;vid=01CRU&amp;lang=en_US&amp;offset=0&amp;query=any,contains,991004341069702656","Catalog Record")</f>
        <v/>
      </c>
      <c r="AV2394">
        <f>HYPERLINK("http://www.worldcat.org/oclc/3089410","WorldCat Record")</f>
        <v/>
      </c>
      <c r="AW2394" t="inlineStr">
        <is>
          <t>2487699040:eng</t>
        </is>
      </c>
      <c r="AX2394" t="inlineStr">
        <is>
          <t>3089410</t>
        </is>
      </c>
      <c r="AY2394" t="inlineStr">
        <is>
          <t>991004341069702656</t>
        </is>
      </c>
      <c r="AZ2394" t="inlineStr">
        <is>
          <t>991004341069702656</t>
        </is>
      </c>
      <c r="BA2394" t="inlineStr">
        <is>
          <t>2262851950002656</t>
        </is>
      </c>
      <c r="BB2394" t="inlineStr">
        <is>
          <t>BOOK</t>
        </is>
      </c>
      <c r="BD2394" t="inlineStr">
        <is>
          <t>9780391007574</t>
        </is>
      </c>
      <c r="BE2394" t="inlineStr">
        <is>
          <t>32285000932466</t>
        </is>
      </c>
      <c r="BF2394" t="inlineStr">
        <is>
          <t>893599724</t>
        </is>
      </c>
    </row>
    <row r="2395">
      <c r="A2395" t="inlineStr">
        <is>
          <t>No</t>
        </is>
      </c>
      <c r="B2395" t="inlineStr">
        <is>
          <t>CURAL</t>
        </is>
      </c>
      <c r="C2395" t="inlineStr">
        <is>
          <t>SHELVES</t>
        </is>
      </c>
      <c r="D2395" t="inlineStr">
        <is>
          <t>PR5431 .W5</t>
        </is>
      </c>
      <c r="E2395" t="inlineStr">
        <is>
          <t>0                      PR 5431000W  5</t>
        </is>
      </c>
      <c r="F2395" t="inlineStr">
        <is>
          <t>Shelley / by Newman Ivey White.</t>
        </is>
      </c>
      <c r="G2395" t="inlineStr">
        <is>
          <t>V.2</t>
        </is>
      </c>
      <c r="H2395" t="inlineStr">
        <is>
          <t>Yes</t>
        </is>
      </c>
      <c r="I2395" t="inlineStr">
        <is>
          <t>1</t>
        </is>
      </c>
      <c r="J2395" t="inlineStr">
        <is>
          <t>No</t>
        </is>
      </c>
      <c r="K2395" t="inlineStr">
        <is>
          <t>No</t>
        </is>
      </c>
      <c r="L2395" t="inlineStr">
        <is>
          <t>0</t>
        </is>
      </c>
      <c r="M2395" t="inlineStr">
        <is>
          <t>White, Newman Ivey, 1892-1948.</t>
        </is>
      </c>
      <c r="N2395" t="inlineStr">
        <is>
          <t>New York : A.A. Knopf, 1940.</t>
        </is>
      </c>
      <c r="O2395" t="inlineStr">
        <is>
          <t>1940</t>
        </is>
      </c>
      <c r="Q2395" t="inlineStr">
        <is>
          <t>eng</t>
        </is>
      </c>
      <c r="R2395" t="inlineStr">
        <is>
          <t>nyu</t>
        </is>
      </c>
      <c r="T2395" t="inlineStr">
        <is>
          <t xml:space="preserve">PR </t>
        </is>
      </c>
      <c r="U2395" t="n">
        <v>2</v>
      </c>
      <c r="V2395" t="n">
        <v>2</v>
      </c>
      <c r="W2395" t="inlineStr">
        <is>
          <t>1997-04-16</t>
        </is>
      </c>
      <c r="X2395" t="inlineStr">
        <is>
          <t>1997-04-16</t>
        </is>
      </c>
      <c r="Y2395" t="inlineStr">
        <is>
          <t>1992-12-17</t>
        </is>
      </c>
      <c r="Z2395" t="inlineStr">
        <is>
          <t>1992-12-17</t>
        </is>
      </c>
      <c r="AA2395" t="n">
        <v>732</v>
      </c>
      <c r="AB2395" t="n">
        <v>668</v>
      </c>
      <c r="AC2395" t="n">
        <v>686</v>
      </c>
      <c r="AD2395" t="n">
        <v>6</v>
      </c>
      <c r="AE2395" t="n">
        <v>6</v>
      </c>
      <c r="AF2395" t="n">
        <v>36</v>
      </c>
      <c r="AG2395" t="n">
        <v>36</v>
      </c>
      <c r="AH2395" t="n">
        <v>14</v>
      </c>
      <c r="AI2395" t="n">
        <v>14</v>
      </c>
      <c r="AJ2395" t="n">
        <v>8</v>
      </c>
      <c r="AK2395" t="n">
        <v>8</v>
      </c>
      <c r="AL2395" t="n">
        <v>17</v>
      </c>
      <c r="AM2395" t="n">
        <v>17</v>
      </c>
      <c r="AN2395" t="n">
        <v>5</v>
      </c>
      <c r="AO2395" t="n">
        <v>5</v>
      </c>
      <c r="AP2395" t="n">
        <v>0</v>
      </c>
      <c r="AQ2395" t="n">
        <v>0</v>
      </c>
      <c r="AR2395" t="inlineStr">
        <is>
          <t>No</t>
        </is>
      </c>
      <c r="AS2395" t="inlineStr">
        <is>
          <t>Yes</t>
        </is>
      </c>
      <c r="AT2395">
        <f>HYPERLINK("http://catalog.hathitrust.org/Record/001024496","HathiTrust Record")</f>
        <v/>
      </c>
      <c r="AU2395">
        <f>HYPERLINK("https://creighton-primo.hosted.exlibrisgroup.com/primo-explore/search?tab=default_tab&amp;search_scope=EVERYTHING&amp;vid=01CRU&amp;lang=en_US&amp;offset=0&amp;query=any,contains,991003793269702656","Catalog Record")</f>
        <v/>
      </c>
      <c r="AV2395">
        <f>HYPERLINK("http://www.worldcat.org/oclc/1513142","WorldCat Record")</f>
        <v/>
      </c>
      <c r="AW2395" t="inlineStr">
        <is>
          <t>1867584375:eng</t>
        </is>
      </c>
      <c r="AX2395" t="inlineStr">
        <is>
          <t>1513142</t>
        </is>
      </c>
      <c r="AY2395" t="inlineStr">
        <is>
          <t>991003793269702656</t>
        </is>
      </c>
      <c r="AZ2395" t="inlineStr">
        <is>
          <t>991003793269702656</t>
        </is>
      </c>
      <c r="BA2395" t="inlineStr">
        <is>
          <t>2258181060002656</t>
        </is>
      </c>
      <c r="BB2395" t="inlineStr">
        <is>
          <t>BOOK</t>
        </is>
      </c>
      <c r="BE2395" t="inlineStr">
        <is>
          <t>32285001442739</t>
        </is>
      </c>
      <c r="BF2395" t="inlineStr">
        <is>
          <t>893258873</t>
        </is>
      </c>
    </row>
    <row r="2396">
      <c r="A2396" t="inlineStr">
        <is>
          <t>No</t>
        </is>
      </c>
      <c r="B2396" t="inlineStr">
        <is>
          <t>CURAL</t>
        </is>
      </c>
      <c r="C2396" t="inlineStr">
        <is>
          <t>SHELVES</t>
        </is>
      </c>
      <c r="D2396" t="inlineStr">
        <is>
          <t>PR5431 .W5</t>
        </is>
      </c>
      <c r="E2396" t="inlineStr">
        <is>
          <t>0                      PR 5431000W  5</t>
        </is>
      </c>
      <c r="F2396" t="inlineStr">
        <is>
          <t>Shelley / by Newman Ivey White.</t>
        </is>
      </c>
      <c r="G2396" t="inlineStr">
        <is>
          <t>V.1</t>
        </is>
      </c>
      <c r="H2396" t="inlineStr">
        <is>
          <t>Yes</t>
        </is>
      </c>
      <c r="I2396" t="inlineStr">
        <is>
          <t>1</t>
        </is>
      </c>
      <c r="J2396" t="inlineStr">
        <is>
          <t>No</t>
        </is>
      </c>
      <c r="K2396" t="inlineStr">
        <is>
          <t>No</t>
        </is>
      </c>
      <c r="L2396" t="inlineStr">
        <is>
          <t>0</t>
        </is>
      </c>
      <c r="M2396" t="inlineStr">
        <is>
          <t>White, Newman Ivey, 1892-1948.</t>
        </is>
      </c>
      <c r="N2396" t="inlineStr">
        <is>
          <t>New York : A.A. Knopf, 1940.</t>
        </is>
      </c>
      <c r="O2396" t="inlineStr">
        <is>
          <t>1940</t>
        </is>
      </c>
      <c r="Q2396" t="inlineStr">
        <is>
          <t>eng</t>
        </is>
      </c>
      <c r="R2396" t="inlineStr">
        <is>
          <t>nyu</t>
        </is>
      </c>
      <c r="T2396" t="inlineStr">
        <is>
          <t xml:space="preserve">PR </t>
        </is>
      </c>
      <c r="U2396" t="n">
        <v>0</v>
      </c>
      <c r="V2396" t="n">
        <v>2</v>
      </c>
      <c r="X2396" t="inlineStr">
        <is>
          <t>1997-04-16</t>
        </is>
      </c>
      <c r="Y2396" t="inlineStr">
        <is>
          <t>1992-12-17</t>
        </is>
      </c>
      <c r="Z2396" t="inlineStr">
        <is>
          <t>1992-12-17</t>
        </is>
      </c>
      <c r="AA2396" t="n">
        <v>732</v>
      </c>
      <c r="AB2396" t="n">
        <v>668</v>
      </c>
      <c r="AC2396" t="n">
        <v>686</v>
      </c>
      <c r="AD2396" t="n">
        <v>6</v>
      </c>
      <c r="AE2396" t="n">
        <v>6</v>
      </c>
      <c r="AF2396" t="n">
        <v>36</v>
      </c>
      <c r="AG2396" t="n">
        <v>36</v>
      </c>
      <c r="AH2396" t="n">
        <v>14</v>
      </c>
      <c r="AI2396" t="n">
        <v>14</v>
      </c>
      <c r="AJ2396" t="n">
        <v>8</v>
      </c>
      <c r="AK2396" t="n">
        <v>8</v>
      </c>
      <c r="AL2396" t="n">
        <v>17</v>
      </c>
      <c r="AM2396" t="n">
        <v>17</v>
      </c>
      <c r="AN2396" t="n">
        <v>5</v>
      </c>
      <c r="AO2396" t="n">
        <v>5</v>
      </c>
      <c r="AP2396" t="n">
        <v>0</v>
      </c>
      <c r="AQ2396" t="n">
        <v>0</v>
      </c>
      <c r="AR2396" t="inlineStr">
        <is>
          <t>No</t>
        </is>
      </c>
      <c r="AS2396" t="inlineStr">
        <is>
          <t>Yes</t>
        </is>
      </c>
      <c r="AT2396">
        <f>HYPERLINK("http://catalog.hathitrust.org/Record/001024496","HathiTrust Record")</f>
        <v/>
      </c>
      <c r="AU2396">
        <f>HYPERLINK("https://creighton-primo.hosted.exlibrisgroup.com/primo-explore/search?tab=default_tab&amp;search_scope=EVERYTHING&amp;vid=01CRU&amp;lang=en_US&amp;offset=0&amp;query=any,contains,991003793269702656","Catalog Record")</f>
        <v/>
      </c>
      <c r="AV2396">
        <f>HYPERLINK("http://www.worldcat.org/oclc/1513142","WorldCat Record")</f>
        <v/>
      </c>
      <c r="AW2396" t="inlineStr">
        <is>
          <t>1867584375:eng</t>
        </is>
      </c>
      <c r="AX2396" t="inlineStr">
        <is>
          <t>1513142</t>
        </is>
      </c>
      <c r="AY2396" t="inlineStr">
        <is>
          <t>991003793269702656</t>
        </is>
      </c>
      <c r="AZ2396" t="inlineStr">
        <is>
          <t>991003793269702656</t>
        </is>
      </c>
      <c r="BA2396" t="inlineStr">
        <is>
          <t>2258181060002656</t>
        </is>
      </c>
      <c r="BB2396" t="inlineStr">
        <is>
          <t>BOOK</t>
        </is>
      </c>
      <c r="BE2396" t="inlineStr">
        <is>
          <t>32285001442721</t>
        </is>
      </c>
      <c r="BF2396" t="inlineStr">
        <is>
          <t>893258874</t>
        </is>
      </c>
    </row>
    <row r="2397">
      <c r="A2397" t="inlineStr">
        <is>
          <t>No</t>
        </is>
      </c>
      <c r="B2397" t="inlineStr">
        <is>
          <t>CURAL</t>
        </is>
      </c>
      <c r="C2397" t="inlineStr">
        <is>
          <t>SHELVES</t>
        </is>
      </c>
      <c r="D2397" t="inlineStr">
        <is>
          <t>PR5431 .W52</t>
        </is>
      </c>
      <c r="E2397" t="inlineStr">
        <is>
          <t>0                      PR 5431000W  52</t>
        </is>
      </c>
      <c r="F2397" t="inlineStr">
        <is>
          <t>Portrait of Shelley / by Newman Ivey White.</t>
        </is>
      </c>
      <c r="H2397" t="inlineStr">
        <is>
          <t>No</t>
        </is>
      </c>
      <c r="I2397" t="inlineStr">
        <is>
          <t>1</t>
        </is>
      </c>
      <c r="J2397" t="inlineStr">
        <is>
          <t>No</t>
        </is>
      </c>
      <c r="K2397" t="inlineStr">
        <is>
          <t>No</t>
        </is>
      </c>
      <c r="L2397" t="inlineStr">
        <is>
          <t>0</t>
        </is>
      </c>
      <c r="M2397" t="inlineStr">
        <is>
          <t>White, Newman Ivey, 1892-1948.</t>
        </is>
      </c>
      <c r="N2397" t="inlineStr">
        <is>
          <t>New York : A. A. Knopf, 1945.</t>
        </is>
      </c>
      <c r="O2397" t="inlineStr">
        <is>
          <t>1945</t>
        </is>
      </c>
      <c r="Q2397" t="inlineStr">
        <is>
          <t>eng</t>
        </is>
      </c>
      <c r="R2397" t="inlineStr">
        <is>
          <t>nyu</t>
        </is>
      </c>
      <c r="T2397" t="inlineStr">
        <is>
          <t xml:space="preserve">PR </t>
        </is>
      </c>
      <c r="U2397" t="n">
        <v>4</v>
      </c>
      <c r="V2397" t="n">
        <v>4</v>
      </c>
      <c r="W2397" t="inlineStr">
        <is>
          <t>1997-03-21</t>
        </is>
      </c>
      <c r="X2397" t="inlineStr">
        <is>
          <t>1997-03-21</t>
        </is>
      </c>
      <c r="Y2397" t="inlineStr">
        <is>
          <t>1993-05-04</t>
        </is>
      </c>
      <c r="Z2397" t="inlineStr">
        <is>
          <t>1993-05-04</t>
        </is>
      </c>
      <c r="AA2397" t="n">
        <v>946</v>
      </c>
      <c r="AB2397" t="n">
        <v>884</v>
      </c>
      <c r="AC2397" t="n">
        <v>980</v>
      </c>
      <c r="AD2397" t="n">
        <v>9</v>
      </c>
      <c r="AE2397" t="n">
        <v>10</v>
      </c>
      <c r="AF2397" t="n">
        <v>44</v>
      </c>
      <c r="AG2397" t="n">
        <v>48</v>
      </c>
      <c r="AH2397" t="n">
        <v>19</v>
      </c>
      <c r="AI2397" t="n">
        <v>19</v>
      </c>
      <c r="AJ2397" t="n">
        <v>8</v>
      </c>
      <c r="AK2397" t="n">
        <v>9</v>
      </c>
      <c r="AL2397" t="n">
        <v>19</v>
      </c>
      <c r="AM2397" t="n">
        <v>21</v>
      </c>
      <c r="AN2397" t="n">
        <v>8</v>
      </c>
      <c r="AO2397" t="n">
        <v>9</v>
      </c>
      <c r="AP2397" t="n">
        <v>0</v>
      </c>
      <c r="AQ2397" t="n">
        <v>0</v>
      </c>
      <c r="AR2397" t="inlineStr">
        <is>
          <t>No</t>
        </is>
      </c>
      <c r="AS2397" t="inlineStr">
        <is>
          <t>Yes</t>
        </is>
      </c>
      <c r="AT2397">
        <f>HYPERLINK("http://catalog.hathitrust.org/Record/001024497","HathiTrust Record")</f>
        <v/>
      </c>
      <c r="AU2397">
        <f>HYPERLINK("https://creighton-primo.hosted.exlibrisgroup.com/primo-explore/search?tab=default_tab&amp;search_scope=EVERYTHING&amp;vid=01CRU&amp;lang=en_US&amp;offset=0&amp;query=any,contains,991002487599702656","Catalog Record")</f>
        <v/>
      </c>
      <c r="AV2397">
        <f>HYPERLINK("http://www.worldcat.org/oclc/361502","WorldCat Record")</f>
        <v/>
      </c>
      <c r="AW2397" t="inlineStr">
        <is>
          <t>1414506:eng</t>
        </is>
      </c>
      <c r="AX2397" t="inlineStr">
        <is>
          <t>361502</t>
        </is>
      </c>
      <c r="AY2397" t="inlineStr">
        <is>
          <t>991002487599702656</t>
        </is>
      </c>
      <c r="AZ2397" t="inlineStr">
        <is>
          <t>991002487599702656</t>
        </is>
      </c>
      <c r="BA2397" t="inlineStr">
        <is>
          <t>2263222510002656</t>
        </is>
      </c>
      <c r="BB2397" t="inlineStr">
        <is>
          <t>BOOK</t>
        </is>
      </c>
      <c r="BE2397" t="inlineStr">
        <is>
          <t>32285001581510</t>
        </is>
      </c>
      <c r="BF2397" t="inlineStr">
        <is>
          <t>893792523</t>
        </is>
      </c>
    </row>
    <row r="2398">
      <c r="A2398" t="inlineStr">
        <is>
          <t>No</t>
        </is>
      </c>
      <c r="B2398" t="inlineStr">
        <is>
          <t>CURAL</t>
        </is>
      </c>
      <c r="C2398" t="inlineStr">
        <is>
          <t>SHELVES</t>
        </is>
      </c>
      <c r="D2398" t="inlineStr">
        <is>
          <t>PR5432 .H38 1992</t>
        </is>
      </c>
      <c r="E2398" t="inlineStr">
        <is>
          <t>0                      PR 5432000H  38          1992</t>
        </is>
      </c>
      <c r="F2398" t="inlineStr">
        <is>
          <t>Shelley's first love / Desmond Hawkins.</t>
        </is>
      </c>
      <c r="H2398" t="inlineStr">
        <is>
          <t>No</t>
        </is>
      </c>
      <c r="I2398" t="inlineStr">
        <is>
          <t>1</t>
        </is>
      </c>
      <c r="J2398" t="inlineStr">
        <is>
          <t>No</t>
        </is>
      </c>
      <c r="K2398" t="inlineStr">
        <is>
          <t>No</t>
        </is>
      </c>
      <c r="L2398" t="inlineStr">
        <is>
          <t>0</t>
        </is>
      </c>
      <c r="M2398" t="inlineStr">
        <is>
          <t>Hawkins, Desmond, 1908-1999.</t>
        </is>
      </c>
      <c r="N2398" t="inlineStr">
        <is>
          <t>London : Kyle Cathie ; Hamden, Conn. : Archon, 1992.</t>
        </is>
      </c>
      <c r="O2398" t="inlineStr">
        <is>
          <t>1992</t>
        </is>
      </c>
      <c r="Q2398" t="inlineStr">
        <is>
          <t>eng</t>
        </is>
      </c>
      <c r="R2398" t="inlineStr">
        <is>
          <t>enk</t>
        </is>
      </c>
      <c r="T2398" t="inlineStr">
        <is>
          <t xml:space="preserve">PR </t>
        </is>
      </c>
      <c r="U2398" t="n">
        <v>2</v>
      </c>
      <c r="V2398" t="n">
        <v>2</v>
      </c>
      <c r="W2398" t="inlineStr">
        <is>
          <t>1993-11-16</t>
        </is>
      </c>
      <c r="X2398" t="inlineStr">
        <is>
          <t>1993-11-16</t>
        </is>
      </c>
      <c r="Y2398" t="inlineStr">
        <is>
          <t>1993-11-04</t>
        </is>
      </c>
      <c r="Z2398" t="inlineStr">
        <is>
          <t>1993-11-04</t>
        </is>
      </c>
      <c r="AA2398" t="n">
        <v>264</v>
      </c>
      <c r="AB2398" t="n">
        <v>190</v>
      </c>
      <c r="AC2398" t="n">
        <v>197</v>
      </c>
      <c r="AD2398" t="n">
        <v>2</v>
      </c>
      <c r="AE2398" t="n">
        <v>2</v>
      </c>
      <c r="AF2398" t="n">
        <v>11</v>
      </c>
      <c r="AG2398" t="n">
        <v>11</v>
      </c>
      <c r="AH2398" t="n">
        <v>3</v>
      </c>
      <c r="AI2398" t="n">
        <v>3</v>
      </c>
      <c r="AJ2398" t="n">
        <v>2</v>
      </c>
      <c r="AK2398" t="n">
        <v>2</v>
      </c>
      <c r="AL2398" t="n">
        <v>8</v>
      </c>
      <c r="AM2398" t="n">
        <v>8</v>
      </c>
      <c r="AN2398" t="n">
        <v>1</v>
      </c>
      <c r="AO2398" t="n">
        <v>1</v>
      </c>
      <c r="AP2398" t="n">
        <v>0</v>
      </c>
      <c r="AQ2398" t="n">
        <v>0</v>
      </c>
      <c r="AR2398" t="inlineStr">
        <is>
          <t>No</t>
        </is>
      </c>
      <c r="AS2398" t="inlineStr">
        <is>
          <t>Yes</t>
        </is>
      </c>
      <c r="AT2398">
        <f>HYPERLINK("http://catalog.hathitrust.org/Record/002562557","HathiTrust Record")</f>
        <v/>
      </c>
      <c r="AU2398">
        <f>HYPERLINK("https://creighton-primo.hosted.exlibrisgroup.com/primo-explore/search?tab=default_tab&amp;search_scope=EVERYTHING&amp;vid=01CRU&amp;lang=en_US&amp;offset=0&amp;query=any,contains,991002053609702656","Catalog Record")</f>
        <v/>
      </c>
      <c r="AV2398">
        <f>HYPERLINK("http://www.worldcat.org/oclc/26228167","WorldCat Record")</f>
        <v/>
      </c>
      <c r="AW2398" t="inlineStr">
        <is>
          <t>29078807:eng</t>
        </is>
      </c>
      <c r="AX2398" t="inlineStr">
        <is>
          <t>26228167</t>
        </is>
      </c>
      <c r="AY2398" t="inlineStr">
        <is>
          <t>991002053609702656</t>
        </is>
      </c>
      <c r="AZ2398" t="inlineStr">
        <is>
          <t>991002053609702656</t>
        </is>
      </c>
      <c r="BA2398" t="inlineStr">
        <is>
          <t>2266577360002656</t>
        </is>
      </c>
      <c r="BB2398" t="inlineStr">
        <is>
          <t>BOOK</t>
        </is>
      </c>
      <c r="BD2398" t="inlineStr">
        <is>
          <t>9780208023636</t>
        </is>
      </c>
      <c r="BE2398" t="inlineStr">
        <is>
          <t>32285001810513</t>
        </is>
      </c>
      <c r="BF2398" t="inlineStr">
        <is>
          <t>893590861</t>
        </is>
      </c>
    </row>
    <row r="2399">
      <c r="A2399" t="inlineStr">
        <is>
          <t>No</t>
        </is>
      </c>
      <c r="B2399" t="inlineStr">
        <is>
          <t>CURAL</t>
        </is>
      </c>
      <c r="C2399" t="inlineStr">
        <is>
          <t>SHELVES</t>
        </is>
      </c>
      <c r="D2399" t="inlineStr">
        <is>
          <t>PR5433 .C6 1952a</t>
        </is>
      </c>
      <c r="E2399" t="inlineStr">
        <is>
          <t>0                      PR 5433000C  6           1952a</t>
        </is>
      </c>
      <c r="F2399" t="inlineStr">
        <is>
          <t>Byron, Shelley, and their Pisan circle.</t>
        </is>
      </c>
      <c r="H2399" t="inlineStr">
        <is>
          <t>No</t>
        </is>
      </c>
      <c r="I2399" t="inlineStr">
        <is>
          <t>1</t>
        </is>
      </c>
      <c r="J2399" t="inlineStr">
        <is>
          <t>No</t>
        </is>
      </c>
      <c r="K2399" t="inlineStr">
        <is>
          <t>No</t>
        </is>
      </c>
      <c r="L2399" t="inlineStr">
        <is>
          <t>0</t>
        </is>
      </c>
      <c r="M2399" t="inlineStr">
        <is>
          <t>Cline, Clarence Lee.</t>
        </is>
      </c>
      <c r="N2399" t="inlineStr">
        <is>
          <t>London : J. Murray, [1952]</t>
        </is>
      </c>
      <c r="O2399" t="inlineStr">
        <is>
          <t>1952</t>
        </is>
      </c>
      <c r="P2399" t="inlineStr">
        <is>
          <t>[1st ed.]</t>
        </is>
      </c>
      <c r="Q2399" t="inlineStr">
        <is>
          <t>eng</t>
        </is>
      </c>
      <c r="R2399" t="inlineStr">
        <is>
          <t>enk</t>
        </is>
      </c>
      <c r="T2399" t="inlineStr">
        <is>
          <t xml:space="preserve">PR </t>
        </is>
      </c>
      <c r="U2399" t="n">
        <v>2</v>
      </c>
      <c r="V2399" t="n">
        <v>2</v>
      </c>
      <c r="W2399" t="inlineStr">
        <is>
          <t>1999-02-20</t>
        </is>
      </c>
      <c r="X2399" t="inlineStr">
        <is>
          <t>1999-02-20</t>
        </is>
      </c>
      <c r="Y2399" t="inlineStr">
        <is>
          <t>1991-12-23</t>
        </is>
      </c>
      <c r="Z2399" t="inlineStr">
        <is>
          <t>1991-12-23</t>
        </is>
      </c>
      <c r="AA2399" t="n">
        <v>333</v>
      </c>
      <c r="AB2399" t="n">
        <v>235</v>
      </c>
      <c r="AC2399" t="n">
        <v>814</v>
      </c>
      <c r="AD2399" t="n">
        <v>2</v>
      </c>
      <c r="AE2399" t="n">
        <v>6</v>
      </c>
      <c r="AF2399" t="n">
        <v>12</v>
      </c>
      <c r="AG2399" t="n">
        <v>38</v>
      </c>
      <c r="AH2399" t="n">
        <v>5</v>
      </c>
      <c r="AI2399" t="n">
        <v>18</v>
      </c>
      <c r="AJ2399" t="n">
        <v>1</v>
      </c>
      <c r="AK2399" t="n">
        <v>5</v>
      </c>
      <c r="AL2399" t="n">
        <v>7</v>
      </c>
      <c r="AM2399" t="n">
        <v>19</v>
      </c>
      <c r="AN2399" t="n">
        <v>1</v>
      </c>
      <c r="AO2399" t="n">
        <v>5</v>
      </c>
      <c r="AP2399" t="n">
        <v>0</v>
      </c>
      <c r="AQ2399" t="n">
        <v>0</v>
      </c>
      <c r="AR2399" t="inlineStr">
        <is>
          <t>No</t>
        </is>
      </c>
      <c r="AS2399" t="inlineStr">
        <is>
          <t>No</t>
        </is>
      </c>
      <c r="AU2399">
        <f>HYPERLINK("https://creighton-primo.hosted.exlibrisgroup.com/primo-explore/search?tab=default_tab&amp;search_scope=EVERYTHING&amp;vid=01CRU&amp;lang=en_US&amp;offset=0&amp;query=any,contains,991004036719702656","Catalog Record")</f>
        <v/>
      </c>
      <c r="AV2399">
        <f>HYPERLINK("http://www.worldcat.org/oclc/2173121","WorldCat Record")</f>
        <v/>
      </c>
      <c r="AW2399" t="inlineStr">
        <is>
          <t>1139384:eng</t>
        </is>
      </c>
      <c r="AX2399" t="inlineStr">
        <is>
          <t>2173121</t>
        </is>
      </c>
      <c r="AY2399" t="inlineStr">
        <is>
          <t>991004036719702656</t>
        </is>
      </c>
      <c r="AZ2399" t="inlineStr">
        <is>
          <t>991004036719702656</t>
        </is>
      </c>
      <c r="BA2399" t="inlineStr">
        <is>
          <t>2265775260002656</t>
        </is>
      </c>
      <c r="BB2399" t="inlineStr">
        <is>
          <t>BOOK</t>
        </is>
      </c>
      <c r="BE2399" t="inlineStr">
        <is>
          <t>32285000878792</t>
        </is>
      </c>
      <c r="BF2399" t="inlineStr">
        <is>
          <t>893512723</t>
        </is>
      </c>
    </row>
    <row r="2400">
      <c r="A2400" t="inlineStr">
        <is>
          <t>No</t>
        </is>
      </c>
      <c r="B2400" t="inlineStr">
        <is>
          <t>CURAL</t>
        </is>
      </c>
      <c r="C2400" t="inlineStr">
        <is>
          <t>SHELVES</t>
        </is>
      </c>
      <c r="D2400" t="inlineStr">
        <is>
          <t>PR5438 .A4 1976</t>
        </is>
      </c>
      <c r="E2400" t="inlineStr">
        <is>
          <t>0                      PR 5438000A  4           1976</t>
        </is>
      </c>
      <c r="F2400" t="inlineStr">
        <is>
          <t>The magic circle : a study of Shelley's concept of love / James O. Allsup.</t>
        </is>
      </c>
      <c r="H2400" t="inlineStr">
        <is>
          <t>No</t>
        </is>
      </c>
      <c r="I2400" t="inlineStr">
        <is>
          <t>1</t>
        </is>
      </c>
      <c r="J2400" t="inlineStr">
        <is>
          <t>No</t>
        </is>
      </c>
      <c r="K2400" t="inlineStr">
        <is>
          <t>No</t>
        </is>
      </c>
      <c r="L2400" t="inlineStr">
        <is>
          <t>0</t>
        </is>
      </c>
      <c r="M2400" t="inlineStr">
        <is>
          <t>Allsup, James O.</t>
        </is>
      </c>
      <c r="N2400" t="inlineStr">
        <is>
          <t>Port Washington, N.Y. : Kennikat Press, 1976.</t>
        </is>
      </c>
      <c r="O2400" t="inlineStr">
        <is>
          <t>1976</t>
        </is>
      </c>
      <c r="Q2400" t="inlineStr">
        <is>
          <t>eng</t>
        </is>
      </c>
      <c r="R2400" t="inlineStr">
        <is>
          <t>nyu</t>
        </is>
      </c>
      <c r="S2400" t="inlineStr">
        <is>
          <t>Literary criticism series</t>
        </is>
      </c>
      <c r="T2400" t="inlineStr">
        <is>
          <t xml:space="preserve">PR </t>
        </is>
      </c>
      <c r="U2400" t="n">
        <v>9</v>
      </c>
      <c r="V2400" t="n">
        <v>9</v>
      </c>
      <c r="W2400" t="inlineStr">
        <is>
          <t>2007-04-12</t>
        </is>
      </c>
      <c r="X2400" t="inlineStr">
        <is>
          <t>2007-04-12</t>
        </is>
      </c>
      <c r="Y2400" t="inlineStr">
        <is>
          <t>1992-02-01</t>
        </is>
      </c>
      <c r="Z2400" t="inlineStr">
        <is>
          <t>1992-02-01</t>
        </is>
      </c>
      <c r="AA2400" t="n">
        <v>409</v>
      </c>
      <c r="AB2400" t="n">
        <v>343</v>
      </c>
      <c r="AC2400" t="n">
        <v>352</v>
      </c>
      <c r="AD2400" t="n">
        <v>5</v>
      </c>
      <c r="AE2400" t="n">
        <v>5</v>
      </c>
      <c r="AF2400" t="n">
        <v>16</v>
      </c>
      <c r="AG2400" t="n">
        <v>16</v>
      </c>
      <c r="AH2400" t="n">
        <v>4</v>
      </c>
      <c r="AI2400" t="n">
        <v>4</v>
      </c>
      <c r="AJ2400" t="n">
        <v>2</v>
      </c>
      <c r="AK2400" t="n">
        <v>2</v>
      </c>
      <c r="AL2400" t="n">
        <v>9</v>
      </c>
      <c r="AM2400" t="n">
        <v>9</v>
      </c>
      <c r="AN2400" t="n">
        <v>4</v>
      </c>
      <c r="AO2400" t="n">
        <v>4</v>
      </c>
      <c r="AP2400" t="n">
        <v>0</v>
      </c>
      <c r="AQ2400" t="n">
        <v>0</v>
      </c>
      <c r="AR2400" t="inlineStr">
        <is>
          <t>No</t>
        </is>
      </c>
      <c r="AS2400" t="inlineStr">
        <is>
          <t>Yes</t>
        </is>
      </c>
      <c r="AT2400">
        <f>HYPERLINK("http://catalog.hathitrust.org/Record/000723347","HathiTrust Record")</f>
        <v/>
      </c>
      <c r="AU2400">
        <f>HYPERLINK("https://creighton-primo.hosted.exlibrisgroup.com/primo-explore/search?tab=default_tab&amp;search_scope=EVERYTHING&amp;vid=01CRU&amp;lang=en_US&amp;offset=0&amp;query=any,contains,991004009709702656","Catalog Record")</f>
        <v/>
      </c>
      <c r="AV2400">
        <f>HYPERLINK("http://www.worldcat.org/oclc/2089737","WorldCat Record")</f>
        <v/>
      </c>
      <c r="AW2400" t="inlineStr">
        <is>
          <t>458906:eng</t>
        </is>
      </c>
      <c r="AX2400" t="inlineStr">
        <is>
          <t>2089737</t>
        </is>
      </c>
      <c r="AY2400" t="inlineStr">
        <is>
          <t>991004009709702656</t>
        </is>
      </c>
      <c r="AZ2400" t="inlineStr">
        <is>
          <t>991004009709702656</t>
        </is>
      </c>
      <c r="BA2400" t="inlineStr">
        <is>
          <t>2263282520002656</t>
        </is>
      </c>
      <c r="BB2400" t="inlineStr">
        <is>
          <t>BOOK</t>
        </is>
      </c>
      <c r="BD2400" t="inlineStr">
        <is>
          <t>9780804691178</t>
        </is>
      </c>
      <c r="BE2400" t="inlineStr">
        <is>
          <t>32285000932474</t>
        </is>
      </c>
      <c r="BF2400" t="inlineStr">
        <is>
          <t>893259207</t>
        </is>
      </c>
    </row>
    <row r="2401">
      <c r="A2401" t="inlineStr">
        <is>
          <t>No</t>
        </is>
      </c>
      <c r="B2401" t="inlineStr">
        <is>
          <t>CURAL</t>
        </is>
      </c>
      <c r="C2401" t="inlineStr">
        <is>
          <t>SHELVES</t>
        </is>
      </c>
      <c r="D2401" t="inlineStr">
        <is>
          <t>PR5438 .B26</t>
        </is>
      </c>
      <c r="E2401" t="inlineStr">
        <is>
          <t>0                      PR 5438000B  26</t>
        </is>
      </c>
      <c r="F2401" t="inlineStr">
        <is>
          <t>Shelley's major poetry : the fabric of a vision.</t>
        </is>
      </c>
      <c r="H2401" t="inlineStr">
        <is>
          <t>No</t>
        </is>
      </c>
      <c r="I2401" t="inlineStr">
        <is>
          <t>1</t>
        </is>
      </c>
      <c r="J2401" t="inlineStr">
        <is>
          <t>No</t>
        </is>
      </c>
      <c r="K2401" t="inlineStr">
        <is>
          <t>No</t>
        </is>
      </c>
      <c r="L2401" t="inlineStr">
        <is>
          <t>0</t>
        </is>
      </c>
      <c r="M2401" t="inlineStr">
        <is>
          <t>Baker, Carlos, 1909-1987.</t>
        </is>
      </c>
      <c r="N2401" t="inlineStr">
        <is>
          <t>Princeton : Princeton Univ. Press, 1948.</t>
        </is>
      </c>
      <c r="O2401" t="inlineStr">
        <is>
          <t>1948</t>
        </is>
      </c>
      <c r="Q2401" t="inlineStr">
        <is>
          <t>eng</t>
        </is>
      </c>
      <c r="R2401" t="inlineStr">
        <is>
          <t>nju</t>
        </is>
      </c>
      <c r="T2401" t="inlineStr">
        <is>
          <t xml:space="preserve">PR </t>
        </is>
      </c>
      <c r="U2401" t="n">
        <v>4</v>
      </c>
      <c r="V2401" t="n">
        <v>4</v>
      </c>
      <c r="W2401" t="inlineStr">
        <is>
          <t>2001-02-11</t>
        </is>
      </c>
      <c r="X2401" t="inlineStr">
        <is>
          <t>2001-02-11</t>
        </is>
      </c>
      <c r="Y2401" t="inlineStr">
        <is>
          <t>1995-03-15</t>
        </is>
      </c>
      <c r="Z2401" t="inlineStr">
        <is>
          <t>1995-03-15</t>
        </is>
      </c>
      <c r="AA2401" t="n">
        <v>746</v>
      </c>
      <c r="AB2401" t="n">
        <v>648</v>
      </c>
      <c r="AC2401" t="n">
        <v>1385</v>
      </c>
      <c r="AD2401" t="n">
        <v>9</v>
      </c>
      <c r="AE2401" t="n">
        <v>14</v>
      </c>
      <c r="AF2401" t="n">
        <v>37</v>
      </c>
      <c r="AG2401" t="n">
        <v>59</v>
      </c>
      <c r="AH2401" t="n">
        <v>18</v>
      </c>
      <c r="AI2401" t="n">
        <v>26</v>
      </c>
      <c r="AJ2401" t="n">
        <v>1</v>
      </c>
      <c r="AK2401" t="n">
        <v>9</v>
      </c>
      <c r="AL2401" t="n">
        <v>16</v>
      </c>
      <c r="AM2401" t="n">
        <v>25</v>
      </c>
      <c r="AN2401" t="n">
        <v>8</v>
      </c>
      <c r="AO2401" t="n">
        <v>12</v>
      </c>
      <c r="AP2401" t="n">
        <v>0</v>
      </c>
      <c r="AQ2401" t="n">
        <v>0</v>
      </c>
      <c r="AR2401" t="inlineStr">
        <is>
          <t>No</t>
        </is>
      </c>
      <c r="AS2401" t="inlineStr">
        <is>
          <t>No</t>
        </is>
      </c>
      <c r="AU2401">
        <f>HYPERLINK("https://creighton-primo.hosted.exlibrisgroup.com/primo-explore/search?tab=default_tab&amp;search_scope=EVERYTHING&amp;vid=01CRU&amp;lang=en_US&amp;offset=0&amp;query=any,contains,991001903729702656","Catalog Record")</f>
        <v/>
      </c>
      <c r="AV2401">
        <f>HYPERLINK("http://www.worldcat.org/oclc/239593","WorldCat Record")</f>
        <v/>
      </c>
      <c r="AW2401" t="inlineStr">
        <is>
          <t>1380030:eng</t>
        </is>
      </c>
      <c r="AX2401" t="inlineStr">
        <is>
          <t>239593</t>
        </is>
      </c>
      <c r="AY2401" t="inlineStr">
        <is>
          <t>991001903729702656</t>
        </is>
      </c>
      <c r="AZ2401" t="inlineStr">
        <is>
          <t>991001903729702656</t>
        </is>
      </c>
      <c r="BA2401" t="inlineStr">
        <is>
          <t>2256844380002656</t>
        </is>
      </c>
      <c r="BB2401" t="inlineStr">
        <is>
          <t>BOOK</t>
        </is>
      </c>
      <c r="BE2401" t="inlineStr">
        <is>
          <t>32285002012358</t>
        </is>
      </c>
      <c r="BF2401" t="inlineStr">
        <is>
          <t>893703428</t>
        </is>
      </c>
    </row>
    <row r="2402">
      <c r="A2402" t="inlineStr">
        <is>
          <t>No</t>
        </is>
      </c>
      <c r="B2402" t="inlineStr">
        <is>
          <t>CURAL</t>
        </is>
      </c>
      <c r="C2402" t="inlineStr">
        <is>
          <t>SHELVES</t>
        </is>
      </c>
      <c r="D2402" t="inlineStr">
        <is>
          <t>PR5438 .B3</t>
        </is>
      </c>
      <c r="E2402" t="inlineStr">
        <is>
          <t>0                      PR 5438000B  3</t>
        </is>
      </c>
      <c r="F2402" t="inlineStr">
        <is>
          <t>Shelley and the thought of his time : a study in the history of ideas.</t>
        </is>
      </c>
      <c r="H2402" t="inlineStr">
        <is>
          <t>No</t>
        </is>
      </c>
      <c r="I2402" t="inlineStr">
        <is>
          <t>1</t>
        </is>
      </c>
      <c r="J2402" t="inlineStr">
        <is>
          <t>No</t>
        </is>
      </c>
      <c r="K2402" t="inlineStr">
        <is>
          <t>No</t>
        </is>
      </c>
      <c r="L2402" t="inlineStr">
        <is>
          <t>0</t>
        </is>
      </c>
      <c r="M2402" t="inlineStr">
        <is>
          <t>Barrell, Joseph, 1903-</t>
        </is>
      </c>
      <c r="N2402" t="inlineStr">
        <is>
          <t>New Haven : Yale Univ. Press, 1947</t>
        </is>
      </c>
      <c r="O2402" t="inlineStr">
        <is>
          <t>1947</t>
        </is>
      </c>
      <c r="Q2402" t="inlineStr">
        <is>
          <t>eng</t>
        </is>
      </c>
      <c r="R2402" t="inlineStr">
        <is>
          <t>ctu</t>
        </is>
      </c>
      <c r="S2402" t="inlineStr">
        <is>
          <t>Yale studies in English ; 106</t>
        </is>
      </c>
      <c r="T2402" t="inlineStr">
        <is>
          <t xml:space="preserve">PR </t>
        </is>
      </c>
      <c r="U2402" t="n">
        <v>2</v>
      </c>
      <c r="V2402" t="n">
        <v>2</v>
      </c>
      <c r="W2402" t="inlineStr">
        <is>
          <t>2000-03-29</t>
        </is>
      </c>
      <c r="X2402" t="inlineStr">
        <is>
          <t>2000-03-29</t>
        </is>
      </c>
      <c r="Y2402" t="inlineStr">
        <is>
          <t>1991-09-26</t>
        </is>
      </c>
      <c r="Z2402" t="inlineStr">
        <is>
          <t>1991-09-26</t>
        </is>
      </c>
      <c r="AA2402" t="n">
        <v>396</v>
      </c>
      <c r="AB2402" t="n">
        <v>341</v>
      </c>
      <c r="AC2402" t="n">
        <v>715</v>
      </c>
      <c r="AD2402" t="n">
        <v>5</v>
      </c>
      <c r="AE2402" t="n">
        <v>7</v>
      </c>
      <c r="AF2402" t="n">
        <v>18</v>
      </c>
      <c r="AG2402" t="n">
        <v>37</v>
      </c>
      <c r="AH2402" t="n">
        <v>6</v>
      </c>
      <c r="AI2402" t="n">
        <v>17</v>
      </c>
      <c r="AJ2402" t="n">
        <v>3</v>
      </c>
      <c r="AK2402" t="n">
        <v>6</v>
      </c>
      <c r="AL2402" t="n">
        <v>9</v>
      </c>
      <c r="AM2402" t="n">
        <v>17</v>
      </c>
      <c r="AN2402" t="n">
        <v>4</v>
      </c>
      <c r="AO2402" t="n">
        <v>6</v>
      </c>
      <c r="AP2402" t="n">
        <v>0</v>
      </c>
      <c r="AQ2402" t="n">
        <v>0</v>
      </c>
      <c r="AR2402" t="inlineStr">
        <is>
          <t>No</t>
        </is>
      </c>
      <c r="AS2402" t="inlineStr">
        <is>
          <t>Yes</t>
        </is>
      </c>
      <c r="AT2402">
        <f>HYPERLINK("http://catalog.hathitrust.org/Record/001024510","HathiTrust Record")</f>
        <v/>
      </c>
      <c r="AU2402">
        <f>HYPERLINK("https://creighton-primo.hosted.exlibrisgroup.com/primo-explore/search?tab=default_tab&amp;search_scope=EVERYTHING&amp;vid=01CRU&amp;lang=en_US&amp;offset=0&amp;query=any,contains,991004062319702656","Catalog Record")</f>
        <v/>
      </c>
      <c r="AV2402">
        <f>HYPERLINK("http://www.worldcat.org/oclc/2275731","WorldCat Record")</f>
        <v/>
      </c>
      <c r="AW2402" t="inlineStr">
        <is>
          <t>1506815:eng</t>
        </is>
      </c>
      <c r="AX2402" t="inlineStr">
        <is>
          <t>2275731</t>
        </is>
      </c>
      <c r="AY2402" t="inlineStr">
        <is>
          <t>991004062319702656</t>
        </is>
      </c>
      <c r="AZ2402" t="inlineStr">
        <is>
          <t>991004062319702656</t>
        </is>
      </c>
      <c r="BA2402" t="inlineStr">
        <is>
          <t>2270897010002656</t>
        </is>
      </c>
      <c r="BB2402" t="inlineStr">
        <is>
          <t>BOOK</t>
        </is>
      </c>
      <c r="BE2402" t="inlineStr">
        <is>
          <t>32285000760701</t>
        </is>
      </c>
      <c r="BF2402" t="inlineStr">
        <is>
          <t>893435850</t>
        </is>
      </c>
    </row>
    <row r="2403">
      <c r="A2403" t="inlineStr">
        <is>
          <t>No</t>
        </is>
      </c>
      <c r="B2403" t="inlineStr">
        <is>
          <t>CURAL</t>
        </is>
      </c>
      <c r="C2403" t="inlineStr">
        <is>
          <t>SHELVES</t>
        </is>
      </c>
      <c r="D2403" t="inlineStr">
        <is>
          <t>PR5438 .B55</t>
        </is>
      </c>
      <c r="E2403" t="inlineStr">
        <is>
          <t>0                      PR 5438000B  55</t>
        </is>
      </c>
      <c r="F2403" t="inlineStr">
        <is>
          <t>Shelley's mythmaking.</t>
        </is>
      </c>
      <c r="H2403" t="inlineStr">
        <is>
          <t>No</t>
        </is>
      </c>
      <c r="I2403" t="inlineStr">
        <is>
          <t>1</t>
        </is>
      </c>
      <c r="J2403" t="inlineStr">
        <is>
          <t>No</t>
        </is>
      </c>
      <c r="K2403" t="inlineStr">
        <is>
          <t>No</t>
        </is>
      </c>
      <c r="L2403" t="inlineStr">
        <is>
          <t>0</t>
        </is>
      </c>
      <c r="M2403" t="inlineStr">
        <is>
          <t>Bloom, Harold.</t>
        </is>
      </c>
      <c r="N2403" t="inlineStr">
        <is>
          <t>New Haven, Yale University Press, 1959.</t>
        </is>
      </c>
      <c r="O2403" t="inlineStr">
        <is>
          <t>1959</t>
        </is>
      </c>
      <c r="Q2403" t="inlineStr">
        <is>
          <t>eng</t>
        </is>
      </c>
      <c r="R2403" t="inlineStr">
        <is>
          <t>ctu</t>
        </is>
      </c>
      <c r="S2403" t="inlineStr">
        <is>
          <t>Yale studies in English ; v. 141</t>
        </is>
      </c>
      <c r="T2403" t="inlineStr">
        <is>
          <t xml:space="preserve">PR </t>
        </is>
      </c>
      <c r="U2403" t="n">
        <v>1</v>
      </c>
      <c r="V2403" t="n">
        <v>1</v>
      </c>
      <c r="W2403" t="inlineStr">
        <is>
          <t>2009-03-30</t>
        </is>
      </c>
      <c r="X2403" t="inlineStr">
        <is>
          <t>2009-03-30</t>
        </is>
      </c>
      <c r="Y2403" t="inlineStr">
        <is>
          <t>1997-07-18</t>
        </is>
      </c>
      <c r="Z2403" t="inlineStr">
        <is>
          <t>1997-07-18</t>
        </is>
      </c>
      <c r="AA2403" t="n">
        <v>899</v>
      </c>
      <c r="AB2403" t="n">
        <v>763</v>
      </c>
      <c r="AC2403" t="n">
        <v>988</v>
      </c>
      <c r="AD2403" t="n">
        <v>9</v>
      </c>
      <c r="AE2403" t="n">
        <v>11</v>
      </c>
      <c r="AF2403" t="n">
        <v>48</v>
      </c>
      <c r="AG2403" t="n">
        <v>53</v>
      </c>
      <c r="AH2403" t="n">
        <v>22</v>
      </c>
      <c r="AI2403" t="n">
        <v>24</v>
      </c>
      <c r="AJ2403" t="n">
        <v>7</v>
      </c>
      <c r="AK2403" t="n">
        <v>7</v>
      </c>
      <c r="AL2403" t="n">
        <v>20</v>
      </c>
      <c r="AM2403" t="n">
        <v>21</v>
      </c>
      <c r="AN2403" t="n">
        <v>8</v>
      </c>
      <c r="AO2403" t="n">
        <v>10</v>
      </c>
      <c r="AP2403" t="n">
        <v>0</v>
      </c>
      <c r="AQ2403" t="n">
        <v>0</v>
      </c>
      <c r="AR2403" t="inlineStr">
        <is>
          <t>No</t>
        </is>
      </c>
      <c r="AS2403" t="inlineStr">
        <is>
          <t>Yes</t>
        </is>
      </c>
      <c r="AT2403">
        <f>HYPERLINK("http://catalog.hathitrust.org/Record/000341955","HathiTrust Record")</f>
        <v/>
      </c>
      <c r="AU2403">
        <f>HYPERLINK("https://creighton-primo.hosted.exlibrisgroup.com/primo-explore/search?tab=default_tab&amp;search_scope=EVERYTHING&amp;vid=01CRU&amp;lang=en_US&amp;offset=0&amp;query=any,contains,991002255559702656","Catalog Record")</f>
        <v/>
      </c>
      <c r="AV2403">
        <f>HYPERLINK("http://www.worldcat.org/oclc/301576","WorldCat Record")</f>
        <v/>
      </c>
      <c r="AW2403" t="inlineStr">
        <is>
          <t>1344562:eng</t>
        </is>
      </c>
      <c r="AX2403" t="inlineStr">
        <is>
          <t>301576</t>
        </is>
      </c>
      <c r="AY2403" t="inlineStr">
        <is>
          <t>991002255559702656</t>
        </is>
      </c>
      <c r="AZ2403" t="inlineStr">
        <is>
          <t>991002255559702656</t>
        </is>
      </c>
      <c r="BA2403" t="inlineStr">
        <is>
          <t>2269854980002656</t>
        </is>
      </c>
      <c r="BB2403" t="inlineStr">
        <is>
          <t>BOOK</t>
        </is>
      </c>
      <c r="BE2403" t="inlineStr">
        <is>
          <t>32285002934445</t>
        </is>
      </c>
      <c r="BF2403" t="inlineStr">
        <is>
          <t>893685149</t>
        </is>
      </c>
    </row>
    <row r="2404">
      <c r="A2404" t="inlineStr">
        <is>
          <t>No</t>
        </is>
      </c>
      <c r="B2404" t="inlineStr">
        <is>
          <t>CURAL</t>
        </is>
      </c>
      <c r="C2404" t="inlineStr">
        <is>
          <t>SHELVES</t>
        </is>
      </c>
      <c r="D2404" t="inlineStr">
        <is>
          <t>PR5438 .C47</t>
        </is>
      </c>
      <c r="E2404" t="inlineStr">
        <is>
          <t>0                      PR 5438000C  47</t>
        </is>
      </c>
      <c r="F2404" t="inlineStr">
        <is>
          <t>The lyrics of Shelley.</t>
        </is>
      </c>
      <c r="H2404" t="inlineStr">
        <is>
          <t>No</t>
        </is>
      </c>
      <c r="I2404" t="inlineStr">
        <is>
          <t>1</t>
        </is>
      </c>
      <c r="J2404" t="inlineStr">
        <is>
          <t>No</t>
        </is>
      </c>
      <c r="K2404" t="inlineStr">
        <is>
          <t>No</t>
        </is>
      </c>
      <c r="L2404" t="inlineStr">
        <is>
          <t>0</t>
        </is>
      </c>
      <c r="M2404" t="inlineStr">
        <is>
          <t>Chernaik, Judith.</t>
        </is>
      </c>
      <c r="N2404" t="inlineStr">
        <is>
          <t>Cleveland : Press of Case Western Reserve University, 1972.</t>
        </is>
      </c>
      <c r="O2404" t="inlineStr">
        <is>
          <t>1972</t>
        </is>
      </c>
      <c r="Q2404" t="inlineStr">
        <is>
          <t>eng</t>
        </is>
      </c>
      <c r="R2404" t="inlineStr">
        <is>
          <t>ohu</t>
        </is>
      </c>
      <c r="T2404" t="inlineStr">
        <is>
          <t xml:space="preserve">PR </t>
        </is>
      </c>
      <c r="U2404" t="n">
        <v>11</v>
      </c>
      <c r="V2404" t="n">
        <v>11</v>
      </c>
      <c r="W2404" t="inlineStr">
        <is>
          <t>2001-03-16</t>
        </is>
      </c>
      <c r="X2404" t="inlineStr">
        <is>
          <t>2001-03-16</t>
        </is>
      </c>
      <c r="Y2404" t="inlineStr">
        <is>
          <t>1992-12-17</t>
        </is>
      </c>
      <c r="Z2404" t="inlineStr">
        <is>
          <t>1992-12-17</t>
        </is>
      </c>
      <c r="AA2404" t="n">
        <v>739</v>
      </c>
      <c r="AB2404" t="n">
        <v>618</v>
      </c>
      <c r="AC2404" t="n">
        <v>627</v>
      </c>
      <c r="AD2404" t="n">
        <v>3</v>
      </c>
      <c r="AE2404" t="n">
        <v>3</v>
      </c>
      <c r="AF2404" t="n">
        <v>30</v>
      </c>
      <c r="AG2404" t="n">
        <v>30</v>
      </c>
      <c r="AH2404" t="n">
        <v>13</v>
      </c>
      <c r="AI2404" t="n">
        <v>13</v>
      </c>
      <c r="AJ2404" t="n">
        <v>7</v>
      </c>
      <c r="AK2404" t="n">
        <v>7</v>
      </c>
      <c r="AL2404" t="n">
        <v>17</v>
      </c>
      <c r="AM2404" t="n">
        <v>17</v>
      </c>
      <c r="AN2404" t="n">
        <v>2</v>
      </c>
      <c r="AO2404" t="n">
        <v>2</v>
      </c>
      <c r="AP2404" t="n">
        <v>0</v>
      </c>
      <c r="AQ2404" t="n">
        <v>0</v>
      </c>
      <c r="AR2404" t="inlineStr">
        <is>
          <t>No</t>
        </is>
      </c>
      <c r="AS2404" t="inlineStr">
        <is>
          <t>Yes</t>
        </is>
      </c>
      <c r="AT2404">
        <f>HYPERLINK("http://catalog.hathitrust.org/Record/001185537","HathiTrust Record")</f>
        <v/>
      </c>
      <c r="AU2404">
        <f>HYPERLINK("https://creighton-primo.hosted.exlibrisgroup.com/primo-explore/search?tab=default_tab&amp;search_scope=EVERYTHING&amp;vid=01CRU&amp;lang=en_US&amp;offset=0&amp;query=any,contains,991002673629702656","Catalog Record")</f>
        <v/>
      </c>
      <c r="AV2404">
        <f>HYPERLINK("http://www.worldcat.org/oclc/396207","WorldCat Record")</f>
        <v/>
      </c>
      <c r="AW2404" t="inlineStr">
        <is>
          <t>1540816:eng</t>
        </is>
      </c>
      <c r="AX2404" t="inlineStr">
        <is>
          <t>396207</t>
        </is>
      </c>
      <c r="AY2404" t="inlineStr">
        <is>
          <t>991002673629702656</t>
        </is>
      </c>
      <c r="AZ2404" t="inlineStr">
        <is>
          <t>991002673629702656</t>
        </is>
      </c>
      <c r="BA2404" t="inlineStr">
        <is>
          <t>2261097780002656</t>
        </is>
      </c>
      <c r="BB2404" t="inlineStr">
        <is>
          <t>BOOK</t>
        </is>
      </c>
      <c r="BD2404" t="inlineStr">
        <is>
          <t>9780829502121</t>
        </is>
      </c>
      <c r="BE2404" t="inlineStr">
        <is>
          <t>32285001442713</t>
        </is>
      </c>
      <c r="BF2404" t="inlineStr">
        <is>
          <t>893704351</t>
        </is>
      </c>
    </row>
    <row r="2405">
      <c r="A2405" t="inlineStr">
        <is>
          <t>No</t>
        </is>
      </c>
      <c r="B2405" t="inlineStr">
        <is>
          <t>CURAL</t>
        </is>
      </c>
      <c r="C2405" t="inlineStr">
        <is>
          <t>SHELVES</t>
        </is>
      </c>
      <c r="D2405" t="inlineStr">
        <is>
          <t>PR5438 .C7 1981</t>
        </is>
      </c>
      <c r="E2405" t="inlineStr">
        <is>
          <t>0                      PR 5438000C  7           1981</t>
        </is>
      </c>
      <c r="F2405" t="inlineStr">
        <is>
          <t>Shelley's poetic thoughts / Richard Cronin.</t>
        </is>
      </c>
      <c r="H2405" t="inlineStr">
        <is>
          <t>No</t>
        </is>
      </c>
      <c r="I2405" t="inlineStr">
        <is>
          <t>1</t>
        </is>
      </c>
      <c r="J2405" t="inlineStr">
        <is>
          <t>No</t>
        </is>
      </c>
      <c r="K2405" t="inlineStr">
        <is>
          <t>No</t>
        </is>
      </c>
      <c r="L2405" t="inlineStr">
        <is>
          <t>0</t>
        </is>
      </c>
      <c r="M2405" t="inlineStr">
        <is>
          <t>Cronin, Richard.</t>
        </is>
      </c>
      <c r="N2405" t="inlineStr">
        <is>
          <t>New York : St. Martin's Press, 1981.</t>
        </is>
      </c>
      <c r="O2405" t="inlineStr">
        <is>
          <t>1981</t>
        </is>
      </c>
      <c r="Q2405" t="inlineStr">
        <is>
          <t>eng</t>
        </is>
      </c>
      <c r="R2405" t="inlineStr">
        <is>
          <t>nyu</t>
        </is>
      </c>
      <c r="T2405" t="inlineStr">
        <is>
          <t xml:space="preserve">PR </t>
        </is>
      </c>
      <c r="U2405" t="n">
        <v>10</v>
      </c>
      <c r="V2405" t="n">
        <v>10</v>
      </c>
      <c r="W2405" t="inlineStr">
        <is>
          <t>2001-03-27</t>
        </is>
      </c>
      <c r="X2405" t="inlineStr">
        <is>
          <t>2001-03-27</t>
        </is>
      </c>
      <c r="Y2405" t="inlineStr">
        <is>
          <t>1990-05-17</t>
        </is>
      </c>
      <c r="Z2405" t="inlineStr">
        <is>
          <t>1990-05-17</t>
        </is>
      </c>
      <c r="AA2405" t="n">
        <v>378</v>
      </c>
      <c r="AB2405" t="n">
        <v>347</v>
      </c>
      <c r="AC2405" t="n">
        <v>397</v>
      </c>
      <c r="AD2405" t="n">
        <v>3</v>
      </c>
      <c r="AE2405" t="n">
        <v>4</v>
      </c>
      <c r="AF2405" t="n">
        <v>24</v>
      </c>
      <c r="AG2405" t="n">
        <v>26</v>
      </c>
      <c r="AH2405" t="n">
        <v>13</v>
      </c>
      <c r="AI2405" t="n">
        <v>13</v>
      </c>
      <c r="AJ2405" t="n">
        <v>6</v>
      </c>
      <c r="AK2405" t="n">
        <v>6</v>
      </c>
      <c r="AL2405" t="n">
        <v>14</v>
      </c>
      <c r="AM2405" t="n">
        <v>15</v>
      </c>
      <c r="AN2405" t="n">
        <v>2</v>
      </c>
      <c r="AO2405" t="n">
        <v>3</v>
      </c>
      <c r="AP2405" t="n">
        <v>0</v>
      </c>
      <c r="AQ2405" t="n">
        <v>0</v>
      </c>
      <c r="AR2405" t="inlineStr">
        <is>
          <t>No</t>
        </is>
      </c>
      <c r="AS2405" t="inlineStr">
        <is>
          <t>No</t>
        </is>
      </c>
      <c r="AU2405">
        <f>HYPERLINK("https://creighton-primo.hosted.exlibrisgroup.com/primo-explore/search?tab=default_tab&amp;search_scope=EVERYTHING&amp;vid=01CRU&amp;lang=en_US&amp;offset=0&amp;query=any,contains,991005001839702656","Catalog Record")</f>
        <v/>
      </c>
      <c r="AV2405">
        <f>HYPERLINK("http://www.worldcat.org/oclc/6554138","WorldCat Record")</f>
        <v/>
      </c>
      <c r="AW2405" t="inlineStr">
        <is>
          <t>20197562:eng</t>
        </is>
      </c>
      <c r="AX2405" t="inlineStr">
        <is>
          <t>6554138</t>
        </is>
      </c>
      <c r="AY2405" t="inlineStr">
        <is>
          <t>991005001839702656</t>
        </is>
      </c>
      <c r="AZ2405" t="inlineStr">
        <is>
          <t>991005001839702656</t>
        </is>
      </c>
      <c r="BA2405" t="inlineStr">
        <is>
          <t>2256455030002656</t>
        </is>
      </c>
      <c r="BB2405" t="inlineStr">
        <is>
          <t>BOOK</t>
        </is>
      </c>
      <c r="BD2405" t="inlineStr">
        <is>
          <t>9780312716646</t>
        </is>
      </c>
      <c r="BE2405" t="inlineStr">
        <is>
          <t>32285000152966</t>
        </is>
      </c>
      <c r="BF2405" t="inlineStr">
        <is>
          <t>893326035</t>
        </is>
      </c>
    </row>
    <row r="2406">
      <c r="A2406" t="inlineStr">
        <is>
          <t>No</t>
        </is>
      </c>
      <c r="B2406" t="inlineStr">
        <is>
          <t>CURAL</t>
        </is>
      </c>
      <c r="C2406" t="inlineStr">
        <is>
          <t>SHELVES</t>
        </is>
      </c>
      <c r="D2406" t="inlineStr">
        <is>
          <t>PR5438 .E8 1982</t>
        </is>
      </c>
      <c r="E2406" t="inlineStr">
        <is>
          <t>0                      PR 5438000E  8           1982</t>
        </is>
      </c>
      <c r="F2406" t="inlineStr">
        <is>
          <t>Essays on Shelley / edited by Miriam Allott.</t>
        </is>
      </c>
      <c r="H2406" t="inlineStr">
        <is>
          <t>No</t>
        </is>
      </c>
      <c r="I2406" t="inlineStr">
        <is>
          <t>1</t>
        </is>
      </c>
      <c r="J2406" t="inlineStr">
        <is>
          <t>No</t>
        </is>
      </c>
      <c r="K2406" t="inlineStr">
        <is>
          <t>No</t>
        </is>
      </c>
      <c r="L2406" t="inlineStr">
        <is>
          <t>0</t>
        </is>
      </c>
      <c r="N2406" t="inlineStr">
        <is>
          <t>Totowa, N.J. : Barnes &amp; Noble, 1982.</t>
        </is>
      </c>
      <c r="O2406" t="inlineStr">
        <is>
          <t>1982</t>
        </is>
      </c>
      <c r="Q2406" t="inlineStr">
        <is>
          <t>eng</t>
        </is>
      </c>
      <c r="R2406" t="inlineStr">
        <is>
          <t>nju</t>
        </is>
      </c>
      <c r="S2406" t="inlineStr">
        <is>
          <t>Liverpool English text and studies</t>
        </is>
      </c>
      <c r="T2406" t="inlineStr">
        <is>
          <t xml:space="preserve">PR </t>
        </is>
      </c>
      <c r="U2406" t="n">
        <v>14</v>
      </c>
      <c r="V2406" t="n">
        <v>14</v>
      </c>
      <c r="W2406" t="inlineStr">
        <is>
          <t>2001-03-27</t>
        </is>
      </c>
      <c r="X2406" t="inlineStr">
        <is>
          <t>2001-03-27</t>
        </is>
      </c>
      <c r="Y2406" t="inlineStr">
        <is>
          <t>1992-02-01</t>
        </is>
      </c>
      <c r="Z2406" t="inlineStr">
        <is>
          <t>1992-02-01</t>
        </is>
      </c>
      <c r="AA2406" t="n">
        <v>434</v>
      </c>
      <c r="AB2406" t="n">
        <v>381</v>
      </c>
      <c r="AC2406" t="n">
        <v>442</v>
      </c>
      <c r="AD2406" t="n">
        <v>4</v>
      </c>
      <c r="AE2406" t="n">
        <v>6</v>
      </c>
      <c r="AF2406" t="n">
        <v>23</v>
      </c>
      <c r="AG2406" t="n">
        <v>26</v>
      </c>
      <c r="AH2406" t="n">
        <v>12</v>
      </c>
      <c r="AI2406" t="n">
        <v>12</v>
      </c>
      <c r="AJ2406" t="n">
        <v>3</v>
      </c>
      <c r="AK2406" t="n">
        <v>4</v>
      </c>
      <c r="AL2406" t="n">
        <v>11</v>
      </c>
      <c r="AM2406" t="n">
        <v>11</v>
      </c>
      <c r="AN2406" t="n">
        <v>3</v>
      </c>
      <c r="AO2406" t="n">
        <v>5</v>
      </c>
      <c r="AP2406" t="n">
        <v>0</v>
      </c>
      <c r="AQ2406" t="n">
        <v>0</v>
      </c>
      <c r="AR2406" t="inlineStr">
        <is>
          <t>No</t>
        </is>
      </c>
      <c r="AS2406" t="inlineStr">
        <is>
          <t>No</t>
        </is>
      </c>
      <c r="AU2406">
        <f>HYPERLINK("https://creighton-primo.hosted.exlibrisgroup.com/primo-explore/search?tab=default_tab&amp;search_scope=EVERYTHING&amp;vid=01CRU&amp;lang=en_US&amp;offset=0&amp;query=any,contains,991005155329702656","Catalog Record")</f>
        <v/>
      </c>
      <c r="AV2406">
        <f>HYPERLINK("http://www.worldcat.org/oclc/7738949","WorldCat Record")</f>
        <v/>
      </c>
      <c r="AW2406" t="inlineStr">
        <is>
          <t>54457072:eng</t>
        </is>
      </c>
      <c r="AX2406" t="inlineStr">
        <is>
          <t>7738949</t>
        </is>
      </c>
      <c r="AY2406" t="inlineStr">
        <is>
          <t>991005155329702656</t>
        </is>
      </c>
      <c r="AZ2406" t="inlineStr">
        <is>
          <t>991005155329702656</t>
        </is>
      </c>
      <c r="BA2406" t="inlineStr">
        <is>
          <t>2257873090002656</t>
        </is>
      </c>
      <c r="BB2406" t="inlineStr">
        <is>
          <t>BOOK</t>
        </is>
      </c>
      <c r="BD2406" t="inlineStr">
        <is>
          <t>9780389201274</t>
        </is>
      </c>
      <c r="BE2406" t="inlineStr">
        <is>
          <t>32285000932482</t>
        </is>
      </c>
      <c r="BF2406" t="inlineStr">
        <is>
          <t>893789529</t>
        </is>
      </c>
    </row>
    <row r="2407">
      <c r="A2407" t="inlineStr">
        <is>
          <t>No</t>
        </is>
      </c>
      <c r="B2407" t="inlineStr">
        <is>
          <t>CURAL</t>
        </is>
      </c>
      <c r="C2407" t="inlineStr">
        <is>
          <t>SHELVES</t>
        </is>
      </c>
      <c r="D2407" t="inlineStr">
        <is>
          <t>PR5438 .H34</t>
        </is>
      </c>
      <c r="E2407" t="inlineStr">
        <is>
          <t>0                      PR 5438000H  34</t>
        </is>
      </c>
      <c r="F2407" t="inlineStr">
        <is>
          <t>The transforming image : a study of Shelley's major poetry / Jean Hall.</t>
        </is>
      </c>
      <c r="H2407" t="inlineStr">
        <is>
          <t>No</t>
        </is>
      </c>
      <c r="I2407" t="inlineStr">
        <is>
          <t>1</t>
        </is>
      </c>
      <c r="J2407" t="inlineStr">
        <is>
          <t>No</t>
        </is>
      </c>
      <c r="K2407" t="inlineStr">
        <is>
          <t>No</t>
        </is>
      </c>
      <c r="L2407" t="inlineStr">
        <is>
          <t>0</t>
        </is>
      </c>
      <c r="M2407" t="inlineStr">
        <is>
          <t>Hall, Jean, 1941-</t>
        </is>
      </c>
      <c r="N2407" t="inlineStr">
        <is>
          <t>Urbana : University of Illinois Press, c1980.</t>
        </is>
      </c>
      <c r="O2407" t="inlineStr">
        <is>
          <t>1980</t>
        </is>
      </c>
      <c r="Q2407" t="inlineStr">
        <is>
          <t>eng</t>
        </is>
      </c>
      <c r="R2407" t="inlineStr">
        <is>
          <t>ilu</t>
        </is>
      </c>
      <c r="T2407" t="inlineStr">
        <is>
          <t xml:space="preserve">PR </t>
        </is>
      </c>
      <c r="U2407" t="n">
        <v>8</v>
      </c>
      <c r="V2407" t="n">
        <v>8</v>
      </c>
      <c r="W2407" t="inlineStr">
        <is>
          <t>2001-03-27</t>
        </is>
      </c>
      <c r="X2407" t="inlineStr">
        <is>
          <t>2001-03-27</t>
        </is>
      </c>
      <c r="Y2407" t="inlineStr">
        <is>
          <t>1992-02-01</t>
        </is>
      </c>
      <c r="Z2407" t="inlineStr">
        <is>
          <t>1992-02-01</t>
        </is>
      </c>
      <c r="AA2407" t="n">
        <v>507</v>
      </c>
      <c r="AB2407" t="n">
        <v>398</v>
      </c>
      <c r="AC2407" t="n">
        <v>398</v>
      </c>
      <c r="AD2407" t="n">
        <v>4</v>
      </c>
      <c r="AE2407" t="n">
        <v>4</v>
      </c>
      <c r="AF2407" t="n">
        <v>18</v>
      </c>
      <c r="AG2407" t="n">
        <v>18</v>
      </c>
      <c r="AH2407" t="n">
        <v>5</v>
      </c>
      <c r="AI2407" t="n">
        <v>5</v>
      </c>
      <c r="AJ2407" t="n">
        <v>6</v>
      </c>
      <c r="AK2407" t="n">
        <v>6</v>
      </c>
      <c r="AL2407" t="n">
        <v>10</v>
      </c>
      <c r="AM2407" t="n">
        <v>10</v>
      </c>
      <c r="AN2407" t="n">
        <v>3</v>
      </c>
      <c r="AO2407" t="n">
        <v>3</v>
      </c>
      <c r="AP2407" t="n">
        <v>0</v>
      </c>
      <c r="AQ2407" t="n">
        <v>0</v>
      </c>
      <c r="AR2407" t="inlineStr">
        <is>
          <t>No</t>
        </is>
      </c>
      <c r="AS2407" t="inlineStr">
        <is>
          <t>No</t>
        </is>
      </c>
      <c r="AU2407">
        <f>HYPERLINK("https://creighton-primo.hosted.exlibrisgroup.com/primo-explore/search?tab=default_tab&amp;search_scope=EVERYTHING&amp;vid=01CRU&amp;lang=en_US&amp;offset=0&amp;query=any,contains,991004937309702656","Catalog Record")</f>
        <v/>
      </c>
      <c r="AV2407">
        <f>HYPERLINK("http://www.worldcat.org/oclc/6144023","WorldCat Record")</f>
        <v/>
      </c>
      <c r="AW2407" t="inlineStr">
        <is>
          <t>836997079:eng</t>
        </is>
      </c>
      <c r="AX2407" t="inlineStr">
        <is>
          <t>6144023</t>
        </is>
      </c>
      <c r="AY2407" t="inlineStr">
        <is>
          <t>991004937309702656</t>
        </is>
      </c>
      <c r="AZ2407" t="inlineStr">
        <is>
          <t>991004937309702656</t>
        </is>
      </c>
      <c r="BA2407" t="inlineStr">
        <is>
          <t>2260335010002656</t>
        </is>
      </c>
      <c r="BB2407" t="inlineStr">
        <is>
          <t>BOOK</t>
        </is>
      </c>
      <c r="BD2407" t="inlineStr">
        <is>
          <t>9780252007668</t>
        </is>
      </c>
      <c r="BE2407" t="inlineStr">
        <is>
          <t>32285000932490</t>
        </is>
      </c>
      <c r="BF2407" t="inlineStr">
        <is>
          <t>893236074</t>
        </is>
      </c>
    </row>
    <row r="2408">
      <c r="A2408" t="inlineStr">
        <is>
          <t>No</t>
        </is>
      </c>
      <c r="B2408" t="inlineStr">
        <is>
          <t>CURAL</t>
        </is>
      </c>
      <c r="C2408" t="inlineStr">
        <is>
          <t>SHELVES</t>
        </is>
      </c>
      <c r="D2408" t="inlineStr">
        <is>
          <t>PR5438 .N6</t>
        </is>
      </c>
      <c r="E2408" t="inlineStr">
        <is>
          <t>0                      PR 5438000N  6</t>
        </is>
      </c>
      <c r="F2408" t="inlineStr">
        <is>
          <t>Flight of the Skylark : the development of Shelley's reputation.</t>
        </is>
      </c>
      <c r="H2408" t="inlineStr">
        <is>
          <t>No</t>
        </is>
      </c>
      <c r="I2408" t="inlineStr">
        <is>
          <t>1</t>
        </is>
      </c>
      <c r="J2408" t="inlineStr">
        <is>
          <t>No</t>
        </is>
      </c>
      <c r="K2408" t="inlineStr">
        <is>
          <t>No</t>
        </is>
      </c>
      <c r="L2408" t="inlineStr">
        <is>
          <t>0</t>
        </is>
      </c>
      <c r="M2408" t="inlineStr">
        <is>
          <t>Norman, Sylva, 1901-1971.</t>
        </is>
      </c>
      <c r="N2408" t="inlineStr">
        <is>
          <t>Norman : University of Oklahoma Press, [1954]</t>
        </is>
      </c>
      <c r="O2408" t="inlineStr">
        <is>
          <t>1954</t>
        </is>
      </c>
      <c r="P2408" t="inlineStr">
        <is>
          <t>[1st ed.]</t>
        </is>
      </c>
      <c r="Q2408" t="inlineStr">
        <is>
          <t>eng</t>
        </is>
      </c>
      <c r="R2408" t="inlineStr">
        <is>
          <t>oku</t>
        </is>
      </c>
      <c r="T2408" t="inlineStr">
        <is>
          <t xml:space="preserve">PR </t>
        </is>
      </c>
      <c r="U2408" t="n">
        <v>3</v>
      </c>
      <c r="V2408" t="n">
        <v>3</v>
      </c>
      <c r="W2408" t="inlineStr">
        <is>
          <t>1998-03-18</t>
        </is>
      </c>
      <c r="X2408" t="inlineStr">
        <is>
          <t>1998-03-18</t>
        </is>
      </c>
      <c r="Y2408" t="inlineStr">
        <is>
          <t>1990-05-30</t>
        </is>
      </c>
      <c r="Z2408" t="inlineStr">
        <is>
          <t>1990-05-30</t>
        </is>
      </c>
      <c r="AA2408" t="n">
        <v>777</v>
      </c>
      <c r="AB2408" t="n">
        <v>704</v>
      </c>
      <c r="AC2408" t="n">
        <v>771</v>
      </c>
      <c r="AD2408" t="n">
        <v>7</v>
      </c>
      <c r="AE2408" t="n">
        <v>7</v>
      </c>
      <c r="AF2408" t="n">
        <v>38</v>
      </c>
      <c r="AG2408" t="n">
        <v>39</v>
      </c>
      <c r="AH2408" t="n">
        <v>16</v>
      </c>
      <c r="AI2408" t="n">
        <v>17</v>
      </c>
      <c r="AJ2408" t="n">
        <v>4</v>
      </c>
      <c r="AK2408" t="n">
        <v>4</v>
      </c>
      <c r="AL2408" t="n">
        <v>19</v>
      </c>
      <c r="AM2408" t="n">
        <v>19</v>
      </c>
      <c r="AN2408" t="n">
        <v>6</v>
      </c>
      <c r="AO2408" t="n">
        <v>6</v>
      </c>
      <c r="AP2408" t="n">
        <v>0</v>
      </c>
      <c r="AQ2408" t="n">
        <v>0</v>
      </c>
      <c r="AR2408" t="inlineStr">
        <is>
          <t>Yes</t>
        </is>
      </c>
      <c r="AS2408" t="inlineStr">
        <is>
          <t>No</t>
        </is>
      </c>
      <c r="AT2408">
        <f>HYPERLINK("http://catalog.hathitrust.org/Record/001024512","HathiTrust Record")</f>
        <v/>
      </c>
      <c r="AU2408">
        <f>HYPERLINK("https://creighton-primo.hosted.exlibrisgroup.com/primo-explore/search?tab=default_tab&amp;search_scope=EVERYTHING&amp;vid=01CRU&amp;lang=en_US&amp;offset=0&amp;query=any,contains,991001027379702656","Catalog Record")</f>
        <v/>
      </c>
      <c r="AV2408">
        <f>HYPERLINK("http://www.worldcat.org/oclc/174766","WorldCat Record")</f>
        <v/>
      </c>
      <c r="AW2408" t="inlineStr">
        <is>
          <t>1306638:eng</t>
        </is>
      </c>
      <c r="AX2408" t="inlineStr">
        <is>
          <t>174766</t>
        </is>
      </c>
      <c r="AY2408" t="inlineStr">
        <is>
          <t>991001027379702656</t>
        </is>
      </c>
      <c r="AZ2408" t="inlineStr">
        <is>
          <t>991001027379702656</t>
        </is>
      </c>
      <c r="BA2408" t="inlineStr">
        <is>
          <t>2266573140002656</t>
        </is>
      </c>
      <c r="BB2408" t="inlineStr">
        <is>
          <t>BOOK</t>
        </is>
      </c>
      <c r="BE2408" t="inlineStr">
        <is>
          <t>32285000159714</t>
        </is>
      </c>
      <c r="BF2408" t="inlineStr">
        <is>
          <t>893715104</t>
        </is>
      </c>
    </row>
    <row r="2409">
      <c r="A2409" t="inlineStr">
        <is>
          <t>No</t>
        </is>
      </c>
      <c r="B2409" t="inlineStr">
        <is>
          <t>CURAL</t>
        </is>
      </c>
      <c r="C2409" t="inlineStr">
        <is>
          <t>SHELVES</t>
        </is>
      </c>
      <c r="D2409" t="inlineStr">
        <is>
          <t>PR5438 .O5 1989</t>
        </is>
      </c>
      <c r="E2409" t="inlineStr">
        <is>
          <t>0                      PR 5438000O  5           1989</t>
        </is>
      </c>
      <c r="F2409" t="inlineStr">
        <is>
          <t>The human mind's imaginings : conflict and achievement in Shelley's poetry / Michael O'Neill.</t>
        </is>
      </c>
      <c r="H2409" t="inlineStr">
        <is>
          <t>No</t>
        </is>
      </c>
      <c r="I2409" t="inlineStr">
        <is>
          <t>1</t>
        </is>
      </c>
      <c r="J2409" t="inlineStr">
        <is>
          <t>No</t>
        </is>
      </c>
      <c r="K2409" t="inlineStr">
        <is>
          <t>No</t>
        </is>
      </c>
      <c r="L2409" t="inlineStr">
        <is>
          <t>0</t>
        </is>
      </c>
      <c r="M2409" t="inlineStr">
        <is>
          <t>O'Neill, Michael, 1953-</t>
        </is>
      </c>
      <c r="N2409" t="inlineStr">
        <is>
          <t>Oxford : Clarendon Press ; New York : Oxford University Press, 1989.</t>
        </is>
      </c>
      <c r="O2409" t="inlineStr">
        <is>
          <t>1989</t>
        </is>
      </c>
      <c r="Q2409" t="inlineStr">
        <is>
          <t>eng</t>
        </is>
      </c>
      <c r="R2409" t="inlineStr">
        <is>
          <t>enk</t>
        </is>
      </c>
      <c r="T2409" t="inlineStr">
        <is>
          <t xml:space="preserve">PR </t>
        </is>
      </c>
      <c r="U2409" t="n">
        <v>11</v>
      </c>
      <c r="V2409" t="n">
        <v>11</v>
      </c>
      <c r="W2409" t="inlineStr">
        <is>
          <t>1999-09-30</t>
        </is>
      </c>
      <c r="X2409" t="inlineStr">
        <is>
          <t>1999-09-30</t>
        </is>
      </c>
      <c r="Y2409" t="inlineStr">
        <is>
          <t>1990-03-28</t>
        </is>
      </c>
      <c r="Z2409" t="inlineStr">
        <is>
          <t>1990-03-28</t>
        </is>
      </c>
      <c r="AA2409" t="n">
        <v>447</v>
      </c>
      <c r="AB2409" t="n">
        <v>332</v>
      </c>
      <c r="AC2409" t="n">
        <v>334</v>
      </c>
      <c r="AD2409" t="n">
        <v>2</v>
      </c>
      <c r="AE2409" t="n">
        <v>2</v>
      </c>
      <c r="AF2409" t="n">
        <v>15</v>
      </c>
      <c r="AG2409" t="n">
        <v>15</v>
      </c>
      <c r="AH2409" t="n">
        <v>5</v>
      </c>
      <c r="AI2409" t="n">
        <v>5</v>
      </c>
      <c r="AJ2409" t="n">
        <v>4</v>
      </c>
      <c r="AK2409" t="n">
        <v>4</v>
      </c>
      <c r="AL2409" t="n">
        <v>10</v>
      </c>
      <c r="AM2409" t="n">
        <v>10</v>
      </c>
      <c r="AN2409" t="n">
        <v>1</v>
      </c>
      <c r="AO2409" t="n">
        <v>1</v>
      </c>
      <c r="AP2409" t="n">
        <v>0</v>
      </c>
      <c r="AQ2409" t="n">
        <v>0</v>
      </c>
      <c r="AR2409" t="inlineStr">
        <is>
          <t>No</t>
        </is>
      </c>
      <c r="AS2409" t="inlineStr">
        <is>
          <t>Yes</t>
        </is>
      </c>
      <c r="AT2409">
        <f>HYPERLINK("http://catalog.hathitrust.org/Record/001541786","HathiTrust Record")</f>
        <v/>
      </c>
      <c r="AU2409">
        <f>HYPERLINK("https://creighton-primo.hosted.exlibrisgroup.com/primo-explore/search?tab=default_tab&amp;search_scope=EVERYTHING&amp;vid=01CRU&amp;lang=en_US&amp;offset=0&amp;query=any,contains,991001411679702656","Catalog Record")</f>
        <v/>
      </c>
      <c r="AV2409">
        <f>HYPERLINK("http://www.worldcat.org/oclc/18907904","WorldCat Record")</f>
        <v/>
      </c>
      <c r="AW2409" t="inlineStr">
        <is>
          <t>479008226:eng</t>
        </is>
      </c>
      <c r="AX2409" t="inlineStr">
        <is>
          <t>18907904</t>
        </is>
      </c>
      <c r="AY2409" t="inlineStr">
        <is>
          <t>991001411679702656</t>
        </is>
      </c>
      <c r="AZ2409" t="inlineStr">
        <is>
          <t>991001411679702656</t>
        </is>
      </c>
      <c r="BA2409" t="inlineStr">
        <is>
          <t>2257008360002656</t>
        </is>
      </c>
      <c r="BB2409" t="inlineStr">
        <is>
          <t>BOOK</t>
        </is>
      </c>
      <c r="BD2409" t="inlineStr">
        <is>
          <t>9780198117483</t>
        </is>
      </c>
      <c r="BE2409" t="inlineStr">
        <is>
          <t>32285000091057</t>
        </is>
      </c>
      <c r="BF2409" t="inlineStr">
        <is>
          <t>893328127</t>
        </is>
      </c>
    </row>
    <row r="2410">
      <c r="A2410" t="inlineStr">
        <is>
          <t>No</t>
        </is>
      </c>
      <c r="B2410" t="inlineStr">
        <is>
          <t>CURAL</t>
        </is>
      </c>
      <c r="C2410" t="inlineStr">
        <is>
          <t>SHELVES</t>
        </is>
      </c>
      <c r="D2410" t="inlineStr">
        <is>
          <t>PR5438 .P6 1940a</t>
        </is>
      </c>
      <c r="E2410" t="inlineStr">
        <is>
          <t>0                      PR 5438000P  6           1940a</t>
        </is>
      </c>
      <c r="F2410" t="inlineStr">
        <is>
          <t>Shelley in America in the nineteenth century; his relation to American critical thought and his influence, by Julia Power. --</t>
        </is>
      </c>
      <c r="H2410" t="inlineStr">
        <is>
          <t>No</t>
        </is>
      </c>
      <c r="I2410" t="inlineStr">
        <is>
          <t>1</t>
        </is>
      </c>
      <c r="J2410" t="inlineStr">
        <is>
          <t>No</t>
        </is>
      </c>
      <c r="K2410" t="inlineStr">
        <is>
          <t>No</t>
        </is>
      </c>
      <c r="L2410" t="inlineStr">
        <is>
          <t>0</t>
        </is>
      </c>
      <c r="M2410" t="inlineStr">
        <is>
          <t>Power, Julia.</t>
        </is>
      </c>
      <c r="N2410" t="inlineStr">
        <is>
          <t>Lincoln, The University, 1940.</t>
        </is>
      </c>
      <c r="O2410" t="inlineStr">
        <is>
          <t>1940</t>
        </is>
      </c>
      <c r="Q2410" t="inlineStr">
        <is>
          <t>eng</t>
        </is>
      </c>
      <c r="R2410" t="inlineStr">
        <is>
          <t xml:space="preserve">xx </t>
        </is>
      </c>
      <c r="S2410" t="inlineStr">
        <is>
          <t>The University studies of the University of Nebraska. vol.XL [no.2]</t>
        </is>
      </c>
      <c r="T2410" t="inlineStr">
        <is>
          <t xml:space="preserve">PR </t>
        </is>
      </c>
      <c r="U2410" t="n">
        <v>2</v>
      </c>
      <c r="V2410" t="n">
        <v>2</v>
      </c>
      <c r="W2410" t="inlineStr">
        <is>
          <t>2000-03-29</t>
        </is>
      </c>
      <c r="X2410" t="inlineStr">
        <is>
          <t>2000-03-29</t>
        </is>
      </c>
      <c r="Y2410" t="inlineStr">
        <is>
          <t>1992-02-01</t>
        </is>
      </c>
      <c r="Z2410" t="inlineStr">
        <is>
          <t>1992-02-01</t>
        </is>
      </c>
      <c r="AA2410" t="n">
        <v>105</v>
      </c>
      <c r="AB2410" t="n">
        <v>93</v>
      </c>
      <c r="AC2410" t="n">
        <v>533</v>
      </c>
      <c r="AD2410" t="n">
        <v>5</v>
      </c>
      <c r="AE2410" t="n">
        <v>7</v>
      </c>
      <c r="AF2410" t="n">
        <v>5</v>
      </c>
      <c r="AG2410" t="n">
        <v>30</v>
      </c>
      <c r="AH2410" t="n">
        <v>0</v>
      </c>
      <c r="AI2410" t="n">
        <v>10</v>
      </c>
      <c r="AJ2410" t="n">
        <v>1</v>
      </c>
      <c r="AK2410" t="n">
        <v>6</v>
      </c>
      <c r="AL2410" t="n">
        <v>0</v>
      </c>
      <c r="AM2410" t="n">
        <v>15</v>
      </c>
      <c r="AN2410" t="n">
        <v>4</v>
      </c>
      <c r="AO2410" t="n">
        <v>6</v>
      </c>
      <c r="AP2410" t="n">
        <v>0</v>
      </c>
      <c r="AQ2410" t="n">
        <v>0</v>
      </c>
      <c r="AR2410" t="inlineStr">
        <is>
          <t>No</t>
        </is>
      </c>
      <c r="AS2410" t="inlineStr">
        <is>
          <t>No</t>
        </is>
      </c>
      <c r="AU2410">
        <f>HYPERLINK("https://creighton-primo.hosted.exlibrisgroup.com/primo-explore/search?tab=default_tab&amp;search_scope=EVERYTHING&amp;vid=01CRU&amp;lang=en_US&amp;offset=0&amp;query=any,contains,991004155009702656","Catalog Record")</f>
        <v/>
      </c>
      <c r="AV2410">
        <f>HYPERLINK("http://www.worldcat.org/oclc/2538183","WorldCat Record")</f>
        <v/>
      </c>
      <c r="AW2410" t="inlineStr">
        <is>
          <t>615262:eng</t>
        </is>
      </c>
      <c r="AX2410" t="inlineStr">
        <is>
          <t>2538183</t>
        </is>
      </c>
      <c r="AY2410" t="inlineStr">
        <is>
          <t>991004155009702656</t>
        </is>
      </c>
      <c r="AZ2410" t="inlineStr">
        <is>
          <t>991004155009702656</t>
        </is>
      </c>
      <c r="BA2410" t="inlineStr">
        <is>
          <t>2269496880002656</t>
        </is>
      </c>
      <c r="BB2410" t="inlineStr">
        <is>
          <t>BOOK</t>
        </is>
      </c>
      <c r="BE2410" t="inlineStr">
        <is>
          <t>32285000932524</t>
        </is>
      </c>
      <c r="BF2410" t="inlineStr">
        <is>
          <t>893318865</t>
        </is>
      </c>
    </row>
    <row r="2411">
      <c r="A2411" t="inlineStr">
        <is>
          <t>No</t>
        </is>
      </c>
      <c r="B2411" t="inlineStr">
        <is>
          <t>CURAL</t>
        </is>
      </c>
      <c r="C2411" t="inlineStr">
        <is>
          <t>SHELVES</t>
        </is>
      </c>
      <c r="D2411" t="inlineStr">
        <is>
          <t>PR5438 .R37</t>
        </is>
      </c>
      <c r="E2411" t="inlineStr">
        <is>
          <t>0                      PR 5438000R  37</t>
        </is>
      </c>
      <c r="F2411" t="inlineStr">
        <is>
          <t>A study of Shelley's poetry.</t>
        </is>
      </c>
      <c r="H2411" t="inlineStr">
        <is>
          <t>No</t>
        </is>
      </c>
      <c r="I2411" t="inlineStr">
        <is>
          <t>1</t>
        </is>
      </c>
      <c r="J2411" t="inlineStr">
        <is>
          <t>No</t>
        </is>
      </c>
      <c r="K2411" t="inlineStr">
        <is>
          <t>No</t>
        </is>
      </c>
      <c r="L2411" t="inlineStr">
        <is>
          <t>0</t>
        </is>
      </c>
      <c r="M2411" t="inlineStr">
        <is>
          <t>Reiter, Seymour.</t>
        </is>
      </c>
      <c r="N2411" t="inlineStr">
        <is>
          <t>Albuquerque : University of New Mexico Press, 1967.</t>
        </is>
      </c>
      <c r="O2411" t="inlineStr">
        <is>
          <t>1967</t>
        </is>
      </c>
      <c r="P2411" t="inlineStr">
        <is>
          <t>1st ed.</t>
        </is>
      </c>
      <c r="Q2411" t="inlineStr">
        <is>
          <t>eng</t>
        </is>
      </c>
      <c r="R2411" t="inlineStr">
        <is>
          <t>nmu</t>
        </is>
      </c>
      <c r="T2411" t="inlineStr">
        <is>
          <t xml:space="preserve">PR </t>
        </is>
      </c>
      <c r="U2411" t="n">
        <v>19</v>
      </c>
      <c r="V2411" t="n">
        <v>19</v>
      </c>
      <c r="W2411" t="inlineStr">
        <is>
          <t>2001-03-31</t>
        </is>
      </c>
      <c r="X2411" t="inlineStr">
        <is>
          <t>2001-03-31</t>
        </is>
      </c>
      <c r="Y2411" t="inlineStr">
        <is>
          <t>1994-10-17</t>
        </is>
      </c>
      <c r="Z2411" t="inlineStr">
        <is>
          <t>1994-10-17</t>
        </is>
      </c>
      <c r="AA2411" t="n">
        <v>659</v>
      </c>
      <c r="AB2411" t="n">
        <v>586</v>
      </c>
      <c r="AC2411" t="n">
        <v>589</v>
      </c>
      <c r="AD2411" t="n">
        <v>8</v>
      </c>
      <c r="AE2411" t="n">
        <v>8</v>
      </c>
      <c r="AF2411" t="n">
        <v>34</v>
      </c>
      <c r="AG2411" t="n">
        <v>34</v>
      </c>
      <c r="AH2411" t="n">
        <v>12</v>
      </c>
      <c r="AI2411" t="n">
        <v>12</v>
      </c>
      <c r="AJ2411" t="n">
        <v>6</v>
      </c>
      <c r="AK2411" t="n">
        <v>6</v>
      </c>
      <c r="AL2411" t="n">
        <v>18</v>
      </c>
      <c r="AM2411" t="n">
        <v>18</v>
      </c>
      <c r="AN2411" t="n">
        <v>7</v>
      </c>
      <c r="AO2411" t="n">
        <v>7</v>
      </c>
      <c r="AP2411" t="n">
        <v>0</v>
      </c>
      <c r="AQ2411" t="n">
        <v>0</v>
      </c>
      <c r="AR2411" t="inlineStr">
        <is>
          <t>No</t>
        </is>
      </c>
      <c r="AS2411" t="inlineStr">
        <is>
          <t>Yes</t>
        </is>
      </c>
      <c r="AT2411">
        <f>HYPERLINK("http://catalog.hathitrust.org/Record/001185573","HathiTrust Record")</f>
        <v/>
      </c>
      <c r="AU2411">
        <f>HYPERLINK("https://creighton-primo.hosted.exlibrisgroup.com/primo-explore/search?tab=default_tab&amp;search_scope=EVERYTHING&amp;vid=01CRU&amp;lang=en_US&amp;offset=0&amp;query=any,contains,991002487939702656","Catalog Record")</f>
        <v/>
      </c>
      <c r="AV2411">
        <f>HYPERLINK("http://www.worldcat.org/oclc/361540","WorldCat Record")</f>
        <v/>
      </c>
      <c r="AW2411" t="inlineStr">
        <is>
          <t>1414611:eng</t>
        </is>
      </c>
      <c r="AX2411" t="inlineStr">
        <is>
          <t>361540</t>
        </is>
      </c>
      <c r="AY2411" t="inlineStr">
        <is>
          <t>991002487939702656</t>
        </is>
      </c>
      <c r="AZ2411" t="inlineStr">
        <is>
          <t>991002487939702656</t>
        </is>
      </c>
      <c r="BA2411" t="inlineStr">
        <is>
          <t>2263232630002656</t>
        </is>
      </c>
      <c r="BB2411" t="inlineStr">
        <is>
          <t>BOOK</t>
        </is>
      </c>
      <c r="BE2411" t="inlineStr">
        <is>
          <t>32285001961787</t>
        </is>
      </c>
      <c r="BF2411" t="inlineStr">
        <is>
          <t>893233033</t>
        </is>
      </c>
    </row>
    <row r="2412">
      <c r="A2412" t="inlineStr">
        <is>
          <t>No</t>
        </is>
      </c>
      <c r="B2412" t="inlineStr">
        <is>
          <t>CURAL</t>
        </is>
      </c>
      <c r="C2412" t="inlineStr">
        <is>
          <t>SHELVES</t>
        </is>
      </c>
      <c r="D2412" t="inlineStr">
        <is>
          <t>PR5438 .S6 1964</t>
        </is>
      </c>
      <c r="E2412" t="inlineStr">
        <is>
          <t>0                      PR 5438000S  6           1964</t>
        </is>
      </c>
      <c r="F2412" t="inlineStr">
        <is>
          <t>Shelley : his theory of poetry.</t>
        </is>
      </c>
      <c r="H2412" t="inlineStr">
        <is>
          <t>No</t>
        </is>
      </c>
      <c r="I2412" t="inlineStr">
        <is>
          <t>1</t>
        </is>
      </c>
      <c r="J2412" t="inlineStr">
        <is>
          <t>No</t>
        </is>
      </c>
      <c r="K2412" t="inlineStr">
        <is>
          <t>No</t>
        </is>
      </c>
      <c r="L2412" t="inlineStr">
        <is>
          <t>0</t>
        </is>
      </c>
      <c r="M2412" t="inlineStr">
        <is>
          <t>Solve, Melvin Theodor.</t>
        </is>
      </c>
      <c r="N2412" t="inlineStr">
        <is>
          <t>New York : Russell &amp; Russell, 1964.</t>
        </is>
      </c>
      <c r="O2412" t="inlineStr">
        <is>
          <t>1964</t>
        </is>
      </c>
      <c r="Q2412" t="inlineStr">
        <is>
          <t>eng</t>
        </is>
      </c>
      <c r="R2412" t="inlineStr">
        <is>
          <t>nyu</t>
        </is>
      </c>
      <c r="T2412" t="inlineStr">
        <is>
          <t xml:space="preserve">PR </t>
        </is>
      </c>
      <c r="U2412" t="n">
        <v>7</v>
      </c>
      <c r="V2412" t="n">
        <v>7</v>
      </c>
      <c r="W2412" t="inlineStr">
        <is>
          <t>2000-04-21</t>
        </is>
      </c>
      <c r="X2412" t="inlineStr">
        <is>
          <t>2000-04-21</t>
        </is>
      </c>
      <c r="Y2412" t="inlineStr">
        <is>
          <t>1992-12-17</t>
        </is>
      </c>
      <c r="Z2412" t="inlineStr">
        <is>
          <t>1992-12-17</t>
        </is>
      </c>
      <c r="AA2412" t="n">
        <v>528</v>
      </c>
      <c r="AB2412" t="n">
        <v>462</v>
      </c>
      <c r="AC2412" t="n">
        <v>600</v>
      </c>
      <c r="AD2412" t="n">
        <v>7</v>
      </c>
      <c r="AE2412" t="n">
        <v>7</v>
      </c>
      <c r="AF2412" t="n">
        <v>28</v>
      </c>
      <c r="AG2412" t="n">
        <v>38</v>
      </c>
      <c r="AH2412" t="n">
        <v>11</v>
      </c>
      <c r="AI2412" t="n">
        <v>16</v>
      </c>
      <c r="AJ2412" t="n">
        <v>4</v>
      </c>
      <c r="AK2412" t="n">
        <v>6</v>
      </c>
      <c r="AL2412" t="n">
        <v>13</v>
      </c>
      <c r="AM2412" t="n">
        <v>19</v>
      </c>
      <c r="AN2412" t="n">
        <v>6</v>
      </c>
      <c r="AO2412" t="n">
        <v>6</v>
      </c>
      <c r="AP2412" t="n">
        <v>0</v>
      </c>
      <c r="AQ2412" t="n">
        <v>0</v>
      </c>
      <c r="AR2412" t="inlineStr">
        <is>
          <t>No</t>
        </is>
      </c>
      <c r="AS2412" t="inlineStr">
        <is>
          <t>Yes</t>
        </is>
      </c>
      <c r="AT2412">
        <f>HYPERLINK("http://catalog.hathitrust.org/Record/001185583","HathiTrust Record")</f>
        <v/>
      </c>
      <c r="AU2412">
        <f>HYPERLINK("https://creighton-primo.hosted.exlibrisgroup.com/primo-explore/search?tab=default_tab&amp;search_scope=EVERYTHING&amp;vid=01CRU&amp;lang=en_US&amp;offset=0&amp;query=any,contains,991002487889702656","Catalog Record")</f>
        <v/>
      </c>
      <c r="AV2412">
        <f>HYPERLINK("http://www.worldcat.org/oclc/361536","WorldCat Record")</f>
        <v/>
      </c>
      <c r="AW2412" t="inlineStr">
        <is>
          <t>475213:eng</t>
        </is>
      </c>
      <c r="AX2412" t="inlineStr">
        <is>
          <t>361536</t>
        </is>
      </c>
      <c r="AY2412" t="inlineStr">
        <is>
          <t>991002487889702656</t>
        </is>
      </c>
      <c r="AZ2412" t="inlineStr">
        <is>
          <t>991002487889702656</t>
        </is>
      </c>
      <c r="BA2412" t="inlineStr">
        <is>
          <t>2263249740002656</t>
        </is>
      </c>
      <c r="BB2412" t="inlineStr">
        <is>
          <t>BOOK</t>
        </is>
      </c>
      <c r="BE2412" t="inlineStr">
        <is>
          <t>32285001442705</t>
        </is>
      </c>
      <c r="BF2412" t="inlineStr">
        <is>
          <t>893691668</t>
        </is>
      </c>
    </row>
    <row r="2413">
      <c r="A2413" t="inlineStr">
        <is>
          <t>No</t>
        </is>
      </c>
      <c r="B2413" t="inlineStr">
        <is>
          <t>CURAL</t>
        </is>
      </c>
      <c r="C2413" t="inlineStr">
        <is>
          <t>SHELVES</t>
        </is>
      </c>
      <c r="D2413" t="inlineStr">
        <is>
          <t>PR5438 .S65 1988</t>
        </is>
      </c>
      <c r="E2413" t="inlineStr">
        <is>
          <t>0                      PR 5438000S  65          1988</t>
        </is>
      </c>
      <c r="F2413" t="inlineStr">
        <is>
          <t>Shelley's major verse : the narrative and dramatic poetry / Stuart M. Sperry.</t>
        </is>
      </c>
      <c r="H2413" t="inlineStr">
        <is>
          <t>No</t>
        </is>
      </c>
      <c r="I2413" t="inlineStr">
        <is>
          <t>1</t>
        </is>
      </c>
      <c r="J2413" t="inlineStr">
        <is>
          <t>No</t>
        </is>
      </c>
      <c r="K2413" t="inlineStr">
        <is>
          <t>No</t>
        </is>
      </c>
      <c r="L2413" t="inlineStr">
        <is>
          <t>0</t>
        </is>
      </c>
      <c r="M2413" t="inlineStr">
        <is>
          <t>Sperry, Stuart M.</t>
        </is>
      </c>
      <c r="N2413" t="inlineStr">
        <is>
          <t>Cambridge, Mass. : Harvard University Press, 1988.</t>
        </is>
      </c>
      <c r="O2413" t="inlineStr">
        <is>
          <t>1988</t>
        </is>
      </c>
      <c r="Q2413" t="inlineStr">
        <is>
          <t>eng</t>
        </is>
      </c>
      <c r="R2413" t="inlineStr">
        <is>
          <t>mau</t>
        </is>
      </c>
      <c r="T2413" t="inlineStr">
        <is>
          <t xml:space="preserve">PR </t>
        </is>
      </c>
      <c r="U2413" t="n">
        <v>6</v>
      </c>
      <c r="V2413" t="n">
        <v>6</v>
      </c>
      <c r="W2413" t="inlineStr">
        <is>
          <t>1999-03-30</t>
        </is>
      </c>
      <c r="X2413" t="inlineStr">
        <is>
          <t>1999-03-30</t>
        </is>
      </c>
      <c r="Y2413" t="inlineStr">
        <is>
          <t>1992-02-01</t>
        </is>
      </c>
      <c r="Z2413" t="inlineStr">
        <is>
          <t>1992-02-01</t>
        </is>
      </c>
      <c r="AA2413" t="n">
        <v>863</v>
      </c>
      <c r="AB2413" t="n">
        <v>722</v>
      </c>
      <c r="AC2413" t="n">
        <v>729</v>
      </c>
      <c r="AD2413" t="n">
        <v>6</v>
      </c>
      <c r="AE2413" t="n">
        <v>6</v>
      </c>
      <c r="AF2413" t="n">
        <v>35</v>
      </c>
      <c r="AG2413" t="n">
        <v>35</v>
      </c>
      <c r="AH2413" t="n">
        <v>14</v>
      </c>
      <c r="AI2413" t="n">
        <v>14</v>
      </c>
      <c r="AJ2413" t="n">
        <v>9</v>
      </c>
      <c r="AK2413" t="n">
        <v>9</v>
      </c>
      <c r="AL2413" t="n">
        <v>16</v>
      </c>
      <c r="AM2413" t="n">
        <v>16</v>
      </c>
      <c r="AN2413" t="n">
        <v>5</v>
      </c>
      <c r="AO2413" t="n">
        <v>5</v>
      </c>
      <c r="AP2413" t="n">
        <v>0</v>
      </c>
      <c r="AQ2413" t="n">
        <v>0</v>
      </c>
      <c r="AR2413" t="inlineStr">
        <is>
          <t>No</t>
        </is>
      </c>
      <c r="AS2413" t="inlineStr">
        <is>
          <t>Yes</t>
        </is>
      </c>
      <c r="AT2413">
        <f>HYPERLINK("http://catalog.hathitrust.org/Record/000942455","HathiTrust Record")</f>
        <v/>
      </c>
      <c r="AU2413">
        <f>HYPERLINK("https://creighton-primo.hosted.exlibrisgroup.com/primo-explore/search?tab=default_tab&amp;search_scope=EVERYTHING&amp;vid=01CRU&amp;lang=en_US&amp;offset=0&amp;query=any,contains,991001200609702656","Catalog Record")</f>
        <v/>
      </c>
      <c r="AV2413">
        <f>HYPERLINK("http://www.worldcat.org/oclc/17300992","WorldCat Record")</f>
        <v/>
      </c>
      <c r="AW2413" t="inlineStr">
        <is>
          <t>228179429:eng</t>
        </is>
      </c>
      <c r="AX2413" t="inlineStr">
        <is>
          <t>17300992</t>
        </is>
      </c>
      <c r="AY2413" t="inlineStr">
        <is>
          <t>991001200609702656</t>
        </is>
      </c>
      <c r="AZ2413" t="inlineStr">
        <is>
          <t>991001200609702656</t>
        </is>
      </c>
      <c r="BA2413" t="inlineStr">
        <is>
          <t>2267799490002656</t>
        </is>
      </c>
      <c r="BB2413" t="inlineStr">
        <is>
          <t>BOOK</t>
        </is>
      </c>
      <c r="BD2413" t="inlineStr">
        <is>
          <t>9780674806252</t>
        </is>
      </c>
      <c r="BE2413" t="inlineStr">
        <is>
          <t>32285000932532</t>
        </is>
      </c>
      <c r="BF2413" t="inlineStr">
        <is>
          <t>893885123</t>
        </is>
      </c>
    </row>
    <row r="2414">
      <c r="A2414" t="inlineStr">
        <is>
          <t>No</t>
        </is>
      </c>
      <c r="B2414" t="inlineStr">
        <is>
          <t>CURAL</t>
        </is>
      </c>
      <c r="C2414" t="inlineStr">
        <is>
          <t>SHELVES</t>
        </is>
      </c>
      <c r="D2414" t="inlineStr">
        <is>
          <t>PR5438 .S7 1968</t>
        </is>
      </c>
      <c r="E2414" t="inlineStr">
        <is>
          <t>0                      PR 5438000S  7           1968</t>
        </is>
      </c>
      <c r="F2414" t="inlineStr">
        <is>
          <t>Three studies in Shelley : and an essay on nature in Wordsworth and Meredith.</t>
        </is>
      </c>
      <c r="H2414" t="inlineStr">
        <is>
          <t>No</t>
        </is>
      </c>
      <c r="I2414" t="inlineStr">
        <is>
          <t>1</t>
        </is>
      </c>
      <c r="J2414" t="inlineStr">
        <is>
          <t>No</t>
        </is>
      </c>
      <c r="K2414" t="inlineStr">
        <is>
          <t>No</t>
        </is>
      </c>
      <c r="L2414" t="inlineStr">
        <is>
          <t>0</t>
        </is>
      </c>
      <c r="M2414" t="inlineStr">
        <is>
          <t>Strong, Archibald, Sir, 1876-1930.</t>
        </is>
      </c>
      <c r="N2414" t="inlineStr">
        <is>
          <t>[Hamden, Conn.] : Archon Books, 1968.</t>
        </is>
      </c>
      <c r="O2414" t="inlineStr">
        <is>
          <t>1968</t>
        </is>
      </c>
      <c r="Q2414" t="inlineStr">
        <is>
          <t>eng</t>
        </is>
      </c>
      <c r="R2414" t="inlineStr">
        <is>
          <t>ctu</t>
        </is>
      </c>
      <c r="T2414" t="inlineStr">
        <is>
          <t xml:space="preserve">PR </t>
        </is>
      </c>
      <c r="U2414" t="n">
        <v>1</v>
      </c>
      <c r="V2414" t="n">
        <v>1</v>
      </c>
      <c r="W2414" t="inlineStr">
        <is>
          <t>2001-02-11</t>
        </is>
      </c>
      <c r="X2414" t="inlineStr">
        <is>
          <t>2001-02-11</t>
        </is>
      </c>
      <c r="Y2414" t="inlineStr">
        <is>
          <t>1995-04-24</t>
        </is>
      </c>
      <c r="Z2414" t="inlineStr">
        <is>
          <t>1995-04-24</t>
        </is>
      </c>
      <c r="AA2414" t="n">
        <v>195</v>
      </c>
      <c r="AB2414" t="n">
        <v>170</v>
      </c>
      <c r="AC2414" t="n">
        <v>394</v>
      </c>
      <c r="AD2414" t="n">
        <v>3</v>
      </c>
      <c r="AE2414" t="n">
        <v>4</v>
      </c>
      <c r="AF2414" t="n">
        <v>7</v>
      </c>
      <c r="AG2414" t="n">
        <v>20</v>
      </c>
      <c r="AH2414" t="n">
        <v>2</v>
      </c>
      <c r="AI2414" t="n">
        <v>6</v>
      </c>
      <c r="AJ2414" t="n">
        <v>1</v>
      </c>
      <c r="AK2414" t="n">
        <v>4</v>
      </c>
      <c r="AL2414" t="n">
        <v>4</v>
      </c>
      <c r="AM2414" t="n">
        <v>11</v>
      </c>
      <c r="AN2414" t="n">
        <v>2</v>
      </c>
      <c r="AO2414" t="n">
        <v>3</v>
      </c>
      <c r="AP2414" t="n">
        <v>0</v>
      </c>
      <c r="AQ2414" t="n">
        <v>0</v>
      </c>
      <c r="AR2414" t="inlineStr">
        <is>
          <t>No</t>
        </is>
      </c>
      <c r="AS2414" t="inlineStr">
        <is>
          <t>Yes</t>
        </is>
      </c>
      <c r="AT2414">
        <f>HYPERLINK("http://catalog.hathitrust.org/Record/001185586","HathiTrust Record")</f>
        <v/>
      </c>
      <c r="AU2414">
        <f>HYPERLINK("https://creighton-primo.hosted.exlibrisgroup.com/primo-explore/search?tab=default_tab&amp;search_scope=EVERYTHING&amp;vid=01CRU&amp;lang=en_US&amp;offset=0&amp;query=any,contains,991002487859702656","Catalog Record")</f>
        <v/>
      </c>
      <c r="AV2414">
        <f>HYPERLINK("http://www.worldcat.org/oclc/361533","WorldCat Record")</f>
        <v/>
      </c>
      <c r="AW2414" t="inlineStr">
        <is>
          <t>417507:eng</t>
        </is>
      </c>
      <c r="AX2414" t="inlineStr">
        <is>
          <t>361533</t>
        </is>
      </c>
      <c r="AY2414" t="inlineStr">
        <is>
          <t>991002487859702656</t>
        </is>
      </c>
      <c r="AZ2414" t="inlineStr">
        <is>
          <t>991002487859702656</t>
        </is>
      </c>
      <c r="BA2414" t="inlineStr">
        <is>
          <t>2263230550002656</t>
        </is>
      </c>
      <c r="BB2414" t="inlineStr">
        <is>
          <t>BOOK</t>
        </is>
      </c>
      <c r="BD2414" t="inlineStr">
        <is>
          <t>9780208006653</t>
        </is>
      </c>
      <c r="BE2414" t="inlineStr">
        <is>
          <t>32285002028669</t>
        </is>
      </c>
      <c r="BF2414" t="inlineStr">
        <is>
          <t>893691667</t>
        </is>
      </c>
    </row>
    <row r="2415">
      <c r="A2415" t="inlineStr">
        <is>
          <t>No</t>
        </is>
      </c>
      <c r="B2415" t="inlineStr">
        <is>
          <t>CURAL</t>
        </is>
      </c>
      <c r="C2415" t="inlineStr">
        <is>
          <t>SHELVES</t>
        </is>
      </c>
      <c r="D2415" t="inlineStr">
        <is>
          <t>PR5438 .W5 1974</t>
        </is>
      </c>
      <c r="E2415" t="inlineStr">
        <is>
          <t>0                      PR 5438000W  5           1974</t>
        </is>
      </c>
      <c r="F2415" t="inlineStr">
        <is>
          <t>Shelley's later poetry : a study of his prophetic imagination / by Milton Wilson.</t>
        </is>
      </c>
      <c r="H2415" t="inlineStr">
        <is>
          <t>No</t>
        </is>
      </c>
      <c r="I2415" t="inlineStr">
        <is>
          <t>1</t>
        </is>
      </c>
      <c r="J2415" t="inlineStr">
        <is>
          <t>No</t>
        </is>
      </c>
      <c r="K2415" t="inlineStr">
        <is>
          <t>No</t>
        </is>
      </c>
      <c r="L2415" t="inlineStr">
        <is>
          <t>0</t>
        </is>
      </c>
      <c r="M2415" t="inlineStr">
        <is>
          <t>Wilson, Milton, 1923-2013.</t>
        </is>
      </c>
      <c r="N2415" t="inlineStr">
        <is>
          <t>Westport, Conn. : Greenwood Press, 1974, c1957.</t>
        </is>
      </c>
      <c r="O2415" t="inlineStr">
        <is>
          <t>1974</t>
        </is>
      </c>
      <c r="Q2415" t="inlineStr">
        <is>
          <t>eng</t>
        </is>
      </c>
      <c r="R2415" t="inlineStr">
        <is>
          <t>ctu</t>
        </is>
      </c>
      <c r="T2415" t="inlineStr">
        <is>
          <t xml:space="preserve">PR </t>
        </is>
      </c>
      <c r="U2415" t="n">
        <v>2</v>
      </c>
      <c r="V2415" t="n">
        <v>2</v>
      </c>
      <c r="W2415" t="inlineStr">
        <is>
          <t>1998-11-05</t>
        </is>
      </c>
      <c r="X2415" t="inlineStr">
        <is>
          <t>1998-11-05</t>
        </is>
      </c>
      <c r="Y2415" t="inlineStr">
        <is>
          <t>1992-02-01</t>
        </is>
      </c>
      <c r="Z2415" t="inlineStr">
        <is>
          <t>1992-02-01</t>
        </is>
      </c>
      <c r="AA2415" t="n">
        <v>62</v>
      </c>
      <c r="AB2415" t="n">
        <v>52</v>
      </c>
      <c r="AC2415" t="n">
        <v>636</v>
      </c>
      <c r="AD2415" t="n">
        <v>1</v>
      </c>
      <c r="AE2415" t="n">
        <v>7</v>
      </c>
      <c r="AF2415" t="n">
        <v>2</v>
      </c>
      <c r="AG2415" t="n">
        <v>39</v>
      </c>
      <c r="AH2415" t="n">
        <v>0</v>
      </c>
      <c r="AI2415" t="n">
        <v>16</v>
      </c>
      <c r="AJ2415" t="n">
        <v>2</v>
      </c>
      <c r="AK2415" t="n">
        <v>9</v>
      </c>
      <c r="AL2415" t="n">
        <v>0</v>
      </c>
      <c r="AM2415" t="n">
        <v>15</v>
      </c>
      <c r="AN2415" t="n">
        <v>0</v>
      </c>
      <c r="AO2415" t="n">
        <v>6</v>
      </c>
      <c r="AP2415" t="n">
        <v>0</v>
      </c>
      <c r="AQ2415" t="n">
        <v>0</v>
      </c>
      <c r="AR2415" t="inlineStr">
        <is>
          <t>No</t>
        </is>
      </c>
      <c r="AS2415" t="inlineStr">
        <is>
          <t>No</t>
        </is>
      </c>
      <c r="AU2415">
        <f>HYPERLINK("https://creighton-primo.hosted.exlibrisgroup.com/primo-explore/search?tab=default_tab&amp;search_scope=EVERYTHING&amp;vid=01CRU&amp;lang=en_US&amp;offset=0&amp;query=any,contains,991003503369702656","Catalog Record")</f>
        <v/>
      </c>
      <c r="AV2415">
        <f>HYPERLINK("http://www.worldcat.org/oclc/1055421","WorldCat Record")</f>
        <v/>
      </c>
      <c r="AW2415" t="inlineStr">
        <is>
          <t>198486778:eng</t>
        </is>
      </c>
      <c r="AX2415" t="inlineStr">
        <is>
          <t>1055421</t>
        </is>
      </c>
      <c r="AY2415" t="inlineStr">
        <is>
          <t>991003503369702656</t>
        </is>
      </c>
      <c r="AZ2415" t="inlineStr">
        <is>
          <t>991003503369702656</t>
        </is>
      </c>
      <c r="BA2415" t="inlineStr">
        <is>
          <t>2271802620002656</t>
        </is>
      </c>
      <c r="BB2415" t="inlineStr">
        <is>
          <t>BOOK</t>
        </is>
      </c>
      <c r="BD2415" t="inlineStr">
        <is>
          <t>9780837177748</t>
        </is>
      </c>
      <c r="BE2415" t="inlineStr">
        <is>
          <t>32285000932540</t>
        </is>
      </c>
      <c r="BF2415" t="inlineStr">
        <is>
          <t>893410340</t>
        </is>
      </c>
    </row>
    <row r="2416">
      <c r="A2416" t="inlineStr">
        <is>
          <t>No</t>
        </is>
      </c>
      <c r="B2416" t="inlineStr">
        <is>
          <t>CURAL</t>
        </is>
      </c>
      <c r="C2416" t="inlineStr">
        <is>
          <t>SHELVES</t>
        </is>
      </c>
      <c r="D2416" t="inlineStr">
        <is>
          <t>PR5438 .W7</t>
        </is>
      </c>
      <c r="E2416" t="inlineStr">
        <is>
          <t>0                      PR 5438000W  7</t>
        </is>
      </c>
      <c r="F2416" t="inlineStr">
        <is>
          <t>Shelley's myth of metaphor / [by] John W. Wright.</t>
        </is>
      </c>
      <c r="H2416" t="inlineStr">
        <is>
          <t>No</t>
        </is>
      </c>
      <c r="I2416" t="inlineStr">
        <is>
          <t>1</t>
        </is>
      </c>
      <c r="J2416" t="inlineStr">
        <is>
          <t>No</t>
        </is>
      </c>
      <c r="K2416" t="inlineStr">
        <is>
          <t>No</t>
        </is>
      </c>
      <c r="L2416" t="inlineStr">
        <is>
          <t>0</t>
        </is>
      </c>
      <c r="M2416" t="inlineStr">
        <is>
          <t>Wright, John W. (John Williams), 1931-</t>
        </is>
      </c>
      <c r="N2416" t="inlineStr">
        <is>
          <t>[Athens] : University of Georgia Press, [1970]</t>
        </is>
      </c>
      <c r="O2416" t="inlineStr">
        <is>
          <t>1970</t>
        </is>
      </c>
      <c r="Q2416" t="inlineStr">
        <is>
          <t>eng</t>
        </is>
      </c>
      <c r="R2416" t="inlineStr">
        <is>
          <t>gau</t>
        </is>
      </c>
      <c r="T2416" t="inlineStr">
        <is>
          <t xml:space="preserve">PR </t>
        </is>
      </c>
      <c r="U2416" t="n">
        <v>3</v>
      </c>
      <c r="V2416" t="n">
        <v>3</v>
      </c>
      <c r="W2416" t="inlineStr">
        <is>
          <t>2001-04-16</t>
        </is>
      </c>
      <c r="X2416" t="inlineStr">
        <is>
          <t>2001-04-16</t>
        </is>
      </c>
      <c r="Y2416" t="inlineStr">
        <is>
          <t>1997-07-14</t>
        </is>
      </c>
      <c r="Z2416" t="inlineStr">
        <is>
          <t>1997-07-14</t>
        </is>
      </c>
      <c r="AA2416" t="n">
        <v>357</v>
      </c>
      <c r="AB2416" t="n">
        <v>308</v>
      </c>
      <c r="AC2416" t="n">
        <v>315</v>
      </c>
      <c r="AD2416" t="n">
        <v>3</v>
      </c>
      <c r="AE2416" t="n">
        <v>3</v>
      </c>
      <c r="AF2416" t="n">
        <v>16</v>
      </c>
      <c r="AG2416" t="n">
        <v>16</v>
      </c>
      <c r="AH2416" t="n">
        <v>3</v>
      </c>
      <c r="AI2416" t="n">
        <v>3</v>
      </c>
      <c r="AJ2416" t="n">
        <v>3</v>
      </c>
      <c r="AK2416" t="n">
        <v>3</v>
      </c>
      <c r="AL2416" t="n">
        <v>11</v>
      </c>
      <c r="AM2416" t="n">
        <v>11</v>
      </c>
      <c r="AN2416" t="n">
        <v>2</v>
      </c>
      <c r="AO2416" t="n">
        <v>2</v>
      </c>
      <c r="AP2416" t="n">
        <v>0</v>
      </c>
      <c r="AQ2416" t="n">
        <v>0</v>
      </c>
      <c r="AR2416" t="inlineStr">
        <is>
          <t>No</t>
        </is>
      </c>
      <c r="AS2416" t="inlineStr">
        <is>
          <t>Yes</t>
        </is>
      </c>
      <c r="AT2416">
        <f>HYPERLINK("http://catalog.hathitrust.org/Record/001185595","HathiTrust Record")</f>
        <v/>
      </c>
      <c r="AU2416">
        <f>HYPERLINK("https://creighton-primo.hosted.exlibrisgroup.com/primo-explore/search?tab=default_tab&amp;search_scope=EVERYTHING&amp;vid=01CRU&amp;lang=en_US&amp;offset=0&amp;query=any,contains,991000622689702656","Catalog Record")</f>
        <v/>
      </c>
      <c r="AV2416">
        <f>HYPERLINK("http://www.worldcat.org/oclc/102981","WorldCat Record")</f>
        <v/>
      </c>
      <c r="AW2416" t="inlineStr">
        <is>
          <t>1177086:eng</t>
        </is>
      </c>
      <c r="AX2416" t="inlineStr">
        <is>
          <t>102981</t>
        </is>
      </c>
      <c r="AY2416" t="inlineStr">
        <is>
          <t>991000622689702656</t>
        </is>
      </c>
      <c r="AZ2416" t="inlineStr">
        <is>
          <t>991000622689702656</t>
        </is>
      </c>
      <c r="BA2416" t="inlineStr">
        <is>
          <t>2261791050002656</t>
        </is>
      </c>
      <c r="BB2416" t="inlineStr">
        <is>
          <t>BOOK</t>
        </is>
      </c>
      <c r="BD2416" t="inlineStr">
        <is>
          <t>9780820302607</t>
        </is>
      </c>
      <c r="BE2416" t="inlineStr">
        <is>
          <t>32285000932557</t>
        </is>
      </c>
      <c r="BF2416" t="inlineStr">
        <is>
          <t>893689872</t>
        </is>
      </c>
    </row>
    <row r="2417">
      <c r="A2417" t="inlineStr">
        <is>
          <t>No</t>
        </is>
      </c>
      <c r="B2417" t="inlineStr">
        <is>
          <t>CURAL</t>
        </is>
      </c>
      <c r="C2417" t="inlineStr">
        <is>
          <t>SHELVES</t>
        </is>
      </c>
      <c r="D2417" t="inlineStr">
        <is>
          <t>PR544 .M3 1969</t>
        </is>
      </c>
      <c r="E2417" t="inlineStr">
        <is>
          <t>0                      PR 0544000M  3           1969</t>
        </is>
      </c>
      <c r="F2417" t="inlineStr">
        <is>
          <t>The wit of love : Donne, Carew, Crashaw, Marvell / [by] Louis L. Martz.</t>
        </is>
      </c>
      <c r="H2417" t="inlineStr">
        <is>
          <t>No</t>
        </is>
      </c>
      <c r="I2417" t="inlineStr">
        <is>
          <t>1</t>
        </is>
      </c>
      <c r="J2417" t="inlineStr">
        <is>
          <t>No</t>
        </is>
      </c>
      <c r="K2417" t="inlineStr">
        <is>
          <t>No</t>
        </is>
      </c>
      <c r="L2417" t="inlineStr">
        <is>
          <t>0</t>
        </is>
      </c>
      <c r="M2417" t="inlineStr">
        <is>
          <t>Martz, Louis L. (Louis Lohr), 1913-2001.</t>
        </is>
      </c>
      <c r="N2417" t="inlineStr">
        <is>
          <t>Notre Dame [Ind.] : University of Notre Dame Press, [1969]</t>
        </is>
      </c>
      <c r="O2417" t="inlineStr">
        <is>
          <t>1969</t>
        </is>
      </c>
      <c r="Q2417" t="inlineStr">
        <is>
          <t>eng</t>
        </is>
      </c>
      <c r="R2417" t="inlineStr">
        <is>
          <t>inu</t>
        </is>
      </c>
      <c r="S2417" t="inlineStr">
        <is>
          <t>University of Notre Dame. Ward-Phillips lectures in English language and literature, v. 3</t>
        </is>
      </c>
      <c r="T2417" t="inlineStr">
        <is>
          <t xml:space="preserve">PR </t>
        </is>
      </c>
      <c r="U2417" t="n">
        <v>1</v>
      </c>
      <c r="V2417" t="n">
        <v>1</v>
      </c>
      <c r="W2417" t="inlineStr">
        <is>
          <t>2002-12-11</t>
        </is>
      </c>
      <c r="X2417" t="inlineStr">
        <is>
          <t>2002-12-11</t>
        </is>
      </c>
      <c r="Y2417" t="inlineStr">
        <is>
          <t>2002-12-11</t>
        </is>
      </c>
      <c r="Z2417" t="inlineStr">
        <is>
          <t>2002-12-11</t>
        </is>
      </c>
      <c r="AA2417" t="n">
        <v>973</v>
      </c>
      <c r="AB2417" t="n">
        <v>801</v>
      </c>
      <c r="AC2417" t="n">
        <v>803</v>
      </c>
      <c r="AD2417" t="n">
        <v>9</v>
      </c>
      <c r="AE2417" t="n">
        <v>9</v>
      </c>
      <c r="AF2417" t="n">
        <v>46</v>
      </c>
      <c r="AG2417" t="n">
        <v>46</v>
      </c>
      <c r="AH2417" t="n">
        <v>17</v>
      </c>
      <c r="AI2417" t="n">
        <v>17</v>
      </c>
      <c r="AJ2417" t="n">
        <v>9</v>
      </c>
      <c r="AK2417" t="n">
        <v>9</v>
      </c>
      <c r="AL2417" t="n">
        <v>23</v>
      </c>
      <c r="AM2417" t="n">
        <v>23</v>
      </c>
      <c r="AN2417" t="n">
        <v>8</v>
      </c>
      <c r="AO2417" t="n">
        <v>8</v>
      </c>
      <c r="AP2417" t="n">
        <v>0</v>
      </c>
      <c r="AQ2417" t="n">
        <v>0</v>
      </c>
      <c r="AR2417" t="inlineStr">
        <is>
          <t>No</t>
        </is>
      </c>
      <c r="AS2417" t="inlineStr">
        <is>
          <t>Yes</t>
        </is>
      </c>
      <c r="AT2417">
        <f>HYPERLINK("http://catalog.hathitrust.org/Record/001371599","HathiTrust Record")</f>
        <v/>
      </c>
      <c r="AU2417">
        <f>HYPERLINK("https://creighton-primo.hosted.exlibrisgroup.com/primo-explore/search?tab=default_tab&amp;search_scope=EVERYTHING&amp;vid=01CRU&amp;lang=en_US&amp;offset=0&amp;query=any,contains,991003960519702656","Catalog Record")</f>
        <v/>
      </c>
      <c r="AV2417">
        <f>HYPERLINK("http://www.worldcat.org/oclc/57335","WorldCat Record")</f>
        <v/>
      </c>
      <c r="AW2417" t="inlineStr">
        <is>
          <t>1192126:eng</t>
        </is>
      </c>
      <c r="AX2417" t="inlineStr">
        <is>
          <t>57335</t>
        </is>
      </c>
      <c r="AY2417" t="inlineStr">
        <is>
          <t>991003960519702656</t>
        </is>
      </c>
      <c r="AZ2417" t="inlineStr">
        <is>
          <t>991003960519702656</t>
        </is>
      </c>
      <c r="BA2417" t="inlineStr">
        <is>
          <t>2261633070002656</t>
        </is>
      </c>
      <c r="BB2417" t="inlineStr">
        <is>
          <t>BOOK</t>
        </is>
      </c>
      <c r="BD2417" t="inlineStr">
        <is>
          <t>9780268003548</t>
        </is>
      </c>
      <c r="BE2417" t="inlineStr">
        <is>
          <t>32285004690722</t>
        </is>
      </c>
      <c r="BF2417" t="inlineStr">
        <is>
          <t>893624174</t>
        </is>
      </c>
    </row>
    <row r="2418">
      <c r="A2418" t="inlineStr">
        <is>
          <t>No</t>
        </is>
      </c>
      <c r="B2418" t="inlineStr">
        <is>
          <t>CURAL</t>
        </is>
      </c>
      <c r="C2418" t="inlineStr">
        <is>
          <t>SHELVES</t>
        </is>
      </c>
      <c r="D2418" t="inlineStr">
        <is>
          <t>PR544 .S5 1969</t>
        </is>
      </c>
      <c r="E2418" t="inlineStr">
        <is>
          <t>0                      PR 0544000S  5           1969</t>
        </is>
      </c>
      <c r="F2418" t="inlineStr">
        <is>
          <t>Cavalier poets.</t>
        </is>
      </c>
      <c r="H2418" t="inlineStr">
        <is>
          <t>No</t>
        </is>
      </c>
      <c r="I2418" t="inlineStr">
        <is>
          <t>1</t>
        </is>
      </c>
      <c r="J2418" t="inlineStr">
        <is>
          <t>No</t>
        </is>
      </c>
      <c r="K2418" t="inlineStr">
        <is>
          <t>No</t>
        </is>
      </c>
      <c r="L2418" t="inlineStr">
        <is>
          <t>0</t>
        </is>
      </c>
      <c r="M2418" t="inlineStr">
        <is>
          <t>Skelton, Robin.</t>
        </is>
      </c>
      <c r="N2418" t="inlineStr">
        <is>
          <t>[Harlow, Eng.] Published for the British Council and the National Book League by Longmans, Green [1969, c1960]</t>
        </is>
      </c>
      <c r="O2418" t="inlineStr">
        <is>
          <t>1969</t>
        </is>
      </c>
      <c r="Q2418" t="inlineStr">
        <is>
          <t>eng</t>
        </is>
      </c>
      <c r="R2418" t="inlineStr">
        <is>
          <t>enk</t>
        </is>
      </c>
      <c r="S2418" t="inlineStr">
        <is>
          <t>Writers and their work, no. 117</t>
        </is>
      </c>
      <c r="T2418" t="inlineStr">
        <is>
          <t xml:space="preserve">PR </t>
        </is>
      </c>
      <c r="U2418" t="n">
        <v>2</v>
      </c>
      <c r="V2418" t="n">
        <v>2</v>
      </c>
      <c r="W2418" t="inlineStr">
        <is>
          <t>1997-12-17</t>
        </is>
      </c>
      <c r="X2418" t="inlineStr">
        <is>
          <t>1997-12-17</t>
        </is>
      </c>
      <c r="Y2418" t="inlineStr">
        <is>
          <t>1997-08-29</t>
        </is>
      </c>
      <c r="Z2418" t="inlineStr">
        <is>
          <t>1997-08-29</t>
        </is>
      </c>
      <c r="AA2418" t="n">
        <v>206</v>
      </c>
      <c r="AB2418" t="n">
        <v>166</v>
      </c>
      <c r="AC2418" t="n">
        <v>782</v>
      </c>
      <c r="AD2418" t="n">
        <v>1</v>
      </c>
      <c r="AE2418" t="n">
        <v>4</v>
      </c>
      <c r="AF2418" t="n">
        <v>6</v>
      </c>
      <c r="AG2418" t="n">
        <v>36</v>
      </c>
      <c r="AH2418" t="n">
        <v>3</v>
      </c>
      <c r="AI2418" t="n">
        <v>14</v>
      </c>
      <c r="AJ2418" t="n">
        <v>1</v>
      </c>
      <c r="AK2418" t="n">
        <v>9</v>
      </c>
      <c r="AL2418" t="n">
        <v>5</v>
      </c>
      <c r="AM2418" t="n">
        <v>21</v>
      </c>
      <c r="AN2418" t="n">
        <v>0</v>
      </c>
      <c r="AO2418" t="n">
        <v>3</v>
      </c>
      <c r="AP2418" t="n">
        <v>0</v>
      </c>
      <c r="AQ2418" t="n">
        <v>0</v>
      </c>
      <c r="AR2418" t="inlineStr">
        <is>
          <t>No</t>
        </is>
      </c>
      <c r="AS2418" t="inlineStr">
        <is>
          <t>No</t>
        </is>
      </c>
      <c r="AU2418">
        <f>HYPERLINK("https://creighton-primo.hosted.exlibrisgroup.com/primo-explore/search?tab=default_tab&amp;search_scope=EVERYTHING&amp;vid=01CRU&amp;lang=en_US&amp;offset=0&amp;query=any,contains,991000572539702656","Catalog Record")</f>
        <v/>
      </c>
      <c r="AV2418">
        <f>HYPERLINK("http://www.worldcat.org/oclc/94859","WorldCat Record")</f>
        <v/>
      </c>
      <c r="AW2418" t="inlineStr">
        <is>
          <t>1315818:eng</t>
        </is>
      </c>
      <c r="AX2418" t="inlineStr">
        <is>
          <t>94859</t>
        </is>
      </c>
      <c r="AY2418" t="inlineStr">
        <is>
          <t>991000572539702656</t>
        </is>
      </c>
      <c r="AZ2418" t="inlineStr">
        <is>
          <t>991000572539702656</t>
        </is>
      </c>
      <c r="BA2418" t="inlineStr">
        <is>
          <t>2265996120002656</t>
        </is>
      </c>
      <c r="BB2418" t="inlineStr">
        <is>
          <t>BOOK</t>
        </is>
      </c>
      <c r="BE2418" t="inlineStr">
        <is>
          <t>32285003154084</t>
        </is>
      </c>
      <c r="BF2418" t="inlineStr">
        <is>
          <t>893438378</t>
        </is>
      </c>
    </row>
    <row r="2419">
      <c r="A2419" t="inlineStr">
        <is>
          <t>No</t>
        </is>
      </c>
      <c r="B2419" t="inlineStr">
        <is>
          <t>CURAL</t>
        </is>
      </c>
      <c r="C2419" t="inlineStr">
        <is>
          <t>SHELVES</t>
        </is>
      </c>
      <c r="D2419" t="inlineStr">
        <is>
          <t>PR544 .W5 1967</t>
        </is>
      </c>
      <c r="E2419" t="inlineStr">
        <is>
          <t>0                      PR 0544000W  5           1967</t>
        </is>
      </c>
      <c r="F2419" t="inlineStr">
        <is>
          <t>Three metaphysical poets: Richard Crashaw, Henry Vaughan, Thomas Traherne.</t>
        </is>
      </c>
      <c r="H2419" t="inlineStr">
        <is>
          <t>No</t>
        </is>
      </c>
      <c r="I2419" t="inlineStr">
        <is>
          <t>1</t>
        </is>
      </c>
      <c r="J2419" t="inlineStr">
        <is>
          <t>No</t>
        </is>
      </c>
      <c r="K2419" t="inlineStr">
        <is>
          <t>No</t>
        </is>
      </c>
      <c r="L2419" t="inlineStr">
        <is>
          <t>0</t>
        </is>
      </c>
      <c r="M2419" t="inlineStr">
        <is>
          <t>Willy, Margaret.</t>
        </is>
      </c>
      <c r="N2419" t="inlineStr">
        <is>
          <t>[London] Published for the British Council and the National Book League by Longmans, Green [1967, c1961]</t>
        </is>
      </c>
      <c r="O2419" t="inlineStr">
        <is>
          <t>1967</t>
        </is>
      </c>
      <c r="Q2419" t="inlineStr">
        <is>
          <t>eng</t>
        </is>
      </c>
      <c r="R2419" t="inlineStr">
        <is>
          <t>enk</t>
        </is>
      </c>
      <c r="S2419" t="inlineStr">
        <is>
          <t>Bibliographical series of supplements to British book news on writers and their work ; no. 134</t>
        </is>
      </c>
      <c r="T2419" t="inlineStr">
        <is>
          <t xml:space="preserve">PR </t>
        </is>
      </c>
      <c r="U2419" t="n">
        <v>2</v>
      </c>
      <c r="V2419" t="n">
        <v>2</v>
      </c>
      <c r="W2419" t="inlineStr">
        <is>
          <t>2005-10-24</t>
        </is>
      </c>
      <c r="X2419" t="inlineStr">
        <is>
          <t>2005-10-24</t>
        </is>
      </c>
      <c r="Y2419" t="inlineStr">
        <is>
          <t>1997-08-29</t>
        </is>
      </c>
      <c r="Z2419" t="inlineStr">
        <is>
          <t>1997-08-29</t>
        </is>
      </c>
      <c r="AA2419" t="n">
        <v>171</v>
      </c>
      <c r="AB2419" t="n">
        <v>130</v>
      </c>
      <c r="AC2419" t="n">
        <v>528</v>
      </c>
      <c r="AD2419" t="n">
        <v>1</v>
      </c>
      <c r="AE2419" t="n">
        <v>5</v>
      </c>
      <c r="AF2419" t="n">
        <v>2</v>
      </c>
      <c r="AG2419" t="n">
        <v>29</v>
      </c>
      <c r="AH2419" t="n">
        <v>0</v>
      </c>
      <c r="AI2419" t="n">
        <v>11</v>
      </c>
      <c r="AJ2419" t="n">
        <v>1</v>
      </c>
      <c r="AK2419" t="n">
        <v>5</v>
      </c>
      <c r="AL2419" t="n">
        <v>1</v>
      </c>
      <c r="AM2419" t="n">
        <v>15</v>
      </c>
      <c r="AN2419" t="n">
        <v>0</v>
      </c>
      <c r="AO2419" t="n">
        <v>4</v>
      </c>
      <c r="AP2419" t="n">
        <v>0</v>
      </c>
      <c r="AQ2419" t="n">
        <v>0</v>
      </c>
      <c r="AR2419" t="inlineStr">
        <is>
          <t>No</t>
        </is>
      </c>
      <c r="AS2419" t="inlineStr">
        <is>
          <t>No</t>
        </is>
      </c>
      <c r="AU2419">
        <f>HYPERLINK("https://creighton-primo.hosted.exlibrisgroup.com/primo-explore/search?tab=default_tab&amp;search_scope=EVERYTHING&amp;vid=01CRU&amp;lang=en_US&amp;offset=0&amp;query=any,contains,991000490599702656","Catalog Record")</f>
        <v/>
      </c>
      <c r="AV2419">
        <f>HYPERLINK("http://www.worldcat.org/oclc/80516","WorldCat Record")</f>
        <v/>
      </c>
      <c r="AW2419" t="inlineStr">
        <is>
          <t>1307447:eng</t>
        </is>
      </c>
      <c r="AX2419" t="inlineStr">
        <is>
          <t>80516</t>
        </is>
      </c>
      <c r="AY2419" t="inlineStr">
        <is>
          <t>991000490599702656</t>
        </is>
      </c>
      <c r="AZ2419" t="inlineStr">
        <is>
          <t>991000490599702656</t>
        </is>
      </c>
      <c r="BA2419" t="inlineStr">
        <is>
          <t>2269941610002656</t>
        </is>
      </c>
      <c r="BB2419" t="inlineStr">
        <is>
          <t>BOOK</t>
        </is>
      </c>
      <c r="BE2419" t="inlineStr">
        <is>
          <t>32285003154100</t>
        </is>
      </c>
      <c r="BF2419" t="inlineStr">
        <is>
          <t>893321082</t>
        </is>
      </c>
    </row>
    <row r="2420">
      <c r="A2420" t="inlineStr">
        <is>
          <t>No</t>
        </is>
      </c>
      <c r="B2420" t="inlineStr">
        <is>
          <t>CURAL</t>
        </is>
      </c>
      <c r="C2420" t="inlineStr">
        <is>
          <t>SHELVES</t>
        </is>
      </c>
      <c r="D2420" t="inlineStr">
        <is>
          <t>PR5442.D35 K8 1971</t>
        </is>
      </c>
      <c r="E2420" t="inlineStr">
        <is>
          <t>0                      PR 5442000D  35                 K  8           1971</t>
        </is>
      </c>
      <c r="F2420" t="inlineStr">
        <is>
          <t>The pursuit of death : a study of Shelley's poetry / New York, Oxford University Press, 1933.</t>
        </is>
      </c>
      <c r="H2420" t="inlineStr">
        <is>
          <t>No</t>
        </is>
      </c>
      <c r="I2420" t="inlineStr">
        <is>
          <t>1</t>
        </is>
      </c>
      <c r="J2420" t="inlineStr">
        <is>
          <t>No</t>
        </is>
      </c>
      <c r="K2420" t="inlineStr">
        <is>
          <t>No</t>
        </is>
      </c>
      <c r="L2420" t="inlineStr">
        <is>
          <t>0</t>
        </is>
      </c>
      <c r="M2420" t="inlineStr">
        <is>
          <t>Kurtz, Benjamin Putnam, 1878-1950.</t>
        </is>
      </c>
      <c r="N2420" t="inlineStr">
        <is>
          <t>St. Clair Shores, Mich. : Scholarly Press, 1971.</t>
        </is>
      </c>
      <c r="O2420" t="inlineStr">
        <is>
          <t>1971</t>
        </is>
      </c>
      <c r="Q2420" t="inlineStr">
        <is>
          <t>eng</t>
        </is>
      </c>
      <c r="R2420" t="inlineStr">
        <is>
          <t>miu</t>
        </is>
      </c>
      <c r="T2420" t="inlineStr">
        <is>
          <t xml:space="preserve">PR </t>
        </is>
      </c>
      <c r="U2420" t="n">
        <v>5</v>
      </c>
      <c r="V2420" t="n">
        <v>5</v>
      </c>
      <c r="W2420" t="inlineStr">
        <is>
          <t>1999-02-20</t>
        </is>
      </c>
      <c r="X2420" t="inlineStr">
        <is>
          <t>1999-02-20</t>
        </is>
      </c>
      <c r="Y2420" t="inlineStr">
        <is>
          <t>1992-02-01</t>
        </is>
      </c>
      <c r="Z2420" t="inlineStr">
        <is>
          <t>1992-02-01</t>
        </is>
      </c>
      <c r="AA2420" t="n">
        <v>71</v>
      </c>
      <c r="AB2420" t="n">
        <v>61</v>
      </c>
      <c r="AC2420" t="n">
        <v>653</v>
      </c>
      <c r="AD2420" t="n">
        <v>2</v>
      </c>
      <c r="AE2420" t="n">
        <v>4</v>
      </c>
      <c r="AF2420" t="n">
        <v>2</v>
      </c>
      <c r="AG2420" t="n">
        <v>30</v>
      </c>
      <c r="AH2420" t="n">
        <v>0</v>
      </c>
      <c r="AI2420" t="n">
        <v>10</v>
      </c>
      <c r="AJ2420" t="n">
        <v>0</v>
      </c>
      <c r="AK2420" t="n">
        <v>8</v>
      </c>
      <c r="AL2420" t="n">
        <v>1</v>
      </c>
      <c r="AM2420" t="n">
        <v>16</v>
      </c>
      <c r="AN2420" t="n">
        <v>1</v>
      </c>
      <c r="AO2420" t="n">
        <v>3</v>
      </c>
      <c r="AP2420" t="n">
        <v>0</v>
      </c>
      <c r="AQ2420" t="n">
        <v>0</v>
      </c>
      <c r="AR2420" t="inlineStr">
        <is>
          <t>No</t>
        </is>
      </c>
      <c r="AS2420" t="inlineStr">
        <is>
          <t>Yes</t>
        </is>
      </c>
      <c r="AT2420">
        <f>HYPERLINK("http://catalog.hathitrust.org/Record/001185559","HathiTrust Record")</f>
        <v/>
      </c>
      <c r="AU2420">
        <f>HYPERLINK("https://creighton-primo.hosted.exlibrisgroup.com/primo-explore/search?tab=default_tab&amp;search_scope=EVERYTHING&amp;vid=01CRU&amp;lang=en_US&amp;offset=0&amp;query=any,contains,991000740039702656","Catalog Record")</f>
        <v/>
      </c>
      <c r="AV2420">
        <f>HYPERLINK("http://www.worldcat.org/oclc/129028","WorldCat Record")</f>
        <v/>
      </c>
      <c r="AW2420" t="inlineStr">
        <is>
          <t>1245835:eng</t>
        </is>
      </c>
      <c r="AX2420" t="inlineStr">
        <is>
          <t>129028</t>
        </is>
      </c>
      <c r="AY2420" t="inlineStr">
        <is>
          <t>991000740039702656</t>
        </is>
      </c>
      <c r="AZ2420" t="inlineStr">
        <is>
          <t>991000740039702656</t>
        </is>
      </c>
      <c r="BA2420" t="inlineStr">
        <is>
          <t>2266546250002656</t>
        </is>
      </c>
      <c r="BB2420" t="inlineStr">
        <is>
          <t>BOOK</t>
        </is>
      </c>
      <c r="BD2420" t="inlineStr">
        <is>
          <t>9780403007660</t>
        </is>
      </c>
      <c r="BE2420" t="inlineStr">
        <is>
          <t>32285000932565</t>
        </is>
      </c>
      <c r="BF2420" t="inlineStr">
        <is>
          <t>893784487</t>
        </is>
      </c>
    </row>
    <row r="2421">
      <c r="A2421" t="inlineStr">
        <is>
          <t>No</t>
        </is>
      </c>
      <c r="B2421" t="inlineStr">
        <is>
          <t>CURAL</t>
        </is>
      </c>
      <c r="C2421" t="inlineStr">
        <is>
          <t>SHELVES</t>
        </is>
      </c>
      <c r="D2421" t="inlineStr">
        <is>
          <t>PR5442.I82 W45 1991</t>
        </is>
      </c>
      <c r="E2421" t="inlineStr">
        <is>
          <t>0                      PR 5442000I  82                 W  45          1991</t>
        </is>
      </c>
      <c r="F2421" t="inlineStr">
        <is>
          <t>Shelley's Italian experience / Alan M. Weinberg.</t>
        </is>
      </c>
      <c r="H2421" t="inlineStr">
        <is>
          <t>No</t>
        </is>
      </c>
      <c r="I2421" t="inlineStr">
        <is>
          <t>1</t>
        </is>
      </c>
      <c r="J2421" t="inlineStr">
        <is>
          <t>No</t>
        </is>
      </c>
      <c r="K2421" t="inlineStr">
        <is>
          <t>No</t>
        </is>
      </c>
      <c r="L2421" t="inlineStr">
        <is>
          <t>0</t>
        </is>
      </c>
      <c r="M2421" t="inlineStr">
        <is>
          <t>Weinberg, Alan M. (Alan Mendel)</t>
        </is>
      </c>
      <c r="N2421" t="inlineStr">
        <is>
          <t>London : Macmillan, 1991.</t>
        </is>
      </c>
      <c r="O2421" t="inlineStr">
        <is>
          <t>1991</t>
        </is>
      </c>
      <c r="Q2421" t="inlineStr">
        <is>
          <t>eng</t>
        </is>
      </c>
      <c r="R2421" t="inlineStr">
        <is>
          <t>enk</t>
        </is>
      </c>
      <c r="S2421" t="inlineStr">
        <is>
          <t>Macmillan studies in romanticism</t>
        </is>
      </c>
      <c r="T2421" t="inlineStr">
        <is>
          <t xml:space="preserve">PR </t>
        </is>
      </c>
      <c r="U2421" t="n">
        <v>2</v>
      </c>
      <c r="V2421" t="n">
        <v>2</v>
      </c>
      <c r="W2421" t="inlineStr">
        <is>
          <t>1995-03-20</t>
        </is>
      </c>
      <c r="X2421" t="inlineStr">
        <is>
          <t>1995-03-20</t>
        </is>
      </c>
      <c r="Y2421" t="inlineStr">
        <is>
          <t>1994-04-21</t>
        </is>
      </c>
      <c r="Z2421" t="inlineStr">
        <is>
          <t>1994-04-21</t>
        </is>
      </c>
      <c r="AA2421" t="n">
        <v>46</v>
      </c>
      <c r="AB2421" t="n">
        <v>30</v>
      </c>
      <c r="AC2421" t="n">
        <v>229</v>
      </c>
      <c r="AD2421" t="n">
        <v>1</v>
      </c>
      <c r="AE2421" t="n">
        <v>2</v>
      </c>
      <c r="AF2421" t="n">
        <v>1</v>
      </c>
      <c r="AG2421" t="n">
        <v>14</v>
      </c>
      <c r="AH2421" t="n">
        <v>0</v>
      </c>
      <c r="AI2421" t="n">
        <v>5</v>
      </c>
      <c r="AJ2421" t="n">
        <v>0</v>
      </c>
      <c r="AK2421" t="n">
        <v>5</v>
      </c>
      <c r="AL2421" t="n">
        <v>1</v>
      </c>
      <c r="AM2421" t="n">
        <v>8</v>
      </c>
      <c r="AN2421" t="n">
        <v>0</v>
      </c>
      <c r="AO2421" t="n">
        <v>1</v>
      </c>
      <c r="AP2421" t="n">
        <v>0</v>
      </c>
      <c r="AQ2421" t="n">
        <v>0</v>
      </c>
      <c r="AR2421" t="inlineStr">
        <is>
          <t>No</t>
        </is>
      </c>
      <c r="AS2421" t="inlineStr">
        <is>
          <t>No</t>
        </is>
      </c>
      <c r="AU2421">
        <f>HYPERLINK("https://creighton-primo.hosted.exlibrisgroup.com/primo-explore/search?tab=default_tab&amp;search_scope=EVERYTHING&amp;vid=01CRU&amp;lang=en_US&amp;offset=0&amp;query=any,contains,991002034029702656","Catalog Record")</f>
        <v/>
      </c>
      <c r="AV2421">
        <f>HYPERLINK("http://www.worldcat.org/oclc/25914275","WorldCat Record")</f>
        <v/>
      </c>
      <c r="AW2421" t="inlineStr">
        <is>
          <t>22241440:eng</t>
        </is>
      </c>
      <c r="AX2421" t="inlineStr">
        <is>
          <t>25914275</t>
        </is>
      </c>
      <c r="AY2421" t="inlineStr">
        <is>
          <t>991002034029702656</t>
        </is>
      </c>
      <c r="AZ2421" t="inlineStr">
        <is>
          <t>991002034029702656</t>
        </is>
      </c>
      <c r="BA2421" t="inlineStr">
        <is>
          <t>2272040010002656</t>
        </is>
      </c>
      <c r="BB2421" t="inlineStr">
        <is>
          <t>BOOK</t>
        </is>
      </c>
      <c r="BD2421" t="inlineStr">
        <is>
          <t>9780333497623</t>
        </is>
      </c>
      <c r="BE2421" t="inlineStr">
        <is>
          <t>32285001877017</t>
        </is>
      </c>
      <c r="BF2421" t="inlineStr">
        <is>
          <t>893709788</t>
        </is>
      </c>
    </row>
    <row r="2422">
      <c r="A2422" t="inlineStr">
        <is>
          <t>No</t>
        </is>
      </c>
      <c r="B2422" t="inlineStr">
        <is>
          <t>CURAL</t>
        </is>
      </c>
      <c r="C2422" t="inlineStr">
        <is>
          <t>SHELVES</t>
        </is>
      </c>
      <c r="D2422" t="inlineStr">
        <is>
          <t>PR5442.P5 A2</t>
        </is>
      </c>
      <c r="E2422" t="inlineStr">
        <is>
          <t>0                      PR 5442000P  5                  A  2</t>
        </is>
      </c>
      <c r="F2422" t="inlineStr">
        <is>
          <t>Destroyer and preserver : Shelley's poetic skepticism / Lloyd Abbey.</t>
        </is>
      </c>
      <c r="H2422" t="inlineStr">
        <is>
          <t>No</t>
        </is>
      </c>
      <c r="I2422" t="inlineStr">
        <is>
          <t>1</t>
        </is>
      </c>
      <c r="J2422" t="inlineStr">
        <is>
          <t>No</t>
        </is>
      </c>
      <c r="K2422" t="inlineStr">
        <is>
          <t>No</t>
        </is>
      </c>
      <c r="L2422" t="inlineStr">
        <is>
          <t>0</t>
        </is>
      </c>
      <c r="M2422" t="inlineStr">
        <is>
          <t>Abbey, Lloyd Robert, 1943-</t>
        </is>
      </c>
      <c r="N2422" t="inlineStr">
        <is>
          <t>Lincoln : University of Nebraska Press, c1979.</t>
        </is>
      </c>
      <c r="O2422" t="inlineStr">
        <is>
          <t>1979</t>
        </is>
      </c>
      <c r="Q2422" t="inlineStr">
        <is>
          <t>eng</t>
        </is>
      </c>
      <c r="R2422" t="inlineStr">
        <is>
          <t>nbu</t>
        </is>
      </c>
      <c r="T2422" t="inlineStr">
        <is>
          <t xml:space="preserve">PR </t>
        </is>
      </c>
      <c r="U2422" t="n">
        <v>3</v>
      </c>
      <c r="V2422" t="n">
        <v>3</v>
      </c>
      <c r="W2422" t="inlineStr">
        <is>
          <t>2001-03-27</t>
        </is>
      </c>
      <c r="X2422" t="inlineStr">
        <is>
          <t>2001-03-27</t>
        </is>
      </c>
      <c r="Y2422" t="inlineStr">
        <is>
          <t>1992-02-01</t>
        </is>
      </c>
      <c r="Z2422" t="inlineStr">
        <is>
          <t>1992-02-01</t>
        </is>
      </c>
      <c r="AA2422" t="n">
        <v>502</v>
      </c>
      <c r="AB2422" t="n">
        <v>393</v>
      </c>
      <c r="AC2422" t="n">
        <v>396</v>
      </c>
      <c r="AD2422" t="n">
        <v>6</v>
      </c>
      <c r="AE2422" t="n">
        <v>6</v>
      </c>
      <c r="AF2422" t="n">
        <v>24</v>
      </c>
      <c r="AG2422" t="n">
        <v>24</v>
      </c>
      <c r="AH2422" t="n">
        <v>8</v>
      </c>
      <c r="AI2422" t="n">
        <v>8</v>
      </c>
      <c r="AJ2422" t="n">
        <v>7</v>
      </c>
      <c r="AK2422" t="n">
        <v>7</v>
      </c>
      <c r="AL2422" t="n">
        <v>11</v>
      </c>
      <c r="AM2422" t="n">
        <v>11</v>
      </c>
      <c r="AN2422" t="n">
        <v>4</v>
      </c>
      <c r="AO2422" t="n">
        <v>4</v>
      </c>
      <c r="AP2422" t="n">
        <v>0</v>
      </c>
      <c r="AQ2422" t="n">
        <v>0</v>
      </c>
      <c r="AR2422" t="inlineStr">
        <is>
          <t>No</t>
        </is>
      </c>
      <c r="AS2422" t="inlineStr">
        <is>
          <t>Yes</t>
        </is>
      </c>
      <c r="AT2422">
        <f>HYPERLINK("http://catalog.hathitrust.org/Record/000690018","HathiTrust Record")</f>
        <v/>
      </c>
      <c r="AU2422">
        <f>HYPERLINK("https://creighton-primo.hosted.exlibrisgroup.com/primo-explore/search?tab=default_tab&amp;search_scope=EVERYTHING&amp;vid=01CRU&amp;lang=en_US&amp;offset=0&amp;query=any,contains,991004778569702656","Catalog Record")</f>
        <v/>
      </c>
      <c r="AV2422">
        <f>HYPERLINK("http://www.worldcat.org/oclc/5101914","WorldCat Record")</f>
        <v/>
      </c>
      <c r="AW2422" t="inlineStr">
        <is>
          <t>286354606:eng</t>
        </is>
      </c>
      <c r="AX2422" t="inlineStr">
        <is>
          <t>5101914</t>
        </is>
      </c>
      <c r="AY2422" t="inlineStr">
        <is>
          <t>991004778569702656</t>
        </is>
      </c>
      <c r="AZ2422" t="inlineStr">
        <is>
          <t>991004778569702656</t>
        </is>
      </c>
      <c r="BA2422" t="inlineStr">
        <is>
          <t>2259117480002656</t>
        </is>
      </c>
      <c r="BB2422" t="inlineStr">
        <is>
          <t>BOOK</t>
        </is>
      </c>
      <c r="BD2422" t="inlineStr">
        <is>
          <t>9780803210011</t>
        </is>
      </c>
      <c r="BE2422" t="inlineStr">
        <is>
          <t>32285000932573</t>
        </is>
      </c>
      <c r="BF2422" t="inlineStr">
        <is>
          <t>893507219</t>
        </is>
      </c>
    </row>
    <row r="2423">
      <c r="A2423" t="inlineStr">
        <is>
          <t>No</t>
        </is>
      </c>
      <c r="B2423" t="inlineStr">
        <is>
          <t>CURAL</t>
        </is>
      </c>
      <c r="C2423" t="inlineStr">
        <is>
          <t>SHELVES</t>
        </is>
      </c>
      <c r="D2423" t="inlineStr">
        <is>
          <t>PR5442.R5 W6</t>
        </is>
      </c>
      <c r="E2423" t="inlineStr">
        <is>
          <t>0                      PR 5442000R  5                  W  6</t>
        </is>
      </c>
      <c r="F2423" t="inlineStr">
        <is>
          <t>The apocalyptic vision in the poetry of Shelley.</t>
        </is>
      </c>
      <c r="H2423" t="inlineStr">
        <is>
          <t>No</t>
        </is>
      </c>
      <c r="I2423" t="inlineStr">
        <is>
          <t>1</t>
        </is>
      </c>
      <c r="J2423" t="inlineStr">
        <is>
          <t>No</t>
        </is>
      </c>
      <c r="K2423" t="inlineStr">
        <is>
          <t>No</t>
        </is>
      </c>
      <c r="L2423" t="inlineStr">
        <is>
          <t>0</t>
        </is>
      </c>
      <c r="M2423" t="inlineStr">
        <is>
          <t>Woodman, Ross Greig.</t>
        </is>
      </c>
      <c r="N2423" t="inlineStr">
        <is>
          <t>[Toronto] University of Toronto Press [1964]</t>
        </is>
      </c>
      <c r="O2423" t="inlineStr">
        <is>
          <t>1964</t>
        </is>
      </c>
      <c r="Q2423" t="inlineStr">
        <is>
          <t>eng</t>
        </is>
      </c>
      <c r="R2423" t="inlineStr">
        <is>
          <t>onc</t>
        </is>
      </c>
      <c r="S2423" t="inlineStr">
        <is>
          <t>University of Toronto, Dept. of English. Studies and texts, no. 12</t>
        </is>
      </c>
      <c r="T2423" t="inlineStr">
        <is>
          <t xml:space="preserve">PR </t>
        </is>
      </c>
      <c r="U2423" t="n">
        <v>5</v>
      </c>
      <c r="V2423" t="n">
        <v>5</v>
      </c>
      <c r="W2423" t="inlineStr">
        <is>
          <t>2001-04-07</t>
        </is>
      </c>
      <c r="X2423" t="inlineStr">
        <is>
          <t>2001-04-07</t>
        </is>
      </c>
      <c r="Y2423" t="inlineStr">
        <is>
          <t>1997-07-18</t>
        </is>
      </c>
      <c r="Z2423" t="inlineStr">
        <is>
          <t>1997-07-18</t>
        </is>
      </c>
      <c r="AA2423" t="n">
        <v>726</v>
      </c>
      <c r="AB2423" t="n">
        <v>597</v>
      </c>
      <c r="AC2423" t="n">
        <v>607</v>
      </c>
      <c r="AD2423" t="n">
        <v>7</v>
      </c>
      <c r="AE2423" t="n">
        <v>7</v>
      </c>
      <c r="AF2423" t="n">
        <v>34</v>
      </c>
      <c r="AG2423" t="n">
        <v>34</v>
      </c>
      <c r="AH2423" t="n">
        <v>11</v>
      </c>
      <c r="AI2423" t="n">
        <v>11</v>
      </c>
      <c r="AJ2423" t="n">
        <v>7</v>
      </c>
      <c r="AK2423" t="n">
        <v>7</v>
      </c>
      <c r="AL2423" t="n">
        <v>17</v>
      </c>
      <c r="AM2423" t="n">
        <v>17</v>
      </c>
      <c r="AN2423" t="n">
        <v>6</v>
      </c>
      <c r="AO2423" t="n">
        <v>6</v>
      </c>
      <c r="AP2423" t="n">
        <v>0</v>
      </c>
      <c r="AQ2423" t="n">
        <v>0</v>
      </c>
      <c r="AR2423" t="inlineStr">
        <is>
          <t>No</t>
        </is>
      </c>
      <c r="AS2423" t="inlineStr">
        <is>
          <t>Yes</t>
        </is>
      </c>
      <c r="AT2423">
        <f>HYPERLINK("http://catalog.hathitrust.org/Record/001185594","HathiTrust Record")</f>
        <v/>
      </c>
      <c r="AU2423">
        <f>HYPERLINK("https://creighton-primo.hosted.exlibrisgroup.com/primo-explore/search?tab=default_tab&amp;search_scope=EVERYTHING&amp;vid=01CRU&amp;lang=en_US&amp;offset=0&amp;query=any,contains,991002487989702656","Catalog Record")</f>
        <v/>
      </c>
      <c r="AV2423">
        <f>HYPERLINK("http://www.worldcat.org/oclc/361565","WorldCat Record")</f>
        <v/>
      </c>
      <c r="AW2423" t="inlineStr">
        <is>
          <t>1414656:eng</t>
        </is>
      </c>
      <c r="AX2423" t="inlineStr">
        <is>
          <t>361565</t>
        </is>
      </c>
      <c r="AY2423" t="inlineStr">
        <is>
          <t>991002487989702656</t>
        </is>
      </c>
      <c r="AZ2423" t="inlineStr">
        <is>
          <t>991002487989702656</t>
        </is>
      </c>
      <c r="BA2423" t="inlineStr">
        <is>
          <t>2263204300002656</t>
        </is>
      </c>
      <c r="BB2423" t="inlineStr">
        <is>
          <t>BOOK</t>
        </is>
      </c>
      <c r="BE2423" t="inlineStr">
        <is>
          <t>32285002934544</t>
        </is>
      </c>
      <c r="BF2423" t="inlineStr">
        <is>
          <t>893517345</t>
        </is>
      </c>
    </row>
    <row r="2424">
      <c r="A2424" t="inlineStr">
        <is>
          <t>No</t>
        </is>
      </c>
      <c r="B2424" t="inlineStr">
        <is>
          <t>CURAL</t>
        </is>
      </c>
      <c r="C2424" t="inlineStr">
        <is>
          <t>SHELVES</t>
        </is>
      </c>
      <c r="D2424" t="inlineStr">
        <is>
          <t>PR5442.S58 D83 1988</t>
        </is>
      </c>
      <c r="E2424" t="inlineStr">
        <is>
          <t>0                      PR 5442000S  58                 D  83          1988</t>
        </is>
      </c>
      <c r="F2424" t="inlineStr">
        <is>
          <t>Shelley's poetry of involvement / Roland A. Duerksen.</t>
        </is>
      </c>
      <c r="H2424" t="inlineStr">
        <is>
          <t>No</t>
        </is>
      </c>
      <c r="I2424" t="inlineStr">
        <is>
          <t>1</t>
        </is>
      </c>
      <c r="J2424" t="inlineStr">
        <is>
          <t>No</t>
        </is>
      </c>
      <c r="K2424" t="inlineStr">
        <is>
          <t>No</t>
        </is>
      </c>
      <c r="L2424" t="inlineStr">
        <is>
          <t>0</t>
        </is>
      </c>
      <c r="M2424" t="inlineStr">
        <is>
          <t>Duerksen, Roland A.</t>
        </is>
      </c>
      <c r="N2424" t="inlineStr">
        <is>
          <t>New York : St. Martin's Press, 1988.</t>
        </is>
      </c>
      <c r="O2424" t="inlineStr">
        <is>
          <t>1988</t>
        </is>
      </c>
      <c r="Q2424" t="inlineStr">
        <is>
          <t>eng</t>
        </is>
      </c>
      <c r="R2424" t="inlineStr">
        <is>
          <t>nyu</t>
        </is>
      </c>
      <c r="T2424" t="inlineStr">
        <is>
          <t xml:space="preserve">PR </t>
        </is>
      </c>
      <c r="U2424" t="n">
        <v>3</v>
      </c>
      <c r="V2424" t="n">
        <v>3</v>
      </c>
      <c r="W2424" t="inlineStr">
        <is>
          <t>2000-02-23</t>
        </is>
      </c>
      <c r="X2424" t="inlineStr">
        <is>
          <t>2000-02-23</t>
        </is>
      </c>
      <c r="Y2424" t="inlineStr">
        <is>
          <t>1990-05-03</t>
        </is>
      </c>
      <c r="Z2424" t="inlineStr">
        <is>
          <t>1990-05-03</t>
        </is>
      </c>
      <c r="AA2424" t="n">
        <v>218</v>
      </c>
      <c r="AB2424" t="n">
        <v>182</v>
      </c>
      <c r="AC2424" t="n">
        <v>221</v>
      </c>
      <c r="AD2424" t="n">
        <v>1</v>
      </c>
      <c r="AE2424" t="n">
        <v>2</v>
      </c>
      <c r="AF2424" t="n">
        <v>12</v>
      </c>
      <c r="AG2424" t="n">
        <v>13</v>
      </c>
      <c r="AH2424" t="n">
        <v>3</v>
      </c>
      <c r="AI2424" t="n">
        <v>3</v>
      </c>
      <c r="AJ2424" t="n">
        <v>4</v>
      </c>
      <c r="AK2424" t="n">
        <v>4</v>
      </c>
      <c r="AL2424" t="n">
        <v>9</v>
      </c>
      <c r="AM2424" t="n">
        <v>9</v>
      </c>
      <c r="AN2424" t="n">
        <v>0</v>
      </c>
      <c r="AO2424" t="n">
        <v>1</v>
      </c>
      <c r="AP2424" t="n">
        <v>0</v>
      </c>
      <c r="AQ2424" t="n">
        <v>0</v>
      </c>
      <c r="AR2424" t="inlineStr">
        <is>
          <t>No</t>
        </is>
      </c>
      <c r="AS2424" t="inlineStr">
        <is>
          <t>No</t>
        </is>
      </c>
      <c r="AU2424">
        <f>HYPERLINK("https://creighton-primo.hosted.exlibrisgroup.com/primo-explore/search?tab=default_tab&amp;search_scope=EVERYTHING&amp;vid=01CRU&amp;lang=en_US&amp;offset=0&amp;query=any,contains,991001245099702656","Catalog Record")</f>
        <v/>
      </c>
      <c r="AV2424">
        <f>HYPERLINK("http://www.worldcat.org/oclc/17649471","WorldCat Record")</f>
        <v/>
      </c>
      <c r="AW2424" t="inlineStr">
        <is>
          <t>16237032:eng</t>
        </is>
      </c>
      <c r="AX2424" t="inlineStr">
        <is>
          <t>17649471</t>
        </is>
      </c>
      <c r="AY2424" t="inlineStr">
        <is>
          <t>991001245099702656</t>
        </is>
      </c>
      <c r="AZ2424" t="inlineStr">
        <is>
          <t>991001245099702656</t>
        </is>
      </c>
      <c r="BA2424" t="inlineStr">
        <is>
          <t>2259199740002656</t>
        </is>
      </c>
      <c r="BB2424" t="inlineStr">
        <is>
          <t>BOOK</t>
        </is>
      </c>
      <c r="BD2424" t="inlineStr">
        <is>
          <t>9780312020637</t>
        </is>
      </c>
      <c r="BE2424" t="inlineStr">
        <is>
          <t>32285000117977</t>
        </is>
      </c>
      <c r="BF2424" t="inlineStr">
        <is>
          <t>893791314</t>
        </is>
      </c>
    </row>
    <row r="2425">
      <c r="A2425" t="inlineStr">
        <is>
          <t>No</t>
        </is>
      </c>
      <c r="B2425" t="inlineStr">
        <is>
          <t>CURAL</t>
        </is>
      </c>
      <c r="C2425" t="inlineStr">
        <is>
          <t>SHELVES</t>
        </is>
      </c>
      <c r="D2425" t="inlineStr">
        <is>
          <t>PR5442.S58 S48 1996</t>
        </is>
      </c>
      <c r="E2425" t="inlineStr">
        <is>
          <t>0                      PR 5442000S  58                 S  48          1996</t>
        </is>
      </c>
      <c r="F2425" t="inlineStr">
        <is>
          <t>Shelley : poet and legislator of the world / edited by Betty T. Bennett and Stuart Curran.</t>
        </is>
      </c>
      <c r="H2425" t="inlineStr">
        <is>
          <t>No</t>
        </is>
      </c>
      <c r="I2425" t="inlineStr">
        <is>
          <t>1</t>
        </is>
      </c>
      <c r="J2425" t="inlineStr">
        <is>
          <t>No</t>
        </is>
      </c>
      <c r="K2425" t="inlineStr">
        <is>
          <t>No</t>
        </is>
      </c>
      <c r="L2425" t="inlineStr">
        <is>
          <t>0</t>
        </is>
      </c>
      <c r="N2425" t="inlineStr">
        <is>
          <t>Baltimore, MD : Johns Hopkins University Press, c1996.</t>
        </is>
      </c>
      <c r="O2425" t="inlineStr">
        <is>
          <t>1996</t>
        </is>
      </c>
      <c r="Q2425" t="inlineStr">
        <is>
          <t>eng</t>
        </is>
      </c>
      <c r="R2425" t="inlineStr">
        <is>
          <t>mdu</t>
        </is>
      </c>
      <c r="T2425" t="inlineStr">
        <is>
          <t xml:space="preserve">PR </t>
        </is>
      </c>
      <c r="U2425" t="n">
        <v>4</v>
      </c>
      <c r="V2425" t="n">
        <v>4</v>
      </c>
      <c r="W2425" t="inlineStr">
        <is>
          <t>2003-01-19</t>
        </is>
      </c>
      <c r="X2425" t="inlineStr">
        <is>
          <t>2003-01-19</t>
        </is>
      </c>
      <c r="Y2425" t="inlineStr">
        <is>
          <t>1996-06-05</t>
        </is>
      </c>
      <c r="Z2425" t="inlineStr">
        <is>
          <t>1996-06-05</t>
        </is>
      </c>
      <c r="AA2425" t="n">
        <v>450</v>
      </c>
      <c r="AB2425" t="n">
        <v>344</v>
      </c>
      <c r="AC2425" t="n">
        <v>350</v>
      </c>
      <c r="AD2425" t="n">
        <v>3</v>
      </c>
      <c r="AE2425" t="n">
        <v>3</v>
      </c>
      <c r="AF2425" t="n">
        <v>25</v>
      </c>
      <c r="AG2425" t="n">
        <v>25</v>
      </c>
      <c r="AH2425" t="n">
        <v>8</v>
      </c>
      <c r="AI2425" t="n">
        <v>8</v>
      </c>
      <c r="AJ2425" t="n">
        <v>7</v>
      </c>
      <c r="AK2425" t="n">
        <v>7</v>
      </c>
      <c r="AL2425" t="n">
        <v>14</v>
      </c>
      <c r="AM2425" t="n">
        <v>14</v>
      </c>
      <c r="AN2425" t="n">
        <v>2</v>
      </c>
      <c r="AO2425" t="n">
        <v>2</v>
      </c>
      <c r="AP2425" t="n">
        <v>0</v>
      </c>
      <c r="AQ2425" t="n">
        <v>0</v>
      </c>
      <c r="AR2425" t="inlineStr">
        <is>
          <t>No</t>
        </is>
      </c>
      <c r="AS2425" t="inlineStr">
        <is>
          <t>Yes</t>
        </is>
      </c>
      <c r="AT2425">
        <f>HYPERLINK("http://catalog.hathitrust.org/Record/003054885","HathiTrust Record")</f>
        <v/>
      </c>
      <c r="AU2425">
        <f>HYPERLINK("https://creighton-primo.hosted.exlibrisgroup.com/primo-explore/search?tab=default_tab&amp;search_scope=EVERYTHING&amp;vid=01CRU&amp;lang=en_US&amp;offset=0&amp;query=any,contains,991002512219702656","Catalog Record")</f>
        <v/>
      </c>
      <c r="AV2425">
        <f>HYPERLINK("http://www.worldcat.org/oclc/32665748","WorldCat Record")</f>
        <v/>
      </c>
      <c r="AW2425" t="inlineStr">
        <is>
          <t>836944109:eng</t>
        </is>
      </c>
      <c r="AX2425" t="inlineStr">
        <is>
          <t>32665748</t>
        </is>
      </c>
      <c r="AY2425" t="inlineStr">
        <is>
          <t>991002512219702656</t>
        </is>
      </c>
      <c r="AZ2425" t="inlineStr">
        <is>
          <t>991002512219702656</t>
        </is>
      </c>
      <c r="BA2425" t="inlineStr">
        <is>
          <t>2264404780002656</t>
        </is>
      </c>
      <c r="BB2425" t="inlineStr">
        <is>
          <t>BOOK</t>
        </is>
      </c>
      <c r="BD2425" t="inlineStr">
        <is>
          <t>9780801851759</t>
        </is>
      </c>
      <c r="BE2425" t="inlineStr">
        <is>
          <t>32285002187622</t>
        </is>
      </c>
      <c r="BF2425" t="inlineStr">
        <is>
          <t>893697889</t>
        </is>
      </c>
    </row>
    <row r="2426">
      <c r="A2426" t="inlineStr">
        <is>
          <t>No</t>
        </is>
      </c>
      <c r="B2426" t="inlineStr">
        <is>
          <t>CURAL</t>
        </is>
      </c>
      <c r="C2426" t="inlineStr">
        <is>
          <t>SHELVES</t>
        </is>
      </c>
      <c r="D2426" t="inlineStr">
        <is>
          <t>PR5447 .P7 1932</t>
        </is>
      </c>
      <c r="E2426" t="inlineStr">
        <is>
          <t>0                      PR 5447000P  7           1932</t>
        </is>
      </c>
      <c r="F2426" t="inlineStr">
        <is>
          <t>... An analytical study of Shelley's versification by Louise Propst ...</t>
        </is>
      </c>
      <c r="H2426" t="inlineStr">
        <is>
          <t>No</t>
        </is>
      </c>
      <c r="I2426" t="inlineStr">
        <is>
          <t>1</t>
        </is>
      </c>
      <c r="J2426" t="inlineStr">
        <is>
          <t>No</t>
        </is>
      </c>
      <c r="K2426" t="inlineStr">
        <is>
          <t>No</t>
        </is>
      </c>
      <c r="L2426" t="inlineStr">
        <is>
          <t>0</t>
        </is>
      </c>
      <c r="M2426" t="inlineStr">
        <is>
          <t>Propst, Louise, 1907-</t>
        </is>
      </c>
      <c r="N2426" t="inlineStr">
        <is>
          <t>Iowa City, Ia., The University, [1932]</t>
        </is>
      </c>
      <c r="O2426" t="inlineStr">
        <is>
          <t>1932</t>
        </is>
      </c>
      <c r="Q2426" t="inlineStr">
        <is>
          <t>eng</t>
        </is>
      </c>
      <c r="R2426" t="inlineStr">
        <is>
          <t xml:space="preserve">xx </t>
        </is>
      </c>
      <c r="S2426" t="inlineStr">
        <is>
          <t>University of Iowa. Humanistic studies. vol. v, no. 3</t>
        </is>
      </c>
      <c r="T2426" t="inlineStr">
        <is>
          <t xml:space="preserve">PR </t>
        </is>
      </c>
      <c r="U2426" t="n">
        <v>4</v>
      </c>
      <c r="V2426" t="n">
        <v>4</v>
      </c>
      <c r="W2426" t="inlineStr">
        <is>
          <t>2000-02-23</t>
        </is>
      </c>
      <c r="X2426" t="inlineStr">
        <is>
          <t>2000-02-23</t>
        </is>
      </c>
      <c r="Y2426" t="inlineStr">
        <is>
          <t>1992-04-08</t>
        </is>
      </c>
      <c r="Z2426" t="inlineStr">
        <is>
          <t>1992-04-08</t>
        </is>
      </c>
      <c r="AA2426" t="n">
        <v>157</v>
      </c>
      <c r="AB2426" t="n">
        <v>143</v>
      </c>
      <c r="AC2426" t="n">
        <v>182</v>
      </c>
      <c r="AD2426" t="n">
        <v>3</v>
      </c>
      <c r="AE2426" t="n">
        <v>4</v>
      </c>
      <c r="AF2426" t="n">
        <v>10</v>
      </c>
      <c r="AG2426" t="n">
        <v>13</v>
      </c>
      <c r="AH2426" t="n">
        <v>5</v>
      </c>
      <c r="AI2426" t="n">
        <v>6</v>
      </c>
      <c r="AJ2426" t="n">
        <v>1</v>
      </c>
      <c r="AK2426" t="n">
        <v>1</v>
      </c>
      <c r="AL2426" t="n">
        <v>3</v>
      </c>
      <c r="AM2426" t="n">
        <v>4</v>
      </c>
      <c r="AN2426" t="n">
        <v>2</v>
      </c>
      <c r="AO2426" t="n">
        <v>3</v>
      </c>
      <c r="AP2426" t="n">
        <v>0</v>
      </c>
      <c r="AQ2426" t="n">
        <v>0</v>
      </c>
      <c r="AR2426" t="inlineStr">
        <is>
          <t>No</t>
        </is>
      </c>
      <c r="AS2426" t="inlineStr">
        <is>
          <t>No</t>
        </is>
      </c>
      <c r="AU2426">
        <f>HYPERLINK("https://creighton-primo.hosted.exlibrisgroup.com/primo-explore/search?tab=default_tab&amp;search_scope=EVERYTHING&amp;vid=01CRU&amp;lang=en_US&amp;offset=0&amp;query=any,contains,991003687089702656","Catalog Record")</f>
        <v/>
      </c>
      <c r="AV2426">
        <f>HYPERLINK("http://www.worldcat.org/oclc/1315778","WorldCat Record")</f>
        <v/>
      </c>
      <c r="AW2426" t="inlineStr">
        <is>
          <t>321878280:eng</t>
        </is>
      </c>
      <c r="AX2426" t="inlineStr">
        <is>
          <t>1315778</t>
        </is>
      </c>
      <c r="AY2426" t="inlineStr">
        <is>
          <t>991003687089702656</t>
        </is>
      </c>
      <c r="AZ2426" t="inlineStr">
        <is>
          <t>991003687089702656</t>
        </is>
      </c>
      <c r="BA2426" t="inlineStr">
        <is>
          <t>2267648090002656</t>
        </is>
      </c>
      <c r="BB2426" t="inlineStr">
        <is>
          <t>BOOK</t>
        </is>
      </c>
      <c r="BE2426" t="inlineStr">
        <is>
          <t>32285001051548</t>
        </is>
      </c>
      <c r="BF2426" t="inlineStr">
        <is>
          <t>893228331</t>
        </is>
      </c>
    </row>
    <row r="2427">
      <c r="A2427" t="inlineStr">
        <is>
          <t>No</t>
        </is>
      </c>
      <c r="B2427" t="inlineStr">
        <is>
          <t>CURAL</t>
        </is>
      </c>
      <c r="C2427" t="inlineStr">
        <is>
          <t>SHELVES</t>
        </is>
      </c>
      <c r="D2427" t="inlineStr">
        <is>
          <t>PR545.C45 M3</t>
        </is>
      </c>
      <c r="E2427" t="inlineStr">
        <is>
          <t>0                      PR 0545000C  45                 M  3</t>
        </is>
      </c>
      <c r="F2427" t="inlineStr">
        <is>
          <t>Childhood and cultural despair : a theme and variations in seventeenth-century literature / Leah Sinanoglou Marcus.</t>
        </is>
      </c>
      <c r="H2427" t="inlineStr">
        <is>
          <t>No</t>
        </is>
      </c>
      <c r="I2427" t="inlineStr">
        <is>
          <t>1</t>
        </is>
      </c>
      <c r="J2427" t="inlineStr">
        <is>
          <t>No</t>
        </is>
      </c>
      <c r="K2427" t="inlineStr">
        <is>
          <t>No</t>
        </is>
      </c>
      <c r="L2427" t="inlineStr">
        <is>
          <t>0</t>
        </is>
      </c>
      <c r="M2427" t="inlineStr">
        <is>
          <t>Marcus, Leah S. (Leah Sinanoglou)</t>
        </is>
      </c>
      <c r="N2427" t="inlineStr">
        <is>
          <t>Pittsburgh : University of Pittsburgh Press, c1978.</t>
        </is>
      </c>
      <c r="O2427" t="inlineStr">
        <is>
          <t>1978</t>
        </is>
      </c>
      <c r="Q2427" t="inlineStr">
        <is>
          <t>eng</t>
        </is>
      </c>
      <c r="R2427" t="inlineStr">
        <is>
          <t>pau</t>
        </is>
      </c>
      <c r="T2427" t="inlineStr">
        <is>
          <t xml:space="preserve">PR </t>
        </is>
      </c>
      <c r="U2427" t="n">
        <v>9</v>
      </c>
      <c r="V2427" t="n">
        <v>9</v>
      </c>
      <c r="W2427" t="inlineStr">
        <is>
          <t>2005-03-15</t>
        </is>
      </c>
      <c r="X2427" t="inlineStr">
        <is>
          <t>2005-03-15</t>
        </is>
      </c>
      <c r="Y2427" t="inlineStr">
        <is>
          <t>1991-09-04</t>
        </is>
      </c>
      <c r="Z2427" t="inlineStr">
        <is>
          <t>1991-09-04</t>
        </is>
      </c>
      <c r="AA2427" t="n">
        <v>431</v>
      </c>
      <c r="AB2427" t="n">
        <v>348</v>
      </c>
      <c r="AC2427" t="n">
        <v>350</v>
      </c>
      <c r="AD2427" t="n">
        <v>4</v>
      </c>
      <c r="AE2427" t="n">
        <v>4</v>
      </c>
      <c r="AF2427" t="n">
        <v>20</v>
      </c>
      <c r="AG2427" t="n">
        <v>20</v>
      </c>
      <c r="AH2427" t="n">
        <v>5</v>
      </c>
      <c r="AI2427" t="n">
        <v>5</v>
      </c>
      <c r="AJ2427" t="n">
        <v>6</v>
      </c>
      <c r="AK2427" t="n">
        <v>6</v>
      </c>
      <c r="AL2427" t="n">
        <v>11</v>
      </c>
      <c r="AM2427" t="n">
        <v>11</v>
      </c>
      <c r="AN2427" t="n">
        <v>3</v>
      </c>
      <c r="AO2427" t="n">
        <v>3</v>
      </c>
      <c r="AP2427" t="n">
        <v>0</v>
      </c>
      <c r="AQ2427" t="n">
        <v>0</v>
      </c>
      <c r="AR2427" t="inlineStr">
        <is>
          <t>No</t>
        </is>
      </c>
      <c r="AS2427" t="inlineStr">
        <is>
          <t>Yes</t>
        </is>
      </c>
      <c r="AT2427">
        <f>HYPERLINK("http://catalog.hathitrust.org/Record/000091517","HathiTrust Record")</f>
        <v/>
      </c>
      <c r="AU2427">
        <f>HYPERLINK("https://creighton-primo.hosted.exlibrisgroup.com/primo-explore/search?tab=default_tab&amp;search_scope=EVERYTHING&amp;vid=01CRU&amp;lang=en_US&amp;offset=0&amp;query=any,contains,991004475319702656","Catalog Record")</f>
        <v/>
      </c>
      <c r="AV2427">
        <f>HYPERLINK("http://www.worldcat.org/oclc/3609015","WorldCat Record")</f>
        <v/>
      </c>
      <c r="AW2427" t="inlineStr">
        <is>
          <t>287148857:eng</t>
        </is>
      </c>
      <c r="AX2427" t="inlineStr">
        <is>
          <t>3609015</t>
        </is>
      </c>
      <c r="AY2427" t="inlineStr">
        <is>
          <t>991004475319702656</t>
        </is>
      </c>
      <c r="AZ2427" t="inlineStr">
        <is>
          <t>991004475319702656</t>
        </is>
      </c>
      <c r="BA2427" t="inlineStr">
        <is>
          <t>2269899000002656</t>
        </is>
      </c>
      <c r="BB2427" t="inlineStr">
        <is>
          <t>BOOK</t>
        </is>
      </c>
      <c r="BD2427" t="inlineStr">
        <is>
          <t>9780822933670</t>
        </is>
      </c>
      <c r="BE2427" t="inlineStr">
        <is>
          <t>32285000735877</t>
        </is>
      </c>
      <c r="BF2427" t="inlineStr">
        <is>
          <t>893446232</t>
        </is>
      </c>
    </row>
    <row r="2428">
      <c r="A2428" t="inlineStr">
        <is>
          <t>No</t>
        </is>
      </c>
      <c r="B2428" t="inlineStr">
        <is>
          <t>CURAL</t>
        </is>
      </c>
      <c r="C2428" t="inlineStr">
        <is>
          <t>SHELVES</t>
        </is>
      </c>
      <c r="D2428" t="inlineStr">
        <is>
          <t>PR545.J2 G6 1969b</t>
        </is>
      </c>
      <c r="E2428" t="inlineStr">
        <is>
          <t>0                      PR 0545000J  2                  G  6           1969b</t>
        </is>
      </c>
      <c r="F2428" t="inlineStr">
        <is>
          <t>The Jacobean poets.</t>
        </is>
      </c>
      <c r="H2428" t="inlineStr">
        <is>
          <t>No</t>
        </is>
      </c>
      <c r="I2428" t="inlineStr">
        <is>
          <t>1</t>
        </is>
      </c>
      <c r="J2428" t="inlineStr">
        <is>
          <t>No</t>
        </is>
      </c>
      <c r="K2428" t="inlineStr">
        <is>
          <t>No</t>
        </is>
      </c>
      <c r="L2428" t="inlineStr">
        <is>
          <t>0</t>
        </is>
      </c>
      <c r="M2428" t="inlineStr">
        <is>
          <t>Gosse, Edmund, 1849-1928.</t>
        </is>
      </c>
      <c r="N2428" t="inlineStr">
        <is>
          <t>New York, Greenwood Press [1969]</t>
        </is>
      </c>
      <c r="O2428" t="inlineStr">
        <is>
          <t>1969</t>
        </is>
      </c>
      <c r="Q2428" t="inlineStr">
        <is>
          <t>eng</t>
        </is>
      </c>
      <c r="R2428" t="inlineStr">
        <is>
          <t>nyu</t>
        </is>
      </c>
      <c r="S2428" t="inlineStr">
        <is>
          <t>The University series</t>
        </is>
      </c>
      <c r="T2428" t="inlineStr">
        <is>
          <t xml:space="preserve">PR </t>
        </is>
      </c>
      <c r="U2428" t="n">
        <v>2</v>
      </c>
      <c r="V2428" t="n">
        <v>2</v>
      </c>
      <c r="W2428" t="inlineStr">
        <is>
          <t>2005-09-14</t>
        </is>
      </c>
      <c r="X2428" t="inlineStr">
        <is>
          <t>2005-09-14</t>
        </is>
      </c>
      <c r="Y2428" t="inlineStr">
        <is>
          <t>1997-08-29</t>
        </is>
      </c>
      <c r="Z2428" t="inlineStr">
        <is>
          <t>1997-08-29</t>
        </is>
      </c>
      <c r="AA2428" t="n">
        <v>217</v>
      </c>
      <c r="AB2428" t="n">
        <v>194</v>
      </c>
      <c r="AC2428" t="n">
        <v>585</v>
      </c>
      <c r="AD2428" t="n">
        <v>2</v>
      </c>
      <c r="AE2428" t="n">
        <v>4</v>
      </c>
      <c r="AF2428" t="n">
        <v>9</v>
      </c>
      <c r="AG2428" t="n">
        <v>33</v>
      </c>
      <c r="AH2428" t="n">
        <v>5</v>
      </c>
      <c r="AI2428" t="n">
        <v>13</v>
      </c>
      <c r="AJ2428" t="n">
        <v>2</v>
      </c>
      <c r="AK2428" t="n">
        <v>9</v>
      </c>
      <c r="AL2428" t="n">
        <v>4</v>
      </c>
      <c r="AM2428" t="n">
        <v>17</v>
      </c>
      <c r="AN2428" t="n">
        <v>1</v>
      </c>
      <c r="AO2428" t="n">
        <v>3</v>
      </c>
      <c r="AP2428" t="n">
        <v>0</v>
      </c>
      <c r="AQ2428" t="n">
        <v>0</v>
      </c>
      <c r="AR2428" t="inlineStr">
        <is>
          <t>No</t>
        </is>
      </c>
      <c r="AS2428" t="inlineStr">
        <is>
          <t>Yes</t>
        </is>
      </c>
      <c r="AT2428">
        <f>HYPERLINK("http://catalog.hathitrust.org/Record/010309655","HathiTrust Record")</f>
        <v/>
      </c>
      <c r="AU2428">
        <f>HYPERLINK("https://creighton-primo.hosted.exlibrisgroup.com/primo-explore/search?tab=default_tab&amp;search_scope=EVERYTHING&amp;vid=01CRU&amp;lang=en_US&amp;offset=0&amp;query=any,contains,991002332279702656","Catalog Record")</f>
        <v/>
      </c>
      <c r="AV2428">
        <f>HYPERLINK("http://www.worldcat.org/oclc/322517","WorldCat Record")</f>
        <v/>
      </c>
      <c r="AW2428" t="inlineStr">
        <is>
          <t>1183612:eng</t>
        </is>
      </c>
      <c r="AX2428" t="inlineStr">
        <is>
          <t>322517</t>
        </is>
      </c>
      <c r="AY2428" t="inlineStr">
        <is>
          <t>991002332279702656</t>
        </is>
      </c>
      <c r="AZ2428" t="inlineStr">
        <is>
          <t>991002332279702656</t>
        </is>
      </c>
      <c r="BA2428" t="inlineStr">
        <is>
          <t>2257147170002656</t>
        </is>
      </c>
      <c r="BB2428" t="inlineStr">
        <is>
          <t>BOOK</t>
        </is>
      </c>
      <c r="BD2428" t="inlineStr">
        <is>
          <t>9780837127552</t>
        </is>
      </c>
      <c r="BE2428" t="inlineStr">
        <is>
          <t>32285003154118</t>
        </is>
      </c>
      <c r="BF2428" t="inlineStr">
        <is>
          <t>893892425</t>
        </is>
      </c>
    </row>
    <row r="2429">
      <c r="A2429" t="inlineStr">
        <is>
          <t>No</t>
        </is>
      </c>
      <c r="B2429" t="inlineStr">
        <is>
          <t>CURAL</t>
        </is>
      </c>
      <c r="C2429" t="inlineStr">
        <is>
          <t>SHELVES</t>
        </is>
      </c>
      <c r="D2429" t="inlineStr">
        <is>
          <t>PR545.M4 A68 1990</t>
        </is>
      </c>
      <c r="E2429" t="inlineStr">
        <is>
          <t>0                      PR 0545000M  4                  A  68          1990</t>
        </is>
      </c>
      <c r="F2429" t="inlineStr">
        <is>
          <t>Approaches to teaching the metaphysical poets / edited by Sidney Gottlieb.</t>
        </is>
      </c>
      <c r="H2429" t="inlineStr">
        <is>
          <t>No</t>
        </is>
      </c>
      <c r="I2429" t="inlineStr">
        <is>
          <t>1</t>
        </is>
      </c>
      <c r="J2429" t="inlineStr">
        <is>
          <t>No</t>
        </is>
      </c>
      <c r="K2429" t="inlineStr">
        <is>
          <t>No</t>
        </is>
      </c>
      <c r="L2429" t="inlineStr">
        <is>
          <t>0</t>
        </is>
      </c>
      <c r="N2429" t="inlineStr">
        <is>
          <t>New York : Modern Language Association of America, 1990.</t>
        </is>
      </c>
      <c r="O2429" t="inlineStr">
        <is>
          <t>1990</t>
        </is>
      </c>
      <c r="Q2429" t="inlineStr">
        <is>
          <t>eng</t>
        </is>
      </c>
      <c r="R2429" t="inlineStr">
        <is>
          <t>nyu</t>
        </is>
      </c>
      <c r="S2429" t="inlineStr">
        <is>
          <t>Approaches to teaching world literature ; 28</t>
        </is>
      </c>
      <c r="T2429" t="inlineStr">
        <is>
          <t xml:space="preserve">PR </t>
        </is>
      </c>
      <c r="U2429" t="n">
        <v>5</v>
      </c>
      <c r="V2429" t="n">
        <v>5</v>
      </c>
      <c r="W2429" t="inlineStr">
        <is>
          <t>1997-08-22</t>
        </is>
      </c>
      <c r="X2429" t="inlineStr">
        <is>
          <t>1997-08-22</t>
        </is>
      </c>
      <c r="Y2429" t="inlineStr">
        <is>
          <t>1991-11-04</t>
        </is>
      </c>
      <c r="Z2429" t="inlineStr">
        <is>
          <t>1991-11-04</t>
        </is>
      </c>
      <c r="AA2429" t="n">
        <v>599</v>
      </c>
      <c r="AB2429" t="n">
        <v>515</v>
      </c>
      <c r="AC2429" t="n">
        <v>521</v>
      </c>
      <c r="AD2429" t="n">
        <v>6</v>
      </c>
      <c r="AE2429" t="n">
        <v>6</v>
      </c>
      <c r="AF2429" t="n">
        <v>24</v>
      </c>
      <c r="AG2429" t="n">
        <v>24</v>
      </c>
      <c r="AH2429" t="n">
        <v>8</v>
      </c>
      <c r="AI2429" t="n">
        <v>8</v>
      </c>
      <c r="AJ2429" t="n">
        <v>5</v>
      </c>
      <c r="AK2429" t="n">
        <v>5</v>
      </c>
      <c r="AL2429" t="n">
        <v>9</v>
      </c>
      <c r="AM2429" t="n">
        <v>9</v>
      </c>
      <c r="AN2429" t="n">
        <v>5</v>
      </c>
      <c r="AO2429" t="n">
        <v>5</v>
      </c>
      <c r="AP2429" t="n">
        <v>0</v>
      </c>
      <c r="AQ2429" t="n">
        <v>0</v>
      </c>
      <c r="AR2429" t="inlineStr">
        <is>
          <t>No</t>
        </is>
      </c>
      <c r="AS2429" t="inlineStr">
        <is>
          <t>No</t>
        </is>
      </c>
      <c r="AU2429">
        <f>HYPERLINK("https://creighton-primo.hosted.exlibrisgroup.com/primo-explore/search?tab=default_tab&amp;search_scope=EVERYTHING&amp;vid=01CRU&amp;lang=en_US&amp;offset=0&amp;query=any,contains,991001602639702656","Catalog Record")</f>
        <v/>
      </c>
      <c r="AV2429">
        <f>HYPERLINK("http://www.worldcat.org/oclc/20671800","WorldCat Record")</f>
        <v/>
      </c>
      <c r="AW2429" t="inlineStr">
        <is>
          <t>22352541:eng</t>
        </is>
      </c>
      <c r="AX2429" t="inlineStr">
        <is>
          <t>20671800</t>
        </is>
      </c>
      <c r="AY2429" t="inlineStr">
        <is>
          <t>991001602639702656</t>
        </is>
      </c>
      <c r="AZ2429" t="inlineStr">
        <is>
          <t>991001602639702656</t>
        </is>
      </c>
      <c r="BA2429" t="inlineStr">
        <is>
          <t>2260267330002656</t>
        </is>
      </c>
      <c r="BB2429" t="inlineStr">
        <is>
          <t>BOOK</t>
        </is>
      </c>
      <c r="BD2429" t="inlineStr">
        <is>
          <t>9780873525305</t>
        </is>
      </c>
      <c r="BE2429" t="inlineStr">
        <is>
          <t>32285000729003</t>
        </is>
      </c>
      <c r="BF2429" t="inlineStr">
        <is>
          <t>893439234</t>
        </is>
      </c>
    </row>
    <row r="2430">
      <c r="A2430" t="inlineStr">
        <is>
          <t>No</t>
        </is>
      </c>
      <c r="B2430" t="inlineStr">
        <is>
          <t>CURAL</t>
        </is>
      </c>
      <c r="C2430" t="inlineStr">
        <is>
          <t>SHELVES</t>
        </is>
      </c>
      <c r="D2430" t="inlineStr">
        <is>
          <t>PR545.M4 S57</t>
        </is>
      </c>
      <c r="E2430" t="inlineStr">
        <is>
          <t>0                      PR 0545000M  4                  S  57</t>
        </is>
      </c>
      <c r="F2430" t="inlineStr">
        <is>
          <t>The visual in metaphysical poetry / by Mary Cole Sloane.</t>
        </is>
      </c>
      <c r="H2430" t="inlineStr">
        <is>
          <t>No</t>
        </is>
      </c>
      <c r="I2430" t="inlineStr">
        <is>
          <t>1</t>
        </is>
      </c>
      <c r="J2430" t="inlineStr">
        <is>
          <t>No</t>
        </is>
      </c>
      <c r="K2430" t="inlineStr">
        <is>
          <t>No</t>
        </is>
      </c>
      <c r="L2430" t="inlineStr">
        <is>
          <t>0</t>
        </is>
      </c>
      <c r="M2430" t="inlineStr">
        <is>
          <t>Sloane, Mary Cole.</t>
        </is>
      </c>
      <c r="N2430" t="inlineStr">
        <is>
          <t>Atlantic Highlands, N.J. : Humanities Press, 1981.</t>
        </is>
      </c>
      <c r="O2430" t="inlineStr">
        <is>
          <t>1981</t>
        </is>
      </c>
      <c r="Q2430" t="inlineStr">
        <is>
          <t>eng</t>
        </is>
      </c>
      <c r="R2430" t="inlineStr">
        <is>
          <t>nju</t>
        </is>
      </c>
      <c r="T2430" t="inlineStr">
        <is>
          <t xml:space="preserve">PR </t>
        </is>
      </c>
      <c r="U2430" t="n">
        <v>6</v>
      </c>
      <c r="V2430" t="n">
        <v>6</v>
      </c>
      <c r="W2430" t="inlineStr">
        <is>
          <t>2010-01-24</t>
        </is>
      </c>
      <c r="X2430" t="inlineStr">
        <is>
          <t>2010-01-24</t>
        </is>
      </c>
      <c r="Y2430" t="inlineStr">
        <is>
          <t>1991-09-04</t>
        </is>
      </c>
      <c r="Z2430" t="inlineStr">
        <is>
          <t>1991-09-04</t>
        </is>
      </c>
      <c r="AA2430" t="n">
        <v>262</v>
      </c>
      <c r="AB2430" t="n">
        <v>216</v>
      </c>
      <c r="AC2430" t="n">
        <v>218</v>
      </c>
      <c r="AD2430" t="n">
        <v>3</v>
      </c>
      <c r="AE2430" t="n">
        <v>3</v>
      </c>
      <c r="AF2430" t="n">
        <v>7</v>
      </c>
      <c r="AG2430" t="n">
        <v>7</v>
      </c>
      <c r="AH2430" t="n">
        <v>2</v>
      </c>
      <c r="AI2430" t="n">
        <v>2</v>
      </c>
      <c r="AJ2430" t="n">
        <v>3</v>
      </c>
      <c r="AK2430" t="n">
        <v>3</v>
      </c>
      <c r="AL2430" t="n">
        <v>3</v>
      </c>
      <c r="AM2430" t="n">
        <v>3</v>
      </c>
      <c r="AN2430" t="n">
        <v>2</v>
      </c>
      <c r="AO2430" t="n">
        <v>2</v>
      </c>
      <c r="AP2430" t="n">
        <v>0</v>
      </c>
      <c r="AQ2430" t="n">
        <v>0</v>
      </c>
      <c r="AR2430" t="inlineStr">
        <is>
          <t>No</t>
        </is>
      </c>
      <c r="AS2430" t="inlineStr">
        <is>
          <t>Yes</t>
        </is>
      </c>
      <c r="AT2430">
        <f>HYPERLINK("http://catalog.hathitrust.org/Record/000102581","HathiTrust Record")</f>
        <v/>
      </c>
      <c r="AU2430">
        <f>HYPERLINK("https://creighton-primo.hosted.exlibrisgroup.com/primo-explore/search?tab=default_tab&amp;search_scope=EVERYTHING&amp;vid=01CRU&amp;lang=en_US&amp;offset=0&amp;query=any,contains,991005112699702656","Catalog Record")</f>
        <v/>
      </c>
      <c r="AV2430">
        <f>HYPERLINK("http://www.worldcat.org/oclc/7459577","WorldCat Record")</f>
        <v/>
      </c>
      <c r="AW2430" t="inlineStr">
        <is>
          <t>459090:eng</t>
        </is>
      </c>
      <c r="AX2430" t="inlineStr">
        <is>
          <t>7459577</t>
        </is>
      </c>
      <c r="AY2430" t="inlineStr">
        <is>
          <t>991005112699702656</t>
        </is>
      </c>
      <c r="AZ2430" t="inlineStr">
        <is>
          <t>991005112699702656</t>
        </is>
      </c>
      <c r="BA2430" t="inlineStr">
        <is>
          <t>2255373650002656</t>
        </is>
      </c>
      <c r="BB2430" t="inlineStr">
        <is>
          <t>BOOK</t>
        </is>
      </c>
      <c r="BD2430" t="inlineStr">
        <is>
          <t>9780391022997</t>
        </is>
      </c>
      <c r="BE2430" t="inlineStr">
        <is>
          <t>32285000735935</t>
        </is>
      </c>
      <c r="BF2430" t="inlineStr">
        <is>
          <t>893501342</t>
        </is>
      </c>
    </row>
    <row r="2431">
      <c r="A2431" t="inlineStr">
        <is>
          <t>No</t>
        </is>
      </c>
      <c r="B2431" t="inlineStr">
        <is>
          <t>CURAL</t>
        </is>
      </c>
      <c r="C2431" t="inlineStr">
        <is>
          <t>SHELVES</t>
        </is>
      </c>
      <c r="D2431" t="inlineStr">
        <is>
          <t>PR545.M4 T5</t>
        </is>
      </c>
      <c r="E2431" t="inlineStr">
        <is>
          <t>0                      PR 0545000M  4                  T  5</t>
        </is>
      </c>
      <c r="F2431" t="inlineStr">
        <is>
          <t>The metaphysicals and Milton.</t>
        </is>
      </c>
      <c r="H2431" t="inlineStr">
        <is>
          <t>No</t>
        </is>
      </c>
      <c r="I2431" t="inlineStr">
        <is>
          <t>1</t>
        </is>
      </c>
      <c r="J2431" t="inlineStr">
        <is>
          <t>No</t>
        </is>
      </c>
      <c r="K2431" t="inlineStr">
        <is>
          <t>No</t>
        </is>
      </c>
      <c r="L2431" t="inlineStr">
        <is>
          <t>0</t>
        </is>
      </c>
      <c r="M2431" t="inlineStr">
        <is>
          <t>Tillyard, E. M. W. (Eustace Mandeville Wetenhall), 1889-1962.</t>
        </is>
      </c>
      <c r="N2431" t="inlineStr">
        <is>
          <t>London : Chatto &amp; Windus, 1956.</t>
        </is>
      </c>
      <c r="O2431" t="inlineStr">
        <is>
          <t>1956</t>
        </is>
      </c>
      <c r="Q2431" t="inlineStr">
        <is>
          <t>eng</t>
        </is>
      </c>
      <c r="R2431" t="inlineStr">
        <is>
          <t>enk</t>
        </is>
      </c>
      <c r="T2431" t="inlineStr">
        <is>
          <t xml:space="preserve">PR </t>
        </is>
      </c>
      <c r="U2431" t="n">
        <v>2</v>
      </c>
      <c r="V2431" t="n">
        <v>2</v>
      </c>
      <c r="W2431" t="inlineStr">
        <is>
          <t>2003-02-22</t>
        </is>
      </c>
      <c r="X2431" t="inlineStr">
        <is>
          <t>2003-02-22</t>
        </is>
      </c>
      <c r="Y2431" t="inlineStr">
        <is>
          <t>1992-03-31</t>
        </is>
      </c>
      <c r="Z2431" t="inlineStr">
        <is>
          <t>1992-03-31</t>
        </is>
      </c>
      <c r="AA2431" t="n">
        <v>751</v>
      </c>
      <c r="AB2431" t="n">
        <v>627</v>
      </c>
      <c r="AC2431" t="n">
        <v>871</v>
      </c>
      <c r="AD2431" t="n">
        <v>7</v>
      </c>
      <c r="AE2431" t="n">
        <v>8</v>
      </c>
      <c r="AF2431" t="n">
        <v>42</v>
      </c>
      <c r="AG2431" t="n">
        <v>49</v>
      </c>
      <c r="AH2431" t="n">
        <v>18</v>
      </c>
      <c r="AI2431" t="n">
        <v>20</v>
      </c>
      <c r="AJ2431" t="n">
        <v>6</v>
      </c>
      <c r="AK2431" t="n">
        <v>9</v>
      </c>
      <c r="AL2431" t="n">
        <v>22</v>
      </c>
      <c r="AM2431" t="n">
        <v>24</v>
      </c>
      <c r="AN2431" t="n">
        <v>6</v>
      </c>
      <c r="AO2431" t="n">
        <v>7</v>
      </c>
      <c r="AP2431" t="n">
        <v>0</v>
      </c>
      <c r="AQ2431" t="n">
        <v>0</v>
      </c>
      <c r="AR2431" t="inlineStr">
        <is>
          <t>No</t>
        </is>
      </c>
      <c r="AS2431" t="inlineStr">
        <is>
          <t>Yes</t>
        </is>
      </c>
      <c r="AT2431">
        <f>HYPERLINK("http://catalog.hathitrust.org/Record/000670390","HathiTrust Record")</f>
        <v/>
      </c>
      <c r="AU2431">
        <f>HYPERLINK("https://creighton-primo.hosted.exlibrisgroup.com/primo-explore/search?tab=default_tab&amp;search_scope=EVERYTHING&amp;vid=01CRU&amp;lang=en_US&amp;offset=0&amp;query=any,contains,991002438509702656","Catalog Record")</f>
        <v/>
      </c>
      <c r="AV2431">
        <f>HYPERLINK("http://www.worldcat.org/oclc/349469","WorldCat Record")</f>
        <v/>
      </c>
      <c r="AW2431" t="inlineStr">
        <is>
          <t>3372503046:eng</t>
        </is>
      </c>
      <c r="AX2431" t="inlineStr">
        <is>
          <t>349469</t>
        </is>
      </c>
      <c r="AY2431" t="inlineStr">
        <is>
          <t>991002438509702656</t>
        </is>
      </c>
      <c r="AZ2431" t="inlineStr">
        <is>
          <t>991002438509702656</t>
        </is>
      </c>
      <c r="BA2431" t="inlineStr">
        <is>
          <t>2267088110002656</t>
        </is>
      </c>
      <c r="BB2431" t="inlineStr">
        <is>
          <t>BOOK</t>
        </is>
      </c>
      <c r="BE2431" t="inlineStr">
        <is>
          <t>32285001030187</t>
        </is>
      </c>
      <c r="BF2431" t="inlineStr">
        <is>
          <t>893440148</t>
        </is>
      </c>
    </row>
    <row r="2432">
      <c r="A2432" t="inlineStr">
        <is>
          <t>No</t>
        </is>
      </c>
      <c r="B2432" t="inlineStr">
        <is>
          <t>CURAL</t>
        </is>
      </c>
      <c r="C2432" t="inlineStr">
        <is>
          <t>SHELVES</t>
        </is>
      </c>
      <c r="D2432" t="inlineStr">
        <is>
          <t>PR545.M4 W3 1955</t>
        </is>
      </c>
      <c r="E2432" t="inlineStr">
        <is>
          <t>0                      PR 0545000M  4                  W  3           1955</t>
        </is>
      </c>
      <c r="F2432" t="inlineStr">
        <is>
          <t>Metaphysical to Augustan : studies in tone and sensibility in the seventeenth century / Geoffrey Walton.</t>
        </is>
      </c>
      <c r="H2432" t="inlineStr">
        <is>
          <t>No</t>
        </is>
      </c>
      <c r="I2432" t="inlineStr">
        <is>
          <t>1</t>
        </is>
      </c>
      <c r="J2432" t="inlineStr">
        <is>
          <t>No</t>
        </is>
      </c>
      <c r="K2432" t="inlineStr">
        <is>
          <t>No</t>
        </is>
      </c>
      <c r="L2432" t="inlineStr">
        <is>
          <t>0</t>
        </is>
      </c>
      <c r="M2432" t="inlineStr">
        <is>
          <t>Walton, Geoffrey, 1913-</t>
        </is>
      </c>
      <c r="N2432" t="inlineStr">
        <is>
          <t>[London] : Bowes &amp; Bowes, [1955]</t>
        </is>
      </c>
      <c r="O2432" t="inlineStr">
        <is>
          <t>1955</t>
        </is>
      </c>
      <c r="Q2432" t="inlineStr">
        <is>
          <t>eng</t>
        </is>
      </c>
      <c r="R2432" t="inlineStr">
        <is>
          <t>enk</t>
        </is>
      </c>
      <c r="T2432" t="inlineStr">
        <is>
          <t xml:space="preserve">PR </t>
        </is>
      </c>
      <c r="U2432" t="n">
        <v>1</v>
      </c>
      <c r="V2432" t="n">
        <v>1</v>
      </c>
      <c r="W2432" t="inlineStr">
        <is>
          <t>2002-11-21</t>
        </is>
      </c>
      <c r="X2432" t="inlineStr">
        <is>
          <t>2002-11-21</t>
        </is>
      </c>
      <c r="Y2432" t="inlineStr">
        <is>
          <t>2002-11-21</t>
        </is>
      </c>
      <c r="Z2432" t="inlineStr">
        <is>
          <t>2002-11-21</t>
        </is>
      </c>
      <c r="AA2432" t="n">
        <v>642</v>
      </c>
      <c r="AB2432" t="n">
        <v>516</v>
      </c>
      <c r="AC2432" t="n">
        <v>548</v>
      </c>
      <c r="AD2432" t="n">
        <v>7</v>
      </c>
      <c r="AE2432" t="n">
        <v>7</v>
      </c>
      <c r="AF2432" t="n">
        <v>32</v>
      </c>
      <c r="AG2432" t="n">
        <v>33</v>
      </c>
      <c r="AH2432" t="n">
        <v>9</v>
      </c>
      <c r="AI2432" t="n">
        <v>9</v>
      </c>
      <c r="AJ2432" t="n">
        <v>7</v>
      </c>
      <c r="AK2432" t="n">
        <v>7</v>
      </c>
      <c r="AL2432" t="n">
        <v>19</v>
      </c>
      <c r="AM2432" t="n">
        <v>20</v>
      </c>
      <c r="AN2432" t="n">
        <v>5</v>
      </c>
      <c r="AO2432" t="n">
        <v>5</v>
      </c>
      <c r="AP2432" t="n">
        <v>0</v>
      </c>
      <c r="AQ2432" t="n">
        <v>0</v>
      </c>
      <c r="AR2432" t="inlineStr">
        <is>
          <t>No</t>
        </is>
      </c>
      <c r="AS2432" t="inlineStr">
        <is>
          <t>Yes</t>
        </is>
      </c>
      <c r="AT2432">
        <f>HYPERLINK("http://catalog.hathitrust.org/Record/001016497","HathiTrust Record")</f>
        <v/>
      </c>
      <c r="AU2432">
        <f>HYPERLINK("https://creighton-primo.hosted.exlibrisgroup.com/primo-explore/search?tab=default_tab&amp;search_scope=EVERYTHING&amp;vid=01CRU&amp;lang=en_US&amp;offset=0&amp;query=any,contains,991003949419702656","Catalog Record")</f>
        <v/>
      </c>
      <c r="AV2432">
        <f>HYPERLINK("http://www.worldcat.org/oclc/245783","WorldCat Record")</f>
        <v/>
      </c>
      <c r="AW2432" t="inlineStr">
        <is>
          <t>3095734:eng</t>
        </is>
      </c>
      <c r="AX2432" t="inlineStr">
        <is>
          <t>245783</t>
        </is>
      </c>
      <c r="AY2432" t="inlineStr">
        <is>
          <t>991003949419702656</t>
        </is>
      </c>
      <c r="AZ2432" t="inlineStr">
        <is>
          <t>991003949419702656</t>
        </is>
      </c>
      <c r="BA2432" t="inlineStr">
        <is>
          <t>2267053250002656</t>
        </is>
      </c>
      <c r="BB2432" t="inlineStr">
        <is>
          <t>BOOK</t>
        </is>
      </c>
      <c r="BE2432" t="inlineStr">
        <is>
          <t>32285004665617</t>
        </is>
      </c>
      <c r="BF2432" t="inlineStr">
        <is>
          <t>893435699</t>
        </is>
      </c>
    </row>
    <row r="2433">
      <c r="A2433" t="inlineStr">
        <is>
          <t>No</t>
        </is>
      </c>
      <c r="B2433" t="inlineStr">
        <is>
          <t>CURAL</t>
        </is>
      </c>
      <c r="C2433" t="inlineStr">
        <is>
          <t>SHELVES</t>
        </is>
      </c>
      <c r="D2433" t="inlineStr">
        <is>
          <t>PR545.R4 F56 1989</t>
        </is>
      </c>
      <c r="E2433" t="inlineStr">
        <is>
          <t>0                      PR 0545000R  4                  F  56          1989</t>
        </is>
      </c>
      <c r="F2433" t="inlineStr">
        <is>
          <t>A Fine tuning : studies of the religious poetry of Herbert and Milton / edited by Mary A. Maleski.</t>
        </is>
      </c>
      <c r="H2433" t="inlineStr">
        <is>
          <t>No</t>
        </is>
      </c>
      <c r="I2433" t="inlineStr">
        <is>
          <t>1</t>
        </is>
      </c>
      <c r="J2433" t="inlineStr">
        <is>
          <t>No</t>
        </is>
      </c>
      <c r="K2433" t="inlineStr">
        <is>
          <t>No</t>
        </is>
      </c>
      <c r="L2433" t="inlineStr">
        <is>
          <t>0</t>
        </is>
      </c>
      <c r="N2433" t="inlineStr">
        <is>
          <t>Binghamton, N.Y. : Medieval &amp; Renaissance Texts &amp; Studies, 1989.</t>
        </is>
      </c>
      <c r="O2433" t="inlineStr">
        <is>
          <t>1989</t>
        </is>
      </c>
      <c r="Q2433" t="inlineStr">
        <is>
          <t>eng</t>
        </is>
      </c>
      <c r="R2433" t="inlineStr">
        <is>
          <t>nyu</t>
        </is>
      </c>
      <c r="S2433" t="inlineStr">
        <is>
          <t>Medieval &amp; Renaissance texts &amp; studies ; v. 64</t>
        </is>
      </c>
      <c r="T2433" t="inlineStr">
        <is>
          <t xml:space="preserve">PR </t>
        </is>
      </c>
      <c r="U2433" t="n">
        <v>1</v>
      </c>
      <c r="V2433" t="n">
        <v>1</v>
      </c>
      <c r="W2433" t="inlineStr">
        <is>
          <t>2003-02-17</t>
        </is>
      </c>
      <c r="X2433" t="inlineStr">
        <is>
          <t>2003-02-17</t>
        </is>
      </c>
      <c r="Y2433" t="inlineStr">
        <is>
          <t>1990-02-02</t>
        </is>
      </c>
      <c r="Z2433" t="inlineStr">
        <is>
          <t>1990-02-02</t>
        </is>
      </c>
      <c r="AA2433" t="n">
        <v>318</v>
      </c>
      <c r="AB2433" t="n">
        <v>261</v>
      </c>
      <c r="AC2433" t="n">
        <v>269</v>
      </c>
      <c r="AD2433" t="n">
        <v>2</v>
      </c>
      <c r="AE2433" t="n">
        <v>2</v>
      </c>
      <c r="AF2433" t="n">
        <v>18</v>
      </c>
      <c r="AG2433" t="n">
        <v>18</v>
      </c>
      <c r="AH2433" t="n">
        <v>6</v>
      </c>
      <c r="AI2433" t="n">
        <v>6</v>
      </c>
      <c r="AJ2433" t="n">
        <v>5</v>
      </c>
      <c r="AK2433" t="n">
        <v>5</v>
      </c>
      <c r="AL2433" t="n">
        <v>13</v>
      </c>
      <c r="AM2433" t="n">
        <v>13</v>
      </c>
      <c r="AN2433" t="n">
        <v>1</v>
      </c>
      <c r="AO2433" t="n">
        <v>1</v>
      </c>
      <c r="AP2433" t="n">
        <v>0</v>
      </c>
      <c r="AQ2433" t="n">
        <v>0</v>
      </c>
      <c r="AR2433" t="inlineStr">
        <is>
          <t>No</t>
        </is>
      </c>
      <c r="AS2433" t="inlineStr">
        <is>
          <t>Yes</t>
        </is>
      </c>
      <c r="AT2433">
        <f>HYPERLINK("http://catalog.hathitrust.org/Record/001833038","HathiTrust Record")</f>
        <v/>
      </c>
      <c r="AU2433">
        <f>HYPERLINK("https://creighton-primo.hosted.exlibrisgroup.com/primo-explore/search?tab=default_tab&amp;search_scope=EVERYTHING&amp;vid=01CRU&amp;lang=en_US&amp;offset=0&amp;query=any,contains,991001377029702656","Catalog Record")</f>
        <v/>
      </c>
      <c r="AV2433">
        <f>HYPERLINK("http://www.worldcat.org/oclc/18625296","WorldCat Record")</f>
        <v/>
      </c>
      <c r="AW2433" t="inlineStr">
        <is>
          <t>355961889:eng</t>
        </is>
      </c>
      <c r="AX2433" t="inlineStr">
        <is>
          <t>18625296</t>
        </is>
      </c>
      <c r="AY2433" t="inlineStr">
        <is>
          <t>991001377029702656</t>
        </is>
      </c>
      <c r="AZ2433" t="inlineStr">
        <is>
          <t>991001377029702656</t>
        </is>
      </c>
      <c r="BA2433" t="inlineStr">
        <is>
          <t>2262790430002656</t>
        </is>
      </c>
      <c r="BB2433" t="inlineStr">
        <is>
          <t>BOOK</t>
        </is>
      </c>
      <c r="BD2433" t="inlineStr">
        <is>
          <t>9780866980487</t>
        </is>
      </c>
      <c r="BE2433" t="inlineStr">
        <is>
          <t>32285000036128</t>
        </is>
      </c>
      <c r="BF2433" t="inlineStr">
        <is>
          <t>893334296</t>
        </is>
      </c>
    </row>
    <row r="2434">
      <c r="A2434" t="inlineStr">
        <is>
          <t>No</t>
        </is>
      </c>
      <c r="B2434" t="inlineStr">
        <is>
          <t>CURAL</t>
        </is>
      </c>
      <c r="C2434" t="inlineStr">
        <is>
          <t>SHELVES</t>
        </is>
      </c>
      <c r="D2434" t="inlineStr">
        <is>
          <t>PR545.T94 C59 1982</t>
        </is>
      </c>
      <c r="E2434" t="inlineStr">
        <is>
          <t>0                      PR 0545000T  94                 C  59          1982</t>
        </is>
      </c>
      <c r="F2434" t="inlineStr">
        <is>
          <t>Christ revealed : the history of the neotypological lyric in the English Renaissance / Ira Clark.</t>
        </is>
      </c>
      <c r="H2434" t="inlineStr">
        <is>
          <t>No</t>
        </is>
      </c>
      <c r="I2434" t="inlineStr">
        <is>
          <t>1</t>
        </is>
      </c>
      <c r="J2434" t="inlineStr">
        <is>
          <t>No</t>
        </is>
      </c>
      <c r="K2434" t="inlineStr">
        <is>
          <t>No</t>
        </is>
      </c>
      <c r="L2434" t="inlineStr">
        <is>
          <t>0</t>
        </is>
      </c>
      <c r="M2434" t="inlineStr">
        <is>
          <t>Clark, Ira.</t>
        </is>
      </c>
      <c r="N2434" t="inlineStr">
        <is>
          <t>Gainesville, Fla. : University Presses of Florida, 1982.</t>
        </is>
      </c>
      <c r="O2434" t="inlineStr">
        <is>
          <t>1982</t>
        </is>
      </c>
      <c r="Q2434" t="inlineStr">
        <is>
          <t>eng</t>
        </is>
      </c>
      <c r="R2434" t="inlineStr">
        <is>
          <t>flu</t>
        </is>
      </c>
      <c r="S2434" t="inlineStr">
        <is>
          <t>University of Florida monographs. Humanities ; no. 51</t>
        </is>
      </c>
      <c r="T2434" t="inlineStr">
        <is>
          <t xml:space="preserve">PR </t>
        </is>
      </c>
      <c r="U2434" t="n">
        <v>3</v>
      </c>
      <c r="V2434" t="n">
        <v>3</v>
      </c>
      <c r="W2434" t="inlineStr">
        <is>
          <t>1997-11-19</t>
        </is>
      </c>
      <c r="X2434" t="inlineStr">
        <is>
          <t>1997-11-19</t>
        </is>
      </c>
      <c r="Y2434" t="inlineStr">
        <is>
          <t>1990-02-02</t>
        </is>
      </c>
      <c r="Z2434" t="inlineStr">
        <is>
          <t>1990-02-02</t>
        </is>
      </c>
      <c r="AA2434" t="n">
        <v>361</v>
      </c>
      <c r="AB2434" t="n">
        <v>305</v>
      </c>
      <c r="AC2434" t="n">
        <v>310</v>
      </c>
      <c r="AD2434" t="n">
        <v>2</v>
      </c>
      <c r="AE2434" t="n">
        <v>2</v>
      </c>
      <c r="AF2434" t="n">
        <v>21</v>
      </c>
      <c r="AG2434" t="n">
        <v>21</v>
      </c>
      <c r="AH2434" t="n">
        <v>8</v>
      </c>
      <c r="AI2434" t="n">
        <v>8</v>
      </c>
      <c r="AJ2434" t="n">
        <v>7</v>
      </c>
      <c r="AK2434" t="n">
        <v>7</v>
      </c>
      <c r="AL2434" t="n">
        <v>14</v>
      </c>
      <c r="AM2434" t="n">
        <v>14</v>
      </c>
      <c r="AN2434" t="n">
        <v>1</v>
      </c>
      <c r="AO2434" t="n">
        <v>1</v>
      </c>
      <c r="AP2434" t="n">
        <v>0</v>
      </c>
      <c r="AQ2434" t="n">
        <v>0</v>
      </c>
      <c r="AR2434" t="inlineStr">
        <is>
          <t>No</t>
        </is>
      </c>
      <c r="AS2434" t="inlineStr">
        <is>
          <t>No</t>
        </is>
      </c>
      <c r="AU2434">
        <f>HYPERLINK("https://creighton-primo.hosted.exlibrisgroup.com/primo-explore/search?tab=default_tab&amp;search_scope=EVERYTHING&amp;vid=01CRU&amp;lang=en_US&amp;offset=0&amp;query=any,contains,991005221359702656","Catalog Record")</f>
        <v/>
      </c>
      <c r="AV2434">
        <f>HYPERLINK("http://www.worldcat.org/oclc/8223045","WorldCat Record")</f>
        <v/>
      </c>
      <c r="AW2434" t="inlineStr">
        <is>
          <t>345988431:eng</t>
        </is>
      </c>
      <c r="AX2434" t="inlineStr">
        <is>
          <t>8223045</t>
        </is>
      </c>
      <c r="AY2434" t="inlineStr">
        <is>
          <t>991005221359702656</t>
        </is>
      </c>
      <c r="AZ2434" t="inlineStr">
        <is>
          <t>991005221359702656</t>
        </is>
      </c>
      <c r="BA2434" t="inlineStr">
        <is>
          <t>2267123770002656</t>
        </is>
      </c>
      <c r="BB2434" t="inlineStr">
        <is>
          <t>BOOK</t>
        </is>
      </c>
      <c r="BD2434" t="inlineStr">
        <is>
          <t>9780813007120</t>
        </is>
      </c>
      <c r="BE2434" t="inlineStr">
        <is>
          <t>32285000032333</t>
        </is>
      </c>
      <c r="BF2434" t="inlineStr">
        <is>
          <t>893902317</t>
        </is>
      </c>
    </row>
    <row r="2435">
      <c r="A2435" t="inlineStr">
        <is>
          <t>No</t>
        </is>
      </c>
      <c r="B2435" t="inlineStr">
        <is>
          <t>CURAL</t>
        </is>
      </c>
      <c r="C2435" t="inlineStr">
        <is>
          <t>SHELVES</t>
        </is>
      </c>
      <c r="D2435" t="inlineStr">
        <is>
          <t>PR545.V62 S52 1981</t>
        </is>
      </c>
      <c r="E2435" t="inlineStr">
        <is>
          <t>0                      PR 0545000V  62                 S  52          1981</t>
        </is>
      </c>
      <c r="F2435" t="inlineStr">
        <is>
          <t>The call of God : the theme of vocation in the poetry of Donne and Herbert / Robert B. Shaw.</t>
        </is>
      </c>
      <c r="H2435" t="inlineStr">
        <is>
          <t>No</t>
        </is>
      </c>
      <c r="I2435" t="inlineStr">
        <is>
          <t>1</t>
        </is>
      </c>
      <c r="J2435" t="inlineStr">
        <is>
          <t>No</t>
        </is>
      </c>
      <c r="K2435" t="inlineStr">
        <is>
          <t>No</t>
        </is>
      </c>
      <c r="L2435" t="inlineStr">
        <is>
          <t>0</t>
        </is>
      </c>
      <c r="M2435" t="inlineStr">
        <is>
          <t>Shaw, Robert B. (Robert Burns), 1947-</t>
        </is>
      </c>
      <c r="N2435" t="inlineStr">
        <is>
          <t>Cambridge, MA : Cowley Publications, c1981.</t>
        </is>
      </c>
      <c r="O2435" t="inlineStr">
        <is>
          <t>1981</t>
        </is>
      </c>
      <c r="Q2435" t="inlineStr">
        <is>
          <t>eng</t>
        </is>
      </c>
      <c r="R2435" t="inlineStr">
        <is>
          <t>mau</t>
        </is>
      </c>
      <c r="T2435" t="inlineStr">
        <is>
          <t xml:space="preserve">PR </t>
        </is>
      </c>
      <c r="U2435" t="n">
        <v>1</v>
      </c>
      <c r="V2435" t="n">
        <v>1</v>
      </c>
      <c r="W2435" t="inlineStr">
        <is>
          <t>2007-05-15</t>
        </is>
      </c>
      <c r="X2435" t="inlineStr">
        <is>
          <t>2007-05-15</t>
        </is>
      </c>
      <c r="Y2435" t="inlineStr">
        <is>
          <t>2007-05-15</t>
        </is>
      </c>
      <c r="Z2435" t="inlineStr">
        <is>
          <t>2007-05-15</t>
        </is>
      </c>
      <c r="AA2435" t="n">
        <v>499</v>
      </c>
      <c r="AB2435" t="n">
        <v>439</v>
      </c>
      <c r="AC2435" t="n">
        <v>446</v>
      </c>
      <c r="AD2435" t="n">
        <v>6</v>
      </c>
      <c r="AE2435" t="n">
        <v>6</v>
      </c>
      <c r="AF2435" t="n">
        <v>26</v>
      </c>
      <c r="AG2435" t="n">
        <v>26</v>
      </c>
      <c r="AH2435" t="n">
        <v>12</v>
      </c>
      <c r="AI2435" t="n">
        <v>12</v>
      </c>
      <c r="AJ2435" t="n">
        <v>6</v>
      </c>
      <c r="AK2435" t="n">
        <v>6</v>
      </c>
      <c r="AL2435" t="n">
        <v>11</v>
      </c>
      <c r="AM2435" t="n">
        <v>11</v>
      </c>
      <c r="AN2435" t="n">
        <v>5</v>
      </c>
      <c r="AO2435" t="n">
        <v>5</v>
      </c>
      <c r="AP2435" t="n">
        <v>0</v>
      </c>
      <c r="AQ2435" t="n">
        <v>0</v>
      </c>
      <c r="AR2435" t="inlineStr">
        <is>
          <t>No</t>
        </is>
      </c>
      <c r="AS2435" t="inlineStr">
        <is>
          <t>Yes</t>
        </is>
      </c>
      <c r="AT2435">
        <f>HYPERLINK("http://catalog.hathitrust.org/Record/000102496","HathiTrust Record")</f>
        <v/>
      </c>
      <c r="AU2435">
        <f>HYPERLINK("https://creighton-primo.hosted.exlibrisgroup.com/primo-explore/search?tab=default_tab&amp;search_scope=EVERYTHING&amp;vid=01CRU&amp;lang=en_US&amp;offset=0&amp;query=any,contains,991005078899702656","Catalog Record")</f>
        <v/>
      </c>
      <c r="AV2435">
        <f>HYPERLINK("http://www.worldcat.org/oclc/8524634","WorldCat Record")</f>
        <v/>
      </c>
      <c r="AW2435" t="inlineStr">
        <is>
          <t>430364633:eng</t>
        </is>
      </c>
      <c r="AX2435" t="inlineStr">
        <is>
          <t>8524634</t>
        </is>
      </c>
      <c r="AY2435" t="inlineStr">
        <is>
          <t>991005078899702656</t>
        </is>
      </c>
      <c r="AZ2435" t="inlineStr">
        <is>
          <t>991005078899702656</t>
        </is>
      </c>
      <c r="BA2435" t="inlineStr">
        <is>
          <t>2272819510002656</t>
        </is>
      </c>
      <c r="BB2435" t="inlineStr">
        <is>
          <t>BOOK</t>
        </is>
      </c>
      <c r="BD2435" t="inlineStr">
        <is>
          <t>9780936384047</t>
        </is>
      </c>
      <c r="BE2435" t="inlineStr">
        <is>
          <t>32285005312706</t>
        </is>
      </c>
      <c r="BF2435" t="inlineStr">
        <is>
          <t>893254428</t>
        </is>
      </c>
    </row>
    <row r="2436">
      <c r="A2436" t="inlineStr">
        <is>
          <t>No</t>
        </is>
      </c>
      <c r="B2436" t="inlineStr">
        <is>
          <t>CURAL</t>
        </is>
      </c>
      <c r="C2436" t="inlineStr">
        <is>
          <t>SHELVES</t>
        </is>
      </c>
      <c r="D2436" t="inlineStr">
        <is>
          <t>PR5467 .B4</t>
        </is>
      </c>
      <c r="E2436" t="inlineStr">
        <is>
          <t>0                      PR 5467000B  4</t>
        </is>
      </c>
      <c r="F2436" t="inlineStr">
        <is>
          <t>Robert Southey / by Ernest Bernhardt-Kabisch.</t>
        </is>
      </c>
      <c r="H2436" t="inlineStr">
        <is>
          <t>No</t>
        </is>
      </c>
      <c r="I2436" t="inlineStr">
        <is>
          <t>1</t>
        </is>
      </c>
      <c r="J2436" t="inlineStr">
        <is>
          <t>No</t>
        </is>
      </c>
      <c r="K2436" t="inlineStr">
        <is>
          <t>No</t>
        </is>
      </c>
      <c r="L2436" t="inlineStr">
        <is>
          <t>0</t>
        </is>
      </c>
      <c r="M2436" t="inlineStr">
        <is>
          <t>Bernhardt-Kabisch, Ernest, 1934-</t>
        </is>
      </c>
      <c r="N2436" t="inlineStr">
        <is>
          <t>Boston : Twayne Publishers, c1977.</t>
        </is>
      </c>
      <c r="O2436" t="inlineStr">
        <is>
          <t>1977</t>
        </is>
      </c>
      <c r="Q2436" t="inlineStr">
        <is>
          <t>eng</t>
        </is>
      </c>
      <c r="R2436" t="inlineStr">
        <is>
          <t>mau</t>
        </is>
      </c>
      <c r="S2436" t="inlineStr">
        <is>
          <t>Twayne's English authors series ; TEAS 223</t>
        </is>
      </c>
      <c r="T2436" t="inlineStr">
        <is>
          <t xml:space="preserve">PR </t>
        </is>
      </c>
      <c r="U2436" t="n">
        <v>3</v>
      </c>
      <c r="V2436" t="n">
        <v>3</v>
      </c>
      <c r="W2436" t="inlineStr">
        <is>
          <t>1995-08-27</t>
        </is>
      </c>
      <c r="X2436" t="inlineStr">
        <is>
          <t>1995-08-27</t>
        </is>
      </c>
      <c r="Y2436" t="inlineStr">
        <is>
          <t>1992-02-01</t>
        </is>
      </c>
      <c r="Z2436" t="inlineStr">
        <is>
          <t>1992-02-01</t>
        </is>
      </c>
      <c r="AA2436" t="n">
        <v>688</v>
      </c>
      <c r="AB2436" t="n">
        <v>613</v>
      </c>
      <c r="AC2436" t="n">
        <v>619</v>
      </c>
      <c r="AD2436" t="n">
        <v>6</v>
      </c>
      <c r="AE2436" t="n">
        <v>6</v>
      </c>
      <c r="AF2436" t="n">
        <v>30</v>
      </c>
      <c r="AG2436" t="n">
        <v>30</v>
      </c>
      <c r="AH2436" t="n">
        <v>13</v>
      </c>
      <c r="AI2436" t="n">
        <v>13</v>
      </c>
      <c r="AJ2436" t="n">
        <v>8</v>
      </c>
      <c r="AK2436" t="n">
        <v>8</v>
      </c>
      <c r="AL2436" t="n">
        <v>14</v>
      </c>
      <c r="AM2436" t="n">
        <v>14</v>
      </c>
      <c r="AN2436" t="n">
        <v>5</v>
      </c>
      <c r="AO2436" t="n">
        <v>5</v>
      </c>
      <c r="AP2436" t="n">
        <v>0</v>
      </c>
      <c r="AQ2436" t="n">
        <v>0</v>
      </c>
      <c r="AR2436" t="inlineStr">
        <is>
          <t>No</t>
        </is>
      </c>
      <c r="AS2436" t="inlineStr">
        <is>
          <t>Yes</t>
        </is>
      </c>
      <c r="AT2436">
        <f>HYPERLINK("http://catalog.hathitrust.org/Record/000747271","HathiTrust Record")</f>
        <v/>
      </c>
      <c r="AU2436">
        <f>HYPERLINK("https://creighton-primo.hosted.exlibrisgroup.com/primo-explore/search?tab=default_tab&amp;search_scope=EVERYTHING&amp;vid=01CRU&amp;lang=en_US&amp;offset=0&amp;query=any,contains,991004394359702656","Catalog Record")</f>
        <v/>
      </c>
      <c r="AV2436">
        <f>HYPERLINK("http://www.worldcat.org/oclc/3275135","WorldCat Record")</f>
        <v/>
      </c>
      <c r="AW2436" t="inlineStr">
        <is>
          <t>1909413597:eng</t>
        </is>
      </c>
      <c r="AX2436" t="inlineStr">
        <is>
          <t>3275135</t>
        </is>
      </c>
      <c r="AY2436" t="inlineStr">
        <is>
          <t>991004394359702656</t>
        </is>
      </c>
      <c r="AZ2436" t="inlineStr">
        <is>
          <t>991004394359702656</t>
        </is>
      </c>
      <c r="BA2436" t="inlineStr">
        <is>
          <t>2255486830002656</t>
        </is>
      </c>
      <c r="BB2436" t="inlineStr">
        <is>
          <t>BOOK</t>
        </is>
      </c>
      <c r="BD2436" t="inlineStr">
        <is>
          <t>9780805766929</t>
        </is>
      </c>
      <c r="BE2436" t="inlineStr">
        <is>
          <t>32285000932649</t>
        </is>
      </c>
      <c r="BF2436" t="inlineStr">
        <is>
          <t>893599791</t>
        </is>
      </c>
    </row>
    <row r="2437">
      <c r="A2437" t="inlineStr">
        <is>
          <t>No</t>
        </is>
      </c>
      <c r="B2437" t="inlineStr">
        <is>
          <t>CURAL</t>
        </is>
      </c>
      <c r="C2437" t="inlineStr">
        <is>
          <t>SHELVES</t>
        </is>
      </c>
      <c r="D2437" t="inlineStr">
        <is>
          <t>PR5473.S6 A88 1984</t>
        </is>
      </c>
      <c r="E2437" t="inlineStr">
        <is>
          <t>0                      PR 5473000S  6                  A  88          1984</t>
        </is>
      </c>
      <c r="F2437" t="inlineStr">
        <is>
          <t>Leslie Stephen : the Godless Victorian / by Noel Annan.</t>
        </is>
      </c>
      <c r="H2437" t="inlineStr">
        <is>
          <t>No</t>
        </is>
      </c>
      <c r="I2437" t="inlineStr">
        <is>
          <t>1</t>
        </is>
      </c>
      <c r="J2437" t="inlineStr">
        <is>
          <t>No</t>
        </is>
      </c>
      <c r="K2437" t="inlineStr">
        <is>
          <t>No</t>
        </is>
      </c>
      <c r="L2437" t="inlineStr">
        <is>
          <t>0</t>
        </is>
      </c>
      <c r="M2437" t="inlineStr">
        <is>
          <t>Annan, Noel Gilroy Annan, Baron, 1916-2000.</t>
        </is>
      </c>
      <c r="N2437" t="inlineStr">
        <is>
          <t>New York : Random House, c1984.</t>
        </is>
      </c>
      <c r="O2437" t="inlineStr">
        <is>
          <t>1984</t>
        </is>
      </c>
      <c r="Q2437" t="inlineStr">
        <is>
          <t>eng</t>
        </is>
      </c>
      <c r="R2437" t="inlineStr">
        <is>
          <t>nyu</t>
        </is>
      </c>
      <c r="T2437" t="inlineStr">
        <is>
          <t xml:space="preserve">PR </t>
        </is>
      </c>
      <c r="U2437" t="n">
        <v>2</v>
      </c>
      <c r="V2437" t="n">
        <v>2</v>
      </c>
      <c r="W2437" t="inlineStr">
        <is>
          <t>2002-10-09</t>
        </is>
      </c>
      <c r="X2437" t="inlineStr">
        <is>
          <t>2002-10-09</t>
        </is>
      </c>
      <c r="Y2437" t="inlineStr">
        <is>
          <t>1992-02-01</t>
        </is>
      </c>
      <c r="Z2437" t="inlineStr">
        <is>
          <t>1992-02-01</t>
        </is>
      </c>
      <c r="AA2437" t="n">
        <v>633</v>
      </c>
      <c r="AB2437" t="n">
        <v>577</v>
      </c>
      <c r="AC2437" t="n">
        <v>702</v>
      </c>
      <c r="AD2437" t="n">
        <v>4</v>
      </c>
      <c r="AE2437" t="n">
        <v>6</v>
      </c>
      <c r="AF2437" t="n">
        <v>28</v>
      </c>
      <c r="AG2437" t="n">
        <v>36</v>
      </c>
      <c r="AH2437" t="n">
        <v>12</v>
      </c>
      <c r="AI2437" t="n">
        <v>15</v>
      </c>
      <c r="AJ2437" t="n">
        <v>6</v>
      </c>
      <c r="AK2437" t="n">
        <v>8</v>
      </c>
      <c r="AL2437" t="n">
        <v>15</v>
      </c>
      <c r="AM2437" t="n">
        <v>20</v>
      </c>
      <c r="AN2437" t="n">
        <v>3</v>
      </c>
      <c r="AO2437" t="n">
        <v>5</v>
      </c>
      <c r="AP2437" t="n">
        <v>0</v>
      </c>
      <c r="AQ2437" t="n">
        <v>0</v>
      </c>
      <c r="AR2437" t="inlineStr">
        <is>
          <t>No</t>
        </is>
      </c>
      <c r="AS2437" t="inlineStr">
        <is>
          <t>No</t>
        </is>
      </c>
      <c r="AU2437">
        <f>HYPERLINK("https://creighton-primo.hosted.exlibrisgroup.com/primo-explore/search?tab=default_tab&amp;search_scope=EVERYTHING&amp;vid=01CRU&amp;lang=en_US&amp;offset=0&amp;query=any,contains,991000501909702656","Catalog Record")</f>
        <v/>
      </c>
      <c r="AV2437">
        <f>HYPERLINK("http://www.worldcat.org/oclc/11186530","WorldCat Record")</f>
        <v/>
      </c>
      <c r="AW2437" t="inlineStr">
        <is>
          <t>3943281916:eng</t>
        </is>
      </c>
      <c r="AX2437" t="inlineStr">
        <is>
          <t>11186530</t>
        </is>
      </c>
      <c r="AY2437" t="inlineStr">
        <is>
          <t>991000501909702656</t>
        </is>
      </c>
      <c r="AZ2437" t="inlineStr">
        <is>
          <t>991000501909702656</t>
        </is>
      </c>
      <c r="BA2437" t="inlineStr">
        <is>
          <t>2263827830002656</t>
        </is>
      </c>
      <c r="BB2437" t="inlineStr">
        <is>
          <t>BOOK</t>
        </is>
      </c>
      <c r="BD2437" t="inlineStr">
        <is>
          <t>9780394530611</t>
        </is>
      </c>
      <c r="BE2437" t="inlineStr">
        <is>
          <t>32285000932664</t>
        </is>
      </c>
      <c r="BF2437" t="inlineStr">
        <is>
          <t>893225041</t>
        </is>
      </c>
    </row>
    <row r="2438">
      <c r="A2438" t="inlineStr">
        <is>
          <t>No</t>
        </is>
      </c>
      <c r="B2438" t="inlineStr">
        <is>
          <t>CURAL</t>
        </is>
      </c>
      <c r="C2438" t="inlineStr">
        <is>
          <t>SHELVES</t>
        </is>
      </c>
      <c r="D2438" t="inlineStr">
        <is>
          <t>PR5473.S6 Z52</t>
        </is>
      </c>
      <c r="E2438" t="inlineStr">
        <is>
          <t>0                      PR 5473000S  6                  Z  52</t>
        </is>
      </c>
      <c r="F2438" t="inlineStr">
        <is>
          <t>Leslie Stephen, his thought and character in relation to his time / by Noel Gilroy Annan.</t>
        </is>
      </c>
      <c r="H2438" t="inlineStr">
        <is>
          <t>No</t>
        </is>
      </c>
      <c r="I2438" t="inlineStr">
        <is>
          <t>1</t>
        </is>
      </c>
      <c r="J2438" t="inlineStr">
        <is>
          <t>No</t>
        </is>
      </c>
      <c r="K2438" t="inlineStr">
        <is>
          <t>No</t>
        </is>
      </c>
      <c r="L2438" t="inlineStr">
        <is>
          <t>0</t>
        </is>
      </c>
      <c r="M2438" t="inlineStr">
        <is>
          <t>Annan, Noel Gilroy Annan, Baron, 1916-2000.</t>
        </is>
      </c>
      <c r="N2438" t="inlineStr">
        <is>
          <t>Cambridge : Harvard University Press, 1952.</t>
        </is>
      </c>
      <c r="O2438" t="inlineStr">
        <is>
          <t>1952</t>
        </is>
      </c>
      <c r="Q2438" t="inlineStr">
        <is>
          <t>eng</t>
        </is>
      </c>
      <c r="R2438" t="inlineStr">
        <is>
          <t>mau</t>
        </is>
      </c>
      <c r="T2438" t="inlineStr">
        <is>
          <t xml:space="preserve">PR </t>
        </is>
      </c>
      <c r="U2438" t="n">
        <v>1</v>
      </c>
      <c r="V2438" t="n">
        <v>1</v>
      </c>
      <c r="W2438" t="inlineStr">
        <is>
          <t>2002-10-09</t>
        </is>
      </c>
      <c r="X2438" t="inlineStr">
        <is>
          <t>2002-10-09</t>
        </is>
      </c>
      <c r="Y2438" t="inlineStr">
        <is>
          <t>1997-07-18</t>
        </is>
      </c>
      <c r="Z2438" t="inlineStr">
        <is>
          <t>1997-07-18</t>
        </is>
      </c>
      <c r="AA2438" t="n">
        <v>546</v>
      </c>
      <c r="AB2438" t="n">
        <v>522</v>
      </c>
      <c r="AC2438" t="n">
        <v>676</v>
      </c>
      <c r="AD2438" t="n">
        <v>7</v>
      </c>
      <c r="AE2438" t="n">
        <v>7</v>
      </c>
      <c r="AF2438" t="n">
        <v>31</v>
      </c>
      <c r="AG2438" t="n">
        <v>34</v>
      </c>
      <c r="AH2438" t="n">
        <v>11</v>
      </c>
      <c r="AI2438" t="n">
        <v>11</v>
      </c>
      <c r="AJ2438" t="n">
        <v>7</v>
      </c>
      <c r="AK2438" t="n">
        <v>9</v>
      </c>
      <c r="AL2438" t="n">
        <v>12</v>
      </c>
      <c r="AM2438" t="n">
        <v>14</v>
      </c>
      <c r="AN2438" t="n">
        <v>6</v>
      </c>
      <c r="AO2438" t="n">
        <v>6</v>
      </c>
      <c r="AP2438" t="n">
        <v>1</v>
      </c>
      <c r="AQ2438" t="n">
        <v>1</v>
      </c>
      <c r="AR2438" t="inlineStr">
        <is>
          <t>No</t>
        </is>
      </c>
      <c r="AS2438" t="inlineStr">
        <is>
          <t>Yes</t>
        </is>
      </c>
      <c r="AT2438">
        <f>HYPERLINK("http://catalog.hathitrust.org/Record/001024541","HathiTrust Record")</f>
        <v/>
      </c>
      <c r="AU2438">
        <f>HYPERLINK("https://creighton-primo.hosted.exlibrisgroup.com/primo-explore/search?tab=default_tab&amp;search_scope=EVERYTHING&amp;vid=01CRU&amp;lang=en_US&amp;offset=0&amp;query=any,contains,991000069919702656","Catalog Record")</f>
        <v/>
      </c>
      <c r="AV2438">
        <f>HYPERLINK("http://www.worldcat.org/oclc/8779685","WorldCat Record")</f>
        <v/>
      </c>
      <c r="AW2438" t="inlineStr">
        <is>
          <t>225100829:eng</t>
        </is>
      </c>
      <c r="AX2438" t="inlineStr">
        <is>
          <t>8779685</t>
        </is>
      </c>
      <c r="AY2438" t="inlineStr">
        <is>
          <t>991000069919702656</t>
        </is>
      </c>
      <c r="AZ2438" t="inlineStr">
        <is>
          <t>991000069919702656</t>
        </is>
      </c>
      <c r="BA2438" t="inlineStr">
        <is>
          <t>2266632000002656</t>
        </is>
      </c>
      <c r="BB2438" t="inlineStr">
        <is>
          <t>BOOK</t>
        </is>
      </c>
      <c r="BE2438" t="inlineStr">
        <is>
          <t>32285002934890</t>
        </is>
      </c>
      <c r="BF2438" t="inlineStr">
        <is>
          <t>893802469</t>
        </is>
      </c>
    </row>
    <row r="2439">
      <c r="A2439" t="inlineStr">
        <is>
          <t>No</t>
        </is>
      </c>
      <c r="B2439" t="inlineStr">
        <is>
          <t>CURAL</t>
        </is>
      </c>
      <c r="C2439" t="inlineStr">
        <is>
          <t>SHELVES</t>
        </is>
      </c>
      <c r="D2439" t="inlineStr">
        <is>
          <t>PR5473.S6 Z9</t>
        </is>
      </c>
      <c r="E2439" t="inlineStr">
        <is>
          <t>0                      PR 5473000S  6                  Z  9</t>
        </is>
      </c>
      <c r="F2439" t="inlineStr">
        <is>
          <t>Leslie Stephen / by David D. Zink.</t>
        </is>
      </c>
      <c r="H2439" t="inlineStr">
        <is>
          <t>No</t>
        </is>
      </c>
      <c r="I2439" t="inlineStr">
        <is>
          <t>1</t>
        </is>
      </c>
      <c r="J2439" t="inlineStr">
        <is>
          <t>No</t>
        </is>
      </c>
      <c r="K2439" t="inlineStr">
        <is>
          <t>No</t>
        </is>
      </c>
      <c r="L2439" t="inlineStr">
        <is>
          <t>0</t>
        </is>
      </c>
      <c r="M2439" t="inlineStr">
        <is>
          <t>Zink, David.</t>
        </is>
      </c>
      <c r="N2439" t="inlineStr">
        <is>
          <t>New York : Twayne Publishers, [1972]</t>
        </is>
      </c>
      <c r="O2439" t="inlineStr">
        <is>
          <t>1972</t>
        </is>
      </c>
      <c r="Q2439" t="inlineStr">
        <is>
          <t>eng</t>
        </is>
      </c>
      <c r="R2439" t="inlineStr">
        <is>
          <t>nyu</t>
        </is>
      </c>
      <c r="S2439" t="inlineStr">
        <is>
          <t>Twayne's English authors series ; TEAS 142</t>
        </is>
      </c>
      <c r="T2439" t="inlineStr">
        <is>
          <t xml:space="preserve">PR </t>
        </is>
      </c>
      <c r="U2439" t="n">
        <v>1</v>
      </c>
      <c r="V2439" t="n">
        <v>1</v>
      </c>
      <c r="W2439" t="inlineStr">
        <is>
          <t>2002-10-09</t>
        </is>
      </c>
      <c r="X2439" t="inlineStr">
        <is>
          <t>2002-10-09</t>
        </is>
      </c>
      <c r="Y2439" t="inlineStr">
        <is>
          <t>1993-11-08</t>
        </is>
      </c>
      <c r="Z2439" t="inlineStr">
        <is>
          <t>1993-11-08</t>
        </is>
      </c>
      <c r="AA2439" t="n">
        <v>659</v>
      </c>
      <c r="AB2439" t="n">
        <v>580</v>
      </c>
      <c r="AC2439" t="n">
        <v>588</v>
      </c>
      <c r="AD2439" t="n">
        <v>8</v>
      </c>
      <c r="AE2439" t="n">
        <v>8</v>
      </c>
      <c r="AF2439" t="n">
        <v>30</v>
      </c>
      <c r="AG2439" t="n">
        <v>30</v>
      </c>
      <c r="AH2439" t="n">
        <v>9</v>
      </c>
      <c r="AI2439" t="n">
        <v>9</v>
      </c>
      <c r="AJ2439" t="n">
        <v>7</v>
      </c>
      <c r="AK2439" t="n">
        <v>7</v>
      </c>
      <c r="AL2439" t="n">
        <v>15</v>
      </c>
      <c r="AM2439" t="n">
        <v>15</v>
      </c>
      <c r="AN2439" t="n">
        <v>7</v>
      </c>
      <c r="AO2439" t="n">
        <v>7</v>
      </c>
      <c r="AP2439" t="n">
        <v>0</v>
      </c>
      <c r="AQ2439" t="n">
        <v>0</v>
      </c>
      <c r="AR2439" t="inlineStr">
        <is>
          <t>No</t>
        </is>
      </c>
      <c r="AS2439" t="inlineStr">
        <is>
          <t>Yes</t>
        </is>
      </c>
      <c r="AT2439">
        <f>HYPERLINK("http://catalog.hathitrust.org/Record/001186336","HathiTrust Record")</f>
        <v/>
      </c>
      <c r="AU2439">
        <f>HYPERLINK("https://creighton-primo.hosted.exlibrisgroup.com/primo-explore/search?tab=default_tab&amp;search_scope=EVERYTHING&amp;vid=01CRU&amp;lang=en_US&amp;offset=0&amp;query=any,contains,991003003949702656","Catalog Record")</f>
        <v/>
      </c>
      <c r="AV2439">
        <f>HYPERLINK("http://www.worldcat.org/oclc/571812","WorldCat Record")</f>
        <v/>
      </c>
      <c r="AW2439" t="inlineStr">
        <is>
          <t>1681066:eng</t>
        </is>
      </c>
      <c r="AX2439" t="inlineStr">
        <is>
          <t>571812</t>
        </is>
      </c>
      <c r="AY2439" t="inlineStr">
        <is>
          <t>991003003949702656</t>
        </is>
      </c>
      <c r="AZ2439" t="inlineStr">
        <is>
          <t>991003003949702656</t>
        </is>
      </c>
      <c r="BA2439" t="inlineStr">
        <is>
          <t>2272024880002656</t>
        </is>
      </c>
      <c r="BB2439" t="inlineStr">
        <is>
          <t>BOOK</t>
        </is>
      </c>
      <c r="BE2439" t="inlineStr">
        <is>
          <t>32285001797355</t>
        </is>
      </c>
      <c r="BF2439" t="inlineStr">
        <is>
          <t>893524314</t>
        </is>
      </c>
    </row>
    <row r="2440">
      <c r="A2440" t="inlineStr">
        <is>
          <t>No</t>
        </is>
      </c>
      <c r="B2440" t="inlineStr">
        <is>
          <t>CURAL</t>
        </is>
      </c>
      <c r="C2440" t="inlineStr">
        <is>
          <t>SHELVES</t>
        </is>
      </c>
      <c r="D2440" t="inlineStr">
        <is>
          <t>PR5485 .D4 1983</t>
        </is>
      </c>
      <c r="E2440" t="inlineStr">
        <is>
          <t>0                      PR 5485000D  4           1983</t>
        </is>
      </c>
      <c r="F2440" t="inlineStr">
        <is>
          <t>The Definitive Dr. Jekyll and Mr. Hyde companion / edited by Harry M. Geduld.</t>
        </is>
      </c>
      <c r="H2440" t="inlineStr">
        <is>
          <t>No</t>
        </is>
      </c>
      <c r="I2440" t="inlineStr">
        <is>
          <t>1</t>
        </is>
      </c>
      <c r="J2440" t="inlineStr">
        <is>
          <t>No</t>
        </is>
      </c>
      <c r="K2440" t="inlineStr">
        <is>
          <t>No</t>
        </is>
      </c>
      <c r="L2440" t="inlineStr">
        <is>
          <t>0</t>
        </is>
      </c>
      <c r="N2440" t="inlineStr">
        <is>
          <t>New York : Garland, 1983.</t>
        </is>
      </c>
      <c r="O2440" t="inlineStr">
        <is>
          <t>1983</t>
        </is>
      </c>
      <c r="Q2440" t="inlineStr">
        <is>
          <t>eng</t>
        </is>
      </c>
      <c r="R2440" t="inlineStr">
        <is>
          <t>nyu</t>
        </is>
      </c>
      <c r="T2440" t="inlineStr">
        <is>
          <t xml:space="preserve">PR </t>
        </is>
      </c>
      <c r="U2440" t="n">
        <v>1</v>
      </c>
      <c r="V2440" t="n">
        <v>1</v>
      </c>
      <c r="W2440" t="inlineStr">
        <is>
          <t>2007-06-11</t>
        </is>
      </c>
      <c r="X2440" t="inlineStr">
        <is>
          <t>2007-06-11</t>
        </is>
      </c>
      <c r="Y2440" t="inlineStr">
        <is>
          <t>1992-02-01</t>
        </is>
      </c>
      <c r="Z2440" t="inlineStr">
        <is>
          <t>1992-02-01</t>
        </is>
      </c>
      <c r="AA2440" t="n">
        <v>363</v>
      </c>
      <c r="AB2440" t="n">
        <v>318</v>
      </c>
      <c r="AC2440" t="n">
        <v>325</v>
      </c>
      <c r="AD2440" t="n">
        <v>9</v>
      </c>
      <c r="AE2440" t="n">
        <v>9</v>
      </c>
      <c r="AF2440" t="n">
        <v>21</v>
      </c>
      <c r="AG2440" t="n">
        <v>21</v>
      </c>
      <c r="AH2440" t="n">
        <v>9</v>
      </c>
      <c r="AI2440" t="n">
        <v>9</v>
      </c>
      <c r="AJ2440" t="n">
        <v>4</v>
      </c>
      <c r="AK2440" t="n">
        <v>4</v>
      </c>
      <c r="AL2440" t="n">
        <v>4</v>
      </c>
      <c r="AM2440" t="n">
        <v>4</v>
      </c>
      <c r="AN2440" t="n">
        <v>7</v>
      </c>
      <c r="AO2440" t="n">
        <v>7</v>
      </c>
      <c r="AP2440" t="n">
        <v>0</v>
      </c>
      <c r="AQ2440" t="n">
        <v>0</v>
      </c>
      <c r="AR2440" t="inlineStr">
        <is>
          <t>No</t>
        </is>
      </c>
      <c r="AS2440" t="inlineStr">
        <is>
          <t>Yes</t>
        </is>
      </c>
      <c r="AT2440">
        <f>HYPERLINK("http://catalog.hathitrust.org/Record/000240855","HathiTrust Record")</f>
        <v/>
      </c>
      <c r="AU2440">
        <f>HYPERLINK("https://creighton-primo.hosted.exlibrisgroup.com/primo-explore/search?tab=default_tab&amp;search_scope=EVERYTHING&amp;vid=01CRU&amp;lang=en_US&amp;offset=0&amp;query=any,contains,991000118029702656","Catalog Record")</f>
        <v/>
      </c>
      <c r="AV2440">
        <f>HYPERLINK("http://www.worldcat.org/oclc/9045100","WorldCat Record")</f>
        <v/>
      </c>
      <c r="AW2440" t="inlineStr">
        <is>
          <t>915345:eng</t>
        </is>
      </c>
      <c r="AX2440" t="inlineStr">
        <is>
          <t>9045100</t>
        </is>
      </c>
      <c r="AY2440" t="inlineStr">
        <is>
          <t>991000118029702656</t>
        </is>
      </c>
      <c r="AZ2440" t="inlineStr">
        <is>
          <t>991000118029702656</t>
        </is>
      </c>
      <c r="BA2440" t="inlineStr">
        <is>
          <t>2268700020002656</t>
        </is>
      </c>
      <c r="BB2440" t="inlineStr">
        <is>
          <t>BOOK</t>
        </is>
      </c>
      <c r="BD2440" t="inlineStr">
        <is>
          <t>9780824094690</t>
        </is>
      </c>
      <c r="BE2440" t="inlineStr">
        <is>
          <t>32285000932714</t>
        </is>
      </c>
      <c r="BF2440" t="inlineStr">
        <is>
          <t>893902900</t>
        </is>
      </c>
    </row>
    <row r="2441">
      <c r="A2441" t="inlineStr">
        <is>
          <t>No</t>
        </is>
      </c>
      <c r="B2441" t="inlineStr">
        <is>
          <t>CURAL</t>
        </is>
      </c>
      <c r="C2441" t="inlineStr">
        <is>
          <t>SHELVES</t>
        </is>
      </c>
      <c r="D2441" t="inlineStr">
        <is>
          <t>PR549.P3 S59 1998</t>
        </is>
      </c>
      <c r="E2441" t="inlineStr">
        <is>
          <t>0                      PR 0549000P  3                  S  59          1998</t>
        </is>
      </c>
      <c r="F2441" t="inlineStr">
        <is>
          <t>Pastoral process : Spenser, Marvell, Milton / Susan Snyder.</t>
        </is>
      </c>
      <c r="H2441" t="inlineStr">
        <is>
          <t>No</t>
        </is>
      </c>
      <c r="I2441" t="inlineStr">
        <is>
          <t>1</t>
        </is>
      </c>
      <c r="J2441" t="inlineStr">
        <is>
          <t>No</t>
        </is>
      </c>
      <c r="K2441" t="inlineStr">
        <is>
          <t>No</t>
        </is>
      </c>
      <c r="L2441" t="inlineStr">
        <is>
          <t>0</t>
        </is>
      </c>
      <c r="M2441" t="inlineStr">
        <is>
          <t>Snyder, Susan, 1934-2001.</t>
        </is>
      </c>
      <c r="N2441" t="inlineStr">
        <is>
          <t>Stanford, Calif. : Stanford University Press, 1998.</t>
        </is>
      </c>
      <c r="O2441" t="inlineStr">
        <is>
          <t>1998</t>
        </is>
      </c>
      <c r="Q2441" t="inlineStr">
        <is>
          <t>eng</t>
        </is>
      </c>
      <c r="R2441" t="inlineStr">
        <is>
          <t>cau</t>
        </is>
      </c>
      <c r="T2441" t="inlineStr">
        <is>
          <t xml:space="preserve">PR </t>
        </is>
      </c>
      <c r="U2441" t="n">
        <v>2</v>
      </c>
      <c r="V2441" t="n">
        <v>2</v>
      </c>
      <c r="W2441" t="inlineStr">
        <is>
          <t>2010-11-13</t>
        </is>
      </c>
      <c r="X2441" t="inlineStr">
        <is>
          <t>2010-11-13</t>
        </is>
      </c>
      <c r="Y2441" t="inlineStr">
        <is>
          <t>1998-07-27</t>
        </is>
      </c>
      <c r="Z2441" t="inlineStr">
        <is>
          <t>1998-07-27</t>
        </is>
      </c>
      <c r="AA2441" t="n">
        <v>364</v>
      </c>
      <c r="AB2441" t="n">
        <v>282</v>
      </c>
      <c r="AC2441" t="n">
        <v>283</v>
      </c>
      <c r="AD2441" t="n">
        <v>3</v>
      </c>
      <c r="AE2441" t="n">
        <v>3</v>
      </c>
      <c r="AF2441" t="n">
        <v>17</v>
      </c>
      <c r="AG2441" t="n">
        <v>18</v>
      </c>
      <c r="AH2441" t="n">
        <v>4</v>
      </c>
      <c r="AI2441" t="n">
        <v>4</v>
      </c>
      <c r="AJ2441" t="n">
        <v>7</v>
      </c>
      <c r="AK2441" t="n">
        <v>7</v>
      </c>
      <c r="AL2441" t="n">
        <v>10</v>
      </c>
      <c r="AM2441" t="n">
        <v>11</v>
      </c>
      <c r="AN2441" t="n">
        <v>2</v>
      </c>
      <c r="AO2441" t="n">
        <v>2</v>
      </c>
      <c r="AP2441" t="n">
        <v>0</v>
      </c>
      <c r="AQ2441" t="n">
        <v>0</v>
      </c>
      <c r="AR2441" t="inlineStr">
        <is>
          <t>No</t>
        </is>
      </c>
      <c r="AS2441" t="inlineStr">
        <is>
          <t>No</t>
        </is>
      </c>
      <c r="AU2441">
        <f>HYPERLINK("https://creighton-primo.hosted.exlibrisgroup.com/primo-explore/search?tab=default_tab&amp;search_scope=EVERYTHING&amp;vid=01CRU&amp;lang=en_US&amp;offset=0&amp;query=any,contains,991002840259702656","Catalog Record")</f>
        <v/>
      </c>
      <c r="AV2441">
        <f>HYPERLINK("http://www.worldcat.org/oclc/37418260","WorldCat Record")</f>
        <v/>
      </c>
      <c r="AW2441" t="inlineStr">
        <is>
          <t>308746965:eng</t>
        </is>
      </c>
      <c r="AX2441" t="inlineStr">
        <is>
          <t>37418260</t>
        </is>
      </c>
      <c r="AY2441" t="inlineStr">
        <is>
          <t>991002840259702656</t>
        </is>
      </c>
      <c r="AZ2441" t="inlineStr">
        <is>
          <t>991002840259702656</t>
        </is>
      </c>
      <c r="BA2441" t="inlineStr">
        <is>
          <t>2270688580002656</t>
        </is>
      </c>
      <c r="BB2441" t="inlineStr">
        <is>
          <t>BOOK</t>
        </is>
      </c>
      <c r="BD2441" t="inlineStr">
        <is>
          <t>9780804731065</t>
        </is>
      </c>
      <c r="BE2441" t="inlineStr">
        <is>
          <t>32285003446134</t>
        </is>
      </c>
      <c r="BF2441" t="inlineStr">
        <is>
          <t>893227350</t>
        </is>
      </c>
    </row>
    <row r="2442">
      <c r="A2442" t="inlineStr">
        <is>
          <t>No</t>
        </is>
      </c>
      <c r="B2442" t="inlineStr">
        <is>
          <t>CURAL</t>
        </is>
      </c>
      <c r="C2442" t="inlineStr">
        <is>
          <t>SHELVES</t>
        </is>
      </c>
      <c r="D2442" t="inlineStr">
        <is>
          <t>PR549.R4 W5 1962</t>
        </is>
      </c>
      <c r="E2442" t="inlineStr">
        <is>
          <t>0                      PR 0549000R  4                  W  5           1962</t>
        </is>
      </c>
      <c r="F2442" t="inlineStr">
        <is>
          <t>The metaphysical poets : a study in religious experience / Helen C. White.</t>
        </is>
      </c>
      <c r="H2442" t="inlineStr">
        <is>
          <t>No</t>
        </is>
      </c>
      <c r="I2442" t="inlineStr">
        <is>
          <t>1</t>
        </is>
      </c>
      <c r="J2442" t="inlineStr">
        <is>
          <t>No</t>
        </is>
      </c>
      <c r="K2442" t="inlineStr">
        <is>
          <t>No</t>
        </is>
      </c>
      <c r="L2442" t="inlineStr">
        <is>
          <t>0</t>
        </is>
      </c>
      <c r="M2442" t="inlineStr">
        <is>
          <t>White, Helen Constance, 1896-1967.</t>
        </is>
      </c>
      <c r="N2442" t="inlineStr">
        <is>
          <t>New York : Collier, 1962, c1936.</t>
        </is>
      </c>
      <c r="O2442" t="inlineStr">
        <is>
          <t>1962</t>
        </is>
      </c>
      <c r="Q2442" t="inlineStr">
        <is>
          <t>eng</t>
        </is>
      </c>
      <c r="R2442" t="inlineStr">
        <is>
          <t>nyu</t>
        </is>
      </c>
      <c r="T2442" t="inlineStr">
        <is>
          <t xml:space="preserve">PR </t>
        </is>
      </c>
      <c r="U2442" t="n">
        <v>4</v>
      </c>
      <c r="V2442" t="n">
        <v>4</v>
      </c>
      <c r="W2442" t="inlineStr">
        <is>
          <t>2005-10-24</t>
        </is>
      </c>
      <c r="X2442" t="inlineStr">
        <is>
          <t>2005-10-24</t>
        </is>
      </c>
      <c r="Y2442" t="inlineStr">
        <is>
          <t>2001-07-16</t>
        </is>
      </c>
      <c r="Z2442" t="inlineStr">
        <is>
          <t>2001-07-16</t>
        </is>
      </c>
      <c r="AA2442" t="n">
        <v>351</v>
      </c>
      <c r="AB2442" t="n">
        <v>283</v>
      </c>
      <c r="AC2442" t="n">
        <v>996</v>
      </c>
      <c r="AD2442" t="n">
        <v>2</v>
      </c>
      <c r="AE2442" t="n">
        <v>9</v>
      </c>
      <c r="AF2442" t="n">
        <v>11</v>
      </c>
      <c r="AG2442" t="n">
        <v>42</v>
      </c>
      <c r="AH2442" t="n">
        <v>4</v>
      </c>
      <c r="AI2442" t="n">
        <v>18</v>
      </c>
      <c r="AJ2442" t="n">
        <v>1</v>
      </c>
      <c r="AK2442" t="n">
        <v>7</v>
      </c>
      <c r="AL2442" t="n">
        <v>6</v>
      </c>
      <c r="AM2442" t="n">
        <v>24</v>
      </c>
      <c r="AN2442" t="n">
        <v>1</v>
      </c>
      <c r="AO2442" t="n">
        <v>5</v>
      </c>
      <c r="AP2442" t="n">
        <v>0</v>
      </c>
      <c r="AQ2442" t="n">
        <v>0</v>
      </c>
      <c r="AR2442" t="inlineStr">
        <is>
          <t>No</t>
        </is>
      </c>
      <c r="AS2442" t="inlineStr">
        <is>
          <t>Yes</t>
        </is>
      </c>
      <c r="AT2442">
        <f>HYPERLINK("http://catalog.hathitrust.org/Record/001907677","HathiTrust Record")</f>
        <v/>
      </c>
      <c r="AU2442">
        <f>HYPERLINK("https://creighton-primo.hosted.exlibrisgroup.com/primo-explore/search?tab=default_tab&amp;search_scope=EVERYTHING&amp;vid=01CRU&amp;lang=en_US&amp;offset=0&amp;query=any,contains,991003570239702656","Catalog Record")</f>
        <v/>
      </c>
      <c r="AV2442">
        <f>HYPERLINK("http://www.worldcat.org/oclc/16674984","WorldCat Record")</f>
        <v/>
      </c>
      <c r="AW2442" t="inlineStr">
        <is>
          <t>1402561:eng</t>
        </is>
      </c>
      <c r="AX2442" t="inlineStr">
        <is>
          <t>16674984</t>
        </is>
      </c>
      <c r="AY2442" t="inlineStr">
        <is>
          <t>991003570239702656</t>
        </is>
      </c>
      <c r="AZ2442" t="inlineStr">
        <is>
          <t>991003570239702656</t>
        </is>
      </c>
      <c r="BA2442" t="inlineStr">
        <is>
          <t>2271716020002656</t>
        </is>
      </c>
      <c r="BB2442" t="inlineStr">
        <is>
          <t>BOOK</t>
        </is>
      </c>
      <c r="BE2442" t="inlineStr">
        <is>
          <t>32285004332960</t>
        </is>
      </c>
      <c r="BF2442" t="inlineStr">
        <is>
          <t>893799885</t>
        </is>
      </c>
    </row>
    <row r="2443">
      <c r="A2443" t="inlineStr">
        <is>
          <t>No</t>
        </is>
      </c>
      <c r="B2443" t="inlineStr">
        <is>
          <t>CURAL</t>
        </is>
      </c>
      <c r="C2443" t="inlineStr">
        <is>
          <t>SHELVES</t>
        </is>
      </c>
      <c r="D2443" t="inlineStr">
        <is>
          <t>PR5493 .C25 1980</t>
        </is>
      </c>
      <c r="E2443" t="inlineStr">
        <is>
          <t>0                      PR 5493000C  25          1980</t>
        </is>
      </c>
      <c r="F2443" t="inlineStr">
        <is>
          <t>RLS : a life study / by Jenni Calder.</t>
        </is>
      </c>
      <c r="H2443" t="inlineStr">
        <is>
          <t>No</t>
        </is>
      </c>
      <c r="I2443" t="inlineStr">
        <is>
          <t>1</t>
        </is>
      </c>
      <c r="J2443" t="inlineStr">
        <is>
          <t>No</t>
        </is>
      </c>
      <c r="K2443" t="inlineStr">
        <is>
          <t>No</t>
        </is>
      </c>
      <c r="L2443" t="inlineStr">
        <is>
          <t>0</t>
        </is>
      </c>
      <c r="M2443" t="inlineStr">
        <is>
          <t>Calder, Jenni.</t>
        </is>
      </c>
      <c r="N2443" t="inlineStr">
        <is>
          <t>London : Hamish Hamilton, 1980.</t>
        </is>
      </c>
      <c r="O2443" t="inlineStr">
        <is>
          <t>1980</t>
        </is>
      </c>
      <c r="Q2443" t="inlineStr">
        <is>
          <t>eng</t>
        </is>
      </c>
      <c r="R2443" t="inlineStr">
        <is>
          <t>enk</t>
        </is>
      </c>
      <c r="T2443" t="inlineStr">
        <is>
          <t xml:space="preserve">PR </t>
        </is>
      </c>
      <c r="U2443" t="n">
        <v>1</v>
      </c>
      <c r="V2443" t="n">
        <v>1</v>
      </c>
      <c r="W2443" t="inlineStr">
        <is>
          <t>1996-11-11</t>
        </is>
      </c>
      <c r="X2443" t="inlineStr">
        <is>
          <t>1996-11-11</t>
        </is>
      </c>
      <c r="Y2443" t="inlineStr">
        <is>
          <t>1992-02-01</t>
        </is>
      </c>
      <c r="Z2443" t="inlineStr">
        <is>
          <t>1992-02-01</t>
        </is>
      </c>
      <c r="AA2443" t="n">
        <v>148</v>
      </c>
      <c r="AB2443" t="n">
        <v>75</v>
      </c>
      <c r="AC2443" t="n">
        <v>83</v>
      </c>
      <c r="AD2443" t="n">
        <v>3</v>
      </c>
      <c r="AE2443" t="n">
        <v>3</v>
      </c>
      <c r="AF2443" t="n">
        <v>3</v>
      </c>
      <c r="AG2443" t="n">
        <v>4</v>
      </c>
      <c r="AH2443" t="n">
        <v>1</v>
      </c>
      <c r="AI2443" t="n">
        <v>2</v>
      </c>
      <c r="AJ2443" t="n">
        <v>0</v>
      </c>
      <c r="AK2443" t="n">
        <v>0</v>
      </c>
      <c r="AL2443" t="n">
        <v>0</v>
      </c>
      <c r="AM2443" t="n">
        <v>1</v>
      </c>
      <c r="AN2443" t="n">
        <v>2</v>
      </c>
      <c r="AO2443" t="n">
        <v>2</v>
      </c>
      <c r="AP2443" t="n">
        <v>0</v>
      </c>
      <c r="AQ2443" t="n">
        <v>0</v>
      </c>
      <c r="AR2443" t="inlineStr">
        <is>
          <t>No</t>
        </is>
      </c>
      <c r="AS2443" t="inlineStr">
        <is>
          <t>Yes</t>
        </is>
      </c>
      <c r="AT2443">
        <f>HYPERLINK("http://catalog.hathitrust.org/Record/000097311","HathiTrust Record")</f>
        <v/>
      </c>
      <c r="AU2443">
        <f>HYPERLINK("https://creighton-primo.hosted.exlibrisgroup.com/primo-explore/search?tab=default_tab&amp;search_scope=EVERYTHING&amp;vid=01CRU&amp;lang=en_US&amp;offset=0&amp;query=any,contains,991004987069702656","Catalog Record")</f>
        <v/>
      </c>
      <c r="AV2443">
        <f>HYPERLINK("http://www.worldcat.org/oclc/6461622","WorldCat Record")</f>
        <v/>
      </c>
      <c r="AW2443" t="inlineStr">
        <is>
          <t>22084997:eng</t>
        </is>
      </c>
      <c r="AX2443" t="inlineStr">
        <is>
          <t>6461622</t>
        </is>
      </c>
      <c r="AY2443" t="inlineStr">
        <is>
          <t>991004987069702656</t>
        </is>
      </c>
      <c r="AZ2443" t="inlineStr">
        <is>
          <t>991004987069702656</t>
        </is>
      </c>
      <c r="BA2443" t="inlineStr">
        <is>
          <t>2257092890002656</t>
        </is>
      </c>
      <c r="BB2443" t="inlineStr">
        <is>
          <t>BOOK</t>
        </is>
      </c>
      <c r="BD2443" t="inlineStr">
        <is>
          <t>9780241103746</t>
        </is>
      </c>
      <c r="BE2443" t="inlineStr">
        <is>
          <t>32285000932763</t>
        </is>
      </c>
      <c r="BF2443" t="inlineStr">
        <is>
          <t>893789294</t>
        </is>
      </c>
    </row>
    <row r="2444">
      <c r="A2444" t="inlineStr">
        <is>
          <t>No</t>
        </is>
      </c>
      <c r="B2444" t="inlineStr">
        <is>
          <t>CURAL</t>
        </is>
      </c>
      <c r="C2444" t="inlineStr">
        <is>
          <t>SHELVES</t>
        </is>
      </c>
      <c r="D2444" t="inlineStr">
        <is>
          <t>PR5493 .C5 1955</t>
        </is>
      </c>
      <c r="E2444" t="inlineStr">
        <is>
          <t>0                      PR 5493000C  5           1955</t>
        </is>
      </c>
      <c r="F2444" t="inlineStr">
        <is>
          <t>Robert Louis Stevenson.</t>
        </is>
      </c>
      <c r="H2444" t="inlineStr">
        <is>
          <t>No</t>
        </is>
      </c>
      <c r="I2444" t="inlineStr">
        <is>
          <t>1</t>
        </is>
      </c>
      <c r="J2444" t="inlineStr">
        <is>
          <t>No</t>
        </is>
      </c>
      <c r="K2444" t="inlineStr">
        <is>
          <t>No</t>
        </is>
      </c>
      <c r="L2444" t="inlineStr">
        <is>
          <t>0</t>
        </is>
      </c>
      <c r="M2444" t="inlineStr">
        <is>
          <t>Chesterton, G. K. (Gilbert Keith), 1874-1936.</t>
        </is>
      </c>
      <c r="N2444" t="inlineStr">
        <is>
          <t>New York, Sheed and Ward 1955 [c1928]</t>
        </is>
      </c>
      <c r="O2444" t="inlineStr">
        <is>
          <t>1955</t>
        </is>
      </c>
      <c r="Q2444" t="inlineStr">
        <is>
          <t>eng</t>
        </is>
      </c>
      <c r="R2444" t="inlineStr">
        <is>
          <t>nyu</t>
        </is>
      </c>
      <c r="S2444" t="inlineStr">
        <is>
          <t>New World Chesterton</t>
        </is>
      </c>
      <c r="T2444" t="inlineStr">
        <is>
          <t xml:space="preserve">PR </t>
        </is>
      </c>
      <c r="U2444" t="n">
        <v>2</v>
      </c>
      <c r="V2444" t="n">
        <v>2</v>
      </c>
      <c r="W2444" t="inlineStr">
        <is>
          <t>2001-11-24</t>
        </is>
      </c>
      <c r="X2444" t="inlineStr">
        <is>
          <t>2001-11-24</t>
        </is>
      </c>
      <c r="Y2444" t="inlineStr">
        <is>
          <t>1997-07-18</t>
        </is>
      </c>
      <c r="Z2444" t="inlineStr">
        <is>
          <t>1997-07-18</t>
        </is>
      </c>
      <c r="AA2444" t="n">
        <v>388</v>
      </c>
      <c r="AB2444" t="n">
        <v>360</v>
      </c>
      <c r="AC2444" t="n">
        <v>769</v>
      </c>
      <c r="AD2444" t="n">
        <v>3</v>
      </c>
      <c r="AE2444" t="n">
        <v>7</v>
      </c>
      <c r="AF2444" t="n">
        <v>22</v>
      </c>
      <c r="AG2444" t="n">
        <v>44</v>
      </c>
      <c r="AH2444" t="n">
        <v>8</v>
      </c>
      <c r="AI2444" t="n">
        <v>18</v>
      </c>
      <c r="AJ2444" t="n">
        <v>4</v>
      </c>
      <c r="AK2444" t="n">
        <v>9</v>
      </c>
      <c r="AL2444" t="n">
        <v>13</v>
      </c>
      <c r="AM2444" t="n">
        <v>26</v>
      </c>
      <c r="AN2444" t="n">
        <v>1</v>
      </c>
      <c r="AO2444" t="n">
        <v>4</v>
      </c>
      <c r="AP2444" t="n">
        <v>0</v>
      </c>
      <c r="AQ2444" t="n">
        <v>0</v>
      </c>
      <c r="AR2444" t="inlineStr">
        <is>
          <t>No</t>
        </is>
      </c>
      <c r="AS2444" t="inlineStr">
        <is>
          <t>No</t>
        </is>
      </c>
      <c r="AU2444">
        <f>HYPERLINK("https://creighton-primo.hosted.exlibrisgroup.com/primo-explore/search?tab=default_tab&amp;search_scope=EVERYTHING&amp;vid=01CRU&amp;lang=en_US&amp;offset=0&amp;query=any,contains,991002511169702656","Catalog Record")</f>
        <v/>
      </c>
      <c r="AV2444">
        <f>HYPERLINK("http://www.worldcat.org/oclc/365236","WorldCat Record")</f>
        <v/>
      </c>
      <c r="AW2444" t="inlineStr">
        <is>
          <t>2863399387:eng</t>
        </is>
      </c>
      <c r="AX2444" t="inlineStr">
        <is>
          <t>365236</t>
        </is>
      </c>
      <c r="AY2444" t="inlineStr">
        <is>
          <t>991002511169702656</t>
        </is>
      </c>
      <c r="AZ2444" t="inlineStr">
        <is>
          <t>991002511169702656</t>
        </is>
      </c>
      <c r="BA2444" t="inlineStr">
        <is>
          <t>2266031650002656</t>
        </is>
      </c>
      <c r="BB2444" t="inlineStr">
        <is>
          <t>BOOK</t>
        </is>
      </c>
      <c r="BE2444" t="inlineStr">
        <is>
          <t>32285002945649</t>
        </is>
      </c>
      <c r="BF2444" t="inlineStr">
        <is>
          <t>893523701</t>
        </is>
      </c>
    </row>
    <row r="2445">
      <c r="A2445" t="inlineStr">
        <is>
          <t>No</t>
        </is>
      </c>
      <c r="B2445" t="inlineStr">
        <is>
          <t>CURAL</t>
        </is>
      </c>
      <c r="C2445" t="inlineStr">
        <is>
          <t>SHELVES</t>
        </is>
      </c>
      <c r="D2445" t="inlineStr">
        <is>
          <t>PR5493 .H34 2005</t>
        </is>
      </c>
      <c r="E2445" t="inlineStr">
        <is>
          <t>0                      PR 5493000H  34          2005</t>
        </is>
      </c>
      <c r="F2445" t="inlineStr">
        <is>
          <t>Myself and the other fellow : a life of Robert Louis Stevenson / Claire Harman.</t>
        </is>
      </c>
      <c r="H2445" t="inlineStr">
        <is>
          <t>No</t>
        </is>
      </c>
      <c r="I2445" t="inlineStr">
        <is>
          <t>1</t>
        </is>
      </c>
      <c r="J2445" t="inlineStr">
        <is>
          <t>No</t>
        </is>
      </c>
      <c r="K2445" t="inlineStr">
        <is>
          <t>No</t>
        </is>
      </c>
      <c r="L2445" t="inlineStr">
        <is>
          <t>0</t>
        </is>
      </c>
      <c r="M2445" t="inlineStr">
        <is>
          <t>Harman, Claire.</t>
        </is>
      </c>
      <c r="N2445" t="inlineStr">
        <is>
          <t>New York : HarperCollins Publishers, 2005.</t>
        </is>
      </c>
      <c r="O2445" t="inlineStr">
        <is>
          <t>2005</t>
        </is>
      </c>
      <c r="P2445" t="inlineStr">
        <is>
          <t>[1st American ed.]</t>
        </is>
      </c>
      <c r="Q2445" t="inlineStr">
        <is>
          <t>eng</t>
        </is>
      </c>
      <c r="R2445" t="inlineStr">
        <is>
          <t>nyu</t>
        </is>
      </c>
      <c r="T2445" t="inlineStr">
        <is>
          <t xml:space="preserve">PR </t>
        </is>
      </c>
      <c r="U2445" t="n">
        <v>1</v>
      </c>
      <c r="V2445" t="n">
        <v>1</v>
      </c>
      <c r="W2445" t="inlineStr">
        <is>
          <t>2005-12-01</t>
        </is>
      </c>
      <c r="X2445" t="inlineStr">
        <is>
          <t>2005-12-01</t>
        </is>
      </c>
      <c r="Y2445" t="inlineStr">
        <is>
          <t>2005-12-01</t>
        </is>
      </c>
      <c r="Z2445" t="inlineStr">
        <is>
          <t>2005-12-01</t>
        </is>
      </c>
      <c r="AA2445" t="n">
        <v>780</v>
      </c>
      <c r="AB2445" t="n">
        <v>758</v>
      </c>
      <c r="AC2445" t="n">
        <v>799</v>
      </c>
      <c r="AD2445" t="n">
        <v>5</v>
      </c>
      <c r="AE2445" t="n">
        <v>5</v>
      </c>
      <c r="AF2445" t="n">
        <v>22</v>
      </c>
      <c r="AG2445" t="n">
        <v>22</v>
      </c>
      <c r="AH2445" t="n">
        <v>6</v>
      </c>
      <c r="AI2445" t="n">
        <v>6</v>
      </c>
      <c r="AJ2445" t="n">
        <v>6</v>
      </c>
      <c r="AK2445" t="n">
        <v>6</v>
      </c>
      <c r="AL2445" t="n">
        <v>12</v>
      </c>
      <c r="AM2445" t="n">
        <v>12</v>
      </c>
      <c r="AN2445" t="n">
        <v>4</v>
      </c>
      <c r="AO2445" t="n">
        <v>4</v>
      </c>
      <c r="AP2445" t="n">
        <v>0</v>
      </c>
      <c r="AQ2445" t="n">
        <v>0</v>
      </c>
      <c r="AR2445" t="inlineStr">
        <is>
          <t>No</t>
        </is>
      </c>
      <c r="AS2445" t="inlineStr">
        <is>
          <t>No</t>
        </is>
      </c>
      <c r="AU2445">
        <f>HYPERLINK("https://creighton-primo.hosted.exlibrisgroup.com/primo-explore/search?tab=default_tab&amp;search_scope=EVERYTHING&amp;vid=01CRU&amp;lang=en_US&amp;offset=0&amp;query=any,contains,991004694149702656","Catalog Record")</f>
        <v/>
      </c>
      <c r="AV2445">
        <f>HYPERLINK("http://www.worldcat.org/oclc/58789173","WorldCat Record")</f>
        <v/>
      </c>
      <c r="AW2445" t="inlineStr">
        <is>
          <t>2534368:eng</t>
        </is>
      </c>
      <c r="AX2445" t="inlineStr">
        <is>
          <t>58789173</t>
        </is>
      </c>
      <c r="AY2445" t="inlineStr">
        <is>
          <t>991004694149702656</t>
        </is>
      </c>
      <c r="AZ2445" t="inlineStr">
        <is>
          <t>991004694149702656</t>
        </is>
      </c>
      <c r="BA2445" t="inlineStr">
        <is>
          <t>2270039850002656</t>
        </is>
      </c>
      <c r="BB2445" t="inlineStr">
        <is>
          <t>BOOK</t>
        </is>
      </c>
      <c r="BD2445" t="inlineStr">
        <is>
          <t>9780066209845</t>
        </is>
      </c>
      <c r="BE2445" t="inlineStr">
        <is>
          <t>32285005150635</t>
        </is>
      </c>
      <c r="BF2445" t="inlineStr">
        <is>
          <t>893895361</t>
        </is>
      </c>
    </row>
    <row r="2446">
      <c r="A2446" t="inlineStr">
        <is>
          <t>No</t>
        </is>
      </c>
      <c r="B2446" t="inlineStr">
        <is>
          <t>CURAL</t>
        </is>
      </c>
      <c r="C2446" t="inlineStr">
        <is>
          <t>SHELVES</t>
        </is>
      </c>
      <c r="D2446" t="inlineStr">
        <is>
          <t>PR5493 .R36 1987</t>
        </is>
      </c>
      <c r="E2446" t="inlineStr">
        <is>
          <t>0                      PR 5493000R  36          1987</t>
        </is>
      </c>
      <c r="F2446" t="inlineStr">
        <is>
          <t>Dead man's chest : travels after Robert Louis Stevenson / Nicholas Rankin.</t>
        </is>
      </c>
      <c r="H2446" t="inlineStr">
        <is>
          <t>No</t>
        </is>
      </c>
      <c r="I2446" t="inlineStr">
        <is>
          <t>1</t>
        </is>
      </c>
      <c r="J2446" t="inlineStr">
        <is>
          <t>No</t>
        </is>
      </c>
      <c r="K2446" t="inlineStr">
        <is>
          <t>No</t>
        </is>
      </c>
      <c r="L2446" t="inlineStr">
        <is>
          <t>0</t>
        </is>
      </c>
      <c r="M2446" t="inlineStr">
        <is>
          <t>Rankin, Nicholas, 1950-</t>
        </is>
      </c>
      <c r="N2446" t="inlineStr">
        <is>
          <t>London : Faber, 1987.</t>
        </is>
      </c>
      <c r="O2446" t="inlineStr">
        <is>
          <t>1987</t>
        </is>
      </c>
      <c r="Q2446" t="inlineStr">
        <is>
          <t>eng</t>
        </is>
      </c>
      <c r="R2446" t="inlineStr">
        <is>
          <t>enk</t>
        </is>
      </c>
      <c r="T2446" t="inlineStr">
        <is>
          <t xml:space="preserve">PR </t>
        </is>
      </c>
      <c r="U2446" t="n">
        <v>1</v>
      </c>
      <c r="V2446" t="n">
        <v>1</v>
      </c>
      <c r="W2446" t="inlineStr">
        <is>
          <t>1996-11-11</t>
        </is>
      </c>
      <c r="X2446" t="inlineStr">
        <is>
          <t>1996-11-11</t>
        </is>
      </c>
      <c r="Y2446" t="inlineStr">
        <is>
          <t>1992-02-01</t>
        </is>
      </c>
      <c r="Z2446" t="inlineStr">
        <is>
          <t>1992-02-01</t>
        </is>
      </c>
      <c r="AA2446" t="n">
        <v>241</v>
      </c>
      <c r="AB2446" t="n">
        <v>174</v>
      </c>
      <c r="AC2446" t="n">
        <v>198</v>
      </c>
      <c r="AD2446" t="n">
        <v>2</v>
      </c>
      <c r="AE2446" t="n">
        <v>2</v>
      </c>
      <c r="AF2446" t="n">
        <v>7</v>
      </c>
      <c r="AG2446" t="n">
        <v>7</v>
      </c>
      <c r="AH2446" t="n">
        <v>0</v>
      </c>
      <c r="AI2446" t="n">
        <v>0</v>
      </c>
      <c r="AJ2446" t="n">
        <v>3</v>
      </c>
      <c r="AK2446" t="n">
        <v>3</v>
      </c>
      <c r="AL2446" t="n">
        <v>5</v>
      </c>
      <c r="AM2446" t="n">
        <v>5</v>
      </c>
      <c r="AN2446" t="n">
        <v>1</v>
      </c>
      <c r="AO2446" t="n">
        <v>1</v>
      </c>
      <c r="AP2446" t="n">
        <v>0</v>
      </c>
      <c r="AQ2446" t="n">
        <v>0</v>
      </c>
      <c r="AR2446" t="inlineStr">
        <is>
          <t>No</t>
        </is>
      </c>
      <c r="AS2446" t="inlineStr">
        <is>
          <t>No</t>
        </is>
      </c>
      <c r="AU2446">
        <f>HYPERLINK("https://creighton-primo.hosted.exlibrisgroup.com/primo-explore/search?tab=default_tab&amp;search_scope=EVERYTHING&amp;vid=01CRU&amp;lang=en_US&amp;offset=0&amp;query=any,contains,991000777919702656","Catalog Record")</f>
        <v/>
      </c>
      <c r="AV2446">
        <f>HYPERLINK("http://www.worldcat.org/oclc/19811656","WorldCat Record")</f>
        <v/>
      </c>
      <c r="AW2446" t="inlineStr">
        <is>
          <t>796530375:eng</t>
        </is>
      </c>
      <c r="AX2446" t="inlineStr">
        <is>
          <t>19811656</t>
        </is>
      </c>
      <c r="AY2446" t="inlineStr">
        <is>
          <t>991000777919702656</t>
        </is>
      </c>
      <c r="AZ2446" t="inlineStr">
        <is>
          <t>991000777919702656</t>
        </is>
      </c>
      <c r="BA2446" t="inlineStr">
        <is>
          <t>2271171650002656</t>
        </is>
      </c>
      <c r="BB2446" t="inlineStr">
        <is>
          <t>BOOK</t>
        </is>
      </c>
      <c r="BD2446" t="inlineStr">
        <is>
          <t>9780571138081</t>
        </is>
      </c>
      <c r="BE2446" t="inlineStr">
        <is>
          <t>32285000932789</t>
        </is>
      </c>
      <c r="BF2446" t="inlineStr">
        <is>
          <t>893333758</t>
        </is>
      </c>
    </row>
    <row r="2447">
      <c r="A2447" t="inlineStr">
        <is>
          <t>No</t>
        </is>
      </c>
      <c r="B2447" t="inlineStr">
        <is>
          <t>CURAL</t>
        </is>
      </c>
      <c r="C2447" t="inlineStr">
        <is>
          <t>SHELVES</t>
        </is>
      </c>
      <c r="D2447" t="inlineStr">
        <is>
          <t>PR5493 .S9 1980</t>
        </is>
      </c>
      <c r="E2447" t="inlineStr">
        <is>
          <t>0                      PR 5493000S  9           1980</t>
        </is>
      </c>
      <c r="F2447" t="inlineStr">
        <is>
          <t>The prose writings of Robert Louis Stevenson : a guide / by Roger G. Swearingen.</t>
        </is>
      </c>
      <c r="H2447" t="inlineStr">
        <is>
          <t>No</t>
        </is>
      </c>
      <c r="I2447" t="inlineStr">
        <is>
          <t>1</t>
        </is>
      </c>
      <c r="J2447" t="inlineStr">
        <is>
          <t>No</t>
        </is>
      </c>
      <c r="K2447" t="inlineStr">
        <is>
          <t>No</t>
        </is>
      </c>
      <c r="L2447" t="inlineStr">
        <is>
          <t>0</t>
        </is>
      </c>
      <c r="M2447" t="inlineStr">
        <is>
          <t>Swearingen, Roger G., 1944-</t>
        </is>
      </c>
      <c r="N2447" t="inlineStr">
        <is>
          <t>Hamden, Conn. : Archon Books, 1980.</t>
        </is>
      </c>
      <c r="O2447" t="inlineStr">
        <is>
          <t>1980</t>
        </is>
      </c>
      <c r="Q2447" t="inlineStr">
        <is>
          <t>eng</t>
        </is>
      </c>
      <c r="R2447" t="inlineStr">
        <is>
          <t>ctu</t>
        </is>
      </c>
      <c r="T2447" t="inlineStr">
        <is>
          <t xml:space="preserve">PR </t>
        </is>
      </c>
      <c r="U2447" t="n">
        <v>2</v>
      </c>
      <c r="V2447" t="n">
        <v>2</v>
      </c>
      <c r="W2447" t="inlineStr">
        <is>
          <t>1996-11-11</t>
        </is>
      </c>
      <c r="X2447" t="inlineStr">
        <is>
          <t>1996-11-11</t>
        </is>
      </c>
      <c r="Y2447" t="inlineStr">
        <is>
          <t>1992-02-01</t>
        </is>
      </c>
      <c r="Z2447" t="inlineStr">
        <is>
          <t>1992-02-01</t>
        </is>
      </c>
      <c r="AA2447" t="n">
        <v>526</v>
      </c>
      <c r="AB2447" t="n">
        <v>464</v>
      </c>
      <c r="AC2447" t="n">
        <v>476</v>
      </c>
      <c r="AD2447" t="n">
        <v>5</v>
      </c>
      <c r="AE2447" t="n">
        <v>5</v>
      </c>
      <c r="AF2447" t="n">
        <v>21</v>
      </c>
      <c r="AG2447" t="n">
        <v>21</v>
      </c>
      <c r="AH2447" t="n">
        <v>6</v>
      </c>
      <c r="AI2447" t="n">
        <v>6</v>
      </c>
      <c r="AJ2447" t="n">
        <v>6</v>
      </c>
      <c r="AK2447" t="n">
        <v>6</v>
      </c>
      <c r="AL2447" t="n">
        <v>11</v>
      </c>
      <c r="AM2447" t="n">
        <v>11</v>
      </c>
      <c r="AN2447" t="n">
        <v>4</v>
      </c>
      <c r="AO2447" t="n">
        <v>4</v>
      </c>
      <c r="AP2447" t="n">
        <v>0</v>
      </c>
      <c r="AQ2447" t="n">
        <v>0</v>
      </c>
      <c r="AR2447" t="inlineStr">
        <is>
          <t>No</t>
        </is>
      </c>
      <c r="AS2447" t="inlineStr">
        <is>
          <t>No</t>
        </is>
      </c>
      <c r="AU2447">
        <f>HYPERLINK("https://creighton-primo.hosted.exlibrisgroup.com/primo-explore/search?tab=default_tab&amp;search_scope=EVERYTHING&amp;vid=01CRU&amp;lang=en_US&amp;offset=0&amp;query=any,contains,991004874219702656","Catalog Record")</f>
        <v/>
      </c>
      <c r="AV2447">
        <f>HYPERLINK("http://www.worldcat.org/oclc/5777352","WorldCat Record")</f>
        <v/>
      </c>
      <c r="AW2447" t="inlineStr">
        <is>
          <t>417702:eng</t>
        </is>
      </c>
      <c r="AX2447" t="inlineStr">
        <is>
          <t>5777352</t>
        </is>
      </c>
      <c r="AY2447" t="inlineStr">
        <is>
          <t>991004874219702656</t>
        </is>
      </c>
      <c r="AZ2447" t="inlineStr">
        <is>
          <t>991004874219702656</t>
        </is>
      </c>
      <c r="BA2447" t="inlineStr">
        <is>
          <t>2256315020002656</t>
        </is>
      </c>
      <c r="BB2447" t="inlineStr">
        <is>
          <t>BOOK</t>
        </is>
      </c>
      <c r="BD2447" t="inlineStr">
        <is>
          <t>9780208018267</t>
        </is>
      </c>
      <c r="BE2447" t="inlineStr">
        <is>
          <t>32285000932797</t>
        </is>
      </c>
      <c r="BF2447" t="inlineStr">
        <is>
          <t>893807571</t>
        </is>
      </c>
    </row>
    <row r="2448">
      <c r="A2448" t="inlineStr">
        <is>
          <t>No</t>
        </is>
      </c>
      <c r="B2448" t="inlineStr">
        <is>
          <t>CURAL</t>
        </is>
      </c>
      <c r="C2448" t="inlineStr">
        <is>
          <t>SHELVES</t>
        </is>
      </c>
      <c r="D2448" t="inlineStr">
        <is>
          <t>PR55.T888 E88 2004</t>
        </is>
      </c>
      <c r="E2448" t="inlineStr">
        <is>
          <t>0                      PR 0055000T  888                E  88          2004</t>
        </is>
      </c>
      <c r="F2448" t="inlineStr">
        <is>
          <t>Rosemond Tuve : a life of the mind / Margaret Carpenter Evans.</t>
        </is>
      </c>
      <c r="H2448" t="inlineStr">
        <is>
          <t>No</t>
        </is>
      </c>
      <c r="I2448" t="inlineStr">
        <is>
          <t>1</t>
        </is>
      </c>
      <c r="J2448" t="inlineStr">
        <is>
          <t>No</t>
        </is>
      </c>
      <c r="K2448" t="inlineStr">
        <is>
          <t>No</t>
        </is>
      </c>
      <c r="L2448" t="inlineStr">
        <is>
          <t>0</t>
        </is>
      </c>
      <c r="M2448" t="inlineStr">
        <is>
          <t>Evans, Margaret Carpenter.</t>
        </is>
      </c>
      <c r="N2448" t="inlineStr">
        <is>
          <t>Portsmouth, N.H. : P.E. Randall Publisher ; Hanover [N.H.] : Distributed by University Press of New England, 2004.</t>
        </is>
      </c>
      <c r="O2448" t="inlineStr">
        <is>
          <t>2004</t>
        </is>
      </c>
      <c r="Q2448" t="inlineStr">
        <is>
          <t>eng</t>
        </is>
      </c>
      <c r="R2448" t="inlineStr">
        <is>
          <t>nhu</t>
        </is>
      </c>
      <c r="T2448" t="inlineStr">
        <is>
          <t xml:space="preserve">PR </t>
        </is>
      </c>
      <c r="U2448" t="n">
        <v>1</v>
      </c>
      <c r="V2448" t="n">
        <v>1</v>
      </c>
      <c r="W2448" t="inlineStr">
        <is>
          <t>2007-01-17</t>
        </is>
      </c>
      <c r="X2448" t="inlineStr">
        <is>
          <t>2007-01-17</t>
        </is>
      </c>
      <c r="Y2448" t="inlineStr">
        <is>
          <t>2007-01-17</t>
        </is>
      </c>
      <c r="Z2448" t="inlineStr">
        <is>
          <t>2007-01-17</t>
        </is>
      </c>
      <c r="AA2448" t="n">
        <v>237</v>
      </c>
      <c r="AB2448" t="n">
        <v>227</v>
      </c>
      <c r="AC2448" t="n">
        <v>430</v>
      </c>
      <c r="AD2448" t="n">
        <v>2</v>
      </c>
      <c r="AE2448" t="n">
        <v>5</v>
      </c>
      <c r="AF2448" t="n">
        <v>11</v>
      </c>
      <c r="AG2448" t="n">
        <v>25</v>
      </c>
      <c r="AH2448" t="n">
        <v>6</v>
      </c>
      <c r="AI2448" t="n">
        <v>7</v>
      </c>
      <c r="AJ2448" t="n">
        <v>2</v>
      </c>
      <c r="AK2448" t="n">
        <v>5</v>
      </c>
      <c r="AL2448" t="n">
        <v>6</v>
      </c>
      <c r="AM2448" t="n">
        <v>14</v>
      </c>
      <c r="AN2448" t="n">
        <v>0</v>
      </c>
      <c r="AO2448" t="n">
        <v>3</v>
      </c>
      <c r="AP2448" t="n">
        <v>0</v>
      </c>
      <c r="AQ2448" t="n">
        <v>0</v>
      </c>
      <c r="AR2448" t="inlineStr">
        <is>
          <t>No</t>
        </is>
      </c>
      <c r="AS2448" t="inlineStr">
        <is>
          <t>No</t>
        </is>
      </c>
      <c r="AU2448">
        <f>HYPERLINK("https://creighton-primo.hosted.exlibrisgroup.com/primo-explore/search?tab=default_tab&amp;search_scope=EVERYTHING&amp;vid=01CRU&amp;lang=en_US&amp;offset=0&amp;query=any,contains,991005017949702656","Catalog Record")</f>
        <v/>
      </c>
      <c r="AV2448">
        <f>HYPERLINK("http://www.worldcat.org/oclc/56567586","WorldCat Record")</f>
        <v/>
      </c>
      <c r="AW2448" t="inlineStr">
        <is>
          <t>1071583:eng</t>
        </is>
      </c>
      <c r="AX2448" t="inlineStr">
        <is>
          <t>56567586</t>
        </is>
      </c>
      <c r="AY2448" t="inlineStr">
        <is>
          <t>991005017949702656</t>
        </is>
      </c>
      <c r="AZ2448" t="inlineStr">
        <is>
          <t>991005017949702656</t>
        </is>
      </c>
      <c r="BA2448" t="inlineStr">
        <is>
          <t>2255326170002656</t>
        </is>
      </c>
      <c r="BB2448" t="inlineStr">
        <is>
          <t>BOOK</t>
        </is>
      </c>
      <c r="BD2448" t="inlineStr">
        <is>
          <t>9781931807203</t>
        </is>
      </c>
      <c r="BE2448" t="inlineStr">
        <is>
          <t>32285005271589</t>
        </is>
      </c>
      <c r="BF2448" t="inlineStr">
        <is>
          <t>893870380</t>
        </is>
      </c>
    </row>
    <row r="2449">
      <c r="A2449" t="inlineStr">
        <is>
          <t>No</t>
        </is>
      </c>
      <c r="B2449" t="inlineStr">
        <is>
          <t>CURAL</t>
        </is>
      </c>
      <c r="C2449" t="inlineStr">
        <is>
          <t>SHELVES</t>
        </is>
      </c>
      <c r="D2449" t="inlineStr">
        <is>
          <t>PR551 .S8 1962</t>
        </is>
      </c>
      <c r="E2449" t="inlineStr">
        <is>
          <t>0                      PR 0551000S  8           1962</t>
        </is>
      </c>
      <c r="F2449" t="inlineStr">
        <is>
          <t>A preface to eighteenth century poetry / by James Sutherland.</t>
        </is>
      </c>
      <c r="H2449" t="inlineStr">
        <is>
          <t>No</t>
        </is>
      </c>
      <c r="I2449" t="inlineStr">
        <is>
          <t>1</t>
        </is>
      </c>
      <c r="J2449" t="inlineStr">
        <is>
          <t>No</t>
        </is>
      </c>
      <c r="K2449" t="inlineStr">
        <is>
          <t>No</t>
        </is>
      </c>
      <c r="L2449" t="inlineStr">
        <is>
          <t>0</t>
        </is>
      </c>
      <c r="M2449" t="inlineStr">
        <is>
          <t>Sutherland, James Runcieman, 1900-1996.</t>
        </is>
      </c>
      <c r="N2449" t="inlineStr">
        <is>
          <t>Oxford ; New York : Clarendon Press, 1962.</t>
        </is>
      </c>
      <c r="O2449" t="inlineStr">
        <is>
          <t>1962</t>
        </is>
      </c>
      <c r="Q2449" t="inlineStr">
        <is>
          <t>eng</t>
        </is>
      </c>
      <c r="R2449" t="inlineStr">
        <is>
          <t>enk</t>
        </is>
      </c>
      <c r="T2449" t="inlineStr">
        <is>
          <t xml:space="preserve">PR </t>
        </is>
      </c>
      <c r="U2449" t="n">
        <v>1</v>
      </c>
      <c r="V2449" t="n">
        <v>1</v>
      </c>
      <c r="W2449" t="inlineStr">
        <is>
          <t>2010-11-29</t>
        </is>
      </c>
      <c r="X2449" t="inlineStr">
        <is>
          <t>2010-11-29</t>
        </is>
      </c>
      <c r="Y2449" t="inlineStr">
        <is>
          <t>1998-03-31</t>
        </is>
      </c>
      <c r="Z2449" t="inlineStr">
        <is>
          <t>1998-03-31</t>
        </is>
      </c>
      <c r="AA2449" t="n">
        <v>79</v>
      </c>
      <c r="AB2449" t="n">
        <v>61</v>
      </c>
      <c r="AC2449" t="n">
        <v>908</v>
      </c>
      <c r="AD2449" t="n">
        <v>1</v>
      </c>
      <c r="AE2449" t="n">
        <v>10</v>
      </c>
      <c r="AF2449" t="n">
        <v>3</v>
      </c>
      <c r="AG2449" t="n">
        <v>45</v>
      </c>
      <c r="AH2449" t="n">
        <v>1</v>
      </c>
      <c r="AI2449" t="n">
        <v>19</v>
      </c>
      <c r="AJ2449" t="n">
        <v>0</v>
      </c>
      <c r="AK2449" t="n">
        <v>6</v>
      </c>
      <c r="AL2449" t="n">
        <v>2</v>
      </c>
      <c r="AM2449" t="n">
        <v>21</v>
      </c>
      <c r="AN2449" t="n">
        <v>0</v>
      </c>
      <c r="AO2449" t="n">
        <v>9</v>
      </c>
      <c r="AP2449" t="n">
        <v>0</v>
      </c>
      <c r="AQ2449" t="n">
        <v>0</v>
      </c>
      <c r="AR2449" t="inlineStr">
        <is>
          <t>No</t>
        </is>
      </c>
      <c r="AS2449" t="inlineStr">
        <is>
          <t>Yes</t>
        </is>
      </c>
      <c r="AT2449">
        <f>HYPERLINK("http://catalog.hathitrust.org/Record/001907666","HathiTrust Record")</f>
        <v/>
      </c>
      <c r="AU2449">
        <f>HYPERLINK("https://creighton-primo.hosted.exlibrisgroup.com/primo-explore/search?tab=default_tab&amp;search_scope=EVERYTHING&amp;vid=01CRU&amp;lang=en_US&amp;offset=0&amp;query=any,contains,991001129099702656","Catalog Record")</f>
        <v/>
      </c>
      <c r="AV2449">
        <f>HYPERLINK("http://www.worldcat.org/oclc/16675880","WorldCat Record")</f>
        <v/>
      </c>
      <c r="AW2449" t="inlineStr">
        <is>
          <t>1509249:eng</t>
        </is>
      </c>
      <c r="AX2449" t="inlineStr">
        <is>
          <t>16675880</t>
        </is>
      </c>
      <c r="AY2449" t="inlineStr">
        <is>
          <t>991001129099702656</t>
        </is>
      </c>
      <c r="AZ2449" t="inlineStr">
        <is>
          <t>991001129099702656</t>
        </is>
      </c>
      <c r="BA2449" t="inlineStr">
        <is>
          <t>2272324740002656</t>
        </is>
      </c>
      <c r="BB2449" t="inlineStr">
        <is>
          <t>BOOK</t>
        </is>
      </c>
      <c r="BE2449" t="inlineStr">
        <is>
          <t>32285003373742</t>
        </is>
      </c>
      <c r="BF2449" t="inlineStr">
        <is>
          <t>893797318</t>
        </is>
      </c>
    </row>
    <row r="2450">
      <c r="A2450" t="inlineStr">
        <is>
          <t>No</t>
        </is>
      </c>
      <c r="B2450" t="inlineStr">
        <is>
          <t>CURAL</t>
        </is>
      </c>
      <c r="C2450" t="inlineStr">
        <is>
          <t>SHELVES</t>
        </is>
      </c>
      <c r="D2450" t="inlineStr">
        <is>
          <t>PR553 .J7 1890</t>
        </is>
      </c>
      <c r="E2450" t="inlineStr">
        <is>
          <t>0                      PR 0553000J  7           1890</t>
        </is>
      </c>
      <c r="F2450" t="inlineStr">
        <is>
          <t>Johnson's Lives of the poets. Edited, with notes, by Mrs. Alexander Napier. And with an introduction by J. W. Hales.</t>
        </is>
      </c>
      <c r="G2450" t="inlineStr">
        <is>
          <t>V.2</t>
        </is>
      </c>
      <c r="H2450" t="inlineStr">
        <is>
          <t>Yes</t>
        </is>
      </c>
      <c r="I2450" t="inlineStr">
        <is>
          <t>1</t>
        </is>
      </c>
      <c r="J2450" t="inlineStr">
        <is>
          <t>No</t>
        </is>
      </c>
      <c r="K2450" t="inlineStr">
        <is>
          <t>No</t>
        </is>
      </c>
      <c r="L2450" t="inlineStr">
        <is>
          <t>0</t>
        </is>
      </c>
      <c r="M2450" t="inlineStr">
        <is>
          <t>Johnson, Samuel, 1709-1784.</t>
        </is>
      </c>
      <c r="N2450" t="inlineStr">
        <is>
          <t>London, G. Bell and sons, 1890.</t>
        </is>
      </c>
      <c r="O2450" t="inlineStr">
        <is>
          <t>1890</t>
        </is>
      </c>
      <c r="Q2450" t="inlineStr">
        <is>
          <t>eng</t>
        </is>
      </c>
      <c r="R2450" t="inlineStr">
        <is>
          <t>enk</t>
        </is>
      </c>
      <c r="S2450" t="inlineStr">
        <is>
          <t>Bohn's standard library</t>
        </is>
      </c>
      <c r="T2450" t="inlineStr">
        <is>
          <t xml:space="preserve">PR </t>
        </is>
      </c>
      <c r="U2450" t="n">
        <v>1</v>
      </c>
      <c r="V2450" t="n">
        <v>5</v>
      </c>
      <c r="X2450" t="inlineStr">
        <is>
          <t>2006-12-12</t>
        </is>
      </c>
      <c r="Y2450" t="inlineStr">
        <is>
          <t>1997-08-29</t>
        </is>
      </c>
      <c r="Z2450" t="inlineStr">
        <is>
          <t>1997-08-29</t>
        </is>
      </c>
      <c r="AA2450" t="n">
        <v>68</v>
      </c>
      <c r="AB2450" t="n">
        <v>57</v>
      </c>
      <c r="AC2450" t="n">
        <v>86</v>
      </c>
      <c r="AD2450" t="n">
        <v>1</v>
      </c>
      <c r="AE2450" t="n">
        <v>1</v>
      </c>
      <c r="AF2450" t="n">
        <v>1</v>
      </c>
      <c r="AG2450" t="n">
        <v>1</v>
      </c>
      <c r="AH2450" t="n">
        <v>1</v>
      </c>
      <c r="AI2450" t="n">
        <v>1</v>
      </c>
      <c r="AJ2450" t="n">
        <v>0</v>
      </c>
      <c r="AK2450" t="n">
        <v>0</v>
      </c>
      <c r="AL2450" t="n">
        <v>0</v>
      </c>
      <c r="AM2450" t="n">
        <v>0</v>
      </c>
      <c r="AN2450" t="n">
        <v>0</v>
      </c>
      <c r="AO2450" t="n">
        <v>0</v>
      </c>
      <c r="AP2450" t="n">
        <v>0</v>
      </c>
      <c r="AQ2450" t="n">
        <v>0</v>
      </c>
      <c r="AR2450" t="inlineStr">
        <is>
          <t>Yes</t>
        </is>
      </c>
      <c r="AS2450" t="inlineStr">
        <is>
          <t>No</t>
        </is>
      </c>
      <c r="AT2450">
        <f>HYPERLINK("http://catalog.hathitrust.org/Record/000590315","HathiTrust Record")</f>
        <v/>
      </c>
      <c r="AU2450">
        <f>HYPERLINK("https://creighton-primo.hosted.exlibrisgroup.com/primo-explore/search?tab=default_tab&amp;search_scope=EVERYTHING&amp;vid=01CRU&amp;lang=en_US&amp;offset=0&amp;query=any,contains,991004023169702656","Catalog Record")</f>
        <v/>
      </c>
      <c r="AV2450">
        <f>HYPERLINK("http://www.worldcat.org/oclc/2126735","WorldCat Record")</f>
        <v/>
      </c>
      <c r="AW2450" t="inlineStr">
        <is>
          <t>1864908716:eng</t>
        </is>
      </c>
      <c r="AX2450" t="inlineStr">
        <is>
          <t>2126735</t>
        </is>
      </c>
      <c r="AY2450" t="inlineStr">
        <is>
          <t>991004023169702656</t>
        </is>
      </c>
      <c r="AZ2450" t="inlineStr">
        <is>
          <t>991004023169702656</t>
        </is>
      </c>
      <c r="BA2450" t="inlineStr">
        <is>
          <t>2271832090002656</t>
        </is>
      </c>
      <c r="BB2450" t="inlineStr">
        <is>
          <t>BOOK</t>
        </is>
      </c>
      <c r="BE2450" t="inlineStr">
        <is>
          <t>32285003154191</t>
        </is>
      </c>
      <c r="BF2450" t="inlineStr">
        <is>
          <t>893234958</t>
        </is>
      </c>
    </row>
    <row r="2451">
      <c r="A2451" t="inlineStr">
        <is>
          <t>No</t>
        </is>
      </c>
      <c r="B2451" t="inlineStr">
        <is>
          <t>CURAL</t>
        </is>
      </c>
      <c r="C2451" t="inlineStr">
        <is>
          <t>SHELVES</t>
        </is>
      </c>
      <c r="D2451" t="inlineStr">
        <is>
          <t>PR553 .J7 1890</t>
        </is>
      </c>
      <c r="E2451" t="inlineStr">
        <is>
          <t>0                      PR 0553000J  7           1890</t>
        </is>
      </c>
      <c r="F2451" t="inlineStr">
        <is>
          <t>Johnson's Lives of the poets. Edited, with notes, by Mrs. Alexander Napier. And with an introduction by J. W. Hales.</t>
        </is>
      </c>
      <c r="G2451" t="inlineStr">
        <is>
          <t>V.3</t>
        </is>
      </c>
      <c r="H2451" t="inlineStr">
        <is>
          <t>Yes</t>
        </is>
      </c>
      <c r="I2451" t="inlineStr">
        <is>
          <t>1</t>
        </is>
      </c>
      <c r="J2451" t="inlineStr">
        <is>
          <t>No</t>
        </is>
      </c>
      <c r="K2451" t="inlineStr">
        <is>
          <t>No</t>
        </is>
      </c>
      <c r="L2451" t="inlineStr">
        <is>
          <t>0</t>
        </is>
      </c>
      <c r="M2451" t="inlineStr">
        <is>
          <t>Johnson, Samuel, 1709-1784.</t>
        </is>
      </c>
      <c r="N2451" t="inlineStr">
        <is>
          <t>London, G. Bell and sons, 1890.</t>
        </is>
      </c>
      <c r="O2451" t="inlineStr">
        <is>
          <t>1890</t>
        </is>
      </c>
      <c r="Q2451" t="inlineStr">
        <is>
          <t>eng</t>
        </is>
      </c>
      <c r="R2451" t="inlineStr">
        <is>
          <t>enk</t>
        </is>
      </c>
      <c r="S2451" t="inlineStr">
        <is>
          <t>Bohn's standard library</t>
        </is>
      </c>
      <c r="T2451" t="inlineStr">
        <is>
          <t xml:space="preserve">PR </t>
        </is>
      </c>
      <c r="U2451" t="n">
        <v>3</v>
      </c>
      <c r="V2451" t="n">
        <v>5</v>
      </c>
      <c r="W2451" t="inlineStr">
        <is>
          <t>2002-11-12</t>
        </is>
      </c>
      <c r="X2451" t="inlineStr">
        <is>
          <t>2006-12-12</t>
        </is>
      </c>
      <c r="Y2451" t="inlineStr">
        <is>
          <t>1997-08-29</t>
        </is>
      </c>
      <c r="Z2451" t="inlineStr">
        <is>
          <t>1997-08-29</t>
        </is>
      </c>
      <c r="AA2451" t="n">
        <v>68</v>
      </c>
      <c r="AB2451" t="n">
        <v>57</v>
      </c>
      <c r="AC2451" t="n">
        <v>86</v>
      </c>
      <c r="AD2451" t="n">
        <v>1</v>
      </c>
      <c r="AE2451" t="n">
        <v>1</v>
      </c>
      <c r="AF2451" t="n">
        <v>1</v>
      </c>
      <c r="AG2451" t="n">
        <v>1</v>
      </c>
      <c r="AH2451" t="n">
        <v>1</v>
      </c>
      <c r="AI2451" t="n">
        <v>1</v>
      </c>
      <c r="AJ2451" t="n">
        <v>0</v>
      </c>
      <c r="AK2451" t="n">
        <v>0</v>
      </c>
      <c r="AL2451" t="n">
        <v>0</v>
      </c>
      <c r="AM2451" t="n">
        <v>0</v>
      </c>
      <c r="AN2451" t="n">
        <v>0</v>
      </c>
      <c r="AO2451" t="n">
        <v>0</v>
      </c>
      <c r="AP2451" t="n">
        <v>0</v>
      </c>
      <c r="AQ2451" t="n">
        <v>0</v>
      </c>
      <c r="AR2451" t="inlineStr">
        <is>
          <t>Yes</t>
        </is>
      </c>
      <c r="AS2451" t="inlineStr">
        <is>
          <t>No</t>
        </is>
      </c>
      <c r="AT2451">
        <f>HYPERLINK("http://catalog.hathitrust.org/Record/000590315","HathiTrust Record")</f>
        <v/>
      </c>
      <c r="AU2451">
        <f>HYPERLINK("https://creighton-primo.hosted.exlibrisgroup.com/primo-explore/search?tab=default_tab&amp;search_scope=EVERYTHING&amp;vid=01CRU&amp;lang=en_US&amp;offset=0&amp;query=any,contains,991004023169702656","Catalog Record")</f>
        <v/>
      </c>
      <c r="AV2451">
        <f>HYPERLINK("http://www.worldcat.org/oclc/2126735","WorldCat Record")</f>
        <v/>
      </c>
      <c r="AW2451" t="inlineStr">
        <is>
          <t>1864908716:eng</t>
        </is>
      </c>
      <c r="AX2451" t="inlineStr">
        <is>
          <t>2126735</t>
        </is>
      </c>
      <c r="AY2451" t="inlineStr">
        <is>
          <t>991004023169702656</t>
        </is>
      </c>
      <c r="AZ2451" t="inlineStr">
        <is>
          <t>991004023169702656</t>
        </is>
      </c>
      <c r="BA2451" t="inlineStr">
        <is>
          <t>2271832090002656</t>
        </is>
      </c>
      <c r="BB2451" t="inlineStr">
        <is>
          <t>BOOK</t>
        </is>
      </c>
      <c r="BE2451" t="inlineStr">
        <is>
          <t>32285003154209</t>
        </is>
      </c>
      <c r="BF2451" t="inlineStr">
        <is>
          <t>893247068</t>
        </is>
      </c>
    </row>
    <row r="2452">
      <c r="A2452" t="inlineStr">
        <is>
          <t>No</t>
        </is>
      </c>
      <c r="B2452" t="inlineStr">
        <is>
          <t>CURAL</t>
        </is>
      </c>
      <c r="C2452" t="inlineStr">
        <is>
          <t>SHELVES</t>
        </is>
      </c>
      <c r="D2452" t="inlineStr">
        <is>
          <t>PR553 .J7 1890</t>
        </is>
      </c>
      <c r="E2452" t="inlineStr">
        <is>
          <t>0                      PR 0553000J  7           1890</t>
        </is>
      </c>
      <c r="F2452" t="inlineStr">
        <is>
          <t>Johnson's Lives of the poets. Edited, with notes, by Mrs. Alexander Napier. And with an introduction by J. W. Hales.</t>
        </is>
      </c>
      <c r="G2452" t="inlineStr">
        <is>
          <t>V.1</t>
        </is>
      </c>
      <c r="H2452" t="inlineStr">
        <is>
          <t>Yes</t>
        </is>
      </c>
      <c r="I2452" t="inlineStr">
        <is>
          <t>1</t>
        </is>
      </c>
      <c r="J2452" t="inlineStr">
        <is>
          <t>No</t>
        </is>
      </c>
      <c r="K2452" t="inlineStr">
        <is>
          <t>No</t>
        </is>
      </c>
      <c r="L2452" t="inlineStr">
        <is>
          <t>0</t>
        </is>
      </c>
      <c r="M2452" t="inlineStr">
        <is>
          <t>Johnson, Samuel, 1709-1784.</t>
        </is>
      </c>
      <c r="N2452" t="inlineStr">
        <is>
          <t>London, G. Bell and sons, 1890.</t>
        </is>
      </c>
      <c r="O2452" t="inlineStr">
        <is>
          <t>1890</t>
        </is>
      </c>
      <c r="Q2452" t="inlineStr">
        <is>
          <t>eng</t>
        </is>
      </c>
      <c r="R2452" t="inlineStr">
        <is>
          <t>enk</t>
        </is>
      </c>
      <c r="S2452" t="inlineStr">
        <is>
          <t>Bohn's standard library</t>
        </is>
      </c>
      <c r="T2452" t="inlineStr">
        <is>
          <t xml:space="preserve">PR </t>
        </is>
      </c>
      <c r="U2452" t="n">
        <v>1</v>
      </c>
      <c r="V2452" t="n">
        <v>5</v>
      </c>
      <c r="W2452" t="inlineStr">
        <is>
          <t>2006-12-12</t>
        </is>
      </c>
      <c r="X2452" t="inlineStr">
        <is>
          <t>2006-12-12</t>
        </is>
      </c>
      <c r="Y2452" t="inlineStr">
        <is>
          <t>1997-08-29</t>
        </is>
      </c>
      <c r="Z2452" t="inlineStr">
        <is>
          <t>1997-08-29</t>
        </is>
      </c>
      <c r="AA2452" t="n">
        <v>68</v>
      </c>
      <c r="AB2452" t="n">
        <v>57</v>
      </c>
      <c r="AC2452" t="n">
        <v>86</v>
      </c>
      <c r="AD2452" t="n">
        <v>1</v>
      </c>
      <c r="AE2452" t="n">
        <v>1</v>
      </c>
      <c r="AF2452" t="n">
        <v>1</v>
      </c>
      <c r="AG2452" t="n">
        <v>1</v>
      </c>
      <c r="AH2452" t="n">
        <v>1</v>
      </c>
      <c r="AI2452" t="n">
        <v>1</v>
      </c>
      <c r="AJ2452" t="n">
        <v>0</v>
      </c>
      <c r="AK2452" t="n">
        <v>0</v>
      </c>
      <c r="AL2452" t="n">
        <v>0</v>
      </c>
      <c r="AM2452" t="n">
        <v>0</v>
      </c>
      <c r="AN2452" t="n">
        <v>0</v>
      </c>
      <c r="AO2452" t="n">
        <v>0</v>
      </c>
      <c r="AP2452" t="n">
        <v>0</v>
      </c>
      <c r="AQ2452" t="n">
        <v>0</v>
      </c>
      <c r="AR2452" t="inlineStr">
        <is>
          <t>Yes</t>
        </is>
      </c>
      <c r="AS2452" t="inlineStr">
        <is>
          <t>No</t>
        </is>
      </c>
      <c r="AT2452">
        <f>HYPERLINK("http://catalog.hathitrust.org/Record/000590315","HathiTrust Record")</f>
        <v/>
      </c>
      <c r="AU2452">
        <f>HYPERLINK("https://creighton-primo.hosted.exlibrisgroup.com/primo-explore/search?tab=default_tab&amp;search_scope=EVERYTHING&amp;vid=01CRU&amp;lang=en_US&amp;offset=0&amp;query=any,contains,991004023169702656","Catalog Record")</f>
        <v/>
      </c>
      <c r="AV2452">
        <f>HYPERLINK("http://www.worldcat.org/oclc/2126735","WorldCat Record")</f>
        <v/>
      </c>
      <c r="AW2452" t="inlineStr">
        <is>
          <t>1864908716:eng</t>
        </is>
      </c>
      <c r="AX2452" t="inlineStr">
        <is>
          <t>2126735</t>
        </is>
      </c>
      <c r="AY2452" t="inlineStr">
        <is>
          <t>991004023169702656</t>
        </is>
      </c>
      <c r="AZ2452" t="inlineStr">
        <is>
          <t>991004023169702656</t>
        </is>
      </c>
      <c r="BA2452" t="inlineStr">
        <is>
          <t>2271832090002656</t>
        </is>
      </c>
      <c r="BB2452" t="inlineStr">
        <is>
          <t>BOOK</t>
        </is>
      </c>
      <c r="BE2452" t="inlineStr">
        <is>
          <t>32285003154183</t>
        </is>
      </c>
      <c r="BF2452" t="inlineStr">
        <is>
          <t>893234955</t>
        </is>
      </c>
    </row>
    <row r="2453">
      <c r="A2453" t="inlineStr">
        <is>
          <t>No</t>
        </is>
      </c>
      <c r="B2453" t="inlineStr">
        <is>
          <t>CURAL</t>
        </is>
      </c>
      <c r="C2453" t="inlineStr">
        <is>
          <t>SHELVES</t>
        </is>
      </c>
      <c r="D2453" t="inlineStr">
        <is>
          <t>PR553 .T4 1990</t>
        </is>
      </c>
      <c r="E2453" t="inlineStr">
        <is>
          <t>0                      PR 0553000T  4           1990</t>
        </is>
      </c>
      <c r="F2453" t="inlineStr">
        <is>
          <t>Teaching eighteenth-century poetry / edited by Christopher Fox.</t>
        </is>
      </c>
      <c r="H2453" t="inlineStr">
        <is>
          <t>No</t>
        </is>
      </c>
      <c r="I2453" t="inlineStr">
        <is>
          <t>1</t>
        </is>
      </c>
      <c r="J2453" t="inlineStr">
        <is>
          <t>No</t>
        </is>
      </c>
      <c r="K2453" t="inlineStr">
        <is>
          <t>No</t>
        </is>
      </c>
      <c r="L2453" t="inlineStr">
        <is>
          <t>0</t>
        </is>
      </c>
      <c r="N2453" t="inlineStr">
        <is>
          <t>New York : AMS Press, c1990.</t>
        </is>
      </c>
      <c r="O2453" t="inlineStr">
        <is>
          <t>1990</t>
        </is>
      </c>
      <c r="Q2453" t="inlineStr">
        <is>
          <t>eng</t>
        </is>
      </c>
      <c r="R2453" t="inlineStr">
        <is>
          <t>nyu</t>
        </is>
      </c>
      <c r="S2453" t="inlineStr">
        <is>
          <t>AMS studies in the eighteenth century, 0196-6561 ; no. 12</t>
        </is>
      </c>
      <c r="T2453" t="inlineStr">
        <is>
          <t xml:space="preserve">PR </t>
        </is>
      </c>
      <c r="U2453" t="n">
        <v>9</v>
      </c>
      <c r="V2453" t="n">
        <v>9</v>
      </c>
      <c r="W2453" t="inlineStr">
        <is>
          <t>1996-10-16</t>
        </is>
      </c>
      <c r="X2453" t="inlineStr">
        <is>
          <t>1996-10-16</t>
        </is>
      </c>
      <c r="Y2453" t="inlineStr">
        <is>
          <t>1990-10-26</t>
        </is>
      </c>
      <c r="Z2453" t="inlineStr">
        <is>
          <t>1990-10-26</t>
        </is>
      </c>
      <c r="AA2453" t="n">
        <v>263</v>
      </c>
      <c r="AB2453" t="n">
        <v>204</v>
      </c>
      <c r="AC2453" t="n">
        <v>212</v>
      </c>
      <c r="AD2453" t="n">
        <v>1</v>
      </c>
      <c r="AE2453" t="n">
        <v>1</v>
      </c>
      <c r="AF2453" t="n">
        <v>11</v>
      </c>
      <c r="AG2453" t="n">
        <v>11</v>
      </c>
      <c r="AH2453" t="n">
        <v>3</v>
      </c>
      <c r="AI2453" t="n">
        <v>3</v>
      </c>
      <c r="AJ2453" t="n">
        <v>7</v>
      </c>
      <c r="AK2453" t="n">
        <v>7</v>
      </c>
      <c r="AL2453" t="n">
        <v>6</v>
      </c>
      <c r="AM2453" t="n">
        <v>6</v>
      </c>
      <c r="AN2453" t="n">
        <v>0</v>
      </c>
      <c r="AO2453" t="n">
        <v>0</v>
      </c>
      <c r="AP2453" t="n">
        <v>0</v>
      </c>
      <c r="AQ2453" t="n">
        <v>0</v>
      </c>
      <c r="AR2453" t="inlineStr">
        <is>
          <t>No</t>
        </is>
      </c>
      <c r="AS2453" t="inlineStr">
        <is>
          <t>Yes</t>
        </is>
      </c>
      <c r="AT2453">
        <f>HYPERLINK("http://catalog.hathitrust.org/Record/002441633","HathiTrust Record")</f>
        <v/>
      </c>
      <c r="AU2453">
        <f>HYPERLINK("https://creighton-primo.hosted.exlibrisgroup.com/primo-explore/search?tab=default_tab&amp;search_scope=EVERYTHING&amp;vid=01CRU&amp;lang=en_US&amp;offset=0&amp;query=any,contains,991001728939702656","Catalog Record")</f>
        <v/>
      </c>
      <c r="AV2453">
        <f>HYPERLINK("http://www.worldcat.org/oclc/22766731","WorldCat Record")</f>
        <v/>
      </c>
      <c r="AW2453" t="inlineStr">
        <is>
          <t>24214144:eng</t>
        </is>
      </c>
      <c r="AX2453" t="inlineStr">
        <is>
          <t>22766731</t>
        </is>
      </c>
      <c r="AY2453" t="inlineStr">
        <is>
          <t>991001728939702656</t>
        </is>
      </c>
      <c r="AZ2453" t="inlineStr">
        <is>
          <t>991001728939702656</t>
        </is>
      </c>
      <c r="BA2453" t="inlineStr">
        <is>
          <t>2272029150002656</t>
        </is>
      </c>
      <c r="BB2453" t="inlineStr">
        <is>
          <t>BOOK</t>
        </is>
      </c>
      <c r="BD2453" t="inlineStr">
        <is>
          <t>9780404635121</t>
        </is>
      </c>
      <c r="BE2453" t="inlineStr">
        <is>
          <t>32285000311943</t>
        </is>
      </c>
      <c r="BF2453" t="inlineStr">
        <is>
          <t>893433069</t>
        </is>
      </c>
    </row>
    <row r="2454">
      <c r="A2454" t="inlineStr">
        <is>
          <t>No</t>
        </is>
      </c>
      <c r="B2454" t="inlineStr">
        <is>
          <t>CURAL</t>
        </is>
      </c>
      <c r="C2454" t="inlineStr">
        <is>
          <t>SHELVES</t>
        </is>
      </c>
      <c r="D2454" t="inlineStr">
        <is>
          <t>PR5532.P53 K5</t>
        </is>
      </c>
      <c r="E2454" t="inlineStr">
        <is>
          <t>0                      PR 5532000P  53                 K  5</t>
        </is>
      </c>
      <c r="F2454" t="inlineStr">
        <is>
          <t>The "Playboy" riots.</t>
        </is>
      </c>
      <c r="H2454" t="inlineStr">
        <is>
          <t>No</t>
        </is>
      </c>
      <c r="I2454" t="inlineStr">
        <is>
          <t>1</t>
        </is>
      </c>
      <c r="J2454" t="inlineStr">
        <is>
          <t>No</t>
        </is>
      </c>
      <c r="K2454" t="inlineStr">
        <is>
          <t>No</t>
        </is>
      </c>
      <c r="L2454" t="inlineStr">
        <is>
          <t>0</t>
        </is>
      </c>
      <c r="M2454" t="inlineStr">
        <is>
          <t>Kilroy, James.</t>
        </is>
      </c>
      <c r="N2454" t="inlineStr">
        <is>
          <t>[Dublin] : Dolmen Press, [1971]</t>
        </is>
      </c>
      <c r="O2454" t="inlineStr">
        <is>
          <t>1971</t>
        </is>
      </c>
      <c r="Q2454" t="inlineStr">
        <is>
          <t>eng</t>
        </is>
      </c>
      <c r="R2454" t="inlineStr">
        <is>
          <t xml:space="preserve">ie </t>
        </is>
      </c>
      <c r="S2454" t="inlineStr">
        <is>
          <t>The Irish theatre series, 4</t>
        </is>
      </c>
      <c r="T2454" t="inlineStr">
        <is>
          <t xml:space="preserve">PR </t>
        </is>
      </c>
      <c r="U2454" t="n">
        <v>11</v>
      </c>
      <c r="V2454" t="n">
        <v>11</v>
      </c>
      <c r="W2454" t="inlineStr">
        <is>
          <t>2006-04-23</t>
        </is>
      </c>
      <c r="X2454" t="inlineStr">
        <is>
          <t>2006-04-23</t>
        </is>
      </c>
      <c r="Y2454" t="inlineStr">
        <is>
          <t>1991-09-26</t>
        </is>
      </c>
      <c r="Z2454" t="inlineStr">
        <is>
          <t>1991-09-26</t>
        </is>
      </c>
      <c r="AA2454" t="n">
        <v>298</v>
      </c>
      <c r="AB2454" t="n">
        <v>191</v>
      </c>
      <c r="AC2454" t="n">
        <v>191</v>
      </c>
      <c r="AD2454" t="n">
        <v>2</v>
      </c>
      <c r="AE2454" t="n">
        <v>2</v>
      </c>
      <c r="AF2454" t="n">
        <v>15</v>
      </c>
      <c r="AG2454" t="n">
        <v>15</v>
      </c>
      <c r="AH2454" t="n">
        <v>6</v>
      </c>
      <c r="AI2454" t="n">
        <v>6</v>
      </c>
      <c r="AJ2454" t="n">
        <v>6</v>
      </c>
      <c r="AK2454" t="n">
        <v>6</v>
      </c>
      <c r="AL2454" t="n">
        <v>7</v>
      </c>
      <c r="AM2454" t="n">
        <v>7</v>
      </c>
      <c r="AN2454" t="n">
        <v>1</v>
      </c>
      <c r="AO2454" t="n">
        <v>1</v>
      </c>
      <c r="AP2454" t="n">
        <v>0</v>
      </c>
      <c r="AQ2454" t="n">
        <v>0</v>
      </c>
      <c r="AR2454" t="inlineStr">
        <is>
          <t>No</t>
        </is>
      </c>
      <c r="AS2454" t="inlineStr">
        <is>
          <t>No</t>
        </is>
      </c>
      <c r="AU2454">
        <f>HYPERLINK("https://creighton-primo.hosted.exlibrisgroup.com/primo-explore/search?tab=default_tab&amp;search_scope=EVERYTHING&amp;vid=01CRU&amp;lang=en_US&amp;offset=0&amp;query=any,contains,991002945349702656","Catalog Record")</f>
        <v/>
      </c>
      <c r="AV2454">
        <f>HYPERLINK("http://www.worldcat.org/oclc/536700","WorldCat Record")</f>
        <v/>
      </c>
      <c r="AW2454" t="inlineStr">
        <is>
          <t>5614845330:eng</t>
        </is>
      </c>
      <c r="AX2454" t="inlineStr">
        <is>
          <t>536700</t>
        </is>
      </c>
      <c r="AY2454" t="inlineStr">
        <is>
          <t>991002945349702656</t>
        </is>
      </c>
      <c r="AZ2454" t="inlineStr">
        <is>
          <t>991002945349702656</t>
        </is>
      </c>
      <c r="BA2454" t="inlineStr">
        <is>
          <t>2260880710002656</t>
        </is>
      </c>
      <c r="BB2454" t="inlineStr">
        <is>
          <t>BOOK</t>
        </is>
      </c>
      <c r="BD2454" t="inlineStr">
        <is>
          <t>9780851051994</t>
        </is>
      </c>
      <c r="BE2454" t="inlineStr">
        <is>
          <t>32285000760727</t>
        </is>
      </c>
      <c r="BF2454" t="inlineStr">
        <is>
          <t>893698476</t>
        </is>
      </c>
    </row>
    <row r="2455">
      <c r="A2455" t="inlineStr">
        <is>
          <t>No</t>
        </is>
      </c>
      <c r="B2455" t="inlineStr">
        <is>
          <t>CURAL</t>
        </is>
      </c>
      <c r="C2455" t="inlineStr">
        <is>
          <t>SHELVES</t>
        </is>
      </c>
      <c r="D2455" t="inlineStr">
        <is>
          <t>PR5533 .G7</t>
        </is>
      </c>
      <c r="E2455" t="inlineStr">
        <is>
          <t>0                      PR 5533000G  7</t>
        </is>
      </c>
      <c r="F2455" t="inlineStr">
        <is>
          <t>J.M. Synge, 1871-1909 / by David H. Greene ànd Edward M. Stephens.</t>
        </is>
      </c>
      <c r="H2455" t="inlineStr">
        <is>
          <t>No</t>
        </is>
      </c>
      <c r="I2455" t="inlineStr">
        <is>
          <t>1</t>
        </is>
      </c>
      <c r="J2455" t="inlineStr">
        <is>
          <t>No</t>
        </is>
      </c>
      <c r="K2455" t="inlineStr">
        <is>
          <t>Yes</t>
        </is>
      </c>
      <c r="L2455" t="inlineStr">
        <is>
          <t>0</t>
        </is>
      </c>
      <c r="M2455" t="inlineStr">
        <is>
          <t>Greene, David H. (David Herbert), 1913-2008.</t>
        </is>
      </c>
      <c r="N2455" t="inlineStr">
        <is>
          <t>New York : Collier Books, 1̀961</t>
        </is>
      </c>
      <c r="O2455" t="inlineStr">
        <is>
          <t>1961</t>
        </is>
      </c>
      <c r="Q2455" t="inlineStr">
        <is>
          <t>eng</t>
        </is>
      </c>
      <c r="R2455" t="inlineStr">
        <is>
          <t xml:space="preserve">xx </t>
        </is>
      </c>
      <c r="T2455" t="inlineStr">
        <is>
          <t xml:space="preserve">PR </t>
        </is>
      </c>
      <c r="U2455" t="n">
        <v>5</v>
      </c>
      <c r="V2455" t="n">
        <v>5</v>
      </c>
      <c r="W2455" t="inlineStr">
        <is>
          <t>2004-10-07</t>
        </is>
      </c>
      <c r="X2455" t="inlineStr">
        <is>
          <t>2004-10-07</t>
        </is>
      </c>
      <c r="Y2455" t="inlineStr">
        <is>
          <t>1992-12-18</t>
        </is>
      </c>
      <c r="Z2455" t="inlineStr">
        <is>
          <t>1992-12-18</t>
        </is>
      </c>
      <c r="AA2455" t="n">
        <v>166</v>
      </c>
      <c r="AB2455" t="n">
        <v>126</v>
      </c>
      <c r="AC2455" t="n">
        <v>932</v>
      </c>
      <c r="AD2455" t="n">
        <v>2</v>
      </c>
      <c r="AE2455" t="n">
        <v>7</v>
      </c>
      <c r="AF2455" t="n">
        <v>8</v>
      </c>
      <c r="AG2455" t="n">
        <v>44</v>
      </c>
      <c r="AH2455" t="n">
        <v>2</v>
      </c>
      <c r="AI2455" t="n">
        <v>15</v>
      </c>
      <c r="AJ2455" t="n">
        <v>2</v>
      </c>
      <c r="AK2455" t="n">
        <v>10</v>
      </c>
      <c r="AL2455" t="n">
        <v>4</v>
      </c>
      <c r="AM2455" t="n">
        <v>23</v>
      </c>
      <c r="AN2455" t="n">
        <v>1</v>
      </c>
      <c r="AO2455" t="n">
        <v>6</v>
      </c>
      <c r="AP2455" t="n">
        <v>0</v>
      </c>
      <c r="AQ2455" t="n">
        <v>0</v>
      </c>
      <c r="AR2455" t="inlineStr">
        <is>
          <t>Yes</t>
        </is>
      </c>
      <c r="AS2455" t="inlineStr">
        <is>
          <t>No</t>
        </is>
      </c>
      <c r="AT2455">
        <f>HYPERLINK("http://catalog.hathitrust.org/Record/006059453","HathiTrust Record")</f>
        <v/>
      </c>
      <c r="AU2455">
        <f>HYPERLINK("https://creighton-primo.hosted.exlibrisgroup.com/primo-explore/search?tab=default_tab&amp;search_scope=EVERYTHING&amp;vid=01CRU&amp;lang=en_US&amp;offset=0&amp;query=any,contains,991002003309702656","Catalog Record")</f>
        <v/>
      </c>
      <c r="AV2455">
        <f>HYPERLINK("http://www.worldcat.org/oclc/1158291","WorldCat Record")</f>
        <v/>
      </c>
      <c r="AW2455" t="inlineStr">
        <is>
          <t>140071502:eng</t>
        </is>
      </c>
      <c r="AX2455" t="inlineStr">
        <is>
          <t>1158291</t>
        </is>
      </c>
      <c r="AY2455" t="inlineStr">
        <is>
          <t>991002003309702656</t>
        </is>
      </c>
      <c r="AZ2455" t="inlineStr">
        <is>
          <t>991002003309702656</t>
        </is>
      </c>
      <c r="BA2455" t="inlineStr">
        <is>
          <t>2268523450002656</t>
        </is>
      </c>
      <c r="BB2455" t="inlineStr">
        <is>
          <t>BOOK</t>
        </is>
      </c>
      <c r="BE2455" t="inlineStr">
        <is>
          <t>32285001443901</t>
        </is>
      </c>
      <c r="BF2455" t="inlineStr">
        <is>
          <t>893334817</t>
        </is>
      </c>
    </row>
    <row r="2456">
      <c r="A2456" t="inlineStr">
        <is>
          <t>No</t>
        </is>
      </c>
      <c r="B2456" t="inlineStr">
        <is>
          <t>CURAL</t>
        </is>
      </c>
      <c r="C2456" t="inlineStr">
        <is>
          <t>SHELVES</t>
        </is>
      </c>
      <c r="D2456" t="inlineStr">
        <is>
          <t>PR5533 .G7 1989</t>
        </is>
      </c>
      <c r="E2456" t="inlineStr">
        <is>
          <t>0                      PR 5533000G  7           1989</t>
        </is>
      </c>
      <c r="F2456" t="inlineStr">
        <is>
          <t>J.M. Synge, 1871-1909 / David H. Greene, Edward M. Stephens.</t>
        </is>
      </c>
      <c r="H2456" t="inlineStr">
        <is>
          <t>No</t>
        </is>
      </c>
      <c r="I2456" t="inlineStr">
        <is>
          <t>1</t>
        </is>
      </c>
      <c r="J2456" t="inlineStr">
        <is>
          <t>No</t>
        </is>
      </c>
      <c r="K2456" t="inlineStr">
        <is>
          <t>Yes</t>
        </is>
      </c>
      <c r="L2456" t="inlineStr">
        <is>
          <t>0</t>
        </is>
      </c>
      <c r="M2456" t="inlineStr">
        <is>
          <t>Greene, David H. (David Herbert), 1913-2008.</t>
        </is>
      </c>
      <c r="N2456" t="inlineStr">
        <is>
          <t>New York : New York University Press, c1989.</t>
        </is>
      </c>
      <c r="O2456" t="inlineStr">
        <is>
          <t>1989</t>
        </is>
      </c>
      <c r="P2456" t="inlineStr">
        <is>
          <t>Rev. ed.</t>
        </is>
      </c>
      <c r="Q2456" t="inlineStr">
        <is>
          <t>eng</t>
        </is>
      </c>
      <c r="R2456" t="inlineStr">
        <is>
          <t>nyu</t>
        </is>
      </c>
      <c r="T2456" t="inlineStr">
        <is>
          <t xml:space="preserve">PR </t>
        </is>
      </c>
      <c r="U2456" t="n">
        <v>13</v>
      </c>
      <c r="V2456" t="n">
        <v>13</v>
      </c>
      <c r="W2456" t="inlineStr">
        <is>
          <t>2007-02-22</t>
        </is>
      </c>
      <c r="X2456" t="inlineStr">
        <is>
          <t>2007-02-22</t>
        </is>
      </c>
      <c r="Y2456" t="inlineStr">
        <is>
          <t>1990-03-27</t>
        </is>
      </c>
      <c r="Z2456" t="inlineStr">
        <is>
          <t>1990-03-27</t>
        </is>
      </c>
      <c r="AA2456" t="n">
        <v>347</v>
      </c>
      <c r="AB2456" t="n">
        <v>258</v>
      </c>
      <c r="AC2456" t="n">
        <v>932</v>
      </c>
      <c r="AD2456" t="n">
        <v>3</v>
      </c>
      <c r="AE2456" t="n">
        <v>7</v>
      </c>
      <c r="AF2456" t="n">
        <v>16</v>
      </c>
      <c r="AG2456" t="n">
        <v>44</v>
      </c>
      <c r="AH2456" t="n">
        <v>5</v>
      </c>
      <c r="AI2456" t="n">
        <v>15</v>
      </c>
      <c r="AJ2456" t="n">
        <v>6</v>
      </c>
      <c r="AK2456" t="n">
        <v>10</v>
      </c>
      <c r="AL2456" t="n">
        <v>9</v>
      </c>
      <c r="AM2456" t="n">
        <v>23</v>
      </c>
      <c r="AN2456" t="n">
        <v>2</v>
      </c>
      <c r="AO2456" t="n">
        <v>6</v>
      </c>
      <c r="AP2456" t="n">
        <v>0</v>
      </c>
      <c r="AQ2456" t="n">
        <v>0</v>
      </c>
      <c r="AR2456" t="inlineStr">
        <is>
          <t>No</t>
        </is>
      </c>
      <c r="AS2456" t="inlineStr">
        <is>
          <t>Yes</t>
        </is>
      </c>
      <c r="AT2456">
        <f>HYPERLINK("http://catalog.hathitrust.org/Record/001942836","HathiTrust Record")</f>
        <v/>
      </c>
      <c r="AU2456">
        <f>HYPERLINK("https://creighton-primo.hosted.exlibrisgroup.com/primo-explore/search?tab=default_tab&amp;search_scope=EVERYTHING&amp;vid=01CRU&amp;lang=en_US&amp;offset=0&amp;query=any,contains,991001493029702656","Catalog Record")</f>
        <v/>
      </c>
      <c r="AV2456">
        <f>HYPERLINK("http://www.worldcat.org/oclc/19739755","WorldCat Record")</f>
        <v/>
      </c>
      <c r="AW2456" t="inlineStr">
        <is>
          <t>140071502:eng</t>
        </is>
      </c>
      <c r="AX2456" t="inlineStr">
        <is>
          <t>19739755</t>
        </is>
      </c>
      <c r="AY2456" t="inlineStr">
        <is>
          <t>991001493029702656</t>
        </is>
      </c>
      <c r="AZ2456" t="inlineStr">
        <is>
          <t>991001493029702656</t>
        </is>
      </c>
      <c r="BA2456" t="inlineStr">
        <is>
          <t>2259326350002656</t>
        </is>
      </c>
      <c r="BB2456" t="inlineStr">
        <is>
          <t>BOOK</t>
        </is>
      </c>
      <c r="BD2456" t="inlineStr">
        <is>
          <t>9780814730287</t>
        </is>
      </c>
      <c r="BE2456" t="inlineStr">
        <is>
          <t>32285000083948</t>
        </is>
      </c>
      <c r="BF2456" t="inlineStr">
        <is>
          <t>893346554</t>
        </is>
      </c>
    </row>
    <row r="2457">
      <c r="A2457" t="inlineStr">
        <is>
          <t>No</t>
        </is>
      </c>
      <c r="B2457" t="inlineStr">
        <is>
          <t>CURAL</t>
        </is>
      </c>
      <c r="C2457" t="inlineStr">
        <is>
          <t>SHELVES</t>
        </is>
      </c>
      <c r="D2457" t="inlineStr">
        <is>
          <t>PR5533 .S5</t>
        </is>
      </c>
      <c r="E2457" t="inlineStr">
        <is>
          <t>0                      PR 5533000S  5</t>
        </is>
      </c>
      <c r="F2457" t="inlineStr">
        <is>
          <t>J. M. Synge and his world.</t>
        </is>
      </c>
      <c r="H2457" t="inlineStr">
        <is>
          <t>No</t>
        </is>
      </c>
      <c r="I2457" t="inlineStr">
        <is>
          <t>1</t>
        </is>
      </c>
      <c r="J2457" t="inlineStr">
        <is>
          <t>No</t>
        </is>
      </c>
      <c r="K2457" t="inlineStr">
        <is>
          <t>No</t>
        </is>
      </c>
      <c r="L2457" t="inlineStr">
        <is>
          <t>0</t>
        </is>
      </c>
      <c r="M2457" t="inlineStr">
        <is>
          <t>Skelton, Robin.</t>
        </is>
      </c>
      <c r="N2457" t="inlineStr">
        <is>
          <t>New York : Viking Press, [1971]</t>
        </is>
      </c>
      <c r="O2457" t="inlineStr">
        <is>
          <t>1971</t>
        </is>
      </c>
      <c r="Q2457" t="inlineStr">
        <is>
          <t>eng</t>
        </is>
      </c>
      <c r="R2457" t="inlineStr">
        <is>
          <t>nyu</t>
        </is>
      </c>
      <c r="S2457" t="inlineStr">
        <is>
          <t>A Studio book</t>
        </is>
      </c>
      <c r="T2457" t="inlineStr">
        <is>
          <t xml:space="preserve">PR </t>
        </is>
      </c>
      <c r="U2457" t="n">
        <v>8</v>
      </c>
      <c r="V2457" t="n">
        <v>8</v>
      </c>
      <c r="W2457" t="inlineStr">
        <is>
          <t>2005-11-03</t>
        </is>
      </c>
      <c r="X2457" t="inlineStr">
        <is>
          <t>2005-11-03</t>
        </is>
      </c>
      <c r="Y2457" t="inlineStr">
        <is>
          <t>1993-03-09</t>
        </is>
      </c>
      <c r="Z2457" t="inlineStr">
        <is>
          <t>1993-03-09</t>
        </is>
      </c>
      <c r="AA2457" t="n">
        <v>627</v>
      </c>
      <c r="AB2457" t="n">
        <v>592</v>
      </c>
      <c r="AC2457" t="n">
        <v>658</v>
      </c>
      <c r="AD2457" t="n">
        <v>6</v>
      </c>
      <c r="AE2457" t="n">
        <v>6</v>
      </c>
      <c r="AF2457" t="n">
        <v>27</v>
      </c>
      <c r="AG2457" t="n">
        <v>30</v>
      </c>
      <c r="AH2457" t="n">
        <v>8</v>
      </c>
      <c r="AI2457" t="n">
        <v>10</v>
      </c>
      <c r="AJ2457" t="n">
        <v>9</v>
      </c>
      <c r="AK2457" t="n">
        <v>10</v>
      </c>
      <c r="AL2457" t="n">
        <v>12</v>
      </c>
      <c r="AM2457" t="n">
        <v>12</v>
      </c>
      <c r="AN2457" t="n">
        <v>5</v>
      </c>
      <c r="AO2457" t="n">
        <v>5</v>
      </c>
      <c r="AP2457" t="n">
        <v>0</v>
      </c>
      <c r="AQ2457" t="n">
        <v>0</v>
      </c>
      <c r="AR2457" t="inlineStr">
        <is>
          <t>No</t>
        </is>
      </c>
      <c r="AS2457" t="inlineStr">
        <is>
          <t>Yes</t>
        </is>
      </c>
      <c r="AT2457">
        <f>HYPERLINK("http://catalog.hathitrust.org/Record/001186879","HathiTrust Record")</f>
        <v/>
      </c>
      <c r="AU2457">
        <f>HYPERLINK("https://creighton-primo.hosted.exlibrisgroup.com/primo-explore/search?tab=default_tab&amp;search_scope=EVERYTHING&amp;vid=01CRU&amp;lang=en_US&amp;offset=0&amp;query=any,contains,991000726099702656","Catalog Record")</f>
        <v/>
      </c>
      <c r="AV2457">
        <f>HYPERLINK("http://www.worldcat.org/oclc/127849","WorldCat Record")</f>
        <v/>
      </c>
      <c r="AW2457" t="inlineStr">
        <is>
          <t>1256420:eng</t>
        </is>
      </c>
      <c r="AX2457" t="inlineStr">
        <is>
          <t>127849</t>
        </is>
      </c>
      <c r="AY2457" t="inlineStr">
        <is>
          <t>991000726099702656</t>
        </is>
      </c>
      <c r="AZ2457" t="inlineStr">
        <is>
          <t>991000726099702656</t>
        </is>
      </c>
      <c r="BA2457" t="inlineStr">
        <is>
          <t>2261448440002656</t>
        </is>
      </c>
      <c r="BB2457" t="inlineStr">
        <is>
          <t>BOOK</t>
        </is>
      </c>
      <c r="BD2457" t="inlineStr">
        <is>
          <t>9780670407293</t>
        </is>
      </c>
      <c r="BE2457" t="inlineStr">
        <is>
          <t>32285001497949</t>
        </is>
      </c>
      <c r="BF2457" t="inlineStr">
        <is>
          <t>893589690</t>
        </is>
      </c>
    </row>
    <row r="2458">
      <c r="A2458" t="inlineStr">
        <is>
          <t>No</t>
        </is>
      </c>
      <c r="B2458" t="inlineStr">
        <is>
          <t>CURAL</t>
        </is>
      </c>
      <c r="C2458" t="inlineStr">
        <is>
          <t>SHELVES</t>
        </is>
      </c>
      <c r="D2458" t="inlineStr">
        <is>
          <t>PR5533 .Y4 1970</t>
        </is>
      </c>
      <c r="E2458" t="inlineStr">
        <is>
          <t>0                      PR 5533000Y  4           1970</t>
        </is>
      </c>
      <c r="F2458" t="inlineStr">
        <is>
          <t>Synge and the Ireland of his time / by William Butler Yeats. With a note concerning a walk through Connemara with him by Jack Butler Yeats. Churchtown, Dundrum [Ire.] Cuala Press 1911.</t>
        </is>
      </c>
      <c r="H2458" t="inlineStr">
        <is>
          <t>No</t>
        </is>
      </c>
      <c r="I2458" t="inlineStr">
        <is>
          <t>1</t>
        </is>
      </c>
      <c r="J2458" t="inlineStr">
        <is>
          <t>No</t>
        </is>
      </c>
      <c r="K2458" t="inlineStr">
        <is>
          <t>No</t>
        </is>
      </c>
      <c r="L2458" t="inlineStr">
        <is>
          <t>0</t>
        </is>
      </c>
      <c r="M2458" t="inlineStr">
        <is>
          <t>Yeats, W. B. (William Butler), 1865-1939.</t>
        </is>
      </c>
      <c r="N2458" t="inlineStr">
        <is>
          <t>[Shannon : Irish University Press, 1970]</t>
        </is>
      </c>
      <c r="O2458" t="inlineStr">
        <is>
          <t>1970</t>
        </is>
      </c>
      <c r="Q2458" t="inlineStr">
        <is>
          <t>eng</t>
        </is>
      </c>
      <c r="R2458" t="inlineStr">
        <is>
          <t xml:space="preserve">ie </t>
        </is>
      </c>
      <c r="T2458" t="inlineStr">
        <is>
          <t xml:space="preserve">PR </t>
        </is>
      </c>
      <c r="U2458" t="n">
        <v>6</v>
      </c>
      <c r="V2458" t="n">
        <v>6</v>
      </c>
      <c r="W2458" t="inlineStr">
        <is>
          <t>2002-11-25</t>
        </is>
      </c>
      <c r="X2458" t="inlineStr">
        <is>
          <t>2002-11-25</t>
        </is>
      </c>
      <c r="Y2458" t="inlineStr">
        <is>
          <t>1992-03-10</t>
        </is>
      </c>
      <c r="Z2458" t="inlineStr">
        <is>
          <t>1992-03-10</t>
        </is>
      </c>
      <c r="AA2458" t="n">
        <v>221</v>
      </c>
      <c r="AB2458" t="n">
        <v>155</v>
      </c>
      <c r="AC2458" t="n">
        <v>480</v>
      </c>
      <c r="AD2458" t="n">
        <v>2</v>
      </c>
      <c r="AE2458" t="n">
        <v>2</v>
      </c>
      <c r="AF2458" t="n">
        <v>8</v>
      </c>
      <c r="AG2458" t="n">
        <v>24</v>
      </c>
      <c r="AH2458" t="n">
        <v>2</v>
      </c>
      <c r="AI2458" t="n">
        <v>10</v>
      </c>
      <c r="AJ2458" t="n">
        <v>1</v>
      </c>
      <c r="AK2458" t="n">
        <v>7</v>
      </c>
      <c r="AL2458" t="n">
        <v>6</v>
      </c>
      <c r="AM2458" t="n">
        <v>11</v>
      </c>
      <c r="AN2458" t="n">
        <v>1</v>
      </c>
      <c r="AO2458" t="n">
        <v>1</v>
      </c>
      <c r="AP2458" t="n">
        <v>0</v>
      </c>
      <c r="AQ2458" t="n">
        <v>0</v>
      </c>
      <c r="AR2458" t="inlineStr">
        <is>
          <t>No</t>
        </is>
      </c>
      <c r="AS2458" t="inlineStr">
        <is>
          <t>Yes</t>
        </is>
      </c>
      <c r="AT2458">
        <f>HYPERLINK("http://catalog.hathitrust.org/Record/012348002","HathiTrust Record")</f>
        <v/>
      </c>
      <c r="AU2458">
        <f>HYPERLINK("https://creighton-primo.hosted.exlibrisgroup.com/primo-explore/search?tab=default_tab&amp;search_scope=EVERYTHING&amp;vid=01CRU&amp;lang=en_US&amp;offset=0&amp;query=any,contains,991000830659702656","Catalog Record")</f>
        <v/>
      </c>
      <c r="AV2458">
        <f>HYPERLINK("http://www.worldcat.org/oclc/147682","WorldCat Record")</f>
        <v/>
      </c>
      <c r="AW2458" t="inlineStr">
        <is>
          <t>1331013:eng</t>
        </is>
      </c>
      <c r="AX2458" t="inlineStr">
        <is>
          <t>147682</t>
        </is>
      </c>
      <c r="AY2458" t="inlineStr">
        <is>
          <t>991000830659702656</t>
        </is>
      </c>
      <c r="AZ2458" t="inlineStr">
        <is>
          <t>991000830659702656</t>
        </is>
      </c>
      <c r="BA2458" t="inlineStr">
        <is>
          <t>2258921970002656</t>
        </is>
      </c>
      <c r="BB2458" t="inlineStr">
        <is>
          <t>BOOK</t>
        </is>
      </c>
      <c r="BD2458" t="inlineStr">
        <is>
          <t>9780716513421</t>
        </is>
      </c>
      <c r="BE2458" t="inlineStr">
        <is>
          <t>32285000994979</t>
        </is>
      </c>
      <c r="BF2458" t="inlineStr">
        <is>
          <t>893502850</t>
        </is>
      </c>
    </row>
    <row r="2459">
      <c r="A2459" t="inlineStr">
        <is>
          <t>No</t>
        </is>
      </c>
      <c r="B2459" t="inlineStr">
        <is>
          <t>CURAL</t>
        </is>
      </c>
      <c r="C2459" t="inlineStr">
        <is>
          <t>SHELVES</t>
        </is>
      </c>
      <c r="D2459" t="inlineStr">
        <is>
          <t>PR5533.A3 K6 1979</t>
        </is>
      </c>
      <c r="E2459" t="inlineStr">
        <is>
          <t>0                      PR 5533000A  3                  K  6           1979</t>
        </is>
      </c>
      <c r="F2459" t="inlineStr">
        <is>
          <t>John Millington Synge : a reference guide / Edward A. Kopper, Jr.</t>
        </is>
      </c>
      <c r="H2459" t="inlineStr">
        <is>
          <t>No</t>
        </is>
      </c>
      <c r="I2459" t="inlineStr">
        <is>
          <t>1</t>
        </is>
      </c>
      <c r="J2459" t="inlineStr">
        <is>
          <t>No</t>
        </is>
      </c>
      <c r="K2459" t="inlineStr">
        <is>
          <t>No</t>
        </is>
      </c>
      <c r="L2459" t="inlineStr">
        <is>
          <t>0</t>
        </is>
      </c>
      <c r="M2459" t="inlineStr">
        <is>
          <t>Kopper, Edward A.</t>
        </is>
      </c>
      <c r="N2459" t="inlineStr">
        <is>
          <t>Boston : G. K. Hall, c1979.</t>
        </is>
      </c>
      <c r="O2459" t="inlineStr">
        <is>
          <t>1979</t>
        </is>
      </c>
      <c r="Q2459" t="inlineStr">
        <is>
          <t>eng</t>
        </is>
      </c>
      <c r="R2459" t="inlineStr">
        <is>
          <t>mau</t>
        </is>
      </c>
      <c r="S2459" t="inlineStr">
        <is>
          <t>A Reference publication in literature</t>
        </is>
      </c>
      <c r="T2459" t="inlineStr">
        <is>
          <t xml:space="preserve">PR </t>
        </is>
      </c>
      <c r="U2459" t="n">
        <v>3</v>
      </c>
      <c r="V2459" t="n">
        <v>3</v>
      </c>
      <c r="W2459" t="inlineStr">
        <is>
          <t>1992-12-06</t>
        </is>
      </c>
      <c r="X2459" t="inlineStr">
        <is>
          <t>1992-12-06</t>
        </is>
      </c>
      <c r="Y2459" t="inlineStr">
        <is>
          <t>1992-03-10</t>
        </is>
      </c>
      <c r="Z2459" t="inlineStr">
        <is>
          <t>1992-03-10</t>
        </is>
      </c>
      <c r="AA2459" t="n">
        <v>360</v>
      </c>
      <c r="AB2459" t="n">
        <v>287</v>
      </c>
      <c r="AC2459" t="n">
        <v>294</v>
      </c>
      <c r="AD2459" t="n">
        <v>3</v>
      </c>
      <c r="AE2459" t="n">
        <v>3</v>
      </c>
      <c r="AF2459" t="n">
        <v>17</v>
      </c>
      <c r="AG2459" t="n">
        <v>17</v>
      </c>
      <c r="AH2459" t="n">
        <v>5</v>
      </c>
      <c r="AI2459" t="n">
        <v>5</v>
      </c>
      <c r="AJ2459" t="n">
        <v>8</v>
      </c>
      <c r="AK2459" t="n">
        <v>8</v>
      </c>
      <c r="AL2459" t="n">
        <v>5</v>
      </c>
      <c r="AM2459" t="n">
        <v>5</v>
      </c>
      <c r="AN2459" t="n">
        <v>2</v>
      </c>
      <c r="AO2459" t="n">
        <v>2</v>
      </c>
      <c r="AP2459" t="n">
        <v>0</v>
      </c>
      <c r="AQ2459" t="n">
        <v>0</v>
      </c>
      <c r="AR2459" t="inlineStr">
        <is>
          <t>No</t>
        </is>
      </c>
      <c r="AS2459" t="inlineStr">
        <is>
          <t>Yes</t>
        </is>
      </c>
      <c r="AT2459">
        <f>HYPERLINK("http://catalog.hathitrust.org/Record/000256612","HathiTrust Record")</f>
        <v/>
      </c>
      <c r="AU2459">
        <f>HYPERLINK("https://creighton-primo.hosted.exlibrisgroup.com/primo-explore/search?tab=default_tab&amp;search_scope=EVERYTHING&amp;vid=01CRU&amp;lang=en_US&amp;offset=0&amp;query=any,contains,991004661489702656","Catalog Record")</f>
        <v/>
      </c>
      <c r="AV2459">
        <f>HYPERLINK("http://www.worldcat.org/oclc/4497073","WorldCat Record")</f>
        <v/>
      </c>
      <c r="AW2459" t="inlineStr">
        <is>
          <t>4915675380:eng</t>
        </is>
      </c>
      <c r="AX2459" t="inlineStr">
        <is>
          <t>4497073</t>
        </is>
      </c>
      <c r="AY2459" t="inlineStr">
        <is>
          <t>991004661489702656</t>
        </is>
      </c>
      <c r="AZ2459" t="inlineStr">
        <is>
          <t>991004661489702656</t>
        </is>
      </c>
      <c r="BA2459" t="inlineStr">
        <is>
          <t>2266876120002656</t>
        </is>
      </c>
      <c r="BB2459" t="inlineStr">
        <is>
          <t>BOOK</t>
        </is>
      </c>
      <c r="BD2459" t="inlineStr">
        <is>
          <t>9780816181193</t>
        </is>
      </c>
      <c r="BE2459" t="inlineStr">
        <is>
          <t>32285000994938</t>
        </is>
      </c>
      <c r="BF2459" t="inlineStr">
        <is>
          <t>893519913</t>
        </is>
      </c>
    </row>
    <row r="2460">
      <c r="A2460" t="inlineStr">
        <is>
          <t>No</t>
        </is>
      </c>
      <c r="B2460" t="inlineStr">
        <is>
          <t>CURAL</t>
        </is>
      </c>
      <c r="C2460" t="inlineStr">
        <is>
          <t>SHELVES</t>
        </is>
      </c>
      <c r="D2460" t="inlineStr">
        <is>
          <t>PR5533.A3 L45 1974</t>
        </is>
      </c>
      <c r="E2460" t="inlineStr">
        <is>
          <t>0                      PR 5533000A  3                  L  45          1974</t>
        </is>
      </c>
      <c r="F2460" t="inlineStr">
        <is>
          <t>J. M. Synge, a bibliography of published criticism / [by] Paul M. Levitt.</t>
        </is>
      </c>
      <c r="H2460" t="inlineStr">
        <is>
          <t>No</t>
        </is>
      </c>
      <c r="I2460" t="inlineStr">
        <is>
          <t>1</t>
        </is>
      </c>
      <c r="J2460" t="inlineStr">
        <is>
          <t>No</t>
        </is>
      </c>
      <c r="K2460" t="inlineStr">
        <is>
          <t>No</t>
        </is>
      </c>
      <c r="L2460" t="inlineStr">
        <is>
          <t>0</t>
        </is>
      </c>
      <c r="M2460" t="inlineStr">
        <is>
          <t>Levitt, Paul M.</t>
        </is>
      </c>
      <c r="N2460" t="inlineStr">
        <is>
          <t>Dublin : Irish University Press, [1974]</t>
        </is>
      </c>
      <c r="O2460" t="inlineStr">
        <is>
          <t>1974</t>
        </is>
      </c>
      <c r="Q2460" t="inlineStr">
        <is>
          <t>eng</t>
        </is>
      </c>
      <c r="R2460" t="inlineStr">
        <is>
          <t xml:space="preserve">ie </t>
        </is>
      </c>
      <c r="T2460" t="inlineStr">
        <is>
          <t xml:space="preserve">PR </t>
        </is>
      </c>
      <c r="U2460" t="n">
        <v>2</v>
      </c>
      <c r="V2460" t="n">
        <v>2</v>
      </c>
      <c r="W2460" t="inlineStr">
        <is>
          <t>2002-10-25</t>
        </is>
      </c>
      <c r="X2460" t="inlineStr">
        <is>
          <t>2002-10-25</t>
        </is>
      </c>
      <c r="Y2460" t="inlineStr">
        <is>
          <t>1995-03-07</t>
        </is>
      </c>
      <c r="Z2460" t="inlineStr">
        <is>
          <t>1995-03-07</t>
        </is>
      </c>
      <c r="AA2460" t="n">
        <v>203</v>
      </c>
      <c r="AB2460" t="n">
        <v>96</v>
      </c>
      <c r="AC2460" t="n">
        <v>356</v>
      </c>
      <c r="AD2460" t="n">
        <v>1</v>
      </c>
      <c r="AE2460" t="n">
        <v>3</v>
      </c>
      <c r="AF2460" t="n">
        <v>5</v>
      </c>
      <c r="AG2460" t="n">
        <v>23</v>
      </c>
      <c r="AH2460" t="n">
        <v>0</v>
      </c>
      <c r="AI2460" t="n">
        <v>6</v>
      </c>
      <c r="AJ2460" t="n">
        <v>3</v>
      </c>
      <c r="AK2460" t="n">
        <v>7</v>
      </c>
      <c r="AL2460" t="n">
        <v>4</v>
      </c>
      <c r="AM2460" t="n">
        <v>14</v>
      </c>
      <c r="AN2460" t="n">
        <v>0</v>
      </c>
      <c r="AO2460" t="n">
        <v>2</v>
      </c>
      <c r="AP2460" t="n">
        <v>0</v>
      </c>
      <c r="AQ2460" t="n">
        <v>0</v>
      </c>
      <c r="AR2460" t="inlineStr">
        <is>
          <t>No</t>
        </is>
      </c>
      <c r="AS2460" t="inlineStr">
        <is>
          <t>No</t>
        </is>
      </c>
      <c r="AU2460">
        <f>HYPERLINK("https://creighton-primo.hosted.exlibrisgroup.com/primo-explore/search?tab=default_tab&amp;search_scope=EVERYTHING&amp;vid=01CRU&amp;lang=en_US&amp;offset=0&amp;query=any,contains,991003622889702656","Catalog Record")</f>
        <v/>
      </c>
      <c r="AV2460">
        <f>HYPERLINK("http://www.worldcat.org/oclc/1211427","WorldCat Record")</f>
        <v/>
      </c>
      <c r="AW2460" t="inlineStr">
        <is>
          <t>1770184:eng</t>
        </is>
      </c>
      <c r="AX2460" t="inlineStr">
        <is>
          <t>1211427</t>
        </is>
      </c>
      <c r="AY2460" t="inlineStr">
        <is>
          <t>991003622889702656</t>
        </is>
      </c>
      <c r="AZ2460" t="inlineStr">
        <is>
          <t>991003622889702656</t>
        </is>
      </c>
      <c r="BA2460" t="inlineStr">
        <is>
          <t>2268251440002656</t>
        </is>
      </c>
      <c r="BB2460" t="inlineStr">
        <is>
          <t>BOOK</t>
        </is>
      </c>
      <c r="BD2460" t="inlineStr">
        <is>
          <t>9780716521556</t>
        </is>
      </c>
      <c r="BE2460" t="inlineStr">
        <is>
          <t>32285002011590</t>
        </is>
      </c>
      <c r="BF2460" t="inlineStr">
        <is>
          <t>893525026</t>
        </is>
      </c>
    </row>
    <row r="2461">
      <c r="A2461" t="inlineStr">
        <is>
          <t>No</t>
        </is>
      </c>
      <c r="B2461" t="inlineStr">
        <is>
          <t>CURAL</t>
        </is>
      </c>
      <c r="C2461" t="inlineStr">
        <is>
          <t>SHELVES</t>
        </is>
      </c>
      <c r="D2461" t="inlineStr">
        <is>
          <t>PR5533.A3 M54 1974</t>
        </is>
      </c>
      <c r="E2461" t="inlineStr">
        <is>
          <t>0                      PR 5533000A  3                  M  54          1974</t>
        </is>
      </c>
      <c r="F2461" t="inlineStr">
        <is>
          <t>J. M. Synge : a bibliography of criticism / [by] E. H. Mikhail. Foreword by Robin Skelton.</t>
        </is>
      </c>
      <c r="H2461" t="inlineStr">
        <is>
          <t>No</t>
        </is>
      </c>
      <c r="I2461" t="inlineStr">
        <is>
          <t>1</t>
        </is>
      </c>
      <c r="J2461" t="inlineStr">
        <is>
          <t>No</t>
        </is>
      </c>
      <c r="K2461" t="inlineStr">
        <is>
          <t>No</t>
        </is>
      </c>
      <c r="L2461" t="inlineStr">
        <is>
          <t>0</t>
        </is>
      </c>
      <c r="M2461" t="inlineStr">
        <is>
          <t>Mikhail, E. H.</t>
        </is>
      </c>
      <c r="N2461" t="inlineStr">
        <is>
          <t>Totowa, N.J. : Rowman and Littlefield, [1974]</t>
        </is>
      </c>
      <c r="O2461" t="inlineStr">
        <is>
          <t>1974</t>
        </is>
      </c>
      <c r="Q2461" t="inlineStr">
        <is>
          <t>eng</t>
        </is>
      </c>
      <c r="R2461" t="inlineStr">
        <is>
          <t>nju</t>
        </is>
      </c>
      <c r="T2461" t="inlineStr">
        <is>
          <t xml:space="preserve">PR </t>
        </is>
      </c>
      <c r="U2461" t="n">
        <v>5</v>
      </c>
      <c r="V2461" t="n">
        <v>5</v>
      </c>
      <c r="W2461" t="inlineStr">
        <is>
          <t>1995-03-01</t>
        </is>
      </c>
      <c r="X2461" t="inlineStr">
        <is>
          <t>1995-03-01</t>
        </is>
      </c>
      <c r="Y2461" t="inlineStr">
        <is>
          <t>1994-10-19</t>
        </is>
      </c>
      <c r="Z2461" t="inlineStr">
        <is>
          <t>1994-10-19</t>
        </is>
      </c>
      <c r="AA2461" t="n">
        <v>224</v>
      </c>
      <c r="AB2461" t="n">
        <v>211</v>
      </c>
      <c r="AC2461" t="n">
        <v>326</v>
      </c>
      <c r="AD2461" t="n">
        <v>1</v>
      </c>
      <c r="AE2461" t="n">
        <v>3</v>
      </c>
      <c r="AF2461" t="n">
        <v>8</v>
      </c>
      <c r="AG2461" t="n">
        <v>18</v>
      </c>
      <c r="AH2461" t="n">
        <v>2</v>
      </c>
      <c r="AI2461" t="n">
        <v>6</v>
      </c>
      <c r="AJ2461" t="n">
        <v>1</v>
      </c>
      <c r="AK2461" t="n">
        <v>5</v>
      </c>
      <c r="AL2461" t="n">
        <v>5</v>
      </c>
      <c r="AM2461" t="n">
        <v>9</v>
      </c>
      <c r="AN2461" t="n">
        <v>0</v>
      </c>
      <c r="AO2461" t="n">
        <v>2</v>
      </c>
      <c r="AP2461" t="n">
        <v>0</v>
      </c>
      <c r="AQ2461" t="n">
        <v>0</v>
      </c>
      <c r="AR2461" t="inlineStr">
        <is>
          <t>No</t>
        </is>
      </c>
      <c r="AS2461" t="inlineStr">
        <is>
          <t>Yes</t>
        </is>
      </c>
      <c r="AT2461">
        <f>HYPERLINK("http://catalog.hathitrust.org/Record/000011885","HathiTrust Record")</f>
        <v/>
      </c>
      <c r="AU2461">
        <f>HYPERLINK("https://creighton-primo.hosted.exlibrisgroup.com/primo-explore/search?tab=default_tab&amp;search_scope=EVERYTHING&amp;vid=01CRU&amp;lang=en_US&amp;offset=0&amp;query=any,contains,991003275479702656","Catalog Record")</f>
        <v/>
      </c>
      <c r="AV2461">
        <f>HYPERLINK("http://www.worldcat.org/oclc/799763","WorldCat Record")</f>
        <v/>
      </c>
      <c r="AW2461" t="inlineStr">
        <is>
          <t>1783757:eng</t>
        </is>
      </c>
      <c r="AX2461" t="inlineStr">
        <is>
          <t>799763</t>
        </is>
      </c>
      <c r="AY2461" t="inlineStr">
        <is>
          <t>991003275479702656</t>
        </is>
      </c>
      <c r="AZ2461" t="inlineStr">
        <is>
          <t>991003275479702656</t>
        </is>
      </c>
      <c r="BA2461" t="inlineStr">
        <is>
          <t>2266928490002656</t>
        </is>
      </c>
      <c r="BB2461" t="inlineStr">
        <is>
          <t>BOOK</t>
        </is>
      </c>
      <c r="BD2461" t="inlineStr">
        <is>
          <t>9780874715132</t>
        </is>
      </c>
      <c r="BE2461" t="inlineStr">
        <is>
          <t>32285001962280</t>
        </is>
      </c>
      <c r="BF2461" t="inlineStr">
        <is>
          <t>893531040</t>
        </is>
      </c>
    </row>
    <row r="2462">
      <c r="A2462" t="inlineStr">
        <is>
          <t>No</t>
        </is>
      </c>
      <c r="B2462" t="inlineStr">
        <is>
          <t>CURAL</t>
        </is>
      </c>
      <c r="C2462" t="inlineStr">
        <is>
          <t>SHELVES</t>
        </is>
      </c>
      <c r="D2462" t="inlineStr">
        <is>
          <t>PR5534 .B6 1965</t>
        </is>
      </c>
      <c r="E2462" t="inlineStr">
        <is>
          <t>0                      PR 5534000B  6           1965</t>
        </is>
      </c>
      <c r="F2462" t="inlineStr">
        <is>
          <t>John Millington Synge and the Irish theatre.</t>
        </is>
      </c>
      <c r="H2462" t="inlineStr">
        <is>
          <t>No</t>
        </is>
      </c>
      <c r="I2462" t="inlineStr">
        <is>
          <t>1</t>
        </is>
      </c>
      <c r="J2462" t="inlineStr">
        <is>
          <t>No</t>
        </is>
      </c>
      <c r="K2462" t="inlineStr">
        <is>
          <t>No</t>
        </is>
      </c>
      <c r="L2462" t="inlineStr">
        <is>
          <t>0</t>
        </is>
      </c>
      <c r="M2462" t="inlineStr">
        <is>
          <t>Bourgeois, Maurice.</t>
        </is>
      </c>
      <c r="N2462" t="inlineStr">
        <is>
          <t>[Bronx, N.Y.] : B. Blom, [1965]</t>
        </is>
      </c>
      <c r="O2462" t="inlineStr">
        <is>
          <t>1965</t>
        </is>
      </c>
      <c r="Q2462" t="inlineStr">
        <is>
          <t>eng</t>
        </is>
      </c>
      <c r="R2462" t="inlineStr">
        <is>
          <t>nyu</t>
        </is>
      </c>
      <c r="T2462" t="inlineStr">
        <is>
          <t xml:space="preserve">PR </t>
        </is>
      </c>
      <c r="U2462" t="n">
        <v>7</v>
      </c>
      <c r="V2462" t="n">
        <v>7</v>
      </c>
      <c r="W2462" t="inlineStr">
        <is>
          <t>2004-10-08</t>
        </is>
      </c>
      <c r="X2462" t="inlineStr">
        <is>
          <t>2004-10-08</t>
        </is>
      </c>
      <c r="Y2462" t="inlineStr">
        <is>
          <t>1990-10-02</t>
        </is>
      </c>
      <c r="Z2462" t="inlineStr">
        <is>
          <t>1990-10-02</t>
        </is>
      </c>
      <c r="AA2462" t="n">
        <v>685</v>
      </c>
      <c r="AB2462" t="n">
        <v>630</v>
      </c>
      <c r="AC2462" t="n">
        <v>969</v>
      </c>
      <c r="AD2462" t="n">
        <v>5</v>
      </c>
      <c r="AE2462" t="n">
        <v>6</v>
      </c>
      <c r="AF2462" t="n">
        <v>27</v>
      </c>
      <c r="AG2462" t="n">
        <v>41</v>
      </c>
      <c r="AH2462" t="n">
        <v>12</v>
      </c>
      <c r="AI2462" t="n">
        <v>15</v>
      </c>
      <c r="AJ2462" t="n">
        <v>6</v>
      </c>
      <c r="AK2462" t="n">
        <v>11</v>
      </c>
      <c r="AL2462" t="n">
        <v>13</v>
      </c>
      <c r="AM2462" t="n">
        <v>22</v>
      </c>
      <c r="AN2462" t="n">
        <v>4</v>
      </c>
      <c r="AO2462" t="n">
        <v>5</v>
      </c>
      <c r="AP2462" t="n">
        <v>0</v>
      </c>
      <c r="AQ2462" t="n">
        <v>0</v>
      </c>
      <c r="AR2462" t="inlineStr">
        <is>
          <t>No</t>
        </is>
      </c>
      <c r="AS2462" t="inlineStr">
        <is>
          <t>Yes</t>
        </is>
      </c>
      <c r="AT2462">
        <f>HYPERLINK("http://catalog.hathitrust.org/Record/001373995","HathiTrust Record")</f>
        <v/>
      </c>
      <c r="AU2462">
        <f>HYPERLINK("https://creighton-primo.hosted.exlibrisgroup.com/primo-explore/search?tab=default_tab&amp;search_scope=EVERYTHING&amp;vid=01CRU&amp;lang=en_US&amp;offset=0&amp;query=any,contains,991003430219702656","Catalog Record")</f>
        <v/>
      </c>
      <c r="AV2462">
        <f>HYPERLINK("http://www.worldcat.org/oclc/965397","WorldCat Record")</f>
        <v/>
      </c>
      <c r="AW2462" t="inlineStr">
        <is>
          <t>1283075:eng</t>
        </is>
      </c>
      <c r="AX2462" t="inlineStr">
        <is>
          <t>965397</t>
        </is>
      </c>
      <c r="AY2462" t="inlineStr">
        <is>
          <t>991003430219702656</t>
        </is>
      </c>
      <c r="AZ2462" t="inlineStr">
        <is>
          <t>991003430219702656</t>
        </is>
      </c>
      <c r="BA2462" t="inlineStr">
        <is>
          <t>2258246390002656</t>
        </is>
      </c>
      <c r="BB2462" t="inlineStr">
        <is>
          <t>BOOK</t>
        </is>
      </c>
      <c r="BE2462" t="inlineStr">
        <is>
          <t>32285000330810</t>
        </is>
      </c>
      <c r="BF2462" t="inlineStr">
        <is>
          <t>893422566</t>
        </is>
      </c>
    </row>
    <row r="2463">
      <c r="A2463" t="inlineStr">
        <is>
          <t>No</t>
        </is>
      </c>
      <c r="B2463" t="inlineStr">
        <is>
          <t>CURAL</t>
        </is>
      </c>
      <c r="C2463" t="inlineStr">
        <is>
          <t>SHELVES</t>
        </is>
      </c>
      <c r="D2463" t="inlineStr">
        <is>
          <t>PR5534 .B8</t>
        </is>
      </c>
      <c r="E2463" t="inlineStr">
        <is>
          <t>0                      PR 5534000B  8</t>
        </is>
      </c>
      <c r="F2463" t="inlineStr">
        <is>
          <t>A centenary tribute to John Millington Synge, 1871-1909 : sunshine and the moon's delight / edited by S. B. Bushrui. With a foreword by A. Norman Jeffares.</t>
        </is>
      </c>
      <c r="H2463" t="inlineStr">
        <is>
          <t>No</t>
        </is>
      </c>
      <c r="I2463" t="inlineStr">
        <is>
          <t>1</t>
        </is>
      </c>
      <c r="J2463" t="inlineStr">
        <is>
          <t>No</t>
        </is>
      </c>
      <c r="K2463" t="inlineStr">
        <is>
          <t>No</t>
        </is>
      </c>
      <c r="L2463" t="inlineStr">
        <is>
          <t>0</t>
        </is>
      </c>
      <c r="M2463" t="inlineStr">
        <is>
          <t>Bushrui, Suheil B. editor.</t>
        </is>
      </c>
      <c r="N2463" t="inlineStr">
        <is>
          <t>New York : Barnes &amp; Noble, [1972]</t>
        </is>
      </c>
      <c r="O2463" t="inlineStr">
        <is>
          <t>1972</t>
        </is>
      </c>
      <c r="Q2463" t="inlineStr">
        <is>
          <t>eng</t>
        </is>
      </c>
      <c r="R2463" t="inlineStr">
        <is>
          <t>nyu</t>
        </is>
      </c>
      <c r="T2463" t="inlineStr">
        <is>
          <t xml:space="preserve">PR </t>
        </is>
      </c>
      <c r="U2463" t="n">
        <v>7</v>
      </c>
      <c r="V2463" t="n">
        <v>7</v>
      </c>
      <c r="W2463" t="inlineStr">
        <is>
          <t>2006-02-18</t>
        </is>
      </c>
      <c r="X2463" t="inlineStr">
        <is>
          <t>2006-02-18</t>
        </is>
      </c>
      <c r="Y2463" t="inlineStr">
        <is>
          <t>1990-10-02</t>
        </is>
      </c>
      <c r="Z2463" t="inlineStr">
        <is>
          <t>1990-10-02</t>
        </is>
      </c>
      <c r="AA2463" t="n">
        <v>373</v>
      </c>
      <c r="AB2463" t="n">
        <v>346</v>
      </c>
      <c r="AC2463" t="n">
        <v>357</v>
      </c>
      <c r="AD2463" t="n">
        <v>3</v>
      </c>
      <c r="AE2463" t="n">
        <v>3</v>
      </c>
      <c r="AF2463" t="n">
        <v>18</v>
      </c>
      <c r="AG2463" t="n">
        <v>18</v>
      </c>
      <c r="AH2463" t="n">
        <v>6</v>
      </c>
      <c r="AI2463" t="n">
        <v>6</v>
      </c>
      <c r="AJ2463" t="n">
        <v>5</v>
      </c>
      <c r="AK2463" t="n">
        <v>5</v>
      </c>
      <c r="AL2463" t="n">
        <v>11</v>
      </c>
      <c r="AM2463" t="n">
        <v>11</v>
      </c>
      <c r="AN2463" t="n">
        <v>2</v>
      </c>
      <c r="AO2463" t="n">
        <v>2</v>
      </c>
      <c r="AP2463" t="n">
        <v>0</v>
      </c>
      <c r="AQ2463" t="n">
        <v>0</v>
      </c>
      <c r="AR2463" t="inlineStr">
        <is>
          <t>No</t>
        </is>
      </c>
      <c r="AS2463" t="inlineStr">
        <is>
          <t>Yes</t>
        </is>
      </c>
      <c r="AT2463">
        <f>HYPERLINK("http://catalog.hathitrust.org/Record/001373996","HathiTrust Record")</f>
        <v/>
      </c>
      <c r="AU2463">
        <f>HYPERLINK("https://creighton-primo.hosted.exlibrisgroup.com/primo-explore/search?tab=default_tab&amp;search_scope=EVERYTHING&amp;vid=01CRU&amp;lang=en_US&amp;offset=0&amp;query=any,contains,991002802009702656","Catalog Record")</f>
        <v/>
      </c>
      <c r="AV2463">
        <f>HYPERLINK("http://www.worldcat.org/oclc/447877","WorldCat Record")</f>
        <v/>
      </c>
      <c r="AW2463" t="inlineStr">
        <is>
          <t>9593487267:eng</t>
        </is>
      </c>
      <c r="AX2463" t="inlineStr">
        <is>
          <t>447877</t>
        </is>
      </c>
      <c r="AY2463" t="inlineStr">
        <is>
          <t>991002802009702656</t>
        </is>
      </c>
      <c r="AZ2463" t="inlineStr">
        <is>
          <t>991002802009702656</t>
        </is>
      </c>
      <c r="BA2463" t="inlineStr">
        <is>
          <t>2268514200002656</t>
        </is>
      </c>
      <c r="BB2463" t="inlineStr">
        <is>
          <t>BOOK</t>
        </is>
      </c>
      <c r="BD2463" t="inlineStr">
        <is>
          <t>9780389045670</t>
        </is>
      </c>
      <c r="BE2463" t="inlineStr">
        <is>
          <t>32285000330828</t>
        </is>
      </c>
      <c r="BF2463" t="inlineStr">
        <is>
          <t>893792934</t>
        </is>
      </c>
    </row>
    <row r="2464">
      <c r="A2464" t="inlineStr">
        <is>
          <t>No</t>
        </is>
      </c>
      <c r="B2464" t="inlineStr">
        <is>
          <t>CURAL</t>
        </is>
      </c>
      <c r="C2464" t="inlineStr">
        <is>
          <t>SHELVES</t>
        </is>
      </c>
      <c r="D2464" t="inlineStr">
        <is>
          <t>PR5534 .G4 1965</t>
        </is>
      </c>
      <c r="E2464" t="inlineStr">
        <is>
          <t>0                      PR 5534000G  4           1965</t>
        </is>
      </c>
      <c r="F2464" t="inlineStr">
        <is>
          <t>John Millington Synge / by Donna Gerstenberger.</t>
        </is>
      </c>
      <c r="H2464" t="inlineStr">
        <is>
          <t>No</t>
        </is>
      </c>
      <c r="I2464" t="inlineStr">
        <is>
          <t>1</t>
        </is>
      </c>
      <c r="J2464" t="inlineStr">
        <is>
          <t>No</t>
        </is>
      </c>
      <c r="K2464" t="inlineStr">
        <is>
          <t>Yes</t>
        </is>
      </c>
      <c r="L2464" t="inlineStr">
        <is>
          <t>0</t>
        </is>
      </c>
      <c r="M2464" t="inlineStr">
        <is>
          <t>Gerstenberger, Donna Lorine.</t>
        </is>
      </c>
      <c r="N2464" t="inlineStr">
        <is>
          <t>New York, Twayne Publishers [1965, c1964]</t>
        </is>
      </c>
      <c r="O2464" t="inlineStr">
        <is>
          <t>1965</t>
        </is>
      </c>
      <c r="Q2464" t="inlineStr">
        <is>
          <t>eng</t>
        </is>
      </c>
      <c r="R2464" t="inlineStr">
        <is>
          <t>nyu</t>
        </is>
      </c>
      <c r="S2464" t="inlineStr">
        <is>
          <t>Twayne's English authors series, 12</t>
        </is>
      </c>
      <c r="T2464" t="inlineStr">
        <is>
          <t xml:space="preserve">PR </t>
        </is>
      </c>
      <c r="U2464" t="n">
        <v>3</v>
      </c>
      <c r="V2464" t="n">
        <v>3</v>
      </c>
      <c r="W2464" t="inlineStr">
        <is>
          <t>2004-10-11</t>
        </is>
      </c>
      <c r="X2464" t="inlineStr">
        <is>
          <t>2004-10-11</t>
        </is>
      </c>
      <c r="Y2464" t="inlineStr">
        <is>
          <t>1991-09-26</t>
        </is>
      </c>
      <c r="Z2464" t="inlineStr">
        <is>
          <t>1991-09-26</t>
        </is>
      </c>
      <c r="AA2464" t="n">
        <v>1041</v>
      </c>
      <c r="AB2464" t="n">
        <v>985</v>
      </c>
      <c r="AC2464" t="n">
        <v>1359</v>
      </c>
      <c r="AD2464" t="n">
        <v>8</v>
      </c>
      <c r="AE2464" t="n">
        <v>9</v>
      </c>
      <c r="AF2464" t="n">
        <v>30</v>
      </c>
      <c r="AG2464" t="n">
        <v>48</v>
      </c>
      <c r="AH2464" t="n">
        <v>11</v>
      </c>
      <c r="AI2464" t="n">
        <v>19</v>
      </c>
      <c r="AJ2464" t="n">
        <v>6</v>
      </c>
      <c r="AK2464" t="n">
        <v>11</v>
      </c>
      <c r="AL2464" t="n">
        <v>15</v>
      </c>
      <c r="AM2464" t="n">
        <v>23</v>
      </c>
      <c r="AN2464" t="n">
        <v>7</v>
      </c>
      <c r="AO2464" t="n">
        <v>8</v>
      </c>
      <c r="AP2464" t="n">
        <v>0</v>
      </c>
      <c r="AQ2464" t="n">
        <v>0</v>
      </c>
      <c r="AR2464" t="inlineStr">
        <is>
          <t>No</t>
        </is>
      </c>
      <c r="AS2464" t="inlineStr">
        <is>
          <t>Yes</t>
        </is>
      </c>
      <c r="AT2464">
        <f>HYPERLINK("http://catalog.hathitrust.org/Record/000005170","HathiTrust Record")</f>
        <v/>
      </c>
      <c r="AU2464">
        <f>HYPERLINK("https://creighton-primo.hosted.exlibrisgroup.com/primo-explore/search?tab=default_tab&amp;search_scope=EVERYTHING&amp;vid=01CRU&amp;lang=en_US&amp;offset=0&amp;query=any,contains,991002494559702656","Catalog Record")</f>
        <v/>
      </c>
      <c r="AV2464">
        <f>HYPERLINK("http://www.worldcat.org/oclc/363402","WorldCat Record")</f>
        <v/>
      </c>
      <c r="AW2464" t="inlineStr">
        <is>
          <t>836623313:eng</t>
        </is>
      </c>
      <c r="AX2464" t="inlineStr">
        <is>
          <t>363402</t>
        </is>
      </c>
      <c r="AY2464" t="inlineStr">
        <is>
          <t>991002494559702656</t>
        </is>
      </c>
      <c r="AZ2464" t="inlineStr">
        <is>
          <t>991002494559702656</t>
        </is>
      </c>
      <c r="BA2464" t="inlineStr">
        <is>
          <t>2263994990002656</t>
        </is>
      </c>
      <c r="BB2464" t="inlineStr">
        <is>
          <t>BOOK</t>
        </is>
      </c>
      <c r="BE2464" t="inlineStr">
        <is>
          <t>32285000760735</t>
        </is>
      </c>
      <c r="BF2464" t="inlineStr">
        <is>
          <t>893867278</t>
        </is>
      </c>
    </row>
    <row r="2465">
      <c r="A2465" t="inlineStr">
        <is>
          <t>No</t>
        </is>
      </c>
      <c r="B2465" t="inlineStr">
        <is>
          <t>CURAL</t>
        </is>
      </c>
      <c r="C2465" t="inlineStr">
        <is>
          <t>SHELVES</t>
        </is>
      </c>
      <c r="D2465" t="inlineStr">
        <is>
          <t>PR5534 .H6 1969</t>
        </is>
      </c>
      <c r="E2465" t="inlineStr">
        <is>
          <t>0                      PR 5534000H  6           1969</t>
        </is>
      </c>
      <c r="F2465" t="inlineStr">
        <is>
          <t>J. M. Synge : a critical study.</t>
        </is>
      </c>
      <c r="H2465" t="inlineStr">
        <is>
          <t>No</t>
        </is>
      </c>
      <c r="I2465" t="inlineStr">
        <is>
          <t>1</t>
        </is>
      </c>
      <c r="J2465" t="inlineStr">
        <is>
          <t>No</t>
        </is>
      </c>
      <c r="K2465" t="inlineStr">
        <is>
          <t>No</t>
        </is>
      </c>
      <c r="L2465" t="inlineStr">
        <is>
          <t>0</t>
        </is>
      </c>
      <c r="M2465" t="inlineStr">
        <is>
          <t>Howe, P. P. (Percival Presland), 1886-1944.</t>
        </is>
      </c>
      <c r="N2465" t="inlineStr">
        <is>
          <t>New York : Greenwood Press, [1969, c1912]</t>
        </is>
      </c>
      <c r="O2465" t="inlineStr">
        <is>
          <t>1969</t>
        </is>
      </c>
      <c r="Q2465" t="inlineStr">
        <is>
          <t>eng</t>
        </is>
      </c>
      <c r="R2465" t="inlineStr">
        <is>
          <t>nyu</t>
        </is>
      </c>
      <c r="T2465" t="inlineStr">
        <is>
          <t xml:space="preserve">PR </t>
        </is>
      </c>
      <c r="U2465" t="n">
        <v>14</v>
      </c>
      <c r="V2465" t="n">
        <v>14</v>
      </c>
      <c r="W2465" t="inlineStr">
        <is>
          <t>2002-11-07</t>
        </is>
      </c>
      <c r="X2465" t="inlineStr">
        <is>
          <t>2002-11-07</t>
        </is>
      </c>
      <c r="Y2465" t="inlineStr">
        <is>
          <t>1990-05-22</t>
        </is>
      </c>
      <c r="Z2465" t="inlineStr">
        <is>
          <t>1990-05-22</t>
        </is>
      </c>
      <c r="AA2465" t="n">
        <v>257</v>
      </c>
      <c r="AB2465" t="n">
        <v>212</v>
      </c>
      <c r="AC2465" t="n">
        <v>564</v>
      </c>
      <c r="AD2465" t="n">
        <v>1</v>
      </c>
      <c r="AE2465" t="n">
        <v>3</v>
      </c>
      <c r="AF2465" t="n">
        <v>6</v>
      </c>
      <c r="AG2465" t="n">
        <v>28</v>
      </c>
      <c r="AH2465" t="n">
        <v>2</v>
      </c>
      <c r="AI2465" t="n">
        <v>9</v>
      </c>
      <c r="AJ2465" t="n">
        <v>4</v>
      </c>
      <c r="AK2465" t="n">
        <v>9</v>
      </c>
      <c r="AL2465" t="n">
        <v>2</v>
      </c>
      <c r="AM2465" t="n">
        <v>16</v>
      </c>
      <c r="AN2465" t="n">
        <v>0</v>
      </c>
      <c r="AO2465" t="n">
        <v>2</v>
      </c>
      <c r="AP2465" t="n">
        <v>0</v>
      </c>
      <c r="AQ2465" t="n">
        <v>0</v>
      </c>
      <c r="AR2465" t="inlineStr">
        <is>
          <t>No</t>
        </is>
      </c>
      <c r="AS2465" t="inlineStr">
        <is>
          <t>No</t>
        </is>
      </c>
      <c r="AU2465">
        <f>HYPERLINK("https://creighton-primo.hosted.exlibrisgroup.com/primo-explore/search?tab=default_tab&amp;search_scope=EVERYTHING&amp;vid=01CRU&amp;lang=en_US&amp;offset=0&amp;query=any,contains,991001155609702656","Catalog Record")</f>
        <v/>
      </c>
      <c r="AV2465">
        <f>HYPERLINK("http://www.worldcat.org/oclc/185943","WorldCat Record")</f>
        <v/>
      </c>
      <c r="AW2465" t="inlineStr">
        <is>
          <t>1575419:eng</t>
        </is>
      </c>
      <c r="AX2465" t="inlineStr">
        <is>
          <t>185943</t>
        </is>
      </c>
      <c r="AY2465" t="inlineStr">
        <is>
          <t>991001155609702656</t>
        </is>
      </c>
      <c r="AZ2465" t="inlineStr">
        <is>
          <t>991001155609702656</t>
        </is>
      </c>
      <c r="BA2465" t="inlineStr">
        <is>
          <t>2268987060002656</t>
        </is>
      </c>
      <c r="BB2465" t="inlineStr">
        <is>
          <t>BOOK</t>
        </is>
      </c>
      <c r="BD2465" t="inlineStr">
        <is>
          <t>9780837116280</t>
        </is>
      </c>
      <c r="BE2465" t="inlineStr">
        <is>
          <t>32285000157445</t>
        </is>
      </c>
      <c r="BF2465" t="inlineStr">
        <is>
          <t>893225645</t>
        </is>
      </c>
    </row>
    <row r="2466">
      <c r="A2466" t="inlineStr">
        <is>
          <t>No</t>
        </is>
      </c>
      <c r="B2466" t="inlineStr">
        <is>
          <t>CURAL</t>
        </is>
      </c>
      <c r="C2466" t="inlineStr">
        <is>
          <t>SHELVES</t>
        </is>
      </c>
      <c r="D2466" t="inlineStr">
        <is>
          <t>PR5534 .J2</t>
        </is>
      </c>
      <c r="E2466" t="inlineStr">
        <is>
          <t>0                      PR 5534000J  2</t>
        </is>
      </c>
      <c r="F2466" t="inlineStr">
        <is>
          <t>J. M. Synge centenary papers, 1971 / edited by Maurice Harmon.</t>
        </is>
      </c>
      <c r="H2466" t="inlineStr">
        <is>
          <t>No</t>
        </is>
      </c>
      <c r="I2466" t="inlineStr">
        <is>
          <t>1</t>
        </is>
      </c>
      <c r="J2466" t="inlineStr">
        <is>
          <t>No</t>
        </is>
      </c>
      <c r="K2466" t="inlineStr">
        <is>
          <t>No</t>
        </is>
      </c>
      <c r="L2466" t="inlineStr">
        <is>
          <t>0</t>
        </is>
      </c>
      <c r="N2466" t="inlineStr">
        <is>
          <t>[Dublin] : Dolmen Press ; [distributed by Humanities Press, New York, 1972]</t>
        </is>
      </c>
      <c r="O2466" t="inlineStr">
        <is>
          <t>1972</t>
        </is>
      </c>
      <c r="Q2466" t="inlineStr">
        <is>
          <t>eng</t>
        </is>
      </c>
      <c r="R2466" t="inlineStr">
        <is>
          <t xml:space="preserve">ie </t>
        </is>
      </c>
      <c r="T2466" t="inlineStr">
        <is>
          <t xml:space="preserve">PR </t>
        </is>
      </c>
      <c r="U2466" t="n">
        <v>7</v>
      </c>
      <c r="V2466" t="n">
        <v>7</v>
      </c>
      <c r="W2466" t="inlineStr">
        <is>
          <t>2004-10-11</t>
        </is>
      </c>
      <c r="X2466" t="inlineStr">
        <is>
          <t>2004-10-11</t>
        </is>
      </c>
      <c r="Y2466" t="inlineStr">
        <is>
          <t>1991-09-26</t>
        </is>
      </c>
      <c r="Z2466" t="inlineStr">
        <is>
          <t>1991-09-26</t>
        </is>
      </c>
      <c r="AA2466" t="n">
        <v>399</v>
      </c>
      <c r="AB2466" t="n">
        <v>274</v>
      </c>
      <c r="AC2466" t="n">
        <v>281</v>
      </c>
      <c r="AD2466" t="n">
        <v>4</v>
      </c>
      <c r="AE2466" t="n">
        <v>4</v>
      </c>
      <c r="AF2466" t="n">
        <v>17</v>
      </c>
      <c r="AG2466" t="n">
        <v>17</v>
      </c>
      <c r="AH2466" t="n">
        <v>4</v>
      </c>
      <c r="AI2466" t="n">
        <v>4</v>
      </c>
      <c r="AJ2466" t="n">
        <v>7</v>
      </c>
      <c r="AK2466" t="n">
        <v>7</v>
      </c>
      <c r="AL2466" t="n">
        <v>10</v>
      </c>
      <c r="AM2466" t="n">
        <v>10</v>
      </c>
      <c r="AN2466" t="n">
        <v>3</v>
      </c>
      <c r="AO2466" t="n">
        <v>3</v>
      </c>
      <c r="AP2466" t="n">
        <v>0</v>
      </c>
      <c r="AQ2466" t="n">
        <v>0</v>
      </c>
      <c r="AR2466" t="inlineStr">
        <is>
          <t>No</t>
        </is>
      </c>
      <c r="AS2466" t="inlineStr">
        <is>
          <t>Yes</t>
        </is>
      </c>
      <c r="AT2466">
        <f>HYPERLINK("http://catalog.hathitrust.org/Record/002807383","HathiTrust Record")</f>
        <v/>
      </c>
      <c r="AU2466">
        <f>HYPERLINK("https://creighton-primo.hosted.exlibrisgroup.com/primo-explore/search?tab=default_tab&amp;search_scope=EVERYTHING&amp;vid=01CRU&amp;lang=en_US&amp;offset=0&amp;query=any,contains,991003003899702656","Catalog Record")</f>
        <v/>
      </c>
      <c r="AV2466">
        <f>HYPERLINK("http://www.worldcat.org/oclc/571674","WorldCat Record")</f>
        <v/>
      </c>
      <c r="AW2466" t="inlineStr">
        <is>
          <t>1680048:eng</t>
        </is>
      </c>
      <c r="AX2466" t="inlineStr">
        <is>
          <t>571674</t>
        </is>
      </c>
      <c r="AY2466" t="inlineStr">
        <is>
          <t>991003003899702656</t>
        </is>
      </c>
      <c r="AZ2466" t="inlineStr">
        <is>
          <t>991003003899702656</t>
        </is>
      </c>
      <c r="BA2466" t="inlineStr">
        <is>
          <t>2272027660002656</t>
        </is>
      </c>
      <c r="BB2466" t="inlineStr">
        <is>
          <t>BOOK</t>
        </is>
      </c>
      <c r="BD2466" t="inlineStr">
        <is>
          <t>9780851052038</t>
        </is>
      </c>
      <c r="BE2466" t="inlineStr">
        <is>
          <t>32285000760768</t>
        </is>
      </c>
      <c r="BF2466" t="inlineStr">
        <is>
          <t>893524313</t>
        </is>
      </c>
    </row>
    <row r="2467">
      <c r="A2467" t="inlineStr">
        <is>
          <t>No</t>
        </is>
      </c>
      <c r="B2467" t="inlineStr">
        <is>
          <t>CURAL</t>
        </is>
      </c>
      <c r="C2467" t="inlineStr">
        <is>
          <t>SHELVES</t>
        </is>
      </c>
      <c r="D2467" t="inlineStr">
        <is>
          <t>PR5534 .K56 1985</t>
        </is>
      </c>
      <c r="E2467" t="inlineStr">
        <is>
          <t>0                      PR 5534000K  56          1985</t>
        </is>
      </c>
      <c r="F2467" t="inlineStr">
        <is>
          <t>The drama of J.M. Synge / Mary C. King.</t>
        </is>
      </c>
      <c r="H2467" t="inlineStr">
        <is>
          <t>No</t>
        </is>
      </c>
      <c r="I2467" t="inlineStr">
        <is>
          <t>1</t>
        </is>
      </c>
      <c r="J2467" t="inlineStr">
        <is>
          <t>No</t>
        </is>
      </c>
      <c r="K2467" t="inlineStr">
        <is>
          <t>No</t>
        </is>
      </c>
      <c r="L2467" t="inlineStr">
        <is>
          <t>0</t>
        </is>
      </c>
      <c r="M2467" t="inlineStr">
        <is>
          <t>King, Mary C.</t>
        </is>
      </c>
      <c r="N2467" t="inlineStr">
        <is>
          <t>Syracuse, N.Y. : Syracuse University Press, 1985.</t>
        </is>
      </c>
      <c r="O2467" t="inlineStr">
        <is>
          <t>1985</t>
        </is>
      </c>
      <c r="Q2467" t="inlineStr">
        <is>
          <t>eng</t>
        </is>
      </c>
      <c r="R2467" t="inlineStr">
        <is>
          <t>nyu</t>
        </is>
      </c>
      <c r="S2467" t="inlineStr">
        <is>
          <t>Irish studies</t>
        </is>
      </c>
      <c r="T2467" t="inlineStr">
        <is>
          <t xml:space="preserve">PR </t>
        </is>
      </c>
      <c r="U2467" t="n">
        <v>15</v>
      </c>
      <c r="V2467" t="n">
        <v>15</v>
      </c>
      <c r="W2467" t="inlineStr">
        <is>
          <t>2006-04-09</t>
        </is>
      </c>
      <c r="X2467" t="inlineStr">
        <is>
          <t>2006-04-09</t>
        </is>
      </c>
      <c r="Y2467" t="inlineStr">
        <is>
          <t>1992-03-10</t>
        </is>
      </c>
      <c r="Z2467" t="inlineStr">
        <is>
          <t>1992-03-10</t>
        </is>
      </c>
      <c r="AA2467" t="n">
        <v>395</v>
      </c>
      <c r="AB2467" t="n">
        <v>359</v>
      </c>
      <c r="AC2467" t="n">
        <v>420</v>
      </c>
      <c r="AD2467" t="n">
        <v>2</v>
      </c>
      <c r="AE2467" t="n">
        <v>3</v>
      </c>
      <c r="AF2467" t="n">
        <v>18</v>
      </c>
      <c r="AG2467" t="n">
        <v>20</v>
      </c>
      <c r="AH2467" t="n">
        <v>7</v>
      </c>
      <c r="AI2467" t="n">
        <v>7</v>
      </c>
      <c r="AJ2467" t="n">
        <v>7</v>
      </c>
      <c r="AK2467" t="n">
        <v>7</v>
      </c>
      <c r="AL2467" t="n">
        <v>9</v>
      </c>
      <c r="AM2467" t="n">
        <v>10</v>
      </c>
      <c r="AN2467" t="n">
        <v>1</v>
      </c>
      <c r="AO2467" t="n">
        <v>2</v>
      </c>
      <c r="AP2467" t="n">
        <v>0</v>
      </c>
      <c r="AQ2467" t="n">
        <v>0</v>
      </c>
      <c r="AR2467" t="inlineStr">
        <is>
          <t>Yes</t>
        </is>
      </c>
      <c r="AS2467" t="inlineStr">
        <is>
          <t>No</t>
        </is>
      </c>
      <c r="AT2467">
        <f>HYPERLINK("http://catalog.hathitrust.org/Record/000655724","HathiTrust Record")</f>
        <v/>
      </c>
      <c r="AU2467">
        <f>HYPERLINK("https://creighton-primo.hosted.exlibrisgroup.com/primo-explore/search?tab=default_tab&amp;search_scope=EVERYTHING&amp;vid=01CRU&amp;lang=en_US&amp;offset=0&amp;query=any,contains,991000708599702656","Catalog Record")</f>
        <v/>
      </c>
      <c r="AV2467">
        <f>HYPERLINK("http://www.worldcat.org/oclc/12564843","WorldCat Record")</f>
        <v/>
      </c>
      <c r="AW2467" t="inlineStr">
        <is>
          <t>5019118:eng</t>
        </is>
      </c>
      <c r="AX2467" t="inlineStr">
        <is>
          <t>12564843</t>
        </is>
      </c>
      <c r="AY2467" t="inlineStr">
        <is>
          <t>991000708599702656</t>
        </is>
      </c>
      <c r="AZ2467" t="inlineStr">
        <is>
          <t>991000708599702656</t>
        </is>
      </c>
      <c r="BA2467" t="inlineStr">
        <is>
          <t>2270852020002656</t>
        </is>
      </c>
      <c r="BB2467" t="inlineStr">
        <is>
          <t>BOOK</t>
        </is>
      </c>
      <c r="BD2467" t="inlineStr">
        <is>
          <t>9780815623373</t>
        </is>
      </c>
      <c r="BE2467" t="inlineStr">
        <is>
          <t>32285000994987</t>
        </is>
      </c>
      <c r="BF2467" t="inlineStr">
        <is>
          <t>893315167</t>
        </is>
      </c>
    </row>
    <row r="2468">
      <c r="A2468" t="inlineStr">
        <is>
          <t>No</t>
        </is>
      </c>
      <c r="B2468" t="inlineStr">
        <is>
          <t>CURAL</t>
        </is>
      </c>
      <c r="C2468" t="inlineStr">
        <is>
          <t>SHELVES</t>
        </is>
      </c>
      <c r="D2468" t="inlineStr">
        <is>
          <t>PR5534 .S5 1971b</t>
        </is>
      </c>
      <c r="E2468" t="inlineStr">
        <is>
          <t>0                      PR 5534000S  5           1971b</t>
        </is>
      </c>
      <c r="F2468" t="inlineStr">
        <is>
          <t>The writings of J. M. Synge.</t>
        </is>
      </c>
      <c r="H2468" t="inlineStr">
        <is>
          <t>No</t>
        </is>
      </c>
      <c r="I2468" t="inlineStr">
        <is>
          <t>1</t>
        </is>
      </c>
      <c r="J2468" t="inlineStr">
        <is>
          <t>No</t>
        </is>
      </c>
      <c r="K2468" t="inlineStr">
        <is>
          <t>No</t>
        </is>
      </c>
      <c r="L2468" t="inlineStr">
        <is>
          <t>0</t>
        </is>
      </c>
      <c r="M2468" t="inlineStr">
        <is>
          <t>Skelton, Robin.</t>
        </is>
      </c>
      <c r="N2468" t="inlineStr">
        <is>
          <t>Indianapolis : Bobbs-Merrill, [1971]</t>
        </is>
      </c>
      <c r="O2468" t="inlineStr">
        <is>
          <t>1971</t>
        </is>
      </c>
      <c r="Q2468" t="inlineStr">
        <is>
          <t>eng</t>
        </is>
      </c>
      <c r="R2468" t="inlineStr">
        <is>
          <t>inu</t>
        </is>
      </c>
      <c r="T2468" t="inlineStr">
        <is>
          <t xml:space="preserve">PR </t>
        </is>
      </c>
      <c r="U2468" t="n">
        <v>11</v>
      </c>
      <c r="V2468" t="n">
        <v>11</v>
      </c>
      <c r="W2468" t="inlineStr">
        <is>
          <t>1995-03-13</t>
        </is>
      </c>
      <c r="X2468" t="inlineStr">
        <is>
          <t>1995-03-13</t>
        </is>
      </c>
      <c r="Y2468" t="inlineStr">
        <is>
          <t>1991-09-26</t>
        </is>
      </c>
      <c r="Z2468" t="inlineStr">
        <is>
          <t>1991-09-26</t>
        </is>
      </c>
      <c r="AA2468" t="n">
        <v>510</v>
      </c>
      <c r="AB2468" t="n">
        <v>462</v>
      </c>
      <c r="AC2468" t="n">
        <v>549</v>
      </c>
      <c r="AD2468" t="n">
        <v>4</v>
      </c>
      <c r="AE2468" t="n">
        <v>4</v>
      </c>
      <c r="AF2468" t="n">
        <v>26</v>
      </c>
      <c r="AG2468" t="n">
        <v>32</v>
      </c>
      <c r="AH2468" t="n">
        <v>11</v>
      </c>
      <c r="AI2468" t="n">
        <v>12</v>
      </c>
      <c r="AJ2468" t="n">
        <v>6</v>
      </c>
      <c r="AK2468" t="n">
        <v>8</v>
      </c>
      <c r="AL2468" t="n">
        <v>10</v>
      </c>
      <c r="AM2468" t="n">
        <v>16</v>
      </c>
      <c r="AN2468" t="n">
        <v>3</v>
      </c>
      <c r="AO2468" t="n">
        <v>3</v>
      </c>
      <c r="AP2468" t="n">
        <v>0</v>
      </c>
      <c r="AQ2468" t="n">
        <v>0</v>
      </c>
      <c r="AR2468" t="inlineStr">
        <is>
          <t>No</t>
        </is>
      </c>
      <c r="AS2468" t="inlineStr">
        <is>
          <t>Yes</t>
        </is>
      </c>
      <c r="AT2468">
        <f>HYPERLINK("http://catalog.hathitrust.org/Record/009493335","HathiTrust Record")</f>
        <v/>
      </c>
      <c r="AU2468">
        <f>HYPERLINK("https://creighton-primo.hosted.exlibrisgroup.com/primo-explore/search?tab=default_tab&amp;search_scope=EVERYTHING&amp;vid=01CRU&amp;lang=en_US&amp;offset=0&amp;query=any,contains,991000935239702656","Catalog Record")</f>
        <v/>
      </c>
      <c r="AV2468">
        <f>HYPERLINK("http://www.worldcat.org/oclc/164451","WorldCat Record")</f>
        <v/>
      </c>
      <c r="AW2468" t="inlineStr">
        <is>
          <t>1260522:eng</t>
        </is>
      </c>
      <c r="AX2468" t="inlineStr">
        <is>
          <t>164451</t>
        </is>
      </c>
      <c r="AY2468" t="inlineStr">
        <is>
          <t>991000935239702656</t>
        </is>
      </c>
      <c r="AZ2468" t="inlineStr">
        <is>
          <t>991000935239702656</t>
        </is>
      </c>
      <c r="BA2468" t="inlineStr">
        <is>
          <t>2269943790002656</t>
        </is>
      </c>
      <c r="BB2468" t="inlineStr">
        <is>
          <t>BOOK</t>
        </is>
      </c>
      <c r="BE2468" t="inlineStr">
        <is>
          <t>32285000760776</t>
        </is>
      </c>
      <c r="BF2468" t="inlineStr">
        <is>
          <t>893419901</t>
        </is>
      </c>
    </row>
    <row r="2469">
      <c r="A2469" t="inlineStr">
        <is>
          <t>No</t>
        </is>
      </c>
      <c r="B2469" t="inlineStr">
        <is>
          <t>CURAL</t>
        </is>
      </c>
      <c r="C2469" t="inlineStr">
        <is>
          <t>SHELVES</t>
        </is>
      </c>
      <c r="D2469" t="inlineStr">
        <is>
          <t>PR555.C687 W66 1989</t>
        </is>
      </c>
      <c r="E2469" t="inlineStr">
        <is>
          <t>0                      PR 0555000C  687                W  66          1989</t>
        </is>
      </c>
      <c r="F2469" t="inlineStr">
        <is>
          <t>Politeness and poetry in the age of Pope / Thomas Woodman.</t>
        </is>
      </c>
      <c r="H2469" t="inlineStr">
        <is>
          <t>No</t>
        </is>
      </c>
      <c r="I2469" t="inlineStr">
        <is>
          <t>1</t>
        </is>
      </c>
      <c r="J2469" t="inlineStr">
        <is>
          <t>No</t>
        </is>
      </c>
      <c r="K2469" t="inlineStr">
        <is>
          <t>No</t>
        </is>
      </c>
      <c r="L2469" t="inlineStr">
        <is>
          <t>0</t>
        </is>
      </c>
      <c r="M2469" t="inlineStr">
        <is>
          <t>Woodman, Thomas M.</t>
        </is>
      </c>
      <c r="N2469" t="inlineStr">
        <is>
          <t>Rutherford, N.J. : Fairleigh Dickinson University Press ; London : Associated University Presses, 1989.</t>
        </is>
      </c>
      <c r="O2469" t="inlineStr">
        <is>
          <t>1989</t>
        </is>
      </c>
      <c r="Q2469" t="inlineStr">
        <is>
          <t>eng</t>
        </is>
      </c>
      <c r="R2469" t="inlineStr">
        <is>
          <t>nju</t>
        </is>
      </c>
      <c r="T2469" t="inlineStr">
        <is>
          <t xml:space="preserve">PR </t>
        </is>
      </c>
      <c r="U2469" t="n">
        <v>4</v>
      </c>
      <c r="V2469" t="n">
        <v>4</v>
      </c>
      <c r="W2469" t="inlineStr">
        <is>
          <t>2010-11-29</t>
        </is>
      </c>
      <c r="X2469" t="inlineStr">
        <is>
          <t>2010-11-29</t>
        </is>
      </c>
      <c r="Y2469" t="inlineStr">
        <is>
          <t>1990-01-23</t>
        </is>
      </c>
      <c r="Z2469" t="inlineStr">
        <is>
          <t>1990-01-23</t>
        </is>
      </c>
      <c r="AA2469" t="n">
        <v>318</v>
      </c>
      <c r="AB2469" t="n">
        <v>242</v>
      </c>
      <c r="AC2469" t="n">
        <v>248</v>
      </c>
      <c r="AD2469" t="n">
        <v>4</v>
      </c>
      <c r="AE2469" t="n">
        <v>4</v>
      </c>
      <c r="AF2469" t="n">
        <v>15</v>
      </c>
      <c r="AG2469" t="n">
        <v>15</v>
      </c>
      <c r="AH2469" t="n">
        <v>4</v>
      </c>
      <c r="AI2469" t="n">
        <v>4</v>
      </c>
      <c r="AJ2469" t="n">
        <v>2</v>
      </c>
      <c r="AK2469" t="n">
        <v>2</v>
      </c>
      <c r="AL2469" t="n">
        <v>11</v>
      </c>
      <c r="AM2469" t="n">
        <v>11</v>
      </c>
      <c r="AN2469" t="n">
        <v>3</v>
      </c>
      <c r="AO2469" t="n">
        <v>3</v>
      </c>
      <c r="AP2469" t="n">
        <v>0</v>
      </c>
      <c r="AQ2469" t="n">
        <v>0</v>
      </c>
      <c r="AR2469" t="inlineStr">
        <is>
          <t>No</t>
        </is>
      </c>
      <c r="AS2469" t="inlineStr">
        <is>
          <t>Yes</t>
        </is>
      </c>
      <c r="AT2469">
        <f>HYPERLINK("http://catalog.hathitrust.org/Record/001814341","HathiTrust Record")</f>
        <v/>
      </c>
      <c r="AU2469">
        <f>HYPERLINK("https://creighton-primo.hosted.exlibrisgroup.com/primo-explore/search?tab=default_tab&amp;search_scope=EVERYTHING&amp;vid=01CRU&amp;lang=en_US&amp;offset=0&amp;query=any,contains,991001444799702656","Catalog Record")</f>
        <v/>
      </c>
      <c r="AV2469">
        <f>HYPERLINK("http://www.worldcat.org/oclc/19268007","WorldCat Record")</f>
        <v/>
      </c>
      <c r="AW2469" t="inlineStr">
        <is>
          <t>21405587:eng</t>
        </is>
      </c>
      <c r="AX2469" t="inlineStr">
        <is>
          <t>19268007</t>
        </is>
      </c>
      <c r="AY2469" t="inlineStr">
        <is>
          <t>991001444799702656</t>
        </is>
      </c>
      <c r="AZ2469" t="inlineStr">
        <is>
          <t>991001444799702656</t>
        </is>
      </c>
      <c r="BA2469" t="inlineStr">
        <is>
          <t>2267899520002656</t>
        </is>
      </c>
      <c r="BB2469" t="inlineStr">
        <is>
          <t>BOOK</t>
        </is>
      </c>
      <c r="BD2469" t="inlineStr">
        <is>
          <t>9780838633489</t>
        </is>
      </c>
      <c r="BE2469" t="inlineStr">
        <is>
          <t>32285000029875</t>
        </is>
      </c>
      <c r="BF2469" t="inlineStr">
        <is>
          <t>893414243</t>
        </is>
      </c>
    </row>
    <row r="2470">
      <c r="A2470" t="inlineStr">
        <is>
          <t>No</t>
        </is>
      </c>
      <c r="B2470" t="inlineStr">
        <is>
          <t>CURAL</t>
        </is>
      </c>
      <c r="C2470" t="inlineStr">
        <is>
          <t>SHELVES</t>
        </is>
      </c>
      <c r="D2470" t="inlineStr">
        <is>
          <t>PR555.N3 D4 1967</t>
        </is>
      </c>
      <c r="E2470" t="inlineStr">
        <is>
          <t>0                      PR 0555000N  3                  D  4           1967</t>
        </is>
      </c>
      <c r="F2470" t="inlineStr">
        <is>
          <t>Aspects of eighteenth century nature poetry [by] C. V. Deane.</t>
        </is>
      </c>
      <c r="H2470" t="inlineStr">
        <is>
          <t>No</t>
        </is>
      </c>
      <c r="I2470" t="inlineStr">
        <is>
          <t>1</t>
        </is>
      </c>
      <c r="J2470" t="inlineStr">
        <is>
          <t>No</t>
        </is>
      </c>
      <c r="K2470" t="inlineStr">
        <is>
          <t>No</t>
        </is>
      </c>
      <c r="L2470" t="inlineStr">
        <is>
          <t>0</t>
        </is>
      </c>
      <c r="M2470" t="inlineStr">
        <is>
          <t>Deane, Cecil Victor.</t>
        </is>
      </c>
      <c r="N2470" t="inlineStr">
        <is>
          <t>London, Cass, 1967.</t>
        </is>
      </c>
      <c r="O2470" t="inlineStr">
        <is>
          <t>1967</t>
        </is>
      </c>
      <c r="P2470" t="inlineStr">
        <is>
          <t>1st ed., new impression.</t>
        </is>
      </c>
      <c r="Q2470" t="inlineStr">
        <is>
          <t>eng</t>
        </is>
      </c>
      <c r="R2470" t="inlineStr">
        <is>
          <t>enk</t>
        </is>
      </c>
      <c r="T2470" t="inlineStr">
        <is>
          <t xml:space="preserve">PR </t>
        </is>
      </c>
      <c r="U2470" t="n">
        <v>4</v>
      </c>
      <c r="V2470" t="n">
        <v>4</v>
      </c>
      <c r="W2470" t="inlineStr">
        <is>
          <t>2006-09-18</t>
        </is>
      </c>
      <c r="X2470" t="inlineStr">
        <is>
          <t>2006-09-18</t>
        </is>
      </c>
      <c r="Y2470" t="inlineStr">
        <is>
          <t>1997-08-29</t>
        </is>
      </c>
      <c r="Z2470" t="inlineStr">
        <is>
          <t>1997-08-29</t>
        </is>
      </c>
      <c r="AA2470" t="n">
        <v>172</v>
      </c>
      <c r="AB2470" t="n">
        <v>107</v>
      </c>
      <c r="AC2470" t="n">
        <v>495</v>
      </c>
      <c r="AD2470" t="n">
        <v>2</v>
      </c>
      <c r="AE2470" t="n">
        <v>4</v>
      </c>
      <c r="AF2470" t="n">
        <v>11</v>
      </c>
      <c r="AG2470" t="n">
        <v>28</v>
      </c>
      <c r="AH2470" t="n">
        <v>1</v>
      </c>
      <c r="AI2470" t="n">
        <v>8</v>
      </c>
      <c r="AJ2470" t="n">
        <v>2</v>
      </c>
      <c r="AK2470" t="n">
        <v>8</v>
      </c>
      <c r="AL2470" t="n">
        <v>9</v>
      </c>
      <c r="AM2470" t="n">
        <v>16</v>
      </c>
      <c r="AN2470" t="n">
        <v>1</v>
      </c>
      <c r="AO2470" t="n">
        <v>3</v>
      </c>
      <c r="AP2470" t="n">
        <v>0</v>
      </c>
      <c r="AQ2470" t="n">
        <v>0</v>
      </c>
      <c r="AR2470" t="inlineStr">
        <is>
          <t>No</t>
        </is>
      </c>
      <c r="AS2470" t="inlineStr">
        <is>
          <t>Yes</t>
        </is>
      </c>
      <c r="AT2470">
        <f>HYPERLINK("http://catalog.hathitrust.org/Record/001371426","HathiTrust Record")</f>
        <v/>
      </c>
      <c r="AU2470">
        <f>HYPERLINK("https://creighton-primo.hosted.exlibrisgroup.com/primo-explore/search?tab=default_tab&amp;search_scope=EVERYTHING&amp;vid=01CRU&amp;lang=en_US&amp;offset=0&amp;query=any,contains,991002438579702656","Catalog Record")</f>
        <v/>
      </c>
      <c r="AV2470">
        <f>HYPERLINK("http://www.worldcat.org/oclc/349475","WorldCat Record")</f>
        <v/>
      </c>
      <c r="AW2470" t="inlineStr">
        <is>
          <t>1509262:eng</t>
        </is>
      </c>
      <c r="AX2470" t="inlineStr">
        <is>
          <t>349475</t>
        </is>
      </c>
      <c r="AY2470" t="inlineStr">
        <is>
          <t>991002438579702656</t>
        </is>
      </c>
      <c r="AZ2470" t="inlineStr">
        <is>
          <t>991002438579702656</t>
        </is>
      </c>
      <c r="BA2470" t="inlineStr">
        <is>
          <t>2267093270002656</t>
        </is>
      </c>
      <c r="BB2470" t="inlineStr">
        <is>
          <t>BOOK</t>
        </is>
      </c>
      <c r="BE2470" t="inlineStr">
        <is>
          <t>32285003154217</t>
        </is>
      </c>
      <c r="BF2470" t="inlineStr">
        <is>
          <t>893798591</t>
        </is>
      </c>
    </row>
    <row r="2471">
      <c r="A2471" t="inlineStr">
        <is>
          <t>No</t>
        </is>
      </c>
      <c r="B2471" t="inlineStr">
        <is>
          <t>CURAL</t>
        </is>
      </c>
      <c r="C2471" t="inlineStr">
        <is>
          <t>SHELVES</t>
        </is>
      </c>
      <c r="D2471" t="inlineStr">
        <is>
          <t>PR555.S3 J6 1966</t>
        </is>
      </c>
      <c r="E2471" t="inlineStr">
        <is>
          <t>0                      PR 0555000S  3                  J  6           1966</t>
        </is>
      </c>
      <c r="F2471" t="inlineStr">
        <is>
          <t>The rhetoric of science; a study of scientific ideas and imagery in eighteenth-century English poetry.</t>
        </is>
      </c>
      <c r="H2471" t="inlineStr">
        <is>
          <t>No</t>
        </is>
      </c>
      <c r="I2471" t="inlineStr">
        <is>
          <t>1</t>
        </is>
      </c>
      <c r="J2471" t="inlineStr">
        <is>
          <t>No</t>
        </is>
      </c>
      <c r="K2471" t="inlineStr">
        <is>
          <t>No</t>
        </is>
      </c>
      <c r="L2471" t="inlineStr">
        <is>
          <t>0</t>
        </is>
      </c>
      <c r="M2471" t="inlineStr">
        <is>
          <t>Jones, William Powell, 1901-1989.</t>
        </is>
      </c>
      <c r="N2471" t="inlineStr">
        <is>
          <t>Berkeley, University of California press, 1966.</t>
        </is>
      </c>
      <c r="O2471" t="inlineStr">
        <is>
          <t>1966</t>
        </is>
      </c>
      <c r="Q2471" t="inlineStr">
        <is>
          <t>eng</t>
        </is>
      </c>
      <c r="R2471" t="inlineStr">
        <is>
          <t>cau</t>
        </is>
      </c>
      <c r="T2471" t="inlineStr">
        <is>
          <t xml:space="preserve">PR </t>
        </is>
      </c>
      <c r="U2471" t="n">
        <v>3</v>
      </c>
      <c r="V2471" t="n">
        <v>3</v>
      </c>
      <c r="W2471" t="inlineStr">
        <is>
          <t>2007-02-04</t>
        </is>
      </c>
      <c r="X2471" t="inlineStr">
        <is>
          <t>2007-02-04</t>
        </is>
      </c>
      <c r="Y2471" t="inlineStr">
        <is>
          <t>1997-08-29</t>
        </is>
      </c>
      <c r="Z2471" t="inlineStr">
        <is>
          <t>1997-08-29</t>
        </is>
      </c>
      <c r="AA2471" t="n">
        <v>499</v>
      </c>
      <c r="AB2471" t="n">
        <v>445</v>
      </c>
      <c r="AC2471" t="n">
        <v>559</v>
      </c>
      <c r="AD2471" t="n">
        <v>7</v>
      </c>
      <c r="AE2471" t="n">
        <v>7</v>
      </c>
      <c r="AF2471" t="n">
        <v>28</v>
      </c>
      <c r="AG2471" t="n">
        <v>35</v>
      </c>
      <c r="AH2471" t="n">
        <v>8</v>
      </c>
      <c r="AI2471" t="n">
        <v>12</v>
      </c>
      <c r="AJ2471" t="n">
        <v>6</v>
      </c>
      <c r="AK2471" t="n">
        <v>8</v>
      </c>
      <c r="AL2471" t="n">
        <v>14</v>
      </c>
      <c r="AM2471" t="n">
        <v>19</v>
      </c>
      <c r="AN2471" t="n">
        <v>6</v>
      </c>
      <c r="AO2471" t="n">
        <v>6</v>
      </c>
      <c r="AP2471" t="n">
        <v>0</v>
      </c>
      <c r="AQ2471" t="n">
        <v>0</v>
      </c>
      <c r="AR2471" t="inlineStr">
        <is>
          <t>No</t>
        </is>
      </c>
      <c r="AS2471" t="inlineStr">
        <is>
          <t>Yes</t>
        </is>
      </c>
      <c r="AT2471">
        <f>HYPERLINK("http://catalog.hathitrust.org/Record/001371555","HathiTrust Record")</f>
        <v/>
      </c>
      <c r="AU2471">
        <f>HYPERLINK("https://creighton-primo.hosted.exlibrisgroup.com/primo-explore/search?tab=default_tab&amp;search_scope=EVERYTHING&amp;vid=01CRU&amp;lang=en_US&amp;offset=0&amp;query=any,contains,991004165299702656","Catalog Record")</f>
        <v/>
      </c>
      <c r="AV2471">
        <f>HYPERLINK("http://www.worldcat.org/oclc/2565396","WorldCat Record")</f>
        <v/>
      </c>
      <c r="AW2471" t="inlineStr">
        <is>
          <t>1464762:eng</t>
        </is>
      </c>
      <c r="AX2471" t="inlineStr">
        <is>
          <t>2565396</t>
        </is>
      </c>
      <c r="AY2471" t="inlineStr">
        <is>
          <t>991004165299702656</t>
        </is>
      </c>
      <c r="AZ2471" t="inlineStr">
        <is>
          <t>991004165299702656</t>
        </is>
      </c>
      <c r="BA2471" t="inlineStr">
        <is>
          <t>2255283960002656</t>
        </is>
      </c>
      <c r="BB2471" t="inlineStr">
        <is>
          <t>BOOK</t>
        </is>
      </c>
      <c r="BE2471" t="inlineStr">
        <is>
          <t>32285003154258</t>
        </is>
      </c>
      <c r="BF2471" t="inlineStr">
        <is>
          <t>893888372</t>
        </is>
      </c>
    </row>
    <row r="2472">
      <c r="A2472" t="inlineStr">
        <is>
          <t>No</t>
        </is>
      </c>
      <c r="B2472" t="inlineStr">
        <is>
          <t>CURAL</t>
        </is>
      </c>
      <c r="C2472" t="inlineStr">
        <is>
          <t>SHELVES</t>
        </is>
      </c>
      <c r="D2472" t="inlineStr">
        <is>
          <t>PR5560 .E3 1971</t>
        </is>
      </c>
      <c r="E2472" t="inlineStr">
        <is>
          <t>0                      PR 5560000E  3           1971</t>
        </is>
      </c>
      <c r="F2472" t="inlineStr">
        <is>
          <t>King Arthur's laureate : a study of Tennyson's Idylls of the king / J. Philip Eggers.</t>
        </is>
      </c>
      <c r="H2472" t="inlineStr">
        <is>
          <t>No</t>
        </is>
      </c>
      <c r="I2472" t="inlineStr">
        <is>
          <t>1</t>
        </is>
      </c>
      <c r="J2472" t="inlineStr">
        <is>
          <t>No</t>
        </is>
      </c>
      <c r="K2472" t="inlineStr">
        <is>
          <t>No</t>
        </is>
      </c>
      <c r="L2472" t="inlineStr">
        <is>
          <t>0</t>
        </is>
      </c>
      <c r="M2472" t="inlineStr">
        <is>
          <t>Eggers, John Philip, 1940-</t>
        </is>
      </c>
      <c r="N2472" t="inlineStr">
        <is>
          <t>New York : New York University Press, 1971.</t>
        </is>
      </c>
      <c r="O2472" t="inlineStr">
        <is>
          <t>1971</t>
        </is>
      </c>
      <c r="Q2472" t="inlineStr">
        <is>
          <t>eng</t>
        </is>
      </c>
      <c r="R2472" t="inlineStr">
        <is>
          <t>nyu</t>
        </is>
      </c>
      <c r="T2472" t="inlineStr">
        <is>
          <t xml:space="preserve">PR </t>
        </is>
      </c>
      <c r="U2472" t="n">
        <v>7</v>
      </c>
      <c r="V2472" t="n">
        <v>7</v>
      </c>
      <c r="W2472" t="inlineStr">
        <is>
          <t>2001-10-29</t>
        </is>
      </c>
      <c r="X2472" t="inlineStr">
        <is>
          <t>2001-10-29</t>
        </is>
      </c>
      <c r="Y2472" t="inlineStr">
        <is>
          <t>1997-07-21</t>
        </is>
      </c>
      <c r="Z2472" t="inlineStr">
        <is>
          <t>1997-07-21</t>
        </is>
      </c>
      <c r="AA2472" t="n">
        <v>684</v>
      </c>
      <c r="AB2472" t="n">
        <v>601</v>
      </c>
      <c r="AC2472" t="n">
        <v>606</v>
      </c>
      <c r="AD2472" t="n">
        <v>7</v>
      </c>
      <c r="AE2472" t="n">
        <v>7</v>
      </c>
      <c r="AF2472" t="n">
        <v>38</v>
      </c>
      <c r="AG2472" t="n">
        <v>38</v>
      </c>
      <c r="AH2472" t="n">
        <v>14</v>
      </c>
      <c r="AI2472" t="n">
        <v>14</v>
      </c>
      <c r="AJ2472" t="n">
        <v>9</v>
      </c>
      <c r="AK2472" t="n">
        <v>9</v>
      </c>
      <c r="AL2472" t="n">
        <v>19</v>
      </c>
      <c r="AM2472" t="n">
        <v>19</v>
      </c>
      <c r="AN2472" t="n">
        <v>6</v>
      </c>
      <c r="AO2472" t="n">
        <v>6</v>
      </c>
      <c r="AP2472" t="n">
        <v>0</v>
      </c>
      <c r="AQ2472" t="n">
        <v>0</v>
      </c>
      <c r="AR2472" t="inlineStr">
        <is>
          <t>No</t>
        </is>
      </c>
      <c r="AS2472" t="inlineStr">
        <is>
          <t>No</t>
        </is>
      </c>
      <c r="AU2472">
        <f>HYPERLINK("https://creighton-primo.hosted.exlibrisgroup.com/primo-explore/search?tab=default_tab&amp;search_scope=EVERYTHING&amp;vid=01CRU&amp;lang=en_US&amp;offset=0&amp;query=any,contains,991005353619702656","Catalog Record")</f>
        <v/>
      </c>
      <c r="AV2472">
        <f>HYPERLINK("http://www.worldcat.org/oclc/177433","WorldCat Record")</f>
        <v/>
      </c>
      <c r="AW2472" t="inlineStr">
        <is>
          <t>1104056281:eng</t>
        </is>
      </c>
      <c r="AX2472" t="inlineStr">
        <is>
          <t>177433</t>
        </is>
      </c>
      <c r="AY2472" t="inlineStr">
        <is>
          <t>991005353619702656</t>
        </is>
      </c>
      <c r="AZ2472" t="inlineStr">
        <is>
          <t>991005353619702656</t>
        </is>
      </c>
      <c r="BA2472" t="inlineStr">
        <is>
          <t>2268205350002656</t>
        </is>
      </c>
      <c r="BB2472" t="inlineStr">
        <is>
          <t>BOOK</t>
        </is>
      </c>
      <c r="BD2472" t="inlineStr">
        <is>
          <t>9780814721506</t>
        </is>
      </c>
      <c r="BE2472" t="inlineStr">
        <is>
          <t>32285002949260</t>
        </is>
      </c>
      <c r="BF2472" t="inlineStr">
        <is>
          <t>893695171</t>
        </is>
      </c>
    </row>
    <row r="2473">
      <c r="A2473" t="inlineStr">
        <is>
          <t>No</t>
        </is>
      </c>
      <c r="B2473" t="inlineStr">
        <is>
          <t>CURAL</t>
        </is>
      </c>
      <c r="C2473" t="inlineStr">
        <is>
          <t>SHELVES</t>
        </is>
      </c>
      <c r="D2473" t="inlineStr">
        <is>
          <t>PR5560 .J8</t>
        </is>
      </c>
      <c r="E2473" t="inlineStr">
        <is>
          <t>0                      PR 5560000J  8</t>
        </is>
      </c>
      <c r="F2473" t="inlineStr">
        <is>
          <t>Tennyson: the critical heritage; edited by John D. Jump.</t>
        </is>
      </c>
      <c r="H2473" t="inlineStr">
        <is>
          <t>No</t>
        </is>
      </c>
      <c r="I2473" t="inlineStr">
        <is>
          <t>1</t>
        </is>
      </c>
      <c r="J2473" t="inlineStr">
        <is>
          <t>No</t>
        </is>
      </c>
      <c r="K2473" t="inlineStr">
        <is>
          <t>No</t>
        </is>
      </c>
      <c r="L2473" t="inlineStr">
        <is>
          <t>0</t>
        </is>
      </c>
      <c r="M2473" t="inlineStr">
        <is>
          <t>Jump, John D. (John Davies), 1913-1976, compiler.</t>
        </is>
      </c>
      <c r="N2473" t="inlineStr">
        <is>
          <t>London, Routledge &amp; K. Paul; New York, Barnes &amp; Noble, 1967.</t>
        </is>
      </c>
      <c r="O2473" t="inlineStr">
        <is>
          <t>1967</t>
        </is>
      </c>
      <c r="Q2473" t="inlineStr">
        <is>
          <t>eng</t>
        </is>
      </c>
      <c r="R2473" t="inlineStr">
        <is>
          <t>enk</t>
        </is>
      </c>
      <c r="S2473" t="inlineStr">
        <is>
          <t>The Critical heritage series</t>
        </is>
      </c>
      <c r="T2473" t="inlineStr">
        <is>
          <t xml:space="preserve">PR </t>
        </is>
      </c>
      <c r="U2473" t="n">
        <v>7</v>
      </c>
      <c r="V2473" t="n">
        <v>7</v>
      </c>
      <c r="W2473" t="inlineStr">
        <is>
          <t>2001-10-29</t>
        </is>
      </c>
      <c r="X2473" t="inlineStr">
        <is>
          <t>2001-10-29</t>
        </is>
      </c>
      <c r="Y2473" t="inlineStr">
        <is>
          <t>1997-07-21</t>
        </is>
      </c>
      <c r="Z2473" t="inlineStr">
        <is>
          <t>1997-07-21</t>
        </is>
      </c>
      <c r="AA2473" t="n">
        <v>729</v>
      </c>
      <c r="AB2473" t="n">
        <v>664</v>
      </c>
      <c r="AC2473" t="n">
        <v>719</v>
      </c>
      <c r="AD2473" t="n">
        <v>7</v>
      </c>
      <c r="AE2473" t="n">
        <v>7</v>
      </c>
      <c r="AF2473" t="n">
        <v>33</v>
      </c>
      <c r="AG2473" t="n">
        <v>36</v>
      </c>
      <c r="AH2473" t="n">
        <v>11</v>
      </c>
      <c r="AI2473" t="n">
        <v>13</v>
      </c>
      <c r="AJ2473" t="n">
        <v>7</v>
      </c>
      <c r="AK2473" t="n">
        <v>8</v>
      </c>
      <c r="AL2473" t="n">
        <v>16</v>
      </c>
      <c r="AM2473" t="n">
        <v>18</v>
      </c>
      <c r="AN2473" t="n">
        <v>6</v>
      </c>
      <c r="AO2473" t="n">
        <v>6</v>
      </c>
      <c r="AP2473" t="n">
        <v>0</v>
      </c>
      <c r="AQ2473" t="n">
        <v>0</v>
      </c>
      <c r="AR2473" t="inlineStr">
        <is>
          <t>No</t>
        </is>
      </c>
      <c r="AS2473" t="inlineStr">
        <is>
          <t>Yes</t>
        </is>
      </c>
      <c r="AT2473">
        <f>HYPERLINK("http://catalog.hathitrust.org/Record/001024677","HathiTrust Record")</f>
        <v/>
      </c>
      <c r="AU2473">
        <f>HYPERLINK("https://creighton-primo.hosted.exlibrisgroup.com/primo-explore/search?tab=default_tab&amp;search_scope=EVERYTHING&amp;vid=01CRU&amp;lang=en_US&amp;offset=0&amp;query=any,contains,991005353519702656","Catalog Record")</f>
        <v/>
      </c>
      <c r="AV2473">
        <f>HYPERLINK("http://www.worldcat.org/oclc/171366","WorldCat Record")</f>
        <v/>
      </c>
      <c r="AW2473" t="inlineStr">
        <is>
          <t>919068511:eng</t>
        </is>
      </c>
      <c r="AX2473" t="inlineStr">
        <is>
          <t>171366</t>
        </is>
      </c>
      <c r="AY2473" t="inlineStr">
        <is>
          <t>991005353519702656</t>
        </is>
      </c>
      <c r="AZ2473" t="inlineStr">
        <is>
          <t>991005353519702656</t>
        </is>
      </c>
      <c r="BA2473" t="inlineStr">
        <is>
          <t>2267248930002656</t>
        </is>
      </c>
      <c r="BB2473" t="inlineStr">
        <is>
          <t>BOOK</t>
        </is>
      </c>
      <c r="BD2473" t="inlineStr">
        <is>
          <t>9780710029416</t>
        </is>
      </c>
      <c r="BE2473" t="inlineStr">
        <is>
          <t>32285002949302</t>
        </is>
      </c>
      <c r="BF2473" t="inlineStr">
        <is>
          <t>893431296</t>
        </is>
      </c>
    </row>
    <row r="2474">
      <c r="A2474" t="inlineStr">
        <is>
          <t>No</t>
        </is>
      </c>
      <c r="B2474" t="inlineStr">
        <is>
          <t>CURAL</t>
        </is>
      </c>
      <c r="C2474" t="inlineStr">
        <is>
          <t>SHELVES</t>
        </is>
      </c>
      <c r="D2474" t="inlineStr">
        <is>
          <t>PR5560 .R43</t>
        </is>
      </c>
      <c r="E2474" t="inlineStr">
        <is>
          <t>0                      PR 5560000R  43</t>
        </is>
      </c>
      <c r="F2474" t="inlineStr">
        <is>
          <t>Perception and design in Tennyson's Idylls of the king / John R. Reed.</t>
        </is>
      </c>
      <c r="H2474" t="inlineStr">
        <is>
          <t>No</t>
        </is>
      </c>
      <c r="I2474" t="inlineStr">
        <is>
          <t>1</t>
        </is>
      </c>
      <c r="J2474" t="inlineStr">
        <is>
          <t>No</t>
        </is>
      </c>
      <c r="K2474" t="inlineStr">
        <is>
          <t>No</t>
        </is>
      </c>
      <c r="L2474" t="inlineStr">
        <is>
          <t>0</t>
        </is>
      </c>
      <c r="M2474" t="inlineStr">
        <is>
          <t>Reed, John Robert, 1938-</t>
        </is>
      </c>
      <c r="N2474" t="inlineStr">
        <is>
          <t>Athens : Ohio University Press, [1970, c1969]</t>
        </is>
      </c>
      <c r="O2474" t="inlineStr">
        <is>
          <t>1970</t>
        </is>
      </c>
      <c r="Q2474" t="inlineStr">
        <is>
          <t>eng</t>
        </is>
      </c>
      <c r="R2474" t="inlineStr">
        <is>
          <t>ohu</t>
        </is>
      </c>
      <c r="T2474" t="inlineStr">
        <is>
          <t xml:space="preserve">PR </t>
        </is>
      </c>
      <c r="U2474" t="n">
        <v>7</v>
      </c>
      <c r="V2474" t="n">
        <v>7</v>
      </c>
      <c r="W2474" t="inlineStr">
        <is>
          <t>2001-10-29</t>
        </is>
      </c>
      <c r="X2474" t="inlineStr">
        <is>
          <t>2001-10-29</t>
        </is>
      </c>
      <c r="Y2474" t="inlineStr">
        <is>
          <t>1997-07-21</t>
        </is>
      </c>
      <c r="Z2474" t="inlineStr">
        <is>
          <t>1997-07-21</t>
        </is>
      </c>
      <c r="AA2474" t="n">
        <v>658</v>
      </c>
      <c r="AB2474" t="n">
        <v>604</v>
      </c>
      <c r="AC2474" t="n">
        <v>631</v>
      </c>
      <c r="AD2474" t="n">
        <v>5</v>
      </c>
      <c r="AE2474" t="n">
        <v>6</v>
      </c>
      <c r="AF2474" t="n">
        <v>36</v>
      </c>
      <c r="AG2474" t="n">
        <v>37</v>
      </c>
      <c r="AH2474" t="n">
        <v>15</v>
      </c>
      <c r="AI2474" t="n">
        <v>16</v>
      </c>
      <c r="AJ2474" t="n">
        <v>7</v>
      </c>
      <c r="AK2474" t="n">
        <v>7</v>
      </c>
      <c r="AL2474" t="n">
        <v>19</v>
      </c>
      <c r="AM2474" t="n">
        <v>20</v>
      </c>
      <c r="AN2474" t="n">
        <v>4</v>
      </c>
      <c r="AO2474" t="n">
        <v>4</v>
      </c>
      <c r="AP2474" t="n">
        <v>0</v>
      </c>
      <c r="AQ2474" t="n">
        <v>0</v>
      </c>
      <c r="AR2474" t="inlineStr">
        <is>
          <t>No</t>
        </is>
      </c>
      <c r="AS2474" t="inlineStr">
        <is>
          <t>Yes</t>
        </is>
      </c>
      <c r="AT2474">
        <f>HYPERLINK("http://catalog.hathitrust.org/Record/001187022","HathiTrust Record")</f>
        <v/>
      </c>
      <c r="AU2474">
        <f>HYPERLINK("https://creighton-primo.hosted.exlibrisgroup.com/primo-explore/search?tab=default_tab&amp;search_scope=EVERYTHING&amp;vid=01CRU&amp;lang=en_US&amp;offset=0&amp;query=any,contains,991005353179702656","Catalog Record")</f>
        <v/>
      </c>
      <c r="AV2474">
        <f>HYPERLINK("http://www.worldcat.org/oclc/103491","WorldCat Record")</f>
        <v/>
      </c>
      <c r="AW2474" t="inlineStr">
        <is>
          <t>1178975:eng</t>
        </is>
      </c>
      <c r="AX2474" t="inlineStr">
        <is>
          <t>103491</t>
        </is>
      </c>
      <c r="AY2474" t="inlineStr">
        <is>
          <t>991005353179702656</t>
        </is>
      </c>
      <c r="AZ2474" t="inlineStr">
        <is>
          <t>991005353179702656</t>
        </is>
      </c>
      <c r="BA2474" t="inlineStr">
        <is>
          <t>2260030170002656</t>
        </is>
      </c>
      <c r="BB2474" t="inlineStr">
        <is>
          <t>BOOK</t>
        </is>
      </c>
      <c r="BD2474" t="inlineStr">
        <is>
          <t>9780821400784</t>
        </is>
      </c>
      <c r="BE2474" t="inlineStr">
        <is>
          <t>32285002949328</t>
        </is>
      </c>
      <c r="BF2474" t="inlineStr">
        <is>
          <t>893437569</t>
        </is>
      </c>
    </row>
    <row r="2475">
      <c r="A2475" t="inlineStr">
        <is>
          <t>No</t>
        </is>
      </c>
      <c r="B2475" t="inlineStr">
        <is>
          <t>CURAL</t>
        </is>
      </c>
      <c r="C2475" t="inlineStr">
        <is>
          <t>SHELVES</t>
        </is>
      </c>
      <c r="D2475" t="inlineStr">
        <is>
          <t>PR5560 .R6</t>
        </is>
      </c>
      <c r="E2475" t="inlineStr">
        <is>
          <t>0                      PR 5560000R  6</t>
        </is>
      </c>
      <c r="F2475" t="inlineStr">
        <is>
          <t>The fall of Camelot; a study of Tennyson's "Idylls of the King" [by] John D. Rosenberg.</t>
        </is>
      </c>
      <c r="H2475" t="inlineStr">
        <is>
          <t>No</t>
        </is>
      </c>
      <c r="I2475" t="inlineStr">
        <is>
          <t>1</t>
        </is>
      </c>
      <c r="J2475" t="inlineStr">
        <is>
          <t>No</t>
        </is>
      </c>
      <c r="K2475" t="inlineStr">
        <is>
          <t>No</t>
        </is>
      </c>
      <c r="L2475" t="inlineStr">
        <is>
          <t>0</t>
        </is>
      </c>
      <c r="M2475" t="inlineStr">
        <is>
          <t>Rosenberg, John D.</t>
        </is>
      </c>
      <c r="N2475" t="inlineStr">
        <is>
          <t>Cambridge, Belknap Press of Harvard University Press, 1973.</t>
        </is>
      </c>
      <c r="O2475" t="inlineStr">
        <is>
          <t>1973</t>
        </is>
      </c>
      <c r="Q2475" t="inlineStr">
        <is>
          <t>eng</t>
        </is>
      </c>
      <c r="R2475" t="inlineStr">
        <is>
          <t>mau</t>
        </is>
      </c>
      <c r="T2475" t="inlineStr">
        <is>
          <t xml:space="preserve">PR </t>
        </is>
      </c>
      <c r="U2475" t="n">
        <v>8</v>
      </c>
      <c r="V2475" t="n">
        <v>8</v>
      </c>
      <c r="W2475" t="inlineStr">
        <is>
          <t>2001-10-29</t>
        </is>
      </c>
      <c r="X2475" t="inlineStr">
        <is>
          <t>2001-10-29</t>
        </is>
      </c>
      <c r="Y2475" t="inlineStr">
        <is>
          <t>1997-07-21</t>
        </is>
      </c>
      <c r="Z2475" t="inlineStr">
        <is>
          <t>1997-07-21</t>
        </is>
      </c>
      <c r="AA2475" t="n">
        <v>971</v>
      </c>
      <c r="AB2475" t="n">
        <v>823</v>
      </c>
      <c r="AC2475" t="n">
        <v>832</v>
      </c>
      <c r="AD2475" t="n">
        <v>5</v>
      </c>
      <c r="AE2475" t="n">
        <v>5</v>
      </c>
      <c r="AF2475" t="n">
        <v>35</v>
      </c>
      <c r="AG2475" t="n">
        <v>35</v>
      </c>
      <c r="AH2475" t="n">
        <v>15</v>
      </c>
      <c r="AI2475" t="n">
        <v>15</v>
      </c>
      <c r="AJ2475" t="n">
        <v>7</v>
      </c>
      <c r="AK2475" t="n">
        <v>7</v>
      </c>
      <c r="AL2475" t="n">
        <v>20</v>
      </c>
      <c r="AM2475" t="n">
        <v>20</v>
      </c>
      <c r="AN2475" t="n">
        <v>4</v>
      </c>
      <c r="AO2475" t="n">
        <v>4</v>
      </c>
      <c r="AP2475" t="n">
        <v>0</v>
      </c>
      <c r="AQ2475" t="n">
        <v>0</v>
      </c>
      <c r="AR2475" t="inlineStr">
        <is>
          <t>No</t>
        </is>
      </c>
      <c r="AS2475" t="inlineStr">
        <is>
          <t>Yes</t>
        </is>
      </c>
      <c r="AT2475">
        <f>HYPERLINK("http://catalog.hathitrust.org/Record/001187026","HathiTrust Record")</f>
        <v/>
      </c>
      <c r="AU2475">
        <f>HYPERLINK("https://creighton-primo.hosted.exlibrisgroup.com/primo-explore/search?tab=default_tab&amp;search_scope=EVERYTHING&amp;vid=01CRU&amp;lang=en_US&amp;offset=0&amp;query=any,contains,991005356869702656","Catalog Record")</f>
        <v/>
      </c>
      <c r="AV2475">
        <f>HYPERLINK("http://www.worldcat.org/oclc/797014","WorldCat Record")</f>
        <v/>
      </c>
      <c r="AW2475" t="inlineStr">
        <is>
          <t>292507050:eng</t>
        </is>
      </c>
      <c r="AX2475" t="inlineStr">
        <is>
          <t>797014</t>
        </is>
      </c>
      <c r="AY2475" t="inlineStr">
        <is>
          <t>991005356869702656</t>
        </is>
      </c>
      <c r="AZ2475" t="inlineStr">
        <is>
          <t>991005356869702656</t>
        </is>
      </c>
      <c r="BA2475" t="inlineStr">
        <is>
          <t>2258349060002656</t>
        </is>
      </c>
      <c r="BB2475" t="inlineStr">
        <is>
          <t>BOOK</t>
        </is>
      </c>
      <c r="BD2475" t="inlineStr">
        <is>
          <t>9780674291751</t>
        </is>
      </c>
      <c r="BE2475" t="inlineStr">
        <is>
          <t>32285002949336</t>
        </is>
      </c>
      <c r="BF2475" t="inlineStr">
        <is>
          <t>893242592</t>
        </is>
      </c>
    </row>
    <row r="2476">
      <c r="A2476" t="inlineStr">
        <is>
          <t>No</t>
        </is>
      </c>
      <c r="B2476" t="inlineStr">
        <is>
          <t>CURAL</t>
        </is>
      </c>
      <c r="C2476" t="inlineStr">
        <is>
          <t>SHELVES</t>
        </is>
      </c>
      <c r="D2476" t="inlineStr">
        <is>
          <t>PR5560 .R9</t>
        </is>
      </c>
      <c r="E2476" t="inlineStr">
        <is>
          <t>0                      PR 5560000R  9</t>
        </is>
      </c>
      <c r="F2476" t="inlineStr">
        <is>
          <t>From the great deep; essays on Idylls of the King, [by] Clyde de L. Ryals.</t>
        </is>
      </c>
      <c r="H2476" t="inlineStr">
        <is>
          <t>No</t>
        </is>
      </c>
      <c r="I2476" t="inlineStr">
        <is>
          <t>1</t>
        </is>
      </c>
      <c r="J2476" t="inlineStr">
        <is>
          <t>No</t>
        </is>
      </c>
      <c r="K2476" t="inlineStr">
        <is>
          <t>No</t>
        </is>
      </c>
      <c r="L2476" t="inlineStr">
        <is>
          <t>0</t>
        </is>
      </c>
      <c r="M2476" t="inlineStr">
        <is>
          <t>Ryals, Clyde de L., 1928-</t>
        </is>
      </c>
      <c r="N2476" t="inlineStr">
        <is>
          <t>[Athens] Ohio University Press [1967]</t>
        </is>
      </c>
      <c r="O2476" t="inlineStr">
        <is>
          <t>1967</t>
        </is>
      </c>
      <c r="Q2476" t="inlineStr">
        <is>
          <t>eng</t>
        </is>
      </c>
      <c r="R2476" t="inlineStr">
        <is>
          <t>ohu</t>
        </is>
      </c>
      <c r="T2476" t="inlineStr">
        <is>
          <t xml:space="preserve">PR </t>
        </is>
      </c>
      <c r="U2476" t="n">
        <v>7</v>
      </c>
      <c r="V2476" t="n">
        <v>7</v>
      </c>
      <c r="W2476" t="inlineStr">
        <is>
          <t>2001-10-29</t>
        </is>
      </c>
      <c r="X2476" t="inlineStr">
        <is>
          <t>2001-10-29</t>
        </is>
      </c>
      <c r="Y2476" t="inlineStr">
        <is>
          <t>1997-07-21</t>
        </is>
      </c>
      <c r="Z2476" t="inlineStr">
        <is>
          <t>1997-07-21</t>
        </is>
      </c>
      <c r="AA2476" t="n">
        <v>855</v>
      </c>
      <c r="AB2476" t="n">
        <v>777</v>
      </c>
      <c r="AC2476" t="n">
        <v>784</v>
      </c>
      <c r="AD2476" t="n">
        <v>8</v>
      </c>
      <c r="AE2476" t="n">
        <v>8</v>
      </c>
      <c r="AF2476" t="n">
        <v>39</v>
      </c>
      <c r="AG2476" t="n">
        <v>39</v>
      </c>
      <c r="AH2476" t="n">
        <v>16</v>
      </c>
      <c r="AI2476" t="n">
        <v>16</v>
      </c>
      <c r="AJ2476" t="n">
        <v>6</v>
      </c>
      <c r="AK2476" t="n">
        <v>6</v>
      </c>
      <c r="AL2476" t="n">
        <v>21</v>
      </c>
      <c r="AM2476" t="n">
        <v>21</v>
      </c>
      <c r="AN2476" t="n">
        <v>6</v>
      </c>
      <c r="AO2476" t="n">
        <v>6</v>
      </c>
      <c r="AP2476" t="n">
        <v>0</v>
      </c>
      <c r="AQ2476" t="n">
        <v>0</v>
      </c>
      <c r="AR2476" t="inlineStr">
        <is>
          <t>No</t>
        </is>
      </c>
      <c r="AS2476" t="inlineStr">
        <is>
          <t>Yes</t>
        </is>
      </c>
      <c r="AT2476">
        <f>HYPERLINK("http://catalog.hathitrust.org/Record/001187023","HathiTrust Record")</f>
        <v/>
      </c>
      <c r="AU2476">
        <f>HYPERLINK("https://creighton-primo.hosted.exlibrisgroup.com/primo-explore/search?tab=default_tab&amp;search_scope=EVERYTHING&amp;vid=01CRU&amp;lang=en_US&amp;offset=0&amp;query=any,contains,991005354309702656","Catalog Record")</f>
        <v/>
      </c>
      <c r="AV2476">
        <f>HYPERLINK("http://www.worldcat.org/oclc/304931","WorldCat Record")</f>
        <v/>
      </c>
      <c r="AW2476" t="inlineStr">
        <is>
          <t>197551859:eng</t>
        </is>
      </c>
      <c r="AX2476" t="inlineStr">
        <is>
          <t>304931</t>
        </is>
      </c>
      <c r="AY2476" t="inlineStr">
        <is>
          <t>991005354309702656</t>
        </is>
      </c>
      <c r="AZ2476" t="inlineStr">
        <is>
          <t>991005354309702656</t>
        </is>
      </c>
      <c r="BA2476" t="inlineStr">
        <is>
          <t>2271344690002656</t>
        </is>
      </c>
      <c r="BB2476" t="inlineStr">
        <is>
          <t>BOOK</t>
        </is>
      </c>
      <c r="BE2476" t="inlineStr">
        <is>
          <t>32285002949344</t>
        </is>
      </c>
      <c r="BF2476" t="inlineStr">
        <is>
          <t>893613565</t>
        </is>
      </c>
    </row>
    <row r="2477">
      <c r="A2477" t="inlineStr">
        <is>
          <t>No</t>
        </is>
      </c>
      <c r="B2477" t="inlineStr">
        <is>
          <t>CURAL</t>
        </is>
      </c>
      <c r="C2477" t="inlineStr">
        <is>
          <t>SHELVES</t>
        </is>
      </c>
      <c r="D2477" t="inlineStr">
        <is>
          <t>PR5562 .B7 1910</t>
        </is>
      </c>
      <c r="E2477" t="inlineStr">
        <is>
          <t>0                      PR 5562000B  7           1910</t>
        </is>
      </c>
      <c r="F2477" t="inlineStr">
        <is>
          <t>A commentary on Tennyson's In memoriam, by A.C. Bradley...</t>
        </is>
      </c>
      <c r="H2477" t="inlineStr">
        <is>
          <t>No</t>
        </is>
      </c>
      <c r="I2477" t="inlineStr">
        <is>
          <t>1</t>
        </is>
      </c>
      <c r="J2477" t="inlineStr">
        <is>
          <t>No</t>
        </is>
      </c>
      <c r="K2477" t="inlineStr">
        <is>
          <t>No</t>
        </is>
      </c>
      <c r="L2477" t="inlineStr">
        <is>
          <t>0</t>
        </is>
      </c>
      <c r="M2477" t="inlineStr">
        <is>
          <t>Bradley, A. C. (Andrew Cecil), 1851-1935.</t>
        </is>
      </c>
      <c r="N2477" t="inlineStr">
        <is>
          <t>London, Macmillan and co., limited, 1929.</t>
        </is>
      </c>
      <c r="O2477" t="inlineStr">
        <is>
          <t>1929</t>
        </is>
      </c>
      <c r="P2477" t="inlineStr">
        <is>
          <t>3d ed., rev.</t>
        </is>
      </c>
      <c r="Q2477" t="inlineStr">
        <is>
          <t>eng</t>
        </is>
      </c>
      <c r="R2477" t="inlineStr">
        <is>
          <t>enk</t>
        </is>
      </c>
      <c r="T2477" t="inlineStr">
        <is>
          <t xml:space="preserve">PR </t>
        </is>
      </c>
      <c r="U2477" t="n">
        <v>1</v>
      </c>
      <c r="V2477" t="n">
        <v>1</v>
      </c>
      <c r="W2477" t="inlineStr">
        <is>
          <t>2003-04-27</t>
        </is>
      </c>
      <c r="X2477" t="inlineStr">
        <is>
          <t>2003-04-27</t>
        </is>
      </c>
      <c r="Y2477" t="inlineStr">
        <is>
          <t>1997-07-21</t>
        </is>
      </c>
      <c r="Z2477" t="inlineStr">
        <is>
          <t>1997-07-21</t>
        </is>
      </c>
      <c r="AA2477" t="n">
        <v>130</v>
      </c>
      <c r="AB2477" t="n">
        <v>118</v>
      </c>
      <c r="AC2477" t="n">
        <v>818</v>
      </c>
      <c r="AD2477" t="n">
        <v>1</v>
      </c>
      <c r="AE2477" t="n">
        <v>9</v>
      </c>
      <c r="AF2477" t="n">
        <v>7</v>
      </c>
      <c r="AG2477" t="n">
        <v>50</v>
      </c>
      <c r="AH2477" t="n">
        <v>1</v>
      </c>
      <c r="AI2477" t="n">
        <v>23</v>
      </c>
      <c r="AJ2477" t="n">
        <v>1</v>
      </c>
      <c r="AK2477" t="n">
        <v>7</v>
      </c>
      <c r="AL2477" t="n">
        <v>7</v>
      </c>
      <c r="AM2477" t="n">
        <v>25</v>
      </c>
      <c r="AN2477" t="n">
        <v>0</v>
      </c>
      <c r="AO2477" t="n">
        <v>8</v>
      </c>
      <c r="AP2477" t="n">
        <v>0</v>
      </c>
      <c r="AQ2477" t="n">
        <v>0</v>
      </c>
      <c r="AR2477" t="inlineStr">
        <is>
          <t>No</t>
        </is>
      </c>
      <c r="AS2477" t="inlineStr">
        <is>
          <t>No</t>
        </is>
      </c>
      <c r="AT2477">
        <f>HYPERLINK("http://catalog.hathitrust.org/Record/000818687","HathiTrust Record")</f>
        <v/>
      </c>
      <c r="AU2477">
        <f>HYPERLINK("https://creighton-primo.hosted.exlibrisgroup.com/primo-explore/search?tab=default_tab&amp;search_scope=EVERYTHING&amp;vid=01CRU&amp;lang=en_US&amp;offset=0&amp;query=any,contains,991002229219702656","Catalog Record")</f>
        <v/>
      </c>
      <c r="AV2477">
        <f>HYPERLINK("http://www.worldcat.org/oclc/293398","WorldCat Record")</f>
        <v/>
      </c>
      <c r="AW2477" t="inlineStr">
        <is>
          <t>1443532:eng</t>
        </is>
      </c>
      <c r="AX2477" t="inlineStr">
        <is>
          <t>293398</t>
        </is>
      </c>
      <c r="AY2477" t="inlineStr">
        <is>
          <t>991002229219702656</t>
        </is>
      </c>
      <c r="AZ2477" t="inlineStr">
        <is>
          <t>991002229219702656</t>
        </is>
      </c>
      <c r="BA2477" t="inlineStr">
        <is>
          <t>2266668570002656</t>
        </is>
      </c>
      <c r="BB2477" t="inlineStr">
        <is>
          <t>BOOK</t>
        </is>
      </c>
      <c r="BE2477" t="inlineStr">
        <is>
          <t>32285002949351</t>
        </is>
      </c>
      <c r="BF2477" t="inlineStr">
        <is>
          <t>893347260</t>
        </is>
      </c>
    </row>
    <row r="2478">
      <c r="A2478" t="inlineStr">
        <is>
          <t>No</t>
        </is>
      </c>
      <c r="B2478" t="inlineStr">
        <is>
          <t>CURAL</t>
        </is>
      </c>
      <c r="C2478" t="inlineStr">
        <is>
          <t>SHELVES</t>
        </is>
      </c>
      <c r="D2478" t="inlineStr">
        <is>
          <t>PR5580 .B4 1967</t>
        </is>
      </c>
      <c r="E2478" t="inlineStr">
        <is>
          <t>0                      PR 5580000B  4           1967</t>
        </is>
      </c>
      <c r="F2478" t="inlineStr">
        <is>
          <t>A Tennyson dictionary; the characters and place-names contained in the poetical and dramatic works of the poet, alphabetically arranged and described with synopses of the poems and plays.</t>
        </is>
      </c>
      <c r="H2478" t="inlineStr">
        <is>
          <t>No</t>
        </is>
      </c>
      <c r="I2478" t="inlineStr">
        <is>
          <t>1</t>
        </is>
      </c>
      <c r="J2478" t="inlineStr">
        <is>
          <t>No</t>
        </is>
      </c>
      <c r="K2478" t="inlineStr">
        <is>
          <t>No</t>
        </is>
      </c>
      <c r="L2478" t="inlineStr">
        <is>
          <t>0</t>
        </is>
      </c>
      <c r="M2478" t="inlineStr">
        <is>
          <t>Baker, Arthur E. (Arthur Ernest), 1876-1941.</t>
        </is>
      </c>
      <c r="N2478" t="inlineStr">
        <is>
          <t>New York, Haskell House, 1967.</t>
        </is>
      </c>
      <c r="O2478" t="inlineStr">
        <is>
          <t>1967</t>
        </is>
      </c>
      <c r="Q2478" t="inlineStr">
        <is>
          <t>eng</t>
        </is>
      </c>
      <c r="R2478" t="inlineStr">
        <is>
          <t>nyu</t>
        </is>
      </c>
      <c r="T2478" t="inlineStr">
        <is>
          <t xml:space="preserve">PR </t>
        </is>
      </c>
      <c r="U2478" t="n">
        <v>2</v>
      </c>
      <c r="V2478" t="n">
        <v>2</v>
      </c>
      <c r="W2478" t="inlineStr">
        <is>
          <t>2008-09-17</t>
        </is>
      </c>
      <c r="X2478" t="inlineStr">
        <is>
          <t>2008-09-17</t>
        </is>
      </c>
      <c r="Y2478" t="inlineStr">
        <is>
          <t>1992-03-10</t>
        </is>
      </c>
      <c r="Z2478" t="inlineStr">
        <is>
          <t>1992-03-10</t>
        </is>
      </c>
      <c r="AA2478" t="n">
        <v>417</v>
      </c>
      <c r="AB2478" t="n">
        <v>377</v>
      </c>
      <c r="AC2478" t="n">
        <v>585</v>
      </c>
      <c r="AD2478" t="n">
        <v>2</v>
      </c>
      <c r="AE2478" t="n">
        <v>5</v>
      </c>
      <c r="AF2478" t="n">
        <v>21</v>
      </c>
      <c r="AG2478" t="n">
        <v>30</v>
      </c>
      <c r="AH2478" t="n">
        <v>10</v>
      </c>
      <c r="AI2478" t="n">
        <v>13</v>
      </c>
      <c r="AJ2478" t="n">
        <v>5</v>
      </c>
      <c r="AK2478" t="n">
        <v>6</v>
      </c>
      <c r="AL2478" t="n">
        <v>13</v>
      </c>
      <c r="AM2478" t="n">
        <v>17</v>
      </c>
      <c r="AN2478" t="n">
        <v>1</v>
      </c>
      <c r="AO2478" t="n">
        <v>4</v>
      </c>
      <c r="AP2478" t="n">
        <v>0</v>
      </c>
      <c r="AQ2478" t="n">
        <v>0</v>
      </c>
      <c r="AR2478" t="inlineStr">
        <is>
          <t>No</t>
        </is>
      </c>
      <c r="AS2478" t="inlineStr">
        <is>
          <t>Yes</t>
        </is>
      </c>
      <c r="AT2478">
        <f>HYPERLINK("http://catalog.hathitrust.org/Record/004466858","HathiTrust Record")</f>
        <v/>
      </c>
      <c r="AU2478">
        <f>HYPERLINK("https://creighton-primo.hosted.exlibrisgroup.com/primo-explore/search?tab=default_tab&amp;search_scope=EVERYTHING&amp;vid=01CRU&amp;lang=en_US&amp;offset=0&amp;query=any,contains,991003191619702656","Catalog Record")</f>
        <v/>
      </c>
      <c r="AV2478">
        <f>HYPERLINK("http://www.worldcat.org/oclc/716830","WorldCat Record")</f>
        <v/>
      </c>
      <c r="AW2478" t="inlineStr">
        <is>
          <t>1689180:eng</t>
        </is>
      </c>
      <c r="AX2478" t="inlineStr">
        <is>
          <t>716830</t>
        </is>
      </c>
      <c r="AY2478" t="inlineStr">
        <is>
          <t>991003191619702656</t>
        </is>
      </c>
      <c r="AZ2478" t="inlineStr">
        <is>
          <t>991003191619702656</t>
        </is>
      </c>
      <c r="BA2478" t="inlineStr">
        <is>
          <t>2259345030002656</t>
        </is>
      </c>
      <c r="BB2478" t="inlineStr">
        <is>
          <t>BOOK</t>
        </is>
      </c>
      <c r="BE2478" t="inlineStr">
        <is>
          <t>32285000995125</t>
        </is>
      </c>
      <c r="BF2478" t="inlineStr">
        <is>
          <t>893416140</t>
        </is>
      </c>
    </row>
    <row r="2479">
      <c r="A2479" t="inlineStr">
        <is>
          <t>No</t>
        </is>
      </c>
      <c r="B2479" t="inlineStr">
        <is>
          <t>CURAL</t>
        </is>
      </c>
      <c r="C2479" t="inlineStr">
        <is>
          <t>SHELVES</t>
        </is>
      </c>
      <c r="D2479" t="inlineStr">
        <is>
          <t>PR5580 .W57</t>
        </is>
      </c>
      <c r="E2479" t="inlineStr">
        <is>
          <t>0                      PR 5580000W  57</t>
        </is>
      </c>
      <c r="F2479" t="inlineStr">
        <is>
          <t>A bibliography of the writings of Alfred, Lord Tennyson, by Thomas J. Wise.</t>
        </is>
      </c>
      <c r="H2479" t="inlineStr">
        <is>
          <t>No</t>
        </is>
      </c>
      <c r="I2479" t="inlineStr">
        <is>
          <t>1</t>
        </is>
      </c>
      <c r="J2479" t="inlineStr">
        <is>
          <t>No</t>
        </is>
      </c>
      <c r="K2479" t="inlineStr">
        <is>
          <t>No</t>
        </is>
      </c>
      <c r="L2479" t="inlineStr">
        <is>
          <t>0</t>
        </is>
      </c>
      <c r="M2479" t="inlineStr">
        <is>
          <t>Wise, Thomas James, 1859-1937.</t>
        </is>
      </c>
      <c r="N2479" t="inlineStr">
        <is>
          <t>London, Dawsons of Pall Mall, 1967.</t>
        </is>
      </c>
      <c r="O2479" t="inlineStr">
        <is>
          <t>1967</t>
        </is>
      </c>
      <c r="Q2479" t="inlineStr">
        <is>
          <t>eng</t>
        </is>
      </c>
      <c r="R2479" t="inlineStr">
        <is>
          <t>enk</t>
        </is>
      </c>
      <c r="T2479" t="inlineStr">
        <is>
          <t xml:space="preserve">PR </t>
        </is>
      </c>
      <c r="U2479" t="n">
        <v>0</v>
      </c>
      <c r="V2479" t="n">
        <v>0</v>
      </c>
      <c r="W2479" t="inlineStr">
        <is>
          <t>2003-01-23</t>
        </is>
      </c>
      <c r="X2479" t="inlineStr">
        <is>
          <t>2003-01-23</t>
        </is>
      </c>
      <c r="Y2479" t="inlineStr">
        <is>
          <t>1997-07-21</t>
        </is>
      </c>
      <c r="Z2479" t="inlineStr">
        <is>
          <t>1997-07-21</t>
        </is>
      </c>
      <c r="AA2479" t="n">
        <v>213</v>
      </c>
      <c r="AB2479" t="n">
        <v>154</v>
      </c>
      <c r="AC2479" t="n">
        <v>166</v>
      </c>
      <c r="AD2479" t="n">
        <v>2</v>
      </c>
      <c r="AE2479" t="n">
        <v>2</v>
      </c>
      <c r="AF2479" t="n">
        <v>8</v>
      </c>
      <c r="AG2479" t="n">
        <v>8</v>
      </c>
      <c r="AH2479" t="n">
        <v>1</v>
      </c>
      <c r="AI2479" t="n">
        <v>1</v>
      </c>
      <c r="AJ2479" t="n">
        <v>2</v>
      </c>
      <c r="AK2479" t="n">
        <v>2</v>
      </c>
      <c r="AL2479" t="n">
        <v>5</v>
      </c>
      <c r="AM2479" t="n">
        <v>5</v>
      </c>
      <c r="AN2479" t="n">
        <v>1</v>
      </c>
      <c r="AO2479" t="n">
        <v>1</v>
      </c>
      <c r="AP2479" t="n">
        <v>0</v>
      </c>
      <c r="AQ2479" t="n">
        <v>0</v>
      </c>
      <c r="AR2479" t="inlineStr">
        <is>
          <t>No</t>
        </is>
      </c>
      <c r="AS2479" t="inlineStr">
        <is>
          <t>Yes</t>
        </is>
      </c>
      <c r="AT2479">
        <f>HYPERLINK("http://catalog.hathitrust.org/Record/007123113","HathiTrust Record")</f>
        <v/>
      </c>
      <c r="AU2479">
        <f>HYPERLINK("https://creighton-primo.hosted.exlibrisgroup.com/primo-explore/search?tab=default_tab&amp;search_scope=EVERYTHING&amp;vid=01CRU&amp;lang=en_US&amp;offset=0&amp;query=any,contains,991003485609702656","Catalog Record")</f>
        <v/>
      </c>
      <c r="AV2479">
        <f>HYPERLINK("http://www.worldcat.org/oclc/1032757","WorldCat Record")</f>
        <v/>
      </c>
      <c r="AW2479" t="inlineStr">
        <is>
          <t>3372668424:eng</t>
        </is>
      </c>
      <c r="AX2479" t="inlineStr">
        <is>
          <t>1032757</t>
        </is>
      </c>
      <c r="AY2479" t="inlineStr">
        <is>
          <t>991003485609702656</t>
        </is>
      </c>
      <c r="AZ2479" t="inlineStr">
        <is>
          <t>991003485609702656</t>
        </is>
      </c>
      <c r="BA2479" t="inlineStr">
        <is>
          <t>2268079010002656</t>
        </is>
      </c>
      <c r="BB2479" t="inlineStr">
        <is>
          <t>BOOK</t>
        </is>
      </c>
      <c r="BE2479" t="inlineStr">
        <is>
          <t>32285002949484</t>
        </is>
      </c>
      <c r="BF2479" t="inlineStr">
        <is>
          <t>893717703</t>
        </is>
      </c>
    </row>
    <row r="2480">
      <c r="A2480" t="inlineStr">
        <is>
          <t>No</t>
        </is>
      </c>
      <c r="B2480" t="inlineStr">
        <is>
          <t>CURAL</t>
        </is>
      </c>
      <c r="C2480" t="inlineStr">
        <is>
          <t>SHELVES</t>
        </is>
      </c>
      <c r="D2480" t="inlineStr">
        <is>
          <t>PR5581 .K4 1971</t>
        </is>
      </c>
      <c r="E2480" t="inlineStr">
        <is>
          <t>0                      PR 5581000K  4           1971</t>
        </is>
      </c>
      <c r="F2480" t="inlineStr">
        <is>
          <t>Tennyson : the Leslie Stephen lecture delivered in the Senate House, Cambridge, on 11 November 1909 / by William Paton Ker.</t>
        </is>
      </c>
      <c r="H2480" t="inlineStr">
        <is>
          <t>No</t>
        </is>
      </c>
      <c r="I2480" t="inlineStr">
        <is>
          <t>1</t>
        </is>
      </c>
      <c r="J2480" t="inlineStr">
        <is>
          <t>No</t>
        </is>
      </c>
      <c r="K2480" t="inlineStr">
        <is>
          <t>No</t>
        </is>
      </c>
      <c r="L2480" t="inlineStr">
        <is>
          <t>0</t>
        </is>
      </c>
      <c r="M2480" t="inlineStr">
        <is>
          <t>Ker, W. P. (William Paton), 1855-1923.</t>
        </is>
      </c>
      <c r="N2480" t="inlineStr">
        <is>
          <t>[Folcroft, Pa.] Folcroft Library Editions, 1971.</t>
        </is>
      </c>
      <c r="O2480" t="inlineStr">
        <is>
          <t>1971</t>
        </is>
      </c>
      <c r="Q2480" t="inlineStr">
        <is>
          <t>eng</t>
        </is>
      </c>
      <c r="R2480" t="inlineStr">
        <is>
          <t xml:space="preserve">xx </t>
        </is>
      </c>
      <c r="T2480" t="inlineStr">
        <is>
          <t xml:space="preserve">PR </t>
        </is>
      </c>
      <c r="U2480" t="n">
        <v>2</v>
      </c>
      <c r="V2480" t="n">
        <v>2</v>
      </c>
      <c r="W2480" t="inlineStr">
        <is>
          <t>1998-04-05</t>
        </is>
      </c>
      <c r="X2480" t="inlineStr">
        <is>
          <t>1998-04-05</t>
        </is>
      </c>
      <c r="Y2480" t="inlineStr">
        <is>
          <t>1997-09-12</t>
        </is>
      </c>
      <c r="Z2480" t="inlineStr">
        <is>
          <t>1997-09-12</t>
        </is>
      </c>
      <c r="AA2480" t="n">
        <v>37</v>
      </c>
      <c r="AB2480" t="n">
        <v>35</v>
      </c>
      <c r="AC2480" t="n">
        <v>134</v>
      </c>
      <c r="AD2480" t="n">
        <v>1</v>
      </c>
      <c r="AE2480" t="n">
        <v>2</v>
      </c>
      <c r="AF2480" t="n">
        <v>2</v>
      </c>
      <c r="AG2480" t="n">
        <v>4</v>
      </c>
      <c r="AH2480" t="n">
        <v>1</v>
      </c>
      <c r="AI2480" t="n">
        <v>1</v>
      </c>
      <c r="AJ2480" t="n">
        <v>0</v>
      </c>
      <c r="AK2480" t="n">
        <v>1</v>
      </c>
      <c r="AL2480" t="n">
        <v>1</v>
      </c>
      <c r="AM2480" t="n">
        <v>1</v>
      </c>
      <c r="AN2480" t="n">
        <v>0</v>
      </c>
      <c r="AO2480" t="n">
        <v>1</v>
      </c>
      <c r="AP2480" t="n">
        <v>0</v>
      </c>
      <c r="AQ2480" t="n">
        <v>0</v>
      </c>
      <c r="AR2480" t="inlineStr">
        <is>
          <t>No</t>
        </is>
      </c>
      <c r="AS2480" t="inlineStr">
        <is>
          <t>No</t>
        </is>
      </c>
      <c r="AU2480">
        <f>HYPERLINK("https://creighton-primo.hosted.exlibrisgroup.com/primo-explore/search?tab=default_tab&amp;search_scope=EVERYTHING&amp;vid=01CRU&amp;lang=en_US&amp;offset=0&amp;query=any,contains,991003461449702656","Catalog Record")</f>
        <v/>
      </c>
      <c r="AV2480">
        <f>HYPERLINK("http://www.worldcat.org/oclc/1003271","WorldCat Record")</f>
        <v/>
      </c>
      <c r="AW2480" t="inlineStr">
        <is>
          <t>1306666:eng</t>
        </is>
      </c>
      <c r="AX2480" t="inlineStr">
        <is>
          <t>1003271</t>
        </is>
      </c>
      <c r="AY2480" t="inlineStr">
        <is>
          <t>991003461449702656</t>
        </is>
      </c>
      <c r="AZ2480" t="inlineStr">
        <is>
          <t>991003461449702656</t>
        </is>
      </c>
      <c r="BA2480" t="inlineStr">
        <is>
          <t>2255988670002656</t>
        </is>
      </c>
      <c r="BB2480" t="inlineStr">
        <is>
          <t>BOOK</t>
        </is>
      </c>
      <c r="BE2480" t="inlineStr">
        <is>
          <t>32285003170775</t>
        </is>
      </c>
      <c r="BF2480" t="inlineStr">
        <is>
          <t>893317994</t>
        </is>
      </c>
    </row>
    <row r="2481">
      <c r="A2481" t="inlineStr">
        <is>
          <t>No</t>
        </is>
      </c>
      <c r="B2481" t="inlineStr">
        <is>
          <t>CURAL</t>
        </is>
      </c>
      <c r="C2481" t="inlineStr">
        <is>
          <t>SHELVES</t>
        </is>
      </c>
      <c r="D2481" t="inlineStr">
        <is>
          <t>PR5581 .M3 1980</t>
        </is>
      </c>
      <c r="E2481" t="inlineStr">
        <is>
          <t>0                      PR 5581000M  3           1980</t>
        </is>
      </c>
      <c r="F2481" t="inlineStr">
        <is>
          <t>Tennyson, the unquiet heart / Robert Bernard Martin.</t>
        </is>
      </c>
      <c r="H2481" t="inlineStr">
        <is>
          <t>No</t>
        </is>
      </c>
      <c r="I2481" t="inlineStr">
        <is>
          <t>1</t>
        </is>
      </c>
      <c r="J2481" t="inlineStr">
        <is>
          <t>No</t>
        </is>
      </c>
      <c r="K2481" t="inlineStr">
        <is>
          <t>No</t>
        </is>
      </c>
      <c r="L2481" t="inlineStr">
        <is>
          <t>0</t>
        </is>
      </c>
      <c r="M2481" t="inlineStr">
        <is>
          <t>Martin, Robert Bernard.</t>
        </is>
      </c>
      <c r="N2481" t="inlineStr">
        <is>
          <t>Oxford : Clarendon Press ; New York : Oxford University Press, c1980.</t>
        </is>
      </c>
      <c r="O2481" t="inlineStr">
        <is>
          <t>1980</t>
        </is>
      </c>
      <c r="Q2481" t="inlineStr">
        <is>
          <t>eng</t>
        </is>
      </c>
      <c r="R2481" t="inlineStr">
        <is>
          <t>enk</t>
        </is>
      </c>
      <c r="T2481" t="inlineStr">
        <is>
          <t xml:space="preserve">PR </t>
        </is>
      </c>
      <c r="U2481" t="n">
        <v>8</v>
      </c>
      <c r="V2481" t="n">
        <v>8</v>
      </c>
      <c r="W2481" t="inlineStr">
        <is>
          <t>2001-10-29</t>
        </is>
      </c>
      <c r="X2481" t="inlineStr">
        <is>
          <t>2001-10-29</t>
        </is>
      </c>
      <c r="Y2481" t="inlineStr">
        <is>
          <t>1992-03-10</t>
        </is>
      </c>
      <c r="Z2481" t="inlineStr">
        <is>
          <t>1992-03-10</t>
        </is>
      </c>
      <c r="AA2481" t="n">
        <v>1407</v>
      </c>
      <c r="AB2481" t="n">
        <v>1134</v>
      </c>
      <c r="AC2481" t="n">
        <v>1185</v>
      </c>
      <c r="AD2481" t="n">
        <v>8</v>
      </c>
      <c r="AE2481" t="n">
        <v>8</v>
      </c>
      <c r="AF2481" t="n">
        <v>45</v>
      </c>
      <c r="AG2481" t="n">
        <v>45</v>
      </c>
      <c r="AH2481" t="n">
        <v>21</v>
      </c>
      <c r="AI2481" t="n">
        <v>21</v>
      </c>
      <c r="AJ2481" t="n">
        <v>10</v>
      </c>
      <c r="AK2481" t="n">
        <v>10</v>
      </c>
      <c r="AL2481" t="n">
        <v>21</v>
      </c>
      <c r="AM2481" t="n">
        <v>21</v>
      </c>
      <c r="AN2481" t="n">
        <v>6</v>
      </c>
      <c r="AO2481" t="n">
        <v>6</v>
      </c>
      <c r="AP2481" t="n">
        <v>0</v>
      </c>
      <c r="AQ2481" t="n">
        <v>0</v>
      </c>
      <c r="AR2481" t="inlineStr">
        <is>
          <t>No</t>
        </is>
      </c>
      <c r="AS2481" t="inlineStr">
        <is>
          <t>Yes</t>
        </is>
      </c>
      <c r="AT2481">
        <f>HYPERLINK("http://catalog.hathitrust.org/Record/000739433","HathiTrust Record")</f>
        <v/>
      </c>
      <c r="AU2481">
        <f>HYPERLINK("https://creighton-primo.hosted.exlibrisgroup.com/primo-explore/search?tab=default_tab&amp;search_scope=EVERYTHING&amp;vid=01CRU&amp;lang=en_US&amp;offset=0&amp;query=any,contains,991005381729702656","Catalog Record")</f>
        <v/>
      </c>
      <c r="AV2481">
        <f>HYPERLINK("http://www.worldcat.org/oclc/6249826","WorldCat Record")</f>
        <v/>
      </c>
      <c r="AW2481" t="inlineStr">
        <is>
          <t>21868957:eng</t>
        </is>
      </c>
      <c r="AX2481" t="inlineStr">
        <is>
          <t>6249826</t>
        </is>
      </c>
      <c r="AY2481" t="inlineStr">
        <is>
          <t>991005381729702656</t>
        </is>
      </c>
      <c r="AZ2481" t="inlineStr">
        <is>
          <t>991005381729702656</t>
        </is>
      </c>
      <c r="BA2481" t="inlineStr">
        <is>
          <t>2263051510002656</t>
        </is>
      </c>
      <c r="BB2481" t="inlineStr">
        <is>
          <t>BOOK</t>
        </is>
      </c>
      <c r="BD2481" t="inlineStr">
        <is>
          <t>9780198120728</t>
        </is>
      </c>
      <c r="BE2481" t="inlineStr">
        <is>
          <t>32285000995174</t>
        </is>
      </c>
      <c r="BF2481" t="inlineStr">
        <is>
          <t>893783593</t>
        </is>
      </c>
    </row>
    <row r="2482">
      <c r="A2482" t="inlineStr">
        <is>
          <t>No</t>
        </is>
      </c>
      <c r="B2482" t="inlineStr">
        <is>
          <t>CURAL</t>
        </is>
      </c>
      <c r="C2482" t="inlineStr">
        <is>
          <t>SHELVES</t>
        </is>
      </c>
      <c r="D2482" t="inlineStr">
        <is>
          <t>PR5581 .N53 1970</t>
        </is>
      </c>
      <c r="E2482" t="inlineStr">
        <is>
          <t>0                      PR 5581000N  53          1970</t>
        </is>
      </c>
      <c r="F2482" t="inlineStr">
        <is>
          <t>Tennyson : aspects of his life, character and poetry / London, Constable.</t>
        </is>
      </c>
      <c r="H2482" t="inlineStr">
        <is>
          <t>No</t>
        </is>
      </c>
      <c r="I2482" t="inlineStr">
        <is>
          <t>1</t>
        </is>
      </c>
      <c r="J2482" t="inlineStr">
        <is>
          <t>No</t>
        </is>
      </c>
      <c r="K2482" t="inlineStr">
        <is>
          <t>No</t>
        </is>
      </c>
      <c r="L2482" t="inlineStr">
        <is>
          <t>0</t>
        </is>
      </c>
      <c r="M2482" t="inlineStr">
        <is>
          <t>Nicolson, Harold, 1886-1968.</t>
        </is>
      </c>
      <c r="N2482" t="inlineStr">
        <is>
          <t>St. Clair Shores, Mich. : Scholarly Press, 1970.</t>
        </is>
      </c>
      <c r="O2482" t="inlineStr">
        <is>
          <t>1970</t>
        </is>
      </c>
      <c r="Q2482" t="inlineStr">
        <is>
          <t>eng</t>
        </is>
      </c>
      <c r="R2482" t="inlineStr">
        <is>
          <t>miu</t>
        </is>
      </c>
      <c r="T2482" t="inlineStr">
        <is>
          <t xml:space="preserve">PR </t>
        </is>
      </c>
      <c r="U2482" t="n">
        <v>5</v>
      </c>
      <c r="V2482" t="n">
        <v>5</v>
      </c>
      <c r="W2482" t="inlineStr">
        <is>
          <t>1994-03-26</t>
        </is>
      </c>
      <c r="X2482" t="inlineStr">
        <is>
          <t>1994-03-26</t>
        </is>
      </c>
      <c r="Y2482" t="inlineStr">
        <is>
          <t>1992-04-01</t>
        </is>
      </c>
      <c r="Z2482" t="inlineStr">
        <is>
          <t>1992-04-01</t>
        </is>
      </c>
      <c r="AA2482" t="n">
        <v>99</v>
      </c>
      <c r="AB2482" t="n">
        <v>92</v>
      </c>
      <c r="AC2482" t="n">
        <v>903</v>
      </c>
      <c r="AD2482" t="n">
        <v>1</v>
      </c>
      <c r="AE2482" t="n">
        <v>9</v>
      </c>
      <c r="AF2482" t="n">
        <v>5</v>
      </c>
      <c r="AG2482" t="n">
        <v>52</v>
      </c>
      <c r="AH2482" t="n">
        <v>3</v>
      </c>
      <c r="AI2482" t="n">
        <v>23</v>
      </c>
      <c r="AJ2482" t="n">
        <v>1</v>
      </c>
      <c r="AK2482" t="n">
        <v>11</v>
      </c>
      <c r="AL2482" t="n">
        <v>2</v>
      </c>
      <c r="AM2482" t="n">
        <v>23</v>
      </c>
      <c r="AN2482" t="n">
        <v>0</v>
      </c>
      <c r="AO2482" t="n">
        <v>8</v>
      </c>
      <c r="AP2482" t="n">
        <v>0</v>
      </c>
      <c r="AQ2482" t="n">
        <v>0</v>
      </c>
      <c r="AR2482" t="inlineStr">
        <is>
          <t>No</t>
        </is>
      </c>
      <c r="AS2482" t="inlineStr">
        <is>
          <t>Yes</t>
        </is>
      </c>
      <c r="AT2482">
        <f>HYPERLINK("http://catalog.hathitrust.org/Record/007586354","HathiTrust Record")</f>
        <v/>
      </c>
      <c r="AU2482">
        <f>HYPERLINK("https://creighton-primo.hosted.exlibrisgroup.com/primo-explore/search?tab=default_tab&amp;search_scope=EVERYTHING&amp;vid=01CRU&amp;lang=en_US&amp;offset=0&amp;query=any,contains,991000679189702656","Catalog Record")</f>
        <v/>
      </c>
      <c r="AV2482">
        <f>HYPERLINK("http://www.worldcat.org/oclc/120947","WorldCat Record")</f>
        <v/>
      </c>
      <c r="AW2482" t="inlineStr">
        <is>
          <t>104339974:eng</t>
        </is>
      </c>
      <c r="AX2482" t="inlineStr">
        <is>
          <t>120947</t>
        </is>
      </c>
      <c r="AY2482" t="inlineStr">
        <is>
          <t>991000679189702656</t>
        </is>
      </c>
      <c r="AZ2482" t="inlineStr">
        <is>
          <t>991000679189702656</t>
        </is>
      </c>
      <c r="BA2482" t="inlineStr">
        <is>
          <t>2262073030002656</t>
        </is>
      </c>
      <c r="BB2482" t="inlineStr">
        <is>
          <t>BOOK</t>
        </is>
      </c>
      <c r="BD2482" t="inlineStr">
        <is>
          <t>9780403008063</t>
        </is>
      </c>
      <c r="BE2482" t="inlineStr">
        <is>
          <t>32285001030914</t>
        </is>
      </c>
      <c r="BF2482" t="inlineStr">
        <is>
          <t>893534269</t>
        </is>
      </c>
    </row>
    <row r="2483">
      <c r="A2483" t="inlineStr">
        <is>
          <t>No</t>
        </is>
      </c>
      <c r="B2483" t="inlineStr">
        <is>
          <t>CURAL</t>
        </is>
      </c>
      <c r="C2483" t="inlineStr">
        <is>
          <t>SHELVES</t>
        </is>
      </c>
      <c r="D2483" t="inlineStr">
        <is>
          <t>PR5581 .P4</t>
        </is>
      </c>
      <c r="E2483" t="inlineStr">
        <is>
          <t>0                      PR 5581000P  4</t>
        </is>
      </c>
      <c r="F2483" t="inlineStr">
        <is>
          <t>Tennyson : the early poems.</t>
        </is>
      </c>
      <c r="H2483" t="inlineStr">
        <is>
          <t>No</t>
        </is>
      </c>
      <c r="I2483" t="inlineStr">
        <is>
          <t>1</t>
        </is>
      </c>
      <c r="J2483" t="inlineStr">
        <is>
          <t>No</t>
        </is>
      </c>
      <c r="K2483" t="inlineStr">
        <is>
          <t>No</t>
        </is>
      </c>
      <c r="L2483" t="inlineStr">
        <is>
          <t>0</t>
        </is>
      </c>
      <c r="M2483" t="inlineStr">
        <is>
          <t>Pettigrew, John.</t>
        </is>
      </c>
      <c r="N2483" t="inlineStr">
        <is>
          <t>London : Edward Arnold, 1970.</t>
        </is>
      </c>
      <c r="O2483" t="inlineStr">
        <is>
          <t>1970</t>
        </is>
      </c>
      <c r="Q2483" t="inlineStr">
        <is>
          <t>eng</t>
        </is>
      </c>
      <c r="R2483" t="inlineStr">
        <is>
          <t>enk</t>
        </is>
      </c>
      <c r="S2483" t="inlineStr">
        <is>
          <t>Studies in English literature ; no. 41</t>
        </is>
      </c>
      <c r="T2483" t="inlineStr">
        <is>
          <t xml:space="preserve">PR </t>
        </is>
      </c>
      <c r="U2483" t="n">
        <v>1</v>
      </c>
      <c r="V2483" t="n">
        <v>1</v>
      </c>
      <c r="W2483" t="inlineStr">
        <is>
          <t>1997-05-08</t>
        </is>
      </c>
      <c r="X2483" t="inlineStr">
        <is>
          <t>1997-05-08</t>
        </is>
      </c>
      <c r="Y2483" t="inlineStr">
        <is>
          <t>1994-01-24</t>
        </is>
      </c>
      <c r="Z2483" t="inlineStr">
        <is>
          <t>1994-01-24</t>
        </is>
      </c>
      <c r="AA2483" t="n">
        <v>294</v>
      </c>
      <c r="AB2483" t="n">
        <v>129</v>
      </c>
      <c r="AC2483" t="n">
        <v>131</v>
      </c>
      <c r="AD2483" t="n">
        <v>2</v>
      </c>
      <c r="AE2483" t="n">
        <v>2</v>
      </c>
      <c r="AF2483" t="n">
        <v>6</v>
      </c>
      <c r="AG2483" t="n">
        <v>6</v>
      </c>
      <c r="AH2483" t="n">
        <v>0</v>
      </c>
      <c r="AI2483" t="n">
        <v>0</v>
      </c>
      <c r="AJ2483" t="n">
        <v>1</v>
      </c>
      <c r="AK2483" t="n">
        <v>1</v>
      </c>
      <c r="AL2483" t="n">
        <v>4</v>
      </c>
      <c r="AM2483" t="n">
        <v>4</v>
      </c>
      <c r="AN2483" t="n">
        <v>1</v>
      </c>
      <c r="AO2483" t="n">
        <v>1</v>
      </c>
      <c r="AP2483" t="n">
        <v>0</v>
      </c>
      <c r="AQ2483" t="n">
        <v>0</v>
      </c>
      <c r="AR2483" t="inlineStr">
        <is>
          <t>No</t>
        </is>
      </c>
      <c r="AS2483" t="inlineStr">
        <is>
          <t>Yes</t>
        </is>
      </c>
      <c r="AT2483">
        <f>HYPERLINK("http://catalog.hathitrust.org/Record/001024696","HathiTrust Record")</f>
        <v/>
      </c>
      <c r="AU2483">
        <f>HYPERLINK("https://creighton-primo.hosted.exlibrisgroup.com/primo-explore/search?tab=default_tab&amp;search_scope=EVERYTHING&amp;vid=01CRU&amp;lang=en_US&amp;offset=0&amp;query=any,contains,991000719639702656","Catalog Record")</f>
        <v/>
      </c>
      <c r="AV2483">
        <f>HYPERLINK("http://www.worldcat.org/oclc/126350","WorldCat Record")</f>
        <v/>
      </c>
      <c r="AW2483" t="inlineStr">
        <is>
          <t>1252491:eng</t>
        </is>
      </c>
      <c r="AX2483" t="inlineStr">
        <is>
          <t>126350</t>
        </is>
      </c>
      <c r="AY2483" t="inlineStr">
        <is>
          <t>991000719639702656</t>
        </is>
      </c>
      <c r="AZ2483" t="inlineStr">
        <is>
          <t>991000719639702656</t>
        </is>
      </c>
      <c r="BA2483" t="inlineStr">
        <is>
          <t>2258397820002656</t>
        </is>
      </c>
      <c r="BB2483" t="inlineStr">
        <is>
          <t>BOOK</t>
        </is>
      </c>
      <c r="BD2483" t="inlineStr">
        <is>
          <t>9780713155013</t>
        </is>
      </c>
      <c r="BE2483" t="inlineStr">
        <is>
          <t>32285001835650</t>
        </is>
      </c>
      <c r="BF2483" t="inlineStr">
        <is>
          <t>893884692</t>
        </is>
      </c>
    </row>
    <row r="2484">
      <c r="A2484" t="inlineStr">
        <is>
          <t>No</t>
        </is>
      </c>
      <c r="B2484" t="inlineStr">
        <is>
          <t>CURAL</t>
        </is>
      </c>
      <c r="C2484" t="inlineStr">
        <is>
          <t>SHELVES</t>
        </is>
      </c>
      <c r="D2484" t="inlineStr">
        <is>
          <t>PR5581 .P5 1984</t>
        </is>
      </c>
      <c r="E2484" t="inlineStr">
        <is>
          <t>0                      PR 5581000P  5           1984</t>
        </is>
      </c>
      <c r="F2484" t="inlineStr">
        <is>
          <t>A Tennyson companion : life and works / F.B. Pinion.</t>
        </is>
      </c>
      <c r="H2484" t="inlineStr">
        <is>
          <t>No</t>
        </is>
      </c>
      <c r="I2484" t="inlineStr">
        <is>
          <t>1</t>
        </is>
      </c>
      <c r="J2484" t="inlineStr">
        <is>
          <t>No</t>
        </is>
      </c>
      <c r="K2484" t="inlineStr">
        <is>
          <t>No</t>
        </is>
      </c>
      <c r="L2484" t="inlineStr">
        <is>
          <t>0</t>
        </is>
      </c>
      <c r="M2484" t="inlineStr">
        <is>
          <t>Pinion, F. B.</t>
        </is>
      </c>
      <c r="N2484" t="inlineStr">
        <is>
          <t>New York : St. Martin's Press, 1984.</t>
        </is>
      </c>
      <c r="O2484" t="inlineStr">
        <is>
          <t>1984</t>
        </is>
      </c>
      <c r="Q2484" t="inlineStr">
        <is>
          <t>eng</t>
        </is>
      </c>
      <c r="R2484" t="inlineStr">
        <is>
          <t>nyu</t>
        </is>
      </c>
      <c r="T2484" t="inlineStr">
        <is>
          <t xml:space="preserve">PR </t>
        </is>
      </c>
      <c r="U2484" t="n">
        <v>4</v>
      </c>
      <c r="V2484" t="n">
        <v>4</v>
      </c>
      <c r="W2484" t="inlineStr">
        <is>
          <t>2008-09-17</t>
        </is>
      </c>
      <c r="X2484" t="inlineStr">
        <is>
          <t>2008-09-17</t>
        </is>
      </c>
      <c r="Y2484" t="inlineStr">
        <is>
          <t>1992-03-10</t>
        </is>
      </c>
      <c r="Z2484" t="inlineStr">
        <is>
          <t>1992-03-10</t>
        </is>
      </c>
      <c r="AA2484" t="n">
        <v>431</v>
      </c>
      <c r="AB2484" t="n">
        <v>405</v>
      </c>
      <c r="AC2484" t="n">
        <v>476</v>
      </c>
      <c r="AD2484" t="n">
        <v>1</v>
      </c>
      <c r="AE2484" t="n">
        <v>3</v>
      </c>
      <c r="AF2484" t="n">
        <v>12</v>
      </c>
      <c r="AG2484" t="n">
        <v>15</v>
      </c>
      <c r="AH2484" t="n">
        <v>6</v>
      </c>
      <c r="AI2484" t="n">
        <v>7</v>
      </c>
      <c r="AJ2484" t="n">
        <v>4</v>
      </c>
      <c r="AK2484" t="n">
        <v>5</v>
      </c>
      <c r="AL2484" t="n">
        <v>7</v>
      </c>
      <c r="AM2484" t="n">
        <v>7</v>
      </c>
      <c r="AN2484" t="n">
        <v>0</v>
      </c>
      <c r="AO2484" t="n">
        <v>2</v>
      </c>
      <c r="AP2484" t="n">
        <v>0</v>
      </c>
      <c r="AQ2484" t="n">
        <v>0</v>
      </c>
      <c r="AR2484" t="inlineStr">
        <is>
          <t>No</t>
        </is>
      </c>
      <c r="AS2484" t="inlineStr">
        <is>
          <t>No</t>
        </is>
      </c>
      <c r="AU2484">
        <f>HYPERLINK("https://creighton-primo.hosted.exlibrisgroup.com/primo-explore/search?tab=default_tab&amp;search_scope=EVERYTHING&amp;vid=01CRU&amp;lang=en_US&amp;offset=0&amp;query=any,contains,991000389359702656","Catalog Record")</f>
        <v/>
      </c>
      <c r="AV2484">
        <f>HYPERLINK("http://www.worldcat.org/oclc/10533641","WorldCat Record")</f>
        <v/>
      </c>
      <c r="AW2484" t="inlineStr">
        <is>
          <t>815127081:eng</t>
        </is>
      </c>
      <c r="AX2484" t="inlineStr">
        <is>
          <t>10533641</t>
        </is>
      </c>
      <c r="AY2484" t="inlineStr">
        <is>
          <t>991000389359702656</t>
        </is>
      </c>
      <c r="AZ2484" t="inlineStr">
        <is>
          <t>991000389359702656</t>
        </is>
      </c>
      <c r="BA2484" t="inlineStr">
        <is>
          <t>2257453510002656</t>
        </is>
      </c>
      <c r="BB2484" t="inlineStr">
        <is>
          <t>BOOK</t>
        </is>
      </c>
      <c r="BD2484" t="inlineStr">
        <is>
          <t>9780312791070</t>
        </is>
      </c>
      <c r="BE2484" t="inlineStr">
        <is>
          <t>32285000995190</t>
        </is>
      </c>
      <c r="BF2484" t="inlineStr">
        <is>
          <t>893345603</t>
        </is>
      </c>
    </row>
    <row r="2485">
      <c r="A2485" t="inlineStr">
        <is>
          <t>No</t>
        </is>
      </c>
      <c r="B2485" t="inlineStr">
        <is>
          <t>CURAL</t>
        </is>
      </c>
      <c r="C2485" t="inlineStr">
        <is>
          <t>SHELVES</t>
        </is>
      </c>
      <c r="D2485" t="inlineStr">
        <is>
          <t>PR5581 .R54</t>
        </is>
      </c>
      <c r="E2485" t="inlineStr">
        <is>
          <t>0                      PR 5581000R  54</t>
        </is>
      </c>
      <c r="F2485" t="inlineStr">
        <is>
          <t>Tennyson [by] Christopher Ricks.</t>
        </is>
      </c>
      <c r="H2485" t="inlineStr">
        <is>
          <t>No</t>
        </is>
      </c>
      <c r="I2485" t="inlineStr">
        <is>
          <t>1</t>
        </is>
      </c>
      <c r="J2485" t="inlineStr">
        <is>
          <t>No</t>
        </is>
      </c>
      <c r="K2485" t="inlineStr">
        <is>
          <t>No</t>
        </is>
      </c>
      <c r="L2485" t="inlineStr">
        <is>
          <t>0</t>
        </is>
      </c>
      <c r="M2485" t="inlineStr">
        <is>
          <t>Ricks, Christopher, 1933-</t>
        </is>
      </c>
      <c r="N2485" t="inlineStr">
        <is>
          <t>New York, Macmillan [1972]</t>
        </is>
      </c>
      <c r="O2485" t="inlineStr">
        <is>
          <t>1972</t>
        </is>
      </c>
      <c r="Q2485" t="inlineStr">
        <is>
          <t>eng</t>
        </is>
      </c>
      <c r="R2485" t="inlineStr">
        <is>
          <t>nyu</t>
        </is>
      </c>
      <c r="S2485" t="inlineStr">
        <is>
          <t>Masters of world literature series</t>
        </is>
      </c>
      <c r="T2485" t="inlineStr">
        <is>
          <t xml:space="preserve">PR </t>
        </is>
      </c>
      <c r="U2485" t="n">
        <v>1</v>
      </c>
      <c r="V2485" t="n">
        <v>1</v>
      </c>
      <c r="W2485" t="inlineStr">
        <is>
          <t>1993-02-15</t>
        </is>
      </c>
      <c r="X2485" t="inlineStr">
        <is>
          <t>1993-02-15</t>
        </is>
      </c>
      <c r="Y2485" t="inlineStr">
        <is>
          <t>1992-04-02</t>
        </is>
      </c>
      <c r="Z2485" t="inlineStr">
        <is>
          <t>1992-04-02</t>
        </is>
      </c>
      <c r="AA2485" t="n">
        <v>1144</v>
      </c>
      <c r="AB2485" t="n">
        <v>1035</v>
      </c>
      <c r="AC2485" t="n">
        <v>1241</v>
      </c>
      <c r="AD2485" t="n">
        <v>10</v>
      </c>
      <c r="AE2485" t="n">
        <v>11</v>
      </c>
      <c r="AF2485" t="n">
        <v>39</v>
      </c>
      <c r="AG2485" t="n">
        <v>45</v>
      </c>
      <c r="AH2485" t="n">
        <v>16</v>
      </c>
      <c r="AI2485" t="n">
        <v>19</v>
      </c>
      <c r="AJ2485" t="n">
        <v>7</v>
      </c>
      <c r="AK2485" t="n">
        <v>8</v>
      </c>
      <c r="AL2485" t="n">
        <v>18</v>
      </c>
      <c r="AM2485" t="n">
        <v>20</v>
      </c>
      <c r="AN2485" t="n">
        <v>7</v>
      </c>
      <c r="AO2485" t="n">
        <v>8</v>
      </c>
      <c r="AP2485" t="n">
        <v>0</v>
      </c>
      <c r="AQ2485" t="n">
        <v>0</v>
      </c>
      <c r="AR2485" t="inlineStr">
        <is>
          <t>Yes</t>
        </is>
      </c>
      <c r="AS2485" t="inlineStr">
        <is>
          <t>No</t>
        </is>
      </c>
      <c r="AT2485">
        <f>HYPERLINK("http://catalog.hathitrust.org/Record/001187061","HathiTrust Record")</f>
        <v/>
      </c>
      <c r="AU2485">
        <f>HYPERLINK("https://creighton-primo.hosted.exlibrisgroup.com/primo-explore/search?tab=default_tab&amp;search_scope=EVERYTHING&amp;vid=01CRU&amp;lang=en_US&amp;offset=0&amp;query=any,contains,991002273679702656","Catalog Record")</f>
        <v/>
      </c>
      <c r="AV2485">
        <f>HYPERLINK("http://www.worldcat.org/oclc/309395","WorldCat Record")</f>
        <v/>
      </c>
      <c r="AW2485" t="inlineStr">
        <is>
          <t>2242252914:eng</t>
        </is>
      </c>
      <c r="AX2485" t="inlineStr">
        <is>
          <t>309395</t>
        </is>
      </c>
      <c r="AY2485" t="inlineStr">
        <is>
          <t>991002273679702656</t>
        </is>
      </c>
      <c r="AZ2485" t="inlineStr">
        <is>
          <t>991002273679702656</t>
        </is>
      </c>
      <c r="BA2485" t="inlineStr">
        <is>
          <t>2264668620002656</t>
        </is>
      </c>
      <c r="BB2485" t="inlineStr">
        <is>
          <t>BOOK</t>
        </is>
      </c>
      <c r="BE2485" t="inlineStr">
        <is>
          <t>32285001050896</t>
        </is>
      </c>
      <c r="BF2485" t="inlineStr">
        <is>
          <t>893804413</t>
        </is>
      </c>
    </row>
    <row r="2486">
      <c r="A2486" t="inlineStr">
        <is>
          <t>No</t>
        </is>
      </c>
      <c r="B2486" t="inlineStr">
        <is>
          <t>CURAL</t>
        </is>
      </c>
      <c r="C2486" t="inlineStr">
        <is>
          <t>SHELVES</t>
        </is>
      </c>
      <c r="D2486" t="inlineStr">
        <is>
          <t>PR5581 .S35 1971</t>
        </is>
      </c>
      <c r="E2486" t="inlineStr">
        <is>
          <t>0                      PR 5581000S  35          1971</t>
        </is>
      </c>
      <c r="F2486" t="inlineStr">
        <is>
          <t>Tennyson as a thinker.</t>
        </is>
      </c>
      <c r="H2486" t="inlineStr">
        <is>
          <t>No</t>
        </is>
      </c>
      <c r="I2486" t="inlineStr">
        <is>
          <t>1</t>
        </is>
      </c>
      <c r="J2486" t="inlineStr">
        <is>
          <t>No</t>
        </is>
      </c>
      <c r="K2486" t="inlineStr">
        <is>
          <t>No</t>
        </is>
      </c>
      <c r="L2486" t="inlineStr">
        <is>
          <t>0</t>
        </is>
      </c>
      <c r="M2486" t="inlineStr">
        <is>
          <t>Salt, Henry S., 1851-1939.</t>
        </is>
      </c>
      <c r="N2486" t="inlineStr">
        <is>
          <t>[Folcroft, Pa., Folcroft Press] 1971.</t>
        </is>
      </c>
      <c r="O2486" t="inlineStr">
        <is>
          <t>1971</t>
        </is>
      </c>
      <c r="Q2486" t="inlineStr">
        <is>
          <t>eng</t>
        </is>
      </c>
      <c r="R2486" t="inlineStr">
        <is>
          <t xml:space="preserve">xx </t>
        </is>
      </c>
      <c r="S2486" t="inlineStr">
        <is>
          <t>Folcroft Library editions</t>
        </is>
      </c>
      <c r="T2486" t="inlineStr">
        <is>
          <t xml:space="preserve">PR </t>
        </is>
      </c>
      <c r="U2486" t="n">
        <v>2</v>
      </c>
      <c r="V2486" t="n">
        <v>2</v>
      </c>
      <c r="W2486" t="inlineStr">
        <is>
          <t>1998-04-05</t>
        </is>
      </c>
      <c r="X2486" t="inlineStr">
        <is>
          <t>1998-04-05</t>
        </is>
      </c>
      <c r="Y2486" t="inlineStr">
        <is>
          <t>1997-07-21</t>
        </is>
      </c>
      <c r="Z2486" t="inlineStr">
        <is>
          <t>1997-07-21</t>
        </is>
      </c>
      <c r="AA2486" t="n">
        <v>52</v>
      </c>
      <c r="AB2486" t="n">
        <v>49</v>
      </c>
      <c r="AC2486" t="n">
        <v>107</v>
      </c>
      <c r="AD2486" t="n">
        <v>3</v>
      </c>
      <c r="AE2486" t="n">
        <v>3</v>
      </c>
      <c r="AF2486" t="n">
        <v>2</v>
      </c>
      <c r="AG2486" t="n">
        <v>3</v>
      </c>
      <c r="AH2486" t="n">
        <v>0</v>
      </c>
      <c r="AI2486" t="n">
        <v>1</v>
      </c>
      <c r="AJ2486" t="n">
        <v>0</v>
      </c>
      <c r="AK2486" t="n">
        <v>0</v>
      </c>
      <c r="AL2486" t="n">
        <v>0</v>
      </c>
      <c r="AM2486" t="n">
        <v>0</v>
      </c>
      <c r="AN2486" t="n">
        <v>2</v>
      </c>
      <c r="AO2486" t="n">
        <v>2</v>
      </c>
      <c r="AP2486" t="n">
        <v>0</v>
      </c>
      <c r="AQ2486" t="n">
        <v>0</v>
      </c>
      <c r="AR2486" t="inlineStr">
        <is>
          <t>No</t>
        </is>
      </c>
      <c r="AS2486" t="inlineStr">
        <is>
          <t>Yes</t>
        </is>
      </c>
      <c r="AT2486">
        <f>HYPERLINK("http://catalog.hathitrust.org/Record/102109864","HathiTrust Record")</f>
        <v/>
      </c>
      <c r="AU2486">
        <f>HYPERLINK("https://creighton-primo.hosted.exlibrisgroup.com/primo-explore/search?tab=default_tab&amp;search_scope=EVERYTHING&amp;vid=01CRU&amp;lang=en_US&amp;offset=0&amp;query=any,contains,991001095949702656","Catalog Record")</f>
        <v/>
      </c>
      <c r="AV2486">
        <f>HYPERLINK("http://www.worldcat.org/oclc/183220","WorldCat Record")</f>
        <v/>
      </c>
      <c r="AW2486" t="inlineStr">
        <is>
          <t>1328449:eng</t>
        </is>
      </c>
      <c r="AX2486" t="inlineStr">
        <is>
          <t>183220</t>
        </is>
      </c>
      <c r="AY2486" t="inlineStr">
        <is>
          <t>991001095949702656</t>
        </is>
      </c>
      <c r="AZ2486" t="inlineStr">
        <is>
          <t>991001095949702656</t>
        </is>
      </c>
      <c r="BA2486" t="inlineStr">
        <is>
          <t>2269967270002656</t>
        </is>
      </c>
      <c r="BB2486" t="inlineStr">
        <is>
          <t>BOOK</t>
        </is>
      </c>
      <c r="BE2486" t="inlineStr">
        <is>
          <t>32285002949609</t>
        </is>
      </c>
      <c r="BF2486" t="inlineStr">
        <is>
          <t>893315508</t>
        </is>
      </c>
    </row>
    <row r="2487">
      <c r="A2487" t="inlineStr">
        <is>
          <t>No</t>
        </is>
      </c>
      <c r="B2487" t="inlineStr">
        <is>
          <t>CURAL</t>
        </is>
      </c>
      <c r="C2487" t="inlineStr">
        <is>
          <t>SHELVES</t>
        </is>
      </c>
      <c r="D2487" t="inlineStr">
        <is>
          <t>PR5581 .S52 1989</t>
        </is>
      </c>
      <c r="E2487" t="inlineStr">
        <is>
          <t>0                      PR 5581000S  52          1989</t>
        </is>
      </c>
      <c r="F2487" t="inlineStr">
        <is>
          <t>An annotated critical bibliography of Alfred, Lord Tennyson / Marion Shaw with the assistance of Clifton U. Snaith.</t>
        </is>
      </c>
      <c r="H2487" t="inlineStr">
        <is>
          <t>No</t>
        </is>
      </c>
      <c r="I2487" t="inlineStr">
        <is>
          <t>1</t>
        </is>
      </c>
      <c r="J2487" t="inlineStr">
        <is>
          <t>No</t>
        </is>
      </c>
      <c r="K2487" t="inlineStr">
        <is>
          <t>No</t>
        </is>
      </c>
      <c r="L2487" t="inlineStr">
        <is>
          <t>0</t>
        </is>
      </c>
      <c r="M2487" t="inlineStr">
        <is>
          <t>Shaw, Marion.</t>
        </is>
      </c>
      <c r="N2487" t="inlineStr">
        <is>
          <t>London : Harvester Wheatsheaf ; New York : St. Martin's Press, 1989.</t>
        </is>
      </c>
      <c r="O2487" t="inlineStr">
        <is>
          <t>1989</t>
        </is>
      </c>
      <c r="Q2487" t="inlineStr">
        <is>
          <t>eng</t>
        </is>
      </c>
      <c r="R2487" t="inlineStr">
        <is>
          <t>enk</t>
        </is>
      </c>
      <c r="T2487" t="inlineStr">
        <is>
          <t xml:space="preserve">PR </t>
        </is>
      </c>
      <c r="U2487" t="n">
        <v>6</v>
      </c>
      <c r="V2487" t="n">
        <v>6</v>
      </c>
      <c r="W2487" t="inlineStr">
        <is>
          <t>1998-10-08</t>
        </is>
      </c>
      <c r="X2487" t="inlineStr">
        <is>
          <t>1998-10-08</t>
        </is>
      </c>
      <c r="Y2487" t="inlineStr">
        <is>
          <t>1990-04-07</t>
        </is>
      </c>
      <c r="Z2487" t="inlineStr">
        <is>
          <t>1990-04-07</t>
        </is>
      </c>
      <c r="AA2487" t="n">
        <v>355</v>
      </c>
      <c r="AB2487" t="n">
        <v>266</v>
      </c>
      <c r="AC2487" t="n">
        <v>271</v>
      </c>
      <c r="AD2487" t="n">
        <v>2</v>
      </c>
      <c r="AE2487" t="n">
        <v>2</v>
      </c>
      <c r="AF2487" t="n">
        <v>20</v>
      </c>
      <c r="AG2487" t="n">
        <v>20</v>
      </c>
      <c r="AH2487" t="n">
        <v>9</v>
      </c>
      <c r="AI2487" t="n">
        <v>9</v>
      </c>
      <c r="AJ2487" t="n">
        <v>6</v>
      </c>
      <c r="AK2487" t="n">
        <v>6</v>
      </c>
      <c r="AL2487" t="n">
        <v>12</v>
      </c>
      <c r="AM2487" t="n">
        <v>12</v>
      </c>
      <c r="AN2487" t="n">
        <v>1</v>
      </c>
      <c r="AO2487" t="n">
        <v>1</v>
      </c>
      <c r="AP2487" t="n">
        <v>0</v>
      </c>
      <c r="AQ2487" t="n">
        <v>0</v>
      </c>
      <c r="AR2487" t="inlineStr">
        <is>
          <t>No</t>
        </is>
      </c>
      <c r="AS2487" t="inlineStr">
        <is>
          <t>No</t>
        </is>
      </c>
      <c r="AU2487">
        <f>HYPERLINK("https://creighton-primo.hosted.exlibrisgroup.com/primo-explore/search?tab=default_tab&amp;search_scope=EVERYTHING&amp;vid=01CRU&amp;lang=en_US&amp;offset=0&amp;query=any,contains,991001512269702656","Catalog Record")</f>
        <v/>
      </c>
      <c r="AV2487">
        <f>HYPERLINK("http://www.worldcat.org/oclc/19919982","WorldCat Record")</f>
        <v/>
      </c>
      <c r="AW2487" t="inlineStr">
        <is>
          <t>3372509175:eng</t>
        </is>
      </c>
      <c r="AX2487" t="inlineStr">
        <is>
          <t>19919982</t>
        </is>
      </c>
      <c r="AY2487" t="inlineStr">
        <is>
          <t>991001512269702656</t>
        </is>
      </c>
      <c r="AZ2487" t="inlineStr">
        <is>
          <t>991001512269702656</t>
        </is>
      </c>
      <c r="BA2487" t="inlineStr">
        <is>
          <t>2256604660002656</t>
        </is>
      </c>
      <c r="BB2487" t="inlineStr">
        <is>
          <t>BOOK</t>
        </is>
      </c>
      <c r="BD2487" t="inlineStr">
        <is>
          <t>9780312019624</t>
        </is>
      </c>
      <c r="BE2487" t="inlineStr">
        <is>
          <t>32285000093764</t>
        </is>
      </c>
      <c r="BF2487" t="inlineStr">
        <is>
          <t>893315817</t>
        </is>
      </c>
    </row>
    <row r="2488">
      <c r="A2488" t="inlineStr">
        <is>
          <t>No</t>
        </is>
      </c>
      <c r="B2488" t="inlineStr">
        <is>
          <t>CURAL</t>
        </is>
      </c>
      <c r="C2488" t="inlineStr">
        <is>
          <t>SHELVES</t>
        </is>
      </c>
      <c r="D2488" t="inlineStr">
        <is>
          <t>PR5581 .S75 1969</t>
        </is>
      </c>
      <c r="E2488" t="inlineStr">
        <is>
          <t>0                      PR 5581000S  75          1969</t>
        </is>
      </c>
      <c r="F2488" t="inlineStr">
        <is>
          <t>Tennyson [by] J.B. Steane.</t>
        </is>
      </c>
      <c r="H2488" t="inlineStr">
        <is>
          <t>No</t>
        </is>
      </c>
      <c r="I2488" t="inlineStr">
        <is>
          <t>1</t>
        </is>
      </c>
      <c r="J2488" t="inlineStr">
        <is>
          <t>No</t>
        </is>
      </c>
      <c r="K2488" t="inlineStr">
        <is>
          <t>No</t>
        </is>
      </c>
      <c r="L2488" t="inlineStr">
        <is>
          <t>0</t>
        </is>
      </c>
      <c r="M2488" t="inlineStr">
        <is>
          <t>Steane, J. B.</t>
        </is>
      </c>
      <c r="N2488" t="inlineStr">
        <is>
          <t>New York, Arco [1969]</t>
        </is>
      </c>
      <c r="O2488" t="inlineStr">
        <is>
          <t>1969</t>
        </is>
      </c>
      <c r="Q2488" t="inlineStr">
        <is>
          <t>eng</t>
        </is>
      </c>
      <c r="R2488" t="inlineStr">
        <is>
          <t>nyu</t>
        </is>
      </c>
      <c r="S2488" t="inlineStr">
        <is>
          <t>Arco literary critiques</t>
        </is>
      </c>
      <c r="T2488" t="inlineStr">
        <is>
          <t xml:space="preserve">PR </t>
        </is>
      </c>
      <c r="U2488" t="n">
        <v>3</v>
      </c>
      <c r="V2488" t="n">
        <v>3</v>
      </c>
      <c r="W2488" t="inlineStr">
        <is>
          <t>1993-12-07</t>
        </is>
      </c>
      <c r="X2488" t="inlineStr">
        <is>
          <t>1993-12-07</t>
        </is>
      </c>
      <c r="Y2488" t="inlineStr">
        <is>
          <t>1992-04-02</t>
        </is>
      </c>
      <c r="Z2488" t="inlineStr">
        <is>
          <t>1992-04-02</t>
        </is>
      </c>
      <c r="AA2488" t="n">
        <v>541</v>
      </c>
      <c r="AB2488" t="n">
        <v>517</v>
      </c>
      <c r="AC2488" t="n">
        <v>621</v>
      </c>
      <c r="AD2488" t="n">
        <v>3</v>
      </c>
      <c r="AE2488" t="n">
        <v>4</v>
      </c>
      <c r="AF2488" t="n">
        <v>7</v>
      </c>
      <c r="AG2488" t="n">
        <v>14</v>
      </c>
      <c r="AH2488" t="n">
        <v>3</v>
      </c>
      <c r="AI2488" t="n">
        <v>4</v>
      </c>
      <c r="AJ2488" t="n">
        <v>1</v>
      </c>
      <c r="AK2488" t="n">
        <v>3</v>
      </c>
      <c r="AL2488" t="n">
        <v>2</v>
      </c>
      <c r="AM2488" t="n">
        <v>7</v>
      </c>
      <c r="AN2488" t="n">
        <v>2</v>
      </c>
      <c r="AO2488" t="n">
        <v>3</v>
      </c>
      <c r="AP2488" t="n">
        <v>0</v>
      </c>
      <c r="AQ2488" t="n">
        <v>0</v>
      </c>
      <c r="AR2488" t="inlineStr">
        <is>
          <t>No</t>
        </is>
      </c>
      <c r="AS2488" t="inlineStr">
        <is>
          <t>No</t>
        </is>
      </c>
      <c r="AU2488">
        <f>HYPERLINK("https://creighton-primo.hosted.exlibrisgroup.com/primo-explore/search?tab=default_tab&amp;search_scope=EVERYTHING&amp;vid=01CRU&amp;lang=en_US&amp;offset=0&amp;query=any,contains,991000076169702656","Catalog Record")</f>
        <v/>
      </c>
      <c r="AV2488">
        <f>HYPERLINK("http://www.worldcat.org/oclc/30303","WorldCat Record")</f>
        <v/>
      </c>
      <c r="AW2488" t="inlineStr">
        <is>
          <t>1178544:eng</t>
        </is>
      </c>
      <c r="AX2488" t="inlineStr">
        <is>
          <t>30303</t>
        </is>
      </c>
      <c r="AY2488" t="inlineStr">
        <is>
          <t>991000076169702656</t>
        </is>
      </c>
      <c r="AZ2488" t="inlineStr">
        <is>
          <t>991000076169702656</t>
        </is>
      </c>
      <c r="BA2488" t="inlineStr">
        <is>
          <t>2262338990002656</t>
        </is>
      </c>
      <c r="BB2488" t="inlineStr">
        <is>
          <t>BOOK</t>
        </is>
      </c>
      <c r="BE2488" t="inlineStr">
        <is>
          <t>32285001050888</t>
        </is>
      </c>
      <c r="BF2488" t="inlineStr">
        <is>
          <t>893444187</t>
        </is>
      </c>
    </row>
    <row r="2489">
      <c r="A2489" t="inlineStr">
        <is>
          <t>No</t>
        </is>
      </c>
      <c r="B2489" t="inlineStr">
        <is>
          <t>CURAL</t>
        </is>
      </c>
      <c r="C2489" t="inlineStr">
        <is>
          <t>SHELVES</t>
        </is>
      </c>
      <c r="D2489" t="inlineStr">
        <is>
          <t>PR5581 .S77 1981</t>
        </is>
      </c>
      <c r="E2489" t="inlineStr">
        <is>
          <t>0                      PR 5581000S  77          1981</t>
        </is>
      </c>
      <c r="F2489" t="inlineStr">
        <is>
          <t>Studies in Tennyson / edited by Hallam Tennyson.</t>
        </is>
      </c>
      <c r="H2489" t="inlineStr">
        <is>
          <t>No</t>
        </is>
      </c>
      <c r="I2489" t="inlineStr">
        <is>
          <t>1</t>
        </is>
      </c>
      <c r="J2489" t="inlineStr">
        <is>
          <t>No</t>
        </is>
      </c>
      <c r="K2489" t="inlineStr">
        <is>
          <t>No</t>
        </is>
      </c>
      <c r="L2489" t="inlineStr">
        <is>
          <t>0</t>
        </is>
      </c>
      <c r="N2489" t="inlineStr">
        <is>
          <t>Totowa, N.J. : Barnes &amp; Noble, 1981.</t>
        </is>
      </c>
      <c r="O2489" t="inlineStr">
        <is>
          <t>1981</t>
        </is>
      </c>
      <c r="Q2489" t="inlineStr">
        <is>
          <t>eng</t>
        </is>
      </c>
      <c r="R2489" t="inlineStr">
        <is>
          <t>nju</t>
        </is>
      </c>
      <c r="T2489" t="inlineStr">
        <is>
          <t xml:space="preserve">PR </t>
        </is>
      </c>
      <c r="U2489" t="n">
        <v>3</v>
      </c>
      <c r="V2489" t="n">
        <v>3</v>
      </c>
      <c r="W2489" t="inlineStr">
        <is>
          <t>1994-09-02</t>
        </is>
      </c>
      <c r="X2489" t="inlineStr">
        <is>
          <t>1994-09-02</t>
        </is>
      </c>
      <c r="Y2489" t="inlineStr">
        <is>
          <t>1992-03-10</t>
        </is>
      </c>
      <c r="Z2489" t="inlineStr">
        <is>
          <t>1992-03-10</t>
        </is>
      </c>
      <c r="AA2489" t="n">
        <v>354</v>
      </c>
      <c r="AB2489" t="n">
        <v>307</v>
      </c>
      <c r="AC2489" t="n">
        <v>332</v>
      </c>
      <c r="AD2489" t="n">
        <v>3</v>
      </c>
      <c r="AE2489" t="n">
        <v>3</v>
      </c>
      <c r="AF2489" t="n">
        <v>14</v>
      </c>
      <c r="AG2489" t="n">
        <v>15</v>
      </c>
      <c r="AH2489" t="n">
        <v>6</v>
      </c>
      <c r="AI2489" t="n">
        <v>7</v>
      </c>
      <c r="AJ2489" t="n">
        <v>3</v>
      </c>
      <c r="AK2489" t="n">
        <v>3</v>
      </c>
      <c r="AL2489" t="n">
        <v>8</v>
      </c>
      <c r="AM2489" t="n">
        <v>9</v>
      </c>
      <c r="AN2489" t="n">
        <v>2</v>
      </c>
      <c r="AO2489" t="n">
        <v>2</v>
      </c>
      <c r="AP2489" t="n">
        <v>0</v>
      </c>
      <c r="AQ2489" t="n">
        <v>0</v>
      </c>
      <c r="AR2489" t="inlineStr">
        <is>
          <t>No</t>
        </is>
      </c>
      <c r="AS2489" t="inlineStr">
        <is>
          <t>Yes</t>
        </is>
      </c>
      <c r="AT2489">
        <f>HYPERLINK("http://catalog.hathitrust.org/Record/009494692","HathiTrust Record")</f>
        <v/>
      </c>
      <c r="AU2489">
        <f>HYPERLINK("https://creighton-primo.hosted.exlibrisgroup.com/primo-explore/search?tab=default_tab&amp;search_scope=EVERYTHING&amp;vid=01CRU&amp;lang=en_US&amp;offset=0&amp;query=any,contains,991005192279702656","Catalog Record")</f>
        <v/>
      </c>
      <c r="AV2489">
        <f>HYPERLINK("http://www.worldcat.org/oclc/8016750","WorldCat Record")</f>
        <v/>
      </c>
      <c r="AW2489" t="inlineStr">
        <is>
          <t>54476514:eng</t>
        </is>
      </c>
      <c r="AX2489" t="inlineStr">
        <is>
          <t>8016750</t>
        </is>
      </c>
      <c r="AY2489" t="inlineStr">
        <is>
          <t>991005192279702656</t>
        </is>
      </c>
      <c r="AZ2489" t="inlineStr">
        <is>
          <t>991005192279702656</t>
        </is>
      </c>
      <c r="BA2489" t="inlineStr">
        <is>
          <t>2263448700002656</t>
        </is>
      </c>
      <c r="BB2489" t="inlineStr">
        <is>
          <t>BOOK</t>
        </is>
      </c>
      <c r="BD2489" t="inlineStr">
        <is>
          <t>9780389202363</t>
        </is>
      </c>
      <c r="BE2489" t="inlineStr">
        <is>
          <t>32285000995208</t>
        </is>
      </c>
      <c r="BF2489" t="inlineStr">
        <is>
          <t>893795766</t>
        </is>
      </c>
    </row>
    <row r="2490">
      <c r="A2490" t="inlineStr">
        <is>
          <t>No</t>
        </is>
      </c>
      <c r="B2490" t="inlineStr">
        <is>
          <t>CURAL</t>
        </is>
      </c>
      <c r="C2490" t="inlineStr">
        <is>
          <t>SHELVES</t>
        </is>
      </c>
      <c r="D2490" t="inlineStr">
        <is>
          <t>PR5581 .T45 1983</t>
        </is>
      </c>
      <c r="E2490" t="inlineStr">
        <is>
          <t>0                      PR 5581000T  45          1983</t>
        </is>
      </c>
      <c r="F2490" t="inlineStr">
        <is>
          <t>Tennyson, interviews and recollections / edited by Norman Page.</t>
        </is>
      </c>
      <c r="H2490" t="inlineStr">
        <is>
          <t>No</t>
        </is>
      </c>
      <c r="I2490" t="inlineStr">
        <is>
          <t>1</t>
        </is>
      </c>
      <c r="J2490" t="inlineStr">
        <is>
          <t>No</t>
        </is>
      </c>
      <c r="K2490" t="inlineStr">
        <is>
          <t>No</t>
        </is>
      </c>
      <c r="L2490" t="inlineStr">
        <is>
          <t>0</t>
        </is>
      </c>
      <c r="N2490" t="inlineStr">
        <is>
          <t>Totowa, N.J. : Barnes &amp; Noble Books, 1983.</t>
        </is>
      </c>
      <c r="O2490" t="inlineStr">
        <is>
          <t>1983</t>
        </is>
      </c>
      <c r="Q2490" t="inlineStr">
        <is>
          <t>eng</t>
        </is>
      </c>
      <c r="R2490" t="inlineStr">
        <is>
          <t>nju</t>
        </is>
      </c>
      <c r="T2490" t="inlineStr">
        <is>
          <t xml:space="preserve">PR </t>
        </is>
      </c>
      <c r="U2490" t="n">
        <v>4</v>
      </c>
      <c r="V2490" t="n">
        <v>4</v>
      </c>
      <c r="W2490" t="inlineStr">
        <is>
          <t>1995-11-16</t>
        </is>
      </c>
      <c r="X2490" t="inlineStr">
        <is>
          <t>1995-11-16</t>
        </is>
      </c>
      <c r="Y2490" t="inlineStr">
        <is>
          <t>1992-03-10</t>
        </is>
      </c>
      <c r="Z2490" t="inlineStr">
        <is>
          <t>1992-03-10</t>
        </is>
      </c>
      <c r="AA2490" t="n">
        <v>213</v>
      </c>
      <c r="AB2490" t="n">
        <v>181</v>
      </c>
      <c r="AC2490" t="n">
        <v>235</v>
      </c>
      <c r="AD2490" t="n">
        <v>1</v>
      </c>
      <c r="AE2490" t="n">
        <v>2</v>
      </c>
      <c r="AF2490" t="n">
        <v>6</v>
      </c>
      <c r="AG2490" t="n">
        <v>8</v>
      </c>
      <c r="AH2490" t="n">
        <v>2</v>
      </c>
      <c r="AI2490" t="n">
        <v>3</v>
      </c>
      <c r="AJ2490" t="n">
        <v>2</v>
      </c>
      <c r="AK2490" t="n">
        <v>2</v>
      </c>
      <c r="AL2490" t="n">
        <v>6</v>
      </c>
      <c r="AM2490" t="n">
        <v>7</v>
      </c>
      <c r="AN2490" t="n">
        <v>0</v>
      </c>
      <c r="AO2490" t="n">
        <v>1</v>
      </c>
      <c r="AP2490" t="n">
        <v>0</v>
      </c>
      <c r="AQ2490" t="n">
        <v>0</v>
      </c>
      <c r="AR2490" t="inlineStr">
        <is>
          <t>No</t>
        </is>
      </c>
      <c r="AS2490" t="inlineStr">
        <is>
          <t>No</t>
        </is>
      </c>
      <c r="AU2490">
        <f>HYPERLINK("https://creighton-primo.hosted.exlibrisgroup.com/primo-explore/search?tab=default_tab&amp;search_scope=EVERYTHING&amp;vid=01CRU&amp;lang=en_US&amp;offset=0&amp;query=any,contains,991000222739702656","Catalog Record")</f>
        <v/>
      </c>
      <c r="AV2490">
        <f>HYPERLINK("http://www.worldcat.org/oclc/9577324","WorldCat Record")</f>
        <v/>
      </c>
      <c r="AW2490" t="inlineStr">
        <is>
          <t>375578866:eng</t>
        </is>
      </c>
      <c r="AX2490" t="inlineStr">
        <is>
          <t>9577324</t>
        </is>
      </c>
      <c r="AY2490" t="inlineStr">
        <is>
          <t>991000222739702656</t>
        </is>
      </c>
      <c r="AZ2490" t="inlineStr">
        <is>
          <t>991000222739702656</t>
        </is>
      </c>
      <c r="BA2490" t="inlineStr">
        <is>
          <t>2269689840002656</t>
        </is>
      </c>
      <c r="BB2490" t="inlineStr">
        <is>
          <t>BOOK</t>
        </is>
      </c>
      <c r="BD2490" t="inlineStr">
        <is>
          <t>9780389200666</t>
        </is>
      </c>
      <c r="BE2490" t="inlineStr">
        <is>
          <t>32285000995224</t>
        </is>
      </c>
      <c r="BF2490" t="inlineStr">
        <is>
          <t>893695697</t>
        </is>
      </c>
    </row>
    <row r="2491">
      <c r="A2491" t="inlineStr">
        <is>
          <t>No</t>
        </is>
      </c>
      <c r="B2491" t="inlineStr">
        <is>
          <t>CURAL</t>
        </is>
      </c>
      <c r="C2491" t="inlineStr">
        <is>
          <t>SHELVES</t>
        </is>
      </c>
      <c r="D2491" t="inlineStr">
        <is>
          <t>PR5583 .T4</t>
        </is>
      </c>
      <c r="E2491" t="inlineStr">
        <is>
          <t>0                      PR 5583000T  4</t>
        </is>
      </c>
      <c r="F2491" t="inlineStr">
        <is>
          <t>Tennyson and his friends.</t>
        </is>
      </c>
      <c r="H2491" t="inlineStr">
        <is>
          <t>No</t>
        </is>
      </c>
      <c r="I2491" t="inlineStr">
        <is>
          <t>1</t>
        </is>
      </c>
      <c r="J2491" t="inlineStr">
        <is>
          <t>No</t>
        </is>
      </c>
      <c r="K2491" t="inlineStr">
        <is>
          <t>No</t>
        </is>
      </c>
      <c r="L2491" t="inlineStr">
        <is>
          <t>0</t>
        </is>
      </c>
      <c r="M2491" t="inlineStr">
        <is>
          <t>Tennyson, Hallam Tennyson, Baron, 1852-1928 editor.</t>
        </is>
      </c>
      <c r="N2491" t="inlineStr">
        <is>
          <t>London, Macmillan, 1911.</t>
        </is>
      </c>
      <c r="O2491" t="inlineStr">
        <is>
          <t>1911</t>
        </is>
      </c>
      <c r="Q2491" t="inlineStr">
        <is>
          <t>eng</t>
        </is>
      </c>
      <c r="R2491" t="inlineStr">
        <is>
          <t xml:space="preserve">xx </t>
        </is>
      </c>
      <c r="T2491" t="inlineStr">
        <is>
          <t xml:space="preserve">PR </t>
        </is>
      </c>
      <c r="U2491" t="n">
        <v>8</v>
      </c>
      <c r="V2491" t="n">
        <v>8</v>
      </c>
      <c r="W2491" t="inlineStr">
        <is>
          <t>2001-10-29</t>
        </is>
      </c>
      <c r="X2491" t="inlineStr">
        <is>
          <t>2001-10-29</t>
        </is>
      </c>
      <c r="Y2491" t="inlineStr">
        <is>
          <t>1997-07-21</t>
        </is>
      </c>
      <c r="Z2491" t="inlineStr">
        <is>
          <t>1997-07-21</t>
        </is>
      </c>
      <c r="AA2491" t="n">
        <v>389</v>
      </c>
      <c r="AB2491" t="n">
        <v>297</v>
      </c>
      <c r="AC2491" t="n">
        <v>399</v>
      </c>
      <c r="AD2491" t="n">
        <v>3</v>
      </c>
      <c r="AE2491" t="n">
        <v>5</v>
      </c>
      <c r="AF2491" t="n">
        <v>15</v>
      </c>
      <c r="AG2491" t="n">
        <v>21</v>
      </c>
      <c r="AH2491" t="n">
        <v>4</v>
      </c>
      <c r="AI2491" t="n">
        <v>6</v>
      </c>
      <c r="AJ2491" t="n">
        <v>2</v>
      </c>
      <c r="AK2491" t="n">
        <v>4</v>
      </c>
      <c r="AL2491" t="n">
        <v>10</v>
      </c>
      <c r="AM2491" t="n">
        <v>13</v>
      </c>
      <c r="AN2491" t="n">
        <v>2</v>
      </c>
      <c r="AO2491" t="n">
        <v>4</v>
      </c>
      <c r="AP2491" t="n">
        <v>0</v>
      </c>
      <c r="AQ2491" t="n">
        <v>0</v>
      </c>
      <c r="AR2491" t="inlineStr">
        <is>
          <t>Yes</t>
        </is>
      </c>
      <c r="AS2491" t="inlineStr">
        <is>
          <t>No</t>
        </is>
      </c>
      <c r="AT2491">
        <f>HYPERLINK("http://catalog.hathitrust.org/Record/000287804","HathiTrust Record")</f>
        <v/>
      </c>
      <c r="AU2491">
        <f>HYPERLINK("https://creighton-primo.hosted.exlibrisgroup.com/primo-explore/search?tab=default_tab&amp;search_scope=EVERYTHING&amp;vid=01CRU&amp;lang=en_US&amp;offset=0&amp;query=any,contains,991005354289702656","Catalog Record")</f>
        <v/>
      </c>
      <c r="AV2491">
        <f>HYPERLINK("http://www.worldcat.org/oclc/297373","WorldCat Record")</f>
        <v/>
      </c>
      <c r="AW2491" t="inlineStr">
        <is>
          <t>476639281:eng</t>
        </is>
      </c>
      <c r="AX2491" t="inlineStr">
        <is>
          <t>297373</t>
        </is>
      </c>
      <c r="AY2491" t="inlineStr">
        <is>
          <t>991005354289702656</t>
        </is>
      </c>
      <c r="AZ2491" t="inlineStr">
        <is>
          <t>991005354289702656</t>
        </is>
      </c>
      <c r="BA2491" t="inlineStr">
        <is>
          <t>2262893630002656</t>
        </is>
      </c>
      <c r="BB2491" t="inlineStr">
        <is>
          <t>BOOK</t>
        </is>
      </c>
      <c r="BE2491" t="inlineStr">
        <is>
          <t>32285002949641</t>
        </is>
      </c>
      <c r="BF2491" t="inlineStr">
        <is>
          <t>893437572</t>
        </is>
      </c>
    </row>
    <row r="2492">
      <c r="A2492" t="inlineStr">
        <is>
          <t>No</t>
        </is>
      </c>
      <c r="B2492" t="inlineStr">
        <is>
          <t>CURAL</t>
        </is>
      </c>
      <c r="C2492" t="inlineStr">
        <is>
          <t>SHELVES</t>
        </is>
      </c>
      <c r="D2492" t="inlineStr">
        <is>
          <t>PR5585 .W43</t>
        </is>
      </c>
      <c r="E2492" t="inlineStr">
        <is>
          <t>0                      PR 5585000W  43</t>
        </is>
      </c>
      <c r="F2492" t="inlineStr">
        <is>
          <t>The Tennyson album : a biography in original photographs / by Andrew Wheatcroft.</t>
        </is>
      </c>
      <c r="H2492" t="inlineStr">
        <is>
          <t>No</t>
        </is>
      </c>
      <c r="I2492" t="inlineStr">
        <is>
          <t>1</t>
        </is>
      </c>
      <c r="J2492" t="inlineStr">
        <is>
          <t>No</t>
        </is>
      </c>
      <c r="K2492" t="inlineStr">
        <is>
          <t>No</t>
        </is>
      </c>
      <c r="L2492" t="inlineStr">
        <is>
          <t>0</t>
        </is>
      </c>
      <c r="M2492" t="inlineStr">
        <is>
          <t>Wheatcroft, Andrew.</t>
        </is>
      </c>
      <c r="N2492" t="inlineStr">
        <is>
          <t>London : Routledge &amp; Kegan Paul, c1980.</t>
        </is>
      </c>
      <c r="O2492" t="inlineStr">
        <is>
          <t>1980</t>
        </is>
      </c>
      <c r="Q2492" t="inlineStr">
        <is>
          <t>eng</t>
        </is>
      </c>
      <c r="R2492" t="inlineStr">
        <is>
          <t>enk</t>
        </is>
      </c>
      <c r="T2492" t="inlineStr">
        <is>
          <t xml:space="preserve">PR </t>
        </is>
      </c>
      <c r="U2492" t="n">
        <v>1</v>
      </c>
      <c r="V2492" t="n">
        <v>1</v>
      </c>
      <c r="W2492" t="inlineStr">
        <is>
          <t>1993-12-08</t>
        </is>
      </c>
      <c r="X2492" t="inlineStr">
        <is>
          <t>1993-12-08</t>
        </is>
      </c>
      <c r="Y2492" t="inlineStr">
        <is>
          <t>1992-03-10</t>
        </is>
      </c>
      <c r="Z2492" t="inlineStr">
        <is>
          <t>1992-03-10</t>
        </is>
      </c>
      <c r="AA2492" t="n">
        <v>717</v>
      </c>
      <c r="AB2492" t="n">
        <v>572</v>
      </c>
      <c r="AC2492" t="n">
        <v>579</v>
      </c>
      <c r="AD2492" t="n">
        <v>3</v>
      </c>
      <c r="AE2492" t="n">
        <v>3</v>
      </c>
      <c r="AF2492" t="n">
        <v>24</v>
      </c>
      <c r="AG2492" t="n">
        <v>24</v>
      </c>
      <c r="AH2492" t="n">
        <v>8</v>
      </c>
      <c r="AI2492" t="n">
        <v>8</v>
      </c>
      <c r="AJ2492" t="n">
        <v>5</v>
      </c>
      <c r="AK2492" t="n">
        <v>5</v>
      </c>
      <c r="AL2492" t="n">
        <v>14</v>
      </c>
      <c r="AM2492" t="n">
        <v>14</v>
      </c>
      <c r="AN2492" t="n">
        <v>2</v>
      </c>
      <c r="AO2492" t="n">
        <v>2</v>
      </c>
      <c r="AP2492" t="n">
        <v>0</v>
      </c>
      <c r="AQ2492" t="n">
        <v>0</v>
      </c>
      <c r="AR2492" t="inlineStr">
        <is>
          <t>No</t>
        </is>
      </c>
      <c r="AS2492" t="inlineStr">
        <is>
          <t>Yes</t>
        </is>
      </c>
      <c r="AT2492">
        <f>HYPERLINK("http://catalog.hathitrust.org/Record/000085237","HathiTrust Record")</f>
        <v/>
      </c>
      <c r="AU2492">
        <f>HYPERLINK("https://creighton-primo.hosted.exlibrisgroup.com/primo-explore/search?tab=default_tab&amp;search_scope=EVERYTHING&amp;vid=01CRU&amp;lang=en_US&amp;offset=0&amp;query=any,contains,991005025619702656","Catalog Record")</f>
        <v/>
      </c>
      <c r="AV2492">
        <f>HYPERLINK("http://www.worldcat.org/oclc/6692124","WorldCat Record")</f>
        <v/>
      </c>
      <c r="AW2492" t="inlineStr">
        <is>
          <t>945733303:eng</t>
        </is>
      </c>
      <c r="AX2492" t="inlineStr">
        <is>
          <t>6692124</t>
        </is>
      </c>
      <c r="AY2492" t="inlineStr">
        <is>
          <t>991005025619702656</t>
        </is>
      </c>
      <c r="AZ2492" t="inlineStr">
        <is>
          <t>991005025619702656</t>
        </is>
      </c>
      <c r="BA2492" t="inlineStr">
        <is>
          <t>2266466970002656</t>
        </is>
      </c>
      <c r="BB2492" t="inlineStr">
        <is>
          <t>BOOK</t>
        </is>
      </c>
      <c r="BD2492" t="inlineStr">
        <is>
          <t>9780710004949</t>
        </is>
      </c>
      <c r="BE2492" t="inlineStr">
        <is>
          <t>32285000995257</t>
        </is>
      </c>
      <c r="BF2492" t="inlineStr">
        <is>
          <t>893437038</t>
        </is>
      </c>
    </row>
    <row r="2493">
      <c r="A2493" t="inlineStr">
        <is>
          <t>No</t>
        </is>
      </c>
      <c r="B2493" t="inlineStr">
        <is>
          <t>CURAL</t>
        </is>
      </c>
      <c r="C2493" t="inlineStr">
        <is>
          <t>SHELVES</t>
        </is>
      </c>
      <c r="D2493" t="inlineStr">
        <is>
          <t>PR5588 .A4</t>
        </is>
      </c>
      <c r="E2493" t="inlineStr">
        <is>
          <t>0                      PR 5588000A  4</t>
        </is>
      </c>
      <c r="F2493" t="inlineStr">
        <is>
          <t>Alfred Tennyson, how to know him / by Raymond Macdonald Alden ... with portrait.</t>
        </is>
      </c>
      <c r="H2493" t="inlineStr">
        <is>
          <t>No</t>
        </is>
      </c>
      <c r="I2493" t="inlineStr">
        <is>
          <t>1</t>
        </is>
      </c>
      <c r="J2493" t="inlineStr">
        <is>
          <t>No</t>
        </is>
      </c>
      <c r="K2493" t="inlineStr">
        <is>
          <t>No</t>
        </is>
      </c>
      <c r="L2493" t="inlineStr">
        <is>
          <t>0</t>
        </is>
      </c>
      <c r="M2493" t="inlineStr">
        <is>
          <t>Alden, Raymond Macdonald, 1873-1924.</t>
        </is>
      </c>
      <c r="N2493" t="inlineStr">
        <is>
          <t>Indianapolis : The Bobbs-Merrill Company, [c1917]</t>
        </is>
      </c>
      <c r="O2493" t="inlineStr">
        <is>
          <t>1917</t>
        </is>
      </c>
      <c r="Q2493" t="inlineStr">
        <is>
          <t>eng</t>
        </is>
      </c>
      <c r="R2493" t="inlineStr">
        <is>
          <t xml:space="preserve">xx </t>
        </is>
      </c>
      <c r="T2493" t="inlineStr">
        <is>
          <t xml:space="preserve">PR </t>
        </is>
      </c>
      <c r="U2493" t="n">
        <v>4</v>
      </c>
      <c r="V2493" t="n">
        <v>4</v>
      </c>
      <c r="W2493" t="inlineStr">
        <is>
          <t>2008-09-17</t>
        </is>
      </c>
      <c r="X2493" t="inlineStr">
        <is>
          <t>2008-09-17</t>
        </is>
      </c>
      <c r="Y2493" t="inlineStr">
        <is>
          <t>1992-04-01</t>
        </is>
      </c>
      <c r="Z2493" t="inlineStr">
        <is>
          <t>1992-04-01</t>
        </is>
      </c>
      <c r="AA2493" t="n">
        <v>338</v>
      </c>
      <c r="AB2493" t="n">
        <v>321</v>
      </c>
      <c r="AC2493" t="n">
        <v>398</v>
      </c>
      <c r="AD2493" t="n">
        <v>4</v>
      </c>
      <c r="AE2493" t="n">
        <v>5</v>
      </c>
      <c r="AF2493" t="n">
        <v>14</v>
      </c>
      <c r="AG2493" t="n">
        <v>18</v>
      </c>
      <c r="AH2493" t="n">
        <v>4</v>
      </c>
      <c r="AI2493" t="n">
        <v>5</v>
      </c>
      <c r="AJ2493" t="n">
        <v>3</v>
      </c>
      <c r="AK2493" t="n">
        <v>5</v>
      </c>
      <c r="AL2493" t="n">
        <v>8</v>
      </c>
      <c r="AM2493" t="n">
        <v>9</v>
      </c>
      <c r="AN2493" t="n">
        <v>3</v>
      </c>
      <c r="AO2493" t="n">
        <v>4</v>
      </c>
      <c r="AP2493" t="n">
        <v>0</v>
      </c>
      <c r="AQ2493" t="n">
        <v>0</v>
      </c>
      <c r="AR2493" t="inlineStr">
        <is>
          <t>Yes</t>
        </is>
      </c>
      <c r="AS2493" t="inlineStr">
        <is>
          <t>No</t>
        </is>
      </c>
      <c r="AT2493">
        <f>HYPERLINK("http://catalog.hathitrust.org/Record/001024699","HathiTrust Record")</f>
        <v/>
      </c>
      <c r="AU2493">
        <f>HYPERLINK("https://creighton-primo.hosted.exlibrisgroup.com/primo-explore/search?tab=default_tab&amp;search_scope=EVERYTHING&amp;vid=01CRU&amp;lang=en_US&amp;offset=0&amp;query=any,contains,991003542219702656","Catalog Record")</f>
        <v/>
      </c>
      <c r="AV2493">
        <f>HYPERLINK("http://www.worldcat.org/oclc/1106937","WorldCat Record")</f>
        <v/>
      </c>
      <c r="AW2493" t="inlineStr">
        <is>
          <t>1982761:eng</t>
        </is>
      </c>
      <c r="AX2493" t="inlineStr">
        <is>
          <t>1106937</t>
        </is>
      </c>
      <c r="AY2493" t="inlineStr">
        <is>
          <t>991003542219702656</t>
        </is>
      </c>
      <c r="AZ2493" t="inlineStr">
        <is>
          <t>991003542219702656</t>
        </is>
      </c>
      <c r="BA2493" t="inlineStr">
        <is>
          <t>2259379970002656</t>
        </is>
      </c>
      <c r="BB2493" t="inlineStr">
        <is>
          <t>BOOK</t>
        </is>
      </c>
      <c r="BE2493" t="inlineStr">
        <is>
          <t>32285001030906</t>
        </is>
      </c>
      <c r="BF2493" t="inlineStr">
        <is>
          <t>893774859</t>
        </is>
      </c>
    </row>
    <row r="2494">
      <c r="A2494" t="inlineStr">
        <is>
          <t>No</t>
        </is>
      </c>
      <c r="B2494" t="inlineStr">
        <is>
          <t>CURAL</t>
        </is>
      </c>
      <c r="C2494" t="inlineStr">
        <is>
          <t>SHELVES</t>
        </is>
      </c>
      <c r="D2494" t="inlineStr">
        <is>
          <t>PR5588 .H43</t>
        </is>
      </c>
      <c r="E2494" t="inlineStr">
        <is>
          <t>0                      PR 5588000H  43</t>
        </is>
      </c>
      <c r="F2494" t="inlineStr">
        <is>
          <t>On the poems of Tennyson.</t>
        </is>
      </c>
      <c r="H2494" t="inlineStr">
        <is>
          <t>No</t>
        </is>
      </c>
      <c r="I2494" t="inlineStr">
        <is>
          <t>1</t>
        </is>
      </c>
      <c r="J2494" t="inlineStr">
        <is>
          <t>No</t>
        </is>
      </c>
      <c r="K2494" t="inlineStr">
        <is>
          <t>No</t>
        </is>
      </c>
      <c r="L2494" t="inlineStr">
        <is>
          <t>0</t>
        </is>
      </c>
      <c r="M2494" t="inlineStr">
        <is>
          <t>Hellstrom, Ward, 1930-2012.</t>
        </is>
      </c>
      <c r="N2494" t="inlineStr">
        <is>
          <t>Gainesville : University of Florida Press, [1972]</t>
        </is>
      </c>
      <c r="O2494" t="inlineStr">
        <is>
          <t>1972</t>
        </is>
      </c>
      <c r="Q2494" t="inlineStr">
        <is>
          <t>eng</t>
        </is>
      </c>
      <c r="R2494" t="inlineStr">
        <is>
          <t>flu</t>
        </is>
      </c>
      <c r="T2494" t="inlineStr">
        <is>
          <t xml:space="preserve">PR </t>
        </is>
      </c>
      <c r="U2494" t="n">
        <v>8</v>
      </c>
      <c r="V2494" t="n">
        <v>8</v>
      </c>
      <c r="W2494" t="inlineStr">
        <is>
          <t>1995-10-08</t>
        </is>
      </c>
      <c r="X2494" t="inlineStr">
        <is>
          <t>1995-10-08</t>
        </is>
      </c>
      <c r="Y2494" t="inlineStr">
        <is>
          <t>1991-09-26</t>
        </is>
      </c>
      <c r="Z2494" t="inlineStr">
        <is>
          <t>1991-09-26</t>
        </is>
      </c>
      <c r="AA2494" t="n">
        <v>748</v>
      </c>
      <c r="AB2494" t="n">
        <v>663</v>
      </c>
      <c r="AC2494" t="n">
        <v>668</v>
      </c>
      <c r="AD2494" t="n">
        <v>6</v>
      </c>
      <c r="AE2494" t="n">
        <v>6</v>
      </c>
      <c r="AF2494" t="n">
        <v>31</v>
      </c>
      <c r="AG2494" t="n">
        <v>31</v>
      </c>
      <c r="AH2494" t="n">
        <v>10</v>
      </c>
      <c r="AI2494" t="n">
        <v>10</v>
      </c>
      <c r="AJ2494" t="n">
        <v>6</v>
      </c>
      <c r="AK2494" t="n">
        <v>6</v>
      </c>
      <c r="AL2494" t="n">
        <v>17</v>
      </c>
      <c r="AM2494" t="n">
        <v>17</v>
      </c>
      <c r="AN2494" t="n">
        <v>5</v>
      </c>
      <c r="AO2494" t="n">
        <v>5</v>
      </c>
      <c r="AP2494" t="n">
        <v>0</v>
      </c>
      <c r="AQ2494" t="n">
        <v>0</v>
      </c>
      <c r="AR2494" t="inlineStr">
        <is>
          <t>No</t>
        </is>
      </c>
      <c r="AS2494" t="inlineStr">
        <is>
          <t>No</t>
        </is>
      </c>
      <c r="AU2494">
        <f>HYPERLINK("https://creighton-primo.hosted.exlibrisgroup.com/primo-explore/search?tab=default_tab&amp;search_scope=EVERYTHING&amp;vid=01CRU&amp;lang=en_US&amp;offset=0&amp;query=any,contains,991002342999702656","Catalog Record")</f>
        <v/>
      </c>
      <c r="AV2494">
        <f>HYPERLINK("http://www.worldcat.org/oclc/323887","WorldCat Record")</f>
        <v/>
      </c>
      <c r="AW2494" t="inlineStr">
        <is>
          <t>146173523:eng</t>
        </is>
      </c>
      <c r="AX2494" t="inlineStr">
        <is>
          <t>323887</t>
        </is>
      </c>
      <c r="AY2494" t="inlineStr">
        <is>
          <t>991002342999702656</t>
        </is>
      </c>
      <c r="AZ2494" t="inlineStr">
        <is>
          <t>991002342999702656</t>
        </is>
      </c>
      <c r="BA2494" t="inlineStr">
        <is>
          <t>2256511100002656</t>
        </is>
      </c>
      <c r="BB2494" t="inlineStr">
        <is>
          <t>BOOK</t>
        </is>
      </c>
      <c r="BD2494" t="inlineStr">
        <is>
          <t>9780813003221</t>
        </is>
      </c>
      <c r="BE2494" t="inlineStr">
        <is>
          <t>32285000760784</t>
        </is>
      </c>
      <c r="BF2494" t="inlineStr">
        <is>
          <t>893892435</t>
        </is>
      </c>
    </row>
    <row r="2495">
      <c r="A2495" t="inlineStr">
        <is>
          <t>No</t>
        </is>
      </c>
      <c r="B2495" t="inlineStr">
        <is>
          <t>CURAL</t>
        </is>
      </c>
      <c r="C2495" t="inlineStr">
        <is>
          <t>SHELVES</t>
        </is>
      </c>
      <c r="D2495" t="inlineStr">
        <is>
          <t>PR5588 .J59 1988</t>
        </is>
      </c>
      <c r="E2495" t="inlineStr">
        <is>
          <t>0                      PR 5588000J  59          1988</t>
        </is>
      </c>
      <c r="F2495" t="inlineStr">
        <is>
          <t>Alfred Tennyson / Elaine Jordan.</t>
        </is>
      </c>
      <c r="H2495" t="inlineStr">
        <is>
          <t>No</t>
        </is>
      </c>
      <c r="I2495" t="inlineStr">
        <is>
          <t>1</t>
        </is>
      </c>
      <c r="J2495" t="inlineStr">
        <is>
          <t>No</t>
        </is>
      </c>
      <c r="K2495" t="inlineStr">
        <is>
          <t>No</t>
        </is>
      </c>
      <c r="L2495" t="inlineStr">
        <is>
          <t>0</t>
        </is>
      </c>
      <c r="M2495" t="inlineStr">
        <is>
          <t>Jordan, Elaine.</t>
        </is>
      </c>
      <c r="N2495" t="inlineStr">
        <is>
          <t>Cambridge ; New York : Cambridge University Press, 1988.</t>
        </is>
      </c>
      <c r="O2495" t="inlineStr">
        <is>
          <t>1988</t>
        </is>
      </c>
      <c r="Q2495" t="inlineStr">
        <is>
          <t>eng</t>
        </is>
      </c>
      <c r="R2495" t="inlineStr">
        <is>
          <t>enk</t>
        </is>
      </c>
      <c r="S2495" t="inlineStr">
        <is>
          <t>British and Irish authors</t>
        </is>
      </c>
      <c r="T2495" t="inlineStr">
        <is>
          <t xml:space="preserve">PR </t>
        </is>
      </c>
      <c r="U2495" t="n">
        <v>4</v>
      </c>
      <c r="V2495" t="n">
        <v>4</v>
      </c>
      <c r="W2495" t="inlineStr">
        <is>
          <t>1995-11-16</t>
        </is>
      </c>
      <c r="X2495" t="inlineStr">
        <is>
          <t>1995-11-16</t>
        </is>
      </c>
      <c r="Y2495" t="inlineStr">
        <is>
          <t>1992-03-10</t>
        </is>
      </c>
      <c r="Z2495" t="inlineStr">
        <is>
          <t>1992-03-10</t>
        </is>
      </c>
      <c r="AA2495" t="n">
        <v>474</v>
      </c>
      <c r="AB2495" t="n">
        <v>312</v>
      </c>
      <c r="AC2495" t="n">
        <v>317</v>
      </c>
      <c r="AD2495" t="n">
        <v>3</v>
      </c>
      <c r="AE2495" t="n">
        <v>3</v>
      </c>
      <c r="AF2495" t="n">
        <v>18</v>
      </c>
      <c r="AG2495" t="n">
        <v>18</v>
      </c>
      <c r="AH2495" t="n">
        <v>7</v>
      </c>
      <c r="AI2495" t="n">
        <v>7</v>
      </c>
      <c r="AJ2495" t="n">
        <v>3</v>
      </c>
      <c r="AK2495" t="n">
        <v>3</v>
      </c>
      <c r="AL2495" t="n">
        <v>10</v>
      </c>
      <c r="AM2495" t="n">
        <v>10</v>
      </c>
      <c r="AN2495" t="n">
        <v>2</v>
      </c>
      <c r="AO2495" t="n">
        <v>2</v>
      </c>
      <c r="AP2495" t="n">
        <v>0</v>
      </c>
      <c r="AQ2495" t="n">
        <v>0</v>
      </c>
      <c r="AR2495" t="inlineStr">
        <is>
          <t>No</t>
        </is>
      </c>
      <c r="AS2495" t="inlineStr">
        <is>
          <t>No</t>
        </is>
      </c>
      <c r="AU2495">
        <f>HYPERLINK("https://creighton-primo.hosted.exlibrisgroup.com/primo-explore/search?tab=default_tab&amp;search_scope=EVERYTHING&amp;vid=01CRU&amp;lang=en_US&amp;offset=0&amp;query=any,contains,991001136099702656","Catalog Record")</f>
        <v/>
      </c>
      <c r="AV2495">
        <f>HYPERLINK("http://www.worldcat.org/oclc/16713303","WorldCat Record")</f>
        <v/>
      </c>
      <c r="AW2495" t="inlineStr">
        <is>
          <t>13377056:eng</t>
        </is>
      </c>
      <c r="AX2495" t="inlineStr">
        <is>
          <t>16713303</t>
        </is>
      </c>
      <c r="AY2495" t="inlineStr">
        <is>
          <t>991001136099702656</t>
        </is>
      </c>
      <c r="AZ2495" t="inlineStr">
        <is>
          <t>991001136099702656</t>
        </is>
      </c>
      <c r="BA2495" t="inlineStr">
        <is>
          <t>2263411930002656</t>
        </is>
      </c>
      <c r="BB2495" t="inlineStr">
        <is>
          <t>BOOK</t>
        </is>
      </c>
      <c r="BD2495" t="inlineStr">
        <is>
          <t>9780521313377</t>
        </is>
      </c>
      <c r="BE2495" t="inlineStr">
        <is>
          <t>32285000995273</t>
        </is>
      </c>
      <c r="BF2495" t="inlineStr">
        <is>
          <t>893891340</t>
        </is>
      </c>
    </row>
    <row r="2496">
      <c r="A2496" t="inlineStr">
        <is>
          <t>No</t>
        </is>
      </c>
      <c r="B2496" t="inlineStr">
        <is>
          <t>CURAL</t>
        </is>
      </c>
      <c r="C2496" t="inlineStr">
        <is>
          <t>SHELVES</t>
        </is>
      </c>
      <c r="D2496" t="inlineStr">
        <is>
          <t>PR5588 .J6</t>
        </is>
      </c>
      <c r="E2496" t="inlineStr">
        <is>
          <t>0                      PR 5588000J  6</t>
        </is>
      </c>
      <c r="F2496" t="inlineStr">
        <is>
          <t>Tennysonian love : the strange diagonal.</t>
        </is>
      </c>
      <c r="H2496" t="inlineStr">
        <is>
          <t>No</t>
        </is>
      </c>
      <c r="I2496" t="inlineStr">
        <is>
          <t>1</t>
        </is>
      </c>
      <c r="J2496" t="inlineStr">
        <is>
          <t>No</t>
        </is>
      </c>
      <c r="K2496" t="inlineStr">
        <is>
          <t>No</t>
        </is>
      </c>
      <c r="L2496" t="inlineStr">
        <is>
          <t>0</t>
        </is>
      </c>
      <c r="M2496" t="inlineStr">
        <is>
          <t>Joseph, Gerhard, 1931-</t>
        </is>
      </c>
      <c r="N2496" t="inlineStr">
        <is>
          <t>Minneapolis : University of Minnesota Press, [1969]</t>
        </is>
      </c>
      <c r="O2496" t="inlineStr">
        <is>
          <t>1969</t>
        </is>
      </c>
      <c r="Q2496" t="inlineStr">
        <is>
          <t>eng</t>
        </is>
      </c>
      <c r="R2496" t="inlineStr">
        <is>
          <t>mnu</t>
        </is>
      </c>
      <c r="T2496" t="inlineStr">
        <is>
          <t xml:space="preserve">PR </t>
        </is>
      </c>
      <c r="U2496" t="n">
        <v>2</v>
      </c>
      <c r="V2496" t="n">
        <v>2</v>
      </c>
      <c r="W2496" t="inlineStr">
        <is>
          <t>1994-10-13</t>
        </is>
      </c>
      <c r="X2496" t="inlineStr">
        <is>
          <t>1994-10-13</t>
        </is>
      </c>
      <c r="Y2496" t="inlineStr">
        <is>
          <t>1992-04-01</t>
        </is>
      </c>
      <c r="Z2496" t="inlineStr">
        <is>
          <t>1992-04-01</t>
        </is>
      </c>
      <c r="AA2496" t="n">
        <v>789</v>
      </c>
      <c r="AB2496" t="n">
        <v>672</v>
      </c>
      <c r="AC2496" t="n">
        <v>676</v>
      </c>
      <c r="AD2496" t="n">
        <v>11</v>
      </c>
      <c r="AE2496" t="n">
        <v>11</v>
      </c>
      <c r="AF2496" t="n">
        <v>38</v>
      </c>
      <c r="AG2496" t="n">
        <v>39</v>
      </c>
      <c r="AH2496" t="n">
        <v>12</v>
      </c>
      <c r="AI2496" t="n">
        <v>13</v>
      </c>
      <c r="AJ2496" t="n">
        <v>8</v>
      </c>
      <c r="AK2496" t="n">
        <v>8</v>
      </c>
      <c r="AL2496" t="n">
        <v>19</v>
      </c>
      <c r="AM2496" t="n">
        <v>19</v>
      </c>
      <c r="AN2496" t="n">
        <v>9</v>
      </c>
      <c r="AO2496" t="n">
        <v>9</v>
      </c>
      <c r="AP2496" t="n">
        <v>0</v>
      </c>
      <c r="AQ2496" t="n">
        <v>0</v>
      </c>
      <c r="AR2496" t="inlineStr">
        <is>
          <t>No</t>
        </is>
      </c>
      <c r="AS2496" t="inlineStr">
        <is>
          <t>No</t>
        </is>
      </c>
      <c r="AU2496">
        <f>HYPERLINK("https://creighton-primo.hosted.exlibrisgroup.com/primo-explore/search?tab=default_tab&amp;search_scope=EVERYTHING&amp;vid=01CRU&amp;lang=en_US&amp;offset=0&amp;query=any,contains,991005435049702656","Catalog Record")</f>
        <v/>
      </c>
      <c r="AV2496">
        <f>HYPERLINK("http://www.worldcat.org/oclc/2753","WorldCat Record")</f>
        <v/>
      </c>
      <c r="AW2496" t="inlineStr">
        <is>
          <t>207865377:eng</t>
        </is>
      </c>
      <c r="AX2496" t="inlineStr">
        <is>
          <t>2753</t>
        </is>
      </c>
      <c r="AY2496" t="inlineStr">
        <is>
          <t>991005435049702656</t>
        </is>
      </c>
      <c r="AZ2496" t="inlineStr">
        <is>
          <t>991005435049702656</t>
        </is>
      </c>
      <c r="BA2496" t="inlineStr">
        <is>
          <t>2262683920002656</t>
        </is>
      </c>
      <c r="BB2496" t="inlineStr">
        <is>
          <t>BOOK</t>
        </is>
      </c>
      <c r="BE2496" t="inlineStr">
        <is>
          <t>32285001030898</t>
        </is>
      </c>
      <c r="BF2496" t="inlineStr">
        <is>
          <t>893613714</t>
        </is>
      </c>
    </row>
    <row r="2497">
      <c r="A2497" t="inlineStr">
        <is>
          <t>No</t>
        </is>
      </c>
      <c r="B2497" t="inlineStr">
        <is>
          <t>CURAL</t>
        </is>
      </c>
      <c r="C2497" t="inlineStr">
        <is>
          <t>SHELVES</t>
        </is>
      </c>
      <c r="D2497" t="inlineStr">
        <is>
          <t>PR5588 .K6</t>
        </is>
      </c>
      <c r="E2497" t="inlineStr">
        <is>
          <t>0                      PR 5588000K  6</t>
        </is>
      </c>
      <c r="F2497" t="inlineStr">
        <is>
          <t>Tennyson and Clio : history in the major poems / Henry Kozicki.</t>
        </is>
      </c>
      <c r="H2497" t="inlineStr">
        <is>
          <t>No</t>
        </is>
      </c>
      <c r="I2497" t="inlineStr">
        <is>
          <t>1</t>
        </is>
      </c>
      <c r="J2497" t="inlineStr">
        <is>
          <t>No</t>
        </is>
      </c>
      <c r="K2497" t="inlineStr">
        <is>
          <t>No</t>
        </is>
      </c>
      <c r="L2497" t="inlineStr">
        <is>
          <t>0</t>
        </is>
      </c>
      <c r="M2497" t="inlineStr">
        <is>
          <t>Kozicki, Henry, 1924-</t>
        </is>
      </c>
      <c r="N2497" t="inlineStr">
        <is>
          <t>Baltimore : Johns Hopkins University Press, c1979.</t>
        </is>
      </c>
      <c r="O2497" t="inlineStr">
        <is>
          <t>1979</t>
        </is>
      </c>
      <c r="Q2497" t="inlineStr">
        <is>
          <t>eng</t>
        </is>
      </c>
      <c r="R2497" t="inlineStr">
        <is>
          <t>mdu</t>
        </is>
      </c>
      <c r="T2497" t="inlineStr">
        <is>
          <t xml:space="preserve">PR </t>
        </is>
      </c>
      <c r="U2497" t="n">
        <v>2</v>
      </c>
      <c r="V2497" t="n">
        <v>2</v>
      </c>
      <c r="W2497" t="inlineStr">
        <is>
          <t>1995-11-16</t>
        </is>
      </c>
      <c r="X2497" t="inlineStr">
        <is>
          <t>1995-11-16</t>
        </is>
      </c>
      <c r="Y2497" t="inlineStr">
        <is>
          <t>1992-03-10</t>
        </is>
      </c>
      <c r="Z2497" t="inlineStr">
        <is>
          <t>1992-03-10</t>
        </is>
      </c>
      <c r="AA2497" t="n">
        <v>580</v>
      </c>
      <c r="AB2497" t="n">
        <v>476</v>
      </c>
      <c r="AC2497" t="n">
        <v>483</v>
      </c>
      <c r="AD2497" t="n">
        <v>4</v>
      </c>
      <c r="AE2497" t="n">
        <v>4</v>
      </c>
      <c r="AF2497" t="n">
        <v>21</v>
      </c>
      <c r="AG2497" t="n">
        <v>21</v>
      </c>
      <c r="AH2497" t="n">
        <v>9</v>
      </c>
      <c r="AI2497" t="n">
        <v>9</v>
      </c>
      <c r="AJ2497" t="n">
        <v>6</v>
      </c>
      <c r="AK2497" t="n">
        <v>6</v>
      </c>
      <c r="AL2497" t="n">
        <v>10</v>
      </c>
      <c r="AM2497" t="n">
        <v>10</v>
      </c>
      <c r="AN2497" t="n">
        <v>3</v>
      </c>
      <c r="AO2497" t="n">
        <v>3</v>
      </c>
      <c r="AP2497" t="n">
        <v>0</v>
      </c>
      <c r="AQ2497" t="n">
        <v>0</v>
      </c>
      <c r="AR2497" t="inlineStr">
        <is>
          <t>No</t>
        </is>
      </c>
      <c r="AS2497" t="inlineStr">
        <is>
          <t>Yes</t>
        </is>
      </c>
      <c r="AT2497">
        <f>HYPERLINK("http://catalog.hathitrust.org/Record/000297472","HathiTrust Record")</f>
        <v/>
      </c>
      <c r="AU2497">
        <f>HYPERLINK("https://creighton-primo.hosted.exlibrisgroup.com/primo-explore/search?tab=default_tab&amp;search_scope=EVERYTHING&amp;vid=01CRU&amp;lang=en_US&amp;offset=0&amp;query=any,contains,991004712069702656","Catalog Record")</f>
        <v/>
      </c>
      <c r="AV2497">
        <f>HYPERLINK("http://www.worldcat.org/oclc/4774508","WorldCat Record")</f>
        <v/>
      </c>
      <c r="AW2497" t="inlineStr">
        <is>
          <t>199184949:eng</t>
        </is>
      </c>
      <c r="AX2497" t="inlineStr">
        <is>
          <t>4774508</t>
        </is>
      </c>
      <c r="AY2497" t="inlineStr">
        <is>
          <t>991004712069702656</t>
        </is>
      </c>
      <c r="AZ2497" t="inlineStr">
        <is>
          <t>991004712069702656</t>
        </is>
      </c>
      <c r="BA2497" t="inlineStr">
        <is>
          <t>2257155480002656</t>
        </is>
      </c>
      <c r="BB2497" t="inlineStr">
        <is>
          <t>BOOK</t>
        </is>
      </c>
      <c r="BD2497" t="inlineStr">
        <is>
          <t>9780801821974</t>
        </is>
      </c>
      <c r="BE2497" t="inlineStr">
        <is>
          <t>32285000995281</t>
        </is>
      </c>
      <c r="BF2497" t="inlineStr">
        <is>
          <t>893442966</t>
        </is>
      </c>
    </row>
    <row r="2498">
      <c r="A2498" t="inlineStr">
        <is>
          <t>No</t>
        </is>
      </c>
      <c r="B2498" t="inlineStr">
        <is>
          <t>CURAL</t>
        </is>
      </c>
      <c r="C2498" t="inlineStr">
        <is>
          <t>SHELVES</t>
        </is>
      </c>
      <c r="D2498" t="inlineStr">
        <is>
          <t>PR5588 .M3</t>
        </is>
      </c>
      <c r="E2498" t="inlineStr">
        <is>
          <t>0                      PR 5588000M  3</t>
        </is>
      </c>
      <c r="F2498" t="inlineStr">
        <is>
          <t>A Tennyson handbook.</t>
        </is>
      </c>
      <c r="H2498" t="inlineStr">
        <is>
          <t>No</t>
        </is>
      </c>
      <c r="I2498" t="inlineStr">
        <is>
          <t>1</t>
        </is>
      </c>
      <c r="J2498" t="inlineStr">
        <is>
          <t>No</t>
        </is>
      </c>
      <c r="K2498" t="inlineStr">
        <is>
          <t>No</t>
        </is>
      </c>
      <c r="L2498" t="inlineStr">
        <is>
          <t>0</t>
        </is>
      </c>
      <c r="M2498" t="inlineStr">
        <is>
          <t>Marshall, George O.</t>
        </is>
      </c>
      <c r="N2498" t="inlineStr">
        <is>
          <t>New York : Twayne Publishers, [c1963]</t>
        </is>
      </c>
      <c r="O2498" t="inlineStr">
        <is>
          <t>1963</t>
        </is>
      </c>
      <c r="Q2498" t="inlineStr">
        <is>
          <t>eng</t>
        </is>
      </c>
      <c r="R2498" t="inlineStr">
        <is>
          <t>nyu</t>
        </is>
      </c>
      <c r="T2498" t="inlineStr">
        <is>
          <t xml:space="preserve">PR </t>
        </is>
      </c>
      <c r="U2498" t="n">
        <v>1</v>
      </c>
      <c r="V2498" t="n">
        <v>1</v>
      </c>
      <c r="W2498" t="inlineStr">
        <is>
          <t>1992-03-26</t>
        </is>
      </c>
      <c r="X2498" t="inlineStr">
        <is>
          <t>1992-03-26</t>
        </is>
      </c>
      <c r="Y2498" t="inlineStr">
        <is>
          <t>1992-03-24</t>
        </is>
      </c>
      <c r="Z2498" t="inlineStr">
        <is>
          <t>1992-03-24</t>
        </is>
      </c>
      <c r="AA2498" t="n">
        <v>1050</v>
      </c>
      <c r="AB2498" t="n">
        <v>942</v>
      </c>
      <c r="AC2498" t="n">
        <v>949</v>
      </c>
      <c r="AD2498" t="n">
        <v>7</v>
      </c>
      <c r="AE2498" t="n">
        <v>7</v>
      </c>
      <c r="AF2498" t="n">
        <v>39</v>
      </c>
      <c r="AG2498" t="n">
        <v>39</v>
      </c>
      <c r="AH2498" t="n">
        <v>15</v>
      </c>
      <c r="AI2498" t="n">
        <v>15</v>
      </c>
      <c r="AJ2498" t="n">
        <v>9</v>
      </c>
      <c r="AK2498" t="n">
        <v>9</v>
      </c>
      <c r="AL2498" t="n">
        <v>18</v>
      </c>
      <c r="AM2498" t="n">
        <v>18</v>
      </c>
      <c r="AN2498" t="n">
        <v>6</v>
      </c>
      <c r="AO2498" t="n">
        <v>6</v>
      </c>
      <c r="AP2498" t="n">
        <v>0</v>
      </c>
      <c r="AQ2498" t="n">
        <v>0</v>
      </c>
      <c r="AR2498" t="inlineStr">
        <is>
          <t>No</t>
        </is>
      </c>
      <c r="AS2498" t="inlineStr">
        <is>
          <t>No</t>
        </is>
      </c>
      <c r="AU2498">
        <f>HYPERLINK("https://creighton-primo.hosted.exlibrisgroup.com/primo-explore/search?tab=default_tab&amp;search_scope=EVERYTHING&amp;vid=01CRU&amp;lang=en_US&amp;offset=0&amp;query=any,contains,991002543519702656","Catalog Record")</f>
        <v/>
      </c>
      <c r="AV2498">
        <f>HYPERLINK("http://www.worldcat.org/oclc/368114","WorldCat Record")</f>
        <v/>
      </c>
      <c r="AW2498" t="inlineStr">
        <is>
          <t>365300093:eng</t>
        </is>
      </c>
      <c r="AX2498" t="inlineStr">
        <is>
          <t>368114</t>
        </is>
      </c>
      <c r="AY2498" t="inlineStr">
        <is>
          <t>991002543519702656</t>
        </is>
      </c>
      <c r="AZ2498" t="inlineStr">
        <is>
          <t>991002543519702656</t>
        </is>
      </c>
      <c r="BA2498" t="inlineStr">
        <is>
          <t>2264694010002656</t>
        </is>
      </c>
      <c r="BB2498" t="inlineStr">
        <is>
          <t>BOOK</t>
        </is>
      </c>
      <c r="BE2498" t="inlineStr">
        <is>
          <t>32285001026946</t>
        </is>
      </c>
      <c r="BF2498" t="inlineStr">
        <is>
          <t>893779939</t>
        </is>
      </c>
    </row>
    <row r="2499">
      <c r="A2499" t="inlineStr">
        <is>
          <t>No</t>
        </is>
      </c>
      <c r="B2499" t="inlineStr">
        <is>
          <t>CURAL</t>
        </is>
      </c>
      <c r="C2499" t="inlineStr">
        <is>
          <t>SHELVES</t>
        </is>
      </c>
      <c r="D2499" t="inlineStr">
        <is>
          <t>PR5588 .P3 1973b</t>
        </is>
      </c>
      <c r="E2499" t="inlineStr">
        <is>
          <t>0                      PR 5588000P  3           1973b</t>
        </is>
      </c>
      <c r="F2499" t="inlineStr">
        <is>
          <t>Tennyson / edited by D. J. Palmer.</t>
        </is>
      </c>
      <c r="H2499" t="inlineStr">
        <is>
          <t>No</t>
        </is>
      </c>
      <c r="I2499" t="inlineStr">
        <is>
          <t>1</t>
        </is>
      </c>
      <c r="J2499" t="inlineStr">
        <is>
          <t>No</t>
        </is>
      </c>
      <c r="K2499" t="inlineStr">
        <is>
          <t>No</t>
        </is>
      </c>
      <c r="L2499" t="inlineStr">
        <is>
          <t>0</t>
        </is>
      </c>
      <c r="M2499" t="inlineStr">
        <is>
          <t>Palmer, D. J. (David John), 1935-</t>
        </is>
      </c>
      <c r="N2499" t="inlineStr">
        <is>
          <t>London : Bell, 1973.</t>
        </is>
      </c>
      <c r="O2499" t="inlineStr">
        <is>
          <t>1973</t>
        </is>
      </c>
      <c r="Q2499" t="inlineStr">
        <is>
          <t>eng</t>
        </is>
      </c>
      <c r="R2499" t="inlineStr">
        <is>
          <t>enk</t>
        </is>
      </c>
      <c r="S2499" t="inlineStr">
        <is>
          <t>Writers and their background</t>
        </is>
      </c>
      <c r="T2499" t="inlineStr">
        <is>
          <t xml:space="preserve">PR </t>
        </is>
      </c>
      <c r="U2499" t="n">
        <v>1</v>
      </c>
      <c r="V2499" t="n">
        <v>1</v>
      </c>
      <c r="W2499" t="inlineStr">
        <is>
          <t>2003-12-03</t>
        </is>
      </c>
      <c r="X2499" t="inlineStr">
        <is>
          <t>2003-12-03</t>
        </is>
      </c>
      <c r="Y2499" t="inlineStr">
        <is>
          <t>1997-09-12</t>
        </is>
      </c>
      <c r="Z2499" t="inlineStr">
        <is>
          <t>1997-09-12</t>
        </is>
      </c>
      <c r="AA2499" t="n">
        <v>322</v>
      </c>
      <c r="AB2499" t="n">
        <v>108</v>
      </c>
      <c r="AC2499" t="n">
        <v>972</v>
      </c>
      <c r="AD2499" t="n">
        <v>3</v>
      </c>
      <c r="AE2499" t="n">
        <v>8</v>
      </c>
      <c r="AF2499" t="n">
        <v>4</v>
      </c>
      <c r="AG2499" t="n">
        <v>42</v>
      </c>
      <c r="AH2499" t="n">
        <v>0</v>
      </c>
      <c r="AI2499" t="n">
        <v>18</v>
      </c>
      <c r="AJ2499" t="n">
        <v>1</v>
      </c>
      <c r="AK2499" t="n">
        <v>9</v>
      </c>
      <c r="AL2499" t="n">
        <v>2</v>
      </c>
      <c r="AM2499" t="n">
        <v>20</v>
      </c>
      <c r="AN2499" t="n">
        <v>2</v>
      </c>
      <c r="AO2499" t="n">
        <v>7</v>
      </c>
      <c r="AP2499" t="n">
        <v>0</v>
      </c>
      <c r="AQ2499" t="n">
        <v>0</v>
      </c>
      <c r="AR2499" t="inlineStr">
        <is>
          <t>No</t>
        </is>
      </c>
      <c r="AS2499" t="inlineStr">
        <is>
          <t>Yes</t>
        </is>
      </c>
      <c r="AT2499">
        <f>HYPERLINK("http://catalog.hathitrust.org/Record/001194719","HathiTrust Record")</f>
        <v/>
      </c>
      <c r="AU2499">
        <f>HYPERLINK("https://creighton-primo.hosted.exlibrisgroup.com/primo-explore/search?tab=default_tab&amp;search_scope=EVERYTHING&amp;vid=01CRU&amp;lang=en_US&amp;offset=0&amp;query=any,contains,991003192539702656","Catalog Record")</f>
        <v/>
      </c>
      <c r="AV2499">
        <f>HYPERLINK("http://www.worldcat.org/oclc/717763","WorldCat Record")</f>
        <v/>
      </c>
      <c r="AW2499" t="inlineStr">
        <is>
          <t>3944010374:eng</t>
        </is>
      </c>
      <c r="AX2499" t="inlineStr">
        <is>
          <t>717763</t>
        </is>
      </c>
      <c r="AY2499" t="inlineStr">
        <is>
          <t>991003192539702656</t>
        </is>
      </c>
      <c r="AZ2499" t="inlineStr">
        <is>
          <t>991003192539702656</t>
        </is>
      </c>
      <c r="BA2499" t="inlineStr">
        <is>
          <t>2258749090002656</t>
        </is>
      </c>
      <c r="BB2499" t="inlineStr">
        <is>
          <t>BOOK</t>
        </is>
      </c>
      <c r="BD2499" t="inlineStr">
        <is>
          <t>9780713517446</t>
        </is>
      </c>
      <c r="BE2499" t="inlineStr">
        <is>
          <t>32285003170791</t>
        </is>
      </c>
      <c r="BF2499" t="inlineStr">
        <is>
          <t>893524528</t>
        </is>
      </c>
    </row>
    <row r="2500">
      <c r="A2500" t="inlineStr">
        <is>
          <t>No</t>
        </is>
      </c>
      <c r="B2500" t="inlineStr">
        <is>
          <t>CURAL</t>
        </is>
      </c>
      <c r="C2500" t="inlineStr">
        <is>
          <t>SHELVES</t>
        </is>
      </c>
      <c r="D2500" t="inlineStr">
        <is>
          <t>PR5588 .P37</t>
        </is>
      </c>
      <c r="E2500" t="inlineStr">
        <is>
          <t>0                      PR 5588000P  37</t>
        </is>
      </c>
      <c r="F2500" t="inlineStr">
        <is>
          <t>Tennyson and tradition / Robert Pattison.</t>
        </is>
      </c>
      <c r="H2500" t="inlineStr">
        <is>
          <t>No</t>
        </is>
      </c>
      <c r="I2500" t="inlineStr">
        <is>
          <t>1</t>
        </is>
      </c>
      <c r="J2500" t="inlineStr">
        <is>
          <t>No</t>
        </is>
      </c>
      <c r="K2500" t="inlineStr">
        <is>
          <t>No</t>
        </is>
      </c>
      <c r="L2500" t="inlineStr">
        <is>
          <t>0</t>
        </is>
      </c>
      <c r="M2500" t="inlineStr">
        <is>
          <t>Pattison, Robert.</t>
        </is>
      </c>
      <c r="N2500" t="inlineStr">
        <is>
          <t>Cambridge, Mass. : Harvard University Press, 1979.</t>
        </is>
      </c>
      <c r="O2500" t="inlineStr">
        <is>
          <t>1979</t>
        </is>
      </c>
      <c r="Q2500" t="inlineStr">
        <is>
          <t>eng</t>
        </is>
      </c>
      <c r="R2500" t="inlineStr">
        <is>
          <t>mau</t>
        </is>
      </c>
      <c r="T2500" t="inlineStr">
        <is>
          <t xml:space="preserve">PR </t>
        </is>
      </c>
      <c r="U2500" t="n">
        <v>4</v>
      </c>
      <c r="V2500" t="n">
        <v>4</v>
      </c>
      <c r="W2500" t="inlineStr">
        <is>
          <t>1992-03-26</t>
        </is>
      </c>
      <c r="X2500" t="inlineStr">
        <is>
          <t>1992-03-26</t>
        </is>
      </c>
      <c r="Y2500" t="inlineStr">
        <is>
          <t>1992-03-10</t>
        </is>
      </c>
      <c r="Z2500" t="inlineStr">
        <is>
          <t>1992-03-10</t>
        </is>
      </c>
      <c r="AA2500" t="n">
        <v>663</v>
      </c>
      <c r="AB2500" t="n">
        <v>549</v>
      </c>
      <c r="AC2500" t="n">
        <v>560</v>
      </c>
      <c r="AD2500" t="n">
        <v>5</v>
      </c>
      <c r="AE2500" t="n">
        <v>5</v>
      </c>
      <c r="AF2500" t="n">
        <v>31</v>
      </c>
      <c r="AG2500" t="n">
        <v>31</v>
      </c>
      <c r="AH2500" t="n">
        <v>8</v>
      </c>
      <c r="AI2500" t="n">
        <v>8</v>
      </c>
      <c r="AJ2500" t="n">
        <v>11</v>
      </c>
      <c r="AK2500" t="n">
        <v>11</v>
      </c>
      <c r="AL2500" t="n">
        <v>17</v>
      </c>
      <c r="AM2500" t="n">
        <v>17</v>
      </c>
      <c r="AN2500" t="n">
        <v>4</v>
      </c>
      <c r="AO2500" t="n">
        <v>4</v>
      </c>
      <c r="AP2500" t="n">
        <v>0</v>
      </c>
      <c r="AQ2500" t="n">
        <v>0</v>
      </c>
      <c r="AR2500" t="inlineStr">
        <is>
          <t>No</t>
        </is>
      </c>
      <c r="AS2500" t="inlineStr">
        <is>
          <t>Yes</t>
        </is>
      </c>
      <c r="AT2500">
        <f>HYPERLINK("http://catalog.hathitrust.org/Record/000038421","HathiTrust Record")</f>
        <v/>
      </c>
      <c r="AU2500">
        <f>HYPERLINK("https://creighton-primo.hosted.exlibrisgroup.com/primo-explore/search?tab=default_tab&amp;search_scope=EVERYTHING&amp;vid=01CRU&amp;lang=en_US&amp;offset=0&amp;query=any,contains,991004750389702656","Catalog Record")</f>
        <v/>
      </c>
      <c r="AV2500">
        <f>HYPERLINK("http://www.worldcat.org/oclc/4933240","WorldCat Record")</f>
        <v/>
      </c>
      <c r="AW2500" t="inlineStr">
        <is>
          <t>430654:eng</t>
        </is>
      </c>
      <c r="AX2500" t="inlineStr">
        <is>
          <t>4933240</t>
        </is>
      </c>
      <c r="AY2500" t="inlineStr">
        <is>
          <t>991004750389702656</t>
        </is>
      </c>
      <c r="AZ2500" t="inlineStr">
        <is>
          <t>991004750389702656</t>
        </is>
      </c>
      <c r="BA2500" t="inlineStr">
        <is>
          <t>2268949050002656</t>
        </is>
      </c>
      <c r="BB2500" t="inlineStr">
        <is>
          <t>BOOK</t>
        </is>
      </c>
      <c r="BD2500" t="inlineStr">
        <is>
          <t>9780674874152</t>
        </is>
      </c>
      <c r="BE2500" t="inlineStr">
        <is>
          <t>32285000995299</t>
        </is>
      </c>
      <c r="BF2500" t="inlineStr">
        <is>
          <t>893319586</t>
        </is>
      </c>
    </row>
    <row r="2501">
      <c r="A2501" t="inlineStr">
        <is>
          <t>No</t>
        </is>
      </c>
      <c r="B2501" t="inlineStr">
        <is>
          <t>CURAL</t>
        </is>
      </c>
      <c r="C2501" t="inlineStr">
        <is>
          <t>SHELVES</t>
        </is>
      </c>
      <c r="D2501" t="inlineStr">
        <is>
          <t>PR5588 .R9 1964</t>
        </is>
      </c>
      <c r="E2501" t="inlineStr">
        <is>
          <t>0                      PR 5588000R  9           1964</t>
        </is>
      </c>
      <c r="F2501" t="inlineStr">
        <is>
          <t>Theme and symbol in Tennyson's poems to 1850.</t>
        </is>
      </c>
      <c r="H2501" t="inlineStr">
        <is>
          <t>No</t>
        </is>
      </c>
      <c r="I2501" t="inlineStr">
        <is>
          <t>1</t>
        </is>
      </c>
      <c r="J2501" t="inlineStr">
        <is>
          <t>No</t>
        </is>
      </c>
      <c r="K2501" t="inlineStr">
        <is>
          <t>No</t>
        </is>
      </c>
      <c r="L2501" t="inlineStr">
        <is>
          <t>0</t>
        </is>
      </c>
      <c r="M2501" t="inlineStr">
        <is>
          <t>Ryals, Clyde de L., 1928-</t>
        </is>
      </c>
      <c r="N2501" t="inlineStr">
        <is>
          <t>Philadelphia : University of Pennsylvania Press, [1964]</t>
        </is>
      </c>
      <c r="O2501" t="inlineStr">
        <is>
          <t>1964</t>
        </is>
      </c>
      <c r="Q2501" t="inlineStr">
        <is>
          <t>eng</t>
        </is>
      </c>
      <c r="R2501" t="inlineStr">
        <is>
          <t xml:space="preserve">xx </t>
        </is>
      </c>
      <c r="T2501" t="inlineStr">
        <is>
          <t xml:space="preserve">PR </t>
        </is>
      </c>
      <c r="U2501" t="n">
        <v>3</v>
      </c>
      <c r="V2501" t="n">
        <v>3</v>
      </c>
      <c r="W2501" t="inlineStr">
        <is>
          <t>1994-09-02</t>
        </is>
      </c>
      <c r="X2501" t="inlineStr">
        <is>
          <t>1994-09-02</t>
        </is>
      </c>
      <c r="Y2501" t="inlineStr">
        <is>
          <t>1991-09-26</t>
        </is>
      </c>
      <c r="Z2501" t="inlineStr">
        <is>
          <t>1991-09-26</t>
        </is>
      </c>
      <c r="AA2501" t="n">
        <v>605</v>
      </c>
      <c r="AB2501" t="n">
        <v>498</v>
      </c>
      <c r="AC2501" t="n">
        <v>662</v>
      </c>
      <c r="AD2501" t="n">
        <v>3</v>
      </c>
      <c r="AE2501" t="n">
        <v>3</v>
      </c>
      <c r="AF2501" t="n">
        <v>31</v>
      </c>
      <c r="AG2501" t="n">
        <v>39</v>
      </c>
      <c r="AH2501" t="n">
        <v>15</v>
      </c>
      <c r="AI2501" t="n">
        <v>20</v>
      </c>
      <c r="AJ2501" t="n">
        <v>6</v>
      </c>
      <c r="AK2501" t="n">
        <v>9</v>
      </c>
      <c r="AL2501" t="n">
        <v>18</v>
      </c>
      <c r="AM2501" t="n">
        <v>21</v>
      </c>
      <c r="AN2501" t="n">
        <v>2</v>
      </c>
      <c r="AO2501" t="n">
        <v>2</v>
      </c>
      <c r="AP2501" t="n">
        <v>0</v>
      </c>
      <c r="AQ2501" t="n">
        <v>0</v>
      </c>
      <c r="AR2501" t="inlineStr">
        <is>
          <t>No</t>
        </is>
      </c>
      <c r="AS2501" t="inlineStr">
        <is>
          <t>Yes</t>
        </is>
      </c>
      <c r="AT2501">
        <f>HYPERLINK("http://catalog.hathitrust.org/Record/001024704","HathiTrust Record")</f>
        <v/>
      </c>
      <c r="AU2501">
        <f>HYPERLINK("https://creighton-primo.hosted.exlibrisgroup.com/primo-explore/search?tab=default_tab&amp;search_scope=EVERYTHING&amp;vid=01CRU&amp;lang=en_US&amp;offset=0&amp;query=any,contains,991002114729702656","Catalog Record")</f>
        <v/>
      </c>
      <c r="AV2501">
        <f>HYPERLINK("http://www.worldcat.org/oclc/268129","WorldCat Record")</f>
        <v/>
      </c>
      <c r="AW2501" t="inlineStr">
        <is>
          <t>712465:eng</t>
        </is>
      </c>
      <c r="AX2501" t="inlineStr">
        <is>
          <t>268129</t>
        </is>
      </c>
      <c r="AY2501" t="inlineStr">
        <is>
          <t>991002114729702656</t>
        </is>
      </c>
      <c r="AZ2501" t="inlineStr">
        <is>
          <t>991002114729702656</t>
        </is>
      </c>
      <c r="BA2501" t="inlineStr">
        <is>
          <t>2270316610002656</t>
        </is>
      </c>
      <c r="BB2501" t="inlineStr">
        <is>
          <t>BOOK</t>
        </is>
      </c>
      <c r="BE2501" t="inlineStr">
        <is>
          <t>32285000760792</t>
        </is>
      </c>
      <c r="BF2501" t="inlineStr">
        <is>
          <t>893256900</t>
        </is>
      </c>
    </row>
    <row r="2502">
      <c r="A2502" t="inlineStr">
        <is>
          <t>No</t>
        </is>
      </c>
      <c r="B2502" t="inlineStr">
        <is>
          <t>CURAL</t>
        </is>
      </c>
      <c r="C2502" t="inlineStr">
        <is>
          <t>SHELVES</t>
        </is>
      </c>
      <c r="D2502" t="inlineStr">
        <is>
          <t>PR5588 .S47 1996</t>
        </is>
      </c>
      <c r="E2502" t="inlineStr">
        <is>
          <t>0                      PR 5588000S  47          1996</t>
        </is>
      </c>
      <c r="F2502" t="inlineStr">
        <is>
          <t>Alfred Lord Tennyson : the poet in an age of theory / by W. David Shaw.</t>
        </is>
      </c>
      <c r="H2502" t="inlineStr">
        <is>
          <t>No</t>
        </is>
      </c>
      <c r="I2502" t="inlineStr">
        <is>
          <t>1</t>
        </is>
      </c>
      <c r="J2502" t="inlineStr">
        <is>
          <t>No</t>
        </is>
      </c>
      <c r="K2502" t="inlineStr">
        <is>
          <t>No</t>
        </is>
      </c>
      <c r="L2502" t="inlineStr">
        <is>
          <t>0</t>
        </is>
      </c>
      <c r="M2502" t="inlineStr">
        <is>
          <t>Shaw, W. David (William David)</t>
        </is>
      </c>
      <c r="N2502" t="inlineStr">
        <is>
          <t>New York : Twayne Publishers, 1996.</t>
        </is>
      </c>
      <c r="O2502" t="inlineStr">
        <is>
          <t>1996</t>
        </is>
      </c>
      <c r="Q2502" t="inlineStr">
        <is>
          <t>eng</t>
        </is>
      </c>
      <c r="R2502" t="inlineStr">
        <is>
          <t>nyu</t>
        </is>
      </c>
      <c r="S2502" t="inlineStr">
        <is>
          <t>Twayne's English authors series ; no. 525</t>
        </is>
      </c>
      <c r="T2502" t="inlineStr">
        <is>
          <t xml:space="preserve">PR </t>
        </is>
      </c>
      <c r="U2502" t="n">
        <v>9</v>
      </c>
      <c r="V2502" t="n">
        <v>9</v>
      </c>
      <c r="W2502" t="inlineStr">
        <is>
          <t>1999-09-27</t>
        </is>
      </c>
      <c r="X2502" t="inlineStr">
        <is>
          <t>1999-09-27</t>
        </is>
      </c>
      <c r="Y2502" t="inlineStr">
        <is>
          <t>1996-10-29</t>
        </is>
      </c>
      <c r="Z2502" t="inlineStr">
        <is>
          <t>1996-10-29</t>
        </is>
      </c>
      <c r="AA2502" t="n">
        <v>664</v>
      </c>
      <c r="AB2502" t="n">
        <v>579</v>
      </c>
      <c r="AC2502" t="n">
        <v>676</v>
      </c>
      <c r="AD2502" t="n">
        <v>5</v>
      </c>
      <c r="AE2502" t="n">
        <v>5</v>
      </c>
      <c r="AF2502" t="n">
        <v>26</v>
      </c>
      <c r="AG2502" t="n">
        <v>27</v>
      </c>
      <c r="AH2502" t="n">
        <v>11</v>
      </c>
      <c r="AI2502" t="n">
        <v>11</v>
      </c>
      <c r="AJ2502" t="n">
        <v>4</v>
      </c>
      <c r="AK2502" t="n">
        <v>4</v>
      </c>
      <c r="AL2502" t="n">
        <v>14</v>
      </c>
      <c r="AM2502" t="n">
        <v>15</v>
      </c>
      <c r="AN2502" t="n">
        <v>4</v>
      </c>
      <c r="AO2502" t="n">
        <v>4</v>
      </c>
      <c r="AP2502" t="n">
        <v>0</v>
      </c>
      <c r="AQ2502" t="n">
        <v>0</v>
      </c>
      <c r="AR2502" t="inlineStr">
        <is>
          <t>No</t>
        </is>
      </c>
      <c r="AS2502" t="inlineStr">
        <is>
          <t>No</t>
        </is>
      </c>
      <c r="AU2502">
        <f>HYPERLINK("https://creighton-primo.hosted.exlibrisgroup.com/primo-explore/search?tab=default_tab&amp;search_scope=EVERYTHING&amp;vid=01CRU&amp;lang=en_US&amp;offset=0&amp;query=any,contains,991002627789702656","Catalog Record")</f>
        <v/>
      </c>
      <c r="AV2502">
        <f>HYPERLINK("http://www.worldcat.org/oclc/34471339","WorldCat Record")</f>
        <v/>
      </c>
      <c r="AW2502" t="inlineStr">
        <is>
          <t>811280024:eng</t>
        </is>
      </c>
      <c r="AX2502" t="inlineStr">
        <is>
          <t>34471339</t>
        </is>
      </c>
      <c r="AY2502" t="inlineStr">
        <is>
          <t>991002627789702656</t>
        </is>
      </c>
      <c r="AZ2502" t="inlineStr">
        <is>
          <t>991002627789702656</t>
        </is>
      </c>
      <c r="BA2502" t="inlineStr">
        <is>
          <t>2264455660002656</t>
        </is>
      </c>
      <c r="BB2502" t="inlineStr">
        <is>
          <t>BOOK</t>
        </is>
      </c>
      <c r="BD2502" t="inlineStr">
        <is>
          <t>9780805745771</t>
        </is>
      </c>
      <c r="BE2502" t="inlineStr">
        <is>
          <t>32285002390283</t>
        </is>
      </c>
      <c r="BF2502" t="inlineStr">
        <is>
          <t>893440337</t>
        </is>
      </c>
    </row>
    <row r="2503">
      <c r="A2503" t="inlineStr">
        <is>
          <t>No</t>
        </is>
      </c>
      <c r="B2503" t="inlineStr">
        <is>
          <t>CURAL</t>
        </is>
      </c>
      <c r="C2503" t="inlineStr">
        <is>
          <t>SHELVES</t>
        </is>
      </c>
      <c r="D2503" t="inlineStr">
        <is>
          <t>PR5588 .S48</t>
        </is>
      </c>
      <c r="E2503" t="inlineStr">
        <is>
          <t>0                      PR 5588000S  48</t>
        </is>
      </c>
      <c r="F2503" t="inlineStr">
        <is>
          <t>Tennyson and the reviewers; a study of his literary reputation and of the influence of the critics upon his poetry, 1827-1851.</t>
        </is>
      </c>
      <c r="H2503" t="inlineStr">
        <is>
          <t>No</t>
        </is>
      </c>
      <c r="I2503" t="inlineStr">
        <is>
          <t>1</t>
        </is>
      </c>
      <c r="J2503" t="inlineStr">
        <is>
          <t>No</t>
        </is>
      </c>
      <c r="K2503" t="inlineStr">
        <is>
          <t>No</t>
        </is>
      </c>
      <c r="L2503" t="inlineStr">
        <is>
          <t>0</t>
        </is>
      </c>
      <c r="M2503" t="inlineStr">
        <is>
          <t>Shannon, Edgar Finley, 1918-1997.</t>
        </is>
      </c>
      <c r="N2503" t="inlineStr">
        <is>
          <t>Cambridge, Harvard University Press, 1952.</t>
        </is>
      </c>
      <c r="O2503" t="inlineStr">
        <is>
          <t>1952</t>
        </is>
      </c>
      <c r="Q2503" t="inlineStr">
        <is>
          <t>eng</t>
        </is>
      </c>
      <c r="R2503" t="inlineStr">
        <is>
          <t>mau</t>
        </is>
      </c>
      <c r="T2503" t="inlineStr">
        <is>
          <t xml:space="preserve">PR </t>
        </is>
      </c>
      <c r="U2503" t="n">
        <v>7</v>
      </c>
      <c r="V2503" t="n">
        <v>7</v>
      </c>
      <c r="W2503" t="inlineStr">
        <is>
          <t>2001-10-29</t>
        </is>
      </c>
      <c r="X2503" t="inlineStr">
        <is>
          <t>2001-10-29</t>
        </is>
      </c>
      <c r="Y2503" t="inlineStr">
        <is>
          <t>1997-07-21</t>
        </is>
      </c>
      <c r="Z2503" t="inlineStr">
        <is>
          <t>1997-07-21</t>
        </is>
      </c>
      <c r="AA2503" t="n">
        <v>512</v>
      </c>
      <c r="AB2503" t="n">
        <v>433</v>
      </c>
      <c r="AC2503" t="n">
        <v>779</v>
      </c>
      <c r="AD2503" t="n">
        <v>6</v>
      </c>
      <c r="AE2503" t="n">
        <v>7</v>
      </c>
      <c r="AF2503" t="n">
        <v>26</v>
      </c>
      <c r="AG2503" t="n">
        <v>40</v>
      </c>
      <c r="AH2503" t="n">
        <v>8</v>
      </c>
      <c r="AI2503" t="n">
        <v>15</v>
      </c>
      <c r="AJ2503" t="n">
        <v>8</v>
      </c>
      <c r="AK2503" t="n">
        <v>9</v>
      </c>
      <c r="AL2503" t="n">
        <v>13</v>
      </c>
      <c r="AM2503" t="n">
        <v>20</v>
      </c>
      <c r="AN2503" t="n">
        <v>5</v>
      </c>
      <c r="AO2503" t="n">
        <v>6</v>
      </c>
      <c r="AP2503" t="n">
        <v>0</v>
      </c>
      <c r="AQ2503" t="n">
        <v>0</v>
      </c>
      <c r="AR2503" t="inlineStr">
        <is>
          <t>No</t>
        </is>
      </c>
      <c r="AS2503" t="inlineStr">
        <is>
          <t>Yes</t>
        </is>
      </c>
      <c r="AT2503">
        <f>HYPERLINK("http://catalog.hathitrust.org/Record/003557650","HathiTrust Record")</f>
        <v/>
      </c>
      <c r="AU2503">
        <f>HYPERLINK("https://creighton-primo.hosted.exlibrisgroup.com/primo-explore/search?tab=default_tab&amp;search_scope=EVERYTHING&amp;vid=01CRU&amp;lang=en_US&amp;offset=0&amp;query=any,contains,991005369759702656","Catalog Record")</f>
        <v/>
      </c>
      <c r="AV2503">
        <f>HYPERLINK("http://www.worldcat.org/oclc/2435247","WorldCat Record")</f>
        <v/>
      </c>
      <c r="AW2503" t="inlineStr">
        <is>
          <t>475921099:eng</t>
        </is>
      </c>
      <c r="AX2503" t="inlineStr">
        <is>
          <t>2435247</t>
        </is>
      </c>
      <c r="AY2503" t="inlineStr">
        <is>
          <t>991005369759702656</t>
        </is>
      </c>
      <c r="AZ2503" t="inlineStr">
        <is>
          <t>991005369759702656</t>
        </is>
      </c>
      <c r="BA2503" t="inlineStr">
        <is>
          <t>2261930430002656</t>
        </is>
      </c>
      <c r="BB2503" t="inlineStr">
        <is>
          <t>BOOK</t>
        </is>
      </c>
      <c r="BE2503" t="inlineStr">
        <is>
          <t>32285002949690</t>
        </is>
      </c>
      <c r="BF2503" t="inlineStr">
        <is>
          <t>893783524</t>
        </is>
      </c>
    </row>
    <row r="2504">
      <c r="A2504" t="inlineStr">
        <is>
          <t>No</t>
        </is>
      </c>
      <c r="B2504" t="inlineStr">
        <is>
          <t>CURAL</t>
        </is>
      </c>
      <c r="C2504" t="inlineStr">
        <is>
          <t>SHELVES</t>
        </is>
      </c>
      <c r="D2504" t="inlineStr">
        <is>
          <t>PR5588 .S53 1986</t>
        </is>
      </c>
      <c r="E2504" t="inlineStr">
        <is>
          <t>0                      PR 5588000S  53          1986</t>
        </is>
      </c>
      <c r="F2504" t="inlineStr">
        <is>
          <t>Alfred Tennyson / Alan Sinfield.</t>
        </is>
      </c>
      <c r="H2504" t="inlineStr">
        <is>
          <t>No</t>
        </is>
      </c>
      <c r="I2504" t="inlineStr">
        <is>
          <t>1</t>
        </is>
      </c>
      <c r="J2504" t="inlineStr">
        <is>
          <t>No</t>
        </is>
      </c>
      <c r="K2504" t="inlineStr">
        <is>
          <t>No</t>
        </is>
      </c>
      <c r="L2504" t="inlineStr">
        <is>
          <t>0</t>
        </is>
      </c>
      <c r="M2504" t="inlineStr">
        <is>
          <t>Sinfield, Alan.</t>
        </is>
      </c>
      <c r="N2504" t="inlineStr">
        <is>
          <t>Oxford, OX, UK ; New York, NY, USA : B. Blackwell, 1986.</t>
        </is>
      </c>
      <c r="O2504" t="inlineStr">
        <is>
          <t>1986</t>
        </is>
      </c>
      <c r="Q2504" t="inlineStr">
        <is>
          <t>eng</t>
        </is>
      </c>
      <c r="R2504" t="inlineStr">
        <is>
          <t>enk</t>
        </is>
      </c>
      <c r="S2504" t="inlineStr">
        <is>
          <t>Rereading literature</t>
        </is>
      </c>
      <c r="T2504" t="inlineStr">
        <is>
          <t xml:space="preserve">PR </t>
        </is>
      </c>
      <c r="U2504" t="n">
        <v>1</v>
      </c>
      <c r="V2504" t="n">
        <v>1</v>
      </c>
      <c r="W2504" t="inlineStr">
        <is>
          <t>1997-10-10</t>
        </is>
      </c>
      <c r="X2504" t="inlineStr">
        <is>
          <t>1997-10-10</t>
        </is>
      </c>
      <c r="Y2504" t="inlineStr">
        <is>
          <t>1992-03-10</t>
        </is>
      </c>
      <c r="Z2504" t="inlineStr">
        <is>
          <t>1992-03-10</t>
        </is>
      </c>
      <c r="AA2504" t="n">
        <v>457</v>
      </c>
      <c r="AB2504" t="n">
        <v>274</v>
      </c>
      <c r="AC2504" t="n">
        <v>279</v>
      </c>
      <c r="AD2504" t="n">
        <v>3</v>
      </c>
      <c r="AE2504" t="n">
        <v>3</v>
      </c>
      <c r="AF2504" t="n">
        <v>19</v>
      </c>
      <c r="AG2504" t="n">
        <v>19</v>
      </c>
      <c r="AH2504" t="n">
        <v>8</v>
      </c>
      <c r="AI2504" t="n">
        <v>8</v>
      </c>
      <c r="AJ2504" t="n">
        <v>5</v>
      </c>
      <c r="AK2504" t="n">
        <v>5</v>
      </c>
      <c r="AL2504" t="n">
        <v>13</v>
      </c>
      <c r="AM2504" t="n">
        <v>13</v>
      </c>
      <c r="AN2504" t="n">
        <v>2</v>
      </c>
      <c r="AO2504" t="n">
        <v>2</v>
      </c>
      <c r="AP2504" t="n">
        <v>0</v>
      </c>
      <c r="AQ2504" t="n">
        <v>0</v>
      </c>
      <c r="AR2504" t="inlineStr">
        <is>
          <t>No</t>
        </is>
      </c>
      <c r="AS2504" t="inlineStr">
        <is>
          <t>No</t>
        </is>
      </c>
      <c r="AU2504">
        <f>HYPERLINK("https://creighton-primo.hosted.exlibrisgroup.com/primo-explore/search?tab=default_tab&amp;search_scope=EVERYTHING&amp;vid=01CRU&amp;lang=en_US&amp;offset=0&amp;query=any,contains,991000684779702656","Catalog Record")</f>
        <v/>
      </c>
      <c r="AV2504">
        <f>HYPERLINK("http://www.worldcat.org/oclc/12420145","WorldCat Record")</f>
        <v/>
      </c>
      <c r="AW2504" t="inlineStr">
        <is>
          <t>5035300:eng</t>
        </is>
      </c>
      <c r="AX2504" t="inlineStr">
        <is>
          <t>12420145</t>
        </is>
      </c>
      <c r="AY2504" t="inlineStr">
        <is>
          <t>991000684779702656</t>
        </is>
      </c>
      <c r="AZ2504" t="inlineStr">
        <is>
          <t>991000684779702656</t>
        </is>
      </c>
      <c r="BA2504" t="inlineStr">
        <is>
          <t>2256636790002656</t>
        </is>
      </c>
      <c r="BB2504" t="inlineStr">
        <is>
          <t>BOOK</t>
        </is>
      </c>
      <c r="BD2504" t="inlineStr">
        <is>
          <t>9780631135838</t>
        </is>
      </c>
      <c r="BE2504" t="inlineStr">
        <is>
          <t>32285000995315</t>
        </is>
      </c>
      <c r="BF2504" t="inlineStr">
        <is>
          <t>893614403</t>
        </is>
      </c>
    </row>
    <row r="2505">
      <c r="A2505" t="inlineStr">
        <is>
          <t>No</t>
        </is>
      </c>
      <c r="B2505" t="inlineStr">
        <is>
          <t>CURAL</t>
        </is>
      </c>
      <c r="C2505" t="inlineStr">
        <is>
          <t>SHELVES</t>
        </is>
      </c>
      <c r="D2505" t="inlineStr">
        <is>
          <t>PR5588 .T56 1986</t>
        </is>
      </c>
      <c r="E2505" t="inlineStr">
        <is>
          <t>0                      PR 5588000T  56          1986</t>
        </is>
      </c>
      <c r="F2505" t="inlineStr">
        <is>
          <t>The poetry of Tennyson / Alastair W. Thomson.</t>
        </is>
      </c>
      <c r="H2505" t="inlineStr">
        <is>
          <t>No</t>
        </is>
      </c>
      <c r="I2505" t="inlineStr">
        <is>
          <t>1</t>
        </is>
      </c>
      <c r="J2505" t="inlineStr">
        <is>
          <t>No</t>
        </is>
      </c>
      <c r="K2505" t="inlineStr">
        <is>
          <t>No</t>
        </is>
      </c>
      <c r="L2505" t="inlineStr">
        <is>
          <t>0</t>
        </is>
      </c>
      <c r="M2505" t="inlineStr">
        <is>
          <t>Thomson, Alastair W.</t>
        </is>
      </c>
      <c r="N2505" t="inlineStr">
        <is>
          <t>London ; Boston : Routledge &amp; Kegan Paul, 1986.</t>
        </is>
      </c>
      <c r="O2505" t="inlineStr">
        <is>
          <t>1986</t>
        </is>
      </c>
      <c r="Q2505" t="inlineStr">
        <is>
          <t>eng</t>
        </is>
      </c>
      <c r="R2505" t="inlineStr">
        <is>
          <t>enk</t>
        </is>
      </c>
      <c r="T2505" t="inlineStr">
        <is>
          <t xml:space="preserve">PR </t>
        </is>
      </c>
      <c r="U2505" t="n">
        <v>6</v>
      </c>
      <c r="V2505" t="n">
        <v>6</v>
      </c>
      <c r="W2505" t="inlineStr">
        <is>
          <t>2005-03-21</t>
        </is>
      </c>
      <c r="X2505" t="inlineStr">
        <is>
          <t>2005-03-21</t>
        </is>
      </c>
      <c r="Y2505" t="inlineStr">
        <is>
          <t>1992-03-10</t>
        </is>
      </c>
      <c r="Z2505" t="inlineStr">
        <is>
          <t>1992-03-10</t>
        </is>
      </c>
      <c r="AA2505" t="n">
        <v>412</v>
      </c>
      <c r="AB2505" t="n">
        <v>281</v>
      </c>
      <c r="AC2505" t="n">
        <v>288</v>
      </c>
      <c r="AD2505" t="n">
        <v>2</v>
      </c>
      <c r="AE2505" t="n">
        <v>2</v>
      </c>
      <c r="AF2505" t="n">
        <v>17</v>
      </c>
      <c r="AG2505" t="n">
        <v>17</v>
      </c>
      <c r="AH2505" t="n">
        <v>6</v>
      </c>
      <c r="AI2505" t="n">
        <v>6</v>
      </c>
      <c r="AJ2505" t="n">
        <v>5</v>
      </c>
      <c r="AK2505" t="n">
        <v>5</v>
      </c>
      <c r="AL2505" t="n">
        <v>10</v>
      </c>
      <c r="AM2505" t="n">
        <v>10</v>
      </c>
      <c r="AN2505" t="n">
        <v>1</v>
      </c>
      <c r="AO2505" t="n">
        <v>1</v>
      </c>
      <c r="AP2505" t="n">
        <v>0</v>
      </c>
      <c r="AQ2505" t="n">
        <v>0</v>
      </c>
      <c r="AR2505" t="inlineStr">
        <is>
          <t>No</t>
        </is>
      </c>
      <c r="AS2505" t="inlineStr">
        <is>
          <t>Yes</t>
        </is>
      </c>
      <c r="AT2505">
        <f>HYPERLINK("http://catalog.hathitrust.org/Record/000443490","HathiTrust Record")</f>
        <v/>
      </c>
      <c r="AU2505">
        <f>HYPERLINK("https://creighton-primo.hosted.exlibrisgroup.com/primo-explore/search?tab=default_tab&amp;search_scope=EVERYTHING&amp;vid=01CRU&amp;lang=en_US&amp;offset=0&amp;query=any,contains,991000799419702656","Catalog Record")</f>
        <v/>
      </c>
      <c r="AV2505">
        <f>HYPERLINK("http://www.worldcat.org/oclc/13217880","WorldCat Record")</f>
        <v/>
      </c>
      <c r="AW2505" t="inlineStr">
        <is>
          <t>7119126:eng</t>
        </is>
      </c>
      <c r="AX2505" t="inlineStr">
        <is>
          <t>13217880</t>
        </is>
      </c>
      <c r="AY2505" t="inlineStr">
        <is>
          <t>991000799419702656</t>
        </is>
      </c>
      <c r="AZ2505" t="inlineStr">
        <is>
          <t>991000799419702656</t>
        </is>
      </c>
      <c r="BA2505" t="inlineStr">
        <is>
          <t>2260096800002656</t>
        </is>
      </c>
      <c r="BB2505" t="inlineStr">
        <is>
          <t>BOOK</t>
        </is>
      </c>
      <c r="BD2505" t="inlineStr">
        <is>
          <t>9780710207166</t>
        </is>
      </c>
      <c r="BE2505" t="inlineStr">
        <is>
          <t>32285000995323</t>
        </is>
      </c>
      <c r="BF2505" t="inlineStr">
        <is>
          <t>893413689</t>
        </is>
      </c>
    </row>
    <row r="2506">
      <c r="A2506" t="inlineStr">
        <is>
          <t>No</t>
        </is>
      </c>
      <c r="B2506" t="inlineStr">
        <is>
          <t>CURAL</t>
        </is>
      </c>
      <c r="C2506" t="inlineStr">
        <is>
          <t>SHELVES</t>
        </is>
      </c>
      <c r="D2506" t="inlineStr">
        <is>
          <t>PR5592.R63 T83 1988</t>
        </is>
      </c>
      <c r="E2506" t="inlineStr">
        <is>
          <t>0                      PR 5592000R  63                 T  83          1988</t>
        </is>
      </c>
      <c r="F2506" t="inlineStr">
        <is>
          <t>Tennyson and the doom of romanticism / Herbert F. Tucker.</t>
        </is>
      </c>
      <c r="H2506" t="inlineStr">
        <is>
          <t>No</t>
        </is>
      </c>
      <c r="I2506" t="inlineStr">
        <is>
          <t>1</t>
        </is>
      </c>
      <c r="J2506" t="inlineStr">
        <is>
          <t>No</t>
        </is>
      </c>
      <c r="K2506" t="inlineStr">
        <is>
          <t>No</t>
        </is>
      </c>
      <c r="L2506" t="inlineStr">
        <is>
          <t>0</t>
        </is>
      </c>
      <c r="M2506" t="inlineStr">
        <is>
          <t>Tucker, Herbert F.</t>
        </is>
      </c>
      <c r="N2506" t="inlineStr">
        <is>
          <t>Cambridge, Mass. : Harvard University Press, 1988.</t>
        </is>
      </c>
      <c r="O2506" t="inlineStr">
        <is>
          <t>1988</t>
        </is>
      </c>
      <c r="Q2506" t="inlineStr">
        <is>
          <t>eng</t>
        </is>
      </c>
      <c r="R2506" t="inlineStr">
        <is>
          <t>mau</t>
        </is>
      </c>
      <c r="T2506" t="inlineStr">
        <is>
          <t xml:space="preserve">PR </t>
        </is>
      </c>
      <c r="U2506" t="n">
        <v>5</v>
      </c>
      <c r="V2506" t="n">
        <v>5</v>
      </c>
      <c r="W2506" t="inlineStr">
        <is>
          <t>1995-11-16</t>
        </is>
      </c>
      <c r="X2506" t="inlineStr">
        <is>
          <t>1995-11-16</t>
        </is>
      </c>
      <c r="Y2506" t="inlineStr">
        <is>
          <t>1992-03-10</t>
        </is>
      </c>
      <c r="Z2506" t="inlineStr">
        <is>
          <t>1992-03-10</t>
        </is>
      </c>
      <c r="AA2506" t="n">
        <v>643</v>
      </c>
      <c r="AB2506" t="n">
        <v>513</v>
      </c>
      <c r="AC2506" t="n">
        <v>521</v>
      </c>
      <c r="AD2506" t="n">
        <v>3</v>
      </c>
      <c r="AE2506" t="n">
        <v>3</v>
      </c>
      <c r="AF2506" t="n">
        <v>31</v>
      </c>
      <c r="AG2506" t="n">
        <v>31</v>
      </c>
      <c r="AH2506" t="n">
        <v>12</v>
      </c>
      <c r="AI2506" t="n">
        <v>12</v>
      </c>
      <c r="AJ2506" t="n">
        <v>9</v>
      </c>
      <c r="AK2506" t="n">
        <v>9</v>
      </c>
      <c r="AL2506" t="n">
        <v>17</v>
      </c>
      <c r="AM2506" t="n">
        <v>17</v>
      </c>
      <c r="AN2506" t="n">
        <v>2</v>
      </c>
      <c r="AO2506" t="n">
        <v>2</v>
      </c>
      <c r="AP2506" t="n">
        <v>0</v>
      </c>
      <c r="AQ2506" t="n">
        <v>0</v>
      </c>
      <c r="AR2506" t="inlineStr">
        <is>
          <t>No</t>
        </is>
      </c>
      <c r="AS2506" t="inlineStr">
        <is>
          <t>Yes</t>
        </is>
      </c>
      <c r="AT2506">
        <f>HYPERLINK("http://catalog.hathitrust.org/Record/000877993","HathiTrust Record")</f>
        <v/>
      </c>
      <c r="AU2506">
        <f>HYPERLINK("https://creighton-primo.hosted.exlibrisgroup.com/primo-explore/search?tab=default_tab&amp;search_scope=EVERYTHING&amp;vid=01CRU&amp;lang=en_US&amp;offset=0&amp;query=any,contains,991001075719702656","Catalog Record")</f>
        <v/>
      </c>
      <c r="AV2506">
        <f>HYPERLINK("http://www.worldcat.org/oclc/16006131","WorldCat Record")</f>
        <v/>
      </c>
      <c r="AW2506" t="inlineStr">
        <is>
          <t>2684767:eng</t>
        </is>
      </c>
      <c r="AX2506" t="inlineStr">
        <is>
          <t>16006131</t>
        </is>
      </c>
      <c r="AY2506" t="inlineStr">
        <is>
          <t>991001075719702656</t>
        </is>
      </c>
      <c r="AZ2506" t="inlineStr">
        <is>
          <t>991001075719702656</t>
        </is>
      </c>
      <c r="BA2506" t="inlineStr">
        <is>
          <t>2265650750002656</t>
        </is>
      </c>
      <c r="BB2506" t="inlineStr">
        <is>
          <t>BOOK</t>
        </is>
      </c>
      <c r="BD2506" t="inlineStr">
        <is>
          <t>9780674874305</t>
        </is>
      </c>
      <c r="BE2506" t="inlineStr">
        <is>
          <t>32285000995331</t>
        </is>
      </c>
      <c r="BF2506" t="inlineStr">
        <is>
          <t>893715152</t>
        </is>
      </c>
    </row>
    <row r="2507">
      <c r="A2507" t="inlineStr">
        <is>
          <t>No</t>
        </is>
      </c>
      <c r="B2507" t="inlineStr">
        <is>
          <t>CURAL</t>
        </is>
      </c>
      <c r="C2507" t="inlineStr">
        <is>
          <t>SHELVES</t>
        </is>
      </c>
      <c r="D2507" t="inlineStr">
        <is>
          <t>PR5594 .P7</t>
        </is>
      </c>
      <c r="E2507" t="inlineStr">
        <is>
          <t>0                      PR 5594000P  7</t>
        </is>
      </c>
      <c r="F2507" t="inlineStr">
        <is>
          <t>Language and structure in Tennyson's poetry / [by] F. E. L. Priestley.</t>
        </is>
      </c>
      <c r="H2507" t="inlineStr">
        <is>
          <t>No</t>
        </is>
      </c>
      <c r="I2507" t="inlineStr">
        <is>
          <t>1</t>
        </is>
      </c>
      <c r="J2507" t="inlineStr">
        <is>
          <t>No</t>
        </is>
      </c>
      <c r="K2507" t="inlineStr">
        <is>
          <t>No</t>
        </is>
      </c>
      <c r="L2507" t="inlineStr">
        <is>
          <t>0</t>
        </is>
      </c>
      <c r="M2507" t="inlineStr">
        <is>
          <t>Priestley, F. E. L. (Francis Ethelbert Louis), 1905-</t>
        </is>
      </c>
      <c r="N2507" t="inlineStr">
        <is>
          <t>London : Deutsch, 1973.</t>
        </is>
      </c>
      <c r="O2507" t="inlineStr">
        <is>
          <t>1973</t>
        </is>
      </c>
      <c r="Q2507" t="inlineStr">
        <is>
          <t>eng</t>
        </is>
      </c>
      <c r="R2507" t="inlineStr">
        <is>
          <t>enk</t>
        </is>
      </c>
      <c r="S2507" t="inlineStr">
        <is>
          <t>The Language library</t>
        </is>
      </c>
      <c r="T2507" t="inlineStr">
        <is>
          <t xml:space="preserve">PR </t>
        </is>
      </c>
      <c r="U2507" t="n">
        <v>3</v>
      </c>
      <c r="V2507" t="n">
        <v>3</v>
      </c>
      <c r="W2507" t="inlineStr">
        <is>
          <t>1995-11-16</t>
        </is>
      </c>
      <c r="X2507" t="inlineStr">
        <is>
          <t>1995-11-16</t>
        </is>
      </c>
      <c r="Y2507" t="inlineStr">
        <is>
          <t>1994-01-24</t>
        </is>
      </c>
      <c r="Z2507" t="inlineStr">
        <is>
          <t>1994-01-24</t>
        </is>
      </c>
      <c r="AA2507" t="n">
        <v>557</v>
      </c>
      <c r="AB2507" t="n">
        <v>369</v>
      </c>
      <c r="AC2507" t="n">
        <v>371</v>
      </c>
      <c r="AD2507" t="n">
        <v>4</v>
      </c>
      <c r="AE2507" t="n">
        <v>4</v>
      </c>
      <c r="AF2507" t="n">
        <v>22</v>
      </c>
      <c r="AG2507" t="n">
        <v>22</v>
      </c>
      <c r="AH2507" t="n">
        <v>7</v>
      </c>
      <c r="AI2507" t="n">
        <v>7</v>
      </c>
      <c r="AJ2507" t="n">
        <v>7</v>
      </c>
      <c r="AK2507" t="n">
        <v>7</v>
      </c>
      <c r="AL2507" t="n">
        <v>10</v>
      </c>
      <c r="AM2507" t="n">
        <v>10</v>
      </c>
      <c r="AN2507" t="n">
        <v>3</v>
      </c>
      <c r="AO2507" t="n">
        <v>3</v>
      </c>
      <c r="AP2507" t="n">
        <v>0</v>
      </c>
      <c r="AQ2507" t="n">
        <v>0</v>
      </c>
      <c r="AR2507" t="inlineStr">
        <is>
          <t>No</t>
        </is>
      </c>
      <c r="AS2507" t="inlineStr">
        <is>
          <t>Yes</t>
        </is>
      </c>
      <c r="AT2507">
        <f>HYPERLINK("http://catalog.hathitrust.org/Record/007112828","HathiTrust Record")</f>
        <v/>
      </c>
      <c r="AU2507">
        <f>HYPERLINK("https://creighton-primo.hosted.exlibrisgroup.com/primo-explore/search?tab=default_tab&amp;search_scope=EVERYTHING&amp;vid=01CRU&amp;lang=en_US&amp;offset=0&amp;query=any,contains,991003189799702656","Catalog Record")</f>
        <v/>
      </c>
      <c r="AV2507">
        <f>HYPERLINK("http://www.worldcat.org/oclc/714989","WorldCat Record")</f>
        <v/>
      </c>
      <c r="AW2507" t="inlineStr">
        <is>
          <t>1679986:eng</t>
        </is>
      </c>
      <c r="AX2507" t="inlineStr">
        <is>
          <t>714989</t>
        </is>
      </c>
      <c r="AY2507" t="inlineStr">
        <is>
          <t>991003189799702656</t>
        </is>
      </c>
      <c r="AZ2507" t="inlineStr">
        <is>
          <t>991003189799702656</t>
        </is>
      </c>
      <c r="BA2507" t="inlineStr">
        <is>
          <t>2256154790002656</t>
        </is>
      </c>
      <c r="BB2507" t="inlineStr">
        <is>
          <t>BOOK</t>
        </is>
      </c>
      <c r="BD2507" t="inlineStr">
        <is>
          <t>9780233963907</t>
        </is>
      </c>
      <c r="BE2507" t="inlineStr">
        <is>
          <t>32285001835643</t>
        </is>
      </c>
      <c r="BF2507" t="inlineStr">
        <is>
          <t>893787052</t>
        </is>
      </c>
    </row>
    <row r="2508">
      <c r="A2508" t="inlineStr">
        <is>
          <t>No</t>
        </is>
      </c>
      <c r="B2508" t="inlineStr">
        <is>
          <t>CURAL</t>
        </is>
      </c>
      <c r="C2508" t="inlineStr">
        <is>
          <t>SHELVES</t>
        </is>
      </c>
      <c r="D2508" t="inlineStr">
        <is>
          <t>PR56 .A68 1993</t>
        </is>
      </c>
      <c r="E2508" t="inlineStr">
        <is>
          <t>0                      PR 0056000A  68          1993</t>
        </is>
      </c>
      <c r="F2508" t="inlineStr">
        <is>
          <t>The art of literary research / Richard D. Altick and John J. Fenstermaker.</t>
        </is>
      </c>
      <c r="H2508" t="inlineStr">
        <is>
          <t>No</t>
        </is>
      </c>
      <c r="I2508" t="inlineStr">
        <is>
          <t>1</t>
        </is>
      </c>
      <c r="J2508" t="inlineStr">
        <is>
          <t>No</t>
        </is>
      </c>
      <c r="K2508" t="inlineStr">
        <is>
          <t>No</t>
        </is>
      </c>
      <c r="L2508" t="inlineStr">
        <is>
          <t>0</t>
        </is>
      </c>
      <c r="M2508" t="inlineStr">
        <is>
          <t>Altick, Richard D. (Richard Daniel), 1915-2008.</t>
        </is>
      </c>
      <c r="N2508" t="inlineStr">
        <is>
          <t>New York : Norton, c1993.</t>
        </is>
      </c>
      <c r="O2508" t="inlineStr">
        <is>
          <t>1993</t>
        </is>
      </c>
      <c r="P2508" t="inlineStr">
        <is>
          <t>4th ed.</t>
        </is>
      </c>
      <c r="Q2508" t="inlineStr">
        <is>
          <t>eng</t>
        </is>
      </c>
      <c r="R2508" t="inlineStr">
        <is>
          <t>nyu</t>
        </is>
      </c>
      <c r="T2508" t="inlineStr">
        <is>
          <t xml:space="preserve">PR </t>
        </is>
      </c>
      <c r="U2508" t="n">
        <v>5</v>
      </c>
      <c r="V2508" t="n">
        <v>5</v>
      </c>
      <c r="W2508" t="inlineStr">
        <is>
          <t>1997-09-27</t>
        </is>
      </c>
      <c r="X2508" t="inlineStr">
        <is>
          <t>1997-09-27</t>
        </is>
      </c>
      <c r="Y2508" t="inlineStr">
        <is>
          <t>1994-01-20</t>
        </is>
      </c>
      <c r="Z2508" t="inlineStr">
        <is>
          <t>1994-01-20</t>
        </is>
      </c>
      <c r="AA2508" t="n">
        <v>762</v>
      </c>
      <c r="AB2508" t="n">
        <v>630</v>
      </c>
      <c r="AC2508" t="n">
        <v>1544</v>
      </c>
      <c r="AD2508" t="n">
        <v>4</v>
      </c>
      <c r="AE2508" t="n">
        <v>11</v>
      </c>
      <c r="AF2508" t="n">
        <v>30</v>
      </c>
      <c r="AG2508" t="n">
        <v>58</v>
      </c>
      <c r="AH2508" t="n">
        <v>13</v>
      </c>
      <c r="AI2508" t="n">
        <v>24</v>
      </c>
      <c r="AJ2508" t="n">
        <v>7</v>
      </c>
      <c r="AK2508" t="n">
        <v>10</v>
      </c>
      <c r="AL2508" t="n">
        <v>15</v>
      </c>
      <c r="AM2508" t="n">
        <v>26</v>
      </c>
      <c r="AN2508" t="n">
        <v>3</v>
      </c>
      <c r="AO2508" t="n">
        <v>10</v>
      </c>
      <c r="AP2508" t="n">
        <v>0</v>
      </c>
      <c r="AQ2508" t="n">
        <v>0</v>
      </c>
      <c r="AR2508" t="inlineStr">
        <is>
          <t>No</t>
        </is>
      </c>
      <c r="AS2508" t="inlineStr">
        <is>
          <t>No</t>
        </is>
      </c>
      <c r="AU2508">
        <f>HYPERLINK("https://creighton-primo.hosted.exlibrisgroup.com/primo-explore/search?tab=default_tab&amp;search_scope=EVERYTHING&amp;vid=01CRU&amp;lang=en_US&amp;offset=0&amp;query=any,contains,991001939279702656","Catalog Record")</f>
        <v/>
      </c>
      <c r="AV2508">
        <f>HYPERLINK("http://www.worldcat.org/oclc/24502710","WorldCat Record")</f>
        <v/>
      </c>
      <c r="AW2508" t="inlineStr">
        <is>
          <t>119996157:eng</t>
        </is>
      </c>
      <c r="AX2508" t="inlineStr">
        <is>
          <t>24502710</t>
        </is>
      </c>
      <c r="AY2508" t="inlineStr">
        <is>
          <t>991001939279702656</t>
        </is>
      </c>
      <c r="AZ2508" t="inlineStr">
        <is>
          <t>991001939279702656</t>
        </is>
      </c>
      <c r="BA2508" t="inlineStr">
        <is>
          <t>2266630100002656</t>
        </is>
      </c>
      <c r="BB2508" t="inlineStr">
        <is>
          <t>BOOK</t>
        </is>
      </c>
      <c r="BD2508" t="inlineStr">
        <is>
          <t>9780393962406</t>
        </is>
      </c>
      <c r="BE2508" t="inlineStr">
        <is>
          <t>32285001831832</t>
        </is>
      </c>
      <c r="BF2508" t="inlineStr">
        <is>
          <t>893804041</t>
        </is>
      </c>
    </row>
    <row r="2509">
      <c r="A2509" t="inlineStr">
        <is>
          <t>No</t>
        </is>
      </c>
      <c r="B2509" t="inlineStr">
        <is>
          <t>CURAL</t>
        </is>
      </c>
      <c r="C2509" t="inlineStr">
        <is>
          <t>SHELVES</t>
        </is>
      </c>
      <c r="D2509" t="inlineStr">
        <is>
          <t>PR56 .S3</t>
        </is>
      </c>
      <c r="E2509" t="inlineStr">
        <is>
          <t>0                      PR 0056000S  3</t>
        </is>
      </c>
      <c r="F2509" t="inlineStr">
        <is>
          <t>An introduction to research in English literary history. With a chapter on research in folklore, by Stith Thompson.</t>
        </is>
      </c>
      <c r="H2509" t="inlineStr">
        <is>
          <t>No</t>
        </is>
      </c>
      <c r="I2509" t="inlineStr">
        <is>
          <t>1</t>
        </is>
      </c>
      <c r="J2509" t="inlineStr">
        <is>
          <t>No</t>
        </is>
      </c>
      <c r="K2509" t="inlineStr">
        <is>
          <t>No</t>
        </is>
      </c>
      <c r="L2509" t="inlineStr">
        <is>
          <t>0</t>
        </is>
      </c>
      <c r="M2509" t="inlineStr">
        <is>
          <t>Sanders, Chauncey.</t>
        </is>
      </c>
      <c r="N2509" t="inlineStr">
        <is>
          <t>New York, Macmillan [1952]</t>
        </is>
      </c>
      <c r="O2509" t="inlineStr">
        <is>
          <t>1952</t>
        </is>
      </c>
      <c r="Q2509" t="inlineStr">
        <is>
          <t>eng</t>
        </is>
      </c>
      <c r="R2509" t="inlineStr">
        <is>
          <t>nyu</t>
        </is>
      </c>
      <c r="T2509" t="inlineStr">
        <is>
          <t xml:space="preserve">PR </t>
        </is>
      </c>
      <c r="U2509" t="n">
        <v>2</v>
      </c>
      <c r="V2509" t="n">
        <v>2</v>
      </c>
      <c r="W2509" t="inlineStr">
        <is>
          <t>2003-12-05</t>
        </is>
      </c>
      <c r="X2509" t="inlineStr">
        <is>
          <t>2003-12-05</t>
        </is>
      </c>
      <c r="Y2509" t="inlineStr">
        <is>
          <t>1997-08-13</t>
        </is>
      </c>
      <c r="Z2509" t="inlineStr">
        <is>
          <t>1997-08-13</t>
        </is>
      </c>
      <c r="AA2509" t="n">
        <v>698</v>
      </c>
      <c r="AB2509" t="n">
        <v>645</v>
      </c>
      <c r="AC2509" t="n">
        <v>677</v>
      </c>
      <c r="AD2509" t="n">
        <v>7</v>
      </c>
      <c r="AE2509" t="n">
        <v>7</v>
      </c>
      <c r="AF2509" t="n">
        <v>36</v>
      </c>
      <c r="AG2509" t="n">
        <v>36</v>
      </c>
      <c r="AH2509" t="n">
        <v>13</v>
      </c>
      <c r="AI2509" t="n">
        <v>13</v>
      </c>
      <c r="AJ2509" t="n">
        <v>5</v>
      </c>
      <c r="AK2509" t="n">
        <v>5</v>
      </c>
      <c r="AL2509" t="n">
        <v>19</v>
      </c>
      <c r="AM2509" t="n">
        <v>19</v>
      </c>
      <c r="AN2509" t="n">
        <v>6</v>
      </c>
      <c r="AO2509" t="n">
        <v>6</v>
      </c>
      <c r="AP2509" t="n">
        <v>0</v>
      </c>
      <c r="AQ2509" t="n">
        <v>0</v>
      </c>
      <c r="AR2509" t="inlineStr">
        <is>
          <t>No</t>
        </is>
      </c>
      <c r="AS2509" t="inlineStr">
        <is>
          <t>Yes</t>
        </is>
      </c>
      <c r="AT2509">
        <f>HYPERLINK("http://catalog.hathitrust.org/Record/001016193","HathiTrust Record")</f>
        <v/>
      </c>
      <c r="AU2509">
        <f>HYPERLINK("https://creighton-primo.hosted.exlibrisgroup.com/primo-explore/search?tab=default_tab&amp;search_scope=EVERYTHING&amp;vid=01CRU&amp;lang=en_US&amp;offset=0&amp;query=any,contains,991003451779702656","Catalog Record")</f>
        <v/>
      </c>
      <c r="AV2509">
        <f>HYPERLINK("http://www.worldcat.org/oclc/990373","WorldCat Record")</f>
        <v/>
      </c>
      <c r="AW2509" t="inlineStr">
        <is>
          <t>1498212:eng</t>
        </is>
      </c>
      <c r="AX2509" t="inlineStr">
        <is>
          <t>990373</t>
        </is>
      </c>
      <c r="AY2509" t="inlineStr">
        <is>
          <t>991003451779702656</t>
        </is>
      </c>
      <c r="AZ2509" t="inlineStr">
        <is>
          <t>991003451779702656</t>
        </is>
      </c>
      <c r="BA2509" t="inlineStr">
        <is>
          <t>2257444890002656</t>
        </is>
      </c>
      <c r="BB2509" t="inlineStr">
        <is>
          <t>BOOK</t>
        </is>
      </c>
      <c r="BE2509" t="inlineStr">
        <is>
          <t>32285003063301</t>
        </is>
      </c>
      <c r="BF2509" t="inlineStr">
        <is>
          <t>893881170</t>
        </is>
      </c>
    </row>
    <row r="2510">
      <c r="A2510" t="inlineStr">
        <is>
          <t>No</t>
        </is>
      </c>
      <c r="B2510" t="inlineStr">
        <is>
          <t>CURAL</t>
        </is>
      </c>
      <c r="C2510" t="inlineStr">
        <is>
          <t>SHELVES</t>
        </is>
      </c>
      <c r="D2510" t="inlineStr">
        <is>
          <t>PR5608.A2 S36 1999</t>
        </is>
      </c>
      <c r="E2510" t="inlineStr">
        <is>
          <t>0                      PR 5608000A  2                  S  36          1999</t>
        </is>
      </c>
      <c r="F2510" t="inlineStr">
        <is>
          <t>The memoirs of Barry Lyndon, Esq. / edited with an introduction and notes by Andrew Sanders.</t>
        </is>
      </c>
      <c r="H2510" t="inlineStr">
        <is>
          <t>No</t>
        </is>
      </c>
      <c r="I2510" t="inlineStr">
        <is>
          <t>1</t>
        </is>
      </c>
      <c r="J2510" t="inlineStr">
        <is>
          <t>No</t>
        </is>
      </c>
      <c r="K2510" t="inlineStr">
        <is>
          <t>No</t>
        </is>
      </c>
      <c r="L2510" t="inlineStr">
        <is>
          <t>0</t>
        </is>
      </c>
      <c r="M2510" t="inlineStr">
        <is>
          <t>Thackeray, William Makepeace, 1811-1863.</t>
        </is>
      </c>
      <c r="N2510" t="inlineStr">
        <is>
          <t>Oxford ; New York : Oxford University Press, 1999.</t>
        </is>
      </c>
      <c r="O2510" t="inlineStr">
        <is>
          <t>1999</t>
        </is>
      </c>
      <c r="Q2510" t="inlineStr">
        <is>
          <t>eng</t>
        </is>
      </c>
      <c r="R2510" t="inlineStr">
        <is>
          <t>enk</t>
        </is>
      </c>
      <c r="S2510" t="inlineStr">
        <is>
          <t>Oxford world's classics</t>
        </is>
      </c>
      <c r="T2510" t="inlineStr">
        <is>
          <t xml:space="preserve">PR </t>
        </is>
      </c>
      <c r="U2510" t="n">
        <v>1</v>
      </c>
      <c r="V2510" t="n">
        <v>1</v>
      </c>
      <c r="W2510" t="inlineStr">
        <is>
          <t>2004-11-10</t>
        </is>
      </c>
      <c r="X2510" t="inlineStr">
        <is>
          <t>2004-11-10</t>
        </is>
      </c>
      <c r="Y2510" t="inlineStr">
        <is>
          <t>2004-11-10</t>
        </is>
      </c>
      <c r="Z2510" t="inlineStr">
        <is>
          <t>2004-11-10</t>
        </is>
      </c>
      <c r="AA2510" t="n">
        <v>130</v>
      </c>
      <c r="AB2510" t="n">
        <v>89</v>
      </c>
      <c r="AC2510" t="n">
        <v>823</v>
      </c>
      <c r="AD2510" t="n">
        <v>1</v>
      </c>
      <c r="AE2510" t="n">
        <v>7</v>
      </c>
      <c r="AF2510" t="n">
        <v>2</v>
      </c>
      <c r="AG2510" t="n">
        <v>18</v>
      </c>
      <c r="AH2510" t="n">
        <v>1</v>
      </c>
      <c r="AI2510" t="n">
        <v>9</v>
      </c>
      <c r="AJ2510" t="n">
        <v>1</v>
      </c>
      <c r="AK2510" t="n">
        <v>3</v>
      </c>
      <c r="AL2510" t="n">
        <v>2</v>
      </c>
      <c r="AM2510" t="n">
        <v>7</v>
      </c>
      <c r="AN2510" t="n">
        <v>0</v>
      </c>
      <c r="AO2510" t="n">
        <v>5</v>
      </c>
      <c r="AP2510" t="n">
        <v>0</v>
      </c>
      <c r="AQ2510" t="n">
        <v>0</v>
      </c>
      <c r="AR2510" t="inlineStr">
        <is>
          <t>No</t>
        </is>
      </c>
      <c r="AS2510" t="inlineStr">
        <is>
          <t>No</t>
        </is>
      </c>
      <c r="AU2510">
        <f>HYPERLINK("https://creighton-primo.hosted.exlibrisgroup.com/primo-explore/search?tab=default_tab&amp;search_scope=EVERYTHING&amp;vid=01CRU&amp;lang=en_US&amp;offset=0&amp;query=any,contains,991004415379702656","Catalog Record")</f>
        <v/>
      </c>
      <c r="AV2510">
        <f>HYPERLINK("http://www.worldcat.org/oclc/42395003","WorldCat Record")</f>
        <v/>
      </c>
      <c r="AW2510" t="inlineStr">
        <is>
          <t>2863394702:eng</t>
        </is>
      </c>
      <c r="AX2510" t="inlineStr">
        <is>
          <t>42395003</t>
        </is>
      </c>
      <c r="AY2510" t="inlineStr">
        <is>
          <t>991004415379702656</t>
        </is>
      </c>
      <c r="AZ2510" t="inlineStr">
        <is>
          <t>991004415379702656</t>
        </is>
      </c>
      <c r="BA2510" t="inlineStr">
        <is>
          <t>2265417100002656</t>
        </is>
      </c>
      <c r="BB2510" t="inlineStr">
        <is>
          <t>BOOK</t>
        </is>
      </c>
      <c r="BD2510" t="inlineStr">
        <is>
          <t>9780192836281</t>
        </is>
      </c>
      <c r="BE2510" t="inlineStr">
        <is>
          <t>32285005005268</t>
        </is>
      </c>
      <c r="BF2510" t="inlineStr">
        <is>
          <t>893436256</t>
        </is>
      </c>
    </row>
    <row r="2511">
      <c r="A2511" t="inlineStr">
        <is>
          <t>No</t>
        </is>
      </c>
      <c r="B2511" t="inlineStr">
        <is>
          <t>CURAL</t>
        </is>
      </c>
      <c r="C2511" t="inlineStr">
        <is>
          <t>SHELVES</t>
        </is>
      </c>
      <c r="D2511" t="inlineStr">
        <is>
          <t>PR5618 .S8</t>
        </is>
      </c>
      <c r="E2511" t="inlineStr">
        <is>
          <t>0                      PR 5618000S  8</t>
        </is>
      </c>
      <c r="F2511" t="inlineStr">
        <is>
          <t>Twentieth century interpretations of Vanity fair; a collection of critical essays, edited by M. G. Sundell.</t>
        </is>
      </c>
      <c r="H2511" t="inlineStr">
        <is>
          <t>No</t>
        </is>
      </c>
      <c r="I2511" t="inlineStr">
        <is>
          <t>1</t>
        </is>
      </c>
      <c r="J2511" t="inlineStr">
        <is>
          <t>No</t>
        </is>
      </c>
      <c r="K2511" t="inlineStr">
        <is>
          <t>No</t>
        </is>
      </c>
      <c r="L2511" t="inlineStr">
        <is>
          <t>0</t>
        </is>
      </c>
      <c r="M2511" t="inlineStr">
        <is>
          <t>Sundell, M. G., compiler.</t>
        </is>
      </c>
      <c r="N2511" t="inlineStr">
        <is>
          <t>Englewood Cliffs, N.J., Prentice-Hall [1969]</t>
        </is>
      </c>
      <c r="O2511" t="inlineStr">
        <is>
          <t>1969</t>
        </is>
      </c>
      <c r="Q2511" t="inlineStr">
        <is>
          <t>eng</t>
        </is>
      </c>
      <c r="R2511" t="inlineStr">
        <is>
          <t>nju</t>
        </is>
      </c>
      <c r="S2511" t="inlineStr">
        <is>
          <t>A Spectrum book.</t>
        </is>
      </c>
      <c r="T2511" t="inlineStr">
        <is>
          <t xml:space="preserve">PR </t>
        </is>
      </c>
      <c r="U2511" t="n">
        <v>6</v>
      </c>
      <c r="V2511" t="n">
        <v>6</v>
      </c>
      <c r="W2511" t="inlineStr">
        <is>
          <t>1999-12-14</t>
        </is>
      </c>
      <c r="X2511" t="inlineStr">
        <is>
          <t>1999-12-14</t>
        </is>
      </c>
      <c r="Y2511" t="inlineStr">
        <is>
          <t>1997-07-21</t>
        </is>
      </c>
      <c r="Z2511" t="inlineStr">
        <is>
          <t>1997-07-21</t>
        </is>
      </c>
      <c r="AA2511" t="n">
        <v>1588</v>
      </c>
      <c r="AB2511" t="n">
        <v>1420</v>
      </c>
      <c r="AC2511" t="n">
        <v>1428</v>
      </c>
      <c r="AD2511" t="n">
        <v>14</v>
      </c>
      <c r="AE2511" t="n">
        <v>14</v>
      </c>
      <c r="AF2511" t="n">
        <v>47</v>
      </c>
      <c r="AG2511" t="n">
        <v>47</v>
      </c>
      <c r="AH2511" t="n">
        <v>17</v>
      </c>
      <c r="AI2511" t="n">
        <v>17</v>
      </c>
      <c r="AJ2511" t="n">
        <v>10</v>
      </c>
      <c r="AK2511" t="n">
        <v>10</v>
      </c>
      <c r="AL2511" t="n">
        <v>21</v>
      </c>
      <c r="AM2511" t="n">
        <v>21</v>
      </c>
      <c r="AN2511" t="n">
        <v>9</v>
      </c>
      <c r="AO2511" t="n">
        <v>9</v>
      </c>
      <c r="AP2511" t="n">
        <v>0</v>
      </c>
      <c r="AQ2511" t="n">
        <v>0</v>
      </c>
      <c r="AR2511" t="inlineStr">
        <is>
          <t>No</t>
        </is>
      </c>
      <c r="AS2511" t="inlineStr">
        <is>
          <t>Yes</t>
        </is>
      </c>
      <c r="AT2511">
        <f>HYPERLINK("http://catalog.hathitrust.org/Record/001024725","HathiTrust Record")</f>
        <v/>
      </c>
      <c r="AU2511">
        <f>HYPERLINK("https://creighton-primo.hosted.exlibrisgroup.com/primo-explore/search?tab=default_tab&amp;search_scope=EVERYTHING&amp;vid=01CRU&amp;lang=en_US&amp;offset=0&amp;query=any,contains,991000070989702656","Catalog Record")</f>
        <v/>
      </c>
      <c r="AV2511">
        <f>HYPERLINK("http://www.worldcat.org/oclc/28238","WorldCat Record")</f>
        <v/>
      </c>
      <c r="AW2511" t="inlineStr">
        <is>
          <t>365768414:eng</t>
        </is>
      </c>
      <c r="AX2511" t="inlineStr">
        <is>
          <t>28238</t>
        </is>
      </c>
      <c r="AY2511" t="inlineStr">
        <is>
          <t>991000070989702656</t>
        </is>
      </c>
      <c r="AZ2511" t="inlineStr">
        <is>
          <t>991000070989702656</t>
        </is>
      </c>
      <c r="BA2511" t="inlineStr">
        <is>
          <t>2264826970002656</t>
        </is>
      </c>
      <c r="BB2511" t="inlineStr">
        <is>
          <t>BOOK</t>
        </is>
      </c>
      <c r="BD2511" t="inlineStr">
        <is>
          <t>9780139403873</t>
        </is>
      </c>
      <c r="BE2511" t="inlineStr">
        <is>
          <t>32285002950037</t>
        </is>
      </c>
      <c r="BF2511" t="inlineStr">
        <is>
          <t>893890371</t>
        </is>
      </c>
    </row>
    <row r="2512">
      <c r="A2512" t="inlineStr">
        <is>
          <t>No</t>
        </is>
      </c>
      <c r="B2512" t="inlineStr">
        <is>
          <t>CURAL</t>
        </is>
      </c>
      <c r="C2512" t="inlineStr">
        <is>
          <t>SHELVES</t>
        </is>
      </c>
      <c r="D2512" t="inlineStr">
        <is>
          <t>PR5631 .P47 1987</t>
        </is>
      </c>
      <c r="E2512" t="inlineStr">
        <is>
          <t>0                      PR 5631000P  47          1987</t>
        </is>
      </c>
      <c r="F2512" t="inlineStr">
        <is>
          <t>Thackeray's universe : shifting worlds of imagination and reality / Catherine Peters.</t>
        </is>
      </c>
      <c r="H2512" t="inlineStr">
        <is>
          <t>No</t>
        </is>
      </c>
      <c r="I2512" t="inlineStr">
        <is>
          <t>1</t>
        </is>
      </c>
      <c r="J2512" t="inlineStr">
        <is>
          <t>No</t>
        </is>
      </c>
      <c r="K2512" t="inlineStr">
        <is>
          <t>No</t>
        </is>
      </c>
      <c r="L2512" t="inlineStr">
        <is>
          <t>0</t>
        </is>
      </c>
      <c r="M2512" t="inlineStr">
        <is>
          <t>Peters, Catherine.</t>
        </is>
      </c>
      <c r="N2512" t="inlineStr">
        <is>
          <t>London : Faber, 1987.</t>
        </is>
      </c>
      <c r="O2512" t="inlineStr">
        <is>
          <t>1987</t>
        </is>
      </c>
      <c r="Q2512" t="inlineStr">
        <is>
          <t>eng</t>
        </is>
      </c>
      <c r="R2512" t="inlineStr">
        <is>
          <t>enk</t>
        </is>
      </c>
      <c r="T2512" t="inlineStr">
        <is>
          <t xml:space="preserve">PR </t>
        </is>
      </c>
      <c r="U2512" t="n">
        <v>8</v>
      </c>
      <c r="V2512" t="n">
        <v>8</v>
      </c>
      <c r="W2512" t="inlineStr">
        <is>
          <t>1999-12-14</t>
        </is>
      </c>
      <c r="X2512" t="inlineStr">
        <is>
          <t>1999-12-14</t>
        </is>
      </c>
      <c r="Y2512" t="inlineStr">
        <is>
          <t>1992-03-12</t>
        </is>
      </c>
      <c r="Z2512" t="inlineStr">
        <is>
          <t>1992-03-12</t>
        </is>
      </c>
      <c r="AA2512" t="n">
        <v>205</v>
      </c>
      <c r="AB2512" t="n">
        <v>87</v>
      </c>
      <c r="AC2512" t="n">
        <v>441</v>
      </c>
      <c r="AD2512" t="n">
        <v>3</v>
      </c>
      <c r="AE2512" t="n">
        <v>5</v>
      </c>
      <c r="AF2512" t="n">
        <v>5</v>
      </c>
      <c r="AG2512" t="n">
        <v>24</v>
      </c>
      <c r="AH2512" t="n">
        <v>0</v>
      </c>
      <c r="AI2512" t="n">
        <v>6</v>
      </c>
      <c r="AJ2512" t="n">
        <v>1</v>
      </c>
      <c r="AK2512" t="n">
        <v>7</v>
      </c>
      <c r="AL2512" t="n">
        <v>3</v>
      </c>
      <c r="AM2512" t="n">
        <v>14</v>
      </c>
      <c r="AN2512" t="n">
        <v>2</v>
      </c>
      <c r="AO2512" t="n">
        <v>4</v>
      </c>
      <c r="AP2512" t="n">
        <v>0</v>
      </c>
      <c r="AQ2512" t="n">
        <v>0</v>
      </c>
      <c r="AR2512" t="inlineStr">
        <is>
          <t>No</t>
        </is>
      </c>
      <c r="AS2512" t="inlineStr">
        <is>
          <t>No</t>
        </is>
      </c>
      <c r="AU2512">
        <f>HYPERLINK("https://creighton-primo.hosted.exlibrisgroup.com/primo-explore/search?tab=default_tab&amp;search_scope=EVERYTHING&amp;vid=01CRU&amp;lang=en_US&amp;offset=0&amp;query=any,contains,991000916069702656","Catalog Record")</f>
        <v/>
      </c>
      <c r="AV2512">
        <f>HYPERLINK("http://www.worldcat.org/oclc/14168724","WorldCat Record")</f>
        <v/>
      </c>
      <c r="AW2512" t="inlineStr">
        <is>
          <t>863899696:eng</t>
        </is>
      </c>
      <c r="AX2512" t="inlineStr">
        <is>
          <t>14168724</t>
        </is>
      </c>
      <c r="AY2512" t="inlineStr">
        <is>
          <t>991000916069702656</t>
        </is>
      </c>
      <c r="AZ2512" t="inlineStr">
        <is>
          <t>991000916069702656</t>
        </is>
      </c>
      <c r="BA2512" t="inlineStr">
        <is>
          <t>2271597510002656</t>
        </is>
      </c>
      <c r="BB2512" t="inlineStr">
        <is>
          <t>BOOK</t>
        </is>
      </c>
      <c r="BD2512" t="inlineStr">
        <is>
          <t>9780571147113</t>
        </is>
      </c>
      <c r="BE2512" t="inlineStr">
        <is>
          <t>32285000997014</t>
        </is>
      </c>
      <c r="BF2512" t="inlineStr">
        <is>
          <t>893351707</t>
        </is>
      </c>
    </row>
    <row r="2513">
      <c r="A2513" t="inlineStr">
        <is>
          <t>No</t>
        </is>
      </c>
      <c r="B2513" t="inlineStr">
        <is>
          <t>CURAL</t>
        </is>
      </c>
      <c r="C2513" t="inlineStr">
        <is>
          <t>SHELVES</t>
        </is>
      </c>
      <c r="D2513" t="inlineStr">
        <is>
          <t>PR5631 .S48 2001</t>
        </is>
      </c>
      <c r="E2513" t="inlineStr">
        <is>
          <t>0                      PR 5631000S  48          2001</t>
        </is>
      </c>
      <c r="F2513" t="inlineStr">
        <is>
          <t>William Makepeace Thackeray : a literary life / Peter Shillingsburg.</t>
        </is>
      </c>
      <c r="H2513" t="inlineStr">
        <is>
          <t>No</t>
        </is>
      </c>
      <c r="I2513" t="inlineStr">
        <is>
          <t>1</t>
        </is>
      </c>
      <c r="J2513" t="inlineStr">
        <is>
          <t>No</t>
        </is>
      </c>
      <c r="K2513" t="inlineStr">
        <is>
          <t>No</t>
        </is>
      </c>
      <c r="L2513" t="inlineStr">
        <is>
          <t>0</t>
        </is>
      </c>
      <c r="M2513" t="inlineStr">
        <is>
          <t>Shillingsburg, Peter L.</t>
        </is>
      </c>
      <c r="N2513" t="inlineStr">
        <is>
          <t>Basingstoke, Hampshire, England ; New York : Palgrave, 2001.</t>
        </is>
      </c>
      <c r="O2513" t="inlineStr">
        <is>
          <t>2001</t>
        </is>
      </c>
      <c r="Q2513" t="inlineStr">
        <is>
          <t>eng</t>
        </is>
      </c>
      <c r="R2513" t="inlineStr">
        <is>
          <t>enk</t>
        </is>
      </c>
      <c r="S2513" t="inlineStr">
        <is>
          <t>Literary lives</t>
        </is>
      </c>
      <c r="T2513" t="inlineStr">
        <is>
          <t xml:space="preserve">PR </t>
        </is>
      </c>
      <c r="U2513" t="n">
        <v>3</v>
      </c>
      <c r="V2513" t="n">
        <v>3</v>
      </c>
      <c r="W2513" t="inlineStr">
        <is>
          <t>2005-03-21</t>
        </is>
      </c>
      <c r="X2513" t="inlineStr">
        <is>
          <t>2005-03-21</t>
        </is>
      </c>
      <c r="Y2513" t="inlineStr">
        <is>
          <t>2001-11-12</t>
        </is>
      </c>
      <c r="Z2513" t="inlineStr">
        <is>
          <t>2001-11-12</t>
        </is>
      </c>
      <c r="AA2513" t="n">
        <v>465</v>
      </c>
      <c r="AB2513" t="n">
        <v>357</v>
      </c>
      <c r="AC2513" t="n">
        <v>357</v>
      </c>
      <c r="AD2513" t="n">
        <v>2</v>
      </c>
      <c r="AE2513" t="n">
        <v>2</v>
      </c>
      <c r="AF2513" t="n">
        <v>24</v>
      </c>
      <c r="AG2513" t="n">
        <v>24</v>
      </c>
      <c r="AH2513" t="n">
        <v>11</v>
      </c>
      <c r="AI2513" t="n">
        <v>11</v>
      </c>
      <c r="AJ2513" t="n">
        <v>6</v>
      </c>
      <c r="AK2513" t="n">
        <v>6</v>
      </c>
      <c r="AL2513" t="n">
        <v>14</v>
      </c>
      <c r="AM2513" t="n">
        <v>14</v>
      </c>
      <c r="AN2513" t="n">
        <v>1</v>
      </c>
      <c r="AO2513" t="n">
        <v>1</v>
      </c>
      <c r="AP2513" t="n">
        <v>0</v>
      </c>
      <c r="AQ2513" t="n">
        <v>0</v>
      </c>
      <c r="AR2513" t="inlineStr">
        <is>
          <t>No</t>
        </is>
      </c>
      <c r="AS2513" t="inlineStr">
        <is>
          <t>No</t>
        </is>
      </c>
      <c r="AU2513">
        <f>HYPERLINK("https://creighton-primo.hosted.exlibrisgroup.com/primo-explore/search?tab=default_tab&amp;search_scope=EVERYTHING&amp;vid=01CRU&amp;lang=en_US&amp;offset=0&amp;query=any,contains,991003657569702656","Catalog Record")</f>
        <v/>
      </c>
      <c r="AV2513">
        <f>HYPERLINK("http://www.worldcat.org/oclc/44885242","WorldCat Record")</f>
        <v/>
      </c>
      <c r="AW2513" t="inlineStr">
        <is>
          <t>837072135:eng</t>
        </is>
      </c>
      <c r="AX2513" t="inlineStr">
        <is>
          <t>44885242</t>
        </is>
      </c>
      <c r="AY2513" t="inlineStr">
        <is>
          <t>991003657569702656</t>
        </is>
      </c>
      <c r="AZ2513" t="inlineStr">
        <is>
          <t>991003657569702656</t>
        </is>
      </c>
      <c r="BA2513" t="inlineStr">
        <is>
          <t>2261781560002656</t>
        </is>
      </c>
      <c r="BB2513" t="inlineStr">
        <is>
          <t>BOOK</t>
        </is>
      </c>
      <c r="BD2513" t="inlineStr">
        <is>
          <t>9780333650929</t>
        </is>
      </c>
      <c r="BE2513" t="inlineStr">
        <is>
          <t>32285004410279</t>
        </is>
      </c>
      <c r="BF2513" t="inlineStr">
        <is>
          <t>893531437</t>
        </is>
      </c>
    </row>
    <row r="2514">
      <c r="A2514" t="inlineStr">
        <is>
          <t>No</t>
        </is>
      </c>
      <c r="B2514" t="inlineStr">
        <is>
          <t>CURAL</t>
        </is>
      </c>
      <c r="C2514" t="inlineStr">
        <is>
          <t>SHELVES</t>
        </is>
      </c>
      <c r="D2514" t="inlineStr">
        <is>
          <t>PR5631 .T39 2001</t>
        </is>
      </c>
      <c r="E2514" t="inlineStr">
        <is>
          <t>0                      PR 5631000T  39          2001</t>
        </is>
      </c>
      <c r="F2514" t="inlineStr">
        <is>
          <t>Thackeray : the life of a literary man / D.J. Taylor.</t>
        </is>
      </c>
      <c r="H2514" t="inlineStr">
        <is>
          <t>No</t>
        </is>
      </c>
      <c r="I2514" t="inlineStr">
        <is>
          <t>1</t>
        </is>
      </c>
      <c r="J2514" t="inlineStr">
        <is>
          <t>No</t>
        </is>
      </c>
      <c r="K2514" t="inlineStr">
        <is>
          <t>No</t>
        </is>
      </c>
      <c r="L2514" t="inlineStr">
        <is>
          <t>0</t>
        </is>
      </c>
      <c r="M2514" t="inlineStr">
        <is>
          <t>Taylor, D. J. (David John), 1960-</t>
        </is>
      </c>
      <c r="N2514" t="inlineStr">
        <is>
          <t>New York : Carroll &amp; Graf, 2001, c1999.</t>
        </is>
      </c>
      <c r="O2514" t="inlineStr">
        <is>
          <t>2001</t>
        </is>
      </c>
      <c r="P2514" t="inlineStr">
        <is>
          <t>1st Carroll &amp; Graf ed.</t>
        </is>
      </c>
      <c r="Q2514" t="inlineStr">
        <is>
          <t>eng</t>
        </is>
      </c>
      <c r="R2514" t="inlineStr">
        <is>
          <t>nyu</t>
        </is>
      </c>
      <c r="T2514" t="inlineStr">
        <is>
          <t xml:space="preserve">PR </t>
        </is>
      </c>
      <c r="U2514" t="n">
        <v>1</v>
      </c>
      <c r="V2514" t="n">
        <v>1</v>
      </c>
      <c r="W2514" t="inlineStr">
        <is>
          <t>2001-10-17</t>
        </is>
      </c>
      <c r="X2514" t="inlineStr">
        <is>
          <t>2001-10-17</t>
        </is>
      </c>
      <c r="Y2514" t="inlineStr">
        <is>
          <t>2001-10-17</t>
        </is>
      </c>
      <c r="Z2514" t="inlineStr">
        <is>
          <t>2001-10-17</t>
        </is>
      </c>
      <c r="AA2514" t="n">
        <v>505</v>
      </c>
      <c r="AB2514" t="n">
        <v>485</v>
      </c>
      <c r="AC2514" t="n">
        <v>659</v>
      </c>
      <c r="AD2514" t="n">
        <v>6</v>
      </c>
      <c r="AE2514" t="n">
        <v>6</v>
      </c>
      <c r="AF2514" t="n">
        <v>23</v>
      </c>
      <c r="AG2514" t="n">
        <v>29</v>
      </c>
      <c r="AH2514" t="n">
        <v>12</v>
      </c>
      <c r="AI2514" t="n">
        <v>14</v>
      </c>
      <c r="AJ2514" t="n">
        <v>4</v>
      </c>
      <c r="AK2514" t="n">
        <v>7</v>
      </c>
      <c r="AL2514" t="n">
        <v>10</v>
      </c>
      <c r="AM2514" t="n">
        <v>13</v>
      </c>
      <c r="AN2514" t="n">
        <v>4</v>
      </c>
      <c r="AO2514" t="n">
        <v>4</v>
      </c>
      <c r="AP2514" t="n">
        <v>0</v>
      </c>
      <c r="AQ2514" t="n">
        <v>0</v>
      </c>
      <c r="AR2514" t="inlineStr">
        <is>
          <t>No</t>
        </is>
      </c>
      <c r="AS2514" t="inlineStr">
        <is>
          <t>No</t>
        </is>
      </c>
      <c r="AU2514">
        <f>HYPERLINK("https://creighton-primo.hosted.exlibrisgroup.com/primo-explore/search?tab=default_tab&amp;search_scope=EVERYTHING&amp;vid=01CRU&amp;lang=en_US&amp;offset=0&amp;query=any,contains,991003641939702656","Catalog Record")</f>
        <v/>
      </c>
      <c r="AV2514">
        <f>HYPERLINK("http://www.worldcat.org/oclc/48024347","WorldCat Record")</f>
        <v/>
      </c>
      <c r="AW2514" t="inlineStr">
        <is>
          <t>26808481:eng</t>
        </is>
      </c>
      <c r="AX2514" t="inlineStr">
        <is>
          <t>48024347</t>
        </is>
      </c>
      <c r="AY2514" t="inlineStr">
        <is>
          <t>991003641939702656</t>
        </is>
      </c>
      <c r="AZ2514" t="inlineStr">
        <is>
          <t>991003641939702656</t>
        </is>
      </c>
      <c r="BA2514" t="inlineStr">
        <is>
          <t>2269844320002656</t>
        </is>
      </c>
      <c r="BB2514" t="inlineStr">
        <is>
          <t>BOOK</t>
        </is>
      </c>
      <c r="BD2514" t="inlineStr">
        <is>
          <t>9780786709106</t>
        </is>
      </c>
      <c r="BE2514" t="inlineStr">
        <is>
          <t>32285004397914</t>
        </is>
      </c>
      <c r="BF2514" t="inlineStr">
        <is>
          <t>893699231</t>
        </is>
      </c>
    </row>
    <row r="2515">
      <c r="A2515" t="inlineStr">
        <is>
          <t>No</t>
        </is>
      </c>
      <c r="B2515" t="inlineStr">
        <is>
          <t>CURAL</t>
        </is>
      </c>
      <c r="C2515" t="inlineStr">
        <is>
          <t>SHELVES</t>
        </is>
      </c>
      <c r="D2515" t="inlineStr">
        <is>
          <t>PR5631 .T7 1887</t>
        </is>
      </c>
      <c r="E2515" t="inlineStr">
        <is>
          <t>0                      PR 5631000T  7           1887</t>
        </is>
      </c>
      <c r="F2515" t="inlineStr">
        <is>
          <t>Thackeray / by Anthony Trollope.</t>
        </is>
      </c>
      <c r="H2515" t="inlineStr">
        <is>
          <t>No</t>
        </is>
      </c>
      <c r="I2515" t="inlineStr">
        <is>
          <t>1</t>
        </is>
      </c>
      <c r="J2515" t="inlineStr">
        <is>
          <t>No</t>
        </is>
      </c>
      <c r="K2515" t="inlineStr">
        <is>
          <t>No</t>
        </is>
      </c>
      <c r="L2515" t="inlineStr">
        <is>
          <t>0</t>
        </is>
      </c>
      <c r="M2515" t="inlineStr">
        <is>
          <t>Trollope, Anthony, 1815-1882.</t>
        </is>
      </c>
      <c r="N2515" t="inlineStr">
        <is>
          <t>New York : Harper, 1887.</t>
        </is>
      </c>
      <c r="O2515" t="inlineStr">
        <is>
          <t>1887</t>
        </is>
      </c>
      <c r="Q2515" t="inlineStr">
        <is>
          <t>eng</t>
        </is>
      </c>
      <c r="R2515" t="inlineStr">
        <is>
          <t>nyu</t>
        </is>
      </c>
      <c r="S2515" t="inlineStr">
        <is>
          <t>English men of letters; ed. by John Morley.</t>
        </is>
      </c>
      <c r="T2515" t="inlineStr">
        <is>
          <t xml:space="preserve">PR </t>
        </is>
      </c>
      <c r="U2515" t="n">
        <v>3</v>
      </c>
      <c r="V2515" t="n">
        <v>3</v>
      </c>
      <c r="W2515" t="inlineStr">
        <is>
          <t>1999-09-18</t>
        </is>
      </c>
      <c r="X2515" t="inlineStr">
        <is>
          <t>1999-09-18</t>
        </is>
      </c>
      <c r="Y2515" t="inlineStr">
        <is>
          <t>1997-07-21</t>
        </is>
      </c>
      <c r="Z2515" t="inlineStr">
        <is>
          <t>1997-07-21</t>
        </is>
      </c>
      <c r="AA2515" t="n">
        <v>95</v>
      </c>
      <c r="AB2515" t="n">
        <v>89</v>
      </c>
      <c r="AC2515" t="n">
        <v>1190</v>
      </c>
      <c r="AD2515" t="n">
        <v>1</v>
      </c>
      <c r="AE2515" t="n">
        <v>10</v>
      </c>
      <c r="AF2515" t="n">
        <v>4</v>
      </c>
      <c r="AG2515" t="n">
        <v>51</v>
      </c>
      <c r="AH2515" t="n">
        <v>1</v>
      </c>
      <c r="AI2515" t="n">
        <v>20</v>
      </c>
      <c r="AJ2515" t="n">
        <v>1</v>
      </c>
      <c r="AK2515" t="n">
        <v>9</v>
      </c>
      <c r="AL2515" t="n">
        <v>2</v>
      </c>
      <c r="AM2515" t="n">
        <v>26</v>
      </c>
      <c r="AN2515" t="n">
        <v>0</v>
      </c>
      <c r="AO2515" t="n">
        <v>9</v>
      </c>
      <c r="AP2515" t="n">
        <v>0</v>
      </c>
      <c r="AQ2515" t="n">
        <v>0</v>
      </c>
      <c r="AR2515" t="inlineStr">
        <is>
          <t>Yes</t>
        </is>
      </c>
      <c r="AS2515" t="inlineStr">
        <is>
          <t>No</t>
        </is>
      </c>
      <c r="AT2515">
        <f>HYPERLINK("http://catalog.hathitrust.org/Record/009814132","HathiTrust Record")</f>
        <v/>
      </c>
      <c r="AU2515">
        <f>HYPERLINK("https://creighton-primo.hosted.exlibrisgroup.com/primo-explore/search?tab=default_tab&amp;search_scope=EVERYTHING&amp;vid=01CRU&amp;lang=en_US&amp;offset=0&amp;query=any,contains,991005014509702656","Catalog Record")</f>
        <v/>
      </c>
      <c r="AV2515">
        <f>HYPERLINK("http://www.worldcat.org/oclc/6619718","WorldCat Record")</f>
        <v/>
      </c>
      <c r="AW2515" t="inlineStr">
        <is>
          <t>1372508:eng</t>
        </is>
      </c>
      <c r="AX2515" t="inlineStr">
        <is>
          <t>6619718</t>
        </is>
      </c>
      <c r="AY2515" t="inlineStr">
        <is>
          <t>991005014509702656</t>
        </is>
      </c>
      <c r="AZ2515" t="inlineStr">
        <is>
          <t>991005014509702656</t>
        </is>
      </c>
      <c r="BA2515" t="inlineStr">
        <is>
          <t>2257976130002656</t>
        </is>
      </c>
      <c r="BB2515" t="inlineStr">
        <is>
          <t>BOOK</t>
        </is>
      </c>
      <c r="BE2515" t="inlineStr">
        <is>
          <t>32285002950102</t>
        </is>
      </c>
      <c r="BF2515" t="inlineStr">
        <is>
          <t>893533035</t>
        </is>
      </c>
    </row>
    <row r="2516">
      <c r="A2516" t="inlineStr">
        <is>
          <t>No</t>
        </is>
      </c>
      <c r="B2516" t="inlineStr">
        <is>
          <t>CURAL</t>
        </is>
      </c>
      <c r="C2516" t="inlineStr">
        <is>
          <t>SHELVES</t>
        </is>
      </c>
      <c r="D2516" t="inlineStr">
        <is>
          <t>PR5631 .W4</t>
        </is>
      </c>
      <c r="E2516" t="inlineStr">
        <is>
          <t>0                      PR 5631000W  4</t>
        </is>
      </c>
      <c r="F2516" t="inlineStr">
        <is>
          <t>Thackeray : a collection of critical essays.</t>
        </is>
      </c>
      <c r="H2516" t="inlineStr">
        <is>
          <t>No</t>
        </is>
      </c>
      <c r="I2516" t="inlineStr">
        <is>
          <t>1</t>
        </is>
      </c>
      <c r="J2516" t="inlineStr">
        <is>
          <t>No</t>
        </is>
      </c>
      <c r="K2516" t="inlineStr">
        <is>
          <t>No</t>
        </is>
      </c>
      <c r="L2516" t="inlineStr">
        <is>
          <t>0</t>
        </is>
      </c>
      <c r="M2516" t="inlineStr">
        <is>
          <t>Welsh, Alexander compiler.</t>
        </is>
      </c>
      <c r="N2516" t="inlineStr">
        <is>
          <t>Englewood Cliffs, N.J. : Prentice-Hall, [1968]</t>
        </is>
      </c>
      <c r="O2516" t="inlineStr">
        <is>
          <t>1968</t>
        </is>
      </c>
      <c r="Q2516" t="inlineStr">
        <is>
          <t>eng</t>
        </is>
      </c>
      <c r="R2516" t="inlineStr">
        <is>
          <t>nju</t>
        </is>
      </c>
      <c r="S2516" t="inlineStr">
        <is>
          <t>A Spectrum book.</t>
        </is>
      </c>
      <c r="T2516" t="inlineStr">
        <is>
          <t xml:space="preserve">PR </t>
        </is>
      </c>
      <c r="U2516" t="n">
        <v>3</v>
      </c>
      <c r="V2516" t="n">
        <v>3</v>
      </c>
      <c r="W2516" t="inlineStr">
        <is>
          <t>1999-09-17</t>
        </is>
      </c>
      <c r="X2516" t="inlineStr">
        <is>
          <t>1999-09-17</t>
        </is>
      </c>
      <c r="Y2516" t="inlineStr">
        <is>
          <t>1990-05-22</t>
        </is>
      </c>
      <c r="Z2516" t="inlineStr">
        <is>
          <t>1990-05-22</t>
        </is>
      </c>
      <c r="AA2516" t="n">
        <v>1632</v>
      </c>
      <c r="AB2516" t="n">
        <v>1460</v>
      </c>
      <c r="AC2516" t="n">
        <v>1485</v>
      </c>
      <c r="AD2516" t="n">
        <v>13</v>
      </c>
      <c r="AE2516" t="n">
        <v>13</v>
      </c>
      <c r="AF2516" t="n">
        <v>48</v>
      </c>
      <c r="AG2516" t="n">
        <v>48</v>
      </c>
      <c r="AH2516" t="n">
        <v>19</v>
      </c>
      <c r="AI2516" t="n">
        <v>19</v>
      </c>
      <c r="AJ2516" t="n">
        <v>7</v>
      </c>
      <c r="AK2516" t="n">
        <v>7</v>
      </c>
      <c r="AL2516" t="n">
        <v>23</v>
      </c>
      <c r="AM2516" t="n">
        <v>23</v>
      </c>
      <c r="AN2516" t="n">
        <v>10</v>
      </c>
      <c r="AO2516" t="n">
        <v>10</v>
      </c>
      <c r="AP2516" t="n">
        <v>0</v>
      </c>
      <c r="AQ2516" t="n">
        <v>0</v>
      </c>
      <c r="AR2516" t="inlineStr">
        <is>
          <t>No</t>
        </is>
      </c>
      <c r="AS2516" t="inlineStr">
        <is>
          <t>Yes</t>
        </is>
      </c>
      <c r="AT2516">
        <f>HYPERLINK("http://catalog.hathitrust.org/Record/001024739","HathiTrust Record")</f>
        <v/>
      </c>
      <c r="AU2516">
        <f>HYPERLINK("https://creighton-primo.hosted.exlibrisgroup.com/primo-explore/search?tab=default_tab&amp;search_scope=EVERYTHING&amp;vid=01CRU&amp;lang=en_US&amp;offset=0&amp;query=any,contains,991002775329702656","Catalog Record")</f>
        <v/>
      </c>
      <c r="AV2516">
        <f>HYPERLINK("http://www.worldcat.org/oclc/438411","WorldCat Record")</f>
        <v/>
      </c>
      <c r="AW2516" t="inlineStr">
        <is>
          <t>1935475718:eng</t>
        </is>
      </c>
      <c r="AX2516" t="inlineStr">
        <is>
          <t>438411</t>
        </is>
      </c>
      <c r="AY2516" t="inlineStr">
        <is>
          <t>991002775329702656</t>
        </is>
      </c>
      <c r="AZ2516" t="inlineStr">
        <is>
          <t>991002775329702656</t>
        </is>
      </c>
      <c r="BA2516" t="inlineStr">
        <is>
          <t>2265268970002656</t>
        </is>
      </c>
      <c r="BB2516" t="inlineStr">
        <is>
          <t>BOOK</t>
        </is>
      </c>
      <c r="BE2516" t="inlineStr">
        <is>
          <t>32285000157437</t>
        </is>
      </c>
      <c r="BF2516" t="inlineStr">
        <is>
          <t>893347911</t>
        </is>
      </c>
    </row>
    <row r="2517">
      <c r="A2517" t="inlineStr">
        <is>
          <t>No</t>
        </is>
      </c>
      <c r="B2517" t="inlineStr">
        <is>
          <t>CURAL</t>
        </is>
      </c>
      <c r="C2517" t="inlineStr">
        <is>
          <t>SHELVES</t>
        </is>
      </c>
      <c r="D2517" t="inlineStr">
        <is>
          <t>PR5631 .W45</t>
        </is>
      </c>
      <c r="E2517" t="inlineStr">
        <is>
          <t>0                      PR 5631000W  45</t>
        </is>
      </c>
      <c r="F2517" t="inlineStr">
        <is>
          <t>Patterns in Thackeray's fiction [by] James H. Wheatley.</t>
        </is>
      </c>
      <c r="H2517" t="inlineStr">
        <is>
          <t>No</t>
        </is>
      </c>
      <c r="I2517" t="inlineStr">
        <is>
          <t>1</t>
        </is>
      </c>
      <c r="J2517" t="inlineStr">
        <is>
          <t>No</t>
        </is>
      </c>
      <c r="K2517" t="inlineStr">
        <is>
          <t>No</t>
        </is>
      </c>
      <c r="L2517" t="inlineStr">
        <is>
          <t>0</t>
        </is>
      </c>
      <c r="M2517" t="inlineStr">
        <is>
          <t>Wheatley, James H., 1929-</t>
        </is>
      </c>
      <c r="N2517" t="inlineStr">
        <is>
          <t>Cambridge, Mass., M.I.T. Press [1969]</t>
        </is>
      </c>
      <c r="O2517" t="inlineStr">
        <is>
          <t>1969</t>
        </is>
      </c>
      <c r="Q2517" t="inlineStr">
        <is>
          <t>eng</t>
        </is>
      </c>
      <c r="R2517" t="inlineStr">
        <is>
          <t>mau</t>
        </is>
      </c>
      <c r="T2517" t="inlineStr">
        <is>
          <t xml:space="preserve">PR </t>
        </is>
      </c>
      <c r="U2517" t="n">
        <v>2</v>
      </c>
      <c r="V2517" t="n">
        <v>2</v>
      </c>
      <c r="W2517" t="inlineStr">
        <is>
          <t>1999-04-23</t>
        </is>
      </c>
      <c r="X2517" t="inlineStr">
        <is>
          <t>1999-04-23</t>
        </is>
      </c>
      <c r="Y2517" t="inlineStr">
        <is>
          <t>1997-07-21</t>
        </is>
      </c>
      <c r="Z2517" t="inlineStr">
        <is>
          <t>1997-07-21</t>
        </is>
      </c>
      <c r="AA2517" t="n">
        <v>658</v>
      </c>
      <c r="AB2517" t="n">
        <v>556</v>
      </c>
      <c r="AC2517" t="n">
        <v>566</v>
      </c>
      <c r="AD2517" t="n">
        <v>3</v>
      </c>
      <c r="AE2517" t="n">
        <v>3</v>
      </c>
      <c r="AF2517" t="n">
        <v>29</v>
      </c>
      <c r="AG2517" t="n">
        <v>29</v>
      </c>
      <c r="AH2517" t="n">
        <v>13</v>
      </c>
      <c r="AI2517" t="n">
        <v>13</v>
      </c>
      <c r="AJ2517" t="n">
        <v>7</v>
      </c>
      <c r="AK2517" t="n">
        <v>7</v>
      </c>
      <c r="AL2517" t="n">
        <v>19</v>
      </c>
      <c r="AM2517" t="n">
        <v>19</v>
      </c>
      <c r="AN2517" t="n">
        <v>2</v>
      </c>
      <c r="AO2517" t="n">
        <v>2</v>
      </c>
      <c r="AP2517" t="n">
        <v>0</v>
      </c>
      <c r="AQ2517" t="n">
        <v>0</v>
      </c>
      <c r="AR2517" t="inlineStr">
        <is>
          <t>No</t>
        </is>
      </c>
      <c r="AS2517" t="inlineStr">
        <is>
          <t>Yes</t>
        </is>
      </c>
      <c r="AT2517">
        <f>HYPERLINK("http://catalog.hathitrust.org/Record/001187119","HathiTrust Record")</f>
        <v/>
      </c>
      <c r="AU2517">
        <f>HYPERLINK("https://creighton-primo.hosted.exlibrisgroup.com/primo-explore/search?tab=default_tab&amp;search_scope=EVERYTHING&amp;vid=01CRU&amp;lang=en_US&amp;offset=0&amp;query=any,contains,991005439079702656","Catalog Record")</f>
        <v/>
      </c>
      <c r="AV2517">
        <f>HYPERLINK("http://www.worldcat.org/oclc/6304","WorldCat Record")</f>
        <v/>
      </c>
      <c r="AW2517" t="inlineStr">
        <is>
          <t>1129544:eng</t>
        </is>
      </c>
      <c r="AX2517" t="inlineStr">
        <is>
          <t>6304</t>
        </is>
      </c>
      <c r="AY2517" t="inlineStr">
        <is>
          <t>991005439079702656</t>
        </is>
      </c>
      <c r="AZ2517" t="inlineStr">
        <is>
          <t>991005439079702656</t>
        </is>
      </c>
      <c r="BA2517" t="inlineStr">
        <is>
          <t>2265051900002656</t>
        </is>
      </c>
      <c r="BB2517" t="inlineStr">
        <is>
          <t>BOOK</t>
        </is>
      </c>
      <c r="BE2517" t="inlineStr">
        <is>
          <t>32285002950110</t>
        </is>
      </c>
      <c r="BF2517" t="inlineStr">
        <is>
          <t>893248930</t>
        </is>
      </c>
    </row>
    <row r="2518">
      <c r="A2518" t="inlineStr">
        <is>
          <t>No</t>
        </is>
      </c>
      <c r="B2518" t="inlineStr">
        <is>
          <t>CURAL</t>
        </is>
      </c>
      <c r="C2518" t="inlineStr">
        <is>
          <t>SHELVES</t>
        </is>
      </c>
      <c r="D2518" t="inlineStr">
        <is>
          <t>PR5636 .S8</t>
        </is>
      </c>
      <c r="E2518" t="inlineStr">
        <is>
          <t>0                      PR 5636000S  8</t>
        </is>
      </c>
      <c r="F2518" t="inlineStr">
        <is>
          <t>Thackeray at work [by] J. A. Sutherland.</t>
        </is>
      </c>
      <c r="H2518" t="inlineStr">
        <is>
          <t>No</t>
        </is>
      </c>
      <c r="I2518" t="inlineStr">
        <is>
          <t>1</t>
        </is>
      </c>
      <c r="J2518" t="inlineStr">
        <is>
          <t>No</t>
        </is>
      </c>
      <c r="K2518" t="inlineStr">
        <is>
          <t>No</t>
        </is>
      </c>
      <c r="L2518" t="inlineStr">
        <is>
          <t>0</t>
        </is>
      </c>
      <c r="M2518" t="inlineStr">
        <is>
          <t>Sutherland, John, 1938-</t>
        </is>
      </c>
      <c r="N2518" t="inlineStr">
        <is>
          <t>London, Athlone Press, 1974.</t>
        </is>
      </c>
      <c r="O2518" t="inlineStr">
        <is>
          <t>1974</t>
        </is>
      </c>
      <c r="Q2518" t="inlineStr">
        <is>
          <t>eng</t>
        </is>
      </c>
      <c r="R2518" t="inlineStr">
        <is>
          <t>enk</t>
        </is>
      </c>
      <c r="T2518" t="inlineStr">
        <is>
          <t xml:space="preserve">PR </t>
        </is>
      </c>
      <c r="U2518" t="n">
        <v>2</v>
      </c>
      <c r="V2518" t="n">
        <v>2</v>
      </c>
      <c r="W2518" t="inlineStr">
        <is>
          <t>1997-12-10</t>
        </is>
      </c>
      <c r="X2518" t="inlineStr">
        <is>
          <t>1997-12-10</t>
        </is>
      </c>
      <c r="Y2518" t="inlineStr">
        <is>
          <t>1997-07-21</t>
        </is>
      </c>
      <c r="Z2518" t="inlineStr">
        <is>
          <t>1997-07-21</t>
        </is>
      </c>
      <c r="AA2518" t="n">
        <v>453</v>
      </c>
      <c r="AB2518" t="n">
        <v>275</v>
      </c>
      <c r="AC2518" t="n">
        <v>303</v>
      </c>
      <c r="AD2518" t="n">
        <v>5</v>
      </c>
      <c r="AE2518" t="n">
        <v>5</v>
      </c>
      <c r="AF2518" t="n">
        <v>20</v>
      </c>
      <c r="AG2518" t="n">
        <v>21</v>
      </c>
      <c r="AH2518" t="n">
        <v>5</v>
      </c>
      <c r="AI2518" t="n">
        <v>6</v>
      </c>
      <c r="AJ2518" t="n">
        <v>5</v>
      </c>
      <c r="AK2518" t="n">
        <v>6</v>
      </c>
      <c r="AL2518" t="n">
        <v>11</v>
      </c>
      <c r="AM2518" t="n">
        <v>11</v>
      </c>
      <c r="AN2518" t="n">
        <v>4</v>
      </c>
      <c r="AO2518" t="n">
        <v>4</v>
      </c>
      <c r="AP2518" t="n">
        <v>0</v>
      </c>
      <c r="AQ2518" t="n">
        <v>0</v>
      </c>
      <c r="AR2518" t="inlineStr">
        <is>
          <t>No</t>
        </is>
      </c>
      <c r="AS2518" t="inlineStr">
        <is>
          <t>Yes</t>
        </is>
      </c>
      <c r="AT2518">
        <f>HYPERLINK("http://catalog.hathitrust.org/Record/000025346","HathiTrust Record")</f>
        <v/>
      </c>
      <c r="AU2518">
        <f>HYPERLINK("https://creighton-primo.hosted.exlibrisgroup.com/primo-explore/search?tab=default_tab&amp;search_scope=EVERYTHING&amp;vid=01CRU&amp;lang=en_US&amp;offset=0&amp;query=any,contains,991004377869702656","Catalog Record")</f>
        <v/>
      </c>
      <c r="AV2518">
        <f>HYPERLINK("http://www.worldcat.org/oclc/3207091","WorldCat Record")</f>
        <v/>
      </c>
      <c r="AW2518" t="inlineStr">
        <is>
          <t>8470862:eng</t>
        </is>
      </c>
      <c r="AX2518" t="inlineStr">
        <is>
          <t>3207091</t>
        </is>
      </c>
      <c r="AY2518" t="inlineStr">
        <is>
          <t>991004377869702656</t>
        </is>
      </c>
      <c r="AZ2518" t="inlineStr">
        <is>
          <t>991004377869702656</t>
        </is>
      </c>
      <c r="BA2518" t="inlineStr">
        <is>
          <t>2271999140002656</t>
        </is>
      </c>
      <c r="BB2518" t="inlineStr">
        <is>
          <t>BOOK</t>
        </is>
      </c>
      <c r="BD2518" t="inlineStr">
        <is>
          <t>9780485111460</t>
        </is>
      </c>
      <c r="BE2518" t="inlineStr">
        <is>
          <t>32285002950144</t>
        </is>
      </c>
      <c r="BF2518" t="inlineStr">
        <is>
          <t>893593613</t>
        </is>
      </c>
    </row>
    <row r="2519">
      <c r="A2519" t="inlineStr">
        <is>
          <t>No</t>
        </is>
      </c>
      <c r="B2519" t="inlineStr">
        <is>
          <t>CURAL</t>
        </is>
      </c>
      <c r="C2519" t="inlineStr">
        <is>
          <t>SHELVES</t>
        </is>
      </c>
      <c r="D2519" t="inlineStr">
        <is>
          <t>PR5638 .F47 1983</t>
        </is>
      </c>
      <c r="E2519" t="inlineStr">
        <is>
          <t>0                      PR 5638000F  47          1983</t>
        </is>
      </c>
      <c r="F2519" t="inlineStr">
        <is>
          <t>William Makepeace Thackeray / by Ina Ferris.</t>
        </is>
      </c>
      <c r="H2519" t="inlineStr">
        <is>
          <t>No</t>
        </is>
      </c>
      <c r="I2519" t="inlineStr">
        <is>
          <t>1</t>
        </is>
      </c>
      <c r="J2519" t="inlineStr">
        <is>
          <t>No</t>
        </is>
      </c>
      <c r="K2519" t="inlineStr">
        <is>
          <t>No</t>
        </is>
      </c>
      <c r="L2519" t="inlineStr">
        <is>
          <t>0</t>
        </is>
      </c>
      <c r="M2519" t="inlineStr">
        <is>
          <t>Ferris, Ina.</t>
        </is>
      </c>
      <c r="N2519" t="inlineStr">
        <is>
          <t>Boston : Twayne Publishers, c1983.</t>
        </is>
      </c>
      <c r="O2519" t="inlineStr">
        <is>
          <t>1983</t>
        </is>
      </c>
      <c r="Q2519" t="inlineStr">
        <is>
          <t>eng</t>
        </is>
      </c>
      <c r="R2519" t="inlineStr">
        <is>
          <t>mau</t>
        </is>
      </c>
      <c r="S2519" t="inlineStr">
        <is>
          <t>Twayne's English authors series ; TEAS 365</t>
        </is>
      </c>
      <c r="T2519" t="inlineStr">
        <is>
          <t xml:space="preserve">PR </t>
        </is>
      </c>
      <c r="U2519" t="n">
        <v>2</v>
      </c>
      <c r="V2519" t="n">
        <v>2</v>
      </c>
      <c r="W2519" t="inlineStr">
        <is>
          <t>1996-02-19</t>
        </is>
      </c>
      <c r="X2519" t="inlineStr">
        <is>
          <t>1996-02-19</t>
        </is>
      </c>
      <c r="Y2519" t="inlineStr">
        <is>
          <t>1992-03-12</t>
        </is>
      </c>
      <c r="Z2519" t="inlineStr">
        <is>
          <t>1992-03-12</t>
        </is>
      </c>
      <c r="AA2519" t="n">
        <v>925</v>
      </c>
      <c r="AB2519" t="n">
        <v>828</v>
      </c>
      <c r="AC2519" t="n">
        <v>916</v>
      </c>
      <c r="AD2519" t="n">
        <v>8</v>
      </c>
      <c r="AE2519" t="n">
        <v>8</v>
      </c>
      <c r="AF2519" t="n">
        <v>32</v>
      </c>
      <c r="AG2519" t="n">
        <v>33</v>
      </c>
      <c r="AH2519" t="n">
        <v>13</v>
      </c>
      <c r="AI2519" t="n">
        <v>13</v>
      </c>
      <c r="AJ2519" t="n">
        <v>7</v>
      </c>
      <c r="AK2519" t="n">
        <v>7</v>
      </c>
      <c r="AL2519" t="n">
        <v>17</v>
      </c>
      <c r="AM2519" t="n">
        <v>18</v>
      </c>
      <c r="AN2519" t="n">
        <v>5</v>
      </c>
      <c r="AO2519" t="n">
        <v>5</v>
      </c>
      <c r="AP2519" t="n">
        <v>0</v>
      </c>
      <c r="AQ2519" t="n">
        <v>0</v>
      </c>
      <c r="AR2519" t="inlineStr">
        <is>
          <t>No</t>
        </is>
      </c>
      <c r="AS2519" t="inlineStr">
        <is>
          <t>Yes</t>
        </is>
      </c>
      <c r="AT2519">
        <f>HYPERLINK("http://catalog.hathitrust.org/Record/000317371","HathiTrust Record")</f>
        <v/>
      </c>
      <c r="AU2519">
        <f>HYPERLINK("https://creighton-primo.hosted.exlibrisgroup.com/primo-explore/search?tab=default_tab&amp;search_scope=EVERYTHING&amp;vid=01CRU&amp;lang=en_US&amp;offset=0&amp;query=any,contains,991000165629702656","Catalog Record")</f>
        <v/>
      </c>
      <c r="AV2519">
        <f>HYPERLINK("http://www.worldcat.org/oclc/9283184","WorldCat Record")</f>
        <v/>
      </c>
      <c r="AW2519" t="inlineStr">
        <is>
          <t>17682601:eng</t>
        </is>
      </c>
      <c r="AX2519" t="inlineStr">
        <is>
          <t>9283184</t>
        </is>
      </c>
      <c r="AY2519" t="inlineStr">
        <is>
          <t>991000165629702656</t>
        </is>
      </c>
      <c r="AZ2519" t="inlineStr">
        <is>
          <t>991000165629702656</t>
        </is>
      </c>
      <c r="BA2519" t="inlineStr">
        <is>
          <t>2261674200002656</t>
        </is>
      </c>
      <c r="BB2519" t="inlineStr">
        <is>
          <t>BOOK</t>
        </is>
      </c>
      <c r="BD2519" t="inlineStr">
        <is>
          <t>9780805768510</t>
        </is>
      </c>
      <c r="BE2519" t="inlineStr">
        <is>
          <t>32285000997055</t>
        </is>
      </c>
      <c r="BF2519" t="inlineStr">
        <is>
          <t>893714379</t>
        </is>
      </c>
    </row>
    <row r="2520">
      <c r="A2520" t="inlineStr">
        <is>
          <t>No</t>
        </is>
      </c>
      <c r="B2520" t="inlineStr">
        <is>
          <t>CURAL</t>
        </is>
      </c>
      <c r="C2520" t="inlineStr">
        <is>
          <t>SHELVES</t>
        </is>
      </c>
      <c r="D2520" t="inlineStr">
        <is>
          <t>PR5638 .M3</t>
        </is>
      </c>
      <c r="E2520" t="inlineStr">
        <is>
          <t>0                      PR 5638000M  3</t>
        </is>
      </c>
      <c r="F2520" t="inlineStr">
        <is>
          <t>Thackeray: the major novels.</t>
        </is>
      </c>
      <c r="H2520" t="inlineStr">
        <is>
          <t>No</t>
        </is>
      </c>
      <c r="I2520" t="inlineStr">
        <is>
          <t>1</t>
        </is>
      </c>
      <c r="J2520" t="inlineStr">
        <is>
          <t>No</t>
        </is>
      </c>
      <c r="K2520" t="inlineStr">
        <is>
          <t>No</t>
        </is>
      </c>
      <c r="L2520" t="inlineStr">
        <is>
          <t>0</t>
        </is>
      </c>
      <c r="M2520" t="inlineStr">
        <is>
          <t>McMaster, Juliet.</t>
        </is>
      </c>
      <c r="N2520" t="inlineStr">
        <is>
          <t>[Toronto] University of Toronto Press [c1971]</t>
        </is>
      </c>
      <c r="O2520" t="inlineStr">
        <is>
          <t>1971</t>
        </is>
      </c>
      <c r="Q2520" t="inlineStr">
        <is>
          <t>eng</t>
        </is>
      </c>
      <c r="R2520" t="inlineStr">
        <is>
          <t>onc</t>
        </is>
      </c>
      <c r="T2520" t="inlineStr">
        <is>
          <t xml:space="preserve">PR </t>
        </is>
      </c>
      <c r="U2520" t="n">
        <v>2</v>
      </c>
      <c r="V2520" t="n">
        <v>2</v>
      </c>
      <c r="W2520" t="inlineStr">
        <is>
          <t>1997-10-01</t>
        </is>
      </c>
      <c r="X2520" t="inlineStr">
        <is>
          <t>1997-10-01</t>
        </is>
      </c>
      <c r="Y2520" t="inlineStr">
        <is>
          <t>1997-07-21</t>
        </is>
      </c>
      <c r="Z2520" t="inlineStr">
        <is>
          <t>1997-07-21</t>
        </is>
      </c>
      <c r="AA2520" t="n">
        <v>650</v>
      </c>
      <c r="AB2520" t="n">
        <v>574</v>
      </c>
      <c r="AC2520" t="n">
        <v>675</v>
      </c>
      <c r="AD2520" t="n">
        <v>4</v>
      </c>
      <c r="AE2520" t="n">
        <v>4</v>
      </c>
      <c r="AF2520" t="n">
        <v>27</v>
      </c>
      <c r="AG2520" t="n">
        <v>33</v>
      </c>
      <c r="AH2520" t="n">
        <v>9</v>
      </c>
      <c r="AI2520" t="n">
        <v>14</v>
      </c>
      <c r="AJ2520" t="n">
        <v>6</v>
      </c>
      <c r="AK2520" t="n">
        <v>8</v>
      </c>
      <c r="AL2520" t="n">
        <v>16</v>
      </c>
      <c r="AM2520" t="n">
        <v>16</v>
      </c>
      <c r="AN2520" t="n">
        <v>3</v>
      </c>
      <c r="AO2520" t="n">
        <v>3</v>
      </c>
      <c r="AP2520" t="n">
        <v>0</v>
      </c>
      <c r="AQ2520" t="n">
        <v>0</v>
      </c>
      <c r="AR2520" t="inlineStr">
        <is>
          <t>No</t>
        </is>
      </c>
      <c r="AS2520" t="inlineStr">
        <is>
          <t>Yes</t>
        </is>
      </c>
      <c r="AT2520">
        <f>HYPERLINK("http://catalog.hathitrust.org/Record/001187108","HathiTrust Record")</f>
        <v/>
      </c>
      <c r="AU2520">
        <f>HYPERLINK("https://creighton-primo.hosted.exlibrisgroup.com/primo-explore/search?tab=default_tab&amp;search_scope=EVERYTHING&amp;vid=01CRU&amp;lang=en_US&amp;offset=0&amp;query=any,contains,991003584289702656","Catalog Record")</f>
        <v/>
      </c>
      <c r="AV2520">
        <f>HYPERLINK("http://www.worldcat.org/oclc/1165019","WorldCat Record")</f>
        <v/>
      </c>
      <c r="AW2520" t="inlineStr">
        <is>
          <t>2101513:eng</t>
        </is>
      </c>
      <c r="AX2520" t="inlineStr">
        <is>
          <t>1165019</t>
        </is>
      </c>
      <c r="AY2520" t="inlineStr">
        <is>
          <t>991003584289702656</t>
        </is>
      </c>
      <c r="AZ2520" t="inlineStr">
        <is>
          <t>991003584289702656</t>
        </is>
      </c>
      <c r="BA2520" t="inlineStr">
        <is>
          <t>2264754490002656</t>
        </is>
      </c>
      <c r="BB2520" t="inlineStr">
        <is>
          <t>BOOK</t>
        </is>
      </c>
      <c r="BD2520" t="inlineStr">
        <is>
          <t>9780802052407</t>
        </is>
      </c>
      <c r="BE2520" t="inlineStr">
        <is>
          <t>32285002950185</t>
        </is>
      </c>
      <c r="BF2520" t="inlineStr">
        <is>
          <t>893435152</t>
        </is>
      </c>
    </row>
    <row r="2521">
      <c r="A2521" t="inlineStr">
        <is>
          <t>No</t>
        </is>
      </c>
      <c r="B2521" t="inlineStr">
        <is>
          <t>CURAL</t>
        </is>
      </c>
      <c r="C2521" t="inlineStr">
        <is>
          <t>SHELVES</t>
        </is>
      </c>
      <c r="D2521" t="inlineStr">
        <is>
          <t>PR5641 .H3</t>
        </is>
      </c>
      <c r="E2521" t="inlineStr">
        <is>
          <t>0                      PR 5641000H  3</t>
        </is>
      </c>
      <c r="F2521" t="inlineStr">
        <is>
          <t>The emergence of Thackeray's serial fiction / Edgar F. Harden.</t>
        </is>
      </c>
      <c r="H2521" t="inlineStr">
        <is>
          <t>No</t>
        </is>
      </c>
      <c r="I2521" t="inlineStr">
        <is>
          <t>1</t>
        </is>
      </c>
      <c r="J2521" t="inlineStr">
        <is>
          <t>No</t>
        </is>
      </c>
      <c r="K2521" t="inlineStr">
        <is>
          <t>No</t>
        </is>
      </c>
      <c r="L2521" t="inlineStr">
        <is>
          <t>0</t>
        </is>
      </c>
      <c r="M2521" t="inlineStr">
        <is>
          <t>Harden, Edgar F.</t>
        </is>
      </c>
      <c r="N2521" t="inlineStr">
        <is>
          <t>Athens : University of Georgia Press, c1979.</t>
        </is>
      </c>
      <c r="O2521" t="inlineStr">
        <is>
          <t>1979</t>
        </is>
      </c>
      <c r="Q2521" t="inlineStr">
        <is>
          <t>eng</t>
        </is>
      </c>
      <c r="R2521" t="inlineStr">
        <is>
          <t>gau</t>
        </is>
      </c>
      <c r="T2521" t="inlineStr">
        <is>
          <t xml:space="preserve">PR </t>
        </is>
      </c>
      <c r="U2521" t="n">
        <v>3</v>
      </c>
      <c r="V2521" t="n">
        <v>3</v>
      </c>
      <c r="W2521" t="inlineStr">
        <is>
          <t>1999-09-18</t>
        </is>
      </c>
      <c r="X2521" t="inlineStr">
        <is>
          <t>1999-09-18</t>
        </is>
      </c>
      <c r="Y2521" t="inlineStr">
        <is>
          <t>1992-03-12</t>
        </is>
      </c>
      <c r="Z2521" t="inlineStr">
        <is>
          <t>1992-03-12</t>
        </is>
      </c>
      <c r="AA2521" t="n">
        <v>489</v>
      </c>
      <c r="AB2521" t="n">
        <v>416</v>
      </c>
      <c r="AC2521" t="n">
        <v>429</v>
      </c>
      <c r="AD2521" t="n">
        <v>5</v>
      </c>
      <c r="AE2521" t="n">
        <v>5</v>
      </c>
      <c r="AF2521" t="n">
        <v>22</v>
      </c>
      <c r="AG2521" t="n">
        <v>23</v>
      </c>
      <c r="AH2521" t="n">
        <v>8</v>
      </c>
      <c r="AI2521" t="n">
        <v>8</v>
      </c>
      <c r="AJ2521" t="n">
        <v>6</v>
      </c>
      <c r="AK2521" t="n">
        <v>6</v>
      </c>
      <c r="AL2521" t="n">
        <v>11</v>
      </c>
      <c r="AM2521" t="n">
        <v>12</v>
      </c>
      <c r="AN2521" t="n">
        <v>4</v>
      </c>
      <c r="AO2521" t="n">
        <v>4</v>
      </c>
      <c r="AP2521" t="n">
        <v>0</v>
      </c>
      <c r="AQ2521" t="n">
        <v>0</v>
      </c>
      <c r="AR2521" t="inlineStr">
        <is>
          <t>No</t>
        </is>
      </c>
      <c r="AS2521" t="inlineStr">
        <is>
          <t>Yes</t>
        </is>
      </c>
      <c r="AT2521">
        <f>HYPERLINK("http://catalog.hathitrust.org/Record/000135418","HathiTrust Record")</f>
        <v/>
      </c>
      <c r="AU2521">
        <f>HYPERLINK("https://creighton-primo.hosted.exlibrisgroup.com/primo-explore/search?tab=default_tab&amp;search_scope=EVERYTHING&amp;vid=01CRU&amp;lang=en_US&amp;offset=0&amp;query=any,contains,991004527989702656","Catalog Record")</f>
        <v/>
      </c>
      <c r="AV2521">
        <f>HYPERLINK("http://www.worldcat.org/oclc/3844232","WorldCat Record")</f>
        <v/>
      </c>
      <c r="AW2521" t="inlineStr">
        <is>
          <t>5614820:eng</t>
        </is>
      </c>
      <c r="AX2521" t="inlineStr">
        <is>
          <t>3844232</t>
        </is>
      </c>
      <c r="AY2521" t="inlineStr">
        <is>
          <t>991004527989702656</t>
        </is>
      </c>
      <c r="AZ2521" t="inlineStr">
        <is>
          <t>991004527989702656</t>
        </is>
      </c>
      <c r="BA2521" t="inlineStr">
        <is>
          <t>2264788850002656</t>
        </is>
      </c>
      <c r="BB2521" t="inlineStr">
        <is>
          <t>BOOK</t>
        </is>
      </c>
      <c r="BD2521" t="inlineStr">
        <is>
          <t>9780820304601</t>
        </is>
      </c>
      <c r="BE2521" t="inlineStr">
        <is>
          <t>32285000997063</t>
        </is>
      </c>
      <c r="BF2521" t="inlineStr">
        <is>
          <t>893519762</t>
        </is>
      </c>
    </row>
    <row r="2522">
      <c r="A2522" t="inlineStr">
        <is>
          <t>No</t>
        </is>
      </c>
      <c r="B2522" t="inlineStr">
        <is>
          <t>CURAL</t>
        </is>
      </c>
      <c r="C2522" t="inlineStr">
        <is>
          <t>SHELVES</t>
        </is>
      </c>
      <c r="D2522" t="inlineStr">
        <is>
          <t>PR565.H5 C37 1983</t>
        </is>
      </c>
      <c r="E2522" t="inlineStr">
        <is>
          <t>0                      PR 0565000H  5                  C  37          1983</t>
        </is>
      </c>
      <c r="F2522" t="inlineStr">
        <is>
          <t>The snarling muse : verbal and visual political satire from Pope to Churchill / Vincent Carretta.</t>
        </is>
      </c>
      <c r="H2522" t="inlineStr">
        <is>
          <t>No</t>
        </is>
      </c>
      <c r="I2522" t="inlineStr">
        <is>
          <t>1</t>
        </is>
      </c>
      <c r="J2522" t="inlineStr">
        <is>
          <t>No</t>
        </is>
      </c>
      <c r="K2522" t="inlineStr">
        <is>
          <t>No</t>
        </is>
      </c>
      <c r="L2522" t="inlineStr">
        <is>
          <t>0</t>
        </is>
      </c>
      <c r="M2522" t="inlineStr">
        <is>
          <t>Carretta, Vincent.</t>
        </is>
      </c>
      <c r="N2522" t="inlineStr">
        <is>
          <t>Philadelphia : University of Pennsylvania Press, 1983.</t>
        </is>
      </c>
      <c r="O2522" t="inlineStr">
        <is>
          <t>1983</t>
        </is>
      </c>
      <c r="Q2522" t="inlineStr">
        <is>
          <t>eng</t>
        </is>
      </c>
      <c r="R2522" t="inlineStr">
        <is>
          <t>pau</t>
        </is>
      </c>
      <c r="T2522" t="inlineStr">
        <is>
          <t xml:space="preserve">PR </t>
        </is>
      </c>
      <c r="U2522" t="n">
        <v>1</v>
      </c>
      <c r="V2522" t="n">
        <v>1</v>
      </c>
      <c r="W2522" t="inlineStr">
        <is>
          <t>2002-11-20</t>
        </is>
      </c>
      <c r="X2522" t="inlineStr">
        <is>
          <t>2002-11-20</t>
        </is>
      </c>
      <c r="Y2522" t="inlineStr">
        <is>
          <t>1991-09-04</t>
        </is>
      </c>
      <c r="Z2522" t="inlineStr">
        <is>
          <t>1991-09-04</t>
        </is>
      </c>
      <c r="AA2522" t="n">
        <v>605</v>
      </c>
      <c r="AB2522" t="n">
        <v>507</v>
      </c>
      <c r="AC2522" t="n">
        <v>515</v>
      </c>
      <c r="AD2522" t="n">
        <v>5</v>
      </c>
      <c r="AE2522" t="n">
        <v>5</v>
      </c>
      <c r="AF2522" t="n">
        <v>27</v>
      </c>
      <c r="AG2522" t="n">
        <v>27</v>
      </c>
      <c r="AH2522" t="n">
        <v>9</v>
      </c>
      <c r="AI2522" t="n">
        <v>9</v>
      </c>
      <c r="AJ2522" t="n">
        <v>6</v>
      </c>
      <c r="AK2522" t="n">
        <v>6</v>
      </c>
      <c r="AL2522" t="n">
        <v>14</v>
      </c>
      <c r="AM2522" t="n">
        <v>14</v>
      </c>
      <c r="AN2522" t="n">
        <v>4</v>
      </c>
      <c r="AO2522" t="n">
        <v>4</v>
      </c>
      <c r="AP2522" t="n">
        <v>0</v>
      </c>
      <c r="AQ2522" t="n">
        <v>0</v>
      </c>
      <c r="AR2522" t="inlineStr">
        <is>
          <t>No</t>
        </is>
      </c>
      <c r="AS2522" t="inlineStr">
        <is>
          <t>Yes</t>
        </is>
      </c>
      <c r="AT2522">
        <f>HYPERLINK("http://catalog.hathitrust.org/Record/000160761","HathiTrust Record")</f>
        <v/>
      </c>
      <c r="AU2522">
        <f>HYPERLINK("https://creighton-primo.hosted.exlibrisgroup.com/primo-explore/search?tab=default_tab&amp;search_scope=EVERYTHING&amp;vid=01CRU&amp;lang=en_US&amp;offset=0&amp;query=any,contains,991000191489702656","Catalog Record")</f>
        <v/>
      </c>
      <c r="AV2522">
        <f>HYPERLINK("http://www.worldcat.org/oclc/9413078","WorldCat Record")</f>
        <v/>
      </c>
      <c r="AW2522" t="inlineStr">
        <is>
          <t>20884036:eng</t>
        </is>
      </c>
      <c r="AX2522" t="inlineStr">
        <is>
          <t>9413078</t>
        </is>
      </c>
      <c r="AY2522" t="inlineStr">
        <is>
          <t>991000191489702656</t>
        </is>
      </c>
      <c r="AZ2522" t="inlineStr">
        <is>
          <t>991000191489702656</t>
        </is>
      </c>
      <c r="BA2522" t="inlineStr">
        <is>
          <t>2263907060002656</t>
        </is>
      </c>
      <c r="BB2522" t="inlineStr">
        <is>
          <t>BOOK</t>
        </is>
      </c>
      <c r="BD2522" t="inlineStr">
        <is>
          <t>9780812278859</t>
        </is>
      </c>
      <c r="BE2522" t="inlineStr">
        <is>
          <t>32285000735992</t>
        </is>
      </c>
      <c r="BF2522" t="inlineStr">
        <is>
          <t>893890501</t>
        </is>
      </c>
    </row>
    <row r="2523">
      <c r="A2523" t="inlineStr">
        <is>
          <t>No</t>
        </is>
      </c>
      <c r="B2523" t="inlineStr">
        <is>
          <t>CURAL</t>
        </is>
      </c>
      <c r="C2523" t="inlineStr">
        <is>
          <t>SHELVES</t>
        </is>
      </c>
      <c r="D2523" t="inlineStr">
        <is>
          <t>PR565.N3 S6</t>
        </is>
      </c>
      <c r="E2523" t="inlineStr">
        <is>
          <t>0                      PR 0565000N  3                  S  6</t>
        </is>
      </c>
      <c r="F2523" t="inlineStr">
        <is>
          <t>Heroic nature; ideal landscape in English poetry from Marvell to Thomson [by] Jeffry B. Spencer.</t>
        </is>
      </c>
      <c r="H2523" t="inlineStr">
        <is>
          <t>No</t>
        </is>
      </c>
      <c r="I2523" t="inlineStr">
        <is>
          <t>1</t>
        </is>
      </c>
      <c r="J2523" t="inlineStr">
        <is>
          <t>No</t>
        </is>
      </c>
      <c r="K2523" t="inlineStr">
        <is>
          <t>No</t>
        </is>
      </c>
      <c r="L2523" t="inlineStr">
        <is>
          <t>0</t>
        </is>
      </c>
      <c r="M2523" t="inlineStr">
        <is>
          <t>Spencer, Jeffry B.</t>
        </is>
      </c>
      <c r="N2523" t="inlineStr">
        <is>
          <t>Evanston [Ill.] Northwestern University Press, 1973.</t>
        </is>
      </c>
      <c r="O2523" t="inlineStr">
        <is>
          <t>1973</t>
        </is>
      </c>
      <c r="Q2523" t="inlineStr">
        <is>
          <t>eng</t>
        </is>
      </c>
      <c r="R2523" t="inlineStr">
        <is>
          <t>ilu</t>
        </is>
      </c>
      <c r="T2523" t="inlineStr">
        <is>
          <t xml:space="preserve">PR </t>
        </is>
      </c>
      <c r="U2523" t="n">
        <v>3</v>
      </c>
      <c r="V2523" t="n">
        <v>3</v>
      </c>
      <c r="W2523" t="inlineStr">
        <is>
          <t>2003-03-03</t>
        </is>
      </c>
      <c r="X2523" t="inlineStr">
        <is>
          <t>2003-03-03</t>
        </is>
      </c>
      <c r="Y2523" t="inlineStr">
        <is>
          <t>1997-08-29</t>
        </is>
      </c>
      <c r="Z2523" t="inlineStr">
        <is>
          <t>1997-08-29</t>
        </is>
      </c>
      <c r="AA2523" t="n">
        <v>799</v>
      </c>
      <c r="AB2523" t="n">
        <v>693</v>
      </c>
      <c r="AC2523" t="n">
        <v>695</v>
      </c>
      <c r="AD2523" t="n">
        <v>7</v>
      </c>
      <c r="AE2523" t="n">
        <v>7</v>
      </c>
      <c r="AF2523" t="n">
        <v>39</v>
      </c>
      <c r="AG2523" t="n">
        <v>39</v>
      </c>
      <c r="AH2523" t="n">
        <v>16</v>
      </c>
      <c r="AI2523" t="n">
        <v>16</v>
      </c>
      <c r="AJ2523" t="n">
        <v>9</v>
      </c>
      <c r="AK2523" t="n">
        <v>9</v>
      </c>
      <c r="AL2523" t="n">
        <v>17</v>
      </c>
      <c r="AM2523" t="n">
        <v>17</v>
      </c>
      <c r="AN2523" t="n">
        <v>6</v>
      </c>
      <c r="AO2523" t="n">
        <v>6</v>
      </c>
      <c r="AP2523" t="n">
        <v>0</v>
      </c>
      <c r="AQ2523" t="n">
        <v>0</v>
      </c>
      <c r="AR2523" t="inlineStr">
        <is>
          <t>No</t>
        </is>
      </c>
      <c r="AS2523" t="inlineStr">
        <is>
          <t>Yes</t>
        </is>
      </c>
      <c r="AT2523">
        <f>HYPERLINK("http://catalog.hathitrust.org/Record/001371706","HathiTrust Record")</f>
        <v/>
      </c>
      <c r="AU2523">
        <f>HYPERLINK("https://creighton-primo.hosted.exlibrisgroup.com/primo-explore/search?tab=default_tab&amp;search_scope=EVERYTHING&amp;vid=01CRU&amp;lang=en_US&amp;offset=0&amp;query=any,contains,991003135029702656","Catalog Record")</f>
        <v/>
      </c>
      <c r="AV2523">
        <f>HYPERLINK("http://www.worldcat.org/oclc/677097","WorldCat Record")</f>
        <v/>
      </c>
      <c r="AW2523" t="inlineStr">
        <is>
          <t>1733488:eng</t>
        </is>
      </c>
      <c r="AX2523" t="inlineStr">
        <is>
          <t>677097</t>
        </is>
      </c>
      <c r="AY2523" t="inlineStr">
        <is>
          <t>991003135029702656</t>
        </is>
      </c>
      <c r="AZ2523" t="inlineStr">
        <is>
          <t>991003135029702656</t>
        </is>
      </c>
      <c r="BA2523" t="inlineStr">
        <is>
          <t>2272393630002656</t>
        </is>
      </c>
      <c r="BB2523" t="inlineStr">
        <is>
          <t>BOOK</t>
        </is>
      </c>
      <c r="BD2523" t="inlineStr">
        <is>
          <t>9780810104037</t>
        </is>
      </c>
      <c r="BE2523" t="inlineStr">
        <is>
          <t>32285003154290</t>
        </is>
      </c>
      <c r="BF2523" t="inlineStr">
        <is>
          <t>893445548</t>
        </is>
      </c>
    </row>
    <row r="2524">
      <c r="A2524" t="inlineStr">
        <is>
          <t>No</t>
        </is>
      </c>
      <c r="B2524" t="inlineStr">
        <is>
          <t>CURAL</t>
        </is>
      </c>
      <c r="C2524" t="inlineStr">
        <is>
          <t>SHELVES</t>
        </is>
      </c>
      <c r="D2524" t="inlineStr">
        <is>
          <t>PR565.S48 P64 1985</t>
        </is>
      </c>
      <c r="E2524" t="inlineStr">
        <is>
          <t>0                      PR 0565000S  48                 P  64          1985</t>
        </is>
      </c>
      <c r="F2524" t="inlineStr">
        <is>
          <t>The poetics of sexual myth : gender and ideology in the verse of Swift and Pope / Ellen Pollak.</t>
        </is>
      </c>
      <c r="H2524" t="inlineStr">
        <is>
          <t>No</t>
        </is>
      </c>
      <c r="I2524" t="inlineStr">
        <is>
          <t>1</t>
        </is>
      </c>
      <c r="J2524" t="inlineStr">
        <is>
          <t>No</t>
        </is>
      </c>
      <c r="K2524" t="inlineStr">
        <is>
          <t>No</t>
        </is>
      </c>
      <c r="L2524" t="inlineStr">
        <is>
          <t>0</t>
        </is>
      </c>
      <c r="M2524" t="inlineStr">
        <is>
          <t>Pollak, Ellen.</t>
        </is>
      </c>
      <c r="N2524" t="inlineStr">
        <is>
          <t>Chicago : University of Chicago Press, 1985.</t>
        </is>
      </c>
      <c r="O2524" t="inlineStr">
        <is>
          <t>1985</t>
        </is>
      </c>
      <c r="Q2524" t="inlineStr">
        <is>
          <t>eng</t>
        </is>
      </c>
      <c r="R2524" t="inlineStr">
        <is>
          <t>ilu</t>
        </is>
      </c>
      <c r="S2524" t="inlineStr">
        <is>
          <t>Women in culture and society</t>
        </is>
      </c>
      <c r="T2524" t="inlineStr">
        <is>
          <t xml:space="preserve">PR </t>
        </is>
      </c>
      <c r="U2524" t="n">
        <v>7</v>
      </c>
      <c r="V2524" t="n">
        <v>7</v>
      </c>
      <c r="W2524" t="inlineStr">
        <is>
          <t>2003-11-21</t>
        </is>
      </c>
      <c r="X2524" t="inlineStr">
        <is>
          <t>2003-11-21</t>
        </is>
      </c>
      <c r="Y2524" t="inlineStr">
        <is>
          <t>1991-09-04</t>
        </is>
      </c>
      <c r="Z2524" t="inlineStr">
        <is>
          <t>1991-09-04</t>
        </is>
      </c>
      <c r="AA2524" t="n">
        <v>641</v>
      </c>
      <c r="AB2524" t="n">
        <v>490</v>
      </c>
      <c r="AC2524" t="n">
        <v>490</v>
      </c>
      <c r="AD2524" t="n">
        <v>3</v>
      </c>
      <c r="AE2524" t="n">
        <v>3</v>
      </c>
      <c r="AF2524" t="n">
        <v>28</v>
      </c>
      <c r="AG2524" t="n">
        <v>28</v>
      </c>
      <c r="AH2524" t="n">
        <v>10</v>
      </c>
      <c r="AI2524" t="n">
        <v>10</v>
      </c>
      <c r="AJ2524" t="n">
        <v>8</v>
      </c>
      <c r="AK2524" t="n">
        <v>8</v>
      </c>
      <c r="AL2524" t="n">
        <v>14</v>
      </c>
      <c r="AM2524" t="n">
        <v>14</v>
      </c>
      <c r="AN2524" t="n">
        <v>2</v>
      </c>
      <c r="AO2524" t="n">
        <v>2</v>
      </c>
      <c r="AP2524" t="n">
        <v>0</v>
      </c>
      <c r="AQ2524" t="n">
        <v>0</v>
      </c>
      <c r="AR2524" t="inlineStr">
        <is>
          <t>No</t>
        </is>
      </c>
      <c r="AS2524" t="inlineStr">
        <is>
          <t>No</t>
        </is>
      </c>
      <c r="AU2524">
        <f>HYPERLINK("https://creighton-primo.hosted.exlibrisgroup.com/primo-explore/search?tab=default_tab&amp;search_scope=EVERYTHING&amp;vid=01CRU&amp;lang=en_US&amp;offset=0&amp;query=any,contains,991000568079702656","Catalog Record")</f>
        <v/>
      </c>
      <c r="AV2524">
        <f>HYPERLINK("http://www.worldcat.org/oclc/11623711","WorldCat Record")</f>
        <v/>
      </c>
      <c r="AW2524" t="inlineStr">
        <is>
          <t>836699259:eng</t>
        </is>
      </c>
      <c r="AX2524" t="inlineStr">
        <is>
          <t>11623711</t>
        </is>
      </c>
      <c r="AY2524" t="inlineStr">
        <is>
          <t>991000568079702656</t>
        </is>
      </c>
      <c r="AZ2524" t="inlineStr">
        <is>
          <t>991000568079702656</t>
        </is>
      </c>
      <c r="BA2524" t="inlineStr">
        <is>
          <t>2262296220002656</t>
        </is>
      </c>
      <c r="BB2524" t="inlineStr">
        <is>
          <t>BOOK</t>
        </is>
      </c>
      <c r="BD2524" t="inlineStr">
        <is>
          <t>9780226673455</t>
        </is>
      </c>
      <c r="BE2524" t="inlineStr">
        <is>
          <t>32285000736008</t>
        </is>
      </c>
      <c r="BF2524" t="inlineStr">
        <is>
          <t>893695947</t>
        </is>
      </c>
    </row>
    <row r="2525">
      <c r="A2525" t="inlineStr">
        <is>
          <t>No</t>
        </is>
      </c>
      <c r="B2525" t="inlineStr">
        <is>
          <t>CURAL</t>
        </is>
      </c>
      <c r="C2525" t="inlineStr">
        <is>
          <t>SHELVES</t>
        </is>
      </c>
      <c r="D2525" t="inlineStr">
        <is>
          <t>PR5650.H6 L4 1921</t>
        </is>
      </c>
      <c r="E2525" t="inlineStr">
        <is>
          <t>0                      PR 5650000H  6                  L  4           1921</t>
        </is>
      </c>
      <c r="F2525" t="inlineStr">
        <is>
          <t>The Hound of heaven : an interpretation / by Francis P. Le Buffe.</t>
        </is>
      </c>
      <c r="H2525" t="inlineStr">
        <is>
          <t>No</t>
        </is>
      </c>
      <c r="I2525" t="inlineStr">
        <is>
          <t>1</t>
        </is>
      </c>
      <c r="J2525" t="inlineStr">
        <is>
          <t>No</t>
        </is>
      </c>
      <c r="K2525" t="inlineStr">
        <is>
          <t>No</t>
        </is>
      </c>
      <c r="L2525" t="inlineStr">
        <is>
          <t>0</t>
        </is>
      </c>
      <c r="M2525" t="inlineStr">
        <is>
          <t>LeBuffe, Francis P. (Francis Peter), 1885-1954.</t>
        </is>
      </c>
      <c r="N2525" t="inlineStr">
        <is>
          <t>New York : The Macmillan Company, 1921.</t>
        </is>
      </c>
      <c r="O2525" t="inlineStr">
        <is>
          <t>1921</t>
        </is>
      </c>
      <c r="Q2525" t="inlineStr">
        <is>
          <t>eng</t>
        </is>
      </c>
      <c r="R2525" t="inlineStr">
        <is>
          <t>nyu</t>
        </is>
      </c>
      <c r="T2525" t="inlineStr">
        <is>
          <t xml:space="preserve">PR </t>
        </is>
      </c>
      <c r="U2525" t="n">
        <v>4</v>
      </c>
      <c r="V2525" t="n">
        <v>4</v>
      </c>
      <c r="W2525" t="inlineStr">
        <is>
          <t>2007-06-15</t>
        </is>
      </c>
      <c r="X2525" t="inlineStr">
        <is>
          <t>2007-06-15</t>
        </is>
      </c>
      <c r="Y2525" t="inlineStr">
        <is>
          <t>1994-12-14</t>
        </is>
      </c>
      <c r="Z2525" t="inlineStr">
        <is>
          <t>1994-12-14</t>
        </is>
      </c>
      <c r="AA2525" t="n">
        <v>292</v>
      </c>
      <c r="AB2525" t="n">
        <v>270</v>
      </c>
      <c r="AC2525" t="n">
        <v>322</v>
      </c>
      <c r="AD2525" t="n">
        <v>2</v>
      </c>
      <c r="AE2525" t="n">
        <v>3</v>
      </c>
      <c r="AF2525" t="n">
        <v>25</v>
      </c>
      <c r="AG2525" t="n">
        <v>29</v>
      </c>
      <c r="AH2525" t="n">
        <v>11</v>
      </c>
      <c r="AI2525" t="n">
        <v>12</v>
      </c>
      <c r="AJ2525" t="n">
        <v>6</v>
      </c>
      <c r="AK2525" t="n">
        <v>6</v>
      </c>
      <c r="AL2525" t="n">
        <v>16</v>
      </c>
      <c r="AM2525" t="n">
        <v>19</v>
      </c>
      <c r="AN2525" t="n">
        <v>1</v>
      </c>
      <c r="AO2525" t="n">
        <v>2</v>
      </c>
      <c r="AP2525" t="n">
        <v>0</v>
      </c>
      <c r="AQ2525" t="n">
        <v>0</v>
      </c>
      <c r="AR2525" t="inlineStr">
        <is>
          <t>Yes</t>
        </is>
      </c>
      <c r="AS2525" t="inlineStr">
        <is>
          <t>No</t>
        </is>
      </c>
      <c r="AT2525">
        <f>HYPERLINK("http://catalog.hathitrust.org/Record/006156338","HathiTrust Record")</f>
        <v/>
      </c>
      <c r="AU2525">
        <f>HYPERLINK("https://creighton-primo.hosted.exlibrisgroup.com/primo-explore/search?tab=default_tab&amp;search_scope=EVERYTHING&amp;vid=01CRU&amp;lang=en_US&amp;offset=0&amp;query=any,contains,991005076879702656","Catalog Record")</f>
        <v/>
      </c>
      <c r="AV2525">
        <f>HYPERLINK("http://www.worldcat.org/oclc/7130739","WorldCat Record")</f>
        <v/>
      </c>
      <c r="AW2525" t="inlineStr">
        <is>
          <t>3943309106:eng</t>
        </is>
      </c>
      <c r="AX2525" t="inlineStr">
        <is>
          <t>7130739</t>
        </is>
      </c>
      <c r="AY2525" t="inlineStr">
        <is>
          <t>991005076879702656</t>
        </is>
      </c>
      <c r="AZ2525" t="inlineStr">
        <is>
          <t>991005076879702656</t>
        </is>
      </c>
      <c r="BA2525" t="inlineStr">
        <is>
          <t>2268650120002656</t>
        </is>
      </c>
      <c r="BB2525" t="inlineStr">
        <is>
          <t>BOOK</t>
        </is>
      </c>
      <c r="BE2525" t="inlineStr">
        <is>
          <t>32285001982353</t>
        </is>
      </c>
      <c r="BF2525" t="inlineStr">
        <is>
          <t>893430812</t>
        </is>
      </c>
    </row>
    <row r="2526">
      <c r="A2526" t="inlineStr">
        <is>
          <t>No</t>
        </is>
      </c>
      <c r="B2526" t="inlineStr">
        <is>
          <t>CURAL</t>
        </is>
      </c>
      <c r="C2526" t="inlineStr">
        <is>
          <t>SHELVES</t>
        </is>
      </c>
      <c r="D2526" t="inlineStr">
        <is>
          <t>PR5650.H8 O2 1914</t>
        </is>
      </c>
      <c r="E2526" t="inlineStr">
        <is>
          <t>0                      PR 5650000H  8                  O  2           1914</t>
        </is>
      </c>
      <c r="F2526" t="inlineStr">
        <is>
          <t>A study of Francis Thompson's Hound of heaven / by J. F. X. O'Conor.</t>
        </is>
      </c>
      <c r="H2526" t="inlineStr">
        <is>
          <t>No</t>
        </is>
      </c>
      <c r="I2526" t="inlineStr">
        <is>
          <t>1</t>
        </is>
      </c>
      <c r="J2526" t="inlineStr">
        <is>
          <t>No</t>
        </is>
      </c>
      <c r="K2526" t="inlineStr">
        <is>
          <t>No</t>
        </is>
      </c>
      <c r="L2526" t="inlineStr">
        <is>
          <t>0</t>
        </is>
      </c>
      <c r="M2526" t="inlineStr">
        <is>
          <t>O'Conor, J. F. X. (John Francis Xavier), 1852-1920.</t>
        </is>
      </c>
      <c r="N2526" t="inlineStr">
        <is>
          <t>New York : J. Lane, 1914.</t>
        </is>
      </c>
      <c r="O2526" t="inlineStr">
        <is>
          <t>1914</t>
        </is>
      </c>
      <c r="P2526" t="inlineStr">
        <is>
          <t>6th ed.</t>
        </is>
      </c>
      <c r="Q2526" t="inlineStr">
        <is>
          <t>eng</t>
        </is>
      </c>
      <c r="R2526" t="inlineStr">
        <is>
          <t>nyu</t>
        </is>
      </c>
      <c r="T2526" t="inlineStr">
        <is>
          <t xml:space="preserve">PR </t>
        </is>
      </c>
      <c r="U2526" t="n">
        <v>5</v>
      </c>
      <c r="V2526" t="n">
        <v>5</v>
      </c>
      <c r="W2526" t="inlineStr">
        <is>
          <t>2007-06-15</t>
        </is>
      </c>
      <c r="X2526" t="inlineStr">
        <is>
          <t>2007-06-15</t>
        </is>
      </c>
      <c r="Y2526" t="inlineStr">
        <is>
          <t>1990-09-04</t>
        </is>
      </c>
      <c r="Z2526" t="inlineStr">
        <is>
          <t>1990-09-04</t>
        </is>
      </c>
      <c r="AA2526" t="n">
        <v>9</v>
      </c>
      <c r="AB2526" t="n">
        <v>8</v>
      </c>
      <c r="AC2526" t="n">
        <v>103</v>
      </c>
      <c r="AD2526" t="n">
        <v>1</v>
      </c>
      <c r="AE2526" t="n">
        <v>3</v>
      </c>
      <c r="AF2526" t="n">
        <v>4</v>
      </c>
      <c r="AG2526" t="n">
        <v>15</v>
      </c>
      <c r="AH2526" t="n">
        <v>0</v>
      </c>
      <c r="AI2526" t="n">
        <v>5</v>
      </c>
      <c r="AJ2526" t="n">
        <v>1</v>
      </c>
      <c r="AK2526" t="n">
        <v>2</v>
      </c>
      <c r="AL2526" t="n">
        <v>4</v>
      </c>
      <c r="AM2526" t="n">
        <v>11</v>
      </c>
      <c r="AN2526" t="n">
        <v>0</v>
      </c>
      <c r="AO2526" t="n">
        <v>1</v>
      </c>
      <c r="AP2526" t="n">
        <v>0</v>
      </c>
      <c r="AQ2526" t="n">
        <v>0</v>
      </c>
      <c r="AR2526" t="inlineStr">
        <is>
          <t>Yes</t>
        </is>
      </c>
      <c r="AS2526" t="inlineStr">
        <is>
          <t>No</t>
        </is>
      </c>
      <c r="AT2526">
        <f>HYPERLINK("http://catalog.hathitrust.org/Record/008956305","HathiTrust Record")</f>
        <v/>
      </c>
      <c r="AU2526">
        <f>HYPERLINK("https://creighton-primo.hosted.exlibrisgroup.com/primo-explore/search?tab=default_tab&amp;search_scope=EVERYTHING&amp;vid=01CRU&amp;lang=en_US&amp;offset=0&amp;query=any,contains,991001122399702656","Catalog Record")</f>
        <v/>
      </c>
      <c r="AV2526">
        <f>HYPERLINK("http://www.worldcat.org/oclc/16592682","WorldCat Record")</f>
        <v/>
      </c>
      <c r="AW2526" t="inlineStr">
        <is>
          <t>3191413:eng</t>
        </is>
      </c>
      <c r="AX2526" t="inlineStr">
        <is>
          <t>16592682</t>
        </is>
      </c>
      <c r="AY2526" t="inlineStr">
        <is>
          <t>991001122399702656</t>
        </is>
      </c>
      <c r="AZ2526" t="inlineStr">
        <is>
          <t>991001122399702656</t>
        </is>
      </c>
      <c r="BA2526" t="inlineStr">
        <is>
          <t>2269880370002656</t>
        </is>
      </c>
      <c r="BB2526" t="inlineStr">
        <is>
          <t>BOOK</t>
        </is>
      </c>
      <c r="BE2526" t="inlineStr">
        <is>
          <t>32285000024868</t>
        </is>
      </c>
      <c r="BF2526" t="inlineStr">
        <is>
          <t>893515917</t>
        </is>
      </c>
    </row>
    <row r="2527">
      <c r="A2527" t="inlineStr">
        <is>
          <t>No</t>
        </is>
      </c>
      <c r="B2527" t="inlineStr">
        <is>
          <t>CURAL</t>
        </is>
      </c>
      <c r="C2527" t="inlineStr">
        <is>
          <t>SHELVES</t>
        </is>
      </c>
      <c r="D2527" t="inlineStr">
        <is>
          <t>PR5651 .B64 1988</t>
        </is>
      </c>
      <c r="E2527" t="inlineStr">
        <is>
          <t>0                      PR 5651000B  64          1988</t>
        </is>
      </c>
      <c r="F2527" t="inlineStr">
        <is>
          <t>Between heaven and Charing Cross : the life of Francis Thompson / Brigid M. Boardman.</t>
        </is>
      </c>
      <c r="H2527" t="inlineStr">
        <is>
          <t>No</t>
        </is>
      </c>
      <c r="I2527" t="inlineStr">
        <is>
          <t>1</t>
        </is>
      </c>
      <c r="J2527" t="inlineStr">
        <is>
          <t>No</t>
        </is>
      </c>
      <c r="K2527" t="inlineStr">
        <is>
          <t>No</t>
        </is>
      </c>
      <c r="L2527" t="inlineStr">
        <is>
          <t>0</t>
        </is>
      </c>
      <c r="M2527" t="inlineStr">
        <is>
          <t>Boardman, Brigid M., 1931-</t>
        </is>
      </c>
      <c r="N2527" t="inlineStr">
        <is>
          <t>New Haven : Yale University Press, 1988.</t>
        </is>
      </c>
      <c r="O2527" t="inlineStr">
        <is>
          <t>1988</t>
        </is>
      </c>
      <c r="Q2527" t="inlineStr">
        <is>
          <t>eng</t>
        </is>
      </c>
      <c r="R2527" t="inlineStr">
        <is>
          <t>ctu</t>
        </is>
      </c>
      <c r="T2527" t="inlineStr">
        <is>
          <t xml:space="preserve">PR </t>
        </is>
      </c>
      <c r="U2527" t="n">
        <v>3</v>
      </c>
      <c r="V2527" t="n">
        <v>3</v>
      </c>
      <c r="W2527" t="inlineStr">
        <is>
          <t>1999-02-24</t>
        </is>
      </c>
      <c r="X2527" t="inlineStr">
        <is>
          <t>1999-02-24</t>
        </is>
      </c>
      <c r="Y2527" t="inlineStr">
        <is>
          <t>1999-03-29</t>
        </is>
      </c>
      <c r="Z2527" t="inlineStr">
        <is>
          <t>1999-03-29</t>
        </is>
      </c>
      <c r="AA2527" t="n">
        <v>532</v>
      </c>
      <c r="AB2527" t="n">
        <v>407</v>
      </c>
      <c r="AC2527" t="n">
        <v>409</v>
      </c>
      <c r="AD2527" t="n">
        <v>1</v>
      </c>
      <c r="AE2527" t="n">
        <v>1</v>
      </c>
      <c r="AF2527" t="n">
        <v>20</v>
      </c>
      <c r="AG2527" t="n">
        <v>20</v>
      </c>
      <c r="AH2527" t="n">
        <v>7</v>
      </c>
      <c r="AI2527" t="n">
        <v>7</v>
      </c>
      <c r="AJ2527" t="n">
        <v>6</v>
      </c>
      <c r="AK2527" t="n">
        <v>6</v>
      </c>
      <c r="AL2527" t="n">
        <v>15</v>
      </c>
      <c r="AM2527" t="n">
        <v>15</v>
      </c>
      <c r="AN2527" t="n">
        <v>0</v>
      </c>
      <c r="AO2527" t="n">
        <v>0</v>
      </c>
      <c r="AP2527" t="n">
        <v>0</v>
      </c>
      <c r="AQ2527" t="n">
        <v>0</v>
      </c>
      <c r="AR2527" t="inlineStr">
        <is>
          <t>No</t>
        </is>
      </c>
      <c r="AS2527" t="inlineStr">
        <is>
          <t>Yes</t>
        </is>
      </c>
      <c r="AT2527">
        <f>HYPERLINK("http://catalog.hathitrust.org/Record/000925073","HathiTrust Record")</f>
        <v/>
      </c>
      <c r="AU2527">
        <f>HYPERLINK("https://creighton-primo.hosted.exlibrisgroup.com/primo-explore/search?tab=default_tab&amp;search_scope=EVERYTHING&amp;vid=01CRU&amp;lang=en_US&amp;offset=0&amp;query=any,contains,991001205349702656","Catalog Record")</f>
        <v/>
      </c>
      <c r="AV2527">
        <f>HYPERLINK("http://www.worldcat.org/oclc/17353279","WorldCat Record")</f>
        <v/>
      </c>
      <c r="AW2527" t="inlineStr">
        <is>
          <t>815115739:eng</t>
        </is>
      </c>
      <c r="AX2527" t="inlineStr">
        <is>
          <t>17353279</t>
        </is>
      </c>
      <c r="AY2527" t="inlineStr">
        <is>
          <t>991001205349702656</t>
        </is>
      </c>
      <c r="AZ2527" t="inlineStr">
        <is>
          <t>991001205349702656</t>
        </is>
      </c>
      <c r="BA2527" t="inlineStr">
        <is>
          <t>2265504370002656</t>
        </is>
      </c>
      <c r="BB2527" t="inlineStr">
        <is>
          <t>BOOK</t>
        </is>
      </c>
      <c r="BD2527" t="inlineStr">
        <is>
          <t>9780300041439</t>
        </is>
      </c>
      <c r="BE2527" t="inlineStr">
        <is>
          <t>32285003263281</t>
        </is>
      </c>
      <c r="BF2527" t="inlineStr">
        <is>
          <t>893626603</t>
        </is>
      </c>
    </row>
    <row r="2528">
      <c r="A2528" t="inlineStr">
        <is>
          <t>No</t>
        </is>
      </c>
      <c r="B2528" t="inlineStr">
        <is>
          <t>CURAL</t>
        </is>
      </c>
      <c r="C2528" t="inlineStr">
        <is>
          <t>SHELVES</t>
        </is>
      </c>
      <c r="D2528" t="inlineStr">
        <is>
          <t>PR5651 .T55</t>
        </is>
      </c>
      <c r="E2528" t="inlineStr">
        <is>
          <t>0                      PR 5651000T  55</t>
        </is>
      </c>
      <c r="F2528" t="inlineStr">
        <is>
          <t>Francis Thompson : a critical biography.</t>
        </is>
      </c>
      <c r="H2528" t="inlineStr">
        <is>
          <t>No</t>
        </is>
      </c>
      <c r="I2528" t="inlineStr">
        <is>
          <t>1</t>
        </is>
      </c>
      <c r="J2528" t="inlineStr">
        <is>
          <t>No</t>
        </is>
      </c>
      <c r="K2528" t="inlineStr">
        <is>
          <t>No</t>
        </is>
      </c>
      <c r="L2528" t="inlineStr">
        <is>
          <t>0</t>
        </is>
      </c>
      <c r="M2528" t="inlineStr">
        <is>
          <t>Thomson, Paul van K. (Paul van Kuykendall), 1916-</t>
        </is>
      </c>
      <c r="N2528" t="inlineStr">
        <is>
          <t>New York : Nelson, [1961]</t>
        </is>
      </c>
      <c r="O2528" t="inlineStr">
        <is>
          <t>1961</t>
        </is>
      </c>
      <c r="Q2528" t="inlineStr">
        <is>
          <t>eng</t>
        </is>
      </c>
      <c r="R2528" t="inlineStr">
        <is>
          <t>nyu</t>
        </is>
      </c>
      <c r="T2528" t="inlineStr">
        <is>
          <t xml:space="preserve">PR </t>
        </is>
      </c>
      <c r="U2528" t="n">
        <v>1</v>
      </c>
      <c r="V2528" t="n">
        <v>1</v>
      </c>
      <c r="W2528" t="inlineStr">
        <is>
          <t>2004-07-12</t>
        </is>
      </c>
      <c r="X2528" t="inlineStr">
        <is>
          <t>2004-07-12</t>
        </is>
      </c>
      <c r="Y2528" t="inlineStr">
        <is>
          <t>1992-06-03</t>
        </is>
      </c>
      <c r="Z2528" t="inlineStr">
        <is>
          <t>1992-06-03</t>
        </is>
      </c>
      <c r="AA2528" t="n">
        <v>537</v>
      </c>
      <c r="AB2528" t="n">
        <v>455</v>
      </c>
      <c r="AC2528" t="n">
        <v>553</v>
      </c>
      <c r="AD2528" t="n">
        <v>5</v>
      </c>
      <c r="AE2528" t="n">
        <v>5</v>
      </c>
      <c r="AF2528" t="n">
        <v>29</v>
      </c>
      <c r="AG2528" t="n">
        <v>29</v>
      </c>
      <c r="AH2528" t="n">
        <v>9</v>
      </c>
      <c r="AI2528" t="n">
        <v>9</v>
      </c>
      <c r="AJ2528" t="n">
        <v>6</v>
      </c>
      <c r="AK2528" t="n">
        <v>6</v>
      </c>
      <c r="AL2528" t="n">
        <v>19</v>
      </c>
      <c r="AM2528" t="n">
        <v>19</v>
      </c>
      <c r="AN2528" t="n">
        <v>3</v>
      </c>
      <c r="AO2528" t="n">
        <v>3</v>
      </c>
      <c r="AP2528" t="n">
        <v>0</v>
      </c>
      <c r="AQ2528" t="n">
        <v>0</v>
      </c>
      <c r="AR2528" t="inlineStr">
        <is>
          <t>Yes</t>
        </is>
      </c>
      <c r="AS2528" t="inlineStr">
        <is>
          <t>Yes</t>
        </is>
      </c>
      <c r="AT2528">
        <f>HYPERLINK("http://catalog.hathitrust.org/Record/001187229","HathiTrust Record")</f>
        <v/>
      </c>
      <c r="AU2528">
        <f>HYPERLINK("https://creighton-primo.hosted.exlibrisgroup.com/primo-explore/search?tab=default_tab&amp;search_scope=EVERYTHING&amp;vid=01CRU&amp;lang=en_US&amp;offset=0&amp;query=any,contains,991003878219702656","Catalog Record")</f>
        <v/>
      </c>
      <c r="AV2528">
        <f>HYPERLINK("http://www.worldcat.org/oclc/1711847","WorldCat Record")</f>
        <v/>
      </c>
      <c r="AW2528" t="inlineStr">
        <is>
          <t>1602893:eng</t>
        </is>
      </c>
      <c r="AX2528" t="inlineStr">
        <is>
          <t>1711847</t>
        </is>
      </c>
      <c r="AY2528" t="inlineStr">
        <is>
          <t>991003878219702656</t>
        </is>
      </c>
      <c r="AZ2528" t="inlineStr">
        <is>
          <t>991003878219702656</t>
        </is>
      </c>
      <c r="BA2528" t="inlineStr">
        <is>
          <t>2271965260002656</t>
        </is>
      </c>
      <c r="BB2528" t="inlineStr">
        <is>
          <t>BOOK</t>
        </is>
      </c>
      <c r="BE2528" t="inlineStr">
        <is>
          <t>32285001130029</t>
        </is>
      </c>
      <c r="BF2528" t="inlineStr">
        <is>
          <t>893787959</t>
        </is>
      </c>
    </row>
    <row r="2529">
      <c r="A2529" t="inlineStr">
        <is>
          <t>No</t>
        </is>
      </c>
      <c r="B2529" t="inlineStr">
        <is>
          <t>CURAL</t>
        </is>
      </c>
      <c r="C2529" t="inlineStr">
        <is>
          <t>SHELVES</t>
        </is>
      </c>
      <c r="D2529" t="inlineStr">
        <is>
          <t>PR5671.T5 S2</t>
        </is>
      </c>
      <c r="E2529" t="inlineStr">
        <is>
          <t>0                      PR 5671000T  5                  S  2</t>
        </is>
      </c>
      <c r="F2529" t="inlineStr">
        <is>
          <t>Trelawny : the incurable romancer / [by] William St Clair.</t>
        </is>
      </c>
      <c r="H2529" t="inlineStr">
        <is>
          <t>No</t>
        </is>
      </c>
      <c r="I2529" t="inlineStr">
        <is>
          <t>1</t>
        </is>
      </c>
      <c r="J2529" t="inlineStr">
        <is>
          <t>No</t>
        </is>
      </c>
      <c r="K2529" t="inlineStr">
        <is>
          <t>No</t>
        </is>
      </c>
      <c r="L2529" t="inlineStr">
        <is>
          <t>0</t>
        </is>
      </c>
      <c r="M2529" t="inlineStr">
        <is>
          <t>St. Clair, William.</t>
        </is>
      </c>
      <c r="N2529" t="inlineStr">
        <is>
          <t>London : J. Murray, 1977.</t>
        </is>
      </c>
      <c r="O2529" t="inlineStr">
        <is>
          <t>1977</t>
        </is>
      </c>
      <c r="Q2529" t="inlineStr">
        <is>
          <t>eng</t>
        </is>
      </c>
      <c r="R2529" t="inlineStr">
        <is>
          <t>enk</t>
        </is>
      </c>
      <c r="T2529" t="inlineStr">
        <is>
          <t xml:space="preserve">PR </t>
        </is>
      </c>
      <c r="U2529" t="n">
        <v>1</v>
      </c>
      <c r="V2529" t="n">
        <v>1</v>
      </c>
      <c r="W2529" t="inlineStr">
        <is>
          <t>2001-04-19</t>
        </is>
      </c>
      <c r="X2529" t="inlineStr">
        <is>
          <t>2001-04-19</t>
        </is>
      </c>
      <c r="Y2529" t="inlineStr">
        <is>
          <t>1997-07-21</t>
        </is>
      </c>
      <c r="Z2529" t="inlineStr">
        <is>
          <t>1997-07-21</t>
        </is>
      </c>
      <c r="AA2529" t="n">
        <v>212</v>
      </c>
      <c r="AB2529" t="n">
        <v>96</v>
      </c>
      <c r="AC2529" t="n">
        <v>452</v>
      </c>
      <c r="AD2529" t="n">
        <v>3</v>
      </c>
      <c r="AE2529" t="n">
        <v>3</v>
      </c>
      <c r="AF2529" t="n">
        <v>6</v>
      </c>
      <c r="AG2529" t="n">
        <v>17</v>
      </c>
      <c r="AH2529" t="n">
        <v>1</v>
      </c>
      <c r="AI2529" t="n">
        <v>5</v>
      </c>
      <c r="AJ2529" t="n">
        <v>1</v>
      </c>
      <c r="AK2529" t="n">
        <v>6</v>
      </c>
      <c r="AL2529" t="n">
        <v>4</v>
      </c>
      <c r="AM2529" t="n">
        <v>11</v>
      </c>
      <c r="AN2529" t="n">
        <v>2</v>
      </c>
      <c r="AO2529" t="n">
        <v>2</v>
      </c>
      <c r="AP2529" t="n">
        <v>0</v>
      </c>
      <c r="AQ2529" t="n">
        <v>0</v>
      </c>
      <c r="AR2529" t="inlineStr">
        <is>
          <t>No</t>
        </is>
      </c>
      <c r="AS2529" t="inlineStr">
        <is>
          <t>No</t>
        </is>
      </c>
      <c r="AU2529">
        <f>HYPERLINK("https://creighton-primo.hosted.exlibrisgroup.com/primo-explore/search?tab=default_tab&amp;search_scope=EVERYTHING&amp;vid=01CRU&amp;lang=en_US&amp;offset=0&amp;query=any,contains,991004491899702656","Catalog Record")</f>
        <v/>
      </c>
      <c r="AV2529">
        <f>HYPERLINK("http://www.worldcat.org/oclc/3669038","WorldCat Record")</f>
        <v/>
      </c>
      <c r="AW2529" t="inlineStr">
        <is>
          <t>889434228:eng</t>
        </is>
      </c>
      <c r="AX2529" t="inlineStr">
        <is>
          <t>3669038</t>
        </is>
      </c>
      <c r="AY2529" t="inlineStr">
        <is>
          <t>991004491899702656</t>
        </is>
      </c>
      <c r="AZ2529" t="inlineStr">
        <is>
          <t>991004491899702656</t>
        </is>
      </c>
      <c r="BA2529" t="inlineStr">
        <is>
          <t>2261971160002656</t>
        </is>
      </c>
      <c r="BB2529" t="inlineStr">
        <is>
          <t>BOOK</t>
        </is>
      </c>
      <c r="BD2529" t="inlineStr">
        <is>
          <t>9780719534249</t>
        </is>
      </c>
      <c r="BE2529" t="inlineStr">
        <is>
          <t>32285002950409</t>
        </is>
      </c>
      <c r="BF2529" t="inlineStr">
        <is>
          <t>893331669</t>
        </is>
      </c>
    </row>
    <row r="2530">
      <c r="A2530" t="inlineStr">
        <is>
          <t>No</t>
        </is>
      </c>
      <c r="B2530" t="inlineStr">
        <is>
          <t>CURAL</t>
        </is>
      </c>
      <c r="C2530" t="inlineStr">
        <is>
          <t>SHELVES</t>
        </is>
      </c>
      <c r="D2530" t="inlineStr">
        <is>
          <t>PR568.P7 F5</t>
        </is>
      </c>
      <c r="E2530" t="inlineStr">
        <is>
          <t>0                      PR 0568000P  7                  F  5</t>
        </is>
      </c>
      <c r="F2530" t="inlineStr">
        <is>
          <t>First follow nature; primitivism in English poetry, 1725-1750.</t>
        </is>
      </c>
      <c r="H2530" t="inlineStr">
        <is>
          <t>No</t>
        </is>
      </c>
      <c r="I2530" t="inlineStr">
        <is>
          <t>1</t>
        </is>
      </c>
      <c r="J2530" t="inlineStr">
        <is>
          <t>No</t>
        </is>
      </c>
      <c r="K2530" t="inlineStr">
        <is>
          <t>No</t>
        </is>
      </c>
      <c r="L2530" t="inlineStr">
        <is>
          <t>0</t>
        </is>
      </c>
      <c r="M2530" t="inlineStr">
        <is>
          <t>FitzGerald, Margaret Mary, 1916-</t>
        </is>
      </c>
      <c r="N2530" t="inlineStr">
        <is>
          <t>New York, King's Crown Press, 1947.</t>
        </is>
      </c>
      <c r="O2530" t="inlineStr">
        <is>
          <t>1947</t>
        </is>
      </c>
      <c r="Q2530" t="inlineStr">
        <is>
          <t>eng</t>
        </is>
      </c>
      <c r="R2530" t="inlineStr">
        <is>
          <t>nyu</t>
        </is>
      </c>
      <c r="T2530" t="inlineStr">
        <is>
          <t xml:space="preserve">PR </t>
        </is>
      </c>
      <c r="U2530" t="n">
        <v>1</v>
      </c>
      <c r="V2530" t="n">
        <v>1</v>
      </c>
      <c r="W2530" t="inlineStr">
        <is>
          <t>2010-11-29</t>
        </is>
      </c>
      <c r="X2530" t="inlineStr">
        <is>
          <t>2010-11-29</t>
        </is>
      </c>
      <c r="Y2530" t="inlineStr">
        <is>
          <t>1997-08-29</t>
        </is>
      </c>
      <c r="Z2530" t="inlineStr">
        <is>
          <t>1997-08-29</t>
        </is>
      </c>
      <c r="AA2530" t="n">
        <v>134</v>
      </c>
      <c r="AB2530" t="n">
        <v>127</v>
      </c>
      <c r="AC2530" t="n">
        <v>360</v>
      </c>
      <c r="AD2530" t="n">
        <v>1</v>
      </c>
      <c r="AE2530" t="n">
        <v>2</v>
      </c>
      <c r="AF2530" t="n">
        <v>6</v>
      </c>
      <c r="AG2530" t="n">
        <v>19</v>
      </c>
      <c r="AH2530" t="n">
        <v>2</v>
      </c>
      <c r="AI2530" t="n">
        <v>5</v>
      </c>
      <c r="AJ2530" t="n">
        <v>2</v>
      </c>
      <c r="AK2530" t="n">
        <v>5</v>
      </c>
      <c r="AL2530" t="n">
        <v>3</v>
      </c>
      <c r="AM2530" t="n">
        <v>12</v>
      </c>
      <c r="AN2530" t="n">
        <v>0</v>
      </c>
      <c r="AO2530" t="n">
        <v>1</v>
      </c>
      <c r="AP2530" t="n">
        <v>0</v>
      </c>
      <c r="AQ2530" t="n">
        <v>0</v>
      </c>
      <c r="AR2530" t="inlineStr">
        <is>
          <t>Yes</t>
        </is>
      </c>
      <c r="AS2530" t="inlineStr">
        <is>
          <t>No</t>
        </is>
      </c>
      <c r="AT2530">
        <f>HYPERLINK("http://catalog.hathitrust.org/Record/001371466","HathiTrust Record")</f>
        <v/>
      </c>
      <c r="AU2530">
        <f>HYPERLINK("https://creighton-primo.hosted.exlibrisgroup.com/primo-explore/search?tab=default_tab&amp;search_scope=EVERYTHING&amp;vid=01CRU&amp;lang=en_US&amp;offset=0&amp;query=any,contains,991004615009702656","Catalog Record")</f>
        <v/>
      </c>
      <c r="AV2530">
        <f>HYPERLINK("http://www.worldcat.org/oclc/4244705","WorldCat Record")</f>
        <v/>
      </c>
      <c r="AW2530" t="inlineStr">
        <is>
          <t>2208881:eng</t>
        </is>
      </c>
      <c r="AX2530" t="inlineStr">
        <is>
          <t>4244705</t>
        </is>
      </c>
      <c r="AY2530" t="inlineStr">
        <is>
          <t>991004615009702656</t>
        </is>
      </c>
      <c r="AZ2530" t="inlineStr">
        <is>
          <t>991004615009702656</t>
        </is>
      </c>
      <c r="BA2530" t="inlineStr">
        <is>
          <t>2262116200002656</t>
        </is>
      </c>
      <c r="BB2530" t="inlineStr">
        <is>
          <t>BOOK</t>
        </is>
      </c>
      <c r="BE2530" t="inlineStr">
        <is>
          <t>32285003154308</t>
        </is>
      </c>
      <c r="BF2530" t="inlineStr">
        <is>
          <t>893513462</t>
        </is>
      </c>
    </row>
    <row r="2531">
      <c r="A2531" t="inlineStr">
        <is>
          <t>No</t>
        </is>
      </c>
      <c r="B2531" t="inlineStr">
        <is>
          <t>CURAL</t>
        </is>
      </c>
      <c r="C2531" t="inlineStr">
        <is>
          <t>SHELVES</t>
        </is>
      </c>
      <c r="D2531" t="inlineStr">
        <is>
          <t>PR5686 .G58 1992</t>
        </is>
      </c>
      <c r="E2531" t="inlineStr">
        <is>
          <t>0                      PR 5686000G  58          1992</t>
        </is>
      </c>
      <c r="F2531" t="inlineStr">
        <is>
          <t>Trollope / Victoria Glendinning.</t>
        </is>
      </c>
      <c r="H2531" t="inlineStr">
        <is>
          <t>No</t>
        </is>
      </c>
      <c r="I2531" t="inlineStr">
        <is>
          <t>1</t>
        </is>
      </c>
      <c r="J2531" t="inlineStr">
        <is>
          <t>No</t>
        </is>
      </c>
      <c r="K2531" t="inlineStr">
        <is>
          <t>No</t>
        </is>
      </c>
      <c r="L2531" t="inlineStr">
        <is>
          <t>0</t>
        </is>
      </c>
      <c r="M2531" t="inlineStr">
        <is>
          <t>Glendinning, Victoria.</t>
        </is>
      </c>
      <c r="N2531" t="inlineStr">
        <is>
          <t>London : Hutchinson, 1992.</t>
        </is>
      </c>
      <c r="O2531" t="inlineStr">
        <is>
          <t>1992</t>
        </is>
      </c>
      <c r="Q2531" t="inlineStr">
        <is>
          <t>eng</t>
        </is>
      </c>
      <c r="R2531" t="inlineStr">
        <is>
          <t>enk</t>
        </is>
      </c>
      <c r="T2531" t="inlineStr">
        <is>
          <t xml:space="preserve">PR </t>
        </is>
      </c>
      <c r="U2531" t="n">
        <v>0</v>
      </c>
      <c r="V2531" t="n">
        <v>0</v>
      </c>
      <c r="W2531" t="inlineStr">
        <is>
          <t>2005-02-14</t>
        </is>
      </c>
      <c r="X2531" t="inlineStr">
        <is>
          <t>2005-02-14</t>
        </is>
      </c>
      <c r="Y2531" t="inlineStr">
        <is>
          <t>1993-03-25</t>
        </is>
      </c>
      <c r="Z2531" t="inlineStr">
        <is>
          <t>1993-03-25</t>
        </is>
      </c>
      <c r="AA2531" t="n">
        <v>297</v>
      </c>
      <c r="AB2531" t="n">
        <v>69</v>
      </c>
      <c r="AC2531" t="n">
        <v>75</v>
      </c>
      <c r="AD2531" t="n">
        <v>1</v>
      </c>
      <c r="AE2531" t="n">
        <v>1</v>
      </c>
      <c r="AF2531" t="n">
        <v>1</v>
      </c>
      <c r="AG2531" t="n">
        <v>1</v>
      </c>
      <c r="AH2531" t="n">
        <v>0</v>
      </c>
      <c r="AI2531" t="n">
        <v>0</v>
      </c>
      <c r="AJ2531" t="n">
        <v>0</v>
      </c>
      <c r="AK2531" t="n">
        <v>0</v>
      </c>
      <c r="AL2531" t="n">
        <v>1</v>
      </c>
      <c r="AM2531" t="n">
        <v>1</v>
      </c>
      <c r="AN2531" t="n">
        <v>0</v>
      </c>
      <c r="AO2531" t="n">
        <v>0</v>
      </c>
      <c r="AP2531" t="n">
        <v>0</v>
      </c>
      <c r="AQ2531" t="n">
        <v>0</v>
      </c>
      <c r="AR2531" t="inlineStr">
        <is>
          <t>No</t>
        </is>
      </c>
      <c r="AS2531" t="inlineStr">
        <is>
          <t>No</t>
        </is>
      </c>
      <c r="AU2531">
        <f>HYPERLINK("https://creighton-primo.hosted.exlibrisgroup.com/primo-explore/search?tab=default_tab&amp;search_scope=EVERYTHING&amp;vid=01CRU&amp;lang=en_US&amp;offset=0&amp;query=any,contains,991002082379702656","Catalog Record")</f>
        <v/>
      </c>
      <c r="AV2531">
        <f>HYPERLINK("http://www.worldcat.org/oclc/26720577","WorldCat Record")</f>
        <v/>
      </c>
      <c r="AW2531" t="inlineStr">
        <is>
          <t>5090356194:eng</t>
        </is>
      </c>
      <c r="AX2531" t="inlineStr">
        <is>
          <t>26720577</t>
        </is>
      </c>
      <c r="AY2531" t="inlineStr">
        <is>
          <t>991002082379702656</t>
        </is>
      </c>
      <c r="AZ2531" t="inlineStr">
        <is>
          <t>991002082379702656</t>
        </is>
      </c>
      <c r="BA2531" t="inlineStr">
        <is>
          <t>2271251830002656</t>
        </is>
      </c>
      <c r="BB2531" t="inlineStr">
        <is>
          <t>BOOK</t>
        </is>
      </c>
      <c r="BD2531" t="inlineStr">
        <is>
          <t>9780091738969</t>
        </is>
      </c>
      <c r="BE2531" t="inlineStr">
        <is>
          <t>32285001498756</t>
        </is>
      </c>
      <c r="BF2531" t="inlineStr">
        <is>
          <t>893322537</t>
        </is>
      </c>
    </row>
    <row r="2532">
      <c r="A2532" t="inlineStr">
        <is>
          <t>No</t>
        </is>
      </c>
      <c r="B2532" t="inlineStr">
        <is>
          <t>CURAL</t>
        </is>
      </c>
      <c r="C2532" t="inlineStr">
        <is>
          <t>SHELVES</t>
        </is>
      </c>
      <c r="D2532" t="inlineStr">
        <is>
          <t>PR5687 .A6 1971b</t>
        </is>
      </c>
      <c r="E2532" t="inlineStr">
        <is>
          <t>0                      PR 5687000A  6           1971b</t>
        </is>
      </c>
      <c r="F2532" t="inlineStr">
        <is>
          <t>Trollope, artist and moralist.</t>
        </is>
      </c>
      <c r="H2532" t="inlineStr">
        <is>
          <t>No</t>
        </is>
      </c>
      <c r="I2532" t="inlineStr">
        <is>
          <t>1</t>
        </is>
      </c>
      <c r="J2532" t="inlineStr">
        <is>
          <t>No</t>
        </is>
      </c>
      <c r="K2532" t="inlineStr">
        <is>
          <t>No</t>
        </is>
      </c>
      <c r="L2532" t="inlineStr">
        <is>
          <t>0</t>
        </is>
      </c>
      <c r="M2532" t="inlineStr">
        <is>
          <t>ApRoberts, Ruth.</t>
        </is>
      </c>
      <c r="N2532" t="inlineStr">
        <is>
          <t>London, Chatto and Windus, 1971.</t>
        </is>
      </c>
      <c r="O2532" t="inlineStr">
        <is>
          <t>1971</t>
        </is>
      </c>
      <c r="Q2532" t="inlineStr">
        <is>
          <t>eng</t>
        </is>
      </c>
      <c r="R2532" t="inlineStr">
        <is>
          <t>enk</t>
        </is>
      </c>
      <c r="T2532" t="inlineStr">
        <is>
          <t xml:space="preserve">PR </t>
        </is>
      </c>
      <c r="U2532" t="n">
        <v>0</v>
      </c>
      <c r="V2532" t="n">
        <v>0</v>
      </c>
      <c r="W2532" t="inlineStr">
        <is>
          <t>2003-09-17</t>
        </is>
      </c>
      <c r="X2532" t="inlineStr">
        <is>
          <t>2003-09-17</t>
        </is>
      </c>
      <c r="Y2532" t="inlineStr">
        <is>
          <t>1997-07-22</t>
        </is>
      </c>
      <c r="Z2532" t="inlineStr">
        <is>
          <t>1997-07-22</t>
        </is>
      </c>
      <c r="AA2532" t="n">
        <v>274</v>
      </c>
      <c r="AB2532" t="n">
        <v>129</v>
      </c>
      <c r="AC2532" t="n">
        <v>135</v>
      </c>
      <c r="AD2532" t="n">
        <v>2</v>
      </c>
      <c r="AE2532" t="n">
        <v>2</v>
      </c>
      <c r="AF2532" t="n">
        <v>7</v>
      </c>
      <c r="AG2532" t="n">
        <v>7</v>
      </c>
      <c r="AH2532" t="n">
        <v>1</v>
      </c>
      <c r="AI2532" t="n">
        <v>1</v>
      </c>
      <c r="AJ2532" t="n">
        <v>3</v>
      </c>
      <c r="AK2532" t="n">
        <v>3</v>
      </c>
      <c r="AL2532" t="n">
        <v>5</v>
      </c>
      <c r="AM2532" t="n">
        <v>5</v>
      </c>
      <c r="AN2532" t="n">
        <v>1</v>
      </c>
      <c r="AO2532" t="n">
        <v>1</v>
      </c>
      <c r="AP2532" t="n">
        <v>0</v>
      </c>
      <c r="AQ2532" t="n">
        <v>0</v>
      </c>
      <c r="AR2532" t="inlineStr">
        <is>
          <t>No</t>
        </is>
      </c>
      <c r="AS2532" t="inlineStr">
        <is>
          <t>Yes</t>
        </is>
      </c>
      <c r="AT2532">
        <f>HYPERLINK("http://catalog.hathitrust.org/Record/102330404","HathiTrust Record")</f>
        <v/>
      </c>
      <c r="AU2532">
        <f>HYPERLINK("https://creighton-primo.hosted.exlibrisgroup.com/primo-explore/search?tab=default_tab&amp;search_scope=EVERYTHING&amp;vid=01CRU&amp;lang=en_US&amp;offset=0&amp;query=any,contains,991003318729702656","Catalog Record")</f>
        <v/>
      </c>
      <c r="AV2532">
        <f>HYPERLINK("http://www.worldcat.org/oclc/844967","WorldCat Record")</f>
        <v/>
      </c>
      <c r="AW2532" t="inlineStr">
        <is>
          <t>350646025:eng</t>
        </is>
      </c>
      <c r="AX2532" t="inlineStr">
        <is>
          <t>844967</t>
        </is>
      </c>
      <c r="AY2532" t="inlineStr">
        <is>
          <t>991003318729702656</t>
        </is>
      </c>
      <c r="AZ2532" t="inlineStr">
        <is>
          <t>991003318729702656</t>
        </is>
      </c>
      <c r="BA2532" t="inlineStr">
        <is>
          <t>2272650420002656</t>
        </is>
      </c>
      <c r="BB2532" t="inlineStr">
        <is>
          <t>BOOK</t>
        </is>
      </c>
      <c r="BD2532" t="inlineStr">
        <is>
          <t>9780701117726</t>
        </is>
      </c>
      <c r="BE2532" t="inlineStr">
        <is>
          <t>32285002950714</t>
        </is>
      </c>
      <c r="BF2532" t="inlineStr">
        <is>
          <t>893330208</t>
        </is>
      </c>
    </row>
    <row r="2533">
      <c r="A2533" t="inlineStr">
        <is>
          <t>No</t>
        </is>
      </c>
      <c r="B2533" t="inlineStr">
        <is>
          <t>CURAL</t>
        </is>
      </c>
      <c r="C2533" t="inlineStr">
        <is>
          <t>SHELVES</t>
        </is>
      </c>
      <c r="D2533" t="inlineStr">
        <is>
          <t>PR5687 .F7</t>
        </is>
      </c>
      <c r="E2533" t="inlineStr">
        <is>
          <t>0                      PR 5687000F  7</t>
        </is>
      </c>
      <c r="F2533" t="inlineStr">
        <is>
          <t>Anthony Trollope.</t>
        </is>
      </c>
      <c r="H2533" t="inlineStr">
        <is>
          <t>No</t>
        </is>
      </c>
      <c r="I2533" t="inlineStr">
        <is>
          <t>1</t>
        </is>
      </c>
      <c r="J2533" t="inlineStr">
        <is>
          <t>No</t>
        </is>
      </c>
      <c r="K2533" t="inlineStr">
        <is>
          <t>No</t>
        </is>
      </c>
      <c r="L2533" t="inlineStr">
        <is>
          <t>0</t>
        </is>
      </c>
      <c r="M2533" t="inlineStr">
        <is>
          <t>Fredman, Alice Green, 1924-1993.</t>
        </is>
      </c>
      <c r="N2533" t="inlineStr">
        <is>
          <t>New York, Columbia University Press, 1971.</t>
        </is>
      </c>
      <c r="O2533" t="inlineStr">
        <is>
          <t>1971</t>
        </is>
      </c>
      <c r="Q2533" t="inlineStr">
        <is>
          <t>eng</t>
        </is>
      </c>
      <c r="R2533" t="inlineStr">
        <is>
          <t>nyu</t>
        </is>
      </c>
      <c r="S2533" t="inlineStr">
        <is>
          <t>Columbia essays on modern writers ; 56</t>
        </is>
      </c>
      <c r="T2533" t="inlineStr">
        <is>
          <t xml:space="preserve">PR </t>
        </is>
      </c>
      <c r="U2533" t="n">
        <v>3</v>
      </c>
      <c r="V2533" t="n">
        <v>3</v>
      </c>
      <c r="W2533" t="inlineStr">
        <is>
          <t>1999-04-23</t>
        </is>
      </c>
      <c r="X2533" t="inlineStr">
        <is>
          <t>1999-04-23</t>
        </is>
      </c>
      <c r="Y2533" t="inlineStr">
        <is>
          <t>1997-07-22</t>
        </is>
      </c>
      <c r="Z2533" t="inlineStr">
        <is>
          <t>1997-07-22</t>
        </is>
      </c>
      <c r="AA2533" t="n">
        <v>695</v>
      </c>
      <c r="AB2533" t="n">
        <v>591</v>
      </c>
      <c r="AC2533" t="n">
        <v>596</v>
      </c>
      <c r="AD2533" t="n">
        <v>5</v>
      </c>
      <c r="AE2533" t="n">
        <v>5</v>
      </c>
      <c r="AF2533" t="n">
        <v>24</v>
      </c>
      <c r="AG2533" t="n">
        <v>24</v>
      </c>
      <c r="AH2533" t="n">
        <v>9</v>
      </c>
      <c r="AI2533" t="n">
        <v>9</v>
      </c>
      <c r="AJ2533" t="n">
        <v>5</v>
      </c>
      <c r="AK2533" t="n">
        <v>5</v>
      </c>
      <c r="AL2533" t="n">
        <v>11</v>
      </c>
      <c r="AM2533" t="n">
        <v>11</v>
      </c>
      <c r="AN2533" t="n">
        <v>4</v>
      </c>
      <c r="AO2533" t="n">
        <v>4</v>
      </c>
      <c r="AP2533" t="n">
        <v>0</v>
      </c>
      <c r="AQ2533" t="n">
        <v>0</v>
      </c>
      <c r="AR2533" t="inlineStr">
        <is>
          <t>No</t>
        </is>
      </c>
      <c r="AS2533" t="inlineStr">
        <is>
          <t>No</t>
        </is>
      </c>
      <c r="AU2533">
        <f>HYPERLINK("https://creighton-primo.hosted.exlibrisgroup.com/primo-explore/search?tab=default_tab&amp;search_scope=EVERYTHING&amp;vid=01CRU&amp;lang=en_US&amp;offset=0&amp;query=any,contains,991000926249702656","Catalog Record")</f>
        <v/>
      </c>
      <c r="AV2533">
        <f>HYPERLINK("http://www.worldcat.org/oclc/163462","WorldCat Record")</f>
        <v/>
      </c>
      <c r="AW2533" t="inlineStr">
        <is>
          <t>363806534:eng</t>
        </is>
      </c>
      <c r="AX2533" t="inlineStr">
        <is>
          <t>163462</t>
        </is>
      </c>
      <c r="AY2533" t="inlineStr">
        <is>
          <t>991000926249702656</t>
        </is>
      </c>
      <c r="AZ2533" t="inlineStr">
        <is>
          <t>991000926249702656</t>
        </is>
      </c>
      <c r="BA2533" t="inlineStr">
        <is>
          <t>2272107280002656</t>
        </is>
      </c>
      <c r="BB2533" t="inlineStr">
        <is>
          <t>BOOK</t>
        </is>
      </c>
      <c r="BD2533" t="inlineStr">
        <is>
          <t>9780231030816</t>
        </is>
      </c>
      <c r="BE2533" t="inlineStr">
        <is>
          <t>32285002595444</t>
        </is>
      </c>
      <c r="BF2533" t="inlineStr">
        <is>
          <t>893720852</t>
        </is>
      </c>
    </row>
    <row r="2534">
      <c r="A2534" t="inlineStr">
        <is>
          <t>No</t>
        </is>
      </c>
      <c r="B2534" t="inlineStr">
        <is>
          <t>CURAL</t>
        </is>
      </c>
      <c r="C2534" t="inlineStr">
        <is>
          <t>SHELVES</t>
        </is>
      </c>
      <c r="D2534" t="inlineStr">
        <is>
          <t>PR5687 .K4 1980</t>
        </is>
      </c>
      <c r="E2534" t="inlineStr">
        <is>
          <t>0                      PR 5687000K  4           1980</t>
        </is>
      </c>
      <c r="F2534" t="inlineStr">
        <is>
          <t>The novel-machine : the theory and fiction of Anthony Trollope / Walter M. Kendrick.</t>
        </is>
      </c>
      <c r="H2534" t="inlineStr">
        <is>
          <t>No</t>
        </is>
      </c>
      <c r="I2534" t="inlineStr">
        <is>
          <t>1</t>
        </is>
      </c>
      <c r="J2534" t="inlineStr">
        <is>
          <t>No</t>
        </is>
      </c>
      <c r="K2534" t="inlineStr">
        <is>
          <t>No</t>
        </is>
      </c>
      <c r="L2534" t="inlineStr">
        <is>
          <t>0</t>
        </is>
      </c>
      <c r="M2534" t="inlineStr">
        <is>
          <t>Kendrick, Walter M.</t>
        </is>
      </c>
      <c r="N2534" t="inlineStr">
        <is>
          <t>Baltimore : Johns Hopkins University Press, c1980.</t>
        </is>
      </c>
      <c r="O2534" t="inlineStr">
        <is>
          <t>1980</t>
        </is>
      </c>
      <c r="Q2534" t="inlineStr">
        <is>
          <t>eng</t>
        </is>
      </c>
      <c r="R2534" t="inlineStr">
        <is>
          <t>mdu</t>
        </is>
      </c>
      <c r="T2534" t="inlineStr">
        <is>
          <t xml:space="preserve">PR </t>
        </is>
      </c>
      <c r="U2534" t="n">
        <v>1</v>
      </c>
      <c r="V2534" t="n">
        <v>1</v>
      </c>
      <c r="W2534" t="inlineStr">
        <is>
          <t>2002-11-20</t>
        </is>
      </c>
      <c r="X2534" t="inlineStr">
        <is>
          <t>2002-11-20</t>
        </is>
      </c>
      <c r="Y2534" t="inlineStr">
        <is>
          <t>2002-11-20</t>
        </is>
      </c>
      <c r="Z2534" t="inlineStr">
        <is>
          <t>2002-11-20</t>
        </is>
      </c>
      <c r="AA2534" t="n">
        <v>565</v>
      </c>
      <c r="AB2534" t="n">
        <v>468</v>
      </c>
      <c r="AC2534" t="n">
        <v>579</v>
      </c>
      <c r="AD2534" t="n">
        <v>3</v>
      </c>
      <c r="AE2534" t="n">
        <v>5</v>
      </c>
      <c r="AF2534" t="n">
        <v>27</v>
      </c>
      <c r="AG2534" t="n">
        <v>31</v>
      </c>
      <c r="AH2534" t="n">
        <v>10</v>
      </c>
      <c r="AI2534" t="n">
        <v>12</v>
      </c>
      <c r="AJ2534" t="n">
        <v>7</v>
      </c>
      <c r="AK2534" t="n">
        <v>7</v>
      </c>
      <c r="AL2534" t="n">
        <v>16</v>
      </c>
      <c r="AM2534" t="n">
        <v>16</v>
      </c>
      <c r="AN2534" t="n">
        <v>2</v>
      </c>
      <c r="AO2534" t="n">
        <v>4</v>
      </c>
      <c r="AP2534" t="n">
        <v>0</v>
      </c>
      <c r="AQ2534" t="n">
        <v>0</v>
      </c>
      <c r="AR2534" t="inlineStr">
        <is>
          <t>No</t>
        </is>
      </c>
      <c r="AS2534" t="inlineStr">
        <is>
          <t>Yes</t>
        </is>
      </c>
      <c r="AT2534">
        <f>HYPERLINK("http://catalog.hathitrust.org/Record/000024699","HathiTrust Record")</f>
        <v/>
      </c>
      <c r="AU2534">
        <f>HYPERLINK("https://creighton-primo.hosted.exlibrisgroup.com/primo-explore/search?tab=default_tab&amp;search_scope=EVERYTHING&amp;vid=01CRU&amp;lang=en_US&amp;offset=0&amp;query=any,contains,991003947929702656","Catalog Record")</f>
        <v/>
      </c>
      <c r="AV2534">
        <f>HYPERLINK("http://www.worldcat.org/oclc/5264680","WorldCat Record")</f>
        <v/>
      </c>
      <c r="AW2534" t="inlineStr">
        <is>
          <t>889855597:eng</t>
        </is>
      </c>
      <c r="AX2534" t="inlineStr">
        <is>
          <t>5264680</t>
        </is>
      </c>
      <c r="AY2534" t="inlineStr">
        <is>
          <t>991003947929702656</t>
        </is>
      </c>
      <c r="AZ2534" t="inlineStr">
        <is>
          <t>991003947929702656</t>
        </is>
      </c>
      <c r="BA2534" t="inlineStr">
        <is>
          <t>2259081340002656</t>
        </is>
      </c>
      <c r="BB2534" t="inlineStr">
        <is>
          <t>BOOK</t>
        </is>
      </c>
      <c r="BD2534" t="inlineStr">
        <is>
          <t>9780801823015</t>
        </is>
      </c>
      <c r="BE2534" t="inlineStr">
        <is>
          <t>32285004665138</t>
        </is>
      </c>
      <c r="BF2534" t="inlineStr">
        <is>
          <t>893499916</t>
        </is>
      </c>
    </row>
    <row r="2535">
      <c r="A2535" t="inlineStr">
        <is>
          <t>No</t>
        </is>
      </c>
      <c r="B2535" t="inlineStr">
        <is>
          <t>CURAL</t>
        </is>
      </c>
      <c r="C2535" t="inlineStr">
        <is>
          <t>SHELVES</t>
        </is>
      </c>
      <c r="D2535" t="inlineStr">
        <is>
          <t>PR5699.T3 Z714 1984</t>
        </is>
      </c>
      <c r="E2535" t="inlineStr">
        <is>
          <t>0                      PR 5699000T  3                  Z  714         1984</t>
        </is>
      </c>
      <c r="F2535" t="inlineStr">
        <is>
          <t>Frances Trollope / by Helen Heineman.</t>
        </is>
      </c>
      <c r="H2535" t="inlineStr">
        <is>
          <t>No</t>
        </is>
      </c>
      <c r="I2535" t="inlineStr">
        <is>
          <t>1</t>
        </is>
      </c>
      <c r="J2535" t="inlineStr">
        <is>
          <t>No</t>
        </is>
      </c>
      <c r="K2535" t="inlineStr">
        <is>
          <t>No</t>
        </is>
      </c>
      <c r="L2535" t="inlineStr">
        <is>
          <t>0</t>
        </is>
      </c>
      <c r="M2535" t="inlineStr">
        <is>
          <t>Heineman, Helen, 1936-</t>
        </is>
      </c>
      <c r="N2535" t="inlineStr">
        <is>
          <t>Boston : Twayne, c1984.</t>
        </is>
      </c>
      <c r="O2535" t="inlineStr">
        <is>
          <t>1984</t>
        </is>
      </c>
      <c r="Q2535" t="inlineStr">
        <is>
          <t>eng</t>
        </is>
      </c>
      <c r="R2535" t="inlineStr">
        <is>
          <t>mau</t>
        </is>
      </c>
      <c r="S2535" t="inlineStr">
        <is>
          <t>Tawyne's English authors series ; TEAS 370</t>
        </is>
      </c>
      <c r="T2535" t="inlineStr">
        <is>
          <t xml:space="preserve">PR </t>
        </is>
      </c>
      <c r="U2535" t="n">
        <v>2</v>
      </c>
      <c r="V2535" t="n">
        <v>2</v>
      </c>
      <c r="W2535" t="inlineStr">
        <is>
          <t>1996-08-27</t>
        </is>
      </c>
      <c r="X2535" t="inlineStr">
        <is>
          <t>1996-08-27</t>
        </is>
      </c>
      <c r="Y2535" t="inlineStr">
        <is>
          <t>1992-03-12</t>
        </is>
      </c>
      <c r="Z2535" t="inlineStr">
        <is>
          <t>1992-03-12</t>
        </is>
      </c>
      <c r="AA2535" t="n">
        <v>569</v>
      </c>
      <c r="AB2535" t="n">
        <v>503</v>
      </c>
      <c r="AC2535" t="n">
        <v>509</v>
      </c>
      <c r="AD2535" t="n">
        <v>5</v>
      </c>
      <c r="AE2535" t="n">
        <v>5</v>
      </c>
      <c r="AF2535" t="n">
        <v>23</v>
      </c>
      <c r="AG2535" t="n">
        <v>23</v>
      </c>
      <c r="AH2535" t="n">
        <v>10</v>
      </c>
      <c r="AI2535" t="n">
        <v>10</v>
      </c>
      <c r="AJ2535" t="n">
        <v>4</v>
      </c>
      <c r="AK2535" t="n">
        <v>4</v>
      </c>
      <c r="AL2535" t="n">
        <v>13</v>
      </c>
      <c r="AM2535" t="n">
        <v>13</v>
      </c>
      <c r="AN2535" t="n">
        <v>4</v>
      </c>
      <c r="AO2535" t="n">
        <v>4</v>
      </c>
      <c r="AP2535" t="n">
        <v>0</v>
      </c>
      <c r="AQ2535" t="n">
        <v>0</v>
      </c>
      <c r="AR2535" t="inlineStr">
        <is>
          <t>No</t>
        </is>
      </c>
      <c r="AS2535" t="inlineStr">
        <is>
          <t>Yes</t>
        </is>
      </c>
      <c r="AT2535">
        <f>HYPERLINK("http://catalog.hathitrust.org/Record/000448356","HathiTrust Record")</f>
        <v/>
      </c>
      <c r="AU2535">
        <f>HYPERLINK("https://creighton-primo.hosted.exlibrisgroup.com/primo-explore/search?tab=default_tab&amp;search_scope=EVERYTHING&amp;vid=01CRU&amp;lang=en_US&amp;offset=0&amp;query=any,contains,991000377769702656","Catalog Record")</f>
        <v/>
      </c>
      <c r="AV2535">
        <f>HYPERLINK("http://www.worldcat.org/oclc/10482993","WorldCat Record")</f>
        <v/>
      </c>
      <c r="AW2535" t="inlineStr">
        <is>
          <t>3300669:eng</t>
        </is>
      </c>
      <c r="AX2535" t="inlineStr">
        <is>
          <t>10482993</t>
        </is>
      </c>
      <c r="AY2535" t="inlineStr">
        <is>
          <t>991000377769702656</t>
        </is>
      </c>
      <c r="AZ2535" t="inlineStr">
        <is>
          <t>991000377769702656</t>
        </is>
      </c>
      <c r="BA2535" t="inlineStr">
        <is>
          <t>2263839000002656</t>
        </is>
      </c>
      <c r="BB2535" t="inlineStr">
        <is>
          <t>BOOK</t>
        </is>
      </c>
      <c r="BD2535" t="inlineStr">
        <is>
          <t>9780805768565</t>
        </is>
      </c>
      <c r="BE2535" t="inlineStr">
        <is>
          <t>32285000997477</t>
        </is>
      </c>
      <c r="BF2535" t="inlineStr">
        <is>
          <t>893683346</t>
        </is>
      </c>
    </row>
    <row r="2536">
      <c r="A2536" t="inlineStr">
        <is>
          <t>No</t>
        </is>
      </c>
      <c r="B2536" t="inlineStr">
        <is>
          <t>CURAL</t>
        </is>
      </c>
      <c r="C2536" t="inlineStr">
        <is>
          <t>SHELVES</t>
        </is>
      </c>
      <c r="D2536" t="inlineStr">
        <is>
          <t>PR571 .H5</t>
        </is>
      </c>
      <c r="E2536" t="inlineStr">
        <is>
          <t>0                      PR 0571000H  5</t>
        </is>
      </c>
      <c r="F2536" t="inlineStr">
        <is>
          <t>From sensibility to romanticism : essays presented to Frederick A. Pottle / edited by Frederick W. Hilles and Harold Bloom.</t>
        </is>
      </c>
      <c r="H2536" t="inlineStr">
        <is>
          <t>No</t>
        </is>
      </c>
      <c r="I2536" t="inlineStr">
        <is>
          <t>1</t>
        </is>
      </c>
      <c r="J2536" t="inlineStr">
        <is>
          <t>No</t>
        </is>
      </c>
      <c r="K2536" t="inlineStr">
        <is>
          <t>No</t>
        </is>
      </c>
      <c r="L2536" t="inlineStr">
        <is>
          <t>0</t>
        </is>
      </c>
      <c r="N2536" t="inlineStr">
        <is>
          <t>New York, Oxford University Press, 1965.</t>
        </is>
      </c>
      <c r="O2536" t="inlineStr">
        <is>
          <t>1965</t>
        </is>
      </c>
      <c r="Q2536" t="inlineStr">
        <is>
          <t>eng</t>
        </is>
      </c>
      <c r="R2536" t="inlineStr">
        <is>
          <t>nyu</t>
        </is>
      </c>
      <c r="T2536" t="inlineStr">
        <is>
          <t xml:space="preserve">PR </t>
        </is>
      </c>
      <c r="U2536" t="n">
        <v>2</v>
      </c>
      <c r="V2536" t="n">
        <v>2</v>
      </c>
      <c r="W2536" t="inlineStr">
        <is>
          <t>2004-04-02</t>
        </is>
      </c>
      <c r="X2536" t="inlineStr">
        <is>
          <t>2004-04-02</t>
        </is>
      </c>
      <c r="Y2536" t="inlineStr">
        <is>
          <t>1998-03-31</t>
        </is>
      </c>
      <c r="Z2536" t="inlineStr">
        <is>
          <t>1998-03-31</t>
        </is>
      </c>
      <c r="AA2536" t="n">
        <v>1167</v>
      </c>
      <c r="AB2536" t="n">
        <v>1002</v>
      </c>
      <c r="AC2536" t="n">
        <v>1078</v>
      </c>
      <c r="AD2536" t="n">
        <v>9</v>
      </c>
      <c r="AE2536" t="n">
        <v>9</v>
      </c>
      <c r="AF2536" t="n">
        <v>45</v>
      </c>
      <c r="AG2536" t="n">
        <v>47</v>
      </c>
      <c r="AH2536" t="n">
        <v>18</v>
      </c>
      <c r="AI2536" t="n">
        <v>19</v>
      </c>
      <c r="AJ2536" t="n">
        <v>9</v>
      </c>
      <c r="AK2536" t="n">
        <v>9</v>
      </c>
      <c r="AL2536" t="n">
        <v>20</v>
      </c>
      <c r="AM2536" t="n">
        <v>22</v>
      </c>
      <c r="AN2536" t="n">
        <v>8</v>
      </c>
      <c r="AO2536" t="n">
        <v>8</v>
      </c>
      <c r="AP2536" t="n">
        <v>0</v>
      </c>
      <c r="AQ2536" t="n">
        <v>0</v>
      </c>
      <c r="AR2536" t="inlineStr">
        <is>
          <t>No</t>
        </is>
      </c>
      <c r="AS2536" t="inlineStr">
        <is>
          <t>Yes</t>
        </is>
      </c>
      <c r="AT2536">
        <f>HYPERLINK("http://catalog.hathitrust.org/Record/001371517","HathiTrust Record")</f>
        <v/>
      </c>
      <c r="AU2536">
        <f>HYPERLINK("https://creighton-primo.hosted.exlibrisgroup.com/primo-explore/search?tab=default_tab&amp;search_scope=EVERYTHING&amp;vid=01CRU&amp;lang=en_US&amp;offset=0&amp;query=any,contains,991002438719702656","Catalog Record")</f>
        <v/>
      </c>
      <c r="AV2536">
        <f>HYPERLINK("http://www.worldcat.org/oclc/349530","WorldCat Record")</f>
        <v/>
      </c>
      <c r="AW2536" t="inlineStr">
        <is>
          <t>844345961:eng</t>
        </is>
      </c>
      <c r="AX2536" t="inlineStr">
        <is>
          <t>349530</t>
        </is>
      </c>
      <c r="AY2536" t="inlineStr">
        <is>
          <t>991002438719702656</t>
        </is>
      </c>
      <c r="AZ2536" t="inlineStr">
        <is>
          <t>991002438719702656</t>
        </is>
      </c>
      <c r="BA2536" t="inlineStr">
        <is>
          <t>2267172830002656</t>
        </is>
      </c>
      <c r="BB2536" t="inlineStr">
        <is>
          <t>BOOK</t>
        </is>
      </c>
      <c r="BE2536" t="inlineStr">
        <is>
          <t>32285003373775</t>
        </is>
      </c>
      <c r="BF2536" t="inlineStr">
        <is>
          <t>893786144</t>
        </is>
      </c>
    </row>
    <row r="2537">
      <c r="A2537" t="inlineStr">
        <is>
          <t>No</t>
        </is>
      </c>
      <c r="B2537" t="inlineStr">
        <is>
          <t>CURAL</t>
        </is>
      </c>
      <c r="C2537" t="inlineStr">
        <is>
          <t>SHELVES</t>
        </is>
      </c>
      <c r="D2537" t="inlineStr">
        <is>
          <t>PR571 .H6</t>
        </is>
      </c>
      <c r="E2537" t="inlineStr">
        <is>
          <t>0                      PR 0571000H  6</t>
        </is>
      </c>
      <c r="F2537" t="inlineStr">
        <is>
          <t>Romantic perspectives; the work of Crabbe, Blake, Wordsworth, and Coleridge, as seen by their contemporaries and by themselves. Edited by Patricia Hodgart and Theodore Redpath.</t>
        </is>
      </c>
      <c r="H2537" t="inlineStr">
        <is>
          <t>No</t>
        </is>
      </c>
      <c r="I2537" t="inlineStr">
        <is>
          <t>1</t>
        </is>
      </c>
      <c r="J2537" t="inlineStr">
        <is>
          <t>No</t>
        </is>
      </c>
      <c r="K2537" t="inlineStr">
        <is>
          <t>No</t>
        </is>
      </c>
      <c r="L2537" t="inlineStr">
        <is>
          <t>0</t>
        </is>
      </c>
      <c r="M2537" t="inlineStr">
        <is>
          <t>Hodgart, Patricia, editor.</t>
        </is>
      </c>
      <c r="N2537" t="inlineStr">
        <is>
          <t>New York, Barnes &amp; Noble [1964]</t>
        </is>
      </c>
      <c r="O2537" t="inlineStr">
        <is>
          <t>1964</t>
        </is>
      </c>
      <c r="Q2537" t="inlineStr">
        <is>
          <t>eng</t>
        </is>
      </c>
      <c r="R2537" t="inlineStr">
        <is>
          <t>nyu</t>
        </is>
      </c>
      <c r="T2537" t="inlineStr">
        <is>
          <t xml:space="preserve">PR </t>
        </is>
      </c>
      <c r="U2537" t="n">
        <v>2</v>
      </c>
      <c r="V2537" t="n">
        <v>2</v>
      </c>
      <c r="W2537" t="inlineStr">
        <is>
          <t>1997-12-10</t>
        </is>
      </c>
      <c r="X2537" t="inlineStr">
        <is>
          <t>1997-12-10</t>
        </is>
      </c>
      <c r="Y2537" t="inlineStr">
        <is>
          <t>1997-08-29</t>
        </is>
      </c>
      <c r="Z2537" t="inlineStr">
        <is>
          <t>1997-08-29</t>
        </is>
      </c>
      <c r="AA2537" t="n">
        <v>386</v>
      </c>
      <c r="AB2537" t="n">
        <v>365</v>
      </c>
      <c r="AC2537" t="n">
        <v>450</v>
      </c>
      <c r="AD2537" t="n">
        <v>3</v>
      </c>
      <c r="AE2537" t="n">
        <v>3</v>
      </c>
      <c r="AF2537" t="n">
        <v>17</v>
      </c>
      <c r="AG2537" t="n">
        <v>21</v>
      </c>
      <c r="AH2537" t="n">
        <v>7</v>
      </c>
      <c r="AI2537" t="n">
        <v>8</v>
      </c>
      <c r="AJ2537" t="n">
        <v>3</v>
      </c>
      <c r="AK2537" t="n">
        <v>3</v>
      </c>
      <c r="AL2537" t="n">
        <v>8</v>
      </c>
      <c r="AM2537" t="n">
        <v>12</v>
      </c>
      <c r="AN2537" t="n">
        <v>2</v>
      </c>
      <c r="AO2537" t="n">
        <v>2</v>
      </c>
      <c r="AP2537" t="n">
        <v>0</v>
      </c>
      <c r="AQ2537" t="n">
        <v>0</v>
      </c>
      <c r="AR2537" t="inlineStr">
        <is>
          <t>No</t>
        </is>
      </c>
      <c r="AS2537" t="inlineStr">
        <is>
          <t>Yes</t>
        </is>
      </c>
      <c r="AT2537">
        <f>HYPERLINK("http://catalog.hathitrust.org/Record/001371518","HathiTrust Record")</f>
        <v/>
      </c>
      <c r="AU2537">
        <f>HYPERLINK("https://creighton-primo.hosted.exlibrisgroup.com/primo-explore/search?tab=default_tab&amp;search_scope=EVERYTHING&amp;vid=01CRU&amp;lang=en_US&amp;offset=0&amp;query=any,contains,991002171649702656","Catalog Record")</f>
        <v/>
      </c>
      <c r="AV2537">
        <f>HYPERLINK("http://www.worldcat.org/oclc/276996","WorldCat Record")</f>
        <v/>
      </c>
      <c r="AW2537" t="inlineStr">
        <is>
          <t>1414435:eng</t>
        </is>
      </c>
      <c r="AX2537" t="inlineStr">
        <is>
          <t>276996</t>
        </is>
      </c>
      <c r="AY2537" t="inlineStr">
        <is>
          <t>991002171649702656</t>
        </is>
      </c>
      <c r="AZ2537" t="inlineStr">
        <is>
          <t>991002171649702656</t>
        </is>
      </c>
      <c r="BA2537" t="inlineStr">
        <is>
          <t>2259841920002656</t>
        </is>
      </c>
      <c r="BB2537" t="inlineStr">
        <is>
          <t>BOOK</t>
        </is>
      </c>
      <c r="BE2537" t="inlineStr">
        <is>
          <t>32285003154316</t>
        </is>
      </c>
      <c r="BF2537" t="inlineStr">
        <is>
          <t>893523276</t>
        </is>
      </c>
    </row>
    <row r="2538">
      <c r="A2538" t="inlineStr">
        <is>
          <t>No</t>
        </is>
      </c>
      <c r="B2538" t="inlineStr">
        <is>
          <t>CURAL</t>
        </is>
      </c>
      <c r="C2538" t="inlineStr">
        <is>
          <t>SHELVES</t>
        </is>
      </c>
      <c r="D2538" t="inlineStr">
        <is>
          <t>PR571 .J3</t>
        </is>
      </c>
      <c r="E2538" t="inlineStr">
        <is>
          <t>0                      PR 0571000J  3</t>
        </is>
      </c>
      <c r="F2538" t="inlineStr">
        <is>
          <t>The probable and the marvelous : Blake, Wordsworth, and the eighteenth-century critical tradition / Wallace Jackson.</t>
        </is>
      </c>
      <c r="H2538" t="inlineStr">
        <is>
          <t>No</t>
        </is>
      </c>
      <c r="I2538" t="inlineStr">
        <is>
          <t>1</t>
        </is>
      </c>
      <c r="J2538" t="inlineStr">
        <is>
          <t>No</t>
        </is>
      </c>
      <c r="K2538" t="inlineStr">
        <is>
          <t>No</t>
        </is>
      </c>
      <c r="L2538" t="inlineStr">
        <is>
          <t>0</t>
        </is>
      </c>
      <c r="M2538" t="inlineStr">
        <is>
          <t>Jackson, Wallace, 1930-</t>
        </is>
      </c>
      <c r="N2538" t="inlineStr">
        <is>
          <t>Athens : University of Georgia Press, c1978.</t>
        </is>
      </c>
      <c r="O2538" t="inlineStr">
        <is>
          <t>1978</t>
        </is>
      </c>
      <c r="Q2538" t="inlineStr">
        <is>
          <t>eng</t>
        </is>
      </c>
      <c r="R2538" t="inlineStr">
        <is>
          <t>gau</t>
        </is>
      </c>
      <c r="T2538" t="inlineStr">
        <is>
          <t xml:space="preserve">PR </t>
        </is>
      </c>
      <c r="U2538" t="n">
        <v>1</v>
      </c>
      <c r="V2538" t="n">
        <v>1</v>
      </c>
      <c r="W2538" t="inlineStr">
        <is>
          <t>2005-02-22</t>
        </is>
      </c>
      <c r="X2538" t="inlineStr">
        <is>
          <t>2005-02-22</t>
        </is>
      </c>
      <c r="Y2538" t="inlineStr">
        <is>
          <t>1990-05-17</t>
        </is>
      </c>
      <c r="Z2538" t="inlineStr">
        <is>
          <t>1990-05-17</t>
        </is>
      </c>
      <c r="AA2538" t="n">
        <v>613</v>
      </c>
      <c r="AB2538" t="n">
        <v>512</v>
      </c>
      <c r="AC2538" t="n">
        <v>516</v>
      </c>
      <c r="AD2538" t="n">
        <v>4</v>
      </c>
      <c r="AE2538" t="n">
        <v>4</v>
      </c>
      <c r="AF2538" t="n">
        <v>28</v>
      </c>
      <c r="AG2538" t="n">
        <v>28</v>
      </c>
      <c r="AH2538" t="n">
        <v>11</v>
      </c>
      <c r="AI2538" t="n">
        <v>11</v>
      </c>
      <c r="AJ2538" t="n">
        <v>7</v>
      </c>
      <c r="AK2538" t="n">
        <v>7</v>
      </c>
      <c r="AL2538" t="n">
        <v>16</v>
      </c>
      <c r="AM2538" t="n">
        <v>16</v>
      </c>
      <c r="AN2538" t="n">
        <v>3</v>
      </c>
      <c r="AO2538" t="n">
        <v>3</v>
      </c>
      <c r="AP2538" t="n">
        <v>0</v>
      </c>
      <c r="AQ2538" t="n">
        <v>0</v>
      </c>
      <c r="AR2538" t="inlineStr">
        <is>
          <t>No</t>
        </is>
      </c>
      <c r="AS2538" t="inlineStr">
        <is>
          <t>No</t>
        </is>
      </c>
      <c r="AU2538">
        <f>HYPERLINK("https://creighton-primo.hosted.exlibrisgroup.com/primo-explore/search?tab=default_tab&amp;search_scope=EVERYTHING&amp;vid=01CRU&amp;lang=en_US&amp;offset=0&amp;query=any,contains,991004438419702656","Catalog Record")</f>
        <v/>
      </c>
      <c r="AV2538">
        <f>HYPERLINK("http://www.worldcat.org/oclc/3447446","WorldCat Record")</f>
        <v/>
      </c>
      <c r="AW2538" t="inlineStr">
        <is>
          <t>889254199:eng</t>
        </is>
      </c>
      <c r="AX2538" t="inlineStr">
        <is>
          <t>3447446</t>
        </is>
      </c>
      <c r="AY2538" t="inlineStr">
        <is>
          <t>991004438419702656</t>
        </is>
      </c>
      <c r="AZ2538" t="inlineStr">
        <is>
          <t>991004438419702656</t>
        </is>
      </c>
      <c r="BA2538" t="inlineStr">
        <is>
          <t>2268776750002656</t>
        </is>
      </c>
      <c r="BB2538" t="inlineStr">
        <is>
          <t>BOOK</t>
        </is>
      </c>
      <c r="BD2538" t="inlineStr">
        <is>
          <t>9780820304397</t>
        </is>
      </c>
      <c r="BE2538" t="inlineStr">
        <is>
          <t>32285000152917</t>
        </is>
      </c>
      <c r="BF2538" t="inlineStr">
        <is>
          <t>893882476</t>
        </is>
      </c>
    </row>
    <row r="2539">
      <c r="A2539" t="inlineStr">
        <is>
          <t>No</t>
        </is>
      </c>
      <c r="B2539" t="inlineStr">
        <is>
          <t>CURAL</t>
        </is>
      </c>
      <c r="C2539" t="inlineStr">
        <is>
          <t>SHELVES</t>
        </is>
      </c>
      <c r="D2539" t="inlineStr">
        <is>
          <t>PR571 .S5 1968</t>
        </is>
      </c>
      <c r="E2539" t="inlineStr">
        <is>
          <t>0                      PR 0571000S  5           1968</t>
        </is>
      </c>
      <c r="F2539" t="inlineStr">
        <is>
          <t>Undercurrents of influence in English romantic poetry.</t>
        </is>
      </c>
      <c r="H2539" t="inlineStr">
        <is>
          <t>No</t>
        </is>
      </c>
      <c r="I2539" t="inlineStr">
        <is>
          <t>1</t>
        </is>
      </c>
      <c r="J2539" t="inlineStr">
        <is>
          <t>No</t>
        </is>
      </c>
      <c r="K2539" t="inlineStr">
        <is>
          <t>No</t>
        </is>
      </c>
      <c r="L2539" t="inlineStr">
        <is>
          <t>0</t>
        </is>
      </c>
      <c r="M2539" t="inlineStr">
        <is>
          <t>Sherwood, Margaret Pollock, 1864-1955.</t>
        </is>
      </c>
      <c r="N2539" t="inlineStr">
        <is>
          <t>Freeport, N.Y., Books for Libraries Press [1968]</t>
        </is>
      </c>
      <c r="O2539" t="inlineStr">
        <is>
          <t>1968</t>
        </is>
      </c>
      <c r="Q2539" t="inlineStr">
        <is>
          <t>eng</t>
        </is>
      </c>
      <c r="R2539" t="inlineStr">
        <is>
          <t>nyu</t>
        </is>
      </c>
      <c r="S2539" t="inlineStr">
        <is>
          <t>Essay index reprint series</t>
        </is>
      </c>
      <c r="T2539" t="inlineStr">
        <is>
          <t xml:space="preserve">PR </t>
        </is>
      </c>
      <c r="U2539" t="n">
        <v>1</v>
      </c>
      <c r="V2539" t="n">
        <v>1</v>
      </c>
      <c r="W2539" t="inlineStr">
        <is>
          <t>2000-12-03</t>
        </is>
      </c>
      <c r="X2539" t="inlineStr">
        <is>
          <t>2000-12-03</t>
        </is>
      </c>
      <c r="Y2539" t="inlineStr">
        <is>
          <t>1997-08-29</t>
        </is>
      </c>
      <c r="Z2539" t="inlineStr">
        <is>
          <t>1997-08-29</t>
        </is>
      </c>
      <c r="AA2539" t="n">
        <v>291</v>
      </c>
      <c r="AB2539" t="n">
        <v>272</v>
      </c>
      <c r="AC2539" t="n">
        <v>681</v>
      </c>
      <c r="AD2539" t="n">
        <v>2</v>
      </c>
      <c r="AE2539" t="n">
        <v>6</v>
      </c>
      <c r="AF2539" t="n">
        <v>8</v>
      </c>
      <c r="AG2539" t="n">
        <v>30</v>
      </c>
      <c r="AH2539" t="n">
        <v>5</v>
      </c>
      <c r="AI2539" t="n">
        <v>12</v>
      </c>
      <c r="AJ2539" t="n">
        <v>1</v>
      </c>
      <c r="AK2539" t="n">
        <v>2</v>
      </c>
      <c r="AL2539" t="n">
        <v>4</v>
      </c>
      <c r="AM2539" t="n">
        <v>15</v>
      </c>
      <c r="AN2539" t="n">
        <v>1</v>
      </c>
      <c r="AO2539" t="n">
        <v>5</v>
      </c>
      <c r="AP2539" t="n">
        <v>0</v>
      </c>
      <c r="AQ2539" t="n">
        <v>0</v>
      </c>
      <c r="AR2539" t="inlineStr">
        <is>
          <t>No</t>
        </is>
      </c>
      <c r="AS2539" t="inlineStr">
        <is>
          <t>No</t>
        </is>
      </c>
      <c r="AU2539">
        <f>HYPERLINK("https://creighton-primo.hosted.exlibrisgroup.com/primo-explore/search?tab=default_tab&amp;search_scope=EVERYTHING&amp;vid=01CRU&amp;lang=en_US&amp;offset=0&amp;query=any,contains,991002438829702656","Catalog Record")</f>
        <v/>
      </c>
      <c r="AV2539">
        <f>HYPERLINK("http://www.worldcat.org/oclc/349574","WorldCat Record")</f>
        <v/>
      </c>
      <c r="AW2539" t="inlineStr">
        <is>
          <t>1338165:eng</t>
        </is>
      </c>
      <c r="AX2539" t="inlineStr">
        <is>
          <t>349574</t>
        </is>
      </c>
      <c r="AY2539" t="inlineStr">
        <is>
          <t>991002438829702656</t>
        </is>
      </c>
      <c r="AZ2539" t="inlineStr">
        <is>
          <t>991002438829702656</t>
        </is>
      </c>
      <c r="BA2539" t="inlineStr">
        <is>
          <t>2267180720002656</t>
        </is>
      </c>
      <c r="BB2539" t="inlineStr">
        <is>
          <t>BOOK</t>
        </is>
      </c>
      <c r="BE2539" t="inlineStr">
        <is>
          <t>32285003154324</t>
        </is>
      </c>
      <c r="BF2539" t="inlineStr">
        <is>
          <t>893873522</t>
        </is>
      </c>
    </row>
    <row r="2540">
      <c r="A2540" t="inlineStr">
        <is>
          <t>No</t>
        </is>
      </c>
      <c r="B2540" t="inlineStr">
        <is>
          <t>CURAL</t>
        </is>
      </c>
      <c r="C2540" t="inlineStr">
        <is>
          <t>SHELVES</t>
        </is>
      </c>
      <c r="D2540" t="inlineStr">
        <is>
          <t>PR5714 .H4 1983</t>
        </is>
      </c>
      <c r="E2540" t="inlineStr">
        <is>
          <t>0                      PR 5714000H  4           1983</t>
        </is>
      </c>
      <c r="F2540" t="inlineStr">
        <is>
          <t>Helbeck of Bannisdale / Mrs Humphry Ward ; edited with an introduction and notes by Brian Worthington.</t>
        </is>
      </c>
      <c r="H2540" t="inlineStr">
        <is>
          <t>No</t>
        </is>
      </c>
      <c r="I2540" t="inlineStr">
        <is>
          <t>1</t>
        </is>
      </c>
      <c r="J2540" t="inlineStr">
        <is>
          <t>No</t>
        </is>
      </c>
      <c r="K2540" t="inlineStr">
        <is>
          <t>No</t>
        </is>
      </c>
      <c r="L2540" t="inlineStr">
        <is>
          <t>0</t>
        </is>
      </c>
      <c r="M2540" t="inlineStr">
        <is>
          <t>Ward, Humphry, Mrs., 1851-1920.</t>
        </is>
      </c>
      <c r="N2540" t="inlineStr">
        <is>
          <t>Harmondsworth, Middlesex, England ; New York, New York, U.S.A. : Penguin, 1983.</t>
        </is>
      </c>
      <c r="O2540" t="inlineStr">
        <is>
          <t>1983</t>
        </is>
      </c>
      <c r="Q2540" t="inlineStr">
        <is>
          <t>eng</t>
        </is>
      </c>
      <c r="R2540" t="inlineStr">
        <is>
          <t>enk</t>
        </is>
      </c>
      <c r="S2540" t="inlineStr">
        <is>
          <t>The Penguin English library.</t>
        </is>
      </c>
      <c r="T2540" t="inlineStr">
        <is>
          <t xml:space="preserve">PR </t>
        </is>
      </c>
      <c r="U2540" t="n">
        <v>2</v>
      </c>
      <c r="V2540" t="n">
        <v>2</v>
      </c>
      <c r="W2540" t="inlineStr">
        <is>
          <t>1997-03-20</t>
        </is>
      </c>
      <c r="X2540" t="inlineStr">
        <is>
          <t>1997-03-20</t>
        </is>
      </c>
      <c r="Y2540" t="inlineStr">
        <is>
          <t>1992-03-12</t>
        </is>
      </c>
      <c r="Z2540" t="inlineStr">
        <is>
          <t>1992-03-12</t>
        </is>
      </c>
      <c r="AA2540" t="n">
        <v>104</v>
      </c>
      <c r="AB2540" t="n">
        <v>50</v>
      </c>
      <c r="AC2540" t="n">
        <v>314</v>
      </c>
      <c r="AD2540" t="n">
        <v>1</v>
      </c>
      <c r="AE2540" t="n">
        <v>2</v>
      </c>
      <c r="AF2540" t="n">
        <v>0</v>
      </c>
      <c r="AG2540" t="n">
        <v>12</v>
      </c>
      <c r="AH2540" t="n">
        <v>0</v>
      </c>
      <c r="AI2540" t="n">
        <v>2</v>
      </c>
      <c r="AJ2540" t="n">
        <v>0</v>
      </c>
      <c r="AK2540" t="n">
        <v>3</v>
      </c>
      <c r="AL2540" t="n">
        <v>0</v>
      </c>
      <c r="AM2540" t="n">
        <v>7</v>
      </c>
      <c r="AN2540" t="n">
        <v>0</v>
      </c>
      <c r="AO2540" t="n">
        <v>1</v>
      </c>
      <c r="AP2540" t="n">
        <v>0</v>
      </c>
      <c r="AQ2540" t="n">
        <v>0</v>
      </c>
      <c r="AR2540" t="inlineStr">
        <is>
          <t>No</t>
        </is>
      </c>
      <c r="AS2540" t="inlineStr">
        <is>
          <t>No</t>
        </is>
      </c>
      <c r="AU2540">
        <f>HYPERLINK("https://creighton-primo.hosted.exlibrisgroup.com/primo-explore/search?tab=default_tab&amp;search_scope=EVERYTHING&amp;vid=01CRU&amp;lang=en_US&amp;offset=0&amp;query=any,contains,991000351719702656","Catalog Record")</f>
        <v/>
      </c>
      <c r="AV2540">
        <f>HYPERLINK("http://www.worldcat.org/oclc/15856651","WorldCat Record")</f>
        <v/>
      </c>
      <c r="AW2540" t="inlineStr">
        <is>
          <t>2331110:eng</t>
        </is>
      </c>
      <c r="AX2540" t="inlineStr">
        <is>
          <t>15856651</t>
        </is>
      </c>
      <c r="AY2540" t="inlineStr">
        <is>
          <t>991000351719702656</t>
        </is>
      </c>
      <c r="AZ2540" t="inlineStr">
        <is>
          <t>991000351719702656</t>
        </is>
      </c>
      <c r="BA2540" t="inlineStr">
        <is>
          <t>2266103870002656</t>
        </is>
      </c>
      <c r="BB2540" t="inlineStr">
        <is>
          <t>BOOK</t>
        </is>
      </c>
      <c r="BD2540" t="inlineStr">
        <is>
          <t>9780140431940</t>
        </is>
      </c>
      <c r="BE2540" t="inlineStr">
        <is>
          <t>32285000997493</t>
        </is>
      </c>
      <c r="BF2540" t="inlineStr">
        <is>
          <t>893689626</t>
        </is>
      </c>
    </row>
    <row r="2541">
      <c r="A2541" t="inlineStr">
        <is>
          <t>No</t>
        </is>
      </c>
      <c r="B2541" t="inlineStr">
        <is>
          <t>CURAL</t>
        </is>
      </c>
      <c r="C2541" t="inlineStr">
        <is>
          <t>SHELVES</t>
        </is>
      </c>
      <c r="D2541" t="inlineStr">
        <is>
          <t>PR575.H5 H3 1980</t>
        </is>
      </c>
      <c r="E2541" t="inlineStr">
        <is>
          <t>0                      PR 0575000H  5                  H  3           1980</t>
        </is>
      </c>
      <c r="F2541" t="inlineStr">
        <is>
          <t>English poetry in a changing society, 1780-1825 / Arnold Harvey.</t>
        </is>
      </c>
      <c r="H2541" t="inlineStr">
        <is>
          <t>No</t>
        </is>
      </c>
      <c r="I2541" t="inlineStr">
        <is>
          <t>1</t>
        </is>
      </c>
      <c r="J2541" t="inlineStr">
        <is>
          <t>No</t>
        </is>
      </c>
      <c r="K2541" t="inlineStr">
        <is>
          <t>No</t>
        </is>
      </c>
      <c r="L2541" t="inlineStr">
        <is>
          <t>0</t>
        </is>
      </c>
      <c r="M2541" t="inlineStr">
        <is>
          <t>Harvey, A. D. (Arnold D.)</t>
        </is>
      </c>
      <c r="N2541" t="inlineStr">
        <is>
          <t>New York : St. Martin's Press, 1980.</t>
        </is>
      </c>
      <c r="O2541" t="inlineStr">
        <is>
          <t>1980</t>
        </is>
      </c>
      <c r="Q2541" t="inlineStr">
        <is>
          <t>eng</t>
        </is>
      </c>
      <c r="R2541" t="inlineStr">
        <is>
          <t>nyu</t>
        </is>
      </c>
      <c r="T2541" t="inlineStr">
        <is>
          <t xml:space="preserve">PR </t>
        </is>
      </c>
      <c r="U2541" t="n">
        <v>1</v>
      </c>
      <c r="V2541" t="n">
        <v>1</v>
      </c>
      <c r="W2541" t="inlineStr">
        <is>
          <t>2002-11-20</t>
        </is>
      </c>
      <c r="X2541" t="inlineStr">
        <is>
          <t>2002-11-20</t>
        </is>
      </c>
      <c r="Y2541" t="inlineStr">
        <is>
          <t>1991-09-04</t>
        </is>
      </c>
      <c r="Z2541" t="inlineStr">
        <is>
          <t>1991-09-04</t>
        </is>
      </c>
      <c r="AA2541" t="n">
        <v>386</v>
      </c>
      <c r="AB2541" t="n">
        <v>348</v>
      </c>
      <c r="AC2541" t="n">
        <v>398</v>
      </c>
      <c r="AD2541" t="n">
        <v>2</v>
      </c>
      <c r="AE2541" t="n">
        <v>3</v>
      </c>
      <c r="AF2541" t="n">
        <v>17</v>
      </c>
      <c r="AG2541" t="n">
        <v>19</v>
      </c>
      <c r="AH2541" t="n">
        <v>7</v>
      </c>
      <c r="AI2541" t="n">
        <v>8</v>
      </c>
      <c r="AJ2541" t="n">
        <v>3</v>
      </c>
      <c r="AK2541" t="n">
        <v>4</v>
      </c>
      <c r="AL2541" t="n">
        <v>11</v>
      </c>
      <c r="AM2541" t="n">
        <v>11</v>
      </c>
      <c r="AN2541" t="n">
        <v>1</v>
      </c>
      <c r="AO2541" t="n">
        <v>2</v>
      </c>
      <c r="AP2541" t="n">
        <v>0</v>
      </c>
      <c r="AQ2541" t="n">
        <v>0</v>
      </c>
      <c r="AR2541" t="inlineStr">
        <is>
          <t>No</t>
        </is>
      </c>
      <c r="AS2541" t="inlineStr">
        <is>
          <t>No</t>
        </is>
      </c>
      <c r="AU2541">
        <f>HYPERLINK("https://creighton-primo.hosted.exlibrisgroup.com/primo-explore/search?tab=default_tab&amp;search_scope=EVERYTHING&amp;vid=01CRU&amp;lang=en_US&amp;offset=0&amp;query=any,contains,991005010339702656","Catalog Record")</f>
        <v/>
      </c>
      <c r="AV2541">
        <f>HYPERLINK("http://www.worldcat.org/oclc/6602203","WorldCat Record")</f>
        <v/>
      </c>
      <c r="AW2541" t="inlineStr">
        <is>
          <t>442360:eng</t>
        </is>
      </c>
      <c r="AX2541" t="inlineStr">
        <is>
          <t>6602203</t>
        </is>
      </c>
      <c r="AY2541" t="inlineStr">
        <is>
          <t>991005010339702656</t>
        </is>
      </c>
      <c r="AZ2541" t="inlineStr">
        <is>
          <t>991005010339702656</t>
        </is>
      </c>
      <c r="BA2541" t="inlineStr">
        <is>
          <t>2255725330002656</t>
        </is>
      </c>
      <c r="BB2541" t="inlineStr">
        <is>
          <t>BOOK</t>
        </is>
      </c>
      <c r="BD2541" t="inlineStr">
        <is>
          <t>9780312255022</t>
        </is>
      </c>
      <c r="BE2541" t="inlineStr">
        <is>
          <t>32285000736024</t>
        </is>
      </c>
      <c r="BF2541" t="inlineStr">
        <is>
          <t>893520286</t>
        </is>
      </c>
    </row>
    <row r="2542">
      <c r="A2542" t="inlineStr">
        <is>
          <t>No</t>
        </is>
      </c>
      <c r="B2542" t="inlineStr">
        <is>
          <t>CURAL</t>
        </is>
      </c>
      <c r="C2542" t="inlineStr">
        <is>
          <t>SHELVES</t>
        </is>
      </c>
      <c r="D2542" t="inlineStr">
        <is>
          <t>PR575.L27 H4 1985</t>
        </is>
      </c>
      <c r="E2542" t="inlineStr">
        <is>
          <t>0                      PR 0575000L  27                 H  4           1985</t>
        </is>
      </c>
      <c r="F2542" t="inlineStr">
        <is>
          <t>The re-creation of landscape : a study of Wordsworth, Coleridge, Constable, and Turner / James A.W. Heffernan.</t>
        </is>
      </c>
      <c r="H2542" t="inlineStr">
        <is>
          <t>No</t>
        </is>
      </c>
      <c r="I2542" t="inlineStr">
        <is>
          <t>1</t>
        </is>
      </c>
      <c r="J2542" t="inlineStr">
        <is>
          <t>No</t>
        </is>
      </c>
      <c r="K2542" t="inlineStr">
        <is>
          <t>No</t>
        </is>
      </c>
      <c r="L2542" t="inlineStr">
        <is>
          <t>0</t>
        </is>
      </c>
      <c r="M2542" t="inlineStr">
        <is>
          <t>Heffernan, James A. W.</t>
        </is>
      </c>
      <c r="N2542" t="inlineStr">
        <is>
          <t>Hanover : Published for Dartmouth College by University Press of New England, 1984, c1985.</t>
        </is>
      </c>
      <c r="O2542" t="inlineStr">
        <is>
          <t>1984</t>
        </is>
      </c>
      <c r="Q2542" t="inlineStr">
        <is>
          <t>eng</t>
        </is>
      </c>
      <c r="R2542" t="inlineStr">
        <is>
          <t>nhu</t>
        </is>
      </c>
      <c r="T2542" t="inlineStr">
        <is>
          <t xml:space="preserve">PR </t>
        </is>
      </c>
      <c r="U2542" t="n">
        <v>2</v>
      </c>
      <c r="V2542" t="n">
        <v>2</v>
      </c>
      <c r="W2542" t="inlineStr">
        <is>
          <t>1995-03-08</t>
        </is>
      </c>
      <c r="X2542" t="inlineStr">
        <is>
          <t>1995-03-08</t>
        </is>
      </c>
      <c r="Y2542" t="inlineStr">
        <is>
          <t>1991-09-04</t>
        </is>
      </c>
      <c r="Z2542" t="inlineStr">
        <is>
          <t>1991-09-04</t>
        </is>
      </c>
      <c r="AA2542" t="n">
        <v>681</v>
      </c>
      <c r="AB2542" t="n">
        <v>581</v>
      </c>
      <c r="AC2542" t="n">
        <v>588</v>
      </c>
      <c r="AD2542" t="n">
        <v>4</v>
      </c>
      <c r="AE2542" t="n">
        <v>4</v>
      </c>
      <c r="AF2542" t="n">
        <v>27</v>
      </c>
      <c r="AG2542" t="n">
        <v>27</v>
      </c>
      <c r="AH2542" t="n">
        <v>10</v>
      </c>
      <c r="AI2542" t="n">
        <v>10</v>
      </c>
      <c r="AJ2542" t="n">
        <v>7</v>
      </c>
      <c r="AK2542" t="n">
        <v>7</v>
      </c>
      <c r="AL2542" t="n">
        <v>12</v>
      </c>
      <c r="AM2542" t="n">
        <v>12</v>
      </c>
      <c r="AN2542" t="n">
        <v>3</v>
      </c>
      <c r="AO2542" t="n">
        <v>3</v>
      </c>
      <c r="AP2542" t="n">
        <v>0</v>
      </c>
      <c r="AQ2542" t="n">
        <v>0</v>
      </c>
      <c r="AR2542" t="inlineStr">
        <is>
          <t>No</t>
        </is>
      </c>
      <c r="AS2542" t="inlineStr">
        <is>
          <t>Yes</t>
        </is>
      </c>
      <c r="AT2542">
        <f>HYPERLINK("http://catalog.hathitrust.org/Record/000340921","HathiTrust Record")</f>
        <v/>
      </c>
      <c r="AU2542">
        <f>HYPERLINK("https://creighton-primo.hosted.exlibrisgroup.com/primo-explore/search?tab=default_tab&amp;search_scope=EVERYTHING&amp;vid=01CRU&amp;lang=en_US&amp;offset=0&amp;query=any,contains,991000525829702656","Catalog Record")</f>
        <v/>
      </c>
      <c r="AV2542">
        <f>HYPERLINK("http://www.worldcat.org/oclc/11370569","WorldCat Record")</f>
        <v/>
      </c>
      <c r="AW2542" t="inlineStr">
        <is>
          <t>345927381:eng</t>
        </is>
      </c>
      <c r="AX2542" t="inlineStr">
        <is>
          <t>11370569</t>
        </is>
      </c>
      <c r="AY2542" t="inlineStr">
        <is>
          <t>991000525829702656</t>
        </is>
      </c>
      <c r="AZ2542" t="inlineStr">
        <is>
          <t>991000525829702656</t>
        </is>
      </c>
      <c r="BA2542" t="inlineStr">
        <is>
          <t>2260051460002656</t>
        </is>
      </c>
      <c r="BB2542" t="inlineStr">
        <is>
          <t>BOOK</t>
        </is>
      </c>
      <c r="BD2542" t="inlineStr">
        <is>
          <t>9780874513127</t>
        </is>
      </c>
      <c r="BE2542" t="inlineStr">
        <is>
          <t>32285000736032</t>
        </is>
      </c>
      <c r="BF2542" t="inlineStr">
        <is>
          <t>893321121</t>
        </is>
      </c>
    </row>
    <row r="2543">
      <c r="A2543" t="inlineStr">
        <is>
          <t>No</t>
        </is>
      </c>
      <c r="B2543" t="inlineStr">
        <is>
          <t>CURAL</t>
        </is>
      </c>
      <c r="C2543" t="inlineStr">
        <is>
          <t>SHELVES</t>
        </is>
      </c>
      <c r="D2543" t="inlineStr">
        <is>
          <t>PR575.M54 R63 2002</t>
        </is>
      </c>
      <c r="E2543" t="inlineStr">
        <is>
          <t>0                      PR 0575000M  54                 R  63          2002</t>
        </is>
      </c>
      <c r="F2543" t="inlineStr">
        <is>
          <t>Romanticism and millenarianism / edited by Tim Fulford.</t>
        </is>
      </c>
      <c r="H2543" t="inlineStr">
        <is>
          <t>No</t>
        </is>
      </c>
      <c r="I2543" t="inlineStr">
        <is>
          <t>1</t>
        </is>
      </c>
      <c r="J2543" t="inlineStr">
        <is>
          <t>No</t>
        </is>
      </c>
      <c r="K2543" t="inlineStr">
        <is>
          <t>No</t>
        </is>
      </c>
      <c r="L2543" t="inlineStr">
        <is>
          <t>0</t>
        </is>
      </c>
      <c r="N2543" t="inlineStr">
        <is>
          <t>New York : Palgrave, 2002.</t>
        </is>
      </c>
      <c r="O2543" t="inlineStr">
        <is>
          <t>2002</t>
        </is>
      </c>
      <c r="P2543" t="inlineStr">
        <is>
          <t>1st ed.</t>
        </is>
      </c>
      <c r="Q2543" t="inlineStr">
        <is>
          <t>eng</t>
        </is>
      </c>
      <c r="R2543" t="inlineStr">
        <is>
          <t>nyu</t>
        </is>
      </c>
      <c r="T2543" t="inlineStr">
        <is>
          <t xml:space="preserve">PR </t>
        </is>
      </c>
      <c r="U2543" t="n">
        <v>4</v>
      </c>
      <c r="V2543" t="n">
        <v>4</v>
      </c>
      <c r="W2543" t="inlineStr">
        <is>
          <t>2008-09-04</t>
        </is>
      </c>
      <c r="X2543" t="inlineStr">
        <is>
          <t>2008-09-04</t>
        </is>
      </c>
      <c r="Y2543" t="inlineStr">
        <is>
          <t>2002-03-18</t>
        </is>
      </c>
      <c r="Z2543" t="inlineStr">
        <is>
          <t>2002-03-18</t>
        </is>
      </c>
      <c r="AA2543" t="n">
        <v>249</v>
      </c>
      <c r="AB2543" t="n">
        <v>171</v>
      </c>
      <c r="AC2543" t="n">
        <v>191</v>
      </c>
      <c r="AD2543" t="n">
        <v>3</v>
      </c>
      <c r="AE2543" t="n">
        <v>3</v>
      </c>
      <c r="AF2543" t="n">
        <v>10</v>
      </c>
      <c r="AG2543" t="n">
        <v>10</v>
      </c>
      <c r="AH2543" t="n">
        <v>2</v>
      </c>
      <c r="AI2543" t="n">
        <v>2</v>
      </c>
      <c r="AJ2543" t="n">
        <v>1</v>
      </c>
      <c r="AK2543" t="n">
        <v>1</v>
      </c>
      <c r="AL2543" t="n">
        <v>7</v>
      </c>
      <c r="AM2543" t="n">
        <v>7</v>
      </c>
      <c r="AN2543" t="n">
        <v>2</v>
      </c>
      <c r="AO2543" t="n">
        <v>2</v>
      </c>
      <c r="AP2543" t="n">
        <v>0</v>
      </c>
      <c r="AQ2543" t="n">
        <v>0</v>
      </c>
      <c r="AR2543" t="inlineStr">
        <is>
          <t>No</t>
        </is>
      </c>
      <c r="AS2543" t="inlineStr">
        <is>
          <t>No</t>
        </is>
      </c>
      <c r="AU2543">
        <f>HYPERLINK("https://creighton-primo.hosted.exlibrisgroup.com/primo-explore/search?tab=default_tab&amp;search_scope=EVERYTHING&amp;vid=01CRU&amp;lang=en_US&amp;offset=0&amp;query=any,contains,991003749829702656","Catalog Record")</f>
        <v/>
      </c>
      <c r="AV2543">
        <f>HYPERLINK("http://www.worldcat.org/oclc/47081302","WorldCat Record")</f>
        <v/>
      </c>
      <c r="AW2543" t="inlineStr">
        <is>
          <t>1005013733:eng</t>
        </is>
      </c>
      <c r="AX2543" t="inlineStr">
        <is>
          <t>47081302</t>
        </is>
      </c>
      <c r="AY2543" t="inlineStr">
        <is>
          <t>991003749829702656</t>
        </is>
      </c>
      <c r="AZ2543" t="inlineStr">
        <is>
          <t>991003749829702656</t>
        </is>
      </c>
      <c r="BA2543" t="inlineStr">
        <is>
          <t>2256974900002656</t>
        </is>
      </c>
      <c r="BB2543" t="inlineStr">
        <is>
          <t>BOOK</t>
        </is>
      </c>
      <c r="BD2543" t="inlineStr">
        <is>
          <t>9780312240110</t>
        </is>
      </c>
      <c r="BE2543" t="inlineStr">
        <is>
          <t>32285004462114</t>
        </is>
      </c>
      <c r="BF2543" t="inlineStr">
        <is>
          <t>893353015</t>
        </is>
      </c>
    </row>
    <row r="2544">
      <c r="A2544" t="inlineStr">
        <is>
          <t>No</t>
        </is>
      </c>
      <c r="B2544" t="inlineStr">
        <is>
          <t>CURAL</t>
        </is>
      </c>
      <c r="C2544" t="inlineStr">
        <is>
          <t>SHELVES</t>
        </is>
      </c>
      <c r="D2544" t="inlineStr">
        <is>
          <t>PR575.P6 S7 1967b</t>
        </is>
      </c>
      <c r="E2544" t="inlineStr">
        <is>
          <t>0                      PR 0575000P  6                  S  7           1967b</t>
        </is>
      </c>
      <c r="F2544" t="inlineStr">
        <is>
          <t>The art of poetry, 1750-1820; theories of poetic composition and style in the late neo-classic and early romantic periods [by] P. W. K. Stone.</t>
        </is>
      </c>
      <c r="H2544" t="inlineStr">
        <is>
          <t>No</t>
        </is>
      </c>
      <c r="I2544" t="inlineStr">
        <is>
          <t>1</t>
        </is>
      </c>
      <c r="J2544" t="inlineStr">
        <is>
          <t>No</t>
        </is>
      </c>
      <c r="K2544" t="inlineStr">
        <is>
          <t>No</t>
        </is>
      </c>
      <c r="L2544" t="inlineStr">
        <is>
          <t>0</t>
        </is>
      </c>
      <c r="M2544" t="inlineStr">
        <is>
          <t>Stone, P. W. K.</t>
        </is>
      </c>
      <c r="N2544" t="inlineStr">
        <is>
          <t>New York, Barnes &amp; Noble [1967]</t>
        </is>
      </c>
      <c r="O2544" t="inlineStr">
        <is>
          <t>1967</t>
        </is>
      </c>
      <c r="Q2544" t="inlineStr">
        <is>
          <t>eng</t>
        </is>
      </c>
      <c r="R2544" t="inlineStr">
        <is>
          <t>nyu</t>
        </is>
      </c>
      <c r="T2544" t="inlineStr">
        <is>
          <t xml:space="preserve">PR </t>
        </is>
      </c>
      <c r="U2544" t="n">
        <v>6</v>
      </c>
      <c r="V2544" t="n">
        <v>6</v>
      </c>
      <c r="W2544" t="inlineStr">
        <is>
          <t>2002-11-12</t>
        </is>
      </c>
      <c r="X2544" t="inlineStr">
        <is>
          <t>2002-11-12</t>
        </is>
      </c>
      <c r="Y2544" t="inlineStr">
        <is>
          <t>1997-09-04</t>
        </is>
      </c>
      <c r="Z2544" t="inlineStr">
        <is>
          <t>1997-09-04</t>
        </is>
      </c>
      <c r="AA2544" t="n">
        <v>298</v>
      </c>
      <c r="AB2544" t="n">
        <v>270</v>
      </c>
      <c r="AC2544" t="n">
        <v>387</v>
      </c>
      <c r="AD2544" t="n">
        <v>5</v>
      </c>
      <c r="AE2544" t="n">
        <v>6</v>
      </c>
      <c r="AF2544" t="n">
        <v>17</v>
      </c>
      <c r="AG2544" t="n">
        <v>22</v>
      </c>
      <c r="AH2544" t="n">
        <v>5</v>
      </c>
      <c r="AI2544" t="n">
        <v>6</v>
      </c>
      <c r="AJ2544" t="n">
        <v>3</v>
      </c>
      <c r="AK2544" t="n">
        <v>5</v>
      </c>
      <c r="AL2544" t="n">
        <v>8</v>
      </c>
      <c r="AM2544" t="n">
        <v>11</v>
      </c>
      <c r="AN2544" t="n">
        <v>4</v>
      </c>
      <c r="AO2544" t="n">
        <v>5</v>
      </c>
      <c r="AP2544" t="n">
        <v>0</v>
      </c>
      <c r="AQ2544" t="n">
        <v>0</v>
      </c>
      <c r="AR2544" t="inlineStr">
        <is>
          <t>No</t>
        </is>
      </c>
      <c r="AS2544" t="inlineStr">
        <is>
          <t>Yes</t>
        </is>
      </c>
      <c r="AT2544">
        <f>HYPERLINK("http://catalog.hathitrust.org/Record/009523829","HathiTrust Record")</f>
        <v/>
      </c>
      <c r="AU2544">
        <f>HYPERLINK("https://creighton-primo.hosted.exlibrisgroup.com/primo-explore/search?tab=default_tab&amp;search_scope=EVERYTHING&amp;vid=01CRU&amp;lang=en_US&amp;offset=0&amp;query=any,contains,991002438479702656","Catalog Record")</f>
        <v/>
      </c>
      <c r="AV2544">
        <f>HYPERLINK("http://www.worldcat.org/oclc/349466","WorldCat Record")</f>
        <v/>
      </c>
      <c r="AW2544" t="inlineStr">
        <is>
          <t>815135479:eng</t>
        </is>
      </c>
      <c r="AX2544" t="inlineStr">
        <is>
          <t>349466</t>
        </is>
      </c>
      <c r="AY2544" t="inlineStr">
        <is>
          <t>991002438479702656</t>
        </is>
      </c>
      <c r="AZ2544" t="inlineStr">
        <is>
          <t>991002438479702656</t>
        </is>
      </c>
      <c r="BA2544" t="inlineStr">
        <is>
          <t>2267087540002656</t>
        </is>
      </c>
      <c r="BB2544" t="inlineStr">
        <is>
          <t>BOOK</t>
        </is>
      </c>
      <c r="BE2544" t="inlineStr">
        <is>
          <t>32285003154514</t>
        </is>
      </c>
      <c r="BF2544" t="inlineStr">
        <is>
          <t>893251228</t>
        </is>
      </c>
    </row>
    <row r="2545">
      <c r="A2545" t="inlineStr">
        <is>
          <t>No</t>
        </is>
      </c>
      <c r="B2545" t="inlineStr">
        <is>
          <t>CURAL</t>
        </is>
      </c>
      <c r="C2545" t="inlineStr">
        <is>
          <t>SHELVES</t>
        </is>
      </c>
      <c r="D2545" t="inlineStr">
        <is>
          <t>PR5776 .A25 1969</t>
        </is>
      </c>
      <c r="E2545" t="inlineStr">
        <is>
          <t>0                      PR 5776000A  25          1969</t>
        </is>
      </c>
      <c r="F2545" t="inlineStr">
        <is>
          <t>A dictionary of the characters and scenes in the novels, romances, and short stories of H. G. Wells, by G. A. Connes.</t>
        </is>
      </c>
      <c r="H2545" t="inlineStr">
        <is>
          <t>No</t>
        </is>
      </c>
      <c r="I2545" t="inlineStr">
        <is>
          <t>1</t>
        </is>
      </c>
      <c r="J2545" t="inlineStr">
        <is>
          <t>No</t>
        </is>
      </c>
      <c r="K2545" t="inlineStr">
        <is>
          <t>No</t>
        </is>
      </c>
      <c r="L2545" t="inlineStr">
        <is>
          <t>0</t>
        </is>
      </c>
      <c r="M2545" t="inlineStr">
        <is>
          <t>Connes, G. A. (Georges Auguste), 1890-1974.</t>
        </is>
      </c>
      <c r="N2545" t="inlineStr">
        <is>
          <t>Folcroft, Pa., Folcroft Press [1969]</t>
        </is>
      </c>
      <c r="O2545" t="inlineStr">
        <is>
          <t>1969</t>
        </is>
      </c>
      <c r="Q2545" t="inlineStr">
        <is>
          <t>eng</t>
        </is>
      </c>
      <c r="R2545" t="inlineStr">
        <is>
          <t>pau</t>
        </is>
      </c>
      <c r="T2545" t="inlineStr">
        <is>
          <t xml:space="preserve">PR </t>
        </is>
      </c>
      <c r="U2545" t="n">
        <v>2</v>
      </c>
      <c r="V2545" t="n">
        <v>2</v>
      </c>
      <c r="W2545" t="inlineStr">
        <is>
          <t>1996-11-25</t>
        </is>
      </c>
      <c r="X2545" t="inlineStr">
        <is>
          <t>1996-11-25</t>
        </is>
      </c>
      <c r="Y2545" t="inlineStr">
        <is>
          <t>1996-04-17</t>
        </is>
      </c>
      <c r="Z2545" t="inlineStr">
        <is>
          <t>1996-04-17</t>
        </is>
      </c>
      <c r="AA2545" t="n">
        <v>51</v>
      </c>
      <c r="AB2545" t="n">
        <v>44</v>
      </c>
      <c r="AC2545" t="n">
        <v>198</v>
      </c>
      <c r="AD2545" t="n">
        <v>1</v>
      </c>
      <c r="AE2545" t="n">
        <v>3</v>
      </c>
      <c r="AF2545" t="n">
        <v>3</v>
      </c>
      <c r="AG2545" t="n">
        <v>9</v>
      </c>
      <c r="AH2545" t="n">
        <v>1</v>
      </c>
      <c r="AI2545" t="n">
        <v>2</v>
      </c>
      <c r="AJ2545" t="n">
        <v>1</v>
      </c>
      <c r="AK2545" t="n">
        <v>1</v>
      </c>
      <c r="AL2545" t="n">
        <v>2</v>
      </c>
      <c r="AM2545" t="n">
        <v>5</v>
      </c>
      <c r="AN2545" t="n">
        <v>0</v>
      </c>
      <c r="AO2545" t="n">
        <v>2</v>
      </c>
      <c r="AP2545" t="n">
        <v>0</v>
      </c>
      <c r="AQ2545" t="n">
        <v>0</v>
      </c>
      <c r="AR2545" t="inlineStr">
        <is>
          <t>No</t>
        </is>
      </c>
      <c r="AS2545" t="inlineStr">
        <is>
          <t>No</t>
        </is>
      </c>
      <c r="AU2545">
        <f>HYPERLINK("https://creighton-primo.hosted.exlibrisgroup.com/primo-explore/search?tab=default_tab&amp;search_scope=EVERYTHING&amp;vid=01CRU&amp;lang=en_US&amp;offset=0&amp;query=any,contains,991002408909702656","Catalog Record")</f>
        <v/>
      </c>
      <c r="AV2545">
        <f>HYPERLINK("http://www.worldcat.org/oclc/338772","WorldCat Record")</f>
        <v/>
      </c>
      <c r="AW2545" t="inlineStr">
        <is>
          <t>1983346:eng</t>
        </is>
      </c>
      <c r="AX2545" t="inlineStr">
        <is>
          <t>338772</t>
        </is>
      </c>
      <c r="AY2545" t="inlineStr">
        <is>
          <t>991002408909702656</t>
        </is>
      </c>
      <c r="AZ2545" t="inlineStr">
        <is>
          <t>991002408909702656</t>
        </is>
      </c>
      <c r="BA2545" t="inlineStr">
        <is>
          <t>2257056190002656</t>
        </is>
      </c>
      <c r="BB2545" t="inlineStr">
        <is>
          <t>BOOK</t>
        </is>
      </c>
      <c r="BE2545" t="inlineStr">
        <is>
          <t>32285002154465</t>
        </is>
      </c>
      <c r="BF2545" t="inlineStr">
        <is>
          <t>893704037</t>
        </is>
      </c>
    </row>
    <row r="2546">
      <c r="A2546" t="inlineStr">
        <is>
          <t>No</t>
        </is>
      </c>
      <c r="B2546" t="inlineStr">
        <is>
          <t>CURAL</t>
        </is>
      </c>
      <c r="C2546" t="inlineStr">
        <is>
          <t>SHELVES</t>
        </is>
      </c>
      <c r="D2546" t="inlineStr">
        <is>
          <t>PR5776 .C6</t>
        </is>
      </c>
      <c r="E2546" t="inlineStr">
        <is>
          <t>0                      PR 5776000C  6</t>
        </is>
      </c>
      <c r="F2546" t="inlineStr">
        <is>
          <t>H. G. Wells.</t>
        </is>
      </c>
      <c r="H2546" t="inlineStr">
        <is>
          <t>No</t>
        </is>
      </c>
      <c r="I2546" t="inlineStr">
        <is>
          <t>1</t>
        </is>
      </c>
      <c r="J2546" t="inlineStr">
        <is>
          <t>No</t>
        </is>
      </c>
      <c r="K2546" t="inlineStr">
        <is>
          <t>Yes</t>
        </is>
      </c>
      <c r="L2546" t="inlineStr">
        <is>
          <t>0</t>
        </is>
      </c>
      <c r="M2546" t="inlineStr">
        <is>
          <t>Costa, Richard Hauer.</t>
        </is>
      </c>
      <c r="N2546" t="inlineStr">
        <is>
          <t>New York : Twayne, [1967]</t>
        </is>
      </c>
      <c r="O2546" t="inlineStr">
        <is>
          <t>1967</t>
        </is>
      </c>
      <c r="Q2546" t="inlineStr">
        <is>
          <t>eng</t>
        </is>
      </c>
      <c r="R2546" t="inlineStr">
        <is>
          <t>nyu</t>
        </is>
      </c>
      <c r="S2546" t="inlineStr">
        <is>
          <t>Twayne's English authors series ; 43</t>
        </is>
      </c>
      <c r="T2546" t="inlineStr">
        <is>
          <t xml:space="preserve">PR </t>
        </is>
      </c>
      <c r="U2546" t="n">
        <v>1</v>
      </c>
      <c r="V2546" t="n">
        <v>1</v>
      </c>
      <c r="W2546" t="inlineStr">
        <is>
          <t>1995-03-07</t>
        </is>
      </c>
      <c r="X2546" t="inlineStr">
        <is>
          <t>1995-03-07</t>
        </is>
      </c>
      <c r="Y2546" t="inlineStr">
        <is>
          <t>1993-11-08</t>
        </is>
      </c>
      <c r="Z2546" t="inlineStr">
        <is>
          <t>1993-11-08</t>
        </is>
      </c>
      <c r="AA2546" t="n">
        <v>1382</v>
      </c>
      <c r="AB2546" t="n">
        <v>1262</v>
      </c>
      <c r="AC2546" t="n">
        <v>1712</v>
      </c>
      <c r="AD2546" t="n">
        <v>8</v>
      </c>
      <c r="AE2546" t="n">
        <v>10</v>
      </c>
      <c r="AF2546" t="n">
        <v>40</v>
      </c>
      <c r="AG2546" t="n">
        <v>50</v>
      </c>
      <c r="AH2546" t="n">
        <v>14</v>
      </c>
      <c r="AI2546" t="n">
        <v>20</v>
      </c>
      <c r="AJ2546" t="n">
        <v>10</v>
      </c>
      <c r="AK2546" t="n">
        <v>11</v>
      </c>
      <c r="AL2546" t="n">
        <v>18</v>
      </c>
      <c r="AM2546" t="n">
        <v>20</v>
      </c>
      <c r="AN2546" t="n">
        <v>7</v>
      </c>
      <c r="AO2546" t="n">
        <v>9</v>
      </c>
      <c r="AP2546" t="n">
        <v>0</v>
      </c>
      <c r="AQ2546" t="n">
        <v>0</v>
      </c>
      <c r="AR2546" t="inlineStr">
        <is>
          <t>No</t>
        </is>
      </c>
      <c r="AS2546" t="inlineStr">
        <is>
          <t>Yes</t>
        </is>
      </c>
      <c r="AT2546">
        <f>HYPERLINK("http://catalog.hathitrust.org/Record/001024837","HathiTrust Record")</f>
        <v/>
      </c>
      <c r="AU2546">
        <f>HYPERLINK("https://creighton-primo.hosted.exlibrisgroup.com/primo-explore/search?tab=default_tab&amp;search_scope=EVERYTHING&amp;vid=01CRU&amp;lang=en_US&amp;offset=0&amp;query=any,contains,991003519719702656","Catalog Record")</f>
        <v/>
      </c>
      <c r="AV2546">
        <f>HYPERLINK("http://www.worldcat.org/oclc/1079338","WorldCat Record")</f>
        <v/>
      </c>
      <c r="AW2546" t="inlineStr">
        <is>
          <t>2041867:eng</t>
        </is>
      </c>
      <c r="AX2546" t="inlineStr">
        <is>
          <t>1079338</t>
        </is>
      </c>
      <c r="AY2546" t="inlineStr">
        <is>
          <t>991003519719702656</t>
        </is>
      </c>
      <c r="AZ2546" t="inlineStr">
        <is>
          <t>991003519719702656</t>
        </is>
      </c>
      <c r="BA2546" t="inlineStr">
        <is>
          <t>2255699900002656</t>
        </is>
      </c>
      <c r="BB2546" t="inlineStr">
        <is>
          <t>BOOK</t>
        </is>
      </c>
      <c r="BE2546" t="inlineStr">
        <is>
          <t>32285001797322</t>
        </is>
      </c>
      <c r="BF2546" t="inlineStr">
        <is>
          <t>893410363</t>
        </is>
      </c>
    </row>
    <row r="2547">
      <c r="A2547" t="inlineStr">
        <is>
          <t>No</t>
        </is>
      </c>
      <c r="B2547" t="inlineStr">
        <is>
          <t>CURAL</t>
        </is>
      </c>
      <c r="C2547" t="inlineStr">
        <is>
          <t>SHELVES</t>
        </is>
      </c>
      <c r="D2547" t="inlineStr">
        <is>
          <t>PR5776 .H375 2001</t>
        </is>
      </c>
      <c r="E2547" t="inlineStr">
        <is>
          <t>0                      PR 5776000H  375         2001</t>
        </is>
      </c>
      <c r="F2547" t="inlineStr">
        <is>
          <t>A preface to H.G. Wells / John Hammond.</t>
        </is>
      </c>
      <c r="H2547" t="inlineStr">
        <is>
          <t>No</t>
        </is>
      </c>
      <c r="I2547" t="inlineStr">
        <is>
          <t>1</t>
        </is>
      </c>
      <c r="J2547" t="inlineStr">
        <is>
          <t>No</t>
        </is>
      </c>
      <c r="K2547" t="inlineStr">
        <is>
          <t>No</t>
        </is>
      </c>
      <c r="L2547" t="inlineStr">
        <is>
          <t>0</t>
        </is>
      </c>
      <c r="M2547" t="inlineStr">
        <is>
          <t>Hammond, J. R. (John R.), 1933-</t>
        </is>
      </c>
      <c r="N2547" t="inlineStr">
        <is>
          <t>Harlow, England ; New York : Longman, 2001.</t>
        </is>
      </c>
      <c r="O2547" t="inlineStr">
        <is>
          <t>2001</t>
        </is>
      </c>
      <c r="Q2547" t="inlineStr">
        <is>
          <t>eng</t>
        </is>
      </c>
      <c r="R2547" t="inlineStr">
        <is>
          <t>enk</t>
        </is>
      </c>
      <c r="S2547" t="inlineStr">
        <is>
          <t>Preface books</t>
        </is>
      </c>
      <c r="T2547" t="inlineStr">
        <is>
          <t xml:space="preserve">PR </t>
        </is>
      </c>
      <c r="U2547" t="n">
        <v>2</v>
      </c>
      <c r="V2547" t="n">
        <v>2</v>
      </c>
      <c r="W2547" t="inlineStr">
        <is>
          <t>2001-10-04</t>
        </is>
      </c>
      <c r="X2547" t="inlineStr">
        <is>
          <t>2001-10-04</t>
        </is>
      </c>
      <c r="Y2547" t="inlineStr">
        <is>
          <t>2001-10-04</t>
        </is>
      </c>
      <c r="Z2547" t="inlineStr">
        <is>
          <t>2001-10-04</t>
        </is>
      </c>
      <c r="AA2547" t="n">
        <v>492</v>
      </c>
      <c r="AB2547" t="n">
        <v>401</v>
      </c>
      <c r="AC2547" t="n">
        <v>423</v>
      </c>
      <c r="AD2547" t="n">
        <v>3</v>
      </c>
      <c r="AE2547" t="n">
        <v>3</v>
      </c>
      <c r="AF2547" t="n">
        <v>22</v>
      </c>
      <c r="AG2547" t="n">
        <v>22</v>
      </c>
      <c r="AH2547" t="n">
        <v>10</v>
      </c>
      <c r="AI2547" t="n">
        <v>10</v>
      </c>
      <c r="AJ2547" t="n">
        <v>6</v>
      </c>
      <c r="AK2547" t="n">
        <v>6</v>
      </c>
      <c r="AL2547" t="n">
        <v>11</v>
      </c>
      <c r="AM2547" t="n">
        <v>11</v>
      </c>
      <c r="AN2547" t="n">
        <v>2</v>
      </c>
      <c r="AO2547" t="n">
        <v>2</v>
      </c>
      <c r="AP2547" t="n">
        <v>0</v>
      </c>
      <c r="AQ2547" t="n">
        <v>0</v>
      </c>
      <c r="AR2547" t="inlineStr">
        <is>
          <t>No</t>
        </is>
      </c>
      <c r="AS2547" t="inlineStr">
        <is>
          <t>Yes</t>
        </is>
      </c>
      <c r="AT2547">
        <f>HYPERLINK("http://catalog.hathitrust.org/Record/004164995","HathiTrust Record")</f>
        <v/>
      </c>
      <c r="AU2547">
        <f>HYPERLINK("https://creighton-primo.hosted.exlibrisgroup.com/primo-explore/search?tab=default_tab&amp;search_scope=EVERYTHING&amp;vid=01CRU&amp;lang=en_US&amp;offset=0&amp;query=any,contains,991003616989702656","Catalog Record")</f>
        <v/>
      </c>
      <c r="AV2547">
        <f>HYPERLINK("http://www.worldcat.org/oclc/45437595","WorldCat Record")</f>
        <v/>
      </c>
      <c r="AW2547" t="inlineStr">
        <is>
          <t>351474359:eng</t>
        </is>
      </c>
      <c r="AX2547" t="inlineStr">
        <is>
          <t>45437595</t>
        </is>
      </c>
      <c r="AY2547" t="inlineStr">
        <is>
          <t>991003616989702656</t>
        </is>
      </c>
      <c r="AZ2547" t="inlineStr">
        <is>
          <t>991003616989702656</t>
        </is>
      </c>
      <c r="BA2547" t="inlineStr">
        <is>
          <t>2268936510002656</t>
        </is>
      </c>
      <c r="BB2547" t="inlineStr">
        <is>
          <t>BOOK</t>
        </is>
      </c>
      <c r="BD2547" t="inlineStr">
        <is>
          <t>9780582404724</t>
        </is>
      </c>
      <c r="BE2547" t="inlineStr">
        <is>
          <t>32285004395397</t>
        </is>
      </c>
      <c r="BF2547" t="inlineStr">
        <is>
          <t>893228233</t>
        </is>
      </c>
    </row>
    <row r="2548">
      <c r="A2548" t="inlineStr">
        <is>
          <t>No</t>
        </is>
      </c>
      <c r="B2548" t="inlineStr">
        <is>
          <t>CURAL</t>
        </is>
      </c>
      <c r="C2548" t="inlineStr">
        <is>
          <t>SHELVES</t>
        </is>
      </c>
      <c r="D2548" t="inlineStr">
        <is>
          <t>PR5776 .M3 1973</t>
        </is>
      </c>
      <c r="E2548" t="inlineStr">
        <is>
          <t>0                      PR 5776000M  3           1973</t>
        </is>
      </c>
      <c r="F2548" t="inlineStr">
        <is>
          <t>H.G. Wells : a biography / by Norman and Jeanne MacKenzie.</t>
        </is>
      </c>
      <c r="H2548" t="inlineStr">
        <is>
          <t>No</t>
        </is>
      </c>
      <c r="I2548" t="inlineStr">
        <is>
          <t>1</t>
        </is>
      </c>
      <c r="J2548" t="inlineStr">
        <is>
          <t>No</t>
        </is>
      </c>
      <c r="K2548" t="inlineStr">
        <is>
          <t>No</t>
        </is>
      </c>
      <c r="L2548" t="inlineStr">
        <is>
          <t>0</t>
        </is>
      </c>
      <c r="M2548" t="inlineStr">
        <is>
          <t>MacKenzie, Norman, 1921-2013.</t>
        </is>
      </c>
      <c r="N2548" t="inlineStr">
        <is>
          <t>New York : Simon and Schuster, [1973]</t>
        </is>
      </c>
      <c r="O2548" t="inlineStr">
        <is>
          <t>1973</t>
        </is>
      </c>
      <c r="Q2548" t="inlineStr">
        <is>
          <t>eng</t>
        </is>
      </c>
      <c r="R2548" t="inlineStr">
        <is>
          <t>nyu</t>
        </is>
      </c>
      <c r="T2548" t="inlineStr">
        <is>
          <t xml:space="preserve">PR </t>
        </is>
      </c>
      <c r="U2548" t="n">
        <v>1</v>
      </c>
      <c r="V2548" t="n">
        <v>1</v>
      </c>
      <c r="W2548" t="inlineStr">
        <is>
          <t>2002-12-11</t>
        </is>
      </c>
      <c r="X2548" t="inlineStr">
        <is>
          <t>2002-12-11</t>
        </is>
      </c>
      <c r="Y2548" t="inlineStr">
        <is>
          <t>2002-12-11</t>
        </is>
      </c>
      <c r="Z2548" t="inlineStr">
        <is>
          <t>2002-12-11</t>
        </is>
      </c>
      <c r="AA2548" t="n">
        <v>1421</v>
      </c>
      <c r="AB2548" t="n">
        <v>1341</v>
      </c>
      <c r="AC2548" t="n">
        <v>1347</v>
      </c>
      <c r="AD2548" t="n">
        <v>13</v>
      </c>
      <c r="AE2548" t="n">
        <v>13</v>
      </c>
      <c r="AF2548" t="n">
        <v>45</v>
      </c>
      <c r="AG2548" t="n">
        <v>45</v>
      </c>
      <c r="AH2548" t="n">
        <v>15</v>
      </c>
      <c r="AI2548" t="n">
        <v>15</v>
      </c>
      <c r="AJ2548" t="n">
        <v>8</v>
      </c>
      <c r="AK2548" t="n">
        <v>8</v>
      </c>
      <c r="AL2548" t="n">
        <v>22</v>
      </c>
      <c r="AM2548" t="n">
        <v>22</v>
      </c>
      <c r="AN2548" t="n">
        <v>10</v>
      </c>
      <c r="AO2548" t="n">
        <v>10</v>
      </c>
      <c r="AP2548" t="n">
        <v>0</v>
      </c>
      <c r="AQ2548" t="n">
        <v>0</v>
      </c>
      <c r="AR2548" t="inlineStr">
        <is>
          <t>No</t>
        </is>
      </c>
      <c r="AS2548" t="inlineStr">
        <is>
          <t>Yes</t>
        </is>
      </c>
      <c r="AT2548">
        <f>HYPERLINK("http://catalog.hathitrust.org/Record/001024839","HathiTrust Record")</f>
        <v/>
      </c>
      <c r="AU2548">
        <f>HYPERLINK("https://creighton-primo.hosted.exlibrisgroup.com/primo-explore/search?tab=default_tab&amp;search_scope=EVERYTHING&amp;vid=01CRU&amp;lang=en_US&amp;offset=0&amp;query=any,contains,991003961359702656","Catalog Record")</f>
        <v/>
      </c>
      <c r="AV2548">
        <f>HYPERLINK("http://www.worldcat.org/oclc/685822","WorldCat Record")</f>
        <v/>
      </c>
      <c r="AW2548" t="inlineStr">
        <is>
          <t>1767667:eng</t>
        </is>
      </c>
      <c r="AX2548" t="inlineStr">
        <is>
          <t>685822</t>
        </is>
      </c>
      <c r="AY2548" t="inlineStr">
        <is>
          <t>991003961359702656</t>
        </is>
      </c>
      <c r="AZ2548" t="inlineStr">
        <is>
          <t>991003961359702656</t>
        </is>
      </c>
      <c r="BA2548" t="inlineStr">
        <is>
          <t>2264541970002656</t>
        </is>
      </c>
      <c r="BB2548" t="inlineStr">
        <is>
          <t>BOOK</t>
        </is>
      </c>
      <c r="BD2548" t="inlineStr">
        <is>
          <t>9780671215200</t>
        </is>
      </c>
      <c r="BE2548" t="inlineStr">
        <is>
          <t>32285004690508</t>
        </is>
      </c>
      <c r="BF2548" t="inlineStr">
        <is>
          <t>893693367</t>
        </is>
      </c>
    </row>
    <row r="2549">
      <c r="A2549" t="inlineStr">
        <is>
          <t>No</t>
        </is>
      </c>
      <c r="B2549" t="inlineStr">
        <is>
          <t>CURAL</t>
        </is>
      </c>
      <c r="C2549" t="inlineStr">
        <is>
          <t>SHELVES</t>
        </is>
      </c>
      <c r="D2549" t="inlineStr">
        <is>
          <t>PR5776 .R38</t>
        </is>
      </c>
      <c r="E2549" t="inlineStr">
        <is>
          <t>0                      PR 5776000R  38</t>
        </is>
      </c>
      <c r="F2549" t="inlineStr">
        <is>
          <t>H. G. Wells &amp; Rebecca West [by] Gordon N. Ray.</t>
        </is>
      </c>
      <c r="H2549" t="inlineStr">
        <is>
          <t>No</t>
        </is>
      </c>
      <c r="I2549" t="inlineStr">
        <is>
          <t>1</t>
        </is>
      </c>
      <c r="J2549" t="inlineStr">
        <is>
          <t>No</t>
        </is>
      </c>
      <c r="K2549" t="inlineStr">
        <is>
          <t>No</t>
        </is>
      </c>
      <c r="L2549" t="inlineStr">
        <is>
          <t>0</t>
        </is>
      </c>
      <c r="M2549" t="inlineStr">
        <is>
          <t>Ray, Gordon N. (Gordon Norton), 1915-1986.</t>
        </is>
      </c>
      <c r="N2549" t="inlineStr">
        <is>
          <t>New Haven, Yale University Press, 1974.</t>
        </is>
      </c>
      <c r="O2549" t="inlineStr">
        <is>
          <t>1974</t>
        </is>
      </c>
      <c r="Q2549" t="inlineStr">
        <is>
          <t>eng</t>
        </is>
      </c>
      <c r="R2549" t="inlineStr">
        <is>
          <t>ctu</t>
        </is>
      </c>
      <c r="T2549" t="inlineStr">
        <is>
          <t xml:space="preserve">PR </t>
        </is>
      </c>
      <c r="U2549" t="n">
        <v>1</v>
      </c>
      <c r="V2549" t="n">
        <v>1</v>
      </c>
      <c r="W2549" t="inlineStr">
        <is>
          <t>2008-11-24</t>
        </is>
      </c>
      <c r="X2549" t="inlineStr">
        <is>
          <t>2008-11-24</t>
        </is>
      </c>
      <c r="Y2549" t="inlineStr">
        <is>
          <t>1997-07-22</t>
        </is>
      </c>
      <c r="Z2549" t="inlineStr">
        <is>
          <t>1997-07-22</t>
        </is>
      </c>
      <c r="AA2549" t="n">
        <v>1025</v>
      </c>
      <c r="AB2549" t="n">
        <v>939</v>
      </c>
      <c r="AC2549" t="n">
        <v>961</v>
      </c>
      <c r="AD2549" t="n">
        <v>6</v>
      </c>
      <c r="AE2549" t="n">
        <v>6</v>
      </c>
      <c r="AF2549" t="n">
        <v>32</v>
      </c>
      <c r="AG2549" t="n">
        <v>32</v>
      </c>
      <c r="AH2549" t="n">
        <v>11</v>
      </c>
      <c r="AI2549" t="n">
        <v>11</v>
      </c>
      <c r="AJ2549" t="n">
        <v>9</v>
      </c>
      <c r="AK2549" t="n">
        <v>9</v>
      </c>
      <c r="AL2549" t="n">
        <v>18</v>
      </c>
      <c r="AM2549" t="n">
        <v>18</v>
      </c>
      <c r="AN2549" t="n">
        <v>4</v>
      </c>
      <c r="AO2549" t="n">
        <v>4</v>
      </c>
      <c r="AP2549" t="n">
        <v>0</v>
      </c>
      <c r="AQ2549" t="n">
        <v>0</v>
      </c>
      <c r="AR2549" t="inlineStr">
        <is>
          <t>No</t>
        </is>
      </c>
      <c r="AS2549" t="inlineStr">
        <is>
          <t>No</t>
        </is>
      </c>
      <c r="AU2549">
        <f>HYPERLINK("https://creighton-primo.hosted.exlibrisgroup.com/primo-explore/search?tab=default_tab&amp;search_scope=EVERYTHING&amp;vid=01CRU&amp;lang=en_US&amp;offset=0&amp;query=any,contains,991003499429702656","Catalog Record")</f>
        <v/>
      </c>
      <c r="AV2549">
        <f>HYPERLINK("http://www.worldcat.org/oclc/1051666","WorldCat Record")</f>
        <v/>
      </c>
      <c r="AW2549" t="inlineStr">
        <is>
          <t>47464017:eng</t>
        </is>
      </c>
      <c r="AX2549" t="inlineStr">
        <is>
          <t>1051666</t>
        </is>
      </c>
      <c r="AY2549" t="inlineStr">
        <is>
          <t>991003499429702656</t>
        </is>
      </c>
      <c r="AZ2549" t="inlineStr">
        <is>
          <t>991003499429702656</t>
        </is>
      </c>
      <c r="BA2549" t="inlineStr">
        <is>
          <t>2266972690002656</t>
        </is>
      </c>
      <c r="BB2549" t="inlineStr">
        <is>
          <t>BOOK</t>
        </is>
      </c>
      <c r="BD2549" t="inlineStr">
        <is>
          <t>9780300017533</t>
        </is>
      </c>
      <c r="BE2549" t="inlineStr">
        <is>
          <t>32285002951076</t>
        </is>
      </c>
      <c r="BF2549" t="inlineStr">
        <is>
          <t>893505643</t>
        </is>
      </c>
    </row>
    <row r="2550">
      <c r="A2550" t="inlineStr">
        <is>
          <t>No</t>
        </is>
      </c>
      <c r="B2550" t="inlineStr">
        <is>
          <t>CURAL</t>
        </is>
      </c>
      <c r="C2550" t="inlineStr">
        <is>
          <t>SHELVES</t>
        </is>
      </c>
      <c r="D2550" t="inlineStr">
        <is>
          <t>PR5777 .B7 1969</t>
        </is>
      </c>
      <c r="E2550" t="inlineStr">
        <is>
          <t>0                      PR 5777000B  7           1969</t>
        </is>
      </c>
      <c r="F2550" t="inlineStr">
        <is>
          <t>The world of H. G. Wells.</t>
        </is>
      </c>
      <c r="H2550" t="inlineStr">
        <is>
          <t>No</t>
        </is>
      </c>
      <c r="I2550" t="inlineStr">
        <is>
          <t>1</t>
        </is>
      </c>
      <c r="J2550" t="inlineStr">
        <is>
          <t>No</t>
        </is>
      </c>
      <c r="K2550" t="inlineStr">
        <is>
          <t>No</t>
        </is>
      </c>
      <c r="L2550" t="inlineStr">
        <is>
          <t>0</t>
        </is>
      </c>
      <c r="M2550" t="inlineStr">
        <is>
          <t>Brooks, Van Wyck, 1886-1963.</t>
        </is>
      </c>
      <c r="N2550" t="inlineStr">
        <is>
          <t>New York : Haskell House, 1969.</t>
        </is>
      </c>
      <c r="O2550" t="inlineStr">
        <is>
          <t>1969</t>
        </is>
      </c>
      <c r="Q2550" t="inlineStr">
        <is>
          <t>eng</t>
        </is>
      </c>
      <c r="R2550" t="inlineStr">
        <is>
          <t>nyu</t>
        </is>
      </c>
      <c r="T2550" t="inlineStr">
        <is>
          <t xml:space="preserve">PR </t>
        </is>
      </c>
      <c r="U2550" t="n">
        <v>2</v>
      </c>
      <c r="V2550" t="n">
        <v>2</v>
      </c>
      <c r="W2550" t="inlineStr">
        <is>
          <t>1997-03-31</t>
        </is>
      </c>
      <c r="X2550" t="inlineStr">
        <is>
          <t>1997-03-31</t>
        </is>
      </c>
      <c r="Y2550" t="inlineStr">
        <is>
          <t>1995-04-03</t>
        </is>
      </c>
      <c r="Z2550" t="inlineStr">
        <is>
          <t>1995-04-03</t>
        </is>
      </c>
      <c r="AA2550" t="n">
        <v>177</v>
      </c>
      <c r="AB2550" t="n">
        <v>162</v>
      </c>
      <c r="AC2550" t="n">
        <v>420</v>
      </c>
      <c r="AD2550" t="n">
        <v>1</v>
      </c>
      <c r="AE2550" t="n">
        <v>2</v>
      </c>
      <c r="AF2550" t="n">
        <v>4</v>
      </c>
      <c r="AG2550" t="n">
        <v>17</v>
      </c>
      <c r="AH2550" t="n">
        <v>2</v>
      </c>
      <c r="AI2550" t="n">
        <v>4</v>
      </c>
      <c r="AJ2550" t="n">
        <v>2</v>
      </c>
      <c r="AK2550" t="n">
        <v>5</v>
      </c>
      <c r="AL2550" t="n">
        <v>1</v>
      </c>
      <c r="AM2550" t="n">
        <v>10</v>
      </c>
      <c r="AN2550" t="n">
        <v>0</v>
      </c>
      <c r="AO2550" t="n">
        <v>1</v>
      </c>
      <c r="AP2550" t="n">
        <v>0</v>
      </c>
      <c r="AQ2550" t="n">
        <v>0</v>
      </c>
      <c r="AR2550" t="inlineStr">
        <is>
          <t>No</t>
        </is>
      </c>
      <c r="AS2550" t="inlineStr">
        <is>
          <t>Yes</t>
        </is>
      </c>
      <c r="AT2550">
        <f>HYPERLINK("http://catalog.hathitrust.org/Record/000209826","HathiTrust Record")</f>
        <v/>
      </c>
      <c r="AU2550">
        <f>HYPERLINK("https://creighton-primo.hosted.exlibrisgroup.com/primo-explore/search?tab=default_tab&amp;search_scope=EVERYTHING&amp;vid=01CRU&amp;lang=en_US&amp;offset=0&amp;query=any,contains,991000205919702656","Catalog Record")</f>
        <v/>
      </c>
      <c r="AV2550">
        <f>HYPERLINK("http://www.worldcat.org/oclc/65012","WorldCat Record")</f>
        <v/>
      </c>
      <c r="AW2550" t="inlineStr">
        <is>
          <t>1195596:eng</t>
        </is>
      </c>
      <c r="AX2550" t="inlineStr">
        <is>
          <t>65012</t>
        </is>
      </c>
      <c r="AY2550" t="inlineStr">
        <is>
          <t>991000205919702656</t>
        </is>
      </c>
      <c r="AZ2550" t="inlineStr">
        <is>
          <t>991000205919702656</t>
        </is>
      </c>
      <c r="BA2550" t="inlineStr">
        <is>
          <t>2259394830002656</t>
        </is>
      </c>
      <c r="BB2550" t="inlineStr">
        <is>
          <t>BOOK</t>
        </is>
      </c>
      <c r="BD2550" t="inlineStr">
        <is>
          <t>9780838309629</t>
        </is>
      </c>
      <c r="BE2550" t="inlineStr">
        <is>
          <t>32285002025681</t>
        </is>
      </c>
      <c r="BF2550" t="inlineStr">
        <is>
          <t>893871503</t>
        </is>
      </c>
    </row>
    <row r="2551">
      <c r="A2551" t="inlineStr">
        <is>
          <t>No</t>
        </is>
      </c>
      <c r="B2551" t="inlineStr">
        <is>
          <t>CURAL</t>
        </is>
      </c>
      <c r="C2551" t="inlineStr">
        <is>
          <t>SHELVES</t>
        </is>
      </c>
      <c r="D2551" t="inlineStr">
        <is>
          <t>PR5777 .M3 1981</t>
        </is>
      </c>
      <c r="E2551" t="inlineStr">
        <is>
          <t>0                      PR 5777000M  3           1981</t>
        </is>
      </c>
      <c r="F2551" t="inlineStr">
        <is>
          <t>The science fiction of H. G. Wells / Frank McConnell.</t>
        </is>
      </c>
      <c r="H2551" t="inlineStr">
        <is>
          <t>No</t>
        </is>
      </c>
      <c r="I2551" t="inlineStr">
        <is>
          <t>1</t>
        </is>
      </c>
      <c r="J2551" t="inlineStr">
        <is>
          <t>No</t>
        </is>
      </c>
      <c r="K2551" t="inlineStr">
        <is>
          <t>No</t>
        </is>
      </c>
      <c r="L2551" t="inlineStr">
        <is>
          <t>0</t>
        </is>
      </c>
      <c r="M2551" t="inlineStr">
        <is>
          <t>McConnell, Frank D., 1942-1999.</t>
        </is>
      </c>
      <c r="N2551" t="inlineStr">
        <is>
          <t>New York : Oxford University Press, 1981.</t>
        </is>
      </c>
      <c r="O2551" t="inlineStr">
        <is>
          <t>1981</t>
        </is>
      </c>
      <c r="Q2551" t="inlineStr">
        <is>
          <t>eng</t>
        </is>
      </c>
      <c r="R2551" t="inlineStr">
        <is>
          <t>nyu</t>
        </is>
      </c>
      <c r="S2551" t="inlineStr">
        <is>
          <t>Science-fiction writers</t>
        </is>
      </c>
      <c r="T2551" t="inlineStr">
        <is>
          <t xml:space="preserve">PR </t>
        </is>
      </c>
      <c r="U2551" t="n">
        <v>2</v>
      </c>
      <c r="V2551" t="n">
        <v>2</v>
      </c>
      <c r="W2551" t="inlineStr">
        <is>
          <t>1997-03-31</t>
        </is>
      </c>
      <c r="X2551" t="inlineStr">
        <is>
          <t>1997-03-31</t>
        </is>
      </c>
      <c r="Y2551" t="inlineStr">
        <is>
          <t>1992-03-12</t>
        </is>
      </c>
      <c r="Z2551" t="inlineStr">
        <is>
          <t>1992-03-12</t>
        </is>
      </c>
      <c r="AA2551" t="n">
        <v>1093</v>
      </c>
      <c r="AB2551" t="n">
        <v>954</v>
      </c>
      <c r="AC2551" t="n">
        <v>968</v>
      </c>
      <c r="AD2551" t="n">
        <v>3</v>
      </c>
      <c r="AE2551" t="n">
        <v>3</v>
      </c>
      <c r="AF2551" t="n">
        <v>28</v>
      </c>
      <c r="AG2551" t="n">
        <v>28</v>
      </c>
      <c r="AH2551" t="n">
        <v>14</v>
      </c>
      <c r="AI2551" t="n">
        <v>14</v>
      </c>
      <c r="AJ2551" t="n">
        <v>7</v>
      </c>
      <c r="AK2551" t="n">
        <v>7</v>
      </c>
      <c r="AL2551" t="n">
        <v>14</v>
      </c>
      <c r="AM2551" t="n">
        <v>14</v>
      </c>
      <c r="AN2551" t="n">
        <v>2</v>
      </c>
      <c r="AO2551" t="n">
        <v>2</v>
      </c>
      <c r="AP2551" t="n">
        <v>0</v>
      </c>
      <c r="AQ2551" t="n">
        <v>0</v>
      </c>
      <c r="AR2551" t="inlineStr">
        <is>
          <t>No</t>
        </is>
      </c>
      <c r="AS2551" t="inlineStr">
        <is>
          <t>Yes</t>
        </is>
      </c>
      <c r="AT2551">
        <f>HYPERLINK("http://catalog.hathitrust.org/Record/000723056","HathiTrust Record")</f>
        <v/>
      </c>
      <c r="AU2551">
        <f>HYPERLINK("https://creighton-primo.hosted.exlibrisgroup.com/primo-explore/search?tab=default_tab&amp;search_scope=EVERYTHING&amp;vid=01CRU&amp;lang=en_US&amp;offset=0&amp;query=any,contains,991005008499702656","Catalog Record")</f>
        <v/>
      </c>
      <c r="AV2551">
        <f>HYPERLINK("http://www.worldcat.org/oclc/6581569","WorldCat Record")</f>
        <v/>
      </c>
      <c r="AW2551" t="inlineStr">
        <is>
          <t>149044667:eng</t>
        </is>
      </c>
      <c r="AX2551" t="inlineStr">
        <is>
          <t>6581569</t>
        </is>
      </c>
      <c r="AY2551" t="inlineStr">
        <is>
          <t>991005008499702656</t>
        </is>
      </c>
      <c r="AZ2551" t="inlineStr">
        <is>
          <t>991005008499702656</t>
        </is>
      </c>
      <c r="BA2551" t="inlineStr">
        <is>
          <t>2258194080002656</t>
        </is>
      </c>
      <c r="BB2551" t="inlineStr">
        <is>
          <t>BOOK</t>
        </is>
      </c>
      <c r="BD2551" t="inlineStr">
        <is>
          <t>9780195028119</t>
        </is>
      </c>
      <c r="BE2551" t="inlineStr">
        <is>
          <t>32285000997634</t>
        </is>
      </c>
      <c r="BF2551" t="inlineStr">
        <is>
          <t>893513897</t>
        </is>
      </c>
    </row>
    <row r="2552">
      <c r="A2552" t="inlineStr">
        <is>
          <t>No</t>
        </is>
      </c>
      <c r="B2552" t="inlineStr">
        <is>
          <t>CURAL</t>
        </is>
      </c>
      <c r="C2552" t="inlineStr">
        <is>
          <t>SHELVES</t>
        </is>
      </c>
      <c r="D2552" t="inlineStr">
        <is>
          <t>PR5777 .W37 2004</t>
        </is>
      </c>
      <c r="E2552" t="inlineStr">
        <is>
          <t>0                      PR 5777000W  37          2004</t>
        </is>
      </c>
      <c r="F2552" t="inlineStr">
        <is>
          <t>H.G. Wells : traversing time / W. Warren Wagar.</t>
        </is>
      </c>
      <c r="H2552" t="inlineStr">
        <is>
          <t>No</t>
        </is>
      </c>
      <c r="I2552" t="inlineStr">
        <is>
          <t>1</t>
        </is>
      </c>
      <c r="J2552" t="inlineStr">
        <is>
          <t>No</t>
        </is>
      </c>
      <c r="K2552" t="inlineStr">
        <is>
          <t>No</t>
        </is>
      </c>
      <c r="L2552" t="inlineStr">
        <is>
          <t>0</t>
        </is>
      </c>
      <c r="M2552" t="inlineStr">
        <is>
          <t>Wagar, W. Warren.</t>
        </is>
      </c>
      <c r="N2552" t="inlineStr">
        <is>
          <t>Middletown, Conn. : Wesleyan University Press, c2004.</t>
        </is>
      </c>
      <c r="O2552" t="inlineStr">
        <is>
          <t>2004</t>
        </is>
      </c>
      <c r="Q2552" t="inlineStr">
        <is>
          <t>eng</t>
        </is>
      </c>
      <c r="R2552" t="inlineStr">
        <is>
          <t>ctu</t>
        </is>
      </c>
      <c r="S2552" t="inlineStr">
        <is>
          <t>The Wesleyan early classics of science fiction series</t>
        </is>
      </c>
      <c r="T2552" t="inlineStr">
        <is>
          <t xml:space="preserve">PR </t>
        </is>
      </c>
      <c r="U2552" t="n">
        <v>1</v>
      </c>
      <c r="V2552" t="n">
        <v>1</v>
      </c>
      <c r="W2552" t="inlineStr">
        <is>
          <t>2004-10-26</t>
        </is>
      </c>
      <c r="X2552" t="inlineStr">
        <is>
          <t>2004-10-26</t>
        </is>
      </c>
      <c r="Y2552" t="inlineStr">
        <is>
          <t>2004-10-26</t>
        </is>
      </c>
      <c r="Z2552" t="inlineStr">
        <is>
          <t>2004-10-26</t>
        </is>
      </c>
      <c r="AA2552" t="n">
        <v>709</v>
      </c>
      <c r="AB2552" t="n">
        <v>635</v>
      </c>
      <c r="AC2552" t="n">
        <v>635</v>
      </c>
      <c r="AD2552" t="n">
        <v>5</v>
      </c>
      <c r="AE2552" t="n">
        <v>5</v>
      </c>
      <c r="AF2552" t="n">
        <v>31</v>
      </c>
      <c r="AG2552" t="n">
        <v>31</v>
      </c>
      <c r="AH2552" t="n">
        <v>15</v>
      </c>
      <c r="AI2552" t="n">
        <v>15</v>
      </c>
      <c r="AJ2552" t="n">
        <v>7</v>
      </c>
      <c r="AK2552" t="n">
        <v>7</v>
      </c>
      <c r="AL2552" t="n">
        <v>14</v>
      </c>
      <c r="AM2552" t="n">
        <v>14</v>
      </c>
      <c r="AN2552" t="n">
        <v>4</v>
      </c>
      <c r="AO2552" t="n">
        <v>4</v>
      </c>
      <c r="AP2552" t="n">
        <v>0</v>
      </c>
      <c r="AQ2552" t="n">
        <v>0</v>
      </c>
      <c r="AR2552" t="inlineStr">
        <is>
          <t>No</t>
        </is>
      </c>
      <c r="AS2552" t="inlineStr">
        <is>
          <t>No</t>
        </is>
      </c>
      <c r="AU2552">
        <f>HYPERLINK("https://creighton-primo.hosted.exlibrisgroup.com/primo-explore/search?tab=default_tab&amp;search_scope=EVERYTHING&amp;vid=01CRU&amp;lang=en_US&amp;offset=0&amp;query=any,contains,991004391189702656","Catalog Record")</f>
        <v/>
      </c>
      <c r="AV2552">
        <f>HYPERLINK("http://www.worldcat.org/oclc/56471852","WorldCat Record")</f>
        <v/>
      </c>
      <c r="AW2552" t="inlineStr">
        <is>
          <t>796415542:eng</t>
        </is>
      </c>
      <c r="AX2552" t="inlineStr">
        <is>
          <t>56471852</t>
        </is>
      </c>
      <c r="AY2552" t="inlineStr">
        <is>
          <t>991004391189702656</t>
        </is>
      </c>
      <c r="AZ2552" t="inlineStr">
        <is>
          <t>991004391189702656</t>
        </is>
      </c>
      <c r="BA2552" t="inlineStr">
        <is>
          <t>2260251940002656</t>
        </is>
      </c>
      <c r="BB2552" t="inlineStr">
        <is>
          <t>BOOK</t>
        </is>
      </c>
      <c r="BD2552" t="inlineStr">
        <is>
          <t>9780819567253</t>
        </is>
      </c>
      <c r="BE2552" t="inlineStr">
        <is>
          <t>32285005006373</t>
        </is>
      </c>
      <c r="BF2552" t="inlineStr">
        <is>
          <t>893800924</t>
        </is>
      </c>
    </row>
    <row r="2553">
      <c r="A2553" t="inlineStr">
        <is>
          <t>No</t>
        </is>
      </c>
      <c r="B2553" t="inlineStr">
        <is>
          <t>CURAL</t>
        </is>
      </c>
      <c r="C2553" t="inlineStr">
        <is>
          <t>SHELVES</t>
        </is>
      </c>
      <c r="D2553" t="inlineStr">
        <is>
          <t>PR5778.B55 K4 1982</t>
        </is>
      </c>
      <c r="E2553" t="inlineStr">
        <is>
          <t>0                      PR 5778000B  55                 K  4           1982</t>
        </is>
      </c>
      <c r="F2553" t="inlineStr">
        <is>
          <t>H.G. Wells and the culminating ape / Peter Kemp.</t>
        </is>
      </c>
      <c r="H2553" t="inlineStr">
        <is>
          <t>No</t>
        </is>
      </c>
      <c r="I2553" t="inlineStr">
        <is>
          <t>1</t>
        </is>
      </c>
      <c r="J2553" t="inlineStr">
        <is>
          <t>No</t>
        </is>
      </c>
      <c r="K2553" t="inlineStr">
        <is>
          <t>No</t>
        </is>
      </c>
      <c r="L2553" t="inlineStr">
        <is>
          <t>0</t>
        </is>
      </c>
      <c r="M2553" t="inlineStr">
        <is>
          <t>Kemp, Peter.</t>
        </is>
      </c>
      <c r="N2553" t="inlineStr">
        <is>
          <t>New York : St. Martin's Press, 1982.</t>
        </is>
      </c>
      <c r="O2553" t="inlineStr">
        <is>
          <t>1982</t>
        </is>
      </c>
      <c r="Q2553" t="inlineStr">
        <is>
          <t>eng</t>
        </is>
      </c>
      <c r="R2553" t="inlineStr">
        <is>
          <t>nyu</t>
        </is>
      </c>
      <c r="T2553" t="inlineStr">
        <is>
          <t xml:space="preserve">PR </t>
        </is>
      </c>
      <c r="U2553" t="n">
        <v>2</v>
      </c>
      <c r="V2553" t="n">
        <v>2</v>
      </c>
      <c r="W2553" t="inlineStr">
        <is>
          <t>1995-11-19</t>
        </is>
      </c>
      <c r="X2553" t="inlineStr">
        <is>
          <t>1995-11-19</t>
        </is>
      </c>
      <c r="Y2553" t="inlineStr">
        <is>
          <t>1992-03-12</t>
        </is>
      </c>
      <c r="Z2553" t="inlineStr">
        <is>
          <t>1992-03-12</t>
        </is>
      </c>
      <c r="AA2553" t="n">
        <v>481</v>
      </c>
      <c r="AB2553" t="n">
        <v>448</v>
      </c>
      <c r="AC2553" t="n">
        <v>529</v>
      </c>
      <c r="AD2553" t="n">
        <v>4</v>
      </c>
      <c r="AE2553" t="n">
        <v>5</v>
      </c>
      <c r="AF2553" t="n">
        <v>26</v>
      </c>
      <c r="AG2553" t="n">
        <v>29</v>
      </c>
      <c r="AH2553" t="n">
        <v>12</v>
      </c>
      <c r="AI2553" t="n">
        <v>13</v>
      </c>
      <c r="AJ2553" t="n">
        <v>8</v>
      </c>
      <c r="AK2553" t="n">
        <v>8</v>
      </c>
      <c r="AL2553" t="n">
        <v>13</v>
      </c>
      <c r="AM2553" t="n">
        <v>15</v>
      </c>
      <c r="AN2553" t="n">
        <v>3</v>
      </c>
      <c r="AO2553" t="n">
        <v>4</v>
      </c>
      <c r="AP2553" t="n">
        <v>0</v>
      </c>
      <c r="AQ2553" t="n">
        <v>0</v>
      </c>
      <c r="AR2553" t="inlineStr">
        <is>
          <t>No</t>
        </is>
      </c>
      <c r="AS2553" t="inlineStr">
        <is>
          <t>No</t>
        </is>
      </c>
      <c r="AU2553">
        <f>HYPERLINK("https://creighton-primo.hosted.exlibrisgroup.com/primo-explore/search?tab=default_tab&amp;search_scope=EVERYTHING&amp;vid=01CRU&amp;lang=en_US&amp;offset=0&amp;query=any,contains,991005150399702656","Catalog Record")</f>
        <v/>
      </c>
      <c r="AV2553">
        <f>HYPERLINK("http://www.worldcat.org/oclc/7730800","WorldCat Record")</f>
        <v/>
      </c>
      <c r="AW2553" t="inlineStr">
        <is>
          <t>1778142287:eng</t>
        </is>
      </c>
      <c r="AX2553" t="inlineStr">
        <is>
          <t>7730800</t>
        </is>
      </c>
      <c r="AY2553" t="inlineStr">
        <is>
          <t>991005150399702656</t>
        </is>
      </c>
      <c r="AZ2553" t="inlineStr">
        <is>
          <t>991005150399702656</t>
        </is>
      </c>
      <c r="BA2553" t="inlineStr">
        <is>
          <t>2260866960002656</t>
        </is>
      </c>
      <c r="BB2553" t="inlineStr">
        <is>
          <t>BOOK</t>
        </is>
      </c>
      <c r="BD2553" t="inlineStr">
        <is>
          <t>9780312355920</t>
        </is>
      </c>
      <c r="BE2553" t="inlineStr">
        <is>
          <t>32285000997659</t>
        </is>
      </c>
      <c r="BF2553" t="inlineStr">
        <is>
          <t>893713529</t>
        </is>
      </c>
    </row>
    <row r="2554">
      <c r="A2554" t="inlineStr">
        <is>
          <t>No</t>
        </is>
      </c>
      <c r="B2554" t="inlineStr">
        <is>
          <t>CURAL</t>
        </is>
      </c>
      <c r="C2554" t="inlineStr">
        <is>
          <t>SHELVES</t>
        </is>
      </c>
      <c r="D2554" t="inlineStr">
        <is>
          <t>PR5778.S35 H28 1980</t>
        </is>
      </c>
      <c r="E2554" t="inlineStr">
        <is>
          <t>0                      PR 5778000S  35                 H  28          1980</t>
        </is>
      </c>
      <c r="F2554" t="inlineStr">
        <is>
          <t>H. G. Wells, discoverer of the future : the influence of science on his thought / Roslynn D. Haynes.</t>
        </is>
      </c>
      <c r="H2554" t="inlineStr">
        <is>
          <t>No</t>
        </is>
      </c>
      <c r="I2554" t="inlineStr">
        <is>
          <t>1</t>
        </is>
      </c>
      <c r="J2554" t="inlineStr">
        <is>
          <t>No</t>
        </is>
      </c>
      <c r="K2554" t="inlineStr">
        <is>
          <t>No</t>
        </is>
      </c>
      <c r="L2554" t="inlineStr">
        <is>
          <t>0</t>
        </is>
      </c>
      <c r="M2554" t="inlineStr">
        <is>
          <t>Haynes, Roslynn D. (Roslynn Doris), 1940-</t>
        </is>
      </c>
      <c r="N2554" t="inlineStr">
        <is>
          <t>New York : New York University Press, c1980.</t>
        </is>
      </c>
      <c r="O2554" t="inlineStr">
        <is>
          <t>1980</t>
        </is>
      </c>
      <c r="Q2554" t="inlineStr">
        <is>
          <t>eng</t>
        </is>
      </c>
      <c r="R2554" t="inlineStr">
        <is>
          <t>nyu</t>
        </is>
      </c>
      <c r="S2554" t="inlineStr">
        <is>
          <t>The Gotham library of the New York University Press</t>
        </is>
      </c>
      <c r="T2554" t="inlineStr">
        <is>
          <t xml:space="preserve">PR </t>
        </is>
      </c>
      <c r="U2554" t="n">
        <v>4</v>
      </c>
      <c r="V2554" t="n">
        <v>4</v>
      </c>
      <c r="W2554" t="inlineStr">
        <is>
          <t>1995-11-19</t>
        </is>
      </c>
      <c r="X2554" t="inlineStr">
        <is>
          <t>1995-11-19</t>
        </is>
      </c>
      <c r="Y2554" t="inlineStr">
        <is>
          <t>1992-03-12</t>
        </is>
      </c>
      <c r="Z2554" t="inlineStr">
        <is>
          <t>1992-03-12</t>
        </is>
      </c>
      <c r="AA2554" t="n">
        <v>493</v>
      </c>
      <c r="AB2554" t="n">
        <v>443</v>
      </c>
      <c r="AC2554" t="n">
        <v>492</v>
      </c>
      <c r="AD2554" t="n">
        <v>1</v>
      </c>
      <c r="AE2554" t="n">
        <v>3</v>
      </c>
      <c r="AF2554" t="n">
        <v>19</v>
      </c>
      <c r="AG2554" t="n">
        <v>21</v>
      </c>
      <c r="AH2554" t="n">
        <v>9</v>
      </c>
      <c r="AI2554" t="n">
        <v>9</v>
      </c>
      <c r="AJ2554" t="n">
        <v>7</v>
      </c>
      <c r="AK2554" t="n">
        <v>7</v>
      </c>
      <c r="AL2554" t="n">
        <v>10</v>
      </c>
      <c r="AM2554" t="n">
        <v>10</v>
      </c>
      <c r="AN2554" t="n">
        <v>0</v>
      </c>
      <c r="AO2554" t="n">
        <v>2</v>
      </c>
      <c r="AP2554" t="n">
        <v>0</v>
      </c>
      <c r="AQ2554" t="n">
        <v>0</v>
      </c>
      <c r="AR2554" t="inlineStr">
        <is>
          <t>No</t>
        </is>
      </c>
      <c r="AS2554" t="inlineStr">
        <is>
          <t>No</t>
        </is>
      </c>
      <c r="AU2554">
        <f>HYPERLINK("https://creighton-primo.hosted.exlibrisgroup.com/primo-explore/search?tab=default_tab&amp;search_scope=EVERYTHING&amp;vid=01CRU&amp;lang=en_US&amp;offset=0&amp;query=any,contains,991004838639702656","Catalog Record")</f>
        <v/>
      </c>
      <c r="AV2554">
        <f>HYPERLINK("http://www.worldcat.org/oclc/5491580","WorldCat Record")</f>
        <v/>
      </c>
      <c r="AW2554" t="inlineStr">
        <is>
          <t>865040708:eng</t>
        </is>
      </c>
      <c r="AX2554" t="inlineStr">
        <is>
          <t>5491580</t>
        </is>
      </c>
      <c r="AY2554" t="inlineStr">
        <is>
          <t>991004838639702656</t>
        </is>
      </c>
      <c r="AZ2554" t="inlineStr">
        <is>
          <t>991004838639702656</t>
        </is>
      </c>
      <c r="BA2554" t="inlineStr">
        <is>
          <t>2268745600002656</t>
        </is>
      </c>
      <c r="BB2554" t="inlineStr">
        <is>
          <t>BOOK</t>
        </is>
      </c>
      <c r="BD2554" t="inlineStr">
        <is>
          <t>9780814734032</t>
        </is>
      </c>
      <c r="BE2554" t="inlineStr">
        <is>
          <t>32285000997675</t>
        </is>
      </c>
      <c r="BF2554" t="inlineStr">
        <is>
          <t>893901818</t>
        </is>
      </c>
    </row>
    <row r="2555">
      <c r="A2555" t="inlineStr">
        <is>
          <t>No</t>
        </is>
      </c>
      <c r="B2555" t="inlineStr">
        <is>
          <t>CURAL</t>
        </is>
      </c>
      <c r="C2555" t="inlineStr">
        <is>
          <t>SHELVES</t>
        </is>
      </c>
      <c r="D2555" t="inlineStr">
        <is>
          <t>PR5778.S35 H8 1982</t>
        </is>
      </c>
      <c r="E2555" t="inlineStr">
        <is>
          <t>0                      PR 5778000S  35                 H  8           1982</t>
        </is>
      </c>
      <c r="F2555" t="inlineStr">
        <is>
          <t>The logic of fantasy : H.G. Wells and science fiction / John Huntington.</t>
        </is>
      </c>
      <c r="H2555" t="inlineStr">
        <is>
          <t>No</t>
        </is>
      </c>
      <c r="I2555" t="inlineStr">
        <is>
          <t>1</t>
        </is>
      </c>
      <c r="J2555" t="inlineStr">
        <is>
          <t>No</t>
        </is>
      </c>
      <c r="K2555" t="inlineStr">
        <is>
          <t>No</t>
        </is>
      </c>
      <c r="L2555" t="inlineStr">
        <is>
          <t>0</t>
        </is>
      </c>
      <c r="M2555" t="inlineStr">
        <is>
          <t>Huntington, John.</t>
        </is>
      </c>
      <c r="N2555" t="inlineStr">
        <is>
          <t>New York : Columbia University Press, 1982.</t>
        </is>
      </c>
      <c r="O2555" t="inlineStr">
        <is>
          <t>1982</t>
        </is>
      </c>
      <c r="Q2555" t="inlineStr">
        <is>
          <t>eng</t>
        </is>
      </c>
      <c r="R2555" t="inlineStr">
        <is>
          <t>nyu</t>
        </is>
      </c>
      <c r="T2555" t="inlineStr">
        <is>
          <t xml:space="preserve">PR </t>
        </is>
      </c>
      <c r="U2555" t="n">
        <v>3</v>
      </c>
      <c r="V2555" t="n">
        <v>3</v>
      </c>
      <c r="W2555" t="inlineStr">
        <is>
          <t>1995-03-07</t>
        </is>
      </c>
      <c r="X2555" t="inlineStr">
        <is>
          <t>1995-03-07</t>
        </is>
      </c>
      <c r="Y2555" t="inlineStr">
        <is>
          <t>1992-03-12</t>
        </is>
      </c>
      <c r="Z2555" t="inlineStr">
        <is>
          <t>1992-03-12</t>
        </is>
      </c>
      <c r="AA2555" t="n">
        <v>662</v>
      </c>
      <c r="AB2555" t="n">
        <v>534</v>
      </c>
      <c r="AC2555" t="n">
        <v>539</v>
      </c>
      <c r="AD2555" t="n">
        <v>4</v>
      </c>
      <c r="AE2555" t="n">
        <v>4</v>
      </c>
      <c r="AF2555" t="n">
        <v>23</v>
      </c>
      <c r="AG2555" t="n">
        <v>23</v>
      </c>
      <c r="AH2555" t="n">
        <v>8</v>
      </c>
      <c r="AI2555" t="n">
        <v>8</v>
      </c>
      <c r="AJ2555" t="n">
        <v>5</v>
      </c>
      <c r="AK2555" t="n">
        <v>5</v>
      </c>
      <c r="AL2555" t="n">
        <v>13</v>
      </c>
      <c r="AM2555" t="n">
        <v>13</v>
      </c>
      <c r="AN2555" t="n">
        <v>3</v>
      </c>
      <c r="AO2555" t="n">
        <v>3</v>
      </c>
      <c r="AP2555" t="n">
        <v>0</v>
      </c>
      <c r="AQ2555" t="n">
        <v>0</v>
      </c>
      <c r="AR2555" t="inlineStr">
        <is>
          <t>No</t>
        </is>
      </c>
      <c r="AS2555" t="inlineStr">
        <is>
          <t>No</t>
        </is>
      </c>
      <c r="AU2555">
        <f>HYPERLINK("https://creighton-primo.hosted.exlibrisgroup.com/primo-explore/search?tab=default_tab&amp;search_scope=EVERYTHING&amp;vid=01CRU&amp;lang=en_US&amp;offset=0&amp;query=any,contains,991005247379702656","Catalog Record")</f>
        <v/>
      </c>
      <c r="AV2555">
        <f>HYPERLINK("http://www.worldcat.org/oclc/8474242","WorldCat Record")</f>
        <v/>
      </c>
      <c r="AW2555" t="inlineStr">
        <is>
          <t>898164990:eng</t>
        </is>
      </c>
      <c r="AX2555" t="inlineStr">
        <is>
          <t>8474242</t>
        </is>
      </c>
      <c r="AY2555" t="inlineStr">
        <is>
          <t>991005247379702656</t>
        </is>
      </c>
      <c r="AZ2555" t="inlineStr">
        <is>
          <t>991005247379702656</t>
        </is>
      </c>
      <c r="BA2555" t="inlineStr">
        <is>
          <t>2258911580002656</t>
        </is>
      </c>
      <c r="BB2555" t="inlineStr">
        <is>
          <t>BOOK</t>
        </is>
      </c>
      <c r="BD2555" t="inlineStr">
        <is>
          <t>9780231053785</t>
        </is>
      </c>
      <c r="BE2555" t="inlineStr">
        <is>
          <t>32285000997683</t>
        </is>
      </c>
      <c r="BF2555" t="inlineStr">
        <is>
          <t>893808070</t>
        </is>
      </c>
    </row>
    <row r="2556">
      <c r="A2556" t="inlineStr">
        <is>
          <t>No</t>
        </is>
      </c>
      <c r="B2556" t="inlineStr">
        <is>
          <t>CURAL</t>
        </is>
      </c>
      <c r="C2556" t="inlineStr">
        <is>
          <t>SHELVES</t>
        </is>
      </c>
      <c r="D2556" t="inlineStr">
        <is>
          <t>PR581 .P74 1989</t>
        </is>
      </c>
      <c r="E2556" t="inlineStr">
        <is>
          <t>0                      PR 0581000P  74          1989</t>
        </is>
      </c>
      <c r="F2556" t="inlineStr">
        <is>
          <t>Pre-romanticism in English poetry of the eighteenth century : the poetic art and significance of Thomson, Gray, Collins, Goldsmith, Cowper &amp; Crabbe : a casebook / edited by J.R. Watson.</t>
        </is>
      </c>
      <c r="H2556" t="inlineStr">
        <is>
          <t>No</t>
        </is>
      </c>
      <c r="I2556" t="inlineStr">
        <is>
          <t>1</t>
        </is>
      </c>
      <c r="J2556" t="inlineStr">
        <is>
          <t>No</t>
        </is>
      </c>
      <c r="K2556" t="inlineStr">
        <is>
          <t>No</t>
        </is>
      </c>
      <c r="L2556" t="inlineStr">
        <is>
          <t>0</t>
        </is>
      </c>
      <c r="N2556" t="inlineStr">
        <is>
          <t>Basingstoke : Macmillan, 1989.</t>
        </is>
      </c>
      <c r="O2556" t="inlineStr">
        <is>
          <t>1989</t>
        </is>
      </c>
      <c r="Q2556" t="inlineStr">
        <is>
          <t>eng</t>
        </is>
      </c>
      <c r="R2556" t="inlineStr">
        <is>
          <t>enk</t>
        </is>
      </c>
      <c r="S2556" t="inlineStr">
        <is>
          <t>Casebook series</t>
        </is>
      </c>
      <c r="T2556" t="inlineStr">
        <is>
          <t xml:space="preserve">PR </t>
        </is>
      </c>
      <c r="U2556" t="n">
        <v>1</v>
      </c>
      <c r="V2556" t="n">
        <v>1</v>
      </c>
      <c r="W2556" t="inlineStr">
        <is>
          <t>2003-10-15</t>
        </is>
      </c>
      <c r="X2556" t="inlineStr">
        <is>
          <t>2003-10-15</t>
        </is>
      </c>
      <c r="Y2556" t="inlineStr">
        <is>
          <t>2003-10-15</t>
        </is>
      </c>
      <c r="Z2556" t="inlineStr">
        <is>
          <t>2003-10-15</t>
        </is>
      </c>
      <c r="AA2556" t="n">
        <v>206</v>
      </c>
      <c r="AB2556" t="n">
        <v>72</v>
      </c>
      <c r="AC2556" t="n">
        <v>72</v>
      </c>
      <c r="AD2556" t="n">
        <v>2</v>
      </c>
      <c r="AE2556" t="n">
        <v>2</v>
      </c>
      <c r="AF2556" t="n">
        <v>4</v>
      </c>
      <c r="AG2556" t="n">
        <v>4</v>
      </c>
      <c r="AH2556" t="n">
        <v>0</v>
      </c>
      <c r="AI2556" t="n">
        <v>0</v>
      </c>
      <c r="AJ2556" t="n">
        <v>1</v>
      </c>
      <c r="AK2556" t="n">
        <v>1</v>
      </c>
      <c r="AL2556" t="n">
        <v>3</v>
      </c>
      <c r="AM2556" t="n">
        <v>3</v>
      </c>
      <c r="AN2556" t="n">
        <v>1</v>
      </c>
      <c r="AO2556" t="n">
        <v>1</v>
      </c>
      <c r="AP2556" t="n">
        <v>0</v>
      </c>
      <c r="AQ2556" t="n">
        <v>0</v>
      </c>
      <c r="AR2556" t="inlineStr">
        <is>
          <t>No</t>
        </is>
      </c>
      <c r="AS2556" t="inlineStr">
        <is>
          <t>No</t>
        </is>
      </c>
      <c r="AU2556">
        <f>HYPERLINK("https://creighton-primo.hosted.exlibrisgroup.com/primo-explore/search?tab=default_tab&amp;search_scope=EVERYTHING&amp;vid=01CRU&amp;lang=en_US&amp;offset=0&amp;query=any,contains,991004162349702656","Catalog Record")</f>
        <v/>
      </c>
      <c r="AV2556">
        <f>HYPERLINK("http://www.worldcat.org/oclc/18325713","WorldCat Record")</f>
        <v/>
      </c>
      <c r="AW2556" t="inlineStr">
        <is>
          <t>375718125:eng</t>
        </is>
      </c>
      <c r="AX2556" t="inlineStr">
        <is>
          <t>18325713</t>
        </is>
      </c>
      <c r="AY2556" t="inlineStr">
        <is>
          <t>991004162349702656</t>
        </is>
      </c>
      <c r="AZ2556" t="inlineStr">
        <is>
          <t>991004162349702656</t>
        </is>
      </c>
      <c r="BA2556" t="inlineStr">
        <is>
          <t>2259370520002656</t>
        </is>
      </c>
      <c r="BB2556" t="inlineStr">
        <is>
          <t>BOOK</t>
        </is>
      </c>
      <c r="BD2556" t="inlineStr">
        <is>
          <t>9780333396384</t>
        </is>
      </c>
      <c r="BE2556" t="inlineStr">
        <is>
          <t>32285004788575</t>
        </is>
      </c>
      <c r="BF2556" t="inlineStr">
        <is>
          <t>893435965</t>
        </is>
      </c>
    </row>
    <row r="2557">
      <c r="A2557" t="inlineStr">
        <is>
          <t>No</t>
        </is>
      </c>
      <c r="B2557" t="inlineStr">
        <is>
          <t>CURAL</t>
        </is>
      </c>
      <c r="C2557" t="inlineStr">
        <is>
          <t>SHELVES</t>
        </is>
      </c>
      <c r="D2557" t="inlineStr">
        <is>
          <t>PR5822 .C35 1957</t>
        </is>
      </c>
      <c r="E2557" t="inlineStr">
        <is>
          <t>0                      PR 5822000C  35          1957</t>
        </is>
      </c>
      <c r="F2557" t="inlineStr">
        <is>
          <t>Oscar Wilde and his literary circle; a catalog of manuscripts and letters in the William Andrews Clark Memorial Library, compiled by John Charles Finzi. --</t>
        </is>
      </c>
      <c r="H2557" t="inlineStr">
        <is>
          <t>No</t>
        </is>
      </c>
      <c r="I2557" t="inlineStr">
        <is>
          <t>1</t>
        </is>
      </c>
      <c r="J2557" t="inlineStr">
        <is>
          <t>No</t>
        </is>
      </c>
      <c r="K2557" t="inlineStr">
        <is>
          <t>No</t>
        </is>
      </c>
      <c r="L2557" t="inlineStr">
        <is>
          <t>0</t>
        </is>
      </c>
      <c r="M2557" t="inlineStr">
        <is>
          <t>William Andrews Clark Memorial Library.</t>
        </is>
      </c>
      <c r="N2557" t="inlineStr">
        <is>
          <t>Berkeley and Los Angeles, Published for the Library by the University of California Press, 1957.</t>
        </is>
      </c>
      <c r="O2557" t="inlineStr">
        <is>
          <t>1957</t>
        </is>
      </c>
      <c r="Q2557" t="inlineStr">
        <is>
          <t>eng</t>
        </is>
      </c>
      <c r="R2557" t="inlineStr">
        <is>
          <t>cau</t>
        </is>
      </c>
      <c r="T2557" t="inlineStr">
        <is>
          <t xml:space="preserve">PR </t>
        </is>
      </c>
      <c r="U2557" t="n">
        <v>2</v>
      </c>
      <c r="V2557" t="n">
        <v>2</v>
      </c>
      <c r="W2557" t="inlineStr">
        <is>
          <t>2004-08-16</t>
        </is>
      </c>
      <c r="X2557" t="inlineStr">
        <is>
          <t>2004-08-16</t>
        </is>
      </c>
      <c r="Y2557" t="inlineStr">
        <is>
          <t>1992-03-12</t>
        </is>
      </c>
      <c r="Z2557" t="inlineStr">
        <is>
          <t>1992-03-12</t>
        </is>
      </c>
      <c r="AA2557" t="n">
        <v>216</v>
      </c>
      <c r="AB2557" t="n">
        <v>176</v>
      </c>
      <c r="AC2557" t="n">
        <v>183</v>
      </c>
      <c r="AD2557" t="n">
        <v>3</v>
      </c>
      <c r="AE2557" t="n">
        <v>3</v>
      </c>
      <c r="AF2557" t="n">
        <v>11</v>
      </c>
      <c r="AG2557" t="n">
        <v>11</v>
      </c>
      <c r="AH2557" t="n">
        <v>2</v>
      </c>
      <c r="AI2557" t="n">
        <v>2</v>
      </c>
      <c r="AJ2557" t="n">
        <v>2</v>
      </c>
      <c r="AK2557" t="n">
        <v>2</v>
      </c>
      <c r="AL2557" t="n">
        <v>7</v>
      </c>
      <c r="AM2557" t="n">
        <v>7</v>
      </c>
      <c r="AN2557" t="n">
        <v>2</v>
      </c>
      <c r="AO2557" t="n">
        <v>2</v>
      </c>
      <c r="AP2557" t="n">
        <v>0</v>
      </c>
      <c r="AQ2557" t="n">
        <v>0</v>
      </c>
      <c r="AR2557" t="inlineStr">
        <is>
          <t>Yes</t>
        </is>
      </c>
      <c r="AS2557" t="inlineStr">
        <is>
          <t>No</t>
        </is>
      </c>
      <c r="AT2557">
        <f>HYPERLINK("http://catalog.hathitrust.org/Record/001024862","HathiTrust Record")</f>
        <v/>
      </c>
      <c r="AU2557">
        <f>HYPERLINK("https://creighton-primo.hosted.exlibrisgroup.com/primo-explore/search?tab=default_tab&amp;search_scope=EVERYTHING&amp;vid=01CRU&amp;lang=en_US&amp;offset=0&amp;query=any,contains,991004229889702656","Catalog Record")</f>
        <v/>
      </c>
      <c r="AV2557">
        <f>HYPERLINK("http://www.worldcat.org/oclc/2743864","WorldCat Record")</f>
        <v/>
      </c>
      <c r="AW2557" t="inlineStr">
        <is>
          <t>6261951:eng</t>
        </is>
      </c>
      <c r="AX2557" t="inlineStr">
        <is>
          <t>2743864</t>
        </is>
      </c>
      <c r="AY2557" t="inlineStr">
        <is>
          <t>991004229889702656</t>
        </is>
      </c>
      <c r="AZ2557" t="inlineStr">
        <is>
          <t>991004229889702656</t>
        </is>
      </c>
      <c r="BA2557" t="inlineStr">
        <is>
          <t>2260172650002656</t>
        </is>
      </c>
      <c r="BB2557" t="inlineStr">
        <is>
          <t>BOOK</t>
        </is>
      </c>
      <c r="BE2557" t="inlineStr">
        <is>
          <t>32285000997816</t>
        </is>
      </c>
      <c r="BF2557" t="inlineStr">
        <is>
          <t>893700012</t>
        </is>
      </c>
    </row>
    <row r="2558">
      <c r="A2558" t="inlineStr">
        <is>
          <t>No</t>
        </is>
      </c>
      <c r="B2558" t="inlineStr">
        <is>
          <t>CURAL</t>
        </is>
      </c>
      <c r="C2558" t="inlineStr">
        <is>
          <t>SHELVES</t>
        </is>
      </c>
      <c r="D2558" t="inlineStr">
        <is>
          <t>PR5823 .B346 2000</t>
        </is>
      </c>
      <c r="E2558" t="inlineStr">
        <is>
          <t>0                      PR 5823000B  346         2000</t>
        </is>
      </c>
      <c r="F2558" t="inlineStr">
        <is>
          <t>Oscar Wilde : a certain genius / Barbara Belford.</t>
        </is>
      </c>
      <c r="H2558" t="inlineStr">
        <is>
          <t>No</t>
        </is>
      </c>
      <c r="I2558" t="inlineStr">
        <is>
          <t>1</t>
        </is>
      </c>
      <c r="J2558" t="inlineStr">
        <is>
          <t>No</t>
        </is>
      </c>
      <c r="K2558" t="inlineStr">
        <is>
          <t>No</t>
        </is>
      </c>
      <c r="L2558" t="inlineStr">
        <is>
          <t>0</t>
        </is>
      </c>
      <c r="M2558" t="inlineStr">
        <is>
          <t>Belford, Barbara.</t>
        </is>
      </c>
      <c r="N2558" t="inlineStr">
        <is>
          <t>New York : Random House, c2000.</t>
        </is>
      </c>
      <c r="O2558" t="inlineStr">
        <is>
          <t>2000</t>
        </is>
      </c>
      <c r="P2558" t="inlineStr">
        <is>
          <t>1st ed.</t>
        </is>
      </c>
      <c r="Q2558" t="inlineStr">
        <is>
          <t>eng</t>
        </is>
      </c>
      <c r="R2558" t="inlineStr">
        <is>
          <t>nyu</t>
        </is>
      </c>
      <c r="T2558" t="inlineStr">
        <is>
          <t xml:space="preserve">PR </t>
        </is>
      </c>
      <c r="U2558" t="n">
        <v>7</v>
      </c>
      <c r="V2558" t="n">
        <v>7</v>
      </c>
      <c r="W2558" t="inlineStr">
        <is>
          <t>2009-11-07</t>
        </is>
      </c>
      <c r="X2558" t="inlineStr">
        <is>
          <t>2009-11-07</t>
        </is>
      </c>
      <c r="Y2558" t="inlineStr">
        <is>
          <t>2000-10-26</t>
        </is>
      </c>
      <c r="Z2558" t="inlineStr">
        <is>
          <t>2000-10-26</t>
        </is>
      </c>
      <c r="AA2558" t="n">
        <v>1239</v>
      </c>
      <c r="AB2558" t="n">
        <v>1162</v>
      </c>
      <c r="AC2558" t="n">
        <v>1196</v>
      </c>
      <c r="AD2558" t="n">
        <v>8</v>
      </c>
      <c r="AE2558" t="n">
        <v>8</v>
      </c>
      <c r="AF2558" t="n">
        <v>38</v>
      </c>
      <c r="AG2558" t="n">
        <v>39</v>
      </c>
      <c r="AH2558" t="n">
        <v>15</v>
      </c>
      <c r="AI2558" t="n">
        <v>16</v>
      </c>
      <c r="AJ2558" t="n">
        <v>9</v>
      </c>
      <c r="AK2558" t="n">
        <v>9</v>
      </c>
      <c r="AL2558" t="n">
        <v>19</v>
      </c>
      <c r="AM2558" t="n">
        <v>20</v>
      </c>
      <c r="AN2558" t="n">
        <v>5</v>
      </c>
      <c r="AO2558" t="n">
        <v>5</v>
      </c>
      <c r="AP2558" t="n">
        <v>0</v>
      </c>
      <c r="AQ2558" t="n">
        <v>0</v>
      </c>
      <c r="AR2558" t="inlineStr">
        <is>
          <t>No</t>
        </is>
      </c>
      <c r="AS2558" t="inlineStr">
        <is>
          <t>Yes</t>
        </is>
      </c>
      <c r="AT2558">
        <f>HYPERLINK("http://catalog.hathitrust.org/Record/004129659","HathiTrust Record")</f>
        <v/>
      </c>
      <c r="AU2558">
        <f>HYPERLINK("https://creighton-primo.hosted.exlibrisgroup.com/primo-explore/search?tab=default_tab&amp;search_scope=EVERYTHING&amp;vid=01CRU&amp;lang=en_US&amp;offset=0&amp;query=any,contains,991003319809702656","Catalog Record")</f>
        <v/>
      </c>
      <c r="AV2558">
        <f>HYPERLINK("http://www.worldcat.org/oclc/43567616","WorldCat Record")</f>
        <v/>
      </c>
      <c r="AW2558" t="inlineStr">
        <is>
          <t>18401403:eng</t>
        </is>
      </c>
      <c r="AX2558" t="inlineStr">
        <is>
          <t>43567616</t>
        </is>
      </c>
      <c r="AY2558" t="inlineStr">
        <is>
          <t>991003319809702656</t>
        </is>
      </c>
      <c r="AZ2558" t="inlineStr">
        <is>
          <t>991003319809702656</t>
        </is>
      </c>
      <c r="BA2558" t="inlineStr">
        <is>
          <t>2262045820002656</t>
        </is>
      </c>
      <c r="BB2558" t="inlineStr">
        <is>
          <t>BOOK</t>
        </is>
      </c>
      <c r="BD2558" t="inlineStr">
        <is>
          <t>9780679457343</t>
        </is>
      </c>
      <c r="BE2558" t="inlineStr">
        <is>
          <t>32285004261136</t>
        </is>
      </c>
      <c r="BF2558" t="inlineStr">
        <is>
          <t>893899857</t>
        </is>
      </c>
    </row>
    <row r="2559">
      <c r="A2559" t="inlineStr">
        <is>
          <t>No</t>
        </is>
      </c>
      <c r="B2559" t="inlineStr">
        <is>
          <t>CURAL</t>
        </is>
      </c>
      <c r="C2559" t="inlineStr">
        <is>
          <t>SHELVES</t>
        </is>
      </c>
      <c r="D2559" t="inlineStr">
        <is>
          <t>PR5823 .B43 1983</t>
        </is>
      </c>
      <c r="E2559" t="inlineStr">
        <is>
          <t>0                      PR 5823000B  43          1983</t>
        </is>
      </c>
      <c r="F2559" t="inlineStr">
        <is>
          <t>The importance of being Constance / Joyce Bentley.</t>
        </is>
      </c>
      <c r="H2559" t="inlineStr">
        <is>
          <t>No</t>
        </is>
      </c>
      <c r="I2559" t="inlineStr">
        <is>
          <t>1</t>
        </is>
      </c>
      <c r="J2559" t="inlineStr">
        <is>
          <t>No</t>
        </is>
      </c>
      <c r="K2559" t="inlineStr">
        <is>
          <t>No</t>
        </is>
      </c>
      <c r="L2559" t="inlineStr">
        <is>
          <t>0</t>
        </is>
      </c>
      <c r="M2559" t="inlineStr">
        <is>
          <t>Bentley, Joyce.</t>
        </is>
      </c>
      <c r="N2559" t="inlineStr">
        <is>
          <t>New York : Beaufort Books, c1983.</t>
        </is>
      </c>
      <c r="O2559" t="inlineStr">
        <is>
          <t>1984</t>
        </is>
      </c>
      <c r="P2559" t="inlineStr">
        <is>
          <t>1st American ed.</t>
        </is>
      </c>
      <c r="Q2559" t="inlineStr">
        <is>
          <t>eng</t>
        </is>
      </c>
      <c r="R2559" t="inlineStr">
        <is>
          <t>nyu</t>
        </is>
      </c>
      <c r="T2559" t="inlineStr">
        <is>
          <t xml:space="preserve">PR </t>
        </is>
      </c>
      <c r="U2559" t="n">
        <v>1</v>
      </c>
      <c r="V2559" t="n">
        <v>1</v>
      </c>
      <c r="W2559" t="inlineStr">
        <is>
          <t>1999-03-12</t>
        </is>
      </c>
      <c r="X2559" t="inlineStr">
        <is>
          <t>1999-03-12</t>
        </is>
      </c>
      <c r="Y2559" t="inlineStr">
        <is>
          <t>1992-03-12</t>
        </is>
      </c>
      <c r="Z2559" t="inlineStr">
        <is>
          <t>1992-03-12</t>
        </is>
      </c>
      <c r="AA2559" t="n">
        <v>350</v>
      </c>
      <c r="AB2559" t="n">
        <v>333</v>
      </c>
      <c r="AC2559" t="n">
        <v>394</v>
      </c>
      <c r="AD2559" t="n">
        <v>3</v>
      </c>
      <c r="AE2559" t="n">
        <v>3</v>
      </c>
      <c r="AF2559" t="n">
        <v>15</v>
      </c>
      <c r="AG2559" t="n">
        <v>18</v>
      </c>
      <c r="AH2559" t="n">
        <v>7</v>
      </c>
      <c r="AI2559" t="n">
        <v>9</v>
      </c>
      <c r="AJ2559" t="n">
        <v>3</v>
      </c>
      <c r="AK2559" t="n">
        <v>4</v>
      </c>
      <c r="AL2559" t="n">
        <v>8</v>
      </c>
      <c r="AM2559" t="n">
        <v>9</v>
      </c>
      <c r="AN2559" t="n">
        <v>2</v>
      </c>
      <c r="AO2559" t="n">
        <v>2</v>
      </c>
      <c r="AP2559" t="n">
        <v>0</v>
      </c>
      <c r="AQ2559" t="n">
        <v>0</v>
      </c>
      <c r="AR2559" t="inlineStr">
        <is>
          <t>No</t>
        </is>
      </c>
      <c r="AS2559" t="inlineStr">
        <is>
          <t>Yes</t>
        </is>
      </c>
      <c r="AT2559">
        <f>HYPERLINK("http://catalog.hathitrust.org/Record/008323057","HathiTrust Record")</f>
        <v/>
      </c>
      <c r="AU2559">
        <f>HYPERLINK("https://creighton-primo.hosted.exlibrisgroup.com/primo-explore/search?tab=default_tab&amp;search_scope=EVERYTHING&amp;vid=01CRU&amp;lang=en_US&amp;offset=0&amp;query=any,contains,991000440909702656","Catalog Record")</f>
        <v/>
      </c>
      <c r="AV2559">
        <f>HYPERLINK("http://www.worldcat.org/oclc/10824154","WorldCat Record")</f>
        <v/>
      </c>
      <c r="AW2559" t="inlineStr">
        <is>
          <t>3299747:eng</t>
        </is>
      </c>
      <c r="AX2559" t="inlineStr">
        <is>
          <t>10824154</t>
        </is>
      </c>
      <c r="AY2559" t="inlineStr">
        <is>
          <t>991000440909702656</t>
        </is>
      </c>
      <c r="AZ2559" t="inlineStr">
        <is>
          <t>991000440909702656</t>
        </is>
      </c>
      <c r="BA2559" t="inlineStr">
        <is>
          <t>2265114710002656</t>
        </is>
      </c>
      <c r="BB2559" t="inlineStr">
        <is>
          <t>BOOK</t>
        </is>
      </c>
      <c r="BD2559" t="inlineStr">
        <is>
          <t>9780825302480</t>
        </is>
      </c>
      <c r="BE2559" t="inlineStr">
        <is>
          <t>32285000997840</t>
        </is>
      </c>
      <c r="BF2559" t="inlineStr">
        <is>
          <t>893521658</t>
        </is>
      </c>
    </row>
    <row r="2560">
      <c r="A2560" t="inlineStr">
        <is>
          <t>No</t>
        </is>
      </c>
      <c r="B2560" t="inlineStr">
        <is>
          <t>CURAL</t>
        </is>
      </c>
      <c r="C2560" t="inlineStr">
        <is>
          <t>SHELVES</t>
        </is>
      </c>
      <c r="D2560" t="inlineStr">
        <is>
          <t>PR5823 .B75</t>
        </is>
      </c>
      <c r="E2560" t="inlineStr">
        <is>
          <t>0                      PR 5823000B  75</t>
        </is>
      </c>
      <c r="F2560" t="inlineStr">
        <is>
          <t>The friendships and follies of Oscar Wilde.</t>
        </is>
      </c>
      <c r="H2560" t="inlineStr">
        <is>
          <t>No</t>
        </is>
      </c>
      <c r="I2560" t="inlineStr">
        <is>
          <t>1</t>
        </is>
      </c>
      <c r="J2560" t="inlineStr">
        <is>
          <t>No</t>
        </is>
      </c>
      <c r="K2560" t="inlineStr">
        <is>
          <t>No</t>
        </is>
      </c>
      <c r="L2560" t="inlineStr">
        <is>
          <t>0</t>
        </is>
      </c>
      <c r="M2560" t="inlineStr">
        <is>
          <t>Broad, C. Lewis (Charlie Lewis), 1900-</t>
        </is>
      </c>
      <c r="N2560" t="inlineStr">
        <is>
          <t>New York, Crowell [1955, c1954]</t>
        </is>
      </c>
      <c r="O2560" t="inlineStr">
        <is>
          <t>1955</t>
        </is>
      </c>
      <c r="Q2560" t="inlineStr">
        <is>
          <t>eng</t>
        </is>
      </c>
      <c r="R2560" t="inlineStr">
        <is>
          <t>nyu</t>
        </is>
      </c>
      <c r="T2560" t="inlineStr">
        <is>
          <t xml:space="preserve">PR </t>
        </is>
      </c>
      <c r="U2560" t="n">
        <v>2</v>
      </c>
      <c r="V2560" t="n">
        <v>2</v>
      </c>
      <c r="W2560" t="inlineStr">
        <is>
          <t>1997-10-29</t>
        </is>
      </c>
      <c r="X2560" t="inlineStr">
        <is>
          <t>1997-10-29</t>
        </is>
      </c>
      <c r="Y2560" t="inlineStr">
        <is>
          <t>1997-07-23</t>
        </is>
      </c>
      <c r="Z2560" t="inlineStr">
        <is>
          <t>1997-07-23</t>
        </is>
      </c>
      <c r="AA2560" t="n">
        <v>261</v>
      </c>
      <c r="AB2560" t="n">
        <v>247</v>
      </c>
      <c r="AC2560" t="n">
        <v>311</v>
      </c>
      <c r="AD2560" t="n">
        <v>2</v>
      </c>
      <c r="AE2560" t="n">
        <v>4</v>
      </c>
      <c r="AF2560" t="n">
        <v>11</v>
      </c>
      <c r="AG2560" t="n">
        <v>13</v>
      </c>
      <c r="AH2560" t="n">
        <v>5</v>
      </c>
      <c r="AI2560" t="n">
        <v>5</v>
      </c>
      <c r="AJ2560" t="n">
        <v>2</v>
      </c>
      <c r="AK2560" t="n">
        <v>2</v>
      </c>
      <c r="AL2560" t="n">
        <v>7</v>
      </c>
      <c r="AM2560" t="n">
        <v>8</v>
      </c>
      <c r="AN2560" t="n">
        <v>1</v>
      </c>
      <c r="AO2560" t="n">
        <v>2</v>
      </c>
      <c r="AP2560" t="n">
        <v>0</v>
      </c>
      <c r="AQ2560" t="n">
        <v>0</v>
      </c>
      <c r="AR2560" t="inlineStr">
        <is>
          <t>Yes</t>
        </is>
      </c>
      <c r="AS2560" t="inlineStr">
        <is>
          <t>No</t>
        </is>
      </c>
      <c r="AT2560">
        <f>HYPERLINK("http://catalog.hathitrust.org/Record/001776078","HathiTrust Record")</f>
        <v/>
      </c>
      <c r="AU2560">
        <f>HYPERLINK("https://creighton-primo.hosted.exlibrisgroup.com/primo-explore/search?tab=default_tab&amp;search_scope=EVERYTHING&amp;vid=01CRU&amp;lang=en_US&amp;offset=0&amp;query=any,contains,991003706049702656","Catalog Record")</f>
        <v/>
      </c>
      <c r="AV2560">
        <f>HYPERLINK("http://www.worldcat.org/oclc/1343597","WorldCat Record")</f>
        <v/>
      </c>
      <c r="AW2560" t="inlineStr">
        <is>
          <t>2237118:eng</t>
        </is>
      </c>
      <c r="AX2560" t="inlineStr">
        <is>
          <t>1343597</t>
        </is>
      </c>
      <c r="AY2560" t="inlineStr">
        <is>
          <t>991003706049702656</t>
        </is>
      </c>
      <c r="AZ2560" t="inlineStr">
        <is>
          <t>991003706049702656</t>
        </is>
      </c>
      <c r="BA2560" t="inlineStr">
        <is>
          <t>2263782260002656</t>
        </is>
      </c>
      <c r="BB2560" t="inlineStr">
        <is>
          <t>BOOK</t>
        </is>
      </c>
      <c r="BE2560" t="inlineStr">
        <is>
          <t>32285002951233</t>
        </is>
      </c>
      <c r="BF2560" t="inlineStr">
        <is>
          <t>893623805</t>
        </is>
      </c>
    </row>
    <row r="2561">
      <c r="A2561" t="inlineStr">
        <is>
          <t>No</t>
        </is>
      </c>
      <c r="B2561" t="inlineStr">
        <is>
          <t>CURAL</t>
        </is>
      </c>
      <c r="C2561" t="inlineStr">
        <is>
          <t>SHELVES</t>
        </is>
      </c>
      <c r="D2561" t="inlineStr">
        <is>
          <t>PR5823 .C63 1995</t>
        </is>
      </c>
      <c r="E2561" t="inlineStr">
        <is>
          <t>0                      PR 5823000C  63          1995</t>
        </is>
      </c>
      <c r="F2561" t="inlineStr">
        <is>
          <t>Oscar Wilde, the importance of being Irish / Davis Coakley.</t>
        </is>
      </c>
      <c r="H2561" t="inlineStr">
        <is>
          <t>No</t>
        </is>
      </c>
      <c r="I2561" t="inlineStr">
        <is>
          <t>1</t>
        </is>
      </c>
      <c r="J2561" t="inlineStr">
        <is>
          <t>No</t>
        </is>
      </c>
      <c r="K2561" t="inlineStr">
        <is>
          <t>No</t>
        </is>
      </c>
      <c r="L2561" t="inlineStr">
        <is>
          <t>0</t>
        </is>
      </c>
      <c r="M2561" t="inlineStr">
        <is>
          <t>Coakley, Davis.</t>
        </is>
      </c>
      <c r="N2561" t="inlineStr">
        <is>
          <t>Dublin : Town House, 1995, c1994.</t>
        </is>
      </c>
      <c r="O2561" t="inlineStr">
        <is>
          <t>1995</t>
        </is>
      </c>
      <c r="P2561" t="inlineStr">
        <is>
          <t>Pbk. ed.</t>
        </is>
      </c>
      <c r="Q2561" t="inlineStr">
        <is>
          <t>eng</t>
        </is>
      </c>
      <c r="R2561" t="inlineStr">
        <is>
          <t xml:space="preserve">ie </t>
        </is>
      </c>
      <c r="T2561" t="inlineStr">
        <is>
          <t xml:space="preserve">PR </t>
        </is>
      </c>
      <c r="U2561" t="n">
        <v>4</v>
      </c>
      <c r="V2561" t="n">
        <v>4</v>
      </c>
      <c r="W2561" t="inlineStr">
        <is>
          <t>2006-07-14</t>
        </is>
      </c>
      <c r="X2561" t="inlineStr">
        <is>
          <t>2006-07-14</t>
        </is>
      </c>
      <c r="Y2561" t="inlineStr">
        <is>
          <t>1997-02-14</t>
        </is>
      </c>
      <c r="Z2561" t="inlineStr">
        <is>
          <t>1997-02-14</t>
        </is>
      </c>
      <c r="AA2561" t="n">
        <v>80</v>
      </c>
      <c r="AB2561" t="n">
        <v>66</v>
      </c>
      <c r="AC2561" t="n">
        <v>252</v>
      </c>
      <c r="AD2561" t="n">
        <v>2</v>
      </c>
      <c r="AE2561" t="n">
        <v>3</v>
      </c>
      <c r="AF2561" t="n">
        <v>5</v>
      </c>
      <c r="AG2561" t="n">
        <v>20</v>
      </c>
      <c r="AH2561" t="n">
        <v>2</v>
      </c>
      <c r="AI2561" t="n">
        <v>7</v>
      </c>
      <c r="AJ2561" t="n">
        <v>0</v>
      </c>
      <c r="AK2561" t="n">
        <v>4</v>
      </c>
      <c r="AL2561" t="n">
        <v>2</v>
      </c>
      <c r="AM2561" t="n">
        <v>13</v>
      </c>
      <c r="AN2561" t="n">
        <v>1</v>
      </c>
      <c r="AO2561" t="n">
        <v>1</v>
      </c>
      <c r="AP2561" t="n">
        <v>0</v>
      </c>
      <c r="AQ2561" t="n">
        <v>0</v>
      </c>
      <c r="AR2561" t="inlineStr">
        <is>
          <t>No</t>
        </is>
      </c>
      <c r="AS2561" t="inlineStr">
        <is>
          <t>No</t>
        </is>
      </c>
      <c r="AU2561">
        <f>HYPERLINK("https://creighton-primo.hosted.exlibrisgroup.com/primo-explore/search?tab=default_tab&amp;search_scope=EVERYTHING&amp;vid=01CRU&amp;lang=en_US&amp;offset=0&amp;query=any,contains,991002669639702656","Catalog Record")</f>
        <v/>
      </c>
      <c r="AV2561">
        <f>HYPERLINK("http://www.worldcat.org/oclc/34914396","WorldCat Record")</f>
        <v/>
      </c>
      <c r="AW2561" t="inlineStr">
        <is>
          <t>23733533:eng</t>
        </is>
      </c>
      <c r="AX2561" t="inlineStr">
        <is>
          <t>34914396</t>
        </is>
      </c>
      <c r="AY2561" t="inlineStr">
        <is>
          <t>991002669639702656</t>
        </is>
      </c>
      <c r="AZ2561" t="inlineStr">
        <is>
          <t>991002669639702656</t>
        </is>
      </c>
      <c r="BA2561" t="inlineStr">
        <is>
          <t>2257869020002656</t>
        </is>
      </c>
      <c r="BB2561" t="inlineStr">
        <is>
          <t>BOOK</t>
        </is>
      </c>
      <c r="BD2561" t="inlineStr">
        <is>
          <t>9781860590023</t>
        </is>
      </c>
      <c r="BE2561" t="inlineStr">
        <is>
          <t>32285002431509</t>
        </is>
      </c>
      <c r="BF2561" t="inlineStr">
        <is>
          <t>893597724</t>
        </is>
      </c>
    </row>
    <row r="2562">
      <c r="A2562" t="inlineStr">
        <is>
          <t>No</t>
        </is>
      </c>
      <c r="B2562" t="inlineStr">
        <is>
          <t>CURAL</t>
        </is>
      </c>
      <c r="C2562" t="inlineStr">
        <is>
          <t>SHELVES</t>
        </is>
      </c>
      <c r="D2562" t="inlineStr">
        <is>
          <t>PR5823 .E38 1988</t>
        </is>
      </c>
      <c r="E2562" t="inlineStr">
        <is>
          <t>0                      PR 5823000E  38          1988</t>
        </is>
      </c>
      <c r="F2562" t="inlineStr">
        <is>
          <t>Oscar Wilde / Richard Ellmann.</t>
        </is>
      </c>
      <c r="H2562" t="inlineStr">
        <is>
          <t>No</t>
        </is>
      </c>
      <c r="I2562" t="inlineStr">
        <is>
          <t>1</t>
        </is>
      </c>
      <c r="J2562" t="inlineStr">
        <is>
          <t>No</t>
        </is>
      </c>
      <c r="K2562" t="inlineStr">
        <is>
          <t>No</t>
        </is>
      </c>
      <c r="L2562" t="inlineStr">
        <is>
          <t>0</t>
        </is>
      </c>
      <c r="M2562" t="inlineStr">
        <is>
          <t>Ellmann, Richard, 1918-1987.</t>
        </is>
      </c>
      <c r="N2562" t="inlineStr">
        <is>
          <t>New York : Vintage Books, 1988, c1987.</t>
        </is>
      </c>
      <c r="O2562" t="inlineStr">
        <is>
          <t>1988</t>
        </is>
      </c>
      <c r="P2562" t="inlineStr">
        <is>
          <t>1st Vintage Books ed.</t>
        </is>
      </c>
      <c r="Q2562" t="inlineStr">
        <is>
          <t>eng</t>
        </is>
      </c>
      <c r="R2562" t="inlineStr">
        <is>
          <t>nyu</t>
        </is>
      </c>
      <c r="T2562" t="inlineStr">
        <is>
          <t xml:space="preserve">PR </t>
        </is>
      </c>
      <c r="U2562" t="n">
        <v>1</v>
      </c>
      <c r="V2562" t="n">
        <v>1</v>
      </c>
      <c r="W2562" t="inlineStr">
        <is>
          <t>2006-06-28</t>
        </is>
      </c>
      <c r="X2562" t="inlineStr">
        <is>
          <t>2006-06-28</t>
        </is>
      </c>
      <c r="Y2562" t="inlineStr">
        <is>
          <t>2006-06-28</t>
        </is>
      </c>
      <c r="Z2562" t="inlineStr">
        <is>
          <t>2006-06-28</t>
        </is>
      </c>
      <c r="AA2562" t="n">
        <v>443</v>
      </c>
      <c r="AB2562" t="n">
        <v>389</v>
      </c>
      <c r="AC2562" t="n">
        <v>2768</v>
      </c>
      <c r="AD2562" t="n">
        <v>5</v>
      </c>
      <c r="AE2562" t="n">
        <v>21</v>
      </c>
      <c r="AF2562" t="n">
        <v>11</v>
      </c>
      <c r="AG2562" t="n">
        <v>64</v>
      </c>
      <c r="AH2562" t="n">
        <v>5</v>
      </c>
      <c r="AI2562" t="n">
        <v>26</v>
      </c>
      <c r="AJ2562" t="n">
        <v>2</v>
      </c>
      <c r="AK2562" t="n">
        <v>11</v>
      </c>
      <c r="AL2562" t="n">
        <v>2</v>
      </c>
      <c r="AM2562" t="n">
        <v>27</v>
      </c>
      <c r="AN2562" t="n">
        <v>4</v>
      </c>
      <c r="AO2562" t="n">
        <v>13</v>
      </c>
      <c r="AP2562" t="n">
        <v>0</v>
      </c>
      <c r="AQ2562" t="n">
        <v>1</v>
      </c>
      <c r="AR2562" t="inlineStr">
        <is>
          <t>No</t>
        </is>
      </c>
      <c r="AS2562" t="inlineStr">
        <is>
          <t>No</t>
        </is>
      </c>
      <c r="AU2562">
        <f>HYPERLINK("https://creighton-primo.hosted.exlibrisgroup.com/primo-explore/search?tab=default_tab&amp;search_scope=EVERYTHING&amp;vid=01CRU&amp;lang=en_US&amp;offset=0&amp;query=any,contains,991004844519702656","Catalog Record")</f>
        <v/>
      </c>
      <c r="AV2562">
        <f>HYPERLINK("http://www.worldcat.org/oclc/18071447","WorldCat Record")</f>
        <v/>
      </c>
      <c r="AW2562" t="inlineStr">
        <is>
          <t>19874306:eng</t>
        </is>
      </c>
      <c r="AX2562" t="inlineStr">
        <is>
          <t>18071447</t>
        </is>
      </c>
      <c r="AY2562" t="inlineStr">
        <is>
          <t>991004844519702656</t>
        </is>
      </c>
      <c r="AZ2562" t="inlineStr">
        <is>
          <t>991004844519702656</t>
        </is>
      </c>
      <c r="BA2562" t="inlineStr">
        <is>
          <t>2270144030002656</t>
        </is>
      </c>
      <c r="BB2562" t="inlineStr">
        <is>
          <t>BOOK</t>
        </is>
      </c>
      <c r="BD2562" t="inlineStr">
        <is>
          <t>9780394759845</t>
        </is>
      </c>
      <c r="BE2562" t="inlineStr">
        <is>
          <t>32285005192751</t>
        </is>
      </c>
      <c r="BF2562" t="inlineStr">
        <is>
          <t>893883023</t>
        </is>
      </c>
    </row>
    <row r="2563">
      <c r="A2563" t="inlineStr">
        <is>
          <t>No</t>
        </is>
      </c>
      <c r="B2563" t="inlineStr">
        <is>
          <t>CURAL</t>
        </is>
      </c>
      <c r="C2563" t="inlineStr">
        <is>
          <t>SHELVES</t>
        </is>
      </c>
      <c r="D2563" t="inlineStr">
        <is>
          <t>PR5823 .F47</t>
        </is>
      </c>
      <c r="E2563" t="inlineStr">
        <is>
          <t>0                      PR 5823000F  47</t>
        </is>
      </c>
      <c r="F2563" t="inlineStr">
        <is>
          <t>Oscar Wilde.</t>
        </is>
      </c>
      <c r="H2563" t="inlineStr">
        <is>
          <t>No</t>
        </is>
      </c>
      <c r="I2563" t="inlineStr">
        <is>
          <t>1</t>
        </is>
      </c>
      <c r="J2563" t="inlineStr">
        <is>
          <t>No</t>
        </is>
      </c>
      <c r="K2563" t="inlineStr">
        <is>
          <t>No</t>
        </is>
      </c>
      <c r="L2563" t="inlineStr">
        <is>
          <t>0</t>
        </is>
      </c>
      <c r="M2563" t="inlineStr">
        <is>
          <t>Fido, Martin.</t>
        </is>
      </c>
      <c r="N2563" t="inlineStr">
        <is>
          <t>London ; New York : Hamlyn, 1973.</t>
        </is>
      </c>
      <c r="O2563" t="inlineStr">
        <is>
          <t>1973</t>
        </is>
      </c>
      <c r="Q2563" t="inlineStr">
        <is>
          <t>eng</t>
        </is>
      </c>
      <c r="R2563" t="inlineStr">
        <is>
          <t>enk</t>
        </is>
      </c>
      <c r="T2563" t="inlineStr">
        <is>
          <t xml:space="preserve">PR </t>
        </is>
      </c>
      <c r="U2563" t="n">
        <v>1</v>
      </c>
      <c r="V2563" t="n">
        <v>1</v>
      </c>
      <c r="W2563" t="inlineStr">
        <is>
          <t>2007-02-16</t>
        </is>
      </c>
      <c r="X2563" t="inlineStr">
        <is>
          <t>2007-02-16</t>
        </is>
      </c>
      <c r="Y2563" t="inlineStr">
        <is>
          <t>1994-05-12</t>
        </is>
      </c>
      <c r="Z2563" t="inlineStr">
        <is>
          <t>1994-05-12</t>
        </is>
      </c>
      <c r="AA2563" t="n">
        <v>151</v>
      </c>
      <c r="AB2563" t="n">
        <v>48</v>
      </c>
      <c r="AC2563" t="n">
        <v>741</v>
      </c>
      <c r="AD2563" t="n">
        <v>1</v>
      </c>
      <c r="AE2563" t="n">
        <v>7</v>
      </c>
      <c r="AF2563" t="n">
        <v>0</v>
      </c>
      <c r="AG2563" t="n">
        <v>20</v>
      </c>
      <c r="AH2563" t="n">
        <v>0</v>
      </c>
      <c r="AI2563" t="n">
        <v>5</v>
      </c>
      <c r="AJ2563" t="n">
        <v>0</v>
      </c>
      <c r="AK2563" t="n">
        <v>4</v>
      </c>
      <c r="AL2563" t="n">
        <v>0</v>
      </c>
      <c r="AM2563" t="n">
        <v>12</v>
      </c>
      <c r="AN2563" t="n">
        <v>0</v>
      </c>
      <c r="AO2563" t="n">
        <v>4</v>
      </c>
      <c r="AP2563" t="n">
        <v>0</v>
      </c>
      <c r="AQ2563" t="n">
        <v>0</v>
      </c>
      <c r="AR2563" t="inlineStr">
        <is>
          <t>No</t>
        </is>
      </c>
      <c r="AS2563" t="inlineStr">
        <is>
          <t>No</t>
        </is>
      </c>
      <c r="AU2563">
        <f>HYPERLINK("https://creighton-primo.hosted.exlibrisgroup.com/primo-explore/search?tab=default_tab&amp;search_scope=EVERYTHING&amp;vid=01CRU&amp;lang=en_US&amp;offset=0&amp;query=any,contains,991003309109702656","Catalog Record")</f>
        <v/>
      </c>
      <c r="AV2563">
        <f>HYPERLINK("http://www.worldcat.org/oclc/832803","WorldCat Record")</f>
        <v/>
      </c>
      <c r="AW2563" t="inlineStr">
        <is>
          <t>1694673:eng</t>
        </is>
      </c>
      <c r="AX2563" t="inlineStr">
        <is>
          <t>832803</t>
        </is>
      </c>
      <c r="AY2563" t="inlineStr">
        <is>
          <t>991003309109702656</t>
        </is>
      </c>
      <c r="AZ2563" t="inlineStr">
        <is>
          <t>991003309109702656</t>
        </is>
      </c>
      <c r="BA2563" t="inlineStr">
        <is>
          <t>2272472780002656</t>
        </is>
      </c>
      <c r="BB2563" t="inlineStr">
        <is>
          <t>BOOK</t>
        </is>
      </c>
      <c r="BD2563" t="inlineStr">
        <is>
          <t>9780600367147</t>
        </is>
      </c>
      <c r="BE2563" t="inlineStr">
        <is>
          <t>32285001910834</t>
        </is>
      </c>
      <c r="BF2563" t="inlineStr">
        <is>
          <t>893592403</t>
        </is>
      </c>
    </row>
    <row r="2564">
      <c r="A2564" t="inlineStr">
        <is>
          <t>No</t>
        </is>
      </c>
      <c r="B2564" t="inlineStr">
        <is>
          <t>CURAL</t>
        </is>
      </c>
      <c r="C2564" t="inlineStr">
        <is>
          <t>SHELVES</t>
        </is>
      </c>
      <c r="D2564" t="inlineStr">
        <is>
          <t>PR5823 .H34</t>
        </is>
      </c>
      <c r="E2564" t="inlineStr">
        <is>
          <t>0                      PR 5823000H  34</t>
        </is>
      </c>
      <c r="F2564" t="inlineStr">
        <is>
          <t>I give you Oscar Wilde; a biographical novel.</t>
        </is>
      </c>
      <c r="H2564" t="inlineStr">
        <is>
          <t>No</t>
        </is>
      </c>
      <c r="I2564" t="inlineStr">
        <is>
          <t>1</t>
        </is>
      </c>
      <c r="J2564" t="inlineStr">
        <is>
          <t>No</t>
        </is>
      </c>
      <c r="K2564" t="inlineStr">
        <is>
          <t>No</t>
        </is>
      </c>
      <c r="L2564" t="inlineStr">
        <is>
          <t>0</t>
        </is>
      </c>
      <c r="M2564" t="inlineStr">
        <is>
          <t>Hall, Desmond, 1911-</t>
        </is>
      </c>
      <c r="N2564" t="inlineStr">
        <is>
          <t>[New York] New American Library [1965]</t>
        </is>
      </c>
      <c r="O2564" t="inlineStr">
        <is>
          <t>1965</t>
        </is>
      </c>
      <c r="Q2564" t="inlineStr">
        <is>
          <t>eng</t>
        </is>
      </c>
      <c r="R2564" t="inlineStr">
        <is>
          <t>nyu</t>
        </is>
      </c>
      <c r="S2564" t="inlineStr">
        <is>
          <t>An NAL World book</t>
        </is>
      </c>
      <c r="T2564" t="inlineStr">
        <is>
          <t xml:space="preserve">PR </t>
        </is>
      </c>
      <c r="U2564" t="n">
        <v>1</v>
      </c>
      <c r="V2564" t="n">
        <v>1</v>
      </c>
      <c r="W2564" t="inlineStr">
        <is>
          <t>2002-12-13</t>
        </is>
      </c>
      <c r="X2564" t="inlineStr">
        <is>
          <t>2002-12-13</t>
        </is>
      </c>
      <c r="Y2564" t="inlineStr">
        <is>
          <t>1997-07-23</t>
        </is>
      </c>
      <c r="Z2564" t="inlineStr">
        <is>
          <t>1997-07-23</t>
        </is>
      </c>
      <c r="AA2564" t="n">
        <v>156</v>
      </c>
      <c r="AB2564" t="n">
        <v>136</v>
      </c>
      <c r="AC2564" t="n">
        <v>179</v>
      </c>
      <c r="AD2564" t="n">
        <v>3</v>
      </c>
      <c r="AE2564" t="n">
        <v>3</v>
      </c>
      <c r="AF2564" t="n">
        <v>4</v>
      </c>
      <c r="AG2564" t="n">
        <v>10</v>
      </c>
      <c r="AH2564" t="n">
        <v>1</v>
      </c>
      <c r="AI2564" t="n">
        <v>2</v>
      </c>
      <c r="AJ2564" t="n">
        <v>0</v>
      </c>
      <c r="AK2564" t="n">
        <v>2</v>
      </c>
      <c r="AL2564" t="n">
        <v>2</v>
      </c>
      <c r="AM2564" t="n">
        <v>5</v>
      </c>
      <c r="AN2564" t="n">
        <v>2</v>
      </c>
      <c r="AO2564" t="n">
        <v>2</v>
      </c>
      <c r="AP2564" t="n">
        <v>0</v>
      </c>
      <c r="AQ2564" t="n">
        <v>0</v>
      </c>
      <c r="AR2564" t="inlineStr">
        <is>
          <t>No</t>
        </is>
      </c>
      <c r="AS2564" t="inlineStr">
        <is>
          <t>Yes</t>
        </is>
      </c>
      <c r="AT2564">
        <f>HYPERLINK("http://catalog.hathitrust.org/Record/002957428","HathiTrust Record")</f>
        <v/>
      </c>
      <c r="AU2564">
        <f>HYPERLINK("https://creighton-primo.hosted.exlibrisgroup.com/primo-explore/search?tab=default_tab&amp;search_scope=EVERYTHING&amp;vid=01CRU&amp;lang=en_US&amp;offset=0&amp;query=any,contains,991003589489702656","Catalog Record")</f>
        <v/>
      </c>
      <c r="AV2564">
        <f>HYPERLINK("http://www.worldcat.org/oclc/1171702","WorldCat Record")</f>
        <v/>
      </c>
      <c r="AW2564" t="inlineStr">
        <is>
          <t>2112891:eng</t>
        </is>
      </c>
      <c r="AX2564" t="inlineStr">
        <is>
          <t>1171702</t>
        </is>
      </c>
      <c r="AY2564" t="inlineStr">
        <is>
          <t>991003589489702656</t>
        </is>
      </c>
      <c r="AZ2564" t="inlineStr">
        <is>
          <t>991003589489702656</t>
        </is>
      </c>
      <c r="BA2564" t="inlineStr">
        <is>
          <t>2267501400002656</t>
        </is>
      </c>
      <c r="BB2564" t="inlineStr">
        <is>
          <t>BOOK</t>
        </is>
      </c>
      <c r="BE2564" t="inlineStr">
        <is>
          <t>32285002951258</t>
        </is>
      </c>
      <c r="BF2564" t="inlineStr">
        <is>
          <t>893717838</t>
        </is>
      </c>
    </row>
    <row r="2565">
      <c r="A2565" t="inlineStr">
        <is>
          <t>No</t>
        </is>
      </c>
      <c r="B2565" t="inlineStr">
        <is>
          <t>CURAL</t>
        </is>
      </c>
      <c r="C2565" t="inlineStr">
        <is>
          <t>SHELVES</t>
        </is>
      </c>
      <c r="D2565" t="inlineStr">
        <is>
          <t>PR5823 .L4 1967</t>
        </is>
      </c>
      <c r="E2565" t="inlineStr">
        <is>
          <t>0                      PR 5823000L  4           1967</t>
        </is>
      </c>
      <c r="F2565" t="inlineStr">
        <is>
          <t>Oscar Wilde discovers America, 1882, by Lloyd Lewis and Henry Justin Smith.</t>
        </is>
      </c>
      <c r="H2565" t="inlineStr">
        <is>
          <t>No</t>
        </is>
      </c>
      <c r="I2565" t="inlineStr">
        <is>
          <t>1</t>
        </is>
      </c>
      <c r="J2565" t="inlineStr">
        <is>
          <t>No</t>
        </is>
      </c>
      <c r="K2565" t="inlineStr">
        <is>
          <t>No</t>
        </is>
      </c>
      <c r="L2565" t="inlineStr">
        <is>
          <t>0</t>
        </is>
      </c>
      <c r="M2565" t="inlineStr">
        <is>
          <t>Lewis, Lloyd, 1891-1949.</t>
        </is>
      </c>
      <c r="N2565" t="inlineStr">
        <is>
          <t>New York, B. Blom [1967, c1936]</t>
        </is>
      </c>
      <c r="O2565" t="inlineStr">
        <is>
          <t>1967</t>
        </is>
      </c>
      <c r="Q2565" t="inlineStr">
        <is>
          <t>eng</t>
        </is>
      </c>
      <c r="R2565" t="inlineStr">
        <is>
          <t>nyu</t>
        </is>
      </c>
      <c r="T2565" t="inlineStr">
        <is>
          <t xml:space="preserve">PR </t>
        </is>
      </c>
      <c r="U2565" t="n">
        <v>5</v>
      </c>
      <c r="V2565" t="n">
        <v>5</v>
      </c>
      <c r="W2565" t="inlineStr">
        <is>
          <t>2004-10-05</t>
        </is>
      </c>
      <c r="X2565" t="inlineStr">
        <is>
          <t>2004-10-05</t>
        </is>
      </c>
      <c r="Y2565" t="inlineStr">
        <is>
          <t>1997-07-23</t>
        </is>
      </c>
      <c r="Z2565" t="inlineStr">
        <is>
          <t>1997-07-23</t>
        </is>
      </c>
      <c r="AA2565" t="n">
        <v>567</v>
      </c>
      <c r="AB2565" t="n">
        <v>519</v>
      </c>
      <c r="AC2565" t="n">
        <v>817</v>
      </c>
      <c r="AD2565" t="n">
        <v>6</v>
      </c>
      <c r="AE2565" t="n">
        <v>8</v>
      </c>
      <c r="AF2565" t="n">
        <v>26</v>
      </c>
      <c r="AG2565" t="n">
        <v>39</v>
      </c>
      <c r="AH2565" t="n">
        <v>12</v>
      </c>
      <c r="AI2565" t="n">
        <v>15</v>
      </c>
      <c r="AJ2565" t="n">
        <v>6</v>
      </c>
      <c r="AK2565" t="n">
        <v>9</v>
      </c>
      <c r="AL2565" t="n">
        <v>11</v>
      </c>
      <c r="AM2565" t="n">
        <v>19</v>
      </c>
      <c r="AN2565" t="n">
        <v>4</v>
      </c>
      <c r="AO2565" t="n">
        <v>6</v>
      </c>
      <c r="AP2565" t="n">
        <v>0</v>
      </c>
      <c r="AQ2565" t="n">
        <v>0</v>
      </c>
      <c r="AR2565" t="inlineStr">
        <is>
          <t>No</t>
        </is>
      </c>
      <c r="AS2565" t="inlineStr">
        <is>
          <t>Yes</t>
        </is>
      </c>
      <c r="AT2565">
        <f>HYPERLINK("http://catalog.hathitrust.org/Record/001188527","HathiTrust Record")</f>
        <v/>
      </c>
      <c r="AU2565">
        <f>HYPERLINK("https://creighton-primo.hosted.exlibrisgroup.com/primo-explore/search?tab=default_tab&amp;search_scope=EVERYTHING&amp;vid=01CRU&amp;lang=en_US&amp;offset=0&amp;query=any,contains,991001291799702656","Catalog Record")</f>
        <v/>
      </c>
      <c r="AV2565">
        <f>HYPERLINK("http://www.worldcat.org/oclc/218103","WorldCat Record")</f>
        <v/>
      </c>
      <c r="AW2565" t="inlineStr">
        <is>
          <t>1313023:eng</t>
        </is>
      </c>
      <c r="AX2565" t="inlineStr">
        <is>
          <t>218103</t>
        </is>
      </c>
      <c r="AY2565" t="inlineStr">
        <is>
          <t>991001291799702656</t>
        </is>
      </c>
      <c r="AZ2565" t="inlineStr">
        <is>
          <t>991001291799702656</t>
        </is>
      </c>
      <c r="BA2565" t="inlineStr">
        <is>
          <t>2258744030002656</t>
        </is>
      </c>
      <c r="BB2565" t="inlineStr">
        <is>
          <t>BOOK</t>
        </is>
      </c>
      <c r="BE2565" t="inlineStr">
        <is>
          <t>32285002951316</t>
        </is>
      </c>
      <c r="BF2565" t="inlineStr">
        <is>
          <t>893420233</t>
        </is>
      </c>
    </row>
    <row r="2566">
      <c r="A2566" t="inlineStr">
        <is>
          <t>No</t>
        </is>
      </c>
      <c r="B2566" t="inlineStr">
        <is>
          <t>CURAL</t>
        </is>
      </c>
      <c r="C2566" t="inlineStr">
        <is>
          <t>SHELVES</t>
        </is>
      </c>
      <c r="D2566" t="inlineStr">
        <is>
          <t>PR5823 .N5 1980</t>
        </is>
      </c>
      <c r="E2566" t="inlineStr">
        <is>
          <t>0                      PR 5823000N  5           1980</t>
        </is>
      </c>
      <c r="F2566" t="inlineStr">
        <is>
          <t>The importance of being Oscar : the wit and wisdom of Oscar Wilde set against his life and times / Mark Nicholls.</t>
        </is>
      </c>
      <c r="H2566" t="inlineStr">
        <is>
          <t>No</t>
        </is>
      </c>
      <c r="I2566" t="inlineStr">
        <is>
          <t>1</t>
        </is>
      </c>
      <c r="J2566" t="inlineStr">
        <is>
          <t>No</t>
        </is>
      </c>
      <c r="K2566" t="inlineStr">
        <is>
          <t>No</t>
        </is>
      </c>
      <c r="L2566" t="inlineStr">
        <is>
          <t>0</t>
        </is>
      </c>
      <c r="M2566" t="inlineStr">
        <is>
          <t>Nicholls, Mark.</t>
        </is>
      </c>
      <c r="N2566" t="inlineStr">
        <is>
          <t>New York : St. Martin's Press, c1980.</t>
        </is>
      </c>
      <c r="O2566" t="inlineStr">
        <is>
          <t>1980</t>
        </is>
      </c>
      <c r="Q2566" t="inlineStr">
        <is>
          <t>eng</t>
        </is>
      </c>
      <c r="R2566" t="inlineStr">
        <is>
          <t>nyu</t>
        </is>
      </c>
      <c r="T2566" t="inlineStr">
        <is>
          <t xml:space="preserve">PR </t>
        </is>
      </c>
      <c r="U2566" t="n">
        <v>9</v>
      </c>
      <c r="V2566" t="n">
        <v>9</v>
      </c>
      <c r="W2566" t="inlineStr">
        <is>
          <t>2009-11-07</t>
        </is>
      </c>
      <c r="X2566" t="inlineStr">
        <is>
          <t>2009-11-07</t>
        </is>
      </c>
      <c r="Y2566" t="inlineStr">
        <is>
          <t>1992-03-12</t>
        </is>
      </c>
      <c r="Z2566" t="inlineStr">
        <is>
          <t>1992-03-12</t>
        </is>
      </c>
      <c r="AA2566" t="n">
        <v>405</v>
      </c>
      <c r="AB2566" t="n">
        <v>384</v>
      </c>
      <c r="AC2566" t="n">
        <v>404</v>
      </c>
      <c r="AD2566" t="n">
        <v>2</v>
      </c>
      <c r="AE2566" t="n">
        <v>2</v>
      </c>
      <c r="AF2566" t="n">
        <v>8</v>
      </c>
      <c r="AG2566" t="n">
        <v>8</v>
      </c>
      <c r="AH2566" t="n">
        <v>3</v>
      </c>
      <c r="AI2566" t="n">
        <v>3</v>
      </c>
      <c r="AJ2566" t="n">
        <v>4</v>
      </c>
      <c r="AK2566" t="n">
        <v>4</v>
      </c>
      <c r="AL2566" t="n">
        <v>3</v>
      </c>
      <c r="AM2566" t="n">
        <v>3</v>
      </c>
      <c r="AN2566" t="n">
        <v>0</v>
      </c>
      <c r="AO2566" t="n">
        <v>0</v>
      </c>
      <c r="AP2566" t="n">
        <v>0</v>
      </c>
      <c r="AQ2566" t="n">
        <v>0</v>
      </c>
      <c r="AR2566" t="inlineStr">
        <is>
          <t>No</t>
        </is>
      </c>
      <c r="AS2566" t="inlineStr">
        <is>
          <t>No</t>
        </is>
      </c>
      <c r="AU2566">
        <f>HYPERLINK("https://creighton-primo.hosted.exlibrisgroup.com/primo-explore/search?tab=default_tab&amp;search_scope=EVERYTHING&amp;vid=01CRU&amp;lang=en_US&amp;offset=0&amp;query=any,contains,991004951739702656","Catalog Record")</f>
        <v/>
      </c>
      <c r="AV2566">
        <f>HYPERLINK("http://www.worldcat.org/oclc/6250777","WorldCat Record")</f>
        <v/>
      </c>
      <c r="AW2566" t="inlineStr">
        <is>
          <t>11949025:eng</t>
        </is>
      </c>
      <c r="AX2566" t="inlineStr">
        <is>
          <t>6250777</t>
        </is>
      </c>
      <c r="AY2566" t="inlineStr">
        <is>
          <t>991004951739702656</t>
        </is>
      </c>
      <c r="AZ2566" t="inlineStr">
        <is>
          <t>991004951739702656</t>
        </is>
      </c>
      <c r="BA2566" t="inlineStr">
        <is>
          <t>2264957020002656</t>
        </is>
      </c>
      <c r="BB2566" t="inlineStr">
        <is>
          <t>BOOK</t>
        </is>
      </c>
      <c r="BD2566" t="inlineStr">
        <is>
          <t>9780312410148</t>
        </is>
      </c>
      <c r="BE2566" t="inlineStr">
        <is>
          <t>32285000997881</t>
        </is>
      </c>
      <c r="BF2566" t="inlineStr">
        <is>
          <t>893612957</t>
        </is>
      </c>
    </row>
    <row r="2567">
      <c r="A2567" t="inlineStr">
        <is>
          <t>No</t>
        </is>
      </c>
      <c r="B2567" t="inlineStr">
        <is>
          <t>CURAL</t>
        </is>
      </c>
      <c r="C2567" t="inlineStr">
        <is>
          <t>SHELVES</t>
        </is>
      </c>
      <c r="D2567" t="inlineStr">
        <is>
          <t>PR5823 .P34 1991</t>
        </is>
      </c>
      <c r="E2567" t="inlineStr">
        <is>
          <t>0                      PR 5823000P  34          1991</t>
        </is>
      </c>
      <c r="F2567" t="inlineStr">
        <is>
          <t>An Oscar Wilde chronology / Norman Page.</t>
        </is>
      </c>
      <c r="H2567" t="inlineStr">
        <is>
          <t>No</t>
        </is>
      </c>
      <c r="I2567" t="inlineStr">
        <is>
          <t>1</t>
        </is>
      </c>
      <c r="J2567" t="inlineStr">
        <is>
          <t>No</t>
        </is>
      </c>
      <c r="K2567" t="inlineStr">
        <is>
          <t>No</t>
        </is>
      </c>
      <c r="L2567" t="inlineStr">
        <is>
          <t>0</t>
        </is>
      </c>
      <c r="M2567" t="inlineStr">
        <is>
          <t>Page, Norman.</t>
        </is>
      </c>
      <c r="N2567" t="inlineStr">
        <is>
          <t>Boston, Mass. : G. K. Hall, 1991.</t>
        </is>
      </c>
      <c r="O2567" t="inlineStr">
        <is>
          <t>1991</t>
        </is>
      </c>
      <c r="Q2567" t="inlineStr">
        <is>
          <t>eng</t>
        </is>
      </c>
      <c r="R2567" t="inlineStr">
        <is>
          <t>mau</t>
        </is>
      </c>
      <c r="T2567" t="inlineStr">
        <is>
          <t xml:space="preserve">PR </t>
        </is>
      </c>
      <c r="U2567" t="n">
        <v>1</v>
      </c>
      <c r="V2567" t="n">
        <v>1</v>
      </c>
      <c r="W2567" t="inlineStr">
        <is>
          <t>2004-11-13</t>
        </is>
      </c>
      <c r="X2567" t="inlineStr">
        <is>
          <t>2004-11-13</t>
        </is>
      </c>
      <c r="Y2567" t="inlineStr">
        <is>
          <t>1992-04-30</t>
        </is>
      </c>
      <c r="Z2567" t="inlineStr">
        <is>
          <t>1992-04-30</t>
        </is>
      </c>
      <c r="AA2567" t="n">
        <v>137</v>
      </c>
      <c r="AB2567" t="n">
        <v>118</v>
      </c>
      <c r="AC2567" t="n">
        <v>151</v>
      </c>
      <c r="AD2567" t="n">
        <v>2</v>
      </c>
      <c r="AE2567" t="n">
        <v>2</v>
      </c>
      <c r="AF2567" t="n">
        <v>5</v>
      </c>
      <c r="AG2567" t="n">
        <v>7</v>
      </c>
      <c r="AH2567" t="n">
        <v>0</v>
      </c>
      <c r="AI2567" t="n">
        <v>1</v>
      </c>
      <c r="AJ2567" t="n">
        <v>1</v>
      </c>
      <c r="AK2567" t="n">
        <v>2</v>
      </c>
      <c r="AL2567" t="n">
        <v>3</v>
      </c>
      <c r="AM2567" t="n">
        <v>5</v>
      </c>
      <c r="AN2567" t="n">
        <v>1</v>
      </c>
      <c r="AO2567" t="n">
        <v>1</v>
      </c>
      <c r="AP2567" t="n">
        <v>0</v>
      </c>
      <c r="AQ2567" t="n">
        <v>0</v>
      </c>
      <c r="AR2567" t="inlineStr">
        <is>
          <t>No</t>
        </is>
      </c>
      <c r="AS2567" t="inlineStr">
        <is>
          <t>Yes</t>
        </is>
      </c>
      <c r="AT2567">
        <f>HYPERLINK("http://catalog.hathitrust.org/Record/002499055","HathiTrust Record")</f>
        <v/>
      </c>
      <c r="AU2567">
        <f>HYPERLINK("https://creighton-primo.hosted.exlibrisgroup.com/primo-explore/search?tab=default_tab&amp;search_scope=EVERYTHING&amp;vid=01CRU&amp;lang=en_US&amp;offset=0&amp;query=any,contains,991001826569702656","Catalog Record")</f>
        <v/>
      </c>
      <c r="AV2567">
        <f>HYPERLINK("http://www.worldcat.org/oclc/22952536","WorldCat Record")</f>
        <v/>
      </c>
      <c r="AW2567" t="inlineStr">
        <is>
          <t>23808645:eng</t>
        </is>
      </c>
      <c r="AX2567" t="inlineStr">
        <is>
          <t>22952536</t>
        </is>
      </c>
      <c r="AY2567" t="inlineStr">
        <is>
          <t>991001826569702656</t>
        </is>
      </c>
      <c r="AZ2567" t="inlineStr">
        <is>
          <t>991001826569702656</t>
        </is>
      </c>
      <c r="BA2567" t="inlineStr">
        <is>
          <t>2260802190002656</t>
        </is>
      </c>
      <c r="BB2567" t="inlineStr">
        <is>
          <t>BOOK</t>
        </is>
      </c>
      <c r="BD2567" t="inlineStr">
        <is>
          <t>9780816172986</t>
        </is>
      </c>
      <c r="BE2567" t="inlineStr">
        <is>
          <t>32285001038156</t>
        </is>
      </c>
      <c r="BF2567" t="inlineStr">
        <is>
          <t>893328403</t>
        </is>
      </c>
    </row>
    <row r="2568">
      <c r="A2568" t="inlineStr">
        <is>
          <t>No</t>
        </is>
      </c>
      <c r="B2568" t="inlineStr">
        <is>
          <t>CURAL</t>
        </is>
      </c>
      <c r="C2568" t="inlineStr">
        <is>
          <t>SHELVES</t>
        </is>
      </c>
      <c r="D2568" t="inlineStr">
        <is>
          <t>PR5823 .P4 1998</t>
        </is>
      </c>
      <c r="E2568" t="inlineStr">
        <is>
          <t>0                      PR 5823000P  4           1998</t>
        </is>
      </c>
      <c r="F2568" t="inlineStr">
        <is>
          <t>The life of Oscar Wilde / by Hesketh Pearson.</t>
        </is>
      </c>
      <c r="H2568" t="inlineStr">
        <is>
          <t>No</t>
        </is>
      </c>
      <c r="I2568" t="inlineStr">
        <is>
          <t>1</t>
        </is>
      </c>
      <c r="J2568" t="inlineStr">
        <is>
          <t>No</t>
        </is>
      </c>
      <c r="K2568" t="inlineStr">
        <is>
          <t>No</t>
        </is>
      </c>
      <c r="L2568" t="inlineStr">
        <is>
          <t>0</t>
        </is>
      </c>
      <c r="M2568" t="inlineStr">
        <is>
          <t>Pearson, Hesketh, 1887-1964.</t>
        </is>
      </c>
      <c r="N2568" t="inlineStr">
        <is>
          <t>[Twickenham, England] : Senate, 1998.</t>
        </is>
      </c>
      <c r="O2568" t="inlineStr">
        <is>
          <t>1998</t>
        </is>
      </c>
      <c r="Q2568" t="inlineStr">
        <is>
          <t>eng</t>
        </is>
      </c>
      <c r="R2568" t="inlineStr">
        <is>
          <t>enk</t>
        </is>
      </c>
      <c r="T2568" t="inlineStr">
        <is>
          <t xml:space="preserve">PR </t>
        </is>
      </c>
      <c r="U2568" t="n">
        <v>1</v>
      </c>
      <c r="V2568" t="n">
        <v>1</v>
      </c>
      <c r="W2568" t="inlineStr">
        <is>
          <t>2008-08-11</t>
        </is>
      </c>
      <c r="X2568" t="inlineStr">
        <is>
          <t>2008-08-11</t>
        </is>
      </c>
      <c r="Y2568" t="inlineStr">
        <is>
          <t>2008-08-11</t>
        </is>
      </c>
      <c r="Z2568" t="inlineStr">
        <is>
          <t>2008-08-11</t>
        </is>
      </c>
      <c r="AA2568" t="n">
        <v>9</v>
      </c>
      <c r="AB2568" t="n">
        <v>5</v>
      </c>
      <c r="AC2568" t="n">
        <v>280</v>
      </c>
      <c r="AD2568" t="n">
        <v>1</v>
      </c>
      <c r="AE2568" t="n">
        <v>4</v>
      </c>
      <c r="AF2568" t="n">
        <v>0</v>
      </c>
      <c r="AG2568" t="n">
        <v>13</v>
      </c>
      <c r="AH2568" t="n">
        <v>0</v>
      </c>
      <c r="AI2568" t="n">
        <v>5</v>
      </c>
      <c r="AJ2568" t="n">
        <v>0</v>
      </c>
      <c r="AK2568" t="n">
        <v>1</v>
      </c>
      <c r="AL2568" t="n">
        <v>0</v>
      </c>
      <c r="AM2568" t="n">
        <v>5</v>
      </c>
      <c r="AN2568" t="n">
        <v>0</v>
      </c>
      <c r="AO2568" t="n">
        <v>3</v>
      </c>
      <c r="AP2568" t="n">
        <v>0</v>
      </c>
      <c r="AQ2568" t="n">
        <v>0</v>
      </c>
      <c r="AR2568" t="inlineStr">
        <is>
          <t>No</t>
        </is>
      </c>
      <c r="AS2568" t="inlineStr">
        <is>
          <t>No</t>
        </is>
      </c>
      <c r="AU2568">
        <f>HYPERLINK("https://creighton-primo.hosted.exlibrisgroup.com/primo-explore/search?tab=default_tab&amp;search_scope=EVERYTHING&amp;vid=01CRU&amp;lang=en_US&amp;offset=0&amp;query=any,contains,991005258629702656","Catalog Record")</f>
        <v/>
      </c>
      <c r="AV2568">
        <f>HYPERLINK("http://www.worldcat.org/oclc/48023586","WorldCat Record")</f>
        <v/>
      </c>
      <c r="AW2568" t="inlineStr">
        <is>
          <t>1415431:eng</t>
        </is>
      </c>
      <c r="AX2568" t="inlineStr">
        <is>
          <t>48023586</t>
        </is>
      </c>
      <c r="AY2568" t="inlineStr">
        <is>
          <t>991005258629702656</t>
        </is>
      </c>
      <c r="AZ2568" t="inlineStr">
        <is>
          <t>991005258629702656</t>
        </is>
      </c>
      <c r="BA2568" t="inlineStr">
        <is>
          <t>2272302470002656</t>
        </is>
      </c>
      <c r="BB2568" t="inlineStr">
        <is>
          <t>BOOK</t>
        </is>
      </c>
      <c r="BD2568" t="inlineStr">
        <is>
          <t>9781859585344</t>
        </is>
      </c>
      <c r="BE2568" t="inlineStr">
        <is>
          <t>32285005452189</t>
        </is>
      </c>
      <c r="BF2568" t="inlineStr">
        <is>
          <t>893437417</t>
        </is>
      </c>
    </row>
    <row r="2569">
      <c r="A2569" t="inlineStr">
        <is>
          <t>No</t>
        </is>
      </c>
      <c r="B2569" t="inlineStr">
        <is>
          <t>CURAL</t>
        </is>
      </c>
      <c r="C2569" t="inlineStr">
        <is>
          <t>SHELVES</t>
        </is>
      </c>
      <c r="D2569" t="inlineStr">
        <is>
          <t>PR5823 .P63 1995</t>
        </is>
      </c>
      <c r="E2569" t="inlineStr">
        <is>
          <t>0                      PR 5823000P  63          1995</t>
        </is>
      </c>
      <c r="F2569" t="inlineStr">
        <is>
          <t>The thief of reason : Oscar Wilde and modern Ireland / Richard Pine.</t>
        </is>
      </c>
      <c r="H2569" t="inlineStr">
        <is>
          <t>No</t>
        </is>
      </c>
      <c r="I2569" t="inlineStr">
        <is>
          <t>1</t>
        </is>
      </c>
      <c r="J2569" t="inlineStr">
        <is>
          <t>No</t>
        </is>
      </c>
      <c r="K2569" t="inlineStr">
        <is>
          <t>No</t>
        </is>
      </c>
      <c r="L2569" t="inlineStr">
        <is>
          <t>0</t>
        </is>
      </c>
      <c r="M2569" t="inlineStr">
        <is>
          <t>Pine, Richard.</t>
        </is>
      </c>
      <c r="N2569" t="inlineStr">
        <is>
          <t>New York : St. Martin's Press, 1995.</t>
        </is>
      </c>
      <c r="O2569" t="inlineStr">
        <is>
          <t>1995</t>
        </is>
      </c>
      <c r="Q2569" t="inlineStr">
        <is>
          <t>eng</t>
        </is>
      </c>
      <c r="R2569" t="inlineStr">
        <is>
          <t>nyu</t>
        </is>
      </c>
      <c r="T2569" t="inlineStr">
        <is>
          <t xml:space="preserve">PR </t>
        </is>
      </c>
      <c r="U2569" t="n">
        <v>3</v>
      </c>
      <c r="V2569" t="n">
        <v>3</v>
      </c>
      <c r="W2569" t="inlineStr">
        <is>
          <t>2007-12-05</t>
        </is>
      </c>
      <c r="X2569" t="inlineStr">
        <is>
          <t>2007-12-05</t>
        </is>
      </c>
      <c r="Y2569" t="inlineStr">
        <is>
          <t>1996-10-15</t>
        </is>
      </c>
      <c r="Z2569" t="inlineStr">
        <is>
          <t>1996-10-15</t>
        </is>
      </c>
      <c r="AA2569" t="n">
        <v>344</v>
      </c>
      <c r="AB2569" t="n">
        <v>306</v>
      </c>
      <c r="AC2569" t="n">
        <v>348</v>
      </c>
      <c r="AD2569" t="n">
        <v>2</v>
      </c>
      <c r="AE2569" t="n">
        <v>2</v>
      </c>
      <c r="AF2569" t="n">
        <v>26</v>
      </c>
      <c r="AG2569" t="n">
        <v>28</v>
      </c>
      <c r="AH2569" t="n">
        <v>10</v>
      </c>
      <c r="AI2569" t="n">
        <v>10</v>
      </c>
      <c r="AJ2569" t="n">
        <v>7</v>
      </c>
      <c r="AK2569" t="n">
        <v>9</v>
      </c>
      <c r="AL2569" t="n">
        <v>16</v>
      </c>
      <c r="AM2569" t="n">
        <v>17</v>
      </c>
      <c r="AN2569" t="n">
        <v>1</v>
      </c>
      <c r="AO2569" t="n">
        <v>1</v>
      </c>
      <c r="AP2569" t="n">
        <v>0</v>
      </c>
      <c r="AQ2569" t="n">
        <v>0</v>
      </c>
      <c r="AR2569" t="inlineStr">
        <is>
          <t>No</t>
        </is>
      </c>
      <c r="AS2569" t="inlineStr">
        <is>
          <t>No</t>
        </is>
      </c>
      <c r="AU2569">
        <f>HYPERLINK("https://creighton-primo.hosted.exlibrisgroup.com/primo-explore/search?tab=default_tab&amp;search_scope=EVERYTHING&amp;vid=01CRU&amp;lang=en_US&amp;offset=0&amp;query=any,contains,991002539259702656","Catalog Record")</f>
        <v/>
      </c>
      <c r="AV2569">
        <f>HYPERLINK("http://www.worldcat.org/oclc/33007953","WorldCat Record")</f>
        <v/>
      </c>
      <c r="AW2569" t="inlineStr">
        <is>
          <t>37303359:eng</t>
        </is>
      </c>
      <c r="AX2569" t="inlineStr">
        <is>
          <t>33007953</t>
        </is>
      </c>
      <c r="AY2569" t="inlineStr">
        <is>
          <t>991002539259702656</t>
        </is>
      </c>
      <c r="AZ2569" t="inlineStr">
        <is>
          <t>991002539259702656</t>
        </is>
      </c>
      <c r="BA2569" t="inlineStr">
        <is>
          <t>2260168120002656</t>
        </is>
      </c>
      <c r="BB2569" t="inlineStr">
        <is>
          <t>BOOK</t>
        </is>
      </c>
      <c r="BD2569" t="inlineStr">
        <is>
          <t>9780312158132</t>
        </is>
      </c>
      <c r="BE2569" t="inlineStr">
        <is>
          <t>32285002366143</t>
        </is>
      </c>
      <c r="BF2569" t="inlineStr">
        <is>
          <t>893716590</t>
        </is>
      </c>
    </row>
    <row r="2570">
      <c r="A2570" t="inlineStr">
        <is>
          <t>No</t>
        </is>
      </c>
      <c r="B2570" t="inlineStr">
        <is>
          <t>CURAL</t>
        </is>
      </c>
      <c r="C2570" t="inlineStr">
        <is>
          <t>SHELVES</t>
        </is>
      </c>
      <c r="D2570" t="inlineStr">
        <is>
          <t>PR5823 .R3 1971</t>
        </is>
      </c>
      <c r="E2570" t="inlineStr">
        <is>
          <t>0                      PR 5823000R  3           1971</t>
        </is>
      </c>
      <c r="F2570" t="inlineStr">
        <is>
          <t>Oscar Wilde : a critical study.</t>
        </is>
      </c>
      <c r="H2570" t="inlineStr">
        <is>
          <t>No</t>
        </is>
      </c>
      <c r="I2570" t="inlineStr">
        <is>
          <t>1</t>
        </is>
      </c>
      <c r="J2570" t="inlineStr">
        <is>
          <t>No</t>
        </is>
      </c>
      <c r="K2570" t="inlineStr">
        <is>
          <t>No</t>
        </is>
      </c>
      <c r="L2570" t="inlineStr">
        <is>
          <t>0</t>
        </is>
      </c>
      <c r="M2570" t="inlineStr">
        <is>
          <t>Ransome, Arthur, 1884-1967.</t>
        </is>
      </c>
      <c r="N2570" t="inlineStr">
        <is>
          <t>New York : Haskell House, 1971.</t>
        </is>
      </c>
      <c r="O2570" t="inlineStr">
        <is>
          <t>1971</t>
        </is>
      </c>
      <c r="P2570" t="inlineStr">
        <is>
          <t>3d ed.</t>
        </is>
      </c>
      <c r="Q2570" t="inlineStr">
        <is>
          <t>eng</t>
        </is>
      </c>
      <c r="R2570" t="inlineStr">
        <is>
          <t>nyu</t>
        </is>
      </c>
      <c r="T2570" t="inlineStr">
        <is>
          <t xml:space="preserve">PR </t>
        </is>
      </c>
      <c r="U2570" t="n">
        <v>3</v>
      </c>
      <c r="V2570" t="n">
        <v>3</v>
      </c>
      <c r="W2570" t="inlineStr">
        <is>
          <t>2006-07-13</t>
        </is>
      </c>
      <c r="X2570" t="inlineStr">
        <is>
          <t>2006-07-13</t>
        </is>
      </c>
      <c r="Y2570" t="inlineStr">
        <is>
          <t>1990-02-21</t>
        </is>
      </c>
      <c r="Z2570" t="inlineStr">
        <is>
          <t>1990-02-21</t>
        </is>
      </c>
      <c r="AA2570" t="n">
        <v>147</v>
      </c>
      <c r="AB2570" t="n">
        <v>134</v>
      </c>
      <c r="AC2570" t="n">
        <v>423</v>
      </c>
      <c r="AD2570" t="n">
        <v>1</v>
      </c>
      <c r="AE2570" t="n">
        <v>2</v>
      </c>
      <c r="AF2570" t="n">
        <v>5</v>
      </c>
      <c r="AG2570" t="n">
        <v>21</v>
      </c>
      <c r="AH2570" t="n">
        <v>1</v>
      </c>
      <c r="AI2570" t="n">
        <v>7</v>
      </c>
      <c r="AJ2570" t="n">
        <v>2</v>
      </c>
      <c r="AK2570" t="n">
        <v>5</v>
      </c>
      <c r="AL2570" t="n">
        <v>3</v>
      </c>
      <c r="AM2570" t="n">
        <v>12</v>
      </c>
      <c r="AN2570" t="n">
        <v>0</v>
      </c>
      <c r="AO2570" t="n">
        <v>1</v>
      </c>
      <c r="AP2570" t="n">
        <v>0</v>
      </c>
      <c r="AQ2570" t="n">
        <v>0</v>
      </c>
      <c r="AR2570" t="inlineStr">
        <is>
          <t>No</t>
        </is>
      </c>
      <c r="AS2570" t="inlineStr">
        <is>
          <t>Yes</t>
        </is>
      </c>
      <c r="AT2570">
        <f>HYPERLINK("http://catalog.hathitrust.org/Record/001188533","HathiTrust Record")</f>
        <v/>
      </c>
      <c r="AU2570">
        <f>HYPERLINK("https://creighton-primo.hosted.exlibrisgroup.com/primo-explore/search?tab=default_tab&amp;search_scope=EVERYTHING&amp;vid=01CRU&amp;lang=en_US&amp;offset=0&amp;query=any,contains,991000805179702656","Catalog Record")</f>
        <v/>
      </c>
      <c r="AV2570">
        <f>HYPERLINK("http://www.worldcat.org/oclc/140396","WorldCat Record")</f>
        <v/>
      </c>
      <c r="AW2570" t="inlineStr">
        <is>
          <t>502796:eng</t>
        </is>
      </c>
      <c r="AX2570" t="inlineStr">
        <is>
          <t>140396</t>
        </is>
      </c>
      <c r="AY2570" t="inlineStr">
        <is>
          <t>991000805179702656</t>
        </is>
      </c>
      <c r="AZ2570" t="inlineStr">
        <is>
          <t>991000805179702656</t>
        </is>
      </c>
      <c r="BA2570" t="inlineStr">
        <is>
          <t>2255545090002656</t>
        </is>
      </c>
      <c r="BB2570" t="inlineStr">
        <is>
          <t>BOOK</t>
        </is>
      </c>
      <c r="BD2570" t="inlineStr">
        <is>
          <t>9780838312308</t>
        </is>
      </c>
      <c r="BE2570" t="inlineStr">
        <is>
          <t>32285000048727</t>
        </is>
      </c>
      <c r="BF2570" t="inlineStr">
        <is>
          <t>893419784</t>
        </is>
      </c>
    </row>
    <row r="2571">
      <c r="A2571" t="inlineStr">
        <is>
          <t>No</t>
        </is>
      </c>
      <c r="B2571" t="inlineStr">
        <is>
          <t>CURAL</t>
        </is>
      </c>
      <c r="C2571" t="inlineStr">
        <is>
          <t>SHELVES</t>
        </is>
      </c>
      <c r="D2571" t="inlineStr">
        <is>
          <t>PR5824 .D36 1998</t>
        </is>
      </c>
      <c r="E2571" t="inlineStr">
        <is>
          <t>0                      PR 5824000D  36          1998</t>
        </is>
      </c>
      <c r="F2571" t="inlineStr">
        <is>
          <t>Wilde's intentions : the artist in his criticism / Lawrence Danson.</t>
        </is>
      </c>
      <c r="H2571" t="inlineStr">
        <is>
          <t>No</t>
        </is>
      </c>
      <c r="I2571" t="inlineStr">
        <is>
          <t>1</t>
        </is>
      </c>
      <c r="J2571" t="inlineStr">
        <is>
          <t>No</t>
        </is>
      </c>
      <c r="K2571" t="inlineStr">
        <is>
          <t>No</t>
        </is>
      </c>
      <c r="L2571" t="inlineStr">
        <is>
          <t>0</t>
        </is>
      </c>
      <c r="M2571" t="inlineStr">
        <is>
          <t>Danson, Lawrence.</t>
        </is>
      </c>
      <c r="N2571" t="inlineStr">
        <is>
          <t>Oxford : Clarendon Press ; New York : Oxford University Press, 1998, c1997.</t>
        </is>
      </c>
      <c r="O2571" t="inlineStr">
        <is>
          <t>1998</t>
        </is>
      </c>
      <c r="Q2571" t="inlineStr">
        <is>
          <t>eng</t>
        </is>
      </c>
      <c r="R2571" t="inlineStr">
        <is>
          <t>enk</t>
        </is>
      </c>
      <c r="T2571" t="inlineStr">
        <is>
          <t xml:space="preserve">PR </t>
        </is>
      </c>
      <c r="U2571" t="n">
        <v>1</v>
      </c>
      <c r="V2571" t="n">
        <v>1</v>
      </c>
      <c r="W2571" t="inlineStr">
        <is>
          <t>2001-02-10</t>
        </is>
      </c>
      <c r="X2571" t="inlineStr">
        <is>
          <t>2001-02-10</t>
        </is>
      </c>
      <c r="Y2571" t="inlineStr">
        <is>
          <t>2000-07-18</t>
        </is>
      </c>
      <c r="Z2571" t="inlineStr">
        <is>
          <t>2000-07-18</t>
        </is>
      </c>
      <c r="AA2571" t="n">
        <v>400</v>
      </c>
      <c r="AB2571" t="n">
        <v>313</v>
      </c>
      <c r="AC2571" t="n">
        <v>344</v>
      </c>
      <c r="AD2571" t="n">
        <v>3</v>
      </c>
      <c r="AE2571" t="n">
        <v>3</v>
      </c>
      <c r="AF2571" t="n">
        <v>20</v>
      </c>
      <c r="AG2571" t="n">
        <v>21</v>
      </c>
      <c r="AH2571" t="n">
        <v>8</v>
      </c>
      <c r="AI2571" t="n">
        <v>8</v>
      </c>
      <c r="AJ2571" t="n">
        <v>6</v>
      </c>
      <c r="AK2571" t="n">
        <v>7</v>
      </c>
      <c r="AL2571" t="n">
        <v>10</v>
      </c>
      <c r="AM2571" t="n">
        <v>10</v>
      </c>
      <c r="AN2571" t="n">
        <v>2</v>
      </c>
      <c r="AO2571" t="n">
        <v>2</v>
      </c>
      <c r="AP2571" t="n">
        <v>0</v>
      </c>
      <c r="AQ2571" t="n">
        <v>0</v>
      </c>
      <c r="AR2571" t="inlineStr">
        <is>
          <t>No</t>
        </is>
      </c>
      <c r="AS2571" t="inlineStr">
        <is>
          <t>No</t>
        </is>
      </c>
      <c r="AU2571">
        <f>HYPERLINK("https://creighton-primo.hosted.exlibrisgroup.com/primo-explore/search?tab=default_tab&amp;search_scope=EVERYTHING&amp;vid=01CRU&amp;lang=en_US&amp;offset=0&amp;query=any,contains,991003205529702656","Catalog Record")</f>
        <v/>
      </c>
      <c r="AV2571">
        <f>HYPERLINK("http://www.worldcat.org/oclc/35025917","WorldCat Record")</f>
        <v/>
      </c>
      <c r="AW2571" t="inlineStr">
        <is>
          <t>335199771:eng</t>
        </is>
      </c>
      <c r="AX2571" t="inlineStr">
        <is>
          <t>35025917</t>
        </is>
      </c>
      <c r="AY2571" t="inlineStr">
        <is>
          <t>991003205529702656</t>
        </is>
      </c>
      <c r="AZ2571" t="inlineStr">
        <is>
          <t>991003205529702656</t>
        </is>
      </c>
      <c r="BA2571" t="inlineStr">
        <is>
          <t>2265667620002656</t>
        </is>
      </c>
      <c r="BB2571" t="inlineStr">
        <is>
          <t>BOOK</t>
        </is>
      </c>
      <c r="BD2571" t="inlineStr">
        <is>
          <t>9780198183754</t>
        </is>
      </c>
      <c r="BE2571" t="inlineStr">
        <is>
          <t>32285003740429</t>
        </is>
      </c>
      <c r="BF2571" t="inlineStr">
        <is>
          <t>893711136</t>
        </is>
      </c>
    </row>
    <row r="2572">
      <c r="A2572" t="inlineStr">
        <is>
          <t>No</t>
        </is>
      </c>
      <c r="B2572" t="inlineStr">
        <is>
          <t>CURAL</t>
        </is>
      </c>
      <c r="C2572" t="inlineStr">
        <is>
          <t>SHELVES</t>
        </is>
      </c>
      <c r="D2572" t="inlineStr">
        <is>
          <t>PR5824 .E4</t>
        </is>
      </c>
      <c r="E2572" t="inlineStr">
        <is>
          <t>0                      PR 5824000E  4</t>
        </is>
      </c>
      <c r="F2572" t="inlineStr">
        <is>
          <t>Oscar Wilde, a collection of critical essays.</t>
        </is>
      </c>
      <c r="H2572" t="inlineStr">
        <is>
          <t>No</t>
        </is>
      </c>
      <c r="I2572" t="inlineStr">
        <is>
          <t>1</t>
        </is>
      </c>
      <c r="J2572" t="inlineStr">
        <is>
          <t>No</t>
        </is>
      </c>
      <c r="K2572" t="inlineStr">
        <is>
          <t>No</t>
        </is>
      </c>
      <c r="L2572" t="inlineStr">
        <is>
          <t>0</t>
        </is>
      </c>
      <c r="M2572" t="inlineStr">
        <is>
          <t>Ellmann, Richard, 1918-1987, compiler.</t>
        </is>
      </c>
      <c r="N2572" t="inlineStr">
        <is>
          <t>Englewood Cliffs, N.J. : Prentice-Hall, [1969]</t>
        </is>
      </c>
      <c r="O2572" t="inlineStr">
        <is>
          <t>1969</t>
        </is>
      </c>
      <c r="Q2572" t="inlineStr">
        <is>
          <t>eng</t>
        </is>
      </c>
      <c r="R2572" t="inlineStr">
        <is>
          <t>nju</t>
        </is>
      </c>
      <c r="S2572" t="inlineStr">
        <is>
          <t>A Spectrum book, S-TC-87: Twentieth century views</t>
        </is>
      </c>
      <c r="T2572" t="inlineStr">
        <is>
          <t xml:space="preserve">PR </t>
        </is>
      </c>
      <c r="U2572" t="n">
        <v>2</v>
      </c>
      <c r="V2572" t="n">
        <v>2</v>
      </c>
      <c r="W2572" t="inlineStr">
        <is>
          <t>2004-11-07</t>
        </is>
      </c>
      <c r="X2572" t="inlineStr">
        <is>
          <t>2004-11-07</t>
        </is>
      </c>
      <c r="Y2572" t="inlineStr">
        <is>
          <t>1994-12-12</t>
        </is>
      </c>
      <c r="Z2572" t="inlineStr">
        <is>
          <t>1994-12-12</t>
        </is>
      </c>
      <c r="AA2572" t="n">
        <v>1777</v>
      </c>
      <c r="AB2572" t="n">
        <v>1545</v>
      </c>
      <c r="AC2572" t="n">
        <v>1554</v>
      </c>
      <c r="AD2572" t="n">
        <v>13</v>
      </c>
      <c r="AE2572" t="n">
        <v>13</v>
      </c>
      <c r="AF2572" t="n">
        <v>50</v>
      </c>
      <c r="AG2572" t="n">
        <v>50</v>
      </c>
      <c r="AH2572" t="n">
        <v>22</v>
      </c>
      <c r="AI2572" t="n">
        <v>22</v>
      </c>
      <c r="AJ2572" t="n">
        <v>7</v>
      </c>
      <c r="AK2572" t="n">
        <v>7</v>
      </c>
      <c r="AL2572" t="n">
        <v>21</v>
      </c>
      <c r="AM2572" t="n">
        <v>21</v>
      </c>
      <c r="AN2572" t="n">
        <v>9</v>
      </c>
      <c r="AO2572" t="n">
        <v>9</v>
      </c>
      <c r="AP2572" t="n">
        <v>0</v>
      </c>
      <c r="AQ2572" t="n">
        <v>0</v>
      </c>
      <c r="AR2572" t="inlineStr">
        <is>
          <t>No</t>
        </is>
      </c>
      <c r="AS2572" t="inlineStr">
        <is>
          <t>Yes</t>
        </is>
      </c>
      <c r="AT2572">
        <f>HYPERLINK("http://catalog.hathitrust.org/Record/001024876","HathiTrust Record")</f>
        <v/>
      </c>
      <c r="AU2572">
        <f>HYPERLINK("https://creighton-primo.hosted.exlibrisgroup.com/primo-explore/search?tab=default_tab&amp;search_scope=EVERYTHING&amp;vid=01CRU&amp;lang=en_US&amp;offset=0&amp;query=any,contains,991000100939702656","Catalog Record")</f>
        <v/>
      </c>
      <c r="AV2572">
        <f>HYPERLINK("http://www.worldcat.org/oclc/44505","WorldCat Record")</f>
        <v/>
      </c>
      <c r="AW2572" t="inlineStr">
        <is>
          <t>4918844037:eng</t>
        </is>
      </c>
      <c r="AX2572" t="inlineStr">
        <is>
          <t>44505</t>
        </is>
      </c>
      <c r="AY2572" t="inlineStr">
        <is>
          <t>991000100939702656</t>
        </is>
      </c>
      <c r="AZ2572" t="inlineStr">
        <is>
          <t>991000100939702656</t>
        </is>
      </c>
      <c r="BA2572" t="inlineStr">
        <is>
          <t>2261053690002656</t>
        </is>
      </c>
      <c r="BB2572" t="inlineStr">
        <is>
          <t>BOOK</t>
        </is>
      </c>
      <c r="BD2572" t="inlineStr">
        <is>
          <t>9780139594786</t>
        </is>
      </c>
      <c r="BE2572" t="inlineStr">
        <is>
          <t>32285001981520</t>
        </is>
      </c>
      <c r="BF2572" t="inlineStr">
        <is>
          <t>893438006</t>
        </is>
      </c>
    </row>
    <row r="2573">
      <c r="A2573" t="inlineStr">
        <is>
          <t>No</t>
        </is>
      </c>
      <c r="B2573" t="inlineStr">
        <is>
          <t>CURAL</t>
        </is>
      </c>
      <c r="C2573" t="inlineStr">
        <is>
          <t>SHELVES</t>
        </is>
      </c>
      <c r="D2573" t="inlineStr">
        <is>
          <t>PR5824 .E7</t>
        </is>
      </c>
      <c r="E2573" t="inlineStr">
        <is>
          <t>0                      PR 5824000E  7</t>
        </is>
      </c>
      <c r="F2573" t="inlineStr">
        <is>
          <t>Oscar Wilde / by Donald H. Ericksen.</t>
        </is>
      </c>
      <c r="H2573" t="inlineStr">
        <is>
          <t>No</t>
        </is>
      </c>
      <c r="I2573" t="inlineStr">
        <is>
          <t>1</t>
        </is>
      </c>
      <c r="J2573" t="inlineStr">
        <is>
          <t>No</t>
        </is>
      </c>
      <c r="K2573" t="inlineStr">
        <is>
          <t>No</t>
        </is>
      </c>
      <c r="L2573" t="inlineStr">
        <is>
          <t>0</t>
        </is>
      </c>
      <c r="M2573" t="inlineStr">
        <is>
          <t>Ericksen, Donald H.</t>
        </is>
      </c>
      <c r="N2573" t="inlineStr">
        <is>
          <t>Boston : Twayne Publishers, c1977.</t>
        </is>
      </c>
      <c r="O2573" t="inlineStr">
        <is>
          <t>1977</t>
        </is>
      </c>
      <c r="Q2573" t="inlineStr">
        <is>
          <t>eng</t>
        </is>
      </c>
      <c r="R2573" t="inlineStr">
        <is>
          <t>mau</t>
        </is>
      </c>
      <c r="S2573" t="inlineStr">
        <is>
          <t>Twayne's English authors series ; TEAS 211</t>
        </is>
      </c>
      <c r="T2573" t="inlineStr">
        <is>
          <t xml:space="preserve">PR </t>
        </is>
      </c>
      <c r="U2573" t="n">
        <v>7</v>
      </c>
      <c r="V2573" t="n">
        <v>7</v>
      </c>
      <c r="W2573" t="inlineStr">
        <is>
          <t>1999-11-29</t>
        </is>
      </c>
      <c r="X2573" t="inlineStr">
        <is>
          <t>1999-11-29</t>
        </is>
      </c>
      <c r="Y2573" t="inlineStr">
        <is>
          <t>1989-12-08</t>
        </is>
      </c>
      <c r="Z2573" t="inlineStr">
        <is>
          <t>1989-12-08</t>
        </is>
      </c>
      <c r="AA2573" t="n">
        <v>1266</v>
      </c>
      <c r="AB2573" t="n">
        <v>1142</v>
      </c>
      <c r="AC2573" t="n">
        <v>1223</v>
      </c>
      <c r="AD2573" t="n">
        <v>7</v>
      </c>
      <c r="AE2573" t="n">
        <v>7</v>
      </c>
      <c r="AF2573" t="n">
        <v>37</v>
      </c>
      <c r="AG2573" t="n">
        <v>38</v>
      </c>
      <c r="AH2573" t="n">
        <v>17</v>
      </c>
      <c r="AI2573" t="n">
        <v>17</v>
      </c>
      <c r="AJ2573" t="n">
        <v>7</v>
      </c>
      <c r="AK2573" t="n">
        <v>7</v>
      </c>
      <c r="AL2573" t="n">
        <v>19</v>
      </c>
      <c r="AM2573" t="n">
        <v>20</v>
      </c>
      <c r="AN2573" t="n">
        <v>5</v>
      </c>
      <c r="AO2573" t="n">
        <v>5</v>
      </c>
      <c r="AP2573" t="n">
        <v>0</v>
      </c>
      <c r="AQ2573" t="n">
        <v>0</v>
      </c>
      <c r="AR2573" t="inlineStr">
        <is>
          <t>No</t>
        </is>
      </c>
      <c r="AS2573" t="inlineStr">
        <is>
          <t>Yes</t>
        </is>
      </c>
      <c r="AT2573">
        <f>HYPERLINK("http://catalog.hathitrust.org/Record/000293484","HathiTrust Record")</f>
        <v/>
      </c>
      <c r="AU2573">
        <f>HYPERLINK("https://creighton-primo.hosted.exlibrisgroup.com/primo-explore/search?tab=default_tab&amp;search_scope=EVERYTHING&amp;vid=01CRU&amp;lang=en_US&amp;offset=0&amp;query=any,contains,991004362229702656","Catalog Record")</f>
        <v/>
      </c>
      <c r="AV2573">
        <f>HYPERLINK("http://www.worldcat.org/oclc/3168037","WorldCat Record")</f>
        <v/>
      </c>
      <c r="AW2573" t="inlineStr">
        <is>
          <t>461538:eng</t>
        </is>
      </c>
      <c r="AX2573" t="inlineStr">
        <is>
          <t>3168037</t>
        </is>
      </c>
      <c r="AY2573" t="inlineStr">
        <is>
          <t>991004362229702656</t>
        </is>
      </c>
      <c r="AZ2573" t="inlineStr">
        <is>
          <t>991004362229702656</t>
        </is>
      </c>
      <c r="BA2573" t="inlineStr">
        <is>
          <t>2262296710002656</t>
        </is>
      </c>
      <c r="BB2573" t="inlineStr">
        <is>
          <t>BOOK</t>
        </is>
      </c>
      <c r="BD2573" t="inlineStr">
        <is>
          <t>9780805766806</t>
        </is>
      </c>
      <c r="BE2573" t="inlineStr">
        <is>
          <t>32285000019454</t>
        </is>
      </c>
      <c r="BF2573" t="inlineStr">
        <is>
          <t>893706312</t>
        </is>
      </c>
    </row>
    <row r="2574">
      <c r="A2574" t="inlineStr">
        <is>
          <t>No</t>
        </is>
      </c>
      <c r="B2574" t="inlineStr">
        <is>
          <t>CURAL</t>
        </is>
      </c>
      <c r="C2574" t="inlineStr">
        <is>
          <t>SHELVES</t>
        </is>
      </c>
      <c r="D2574" t="inlineStr">
        <is>
          <t>PR5824 .M3 1972</t>
        </is>
      </c>
      <c r="E2574" t="inlineStr">
        <is>
          <t>0                      PR 5824000M  3           1972</t>
        </is>
      </c>
      <c r="F2574" t="inlineStr">
        <is>
          <t>Oscar Wilde and the aesthetic movement, with initial letters by Alan Odle and illus. from contemporary prints.</t>
        </is>
      </c>
      <c r="H2574" t="inlineStr">
        <is>
          <t>No</t>
        </is>
      </c>
      <c r="I2574" t="inlineStr">
        <is>
          <t>1</t>
        </is>
      </c>
      <c r="J2574" t="inlineStr">
        <is>
          <t>No</t>
        </is>
      </c>
      <c r="K2574" t="inlineStr">
        <is>
          <t>No</t>
        </is>
      </c>
      <c r="L2574" t="inlineStr">
        <is>
          <t>0</t>
        </is>
      </c>
      <c r="M2574" t="inlineStr">
        <is>
          <t>Mason, Stuart, 1872-1927.</t>
        </is>
      </c>
      <c r="N2574" t="inlineStr">
        <is>
          <t>New York, Haskell House Publishers, 1972.</t>
        </is>
      </c>
      <c r="O2574" t="inlineStr">
        <is>
          <t>1972</t>
        </is>
      </c>
      <c r="Q2574" t="inlineStr">
        <is>
          <t>eng</t>
        </is>
      </c>
      <c r="R2574" t="inlineStr">
        <is>
          <t>nyu</t>
        </is>
      </c>
      <c r="T2574" t="inlineStr">
        <is>
          <t xml:space="preserve">PR </t>
        </is>
      </c>
      <c r="U2574" t="n">
        <v>3</v>
      </c>
      <c r="V2574" t="n">
        <v>3</v>
      </c>
      <c r="W2574" t="inlineStr">
        <is>
          <t>1999-12-01</t>
        </is>
      </c>
      <c r="X2574" t="inlineStr">
        <is>
          <t>1999-12-01</t>
        </is>
      </c>
      <c r="Y2574" t="inlineStr">
        <is>
          <t>1997-07-23</t>
        </is>
      </c>
      <c r="Z2574" t="inlineStr">
        <is>
          <t>1997-07-23</t>
        </is>
      </c>
      <c r="AA2574" t="n">
        <v>98</v>
      </c>
      <c r="AB2574" t="n">
        <v>76</v>
      </c>
      <c r="AC2574" t="n">
        <v>93</v>
      </c>
      <c r="AD2574" t="n">
        <v>1</v>
      </c>
      <c r="AE2574" t="n">
        <v>1</v>
      </c>
      <c r="AF2574" t="n">
        <v>0</v>
      </c>
      <c r="AG2574" t="n">
        <v>0</v>
      </c>
      <c r="AH2574" t="n">
        <v>0</v>
      </c>
      <c r="AI2574" t="n">
        <v>0</v>
      </c>
      <c r="AJ2574" t="n">
        <v>0</v>
      </c>
      <c r="AK2574" t="n">
        <v>0</v>
      </c>
      <c r="AL2574" t="n">
        <v>0</v>
      </c>
      <c r="AM2574" t="n">
        <v>0</v>
      </c>
      <c r="AN2574" t="n">
        <v>0</v>
      </c>
      <c r="AO2574" t="n">
        <v>0</v>
      </c>
      <c r="AP2574" t="n">
        <v>0</v>
      </c>
      <c r="AQ2574" t="n">
        <v>0</v>
      </c>
      <c r="AR2574" t="inlineStr">
        <is>
          <t>No</t>
        </is>
      </c>
      <c r="AS2574" t="inlineStr">
        <is>
          <t>No</t>
        </is>
      </c>
      <c r="AU2574">
        <f>HYPERLINK("https://creighton-primo.hosted.exlibrisgroup.com/primo-explore/search?tab=default_tab&amp;search_scope=EVERYTHING&amp;vid=01CRU&amp;lang=en_US&amp;offset=0&amp;query=any,contains,991002174819702656","Catalog Record")</f>
        <v/>
      </c>
      <c r="AV2574">
        <f>HYPERLINK("http://www.worldcat.org/oclc/277716","WorldCat Record")</f>
        <v/>
      </c>
      <c r="AW2574" t="inlineStr">
        <is>
          <t>2242220620:eng</t>
        </is>
      </c>
      <c r="AX2574" t="inlineStr">
        <is>
          <t>277716</t>
        </is>
      </c>
      <c r="AY2574" t="inlineStr">
        <is>
          <t>991002174819702656</t>
        </is>
      </c>
      <c r="AZ2574" t="inlineStr">
        <is>
          <t>991002174819702656</t>
        </is>
      </c>
      <c r="BA2574" t="inlineStr">
        <is>
          <t>2260212610002656</t>
        </is>
      </c>
      <c r="BB2574" t="inlineStr">
        <is>
          <t>BOOK</t>
        </is>
      </c>
      <c r="BD2574" t="inlineStr">
        <is>
          <t>9780838310779</t>
        </is>
      </c>
      <c r="BE2574" t="inlineStr">
        <is>
          <t>32285002951365</t>
        </is>
      </c>
      <c r="BF2574" t="inlineStr">
        <is>
          <t>893244854</t>
        </is>
      </c>
    </row>
    <row r="2575">
      <c r="A2575" t="inlineStr">
        <is>
          <t>No</t>
        </is>
      </c>
      <c r="B2575" t="inlineStr">
        <is>
          <t>CURAL</t>
        </is>
      </c>
      <c r="C2575" t="inlineStr">
        <is>
          <t>SHELVES</t>
        </is>
      </c>
      <c r="D2575" t="inlineStr">
        <is>
          <t>PR5824 .M5 1982</t>
        </is>
      </c>
      <c r="E2575" t="inlineStr">
        <is>
          <t>0                      PR 5824000M  5           1982</t>
        </is>
      </c>
      <c r="F2575" t="inlineStr">
        <is>
          <t>Oscar Wilde / Robert Keith Miller.</t>
        </is>
      </c>
      <c r="H2575" t="inlineStr">
        <is>
          <t>No</t>
        </is>
      </c>
      <c r="I2575" t="inlineStr">
        <is>
          <t>1</t>
        </is>
      </c>
      <c r="J2575" t="inlineStr">
        <is>
          <t>No</t>
        </is>
      </c>
      <c r="K2575" t="inlineStr">
        <is>
          <t>No</t>
        </is>
      </c>
      <c r="L2575" t="inlineStr">
        <is>
          <t>0</t>
        </is>
      </c>
      <c r="M2575" t="inlineStr">
        <is>
          <t>Miller, Robert Keith, 1949-</t>
        </is>
      </c>
      <c r="N2575" t="inlineStr">
        <is>
          <t>New York : Ungar, c1982.</t>
        </is>
      </c>
      <c r="O2575" t="inlineStr">
        <is>
          <t>1982</t>
        </is>
      </c>
      <c r="Q2575" t="inlineStr">
        <is>
          <t>eng</t>
        </is>
      </c>
      <c r="R2575" t="inlineStr">
        <is>
          <t>nyu</t>
        </is>
      </c>
      <c r="S2575" t="inlineStr">
        <is>
          <t>Modern literature series</t>
        </is>
      </c>
      <c r="T2575" t="inlineStr">
        <is>
          <t xml:space="preserve">PR </t>
        </is>
      </c>
      <c r="U2575" t="n">
        <v>6</v>
      </c>
      <c r="V2575" t="n">
        <v>6</v>
      </c>
      <c r="W2575" t="inlineStr">
        <is>
          <t>2007-12-05</t>
        </is>
      </c>
      <c r="X2575" t="inlineStr">
        <is>
          <t>2007-12-05</t>
        </is>
      </c>
      <c r="Y2575" t="inlineStr">
        <is>
          <t>1989-12-08</t>
        </is>
      </c>
      <c r="Z2575" t="inlineStr">
        <is>
          <t>1989-12-08</t>
        </is>
      </c>
      <c r="AA2575" t="n">
        <v>917</v>
      </c>
      <c r="AB2575" t="n">
        <v>825</v>
      </c>
      <c r="AC2575" t="n">
        <v>835</v>
      </c>
      <c r="AD2575" t="n">
        <v>8</v>
      </c>
      <c r="AE2575" t="n">
        <v>8</v>
      </c>
      <c r="AF2575" t="n">
        <v>32</v>
      </c>
      <c r="AG2575" t="n">
        <v>32</v>
      </c>
      <c r="AH2575" t="n">
        <v>13</v>
      </c>
      <c r="AI2575" t="n">
        <v>13</v>
      </c>
      <c r="AJ2575" t="n">
        <v>8</v>
      </c>
      <c r="AK2575" t="n">
        <v>8</v>
      </c>
      <c r="AL2575" t="n">
        <v>11</v>
      </c>
      <c r="AM2575" t="n">
        <v>11</v>
      </c>
      <c r="AN2575" t="n">
        <v>7</v>
      </c>
      <c r="AO2575" t="n">
        <v>7</v>
      </c>
      <c r="AP2575" t="n">
        <v>0</v>
      </c>
      <c r="AQ2575" t="n">
        <v>0</v>
      </c>
      <c r="AR2575" t="inlineStr">
        <is>
          <t>No</t>
        </is>
      </c>
      <c r="AS2575" t="inlineStr">
        <is>
          <t>Yes</t>
        </is>
      </c>
      <c r="AT2575">
        <f>HYPERLINK("http://catalog.hathitrust.org/Record/000100856","HathiTrust Record")</f>
        <v/>
      </c>
      <c r="AU2575">
        <f>HYPERLINK("https://creighton-primo.hosted.exlibrisgroup.com/primo-explore/search?tab=default_tab&amp;search_scope=EVERYTHING&amp;vid=01CRU&amp;lang=en_US&amp;offset=0&amp;query=any,contains,991005195629702656","Catalog Record")</f>
        <v/>
      </c>
      <c r="AV2575">
        <f>HYPERLINK("http://www.worldcat.org/oclc/8034936","WorldCat Record")</f>
        <v/>
      </c>
      <c r="AW2575" t="inlineStr">
        <is>
          <t>457908:eng</t>
        </is>
      </c>
      <c r="AX2575" t="inlineStr">
        <is>
          <t>8034936</t>
        </is>
      </c>
      <c r="AY2575" t="inlineStr">
        <is>
          <t>991005195629702656</t>
        </is>
      </c>
      <c r="AZ2575" t="inlineStr">
        <is>
          <t>991005195629702656</t>
        </is>
      </c>
      <c r="BA2575" t="inlineStr">
        <is>
          <t>2269981840002656</t>
        </is>
      </c>
      <c r="BB2575" t="inlineStr">
        <is>
          <t>BOOK</t>
        </is>
      </c>
      <c r="BD2575" t="inlineStr">
        <is>
          <t>9780804426299</t>
        </is>
      </c>
      <c r="BE2575" t="inlineStr">
        <is>
          <t>32285000030345</t>
        </is>
      </c>
      <c r="BF2575" t="inlineStr">
        <is>
          <t>893326345</t>
        </is>
      </c>
    </row>
    <row r="2576">
      <c r="A2576" t="inlineStr">
        <is>
          <t>No</t>
        </is>
      </c>
      <c r="B2576" t="inlineStr">
        <is>
          <t>CURAL</t>
        </is>
      </c>
      <c r="C2576" t="inlineStr">
        <is>
          <t>SHELVES</t>
        </is>
      </c>
      <c r="D2576" t="inlineStr">
        <is>
          <t>PR5824 .N27 1974</t>
        </is>
      </c>
      <c r="E2576" t="inlineStr">
        <is>
          <t>0                      PR 5824000N  27          1974</t>
        </is>
      </c>
      <c r="F2576" t="inlineStr">
        <is>
          <t>Into the demon universe : a literary exploration of Oscar Wilde / [by] Christopher S. Nassaar.</t>
        </is>
      </c>
      <c r="H2576" t="inlineStr">
        <is>
          <t>No</t>
        </is>
      </c>
      <c r="I2576" t="inlineStr">
        <is>
          <t>1</t>
        </is>
      </c>
      <c r="J2576" t="inlineStr">
        <is>
          <t>No</t>
        </is>
      </c>
      <c r="K2576" t="inlineStr">
        <is>
          <t>No</t>
        </is>
      </c>
      <c r="L2576" t="inlineStr">
        <is>
          <t>0</t>
        </is>
      </c>
      <c r="M2576" t="inlineStr">
        <is>
          <t>Nassaar, Christopher S.</t>
        </is>
      </c>
      <c r="N2576" t="inlineStr">
        <is>
          <t>New Haven : Yale University Press, 1974.</t>
        </is>
      </c>
      <c r="O2576" t="inlineStr">
        <is>
          <t>1974</t>
        </is>
      </c>
      <c r="Q2576" t="inlineStr">
        <is>
          <t>eng</t>
        </is>
      </c>
      <c r="R2576" t="inlineStr">
        <is>
          <t>ctu</t>
        </is>
      </c>
      <c r="T2576" t="inlineStr">
        <is>
          <t xml:space="preserve">PR </t>
        </is>
      </c>
      <c r="U2576" t="n">
        <v>1</v>
      </c>
      <c r="V2576" t="n">
        <v>1</v>
      </c>
      <c r="W2576" t="inlineStr">
        <is>
          <t>2007-12-05</t>
        </is>
      </c>
      <c r="X2576" t="inlineStr">
        <is>
          <t>2007-12-05</t>
        </is>
      </c>
      <c r="Y2576" t="inlineStr">
        <is>
          <t>1995-05-24</t>
        </is>
      </c>
      <c r="Z2576" t="inlineStr">
        <is>
          <t>1995-05-24</t>
        </is>
      </c>
      <c r="AA2576" t="n">
        <v>823</v>
      </c>
      <c r="AB2576" t="n">
        <v>670</v>
      </c>
      <c r="AC2576" t="n">
        <v>672</v>
      </c>
      <c r="AD2576" t="n">
        <v>3</v>
      </c>
      <c r="AE2576" t="n">
        <v>3</v>
      </c>
      <c r="AF2576" t="n">
        <v>30</v>
      </c>
      <c r="AG2576" t="n">
        <v>30</v>
      </c>
      <c r="AH2576" t="n">
        <v>13</v>
      </c>
      <c r="AI2576" t="n">
        <v>13</v>
      </c>
      <c r="AJ2576" t="n">
        <v>6</v>
      </c>
      <c r="AK2576" t="n">
        <v>6</v>
      </c>
      <c r="AL2576" t="n">
        <v>19</v>
      </c>
      <c r="AM2576" t="n">
        <v>19</v>
      </c>
      <c r="AN2576" t="n">
        <v>2</v>
      </c>
      <c r="AO2576" t="n">
        <v>2</v>
      </c>
      <c r="AP2576" t="n">
        <v>0</v>
      </c>
      <c r="AQ2576" t="n">
        <v>0</v>
      </c>
      <c r="AR2576" t="inlineStr">
        <is>
          <t>No</t>
        </is>
      </c>
      <c r="AS2576" t="inlineStr">
        <is>
          <t>No</t>
        </is>
      </c>
      <c r="AU2576">
        <f>HYPERLINK("https://creighton-primo.hosted.exlibrisgroup.com/primo-explore/search?tab=default_tab&amp;search_scope=EVERYTHING&amp;vid=01CRU&amp;lang=en_US&amp;offset=0&amp;query=any,contains,991003298669702656","Catalog Record")</f>
        <v/>
      </c>
      <c r="AV2576">
        <f>HYPERLINK("http://www.worldcat.org/oclc/821139","WorldCat Record")</f>
        <v/>
      </c>
      <c r="AW2576" t="inlineStr">
        <is>
          <t>1696279:eng</t>
        </is>
      </c>
      <c r="AX2576" t="inlineStr">
        <is>
          <t>821139</t>
        </is>
      </c>
      <c r="AY2576" t="inlineStr">
        <is>
          <t>991003298669702656</t>
        </is>
      </c>
      <c r="AZ2576" t="inlineStr">
        <is>
          <t>991003298669702656</t>
        </is>
      </c>
      <c r="BA2576" t="inlineStr">
        <is>
          <t>2258491700002656</t>
        </is>
      </c>
      <c r="BB2576" t="inlineStr">
        <is>
          <t>BOOK</t>
        </is>
      </c>
      <c r="BD2576" t="inlineStr">
        <is>
          <t>9780300016840</t>
        </is>
      </c>
      <c r="BE2576" t="inlineStr">
        <is>
          <t>32285002034824</t>
        </is>
      </c>
      <c r="BF2576" t="inlineStr">
        <is>
          <t>893604645</t>
        </is>
      </c>
    </row>
    <row r="2577">
      <c r="A2577" t="inlineStr">
        <is>
          <t>No</t>
        </is>
      </c>
      <c r="B2577" t="inlineStr">
        <is>
          <t>CURAL</t>
        </is>
      </c>
      <c r="C2577" t="inlineStr">
        <is>
          <t>SHELVES</t>
        </is>
      </c>
      <c r="D2577" t="inlineStr">
        <is>
          <t>PR5824 .O83 1996</t>
        </is>
      </c>
      <c r="E2577" t="inlineStr">
        <is>
          <t>0                      PR 5824000O  83          1996</t>
        </is>
      </c>
      <c r="F2577" t="inlineStr">
        <is>
          <t>Oscar Wilde : a collection of critical essays / edited by Jonathan Freedman.</t>
        </is>
      </c>
      <c r="H2577" t="inlineStr">
        <is>
          <t>No</t>
        </is>
      </c>
      <c r="I2577" t="inlineStr">
        <is>
          <t>1</t>
        </is>
      </c>
      <c r="J2577" t="inlineStr">
        <is>
          <t>No</t>
        </is>
      </c>
      <c r="K2577" t="inlineStr">
        <is>
          <t>No</t>
        </is>
      </c>
      <c r="L2577" t="inlineStr">
        <is>
          <t>0</t>
        </is>
      </c>
      <c r="N2577" t="inlineStr">
        <is>
          <t>Upper Saddle River, NJ : Prentice Hall, 1996.</t>
        </is>
      </c>
      <c r="O2577" t="inlineStr">
        <is>
          <t>1996</t>
        </is>
      </c>
      <c r="Q2577" t="inlineStr">
        <is>
          <t>eng</t>
        </is>
      </c>
      <c r="R2577" t="inlineStr">
        <is>
          <t>nju</t>
        </is>
      </c>
      <c r="S2577" t="inlineStr">
        <is>
          <t>New century views</t>
        </is>
      </c>
      <c r="T2577" t="inlineStr">
        <is>
          <t xml:space="preserve">PR </t>
        </is>
      </c>
      <c r="U2577" t="n">
        <v>12</v>
      </c>
      <c r="V2577" t="n">
        <v>12</v>
      </c>
      <c r="W2577" t="inlineStr">
        <is>
          <t>2009-11-07</t>
        </is>
      </c>
      <c r="X2577" t="inlineStr">
        <is>
          <t>2009-11-07</t>
        </is>
      </c>
      <c r="Y2577" t="inlineStr">
        <is>
          <t>1996-04-03</t>
        </is>
      </c>
      <c r="Z2577" t="inlineStr">
        <is>
          <t>1996-04-03</t>
        </is>
      </c>
      <c r="AA2577" t="n">
        <v>182</v>
      </c>
      <c r="AB2577" t="n">
        <v>125</v>
      </c>
      <c r="AC2577" t="n">
        <v>136</v>
      </c>
      <c r="AD2577" t="n">
        <v>4</v>
      </c>
      <c r="AE2577" t="n">
        <v>4</v>
      </c>
      <c r="AF2577" t="n">
        <v>9</v>
      </c>
      <c r="AG2577" t="n">
        <v>9</v>
      </c>
      <c r="AH2577" t="n">
        <v>1</v>
      </c>
      <c r="AI2577" t="n">
        <v>1</v>
      </c>
      <c r="AJ2577" t="n">
        <v>3</v>
      </c>
      <c r="AK2577" t="n">
        <v>3</v>
      </c>
      <c r="AL2577" t="n">
        <v>3</v>
      </c>
      <c r="AM2577" t="n">
        <v>3</v>
      </c>
      <c r="AN2577" t="n">
        <v>3</v>
      </c>
      <c r="AO2577" t="n">
        <v>3</v>
      </c>
      <c r="AP2577" t="n">
        <v>0</v>
      </c>
      <c r="AQ2577" t="n">
        <v>0</v>
      </c>
      <c r="AR2577" t="inlineStr">
        <is>
          <t>No</t>
        </is>
      </c>
      <c r="AS2577" t="inlineStr">
        <is>
          <t>No</t>
        </is>
      </c>
      <c r="AU2577">
        <f>HYPERLINK("https://creighton-primo.hosted.exlibrisgroup.com/primo-explore/search?tab=default_tab&amp;search_scope=EVERYTHING&amp;vid=01CRU&amp;lang=en_US&amp;offset=0&amp;query=any,contains,991002482119702656","Catalog Record")</f>
        <v/>
      </c>
      <c r="AV2577">
        <f>HYPERLINK("http://www.worldcat.org/oclc/32311713","WorldCat Record")</f>
        <v/>
      </c>
      <c r="AW2577" t="inlineStr">
        <is>
          <t>812332112:eng</t>
        </is>
      </c>
      <c r="AX2577" t="inlineStr">
        <is>
          <t>32311713</t>
        </is>
      </c>
      <c r="AY2577" t="inlineStr">
        <is>
          <t>991002482119702656</t>
        </is>
      </c>
      <c r="AZ2577" t="inlineStr">
        <is>
          <t>991002482119702656</t>
        </is>
      </c>
      <c r="BA2577" t="inlineStr">
        <is>
          <t>2266848790002656</t>
        </is>
      </c>
      <c r="BB2577" t="inlineStr">
        <is>
          <t>BOOK</t>
        </is>
      </c>
      <c r="BD2577" t="inlineStr">
        <is>
          <t>9780131460447</t>
        </is>
      </c>
      <c r="BE2577" t="inlineStr">
        <is>
          <t>32285002149762</t>
        </is>
      </c>
      <c r="BF2577" t="inlineStr">
        <is>
          <t>893530053</t>
        </is>
      </c>
    </row>
    <row r="2578">
      <c r="A2578" t="inlineStr">
        <is>
          <t>No</t>
        </is>
      </c>
      <c r="B2578" t="inlineStr">
        <is>
          <t>CURAL</t>
        </is>
      </c>
      <c r="C2578" t="inlineStr">
        <is>
          <t>SHELVES</t>
        </is>
      </c>
      <c r="D2578" t="inlineStr">
        <is>
          <t>PR5824 .R6</t>
        </is>
      </c>
      <c r="E2578" t="inlineStr">
        <is>
          <t>0                      PR 5824000R  6</t>
        </is>
      </c>
      <c r="F2578" t="inlineStr">
        <is>
          <t>Oscar Wilde / by Edouard Roditi.</t>
        </is>
      </c>
      <c r="H2578" t="inlineStr">
        <is>
          <t>No</t>
        </is>
      </c>
      <c r="I2578" t="inlineStr">
        <is>
          <t>1</t>
        </is>
      </c>
      <c r="J2578" t="inlineStr">
        <is>
          <t>No</t>
        </is>
      </c>
      <c r="K2578" t="inlineStr">
        <is>
          <t>No</t>
        </is>
      </c>
      <c r="L2578" t="inlineStr">
        <is>
          <t>0</t>
        </is>
      </c>
      <c r="M2578" t="inlineStr">
        <is>
          <t>Roditi, Edouard.</t>
        </is>
      </c>
      <c r="N2578" t="inlineStr">
        <is>
          <t>Norfolk, Conn. : New Directions Books, [1947]</t>
        </is>
      </c>
      <c r="O2578" t="inlineStr">
        <is>
          <t>1947</t>
        </is>
      </c>
      <c r="Q2578" t="inlineStr">
        <is>
          <t>eng</t>
        </is>
      </c>
      <c r="R2578" t="inlineStr">
        <is>
          <t>ctu</t>
        </is>
      </c>
      <c r="S2578" t="inlineStr">
        <is>
          <t>The makers of modern literature</t>
        </is>
      </c>
      <c r="T2578" t="inlineStr">
        <is>
          <t xml:space="preserve">PR </t>
        </is>
      </c>
      <c r="U2578" t="n">
        <v>3</v>
      </c>
      <c r="V2578" t="n">
        <v>3</v>
      </c>
      <c r="W2578" t="inlineStr">
        <is>
          <t>1995-02-01</t>
        </is>
      </c>
      <c r="X2578" t="inlineStr">
        <is>
          <t>1995-02-01</t>
        </is>
      </c>
      <c r="Y2578" t="inlineStr">
        <is>
          <t>1989-12-18</t>
        </is>
      </c>
      <c r="Z2578" t="inlineStr">
        <is>
          <t>1989-12-18</t>
        </is>
      </c>
      <c r="AA2578" t="n">
        <v>767</v>
      </c>
      <c r="AB2578" t="n">
        <v>690</v>
      </c>
      <c r="AC2578" t="n">
        <v>799</v>
      </c>
      <c r="AD2578" t="n">
        <v>7</v>
      </c>
      <c r="AE2578" t="n">
        <v>8</v>
      </c>
      <c r="AF2578" t="n">
        <v>39</v>
      </c>
      <c r="AG2578" t="n">
        <v>43</v>
      </c>
      <c r="AH2578" t="n">
        <v>15</v>
      </c>
      <c r="AI2578" t="n">
        <v>18</v>
      </c>
      <c r="AJ2578" t="n">
        <v>10</v>
      </c>
      <c r="AK2578" t="n">
        <v>10</v>
      </c>
      <c r="AL2578" t="n">
        <v>17</v>
      </c>
      <c r="AM2578" t="n">
        <v>19</v>
      </c>
      <c r="AN2578" t="n">
        <v>6</v>
      </c>
      <c r="AO2578" t="n">
        <v>7</v>
      </c>
      <c r="AP2578" t="n">
        <v>0</v>
      </c>
      <c r="AQ2578" t="n">
        <v>0</v>
      </c>
      <c r="AR2578" t="inlineStr">
        <is>
          <t>No</t>
        </is>
      </c>
      <c r="AS2578" t="inlineStr">
        <is>
          <t>Yes</t>
        </is>
      </c>
      <c r="AT2578">
        <f>HYPERLINK("http://catalog.hathitrust.org/Record/000266602","HathiTrust Record")</f>
        <v/>
      </c>
      <c r="AU2578">
        <f>HYPERLINK("https://creighton-primo.hosted.exlibrisgroup.com/primo-explore/search?tab=default_tab&amp;search_scope=EVERYTHING&amp;vid=01CRU&amp;lang=en_US&amp;offset=0&amp;query=any,contains,991002494349702656","Catalog Record")</f>
        <v/>
      </c>
      <c r="AV2578">
        <f>HYPERLINK("http://www.worldcat.org/oclc/363309","WorldCat Record")</f>
        <v/>
      </c>
      <c r="AW2578" t="inlineStr">
        <is>
          <t>1418872:eng</t>
        </is>
      </c>
      <c r="AX2578" t="inlineStr">
        <is>
          <t>363309</t>
        </is>
      </c>
      <c r="AY2578" t="inlineStr">
        <is>
          <t>991002494349702656</t>
        </is>
      </c>
      <c r="AZ2578" t="inlineStr">
        <is>
          <t>991002494349702656</t>
        </is>
      </c>
      <c r="BA2578" t="inlineStr">
        <is>
          <t>2264033240002656</t>
        </is>
      </c>
      <c r="BB2578" t="inlineStr">
        <is>
          <t>BOOK</t>
        </is>
      </c>
      <c r="BE2578" t="inlineStr">
        <is>
          <t>32285000030352</t>
        </is>
      </c>
      <c r="BF2578" t="inlineStr">
        <is>
          <t>893880005</t>
        </is>
      </c>
    </row>
    <row r="2579">
      <c r="A2579" t="inlineStr">
        <is>
          <t>No</t>
        </is>
      </c>
      <c r="B2579" t="inlineStr">
        <is>
          <t>CURAL</t>
        </is>
      </c>
      <c r="C2579" t="inlineStr">
        <is>
          <t>SHELVES</t>
        </is>
      </c>
      <c r="D2579" t="inlineStr">
        <is>
          <t>PR5824 .S3</t>
        </is>
      </c>
      <c r="E2579" t="inlineStr">
        <is>
          <t>0                      PR 5824000S  3</t>
        </is>
      </c>
      <c r="F2579" t="inlineStr">
        <is>
          <t>The art of Oscar Wilde / Epifanio San Juan, Jr.</t>
        </is>
      </c>
      <c r="H2579" t="inlineStr">
        <is>
          <t>No</t>
        </is>
      </c>
      <c r="I2579" t="inlineStr">
        <is>
          <t>1</t>
        </is>
      </c>
      <c r="J2579" t="inlineStr">
        <is>
          <t>No</t>
        </is>
      </c>
      <c r="K2579" t="inlineStr">
        <is>
          <t>No</t>
        </is>
      </c>
      <c r="L2579" t="inlineStr">
        <is>
          <t>0</t>
        </is>
      </c>
      <c r="M2579" t="inlineStr">
        <is>
          <t>San Juan, E. (Epifanio), Jr., 1938-</t>
        </is>
      </c>
      <c r="N2579" t="inlineStr">
        <is>
          <t>Princeton, N.J. : Princeton University Press, 1967.</t>
        </is>
      </c>
      <c r="O2579" t="inlineStr">
        <is>
          <t>1967</t>
        </is>
      </c>
      <c r="Q2579" t="inlineStr">
        <is>
          <t>eng</t>
        </is>
      </c>
      <c r="R2579" t="inlineStr">
        <is>
          <t>nju</t>
        </is>
      </c>
      <c r="T2579" t="inlineStr">
        <is>
          <t xml:space="preserve">PR </t>
        </is>
      </c>
      <c r="U2579" t="n">
        <v>4</v>
      </c>
      <c r="V2579" t="n">
        <v>4</v>
      </c>
      <c r="W2579" t="inlineStr">
        <is>
          <t>1999-12-01</t>
        </is>
      </c>
      <c r="X2579" t="inlineStr">
        <is>
          <t>1999-12-01</t>
        </is>
      </c>
      <c r="Y2579" t="inlineStr">
        <is>
          <t>1989-12-08</t>
        </is>
      </c>
      <c r="Z2579" t="inlineStr">
        <is>
          <t>1989-12-08</t>
        </is>
      </c>
      <c r="AA2579" t="n">
        <v>959</v>
      </c>
      <c r="AB2579" t="n">
        <v>832</v>
      </c>
      <c r="AC2579" t="n">
        <v>890</v>
      </c>
      <c r="AD2579" t="n">
        <v>8</v>
      </c>
      <c r="AE2579" t="n">
        <v>8</v>
      </c>
      <c r="AF2579" t="n">
        <v>38</v>
      </c>
      <c r="AG2579" t="n">
        <v>41</v>
      </c>
      <c r="AH2579" t="n">
        <v>16</v>
      </c>
      <c r="AI2579" t="n">
        <v>19</v>
      </c>
      <c r="AJ2579" t="n">
        <v>8</v>
      </c>
      <c r="AK2579" t="n">
        <v>8</v>
      </c>
      <c r="AL2579" t="n">
        <v>18</v>
      </c>
      <c r="AM2579" t="n">
        <v>19</v>
      </c>
      <c r="AN2579" t="n">
        <v>7</v>
      </c>
      <c r="AO2579" t="n">
        <v>7</v>
      </c>
      <c r="AP2579" t="n">
        <v>0</v>
      </c>
      <c r="AQ2579" t="n">
        <v>0</v>
      </c>
      <c r="AR2579" t="inlineStr">
        <is>
          <t>No</t>
        </is>
      </c>
      <c r="AS2579" t="inlineStr">
        <is>
          <t>No</t>
        </is>
      </c>
      <c r="AU2579">
        <f>HYPERLINK("https://creighton-primo.hosted.exlibrisgroup.com/primo-explore/search?tab=default_tab&amp;search_scope=EVERYTHING&amp;vid=01CRU&amp;lang=en_US&amp;offset=0&amp;query=any,contains,991002488369702656","Catalog Record")</f>
        <v/>
      </c>
      <c r="AV2579">
        <f>HYPERLINK("http://www.worldcat.org/oclc/361685","WorldCat Record")</f>
        <v/>
      </c>
      <c r="AW2579" t="inlineStr">
        <is>
          <t>444955:eng</t>
        </is>
      </c>
      <c r="AX2579" t="inlineStr">
        <is>
          <t>361685</t>
        </is>
      </c>
      <c r="AY2579" t="inlineStr">
        <is>
          <t>991002488369702656</t>
        </is>
      </c>
      <c r="AZ2579" t="inlineStr">
        <is>
          <t>991002488369702656</t>
        </is>
      </c>
      <c r="BA2579" t="inlineStr">
        <is>
          <t>2263263150002656</t>
        </is>
      </c>
      <c r="BB2579" t="inlineStr">
        <is>
          <t>BOOK</t>
        </is>
      </c>
      <c r="BE2579" t="inlineStr">
        <is>
          <t>32285000019447</t>
        </is>
      </c>
      <c r="BF2579" t="inlineStr">
        <is>
          <t>893440202</t>
        </is>
      </c>
    </row>
    <row r="2580">
      <c r="A2580" t="inlineStr">
        <is>
          <t>No</t>
        </is>
      </c>
      <c r="B2580" t="inlineStr">
        <is>
          <t>CURAL</t>
        </is>
      </c>
      <c r="C2580" t="inlineStr">
        <is>
          <t>SHELVES</t>
        </is>
      </c>
      <c r="D2580" t="inlineStr">
        <is>
          <t>PR5824 .S5</t>
        </is>
      </c>
      <c r="E2580" t="inlineStr">
        <is>
          <t>0                      PR 5824000S  5</t>
        </is>
      </c>
      <c r="F2580" t="inlineStr">
        <is>
          <t>Oscar Wilde : art and egotism / Rodney Shewan. --</t>
        </is>
      </c>
      <c r="H2580" t="inlineStr">
        <is>
          <t>No</t>
        </is>
      </c>
      <c r="I2580" t="inlineStr">
        <is>
          <t>1</t>
        </is>
      </c>
      <c r="J2580" t="inlineStr">
        <is>
          <t>No</t>
        </is>
      </c>
      <c r="K2580" t="inlineStr">
        <is>
          <t>No</t>
        </is>
      </c>
      <c r="L2580" t="inlineStr">
        <is>
          <t>0</t>
        </is>
      </c>
      <c r="M2580" t="inlineStr">
        <is>
          <t>Shewan, Rodney.</t>
        </is>
      </c>
      <c r="N2580" t="inlineStr">
        <is>
          <t>New York : Barnes &amp; Noble Books, 1977.</t>
        </is>
      </c>
      <c r="O2580" t="inlineStr">
        <is>
          <t>1977</t>
        </is>
      </c>
      <c r="Q2580" t="inlineStr">
        <is>
          <t>eng</t>
        </is>
      </c>
      <c r="R2580" t="inlineStr">
        <is>
          <t>nyu</t>
        </is>
      </c>
      <c r="T2580" t="inlineStr">
        <is>
          <t xml:space="preserve">PR </t>
        </is>
      </c>
      <c r="U2580" t="n">
        <v>6</v>
      </c>
      <c r="V2580" t="n">
        <v>6</v>
      </c>
      <c r="W2580" t="inlineStr">
        <is>
          <t>1995-04-10</t>
        </is>
      </c>
      <c r="X2580" t="inlineStr">
        <is>
          <t>1995-04-10</t>
        </is>
      </c>
      <c r="Y2580" t="inlineStr">
        <is>
          <t>1990-02-07</t>
        </is>
      </c>
      <c r="Z2580" t="inlineStr">
        <is>
          <t>1990-02-07</t>
        </is>
      </c>
      <c r="AA2580" t="n">
        <v>547</v>
      </c>
      <c r="AB2580" t="n">
        <v>524</v>
      </c>
      <c r="AC2580" t="n">
        <v>636</v>
      </c>
      <c r="AD2580" t="n">
        <v>4</v>
      </c>
      <c r="AE2580" t="n">
        <v>6</v>
      </c>
      <c r="AF2580" t="n">
        <v>24</v>
      </c>
      <c r="AG2580" t="n">
        <v>30</v>
      </c>
      <c r="AH2580" t="n">
        <v>11</v>
      </c>
      <c r="AI2580" t="n">
        <v>13</v>
      </c>
      <c r="AJ2580" t="n">
        <v>8</v>
      </c>
      <c r="AK2580" t="n">
        <v>8</v>
      </c>
      <c r="AL2580" t="n">
        <v>11</v>
      </c>
      <c r="AM2580" t="n">
        <v>13</v>
      </c>
      <c r="AN2580" t="n">
        <v>3</v>
      </c>
      <c r="AO2580" t="n">
        <v>5</v>
      </c>
      <c r="AP2580" t="n">
        <v>0</v>
      </c>
      <c r="AQ2580" t="n">
        <v>0</v>
      </c>
      <c r="AR2580" t="inlineStr">
        <is>
          <t>No</t>
        </is>
      </c>
      <c r="AS2580" t="inlineStr">
        <is>
          <t>Yes</t>
        </is>
      </c>
      <c r="AT2580">
        <f>HYPERLINK("http://catalog.hathitrust.org/Record/102040039","HathiTrust Record")</f>
        <v/>
      </c>
      <c r="AU2580">
        <f>HYPERLINK("https://creighton-primo.hosted.exlibrisgroup.com/primo-explore/search?tab=default_tab&amp;search_scope=EVERYTHING&amp;vid=01CRU&amp;lang=en_US&amp;offset=0&amp;query=any,contains,991004270949702656","Catalog Record")</f>
        <v/>
      </c>
      <c r="AV2580">
        <f>HYPERLINK("http://www.worldcat.org/oclc/2875886","WorldCat Record")</f>
        <v/>
      </c>
      <c r="AW2580" t="inlineStr">
        <is>
          <t>6421483:eng</t>
        </is>
      </c>
      <c r="AX2580" t="inlineStr">
        <is>
          <t>2875886</t>
        </is>
      </c>
      <c r="AY2580" t="inlineStr">
        <is>
          <t>991004270949702656</t>
        </is>
      </c>
      <c r="AZ2580" t="inlineStr">
        <is>
          <t>991004270949702656</t>
        </is>
      </c>
      <c r="BA2580" t="inlineStr">
        <is>
          <t>2259586770002656</t>
        </is>
      </c>
      <c r="BB2580" t="inlineStr">
        <is>
          <t>BOOK</t>
        </is>
      </c>
      <c r="BD2580" t="inlineStr">
        <is>
          <t>9780064962384</t>
        </is>
      </c>
      <c r="BE2580" t="inlineStr">
        <is>
          <t>32285000033679</t>
        </is>
      </c>
      <c r="BF2580" t="inlineStr">
        <is>
          <t>893436097</t>
        </is>
      </c>
    </row>
    <row r="2581">
      <c r="A2581" t="inlineStr">
        <is>
          <t>No</t>
        </is>
      </c>
      <c r="B2581" t="inlineStr">
        <is>
          <t>CURAL</t>
        </is>
      </c>
      <c r="C2581" t="inlineStr">
        <is>
          <t>SHELVES</t>
        </is>
      </c>
      <c r="D2581" t="inlineStr">
        <is>
          <t>PR5827.D7 B5 1977b</t>
        </is>
      </c>
      <c r="E2581" t="inlineStr">
        <is>
          <t>0                      PR 5827000D  7                  B  5           1977b</t>
        </is>
      </c>
      <c r="F2581" t="inlineStr">
        <is>
          <t>The plays of Oscar Wilde / Alan Bird. --</t>
        </is>
      </c>
      <c r="H2581" t="inlineStr">
        <is>
          <t>No</t>
        </is>
      </c>
      <c r="I2581" t="inlineStr">
        <is>
          <t>1</t>
        </is>
      </c>
      <c r="J2581" t="inlineStr">
        <is>
          <t>No</t>
        </is>
      </c>
      <c r="K2581" t="inlineStr">
        <is>
          <t>No</t>
        </is>
      </c>
      <c r="L2581" t="inlineStr">
        <is>
          <t>0</t>
        </is>
      </c>
      <c r="M2581" t="inlineStr">
        <is>
          <t>Bird, Alan.</t>
        </is>
      </c>
      <c r="N2581" t="inlineStr">
        <is>
          <t>New York : Barnes &amp; Noble Books, 1977.</t>
        </is>
      </c>
      <c r="O2581" t="inlineStr">
        <is>
          <t>1977</t>
        </is>
      </c>
      <c r="Q2581" t="inlineStr">
        <is>
          <t>eng</t>
        </is>
      </c>
      <c r="R2581" t="inlineStr">
        <is>
          <t>nyu</t>
        </is>
      </c>
      <c r="S2581" t="inlineStr">
        <is>
          <t>Barnes &amp; Noble critical studies</t>
        </is>
      </c>
      <c r="T2581" t="inlineStr">
        <is>
          <t xml:space="preserve">PR </t>
        </is>
      </c>
      <c r="U2581" t="n">
        <v>9</v>
      </c>
      <c r="V2581" t="n">
        <v>9</v>
      </c>
      <c r="W2581" t="inlineStr">
        <is>
          <t>2007-03-13</t>
        </is>
      </c>
      <c r="X2581" t="inlineStr">
        <is>
          <t>2007-03-13</t>
        </is>
      </c>
      <c r="Y2581" t="inlineStr">
        <is>
          <t>1990-06-07</t>
        </is>
      </c>
      <c r="Z2581" t="inlineStr">
        <is>
          <t>1990-06-07</t>
        </is>
      </c>
      <c r="AA2581" t="n">
        <v>438</v>
      </c>
      <c r="AB2581" t="n">
        <v>409</v>
      </c>
      <c r="AC2581" t="n">
        <v>485</v>
      </c>
      <c r="AD2581" t="n">
        <v>4</v>
      </c>
      <c r="AE2581" t="n">
        <v>5</v>
      </c>
      <c r="AF2581" t="n">
        <v>18</v>
      </c>
      <c r="AG2581" t="n">
        <v>21</v>
      </c>
      <c r="AH2581" t="n">
        <v>8</v>
      </c>
      <c r="AI2581" t="n">
        <v>8</v>
      </c>
      <c r="AJ2581" t="n">
        <v>6</v>
      </c>
      <c r="AK2581" t="n">
        <v>6</v>
      </c>
      <c r="AL2581" t="n">
        <v>8</v>
      </c>
      <c r="AM2581" t="n">
        <v>10</v>
      </c>
      <c r="AN2581" t="n">
        <v>3</v>
      </c>
      <c r="AO2581" t="n">
        <v>4</v>
      </c>
      <c r="AP2581" t="n">
        <v>0</v>
      </c>
      <c r="AQ2581" t="n">
        <v>0</v>
      </c>
      <c r="AR2581" t="inlineStr">
        <is>
          <t>No</t>
        </is>
      </c>
      <c r="AS2581" t="inlineStr">
        <is>
          <t>No</t>
        </is>
      </c>
      <c r="AU2581">
        <f>HYPERLINK("https://creighton-primo.hosted.exlibrisgroup.com/primo-explore/search?tab=default_tab&amp;search_scope=EVERYTHING&amp;vid=01CRU&amp;lang=en_US&amp;offset=0&amp;query=any,contains,991004470709702656","Catalog Record")</f>
        <v/>
      </c>
      <c r="AV2581">
        <f>HYPERLINK("http://www.worldcat.org/oclc/3596263","WorldCat Record")</f>
        <v/>
      </c>
      <c r="AW2581" t="inlineStr">
        <is>
          <t>4061493441:eng</t>
        </is>
      </c>
      <c r="AX2581" t="inlineStr">
        <is>
          <t>3596263</t>
        </is>
      </c>
      <c r="AY2581" t="inlineStr">
        <is>
          <t>991004470709702656</t>
        </is>
      </c>
      <c r="AZ2581" t="inlineStr">
        <is>
          <t>991004470709702656</t>
        </is>
      </c>
      <c r="BA2581" t="inlineStr">
        <is>
          <t>2260306750002656</t>
        </is>
      </c>
      <c r="BB2581" t="inlineStr">
        <is>
          <t>BOOK</t>
        </is>
      </c>
      <c r="BD2581" t="inlineStr">
        <is>
          <t>9780064904155</t>
        </is>
      </c>
      <c r="BE2581" t="inlineStr">
        <is>
          <t>32285000183995</t>
        </is>
      </c>
      <c r="BF2581" t="inlineStr">
        <is>
          <t>893436322</t>
        </is>
      </c>
    </row>
    <row r="2582">
      <c r="A2582" t="inlineStr">
        <is>
          <t>No</t>
        </is>
      </c>
      <c r="B2582" t="inlineStr">
        <is>
          <t>CURAL</t>
        </is>
      </c>
      <c r="C2582" t="inlineStr">
        <is>
          <t>SHELVES</t>
        </is>
      </c>
      <c r="D2582" t="inlineStr">
        <is>
          <t>PR5827.D7 W67 1983b</t>
        </is>
      </c>
      <c r="E2582" t="inlineStr">
        <is>
          <t>0                      PR 5827000D  7                  W  67          1983b</t>
        </is>
      </c>
      <c r="F2582" t="inlineStr">
        <is>
          <t>Oscar Wilde / Katharine Worth.</t>
        </is>
      </c>
      <c r="H2582" t="inlineStr">
        <is>
          <t>No</t>
        </is>
      </c>
      <c r="I2582" t="inlineStr">
        <is>
          <t>1</t>
        </is>
      </c>
      <c r="J2582" t="inlineStr">
        <is>
          <t>No</t>
        </is>
      </c>
      <c r="K2582" t="inlineStr">
        <is>
          <t>Yes</t>
        </is>
      </c>
      <c r="L2582" t="inlineStr">
        <is>
          <t>0</t>
        </is>
      </c>
      <c r="M2582" t="inlineStr">
        <is>
          <t>Worth, Katharine, 1922-</t>
        </is>
      </c>
      <c r="N2582" t="inlineStr">
        <is>
          <t>London : Macmillan, 1983.</t>
        </is>
      </c>
      <c r="O2582" t="inlineStr">
        <is>
          <t>1983</t>
        </is>
      </c>
      <c r="Q2582" t="inlineStr">
        <is>
          <t>eng</t>
        </is>
      </c>
      <c r="R2582" t="inlineStr">
        <is>
          <t>enk</t>
        </is>
      </c>
      <c r="S2582" t="inlineStr">
        <is>
          <t>Macmillan modern dramatists</t>
        </is>
      </c>
      <c r="T2582" t="inlineStr">
        <is>
          <t xml:space="preserve">PR </t>
        </is>
      </c>
      <c r="U2582" t="n">
        <v>5</v>
      </c>
      <c r="V2582" t="n">
        <v>5</v>
      </c>
      <c r="W2582" t="inlineStr">
        <is>
          <t>1997-10-29</t>
        </is>
      </c>
      <c r="X2582" t="inlineStr">
        <is>
          <t>1997-10-29</t>
        </is>
      </c>
      <c r="Y2582" t="inlineStr">
        <is>
          <t>1992-06-24</t>
        </is>
      </c>
      <c r="Z2582" t="inlineStr">
        <is>
          <t>1992-06-24</t>
        </is>
      </c>
      <c r="AA2582" t="n">
        <v>265</v>
      </c>
      <c r="AB2582" t="n">
        <v>91</v>
      </c>
      <c r="AC2582" t="n">
        <v>315</v>
      </c>
      <c r="AD2582" t="n">
        <v>3</v>
      </c>
      <c r="AE2582" t="n">
        <v>5</v>
      </c>
      <c r="AF2582" t="n">
        <v>8</v>
      </c>
      <c r="AG2582" t="n">
        <v>18</v>
      </c>
      <c r="AH2582" t="n">
        <v>2</v>
      </c>
      <c r="AI2582" t="n">
        <v>6</v>
      </c>
      <c r="AJ2582" t="n">
        <v>2</v>
      </c>
      <c r="AK2582" t="n">
        <v>5</v>
      </c>
      <c r="AL2582" t="n">
        <v>3</v>
      </c>
      <c r="AM2582" t="n">
        <v>10</v>
      </c>
      <c r="AN2582" t="n">
        <v>2</v>
      </c>
      <c r="AO2582" t="n">
        <v>3</v>
      </c>
      <c r="AP2582" t="n">
        <v>0</v>
      </c>
      <c r="AQ2582" t="n">
        <v>0</v>
      </c>
      <c r="AR2582" t="inlineStr">
        <is>
          <t>No</t>
        </is>
      </c>
      <c r="AS2582" t="inlineStr">
        <is>
          <t>No</t>
        </is>
      </c>
      <c r="AU2582">
        <f>HYPERLINK("https://creighton-primo.hosted.exlibrisgroup.com/primo-explore/search?tab=default_tab&amp;search_scope=EVERYTHING&amp;vid=01CRU&amp;lang=en_US&amp;offset=0&amp;query=any,contains,991000340809702656","Catalog Record")</f>
        <v/>
      </c>
      <c r="AV2582">
        <f>HYPERLINK("http://www.worldcat.org/oclc/10269730","WorldCat Record")</f>
        <v/>
      </c>
      <c r="AW2582" t="inlineStr">
        <is>
          <t>3900994771:eng</t>
        </is>
      </c>
      <c r="AX2582" t="inlineStr">
        <is>
          <t>10269730</t>
        </is>
      </c>
      <c r="AY2582" t="inlineStr">
        <is>
          <t>991000340809702656</t>
        </is>
      </c>
      <c r="AZ2582" t="inlineStr">
        <is>
          <t>991000340809702656</t>
        </is>
      </c>
      <c r="BA2582" t="inlineStr">
        <is>
          <t>2266468230002656</t>
        </is>
      </c>
      <c r="BB2582" t="inlineStr">
        <is>
          <t>BOOK</t>
        </is>
      </c>
      <c r="BD2582" t="inlineStr">
        <is>
          <t>9780333304235</t>
        </is>
      </c>
      <c r="BE2582" t="inlineStr">
        <is>
          <t>32285001156123</t>
        </is>
      </c>
      <c r="BF2582" t="inlineStr">
        <is>
          <t>893407105</t>
        </is>
      </c>
    </row>
    <row r="2583">
      <c r="A2583" t="inlineStr">
        <is>
          <t>No</t>
        </is>
      </c>
      <c r="B2583" t="inlineStr">
        <is>
          <t>CURAL</t>
        </is>
      </c>
      <c r="C2583" t="inlineStr">
        <is>
          <t>SHELVES</t>
        </is>
      </c>
      <c r="D2583" t="inlineStr">
        <is>
          <t>PR5827.D7 W67 1984</t>
        </is>
      </c>
      <c r="E2583" t="inlineStr">
        <is>
          <t>0                      PR 5827000D  7                  W  67          1984</t>
        </is>
      </c>
      <c r="F2583" t="inlineStr">
        <is>
          <t>Oscar Wilde / Katherine Worth.</t>
        </is>
      </c>
      <c r="H2583" t="inlineStr">
        <is>
          <t>No</t>
        </is>
      </c>
      <c r="I2583" t="inlineStr">
        <is>
          <t>1</t>
        </is>
      </c>
      <c r="J2583" t="inlineStr">
        <is>
          <t>No</t>
        </is>
      </c>
      <c r="K2583" t="inlineStr">
        <is>
          <t>Yes</t>
        </is>
      </c>
      <c r="L2583" t="inlineStr">
        <is>
          <t>0</t>
        </is>
      </c>
      <c r="M2583" t="inlineStr">
        <is>
          <t>Worth, Katharine, 1922-</t>
        </is>
      </c>
      <c r="N2583" t="inlineStr">
        <is>
          <t>New York : Grove Press, 1984, c1983.</t>
        </is>
      </c>
      <c r="O2583" t="inlineStr">
        <is>
          <t>1984</t>
        </is>
      </c>
      <c r="Q2583" t="inlineStr">
        <is>
          <t>eng</t>
        </is>
      </c>
      <c r="R2583" t="inlineStr">
        <is>
          <t>nyu</t>
        </is>
      </c>
      <c r="S2583" t="inlineStr">
        <is>
          <t>Grove Press modern dramatists</t>
        </is>
      </c>
      <c r="T2583" t="inlineStr">
        <is>
          <t xml:space="preserve">PR </t>
        </is>
      </c>
      <c r="U2583" t="n">
        <v>2</v>
      </c>
      <c r="V2583" t="n">
        <v>2</v>
      </c>
      <c r="W2583" t="inlineStr">
        <is>
          <t>2004-10-14</t>
        </is>
      </c>
      <c r="X2583" t="inlineStr">
        <is>
          <t>2004-10-14</t>
        </is>
      </c>
      <c r="Y2583" t="inlineStr">
        <is>
          <t>1992-03-12</t>
        </is>
      </c>
      <c r="Z2583" t="inlineStr">
        <is>
          <t>1992-03-12</t>
        </is>
      </c>
      <c r="AA2583" t="n">
        <v>251</v>
      </c>
      <c r="AB2583" t="n">
        <v>226</v>
      </c>
      <c r="AC2583" t="n">
        <v>315</v>
      </c>
      <c r="AD2583" t="n">
        <v>3</v>
      </c>
      <c r="AE2583" t="n">
        <v>5</v>
      </c>
      <c r="AF2583" t="n">
        <v>11</v>
      </c>
      <c r="AG2583" t="n">
        <v>18</v>
      </c>
      <c r="AH2583" t="n">
        <v>4</v>
      </c>
      <c r="AI2583" t="n">
        <v>6</v>
      </c>
      <c r="AJ2583" t="n">
        <v>3</v>
      </c>
      <c r="AK2583" t="n">
        <v>5</v>
      </c>
      <c r="AL2583" t="n">
        <v>8</v>
      </c>
      <c r="AM2583" t="n">
        <v>10</v>
      </c>
      <c r="AN2583" t="n">
        <v>1</v>
      </c>
      <c r="AO2583" t="n">
        <v>3</v>
      </c>
      <c r="AP2583" t="n">
        <v>0</v>
      </c>
      <c r="AQ2583" t="n">
        <v>0</v>
      </c>
      <c r="AR2583" t="inlineStr">
        <is>
          <t>No</t>
        </is>
      </c>
      <c r="AS2583" t="inlineStr">
        <is>
          <t>No</t>
        </is>
      </c>
      <c r="AU2583">
        <f>HYPERLINK("https://creighton-primo.hosted.exlibrisgroup.com/primo-explore/search?tab=default_tab&amp;search_scope=EVERYTHING&amp;vid=01CRU&amp;lang=en_US&amp;offset=0&amp;query=any,contains,991000415039702656","Catalog Record")</f>
        <v/>
      </c>
      <c r="AV2583">
        <f>HYPERLINK("http://www.worldcat.org/oclc/10724014","WorldCat Record")</f>
        <v/>
      </c>
      <c r="AW2583" t="inlineStr">
        <is>
          <t>3900994771:eng</t>
        </is>
      </c>
      <c r="AX2583" t="inlineStr">
        <is>
          <t>10724014</t>
        </is>
      </c>
      <c r="AY2583" t="inlineStr">
        <is>
          <t>991000415039702656</t>
        </is>
      </c>
      <c r="AZ2583" t="inlineStr">
        <is>
          <t>991000415039702656</t>
        </is>
      </c>
      <c r="BA2583" t="inlineStr">
        <is>
          <t>2263242120002656</t>
        </is>
      </c>
      <c r="BB2583" t="inlineStr">
        <is>
          <t>BOOK</t>
        </is>
      </c>
      <c r="BD2583" t="inlineStr">
        <is>
          <t>9780394620312</t>
        </is>
      </c>
      <c r="BE2583" t="inlineStr">
        <is>
          <t>32285000997907</t>
        </is>
      </c>
      <c r="BF2583" t="inlineStr">
        <is>
          <t>893249324</t>
        </is>
      </c>
    </row>
    <row r="2584">
      <c r="A2584" t="inlineStr">
        <is>
          <t>No</t>
        </is>
      </c>
      <c r="B2584" t="inlineStr">
        <is>
          <t>CURAL</t>
        </is>
      </c>
      <c r="C2584" t="inlineStr">
        <is>
          <t>SHELVES</t>
        </is>
      </c>
      <c r="D2584" t="inlineStr">
        <is>
          <t>PR5827.R4 C6</t>
        </is>
      </c>
      <c r="E2584" t="inlineStr">
        <is>
          <t>0                      PR 5827000R  4                  C  6</t>
        </is>
      </c>
      <c r="F2584" t="inlineStr">
        <is>
          <t>The moral vision of Oscar Wilde / Philip K. Cohen.</t>
        </is>
      </c>
      <c r="H2584" t="inlineStr">
        <is>
          <t>No</t>
        </is>
      </c>
      <c r="I2584" t="inlineStr">
        <is>
          <t>1</t>
        </is>
      </c>
      <c r="J2584" t="inlineStr">
        <is>
          <t>No</t>
        </is>
      </c>
      <c r="K2584" t="inlineStr">
        <is>
          <t>No</t>
        </is>
      </c>
      <c r="L2584" t="inlineStr">
        <is>
          <t>0</t>
        </is>
      </c>
      <c r="M2584" t="inlineStr">
        <is>
          <t>Cohen, Philip K., 1943-</t>
        </is>
      </c>
      <c r="N2584" t="inlineStr">
        <is>
          <t>Rutherford : Fairleigh Dickinson University Press, c1978.</t>
        </is>
      </c>
      <c r="O2584" t="inlineStr">
        <is>
          <t>1978</t>
        </is>
      </c>
      <c r="Q2584" t="inlineStr">
        <is>
          <t>eng</t>
        </is>
      </c>
      <c r="R2584" t="inlineStr">
        <is>
          <t>nju</t>
        </is>
      </c>
      <c r="T2584" t="inlineStr">
        <is>
          <t xml:space="preserve">PR </t>
        </is>
      </c>
      <c r="U2584" t="n">
        <v>5</v>
      </c>
      <c r="V2584" t="n">
        <v>5</v>
      </c>
      <c r="W2584" t="inlineStr">
        <is>
          <t>2007-12-05</t>
        </is>
      </c>
      <c r="X2584" t="inlineStr">
        <is>
          <t>2007-12-05</t>
        </is>
      </c>
      <c r="Y2584" t="inlineStr">
        <is>
          <t>1990-03-13</t>
        </is>
      </c>
      <c r="Z2584" t="inlineStr">
        <is>
          <t>1990-03-13</t>
        </is>
      </c>
      <c r="AA2584" t="n">
        <v>440</v>
      </c>
      <c r="AB2584" t="n">
        <v>345</v>
      </c>
      <c r="AC2584" t="n">
        <v>350</v>
      </c>
      <c r="AD2584" t="n">
        <v>4</v>
      </c>
      <c r="AE2584" t="n">
        <v>4</v>
      </c>
      <c r="AF2584" t="n">
        <v>23</v>
      </c>
      <c r="AG2584" t="n">
        <v>23</v>
      </c>
      <c r="AH2584" t="n">
        <v>10</v>
      </c>
      <c r="AI2584" t="n">
        <v>10</v>
      </c>
      <c r="AJ2584" t="n">
        <v>4</v>
      </c>
      <c r="AK2584" t="n">
        <v>4</v>
      </c>
      <c r="AL2584" t="n">
        <v>14</v>
      </c>
      <c r="AM2584" t="n">
        <v>14</v>
      </c>
      <c r="AN2584" t="n">
        <v>2</v>
      </c>
      <c r="AO2584" t="n">
        <v>2</v>
      </c>
      <c r="AP2584" t="n">
        <v>0</v>
      </c>
      <c r="AQ2584" t="n">
        <v>0</v>
      </c>
      <c r="AR2584" t="inlineStr">
        <is>
          <t>No</t>
        </is>
      </c>
      <c r="AS2584" t="inlineStr">
        <is>
          <t>Yes</t>
        </is>
      </c>
      <c r="AT2584">
        <f>HYPERLINK("http://catalog.hathitrust.org/Record/000091712","HathiTrust Record")</f>
        <v/>
      </c>
      <c r="AU2584">
        <f>HYPERLINK("https://creighton-primo.hosted.exlibrisgroup.com/primo-explore/search?tab=default_tab&amp;search_scope=EVERYTHING&amp;vid=01CRU&amp;lang=en_US&amp;offset=0&amp;query=any,contains,991004477399702656","Catalog Record")</f>
        <v/>
      </c>
      <c r="AV2584">
        <f>HYPERLINK("http://www.worldcat.org/oclc/3609916","WorldCat Record")</f>
        <v/>
      </c>
      <c r="AW2584" t="inlineStr">
        <is>
          <t>581469:eng</t>
        </is>
      </c>
      <c r="AX2584" t="inlineStr">
        <is>
          <t>3609916</t>
        </is>
      </c>
      <c r="AY2584" t="inlineStr">
        <is>
          <t>991004477399702656</t>
        </is>
      </c>
      <c r="AZ2584" t="inlineStr">
        <is>
          <t>991004477399702656</t>
        </is>
      </c>
      <c r="BA2584" t="inlineStr">
        <is>
          <t>2271770530002656</t>
        </is>
      </c>
      <c r="BB2584" t="inlineStr">
        <is>
          <t>BOOK</t>
        </is>
      </c>
      <c r="BD2584" t="inlineStr">
        <is>
          <t>9780838620526</t>
        </is>
      </c>
      <c r="BE2584" t="inlineStr">
        <is>
          <t>32285000083187</t>
        </is>
      </c>
      <c r="BF2584" t="inlineStr">
        <is>
          <t>893423852</t>
        </is>
      </c>
    </row>
    <row r="2585">
      <c r="A2585" t="inlineStr">
        <is>
          <t>No</t>
        </is>
      </c>
      <c r="B2585" t="inlineStr">
        <is>
          <t>CURAL</t>
        </is>
      </c>
      <c r="C2585" t="inlineStr">
        <is>
          <t>SHELVES</t>
        </is>
      </c>
      <c r="D2585" t="inlineStr">
        <is>
          <t>PR5841.W8 Z74 2001</t>
        </is>
      </c>
      <c r="E2585" t="inlineStr">
        <is>
          <t>0                      PR 5841000W  8                  Z  74          2001</t>
        </is>
      </c>
      <c r="F2585" t="inlineStr">
        <is>
          <t>Her own woman : the life of Mary Wollstonecraft / Diane Jacobs.</t>
        </is>
      </c>
      <c r="H2585" t="inlineStr">
        <is>
          <t>No</t>
        </is>
      </c>
      <c r="I2585" t="inlineStr">
        <is>
          <t>1</t>
        </is>
      </c>
      <c r="J2585" t="inlineStr">
        <is>
          <t>No</t>
        </is>
      </c>
      <c r="K2585" t="inlineStr">
        <is>
          <t>No</t>
        </is>
      </c>
      <c r="L2585" t="inlineStr">
        <is>
          <t>0</t>
        </is>
      </c>
      <c r="M2585" t="inlineStr">
        <is>
          <t>Jacobs, Diane.</t>
        </is>
      </c>
      <c r="N2585" t="inlineStr">
        <is>
          <t>New York : Simon &amp; Schuster, c2001.</t>
        </is>
      </c>
      <c r="O2585" t="inlineStr">
        <is>
          <t>2001</t>
        </is>
      </c>
      <c r="Q2585" t="inlineStr">
        <is>
          <t>eng</t>
        </is>
      </c>
      <c r="R2585" t="inlineStr">
        <is>
          <t>nyu</t>
        </is>
      </c>
      <c r="T2585" t="inlineStr">
        <is>
          <t xml:space="preserve">PR </t>
        </is>
      </c>
      <c r="U2585" t="n">
        <v>1</v>
      </c>
      <c r="V2585" t="n">
        <v>1</v>
      </c>
      <c r="W2585" t="inlineStr">
        <is>
          <t>2002-02-25</t>
        </is>
      </c>
      <c r="X2585" t="inlineStr">
        <is>
          <t>2002-02-25</t>
        </is>
      </c>
      <c r="Y2585" t="inlineStr">
        <is>
          <t>2001-06-05</t>
        </is>
      </c>
      <c r="Z2585" t="inlineStr">
        <is>
          <t>2001-06-05</t>
        </is>
      </c>
      <c r="AA2585" t="n">
        <v>712</v>
      </c>
      <c r="AB2585" t="n">
        <v>651</v>
      </c>
      <c r="AC2585" t="n">
        <v>687</v>
      </c>
      <c r="AD2585" t="n">
        <v>6</v>
      </c>
      <c r="AE2585" t="n">
        <v>6</v>
      </c>
      <c r="AF2585" t="n">
        <v>27</v>
      </c>
      <c r="AG2585" t="n">
        <v>28</v>
      </c>
      <c r="AH2585" t="n">
        <v>10</v>
      </c>
      <c r="AI2585" t="n">
        <v>11</v>
      </c>
      <c r="AJ2585" t="n">
        <v>6</v>
      </c>
      <c r="AK2585" t="n">
        <v>6</v>
      </c>
      <c r="AL2585" t="n">
        <v>14</v>
      </c>
      <c r="AM2585" t="n">
        <v>14</v>
      </c>
      <c r="AN2585" t="n">
        <v>4</v>
      </c>
      <c r="AO2585" t="n">
        <v>4</v>
      </c>
      <c r="AP2585" t="n">
        <v>0</v>
      </c>
      <c r="AQ2585" t="n">
        <v>0</v>
      </c>
      <c r="AR2585" t="inlineStr">
        <is>
          <t>No</t>
        </is>
      </c>
      <c r="AS2585" t="inlineStr">
        <is>
          <t>Yes</t>
        </is>
      </c>
      <c r="AT2585">
        <f>HYPERLINK("http://catalog.hathitrust.org/Record/004170460","HathiTrust Record")</f>
        <v/>
      </c>
      <c r="AU2585">
        <f>HYPERLINK("https://creighton-primo.hosted.exlibrisgroup.com/primo-explore/search?tab=default_tab&amp;search_scope=EVERYTHING&amp;vid=01CRU&amp;lang=en_US&amp;offset=0&amp;query=any,contains,991003545649702656","Catalog Record")</f>
        <v/>
      </c>
      <c r="AV2585">
        <f>HYPERLINK("http://www.worldcat.org/oclc/45505968","WorldCat Record")</f>
        <v/>
      </c>
      <c r="AW2585" t="inlineStr">
        <is>
          <t>785498:eng</t>
        </is>
      </c>
      <c r="AX2585" t="inlineStr">
        <is>
          <t>45505968</t>
        </is>
      </c>
      <c r="AY2585" t="inlineStr">
        <is>
          <t>991003545649702656</t>
        </is>
      </c>
      <c r="AZ2585" t="inlineStr">
        <is>
          <t>991003545649702656</t>
        </is>
      </c>
      <c r="BA2585" t="inlineStr">
        <is>
          <t>2263785670002656</t>
        </is>
      </c>
      <c r="BB2585" t="inlineStr">
        <is>
          <t>BOOK</t>
        </is>
      </c>
      <c r="BD2585" t="inlineStr">
        <is>
          <t>9780684810935</t>
        </is>
      </c>
      <c r="BE2585" t="inlineStr">
        <is>
          <t>32285004325139</t>
        </is>
      </c>
      <c r="BF2585" t="inlineStr">
        <is>
          <t>893868539</t>
        </is>
      </c>
    </row>
    <row r="2586">
      <c r="A2586" t="inlineStr">
        <is>
          <t>No</t>
        </is>
      </c>
      <c r="B2586" t="inlineStr">
        <is>
          <t>CURAL</t>
        </is>
      </c>
      <c r="C2586" t="inlineStr">
        <is>
          <t>SHELVES</t>
        </is>
      </c>
      <c r="D2586" t="inlineStr">
        <is>
          <t>PR5841.W8 Z757</t>
        </is>
      </c>
      <c r="E2586" t="inlineStr">
        <is>
          <t>0                      PR 5841000W  8                  Z  757</t>
        </is>
      </c>
      <c r="F2586" t="inlineStr">
        <is>
          <t>Mary Wollstonecraft, her life and times.</t>
        </is>
      </c>
      <c r="H2586" t="inlineStr">
        <is>
          <t>No</t>
        </is>
      </c>
      <c r="I2586" t="inlineStr">
        <is>
          <t>1</t>
        </is>
      </c>
      <c r="J2586" t="inlineStr">
        <is>
          <t>No</t>
        </is>
      </c>
      <c r="K2586" t="inlineStr">
        <is>
          <t>No</t>
        </is>
      </c>
      <c r="L2586" t="inlineStr">
        <is>
          <t>0</t>
        </is>
      </c>
      <c r="M2586" t="inlineStr">
        <is>
          <t>Nixon, Edna.</t>
        </is>
      </c>
      <c r="N2586" t="inlineStr">
        <is>
          <t>London : Dent, 1971.</t>
        </is>
      </c>
      <c r="O2586" t="inlineStr">
        <is>
          <t>1971</t>
        </is>
      </c>
      <c r="Q2586" t="inlineStr">
        <is>
          <t>eng</t>
        </is>
      </c>
      <c r="R2586" t="inlineStr">
        <is>
          <t>enk</t>
        </is>
      </c>
      <c r="T2586" t="inlineStr">
        <is>
          <t xml:space="preserve">PR </t>
        </is>
      </c>
      <c r="U2586" t="n">
        <v>3</v>
      </c>
      <c r="V2586" t="n">
        <v>3</v>
      </c>
      <c r="W2586" t="inlineStr">
        <is>
          <t>2003-04-09</t>
        </is>
      </c>
      <c r="X2586" t="inlineStr">
        <is>
          <t>2003-04-09</t>
        </is>
      </c>
      <c r="Y2586" t="inlineStr">
        <is>
          <t>1992-01-16</t>
        </is>
      </c>
      <c r="Z2586" t="inlineStr">
        <is>
          <t>1992-01-16</t>
        </is>
      </c>
      <c r="AA2586" t="n">
        <v>363</v>
      </c>
      <c r="AB2586" t="n">
        <v>186</v>
      </c>
      <c r="AC2586" t="n">
        <v>193</v>
      </c>
      <c r="AD2586" t="n">
        <v>2</v>
      </c>
      <c r="AE2586" t="n">
        <v>2</v>
      </c>
      <c r="AF2586" t="n">
        <v>6</v>
      </c>
      <c r="AG2586" t="n">
        <v>6</v>
      </c>
      <c r="AH2586" t="n">
        <v>0</v>
      </c>
      <c r="AI2586" t="n">
        <v>0</v>
      </c>
      <c r="AJ2586" t="n">
        <v>1</v>
      </c>
      <c r="AK2586" t="n">
        <v>1</v>
      </c>
      <c r="AL2586" t="n">
        <v>5</v>
      </c>
      <c r="AM2586" t="n">
        <v>5</v>
      </c>
      <c r="AN2586" t="n">
        <v>1</v>
      </c>
      <c r="AO2586" t="n">
        <v>1</v>
      </c>
      <c r="AP2586" t="n">
        <v>0</v>
      </c>
      <c r="AQ2586" t="n">
        <v>0</v>
      </c>
      <c r="AR2586" t="inlineStr">
        <is>
          <t>No</t>
        </is>
      </c>
      <c r="AS2586" t="inlineStr">
        <is>
          <t>Yes</t>
        </is>
      </c>
      <c r="AT2586">
        <f>HYPERLINK("http://catalog.hathitrust.org/Record/001188847","HathiTrust Record")</f>
        <v/>
      </c>
      <c r="AU2586">
        <f>HYPERLINK("https://creighton-primo.hosted.exlibrisgroup.com/primo-explore/search?tab=default_tab&amp;search_scope=EVERYTHING&amp;vid=01CRU&amp;lang=en_US&amp;offset=0&amp;query=any,contains,991003583699702656","Catalog Record")</f>
        <v/>
      </c>
      <c r="AV2586">
        <f>HYPERLINK("http://www.worldcat.org/oclc/1164794","WorldCat Record")</f>
        <v/>
      </c>
      <c r="AW2586" t="inlineStr">
        <is>
          <t>2101491:eng</t>
        </is>
      </c>
      <c r="AX2586" t="inlineStr">
        <is>
          <t>1164794</t>
        </is>
      </c>
      <c r="AY2586" t="inlineStr">
        <is>
          <t>991003583699702656</t>
        </is>
      </c>
      <c r="AZ2586" t="inlineStr">
        <is>
          <t>991003583699702656</t>
        </is>
      </c>
      <c r="BA2586" t="inlineStr">
        <is>
          <t>2262927510002656</t>
        </is>
      </c>
      <c r="BB2586" t="inlineStr">
        <is>
          <t>BOOK</t>
        </is>
      </c>
      <c r="BD2586" t="inlineStr">
        <is>
          <t>9780460039758</t>
        </is>
      </c>
      <c r="BE2586" t="inlineStr">
        <is>
          <t>32285000913540</t>
        </is>
      </c>
      <c r="BF2586" t="inlineStr">
        <is>
          <t>893611196</t>
        </is>
      </c>
    </row>
    <row r="2587">
      <c r="A2587" t="inlineStr">
        <is>
          <t>No</t>
        </is>
      </c>
      <c r="B2587" t="inlineStr">
        <is>
          <t>CURAL</t>
        </is>
      </c>
      <c r="C2587" t="inlineStr">
        <is>
          <t>SHELVES</t>
        </is>
      </c>
      <c r="D2587" t="inlineStr">
        <is>
          <t>PR5841.W8 Z799 2003</t>
        </is>
      </c>
      <c r="E2587" t="inlineStr">
        <is>
          <t>0                      PR 5841000W  8                  Z  799         2003</t>
        </is>
      </c>
      <c r="F2587" t="inlineStr">
        <is>
          <t>Mary Wollstonecraft and the feminist imagination / Barbara Taylor.</t>
        </is>
      </c>
      <c r="H2587" t="inlineStr">
        <is>
          <t>No</t>
        </is>
      </c>
      <c r="I2587" t="inlineStr">
        <is>
          <t>1</t>
        </is>
      </c>
      <c r="J2587" t="inlineStr">
        <is>
          <t>No</t>
        </is>
      </c>
      <c r="K2587" t="inlineStr">
        <is>
          <t>No</t>
        </is>
      </c>
      <c r="L2587" t="inlineStr">
        <is>
          <t>0</t>
        </is>
      </c>
      <c r="M2587" t="inlineStr">
        <is>
          <t>Taylor, Barbara, 1950 April 11-</t>
        </is>
      </c>
      <c r="N2587" t="inlineStr">
        <is>
          <t>Cambridge, U.K. ; New York : Cambridge University Press, 2003.</t>
        </is>
      </c>
      <c r="O2587" t="inlineStr">
        <is>
          <t>2003</t>
        </is>
      </c>
      <c r="Q2587" t="inlineStr">
        <is>
          <t>eng</t>
        </is>
      </c>
      <c r="R2587" t="inlineStr">
        <is>
          <t>enk</t>
        </is>
      </c>
      <c r="S2587" t="inlineStr">
        <is>
          <t>Cambridge studies in Romanticism ; 56</t>
        </is>
      </c>
      <c r="T2587" t="inlineStr">
        <is>
          <t xml:space="preserve">PR </t>
        </is>
      </c>
      <c r="U2587" t="n">
        <v>4</v>
      </c>
      <c r="V2587" t="n">
        <v>4</v>
      </c>
      <c r="W2587" t="inlineStr">
        <is>
          <t>2008-02-03</t>
        </is>
      </c>
      <c r="X2587" t="inlineStr">
        <is>
          <t>2008-02-03</t>
        </is>
      </c>
      <c r="Y2587" t="inlineStr">
        <is>
          <t>2005-02-22</t>
        </is>
      </c>
      <c r="Z2587" t="inlineStr">
        <is>
          <t>2005-02-22</t>
        </is>
      </c>
      <c r="AA2587" t="n">
        <v>746</v>
      </c>
      <c r="AB2587" t="n">
        <v>556</v>
      </c>
      <c r="AC2587" t="n">
        <v>557</v>
      </c>
      <c r="AD2587" t="n">
        <v>6</v>
      </c>
      <c r="AE2587" t="n">
        <v>6</v>
      </c>
      <c r="AF2587" t="n">
        <v>35</v>
      </c>
      <c r="AG2587" t="n">
        <v>35</v>
      </c>
      <c r="AH2587" t="n">
        <v>14</v>
      </c>
      <c r="AI2587" t="n">
        <v>14</v>
      </c>
      <c r="AJ2587" t="n">
        <v>9</v>
      </c>
      <c r="AK2587" t="n">
        <v>9</v>
      </c>
      <c r="AL2587" t="n">
        <v>18</v>
      </c>
      <c r="AM2587" t="n">
        <v>18</v>
      </c>
      <c r="AN2587" t="n">
        <v>5</v>
      </c>
      <c r="AO2587" t="n">
        <v>5</v>
      </c>
      <c r="AP2587" t="n">
        <v>0</v>
      </c>
      <c r="AQ2587" t="n">
        <v>0</v>
      </c>
      <c r="AR2587" t="inlineStr">
        <is>
          <t>No</t>
        </is>
      </c>
      <c r="AS2587" t="inlineStr">
        <is>
          <t>No</t>
        </is>
      </c>
      <c r="AU2587">
        <f>HYPERLINK("https://creighton-primo.hosted.exlibrisgroup.com/primo-explore/search?tab=default_tab&amp;search_scope=EVERYTHING&amp;vid=01CRU&amp;lang=en_US&amp;offset=0&amp;query=any,contains,991004411739702656","Catalog Record")</f>
        <v/>
      </c>
      <c r="AV2587">
        <f>HYPERLINK("http://www.worldcat.org/oclc/51271757","WorldCat Record")</f>
        <v/>
      </c>
      <c r="AW2587" t="inlineStr">
        <is>
          <t>348337251:eng</t>
        </is>
      </c>
      <c r="AX2587" t="inlineStr">
        <is>
          <t>51271757</t>
        </is>
      </c>
      <c r="AY2587" t="inlineStr">
        <is>
          <t>991004411739702656</t>
        </is>
      </c>
      <c r="AZ2587" t="inlineStr">
        <is>
          <t>991004411739702656</t>
        </is>
      </c>
      <c r="BA2587" t="inlineStr">
        <is>
          <t>2259553380002656</t>
        </is>
      </c>
      <c r="BB2587" t="inlineStr">
        <is>
          <t>BOOK</t>
        </is>
      </c>
      <c r="BD2587" t="inlineStr">
        <is>
          <t>9780521004176</t>
        </is>
      </c>
      <c r="BE2587" t="inlineStr">
        <is>
          <t>32285005025548</t>
        </is>
      </c>
      <c r="BF2587" t="inlineStr">
        <is>
          <t>893253661</t>
        </is>
      </c>
    </row>
    <row r="2588">
      <c r="A2588" t="inlineStr">
        <is>
          <t>No</t>
        </is>
      </c>
      <c r="B2588" t="inlineStr">
        <is>
          <t>CURAL</t>
        </is>
      </c>
      <c r="C2588" t="inlineStr">
        <is>
          <t>SHELVES</t>
        </is>
      </c>
      <c r="D2588" t="inlineStr">
        <is>
          <t>PR5849 .D4</t>
        </is>
      </c>
      <c r="E2588" t="inlineStr">
        <is>
          <t>0                      PR 5849000D  4</t>
        </is>
      </c>
      <c r="F2588" t="inlineStr">
        <is>
          <t>Dorothy Wordsworth : a biography / by Ernest De Selincourt.</t>
        </is>
      </c>
      <c r="H2588" t="inlineStr">
        <is>
          <t>No</t>
        </is>
      </c>
      <c r="I2588" t="inlineStr">
        <is>
          <t>1</t>
        </is>
      </c>
      <c r="J2588" t="inlineStr">
        <is>
          <t>No</t>
        </is>
      </c>
      <c r="K2588" t="inlineStr">
        <is>
          <t>No</t>
        </is>
      </c>
      <c r="L2588" t="inlineStr">
        <is>
          <t>0</t>
        </is>
      </c>
      <c r="M2588" t="inlineStr">
        <is>
          <t>De Selincourt, Ernest, 1870-1943.</t>
        </is>
      </c>
      <c r="N2588" t="inlineStr">
        <is>
          <t>Oxford, The Clarendon press, 1933.</t>
        </is>
      </c>
      <c r="O2588" t="inlineStr">
        <is>
          <t>1933</t>
        </is>
      </c>
      <c r="Q2588" t="inlineStr">
        <is>
          <t>eng</t>
        </is>
      </c>
      <c r="R2588" t="inlineStr">
        <is>
          <t>enk</t>
        </is>
      </c>
      <c r="T2588" t="inlineStr">
        <is>
          <t xml:space="preserve">PR </t>
        </is>
      </c>
      <c r="U2588" t="n">
        <v>2</v>
      </c>
      <c r="V2588" t="n">
        <v>2</v>
      </c>
      <c r="W2588" t="inlineStr">
        <is>
          <t>2003-04-18</t>
        </is>
      </c>
      <c r="X2588" t="inlineStr">
        <is>
          <t>2003-04-18</t>
        </is>
      </c>
      <c r="Y2588" t="inlineStr">
        <is>
          <t>1999-01-23</t>
        </is>
      </c>
      <c r="Z2588" t="inlineStr">
        <is>
          <t>1999-01-23</t>
        </is>
      </c>
      <c r="AA2588" t="n">
        <v>745</v>
      </c>
      <c r="AB2588" t="n">
        <v>636</v>
      </c>
      <c r="AC2588" t="n">
        <v>722</v>
      </c>
      <c r="AD2588" t="n">
        <v>5</v>
      </c>
      <c r="AE2588" t="n">
        <v>5</v>
      </c>
      <c r="AF2588" t="n">
        <v>32</v>
      </c>
      <c r="AG2588" t="n">
        <v>37</v>
      </c>
      <c r="AH2588" t="n">
        <v>12</v>
      </c>
      <c r="AI2588" t="n">
        <v>14</v>
      </c>
      <c r="AJ2588" t="n">
        <v>9</v>
      </c>
      <c r="AK2588" t="n">
        <v>10</v>
      </c>
      <c r="AL2588" t="n">
        <v>14</v>
      </c>
      <c r="AM2588" t="n">
        <v>18</v>
      </c>
      <c r="AN2588" t="n">
        <v>4</v>
      </c>
      <c r="AO2588" t="n">
        <v>4</v>
      </c>
      <c r="AP2588" t="n">
        <v>0</v>
      </c>
      <c r="AQ2588" t="n">
        <v>0</v>
      </c>
      <c r="AR2588" t="inlineStr">
        <is>
          <t>No</t>
        </is>
      </c>
      <c r="AS2588" t="inlineStr">
        <is>
          <t>Yes</t>
        </is>
      </c>
      <c r="AT2588">
        <f>HYPERLINK("http://catalog.hathitrust.org/Record/001112894","HathiTrust Record")</f>
        <v/>
      </c>
      <c r="AU2588">
        <f>HYPERLINK("https://creighton-primo.hosted.exlibrisgroup.com/primo-explore/search?tab=default_tab&amp;search_scope=EVERYTHING&amp;vid=01CRU&amp;lang=en_US&amp;offset=0&amp;query=any,contains,991002491849702656","Catalog Record")</f>
        <v/>
      </c>
      <c r="AV2588">
        <f>HYPERLINK("http://www.worldcat.org/oclc/362825","WorldCat Record")</f>
        <v/>
      </c>
      <c r="AW2588" t="inlineStr">
        <is>
          <t>1103726539:eng</t>
        </is>
      </c>
      <c r="AX2588" t="inlineStr">
        <is>
          <t>362825</t>
        </is>
      </c>
      <c r="AY2588" t="inlineStr">
        <is>
          <t>991002491849702656</t>
        </is>
      </c>
      <c r="AZ2588" t="inlineStr">
        <is>
          <t>991002491849702656</t>
        </is>
      </c>
      <c r="BA2588" t="inlineStr">
        <is>
          <t>2262402560002656</t>
        </is>
      </c>
      <c r="BB2588" t="inlineStr">
        <is>
          <t>BOOK</t>
        </is>
      </c>
      <c r="BE2588" t="inlineStr">
        <is>
          <t>32285003515680</t>
        </is>
      </c>
      <c r="BF2588" t="inlineStr">
        <is>
          <t>893504448</t>
        </is>
      </c>
    </row>
    <row r="2589">
      <c r="A2589" t="inlineStr">
        <is>
          <t>No</t>
        </is>
      </c>
      <c r="B2589" t="inlineStr">
        <is>
          <t>CURAL</t>
        </is>
      </c>
      <c r="C2589" t="inlineStr">
        <is>
          <t>SHELVES</t>
        </is>
      </c>
      <c r="D2589" t="inlineStr">
        <is>
          <t>PR5849 .E5</t>
        </is>
      </c>
      <c r="E2589" t="inlineStr">
        <is>
          <t>0                      PR 5849000E  5</t>
        </is>
      </c>
      <c r="F2589" t="inlineStr">
        <is>
          <t>Rebels and conservatives; Dorothy and William Wordsworth and their circle, by Amanda M. Ellis.</t>
        </is>
      </c>
      <c r="H2589" t="inlineStr">
        <is>
          <t>No</t>
        </is>
      </c>
      <c r="I2589" t="inlineStr">
        <is>
          <t>1</t>
        </is>
      </c>
      <c r="J2589" t="inlineStr">
        <is>
          <t>No</t>
        </is>
      </c>
      <c r="K2589" t="inlineStr">
        <is>
          <t>No</t>
        </is>
      </c>
      <c r="L2589" t="inlineStr">
        <is>
          <t>0</t>
        </is>
      </c>
      <c r="M2589" t="inlineStr">
        <is>
          <t>Ellis, Amanda M. (Amanda Mae), 1898-1969.</t>
        </is>
      </c>
      <c r="N2589" t="inlineStr">
        <is>
          <t>Bloomington, Indiana University Press [1967]</t>
        </is>
      </c>
      <c r="O2589" t="inlineStr">
        <is>
          <t>1967</t>
        </is>
      </c>
      <c r="Q2589" t="inlineStr">
        <is>
          <t>eng</t>
        </is>
      </c>
      <c r="R2589" t="inlineStr">
        <is>
          <t>inu</t>
        </is>
      </c>
      <c r="T2589" t="inlineStr">
        <is>
          <t xml:space="preserve">PR </t>
        </is>
      </c>
      <c r="U2589" t="n">
        <v>2</v>
      </c>
      <c r="V2589" t="n">
        <v>2</v>
      </c>
      <c r="W2589" t="inlineStr">
        <is>
          <t>2006-04-25</t>
        </is>
      </c>
      <c r="X2589" t="inlineStr">
        <is>
          <t>2006-04-25</t>
        </is>
      </c>
      <c r="Y2589" t="inlineStr">
        <is>
          <t>1997-07-23</t>
        </is>
      </c>
      <c r="Z2589" t="inlineStr">
        <is>
          <t>1997-07-23</t>
        </is>
      </c>
      <c r="AA2589" t="n">
        <v>1025</v>
      </c>
      <c r="AB2589" t="n">
        <v>932</v>
      </c>
      <c r="AC2589" t="n">
        <v>942</v>
      </c>
      <c r="AD2589" t="n">
        <v>8</v>
      </c>
      <c r="AE2589" t="n">
        <v>8</v>
      </c>
      <c r="AF2589" t="n">
        <v>44</v>
      </c>
      <c r="AG2589" t="n">
        <v>44</v>
      </c>
      <c r="AH2589" t="n">
        <v>19</v>
      </c>
      <c r="AI2589" t="n">
        <v>19</v>
      </c>
      <c r="AJ2589" t="n">
        <v>7</v>
      </c>
      <c r="AK2589" t="n">
        <v>7</v>
      </c>
      <c r="AL2589" t="n">
        <v>21</v>
      </c>
      <c r="AM2589" t="n">
        <v>21</v>
      </c>
      <c r="AN2589" t="n">
        <v>7</v>
      </c>
      <c r="AO2589" t="n">
        <v>7</v>
      </c>
      <c r="AP2589" t="n">
        <v>0</v>
      </c>
      <c r="AQ2589" t="n">
        <v>0</v>
      </c>
      <c r="AR2589" t="inlineStr">
        <is>
          <t>No</t>
        </is>
      </c>
      <c r="AS2589" t="inlineStr">
        <is>
          <t>Yes</t>
        </is>
      </c>
      <c r="AT2589">
        <f>HYPERLINK("http://catalog.hathitrust.org/Record/001188914","HathiTrust Record")</f>
        <v/>
      </c>
      <c r="AU2589">
        <f>HYPERLINK("https://creighton-primo.hosted.exlibrisgroup.com/primo-explore/search?tab=default_tab&amp;search_scope=EVERYTHING&amp;vid=01CRU&amp;lang=en_US&amp;offset=0&amp;query=any,contains,991002155649702656","Catalog Record")</f>
        <v/>
      </c>
      <c r="AV2589">
        <f>HYPERLINK("http://www.worldcat.org/oclc/272774","WorldCat Record")</f>
        <v/>
      </c>
      <c r="AW2589" t="inlineStr">
        <is>
          <t>1403709:eng</t>
        </is>
      </c>
      <c r="AX2589" t="inlineStr">
        <is>
          <t>272774</t>
        </is>
      </c>
      <c r="AY2589" t="inlineStr">
        <is>
          <t>991002155649702656</t>
        </is>
      </c>
      <c r="AZ2589" t="inlineStr">
        <is>
          <t>991002155649702656</t>
        </is>
      </c>
      <c r="BA2589" t="inlineStr">
        <is>
          <t>2262445800002656</t>
        </is>
      </c>
      <c r="BB2589" t="inlineStr">
        <is>
          <t>BOOK</t>
        </is>
      </c>
      <c r="BE2589" t="inlineStr">
        <is>
          <t>32285002951464</t>
        </is>
      </c>
      <c r="BF2589" t="inlineStr">
        <is>
          <t>893427256</t>
        </is>
      </c>
    </row>
    <row r="2590">
      <c r="A2590" t="inlineStr">
        <is>
          <t>No</t>
        </is>
      </c>
      <c r="B2590" t="inlineStr">
        <is>
          <t>CURAL</t>
        </is>
      </c>
      <c r="C2590" t="inlineStr">
        <is>
          <t>SHELVES</t>
        </is>
      </c>
      <c r="D2590" t="inlineStr">
        <is>
          <t>PR5849 .G57 1985</t>
        </is>
      </c>
      <c r="E2590" t="inlineStr">
        <is>
          <t>0                      PR 5849000G  57          1985</t>
        </is>
      </c>
      <c r="F2590" t="inlineStr">
        <is>
          <t>Dorothy Wordsworth / Robert Gittings and Jo Manton.</t>
        </is>
      </c>
      <c r="H2590" t="inlineStr">
        <is>
          <t>No</t>
        </is>
      </c>
      <c r="I2590" t="inlineStr">
        <is>
          <t>1</t>
        </is>
      </c>
      <c r="J2590" t="inlineStr">
        <is>
          <t>No</t>
        </is>
      </c>
      <c r="K2590" t="inlineStr">
        <is>
          <t>No</t>
        </is>
      </c>
      <c r="L2590" t="inlineStr">
        <is>
          <t>0</t>
        </is>
      </c>
      <c r="M2590" t="inlineStr">
        <is>
          <t>Gittings, Robert.</t>
        </is>
      </c>
      <c r="N2590" t="inlineStr">
        <is>
          <t>Oxford : Clarendon Press, 1985.</t>
        </is>
      </c>
      <c r="O2590" t="inlineStr">
        <is>
          <t>1985</t>
        </is>
      </c>
      <c r="Q2590" t="inlineStr">
        <is>
          <t>eng</t>
        </is>
      </c>
      <c r="R2590" t="inlineStr">
        <is>
          <t>enk</t>
        </is>
      </c>
      <c r="T2590" t="inlineStr">
        <is>
          <t xml:space="preserve">PR </t>
        </is>
      </c>
      <c r="U2590" t="n">
        <v>3</v>
      </c>
      <c r="V2590" t="n">
        <v>3</v>
      </c>
      <c r="W2590" t="inlineStr">
        <is>
          <t>2006-04-25</t>
        </is>
      </c>
      <c r="X2590" t="inlineStr">
        <is>
          <t>2006-04-25</t>
        </is>
      </c>
      <c r="Y2590" t="inlineStr">
        <is>
          <t>1992-03-12</t>
        </is>
      </c>
      <c r="Z2590" t="inlineStr">
        <is>
          <t>1992-03-12</t>
        </is>
      </c>
      <c r="AA2590" t="n">
        <v>969</v>
      </c>
      <c r="AB2590" t="n">
        <v>760</v>
      </c>
      <c r="AC2590" t="n">
        <v>805</v>
      </c>
      <c r="AD2590" t="n">
        <v>7</v>
      </c>
      <c r="AE2590" t="n">
        <v>7</v>
      </c>
      <c r="AF2590" t="n">
        <v>41</v>
      </c>
      <c r="AG2590" t="n">
        <v>44</v>
      </c>
      <c r="AH2590" t="n">
        <v>18</v>
      </c>
      <c r="AI2590" t="n">
        <v>19</v>
      </c>
      <c r="AJ2590" t="n">
        <v>10</v>
      </c>
      <c r="AK2590" t="n">
        <v>10</v>
      </c>
      <c r="AL2590" t="n">
        <v>20</v>
      </c>
      <c r="AM2590" t="n">
        <v>22</v>
      </c>
      <c r="AN2590" t="n">
        <v>6</v>
      </c>
      <c r="AO2590" t="n">
        <v>6</v>
      </c>
      <c r="AP2590" t="n">
        <v>0</v>
      </c>
      <c r="AQ2590" t="n">
        <v>0</v>
      </c>
      <c r="AR2590" t="inlineStr">
        <is>
          <t>No</t>
        </is>
      </c>
      <c r="AS2590" t="inlineStr">
        <is>
          <t>Yes</t>
        </is>
      </c>
      <c r="AT2590">
        <f>HYPERLINK("http://catalog.hathitrust.org/Record/000417748","HathiTrust Record")</f>
        <v/>
      </c>
      <c r="AU2590">
        <f>HYPERLINK("https://creighton-primo.hosted.exlibrisgroup.com/primo-explore/search?tab=default_tab&amp;search_scope=EVERYTHING&amp;vid=01CRU&amp;lang=en_US&amp;offset=0&amp;query=any,contains,991000626829702656","Catalog Record")</f>
        <v/>
      </c>
      <c r="AV2590">
        <f>HYPERLINK("http://www.worldcat.org/oclc/12723399","WorldCat Record")</f>
        <v/>
      </c>
      <c r="AW2590" t="inlineStr">
        <is>
          <t>5001166:eng</t>
        </is>
      </c>
      <c r="AX2590" t="inlineStr">
        <is>
          <t>12723399</t>
        </is>
      </c>
      <c r="AY2590" t="inlineStr">
        <is>
          <t>991000626829702656</t>
        </is>
      </c>
      <c r="AZ2590" t="inlineStr">
        <is>
          <t>991000626829702656</t>
        </is>
      </c>
      <c r="BA2590" t="inlineStr">
        <is>
          <t>2257762770002656</t>
        </is>
      </c>
      <c r="BB2590" t="inlineStr">
        <is>
          <t>BOOK</t>
        </is>
      </c>
      <c r="BD2590" t="inlineStr">
        <is>
          <t>9780198185192</t>
        </is>
      </c>
      <c r="BE2590" t="inlineStr">
        <is>
          <t>32285000997956</t>
        </is>
      </c>
      <c r="BF2590" t="inlineStr">
        <is>
          <t>893589614</t>
        </is>
      </c>
    </row>
    <row r="2591">
      <c r="A2591" t="inlineStr">
        <is>
          <t>No</t>
        </is>
      </c>
      <c r="B2591" t="inlineStr">
        <is>
          <t>CURAL</t>
        </is>
      </c>
      <c r="C2591" t="inlineStr">
        <is>
          <t>SHELVES</t>
        </is>
      </c>
      <c r="D2591" t="inlineStr">
        <is>
          <t>PR585.A66 P35 1999</t>
        </is>
      </c>
      <c r="E2591" t="inlineStr">
        <is>
          <t>0                      PR 0585000A  66                 P  35          1999</t>
        </is>
      </c>
      <c r="F2591" t="inlineStr">
        <is>
          <t>Apocalypse and millennium in English romantic poetry / Morton D. Paley.</t>
        </is>
      </c>
      <c r="H2591" t="inlineStr">
        <is>
          <t>No</t>
        </is>
      </c>
      <c r="I2591" t="inlineStr">
        <is>
          <t>1</t>
        </is>
      </c>
      <c r="J2591" t="inlineStr">
        <is>
          <t>No</t>
        </is>
      </c>
      <c r="K2591" t="inlineStr">
        <is>
          <t>No</t>
        </is>
      </c>
      <c r="L2591" t="inlineStr">
        <is>
          <t>0</t>
        </is>
      </c>
      <c r="M2591" t="inlineStr">
        <is>
          <t>Paley, Morton D.</t>
        </is>
      </c>
      <c r="N2591" t="inlineStr">
        <is>
          <t>Oxford : Clarendon Press ; Oxford ; New York : Oxford University Press, 1999.</t>
        </is>
      </c>
      <c r="O2591" t="inlineStr">
        <is>
          <t>1999</t>
        </is>
      </c>
      <c r="Q2591" t="inlineStr">
        <is>
          <t>eng</t>
        </is>
      </c>
      <c r="R2591" t="inlineStr">
        <is>
          <t>enk</t>
        </is>
      </c>
      <c r="T2591" t="inlineStr">
        <is>
          <t xml:space="preserve">PR </t>
        </is>
      </c>
      <c r="U2591" t="n">
        <v>3</v>
      </c>
      <c r="V2591" t="n">
        <v>3</v>
      </c>
      <c r="W2591" t="inlineStr">
        <is>
          <t>2008-09-04</t>
        </is>
      </c>
      <c r="X2591" t="inlineStr">
        <is>
          <t>2008-09-04</t>
        </is>
      </c>
      <c r="Y2591" t="inlineStr">
        <is>
          <t>2000-07-19</t>
        </is>
      </c>
      <c r="Z2591" t="inlineStr">
        <is>
          <t>2000-07-19</t>
        </is>
      </c>
      <c r="AA2591" t="n">
        <v>393</v>
      </c>
      <c r="AB2591" t="n">
        <v>290</v>
      </c>
      <c r="AC2591" t="n">
        <v>346</v>
      </c>
      <c r="AD2591" t="n">
        <v>3</v>
      </c>
      <c r="AE2591" t="n">
        <v>3</v>
      </c>
      <c r="AF2591" t="n">
        <v>18</v>
      </c>
      <c r="AG2591" t="n">
        <v>20</v>
      </c>
      <c r="AH2591" t="n">
        <v>6</v>
      </c>
      <c r="AI2591" t="n">
        <v>6</v>
      </c>
      <c r="AJ2591" t="n">
        <v>6</v>
      </c>
      <c r="AK2591" t="n">
        <v>7</v>
      </c>
      <c r="AL2591" t="n">
        <v>9</v>
      </c>
      <c r="AM2591" t="n">
        <v>11</v>
      </c>
      <c r="AN2591" t="n">
        <v>2</v>
      </c>
      <c r="AO2591" t="n">
        <v>2</v>
      </c>
      <c r="AP2591" t="n">
        <v>0</v>
      </c>
      <c r="AQ2591" t="n">
        <v>0</v>
      </c>
      <c r="AR2591" t="inlineStr">
        <is>
          <t>No</t>
        </is>
      </c>
      <c r="AS2591" t="inlineStr">
        <is>
          <t>No</t>
        </is>
      </c>
      <c r="AU2591">
        <f>HYPERLINK("https://creighton-primo.hosted.exlibrisgroup.com/primo-explore/search?tab=default_tab&amp;search_scope=EVERYTHING&amp;vid=01CRU&amp;lang=en_US&amp;offset=0&amp;query=any,contains,991003207289702656","Catalog Record")</f>
        <v/>
      </c>
      <c r="AV2591">
        <f>HYPERLINK("http://www.worldcat.org/oclc/41211263","WorldCat Record")</f>
        <v/>
      </c>
      <c r="AW2591" t="inlineStr">
        <is>
          <t>26564899:eng</t>
        </is>
      </c>
      <c r="AX2591" t="inlineStr">
        <is>
          <t>41211263</t>
        </is>
      </c>
      <c r="AY2591" t="inlineStr">
        <is>
          <t>991003207289702656</t>
        </is>
      </c>
      <c r="AZ2591" t="inlineStr">
        <is>
          <t>991003207289702656</t>
        </is>
      </c>
      <c r="BA2591" t="inlineStr">
        <is>
          <t>2260016980002656</t>
        </is>
      </c>
      <c r="BB2591" t="inlineStr">
        <is>
          <t>BOOK</t>
        </is>
      </c>
      <c r="BD2591" t="inlineStr">
        <is>
          <t>9780198185000</t>
        </is>
      </c>
      <c r="BE2591" t="inlineStr">
        <is>
          <t>32285003740866</t>
        </is>
      </c>
      <c r="BF2591" t="inlineStr">
        <is>
          <t>893592288</t>
        </is>
      </c>
    </row>
    <row r="2592">
      <c r="A2592" t="inlineStr">
        <is>
          <t>No</t>
        </is>
      </c>
      <c r="B2592" t="inlineStr">
        <is>
          <t>CURAL</t>
        </is>
      </c>
      <c r="C2592" t="inlineStr">
        <is>
          <t>SHELVES</t>
        </is>
      </c>
      <c r="D2592" t="inlineStr">
        <is>
          <t>PR585.D36 E44 1983</t>
        </is>
      </c>
      <c r="E2592" t="inlineStr">
        <is>
          <t>0                      PR 0585000D  36                 E  44          1983</t>
        </is>
      </c>
      <c r="F2592" t="inlineStr">
        <is>
          <t>Dante and English poetry : Shelley to T.S. Eliot / Steve Ellis.</t>
        </is>
      </c>
      <c r="H2592" t="inlineStr">
        <is>
          <t>No</t>
        </is>
      </c>
      <c r="I2592" t="inlineStr">
        <is>
          <t>1</t>
        </is>
      </c>
      <c r="J2592" t="inlineStr">
        <is>
          <t>No</t>
        </is>
      </c>
      <c r="K2592" t="inlineStr">
        <is>
          <t>No</t>
        </is>
      </c>
      <c r="L2592" t="inlineStr">
        <is>
          <t>0</t>
        </is>
      </c>
      <c r="M2592" t="inlineStr">
        <is>
          <t>Ellis, Steve, 1952-</t>
        </is>
      </c>
      <c r="N2592" t="inlineStr">
        <is>
          <t>Cambridge [Cambridgeshire] ; New York : Cambridge University Press, 1983.</t>
        </is>
      </c>
      <c r="O2592" t="inlineStr">
        <is>
          <t>1983</t>
        </is>
      </c>
      <c r="Q2592" t="inlineStr">
        <is>
          <t>eng</t>
        </is>
      </c>
      <c r="R2592" t="inlineStr">
        <is>
          <t>enk</t>
        </is>
      </c>
      <c r="T2592" t="inlineStr">
        <is>
          <t xml:space="preserve">PR </t>
        </is>
      </c>
      <c r="U2592" t="n">
        <v>2</v>
      </c>
      <c r="V2592" t="n">
        <v>2</v>
      </c>
      <c r="W2592" t="inlineStr">
        <is>
          <t>1995-03-20</t>
        </is>
      </c>
      <c r="X2592" t="inlineStr">
        <is>
          <t>1995-03-20</t>
        </is>
      </c>
      <c r="Y2592" t="inlineStr">
        <is>
          <t>1991-09-09</t>
        </is>
      </c>
      <c r="Z2592" t="inlineStr">
        <is>
          <t>1991-09-09</t>
        </is>
      </c>
      <c r="AA2592" t="n">
        <v>629</v>
      </c>
      <c r="AB2592" t="n">
        <v>460</v>
      </c>
      <c r="AC2592" t="n">
        <v>470</v>
      </c>
      <c r="AD2592" t="n">
        <v>4</v>
      </c>
      <c r="AE2592" t="n">
        <v>4</v>
      </c>
      <c r="AF2592" t="n">
        <v>25</v>
      </c>
      <c r="AG2592" t="n">
        <v>26</v>
      </c>
      <c r="AH2592" t="n">
        <v>7</v>
      </c>
      <c r="AI2592" t="n">
        <v>8</v>
      </c>
      <c r="AJ2592" t="n">
        <v>7</v>
      </c>
      <c r="AK2592" t="n">
        <v>7</v>
      </c>
      <c r="AL2592" t="n">
        <v>16</v>
      </c>
      <c r="AM2592" t="n">
        <v>16</v>
      </c>
      <c r="AN2592" t="n">
        <v>3</v>
      </c>
      <c r="AO2592" t="n">
        <v>3</v>
      </c>
      <c r="AP2592" t="n">
        <v>0</v>
      </c>
      <c r="AQ2592" t="n">
        <v>0</v>
      </c>
      <c r="AR2592" t="inlineStr">
        <is>
          <t>No</t>
        </is>
      </c>
      <c r="AS2592" t="inlineStr">
        <is>
          <t>Yes</t>
        </is>
      </c>
      <c r="AT2592">
        <f>HYPERLINK("http://catalog.hathitrust.org/Record/000777844","HathiTrust Record")</f>
        <v/>
      </c>
      <c r="AU2592">
        <f>HYPERLINK("https://creighton-primo.hosted.exlibrisgroup.com/primo-explore/search?tab=default_tab&amp;search_scope=EVERYTHING&amp;vid=01CRU&amp;lang=en_US&amp;offset=0&amp;query=any,contains,991000135329702656","Catalog Record")</f>
        <v/>
      </c>
      <c r="AV2592">
        <f>HYPERLINK("http://www.worldcat.org/oclc/9132116","WorldCat Record")</f>
        <v/>
      </c>
      <c r="AW2592" t="inlineStr">
        <is>
          <t>815115723:eng</t>
        </is>
      </c>
      <c r="AX2592" t="inlineStr">
        <is>
          <t>9132116</t>
        </is>
      </c>
      <c r="AY2592" t="inlineStr">
        <is>
          <t>991000135329702656</t>
        </is>
      </c>
      <c r="AZ2592" t="inlineStr">
        <is>
          <t>991000135329702656</t>
        </is>
      </c>
      <c r="BA2592" t="inlineStr">
        <is>
          <t>2267385280002656</t>
        </is>
      </c>
      <c r="BB2592" t="inlineStr">
        <is>
          <t>BOOK</t>
        </is>
      </c>
      <c r="BD2592" t="inlineStr">
        <is>
          <t>9780521251266</t>
        </is>
      </c>
      <c r="BE2592" t="inlineStr">
        <is>
          <t>32285000738079</t>
        </is>
      </c>
      <c r="BF2592" t="inlineStr">
        <is>
          <t>893777716</t>
        </is>
      </c>
    </row>
    <row r="2593">
      <c r="A2593" t="inlineStr">
        <is>
          <t>No</t>
        </is>
      </c>
      <c r="B2593" t="inlineStr">
        <is>
          <t>CURAL</t>
        </is>
      </c>
      <c r="C2593" t="inlineStr">
        <is>
          <t>SHELVES</t>
        </is>
      </c>
      <c r="D2593" t="inlineStr">
        <is>
          <t>PR585.F74 T5 1984</t>
        </is>
      </c>
      <c r="E2593" t="inlineStr">
        <is>
          <t>0                      PR 0585000F  74                 T  5           1984</t>
        </is>
      </c>
      <c r="F2593" t="inlineStr">
        <is>
          <t>Romantic contraries : freedom versus destiny / Peter L. Thorslev, Jr.</t>
        </is>
      </c>
      <c r="H2593" t="inlineStr">
        <is>
          <t>No</t>
        </is>
      </c>
      <c r="I2593" t="inlineStr">
        <is>
          <t>1</t>
        </is>
      </c>
      <c r="J2593" t="inlineStr">
        <is>
          <t>No</t>
        </is>
      </c>
      <c r="K2593" t="inlineStr">
        <is>
          <t>No</t>
        </is>
      </c>
      <c r="L2593" t="inlineStr">
        <is>
          <t>0</t>
        </is>
      </c>
      <c r="M2593" t="inlineStr">
        <is>
          <t>Thorslev, Peter L.</t>
        </is>
      </c>
      <c r="N2593" t="inlineStr">
        <is>
          <t>New Haven : Yale University Press, c1984.</t>
        </is>
      </c>
      <c r="O2593" t="inlineStr">
        <is>
          <t>1984</t>
        </is>
      </c>
      <c r="Q2593" t="inlineStr">
        <is>
          <t>eng</t>
        </is>
      </c>
      <c r="R2593" t="inlineStr">
        <is>
          <t>ctu</t>
        </is>
      </c>
      <c r="T2593" t="inlineStr">
        <is>
          <t xml:space="preserve">PR </t>
        </is>
      </c>
      <c r="U2593" t="n">
        <v>3</v>
      </c>
      <c r="V2593" t="n">
        <v>3</v>
      </c>
      <c r="W2593" t="inlineStr">
        <is>
          <t>2004-11-30</t>
        </is>
      </c>
      <c r="X2593" t="inlineStr">
        <is>
          <t>2004-11-30</t>
        </is>
      </c>
      <c r="Y2593" t="inlineStr">
        <is>
          <t>2002-12-11</t>
        </is>
      </c>
      <c r="Z2593" t="inlineStr">
        <is>
          <t>2002-12-11</t>
        </is>
      </c>
      <c r="AA2593" t="n">
        <v>511</v>
      </c>
      <c r="AB2593" t="n">
        <v>410</v>
      </c>
      <c r="AC2593" t="n">
        <v>413</v>
      </c>
      <c r="AD2593" t="n">
        <v>3</v>
      </c>
      <c r="AE2593" t="n">
        <v>3</v>
      </c>
      <c r="AF2593" t="n">
        <v>27</v>
      </c>
      <c r="AG2593" t="n">
        <v>27</v>
      </c>
      <c r="AH2593" t="n">
        <v>11</v>
      </c>
      <c r="AI2593" t="n">
        <v>11</v>
      </c>
      <c r="AJ2593" t="n">
        <v>8</v>
      </c>
      <c r="AK2593" t="n">
        <v>8</v>
      </c>
      <c r="AL2593" t="n">
        <v>14</v>
      </c>
      <c r="AM2593" t="n">
        <v>14</v>
      </c>
      <c r="AN2593" t="n">
        <v>2</v>
      </c>
      <c r="AO2593" t="n">
        <v>2</v>
      </c>
      <c r="AP2593" t="n">
        <v>0</v>
      </c>
      <c r="AQ2593" t="n">
        <v>0</v>
      </c>
      <c r="AR2593" t="inlineStr">
        <is>
          <t>No</t>
        </is>
      </c>
      <c r="AS2593" t="inlineStr">
        <is>
          <t>Yes</t>
        </is>
      </c>
      <c r="AT2593">
        <f>HYPERLINK("http://catalog.hathitrust.org/Record/000321421","HathiTrust Record")</f>
        <v/>
      </c>
      <c r="AU2593">
        <f>HYPERLINK("https://creighton-primo.hosted.exlibrisgroup.com/primo-explore/search?tab=default_tab&amp;search_scope=EVERYTHING&amp;vid=01CRU&amp;lang=en_US&amp;offset=0&amp;query=any,contains,991003959559702656","Catalog Record")</f>
        <v/>
      </c>
      <c r="AV2593">
        <f>HYPERLINK("http://www.worldcat.org/oclc/9827150","WorldCat Record")</f>
        <v/>
      </c>
      <c r="AW2593" t="inlineStr">
        <is>
          <t>836627122:eng</t>
        </is>
      </c>
      <c r="AX2593" t="inlineStr">
        <is>
          <t>9827150</t>
        </is>
      </c>
      <c r="AY2593" t="inlineStr">
        <is>
          <t>991003959559702656</t>
        </is>
      </c>
      <c r="AZ2593" t="inlineStr">
        <is>
          <t>991003959559702656</t>
        </is>
      </c>
      <c r="BA2593" t="inlineStr">
        <is>
          <t>2268966640002656</t>
        </is>
      </c>
      <c r="BB2593" t="inlineStr">
        <is>
          <t>BOOK</t>
        </is>
      </c>
      <c r="BD2593" t="inlineStr">
        <is>
          <t>9780300030471</t>
        </is>
      </c>
      <c r="BE2593" t="inlineStr">
        <is>
          <t>32285004690359</t>
        </is>
      </c>
      <c r="BF2593" t="inlineStr">
        <is>
          <t>893794315</t>
        </is>
      </c>
    </row>
    <row r="2594">
      <c r="A2594" t="inlineStr">
        <is>
          <t>No</t>
        </is>
      </c>
      <c r="B2594" t="inlineStr">
        <is>
          <t>CURAL</t>
        </is>
      </c>
      <c r="C2594" t="inlineStr">
        <is>
          <t>SHELVES</t>
        </is>
      </c>
      <c r="D2594" t="inlineStr">
        <is>
          <t>PR585.L3 F6 1971</t>
        </is>
      </c>
      <c r="E2594" t="inlineStr">
        <is>
          <t>0                      PR 0585000L  3                  F  6           1971</t>
        </is>
      </c>
      <c r="F2594" t="inlineStr">
        <is>
          <t>The romantic assertion : a study in the language of nineteenth century poetry / by R. A. Foakes.</t>
        </is>
      </c>
      <c r="H2594" t="inlineStr">
        <is>
          <t>No</t>
        </is>
      </c>
      <c r="I2594" t="inlineStr">
        <is>
          <t>1</t>
        </is>
      </c>
      <c r="J2594" t="inlineStr">
        <is>
          <t>No</t>
        </is>
      </c>
      <c r="K2594" t="inlineStr">
        <is>
          <t>No</t>
        </is>
      </c>
      <c r="L2594" t="inlineStr">
        <is>
          <t>0</t>
        </is>
      </c>
      <c r="M2594" t="inlineStr">
        <is>
          <t>Foakes, R. A.</t>
        </is>
      </c>
      <c r="N2594" t="inlineStr">
        <is>
          <t>[Folcroft, Pa.] : Folcroft Library Editions, 1971.</t>
        </is>
      </c>
      <c r="O2594" t="inlineStr">
        <is>
          <t>1971</t>
        </is>
      </c>
      <c r="Q2594" t="inlineStr">
        <is>
          <t>eng</t>
        </is>
      </c>
      <c r="R2594" t="inlineStr">
        <is>
          <t>pau</t>
        </is>
      </c>
      <c r="T2594" t="inlineStr">
        <is>
          <t xml:space="preserve">PR </t>
        </is>
      </c>
      <c r="U2594" t="n">
        <v>1</v>
      </c>
      <c r="V2594" t="n">
        <v>1</v>
      </c>
      <c r="W2594" t="inlineStr">
        <is>
          <t>2000-11-01</t>
        </is>
      </c>
      <c r="X2594" t="inlineStr">
        <is>
          <t>2000-11-01</t>
        </is>
      </c>
      <c r="Y2594" t="inlineStr">
        <is>
          <t>1997-09-04</t>
        </is>
      </c>
      <c r="Z2594" t="inlineStr">
        <is>
          <t>1997-09-04</t>
        </is>
      </c>
      <c r="AA2594" t="n">
        <v>10</v>
      </c>
      <c r="AB2594" t="n">
        <v>9</v>
      </c>
      <c r="AC2594" t="n">
        <v>660</v>
      </c>
      <c r="AD2594" t="n">
        <v>1</v>
      </c>
      <c r="AE2594" t="n">
        <v>4</v>
      </c>
      <c r="AF2594" t="n">
        <v>0</v>
      </c>
      <c r="AG2594" t="n">
        <v>29</v>
      </c>
      <c r="AH2594" t="n">
        <v>0</v>
      </c>
      <c r="AI2594" t="n">
        <v>11</v>
      </c>
      <c r="AJ2594" t="n">
        <v>0</v>
      </c>
      <c r="AK2594" t="n">
        <v>6</v>
      </c>
      <c r="AL2594" t="n">
        <v>0</v>
      </c>
      <c r="AM2594" t="n">
        <v>16</v>
      </c>
      <c r="AN2594" t="n">
        <v>0</v>
      </c>
      <c r="AO2594" t="n">
        <v>3</v>
      </c>
      <c r="AP2594" t="n">
        <v>0</v>
      </c>
      <c r="AQ2594" t="n">
        <v>0</v>
      </c>
      <c r="AR2594" t="inlineStr">
        <is>
          <t>No</t>
        </is>
      </c>
      <c r="AS2594" t="inlineStr">
        <is>
          <t>No</t>
        </is>
      </c>
      <c r="AU2594">
        <f>HYPERLINK("https://creighton-primo.hosted.exlibrisgroup.com/primo-explore/search?tab=default_tab&amp;search_scope=EVERYTHING&amp;vid=01CRU&amp;lang=en_US&amp;offset=0&amp;query=any,contains,991005243559702656","Catalog Record")</f>
        <v/>
      </c>
      <c r="AV2594">
        <f>HYPERLINK("http://www.worldcat.org/oclc/8436605","WorldCat Record")</f>
        <v/>
      </c>
      <c r="AW2594" t="inlineStr">
        <is>
          <t>1321983:eng</t>
        </is>
      </c>
      <c r="AX2594" t="inlineStr">
        <is>
          <t>8436605</t>
        </is>
      </c>
      <c r="AY2594" t="inlineStr">
        <is>
          <t>991005243559702656</t>
        </is>
      </c>
      <c r="AZ2594" t="inlineStr">
        <is>
          <t>991005243559702656</t>
        </is>
      </c>
      <c r="BA2594" t="inlineStr">
        <is>
          <t>2257748160002656</t>
        </is>
      </c>
      <c r="BB2594" t="inlineStr">
        <is>
          <t>BOOK</t>
        </is>
      </c>
      <c r="BE2594" t="inlineStr">
        <is>
          <t>32285003154548</t>
        </is>
      </c>
      <c r="BF2594" t="inlineStr">
        <is>
          <t>893507833</t>
        </is>
      </c>
    </row>
    <row r="2595">
      <c r="A2595" t="inlineStr">
        <is>
          <t>No</t>
        </is>
      </c>
      <c r="B2595" t="inlineStr">
        <is>
          <t>CURAL</t>
        </is>
      </c>
      <c r="C2595" t="inlineStr">
        <is>
          <t>SHELVES</t>
        </is>
      </c>
      <c r="D2595" t="inlineStr">
        <is>
          <t>PR585.T78 M34 1989</t>
        </is>
      </c>
      <c r="E2595" t="inlineStr">
        <is>
          <t>0                      PR 0585000T  78                 M  34          1989</t>
        </is>
      </c>
      <c r="F2595" t="inlineStr">
        <is>
          <t>Towards a literature of knowledge / Jerome J. McGann.</t>
        </is>
      </c>
      <c r="H2595" t="inlineStr">
        <is>
          <t>No</t>
        </is>
      </c>
      <c r="I2595" t="inlineStr">
        <is>
          <t>1</t>
        </is>
      </c>
      <c r="J2595" t="inlineStr">
        <is>
          <t>No</t>
        </is>
      </c>
      <c r="K2595" t="inlineStr">
        <is>
          <t>No</t>
        </is>
      </c>
      <c r="L2595" t="inlineStr">
        <is>
          <t>0</t>
        </is>
      </c>
      <c r="M2595" t="inlineStr">
        <is>
          <t>McGann, Jerome J.</t>
        </is>
      </c>
      <c r="N2595" t="inlineStr">
        <is>
          <t>Chicago : University of Chicago Press, 1989.</t>
        </is>
      </c>
      <c r="O2595" t="inlineStr">
        <is>
          <t>1989</t>
        </is>
      </c>
      <c r="Q2595" t="inlineStr">
        <is>
          <t>eng</t>
        </is>
      </c>
      <c r="R2595" t="inlineStr">
        <is>
          <t>ilu</t>
        </is>
      </c>
      <c r="T2595" t="inlineStr">
        <is>
          <t xml:space="preserve">PR </t>
        </is>
      </c>
      <c r="U2595" t="n">
        <v>1</v>
      </c>
      <c r="V2595" t="n">
        <v>1</v>
      </c>
      <c r="W2595" t="inlineStr">
        <is>
          <t>2005-04-26</t>
        </is>
      </c>
      <c r="X2595" t="inlineStr">
        <is>
          <t>2005-04-26</t>
        </is>
      </c>
      <c r="Y2595" t="inlineStr">
        <is>
          <t>2005-04-26</t>
        </is>
      </c>
      <c r="Z2595" t="inlineStr">
        <is>
          <t>2005-04-26</t>
        </is>
      </c>
      <c r="AA2595" t="n">
        <v>340</v>
      </c>
      <c r="AB2595" t="n">
        <v>292</v>
      </c>
      <c r="AC2595" t="n">
        <v>335</v>
      </c>
      <c r="AD2595" t="n">
        <v>3</v>
      </c>
      <c r="AE2595" t="n">
        <v>4</v>
      </c>
      <c r="AF2595" t="n">
        <v>14</v>
      </c>
      <c r="AG2595" t="n">
        <v>18</v>
      </c>
      <c r="AH2595" t="n">
        <v>2</v>
      </c>
      <c r="AI2595" t="n">
        <v>2</v>
      </c>
      <c r="AJ2595" t="n">
        <v>3</v>
      </c>
      <c r="AK2595" t="n">
        <v>5</v>
      </c>
      <c r="AL2595" t="n">
        <v>9</v>
      </c>
      <c r="AM2595" t="n">
        <v>12</v>
      </c>
      <c r="AN2595" t="n">
        <v>2</v>
      </c>
      <c r="AO2595" t="n">
        <v>3</v>
      </c>
      <c r="AP2595" t="n">
        <v>0</v>
      </c>
      <c r="AQ2595" t="n">
        <v>0</v>
      </c>
      <c r="AR2595" t="inlineStr">
        <is>
          <t>No</t>
        </is>
      </c>
      <c r="AS2595" t="inlineStr">
        <is>
          <t>No</t>
        </is>
      </c>
      <c r="AU2595">
        <f>HYPERLINK("https://creighton-primo.hosted.exlibrisgroup.com/primo-explore/search?tab=default_tab&amp;search_scope=EVERYTHING&amp;vid=01CRU&amp;lang=en_US&amp;offset=0&amp;query=any,contains,991004543169702656","Catalog Record")</f>
        <v/>
      </c>
      <c r="AV2595">
        <f>HYPERLINK("http://www.worldcat.org/oclc/18462988","WorldCat Record")</f>
        <v/>
      </c>
      <c r="AW2595" t="inlineStr">
        <is>
          <t>17459266:eng</t>
        </is>
      </c>
      <c r="AX2595" t="inlineStr">
        <is>
          <t>18462988</t>
        </is>
      </c>
      <c r="AY2595" t="inlineStr">
        <is>
          <t>991004543169702656</t>
        </is>
      </c>
      <c r="AZ2595" t="inlineStr">
        <is>
          <t>991004543169702656</t>
        </is>
      </c>
      <c r="BA2595" t="inlineStr">
        <is>
          <t>2257623770002656</t>
        </is>
      </c>
      <c r="BB2595" t="inlineStr">
        <is>
          <t>BOOK</t>
        </is>
      </c>
      <c r="BD2595" t="inlineStr">
        <is>
          <t>9780226558394</t>
        </is>
      </c>
      <c r="BE2595" t="inlineStr">
        <is>
          <t>32285005033369</t>
        </is>
      </c>
      <c r="BF2595" t="inlineStr">
        <is>
          <t>893526232</t>
        </is>
      </c>
    </row>
    <row r="2596">
      <c r="A2596" t="inlineStr">
        <is>
          <t>No</t>
        </is>
      </c>
      <c r="B2596" t="inlineStr">
        <is>
          <t>CURAL</t>
        </is>
      </c>
      <c r="C2596" t="inlineStr">
        <is>
          <t>SHELVES</t>
        </is>
      </c>
      <c r="D2596" t="inlineStr">
        <is>
          <t>PR585.W58 H52 1984</t>
        </is>
      </c>
      <c r="E2596" t="inlineStr">
        <is>
          <t>0                      PR 0585000W  58                 H  52          1984</t>
        </is>
      </c>
      <c r="F2596" t="inlineStr">
        <is>
          <t>Representations of women : nineteenth-century British women's poetry / Kathleen Hickok.</t>
        </is>
      </c>
      <c r="H2596" t="inlineStr">
        <is>
          <t>No</t>
        </is>
      </c>
      <c r="I2596" t="inlineStr">
        <is>
          <t>1</t>
        </is>
      </c>
      <c r="J2596" t="inlineStr">
        <is>
          <t>No</t>
        </is>
      </c>
      <c r="K2596" t="inlineStr">
        <is>
          <t>No</t>
        </is>
      </c>
      <c r="L2596" t="inlineStr">
        <is>
          <t>0</t>
        </is>
      </c>
      <c r="M2596" t="inlineStr">
        <is>
          <t>Hickok, Kathleen.</t>
        </is>
      </c>
      <c r="N2596" t="inlineStr">
        <is>
          <t>Westport, Conn. : Greenwood Press, 1984.</t>
        </is>
      </c>
      <c r="O2596" t="inlineStr">
        <is>
          <t>1984</t>
        </is>
      </c>
      <c r="Q2596" t="inlineStr">
        <is>
          <t>eng</t>
        </is>
      </c>
      <c r="R2596" t="inlineStr">
        <is>
          <t>ctu</t>
        </is>
      </c>
      <c r="S2596" t="inlineStr">
        <is>
          <t>Contributions in women's studies ; no. 49</t>
        </is>
      </c>
      <c r="T2596" t="inlineStr">
        <is>
          <t xml:space="preserve">PR </t>
        </is>
      </c>
      <c r="U2596" t="n">
        <v>6</v>
      </c>
      <c r="V2596" t="n">
        <v>6</v>
      </c>
      <c r="W2596" t="inlineStr">
        <is>
          <t>2003-04-24</t>
        </is>
      </c>
      <c r="X2596" t="inlineStr">
        <is>
          <t>2003-04-24</t>
        </is>
      </c>
      <c r="Y2596" t="inlineStr">
        <is>
          <t>1991-09-09</t>
        </is>
      </c>
      <c r="Z2596" t="inlineStr">
        <is>
          <t>1991-09-09</t>
        </is>
      </c>
      <c r="AA2596" t="n">
        <v>506</v>
      </c>
      <c r="AB2596" t="n">
        <v>419</v>
      </c>
      <c r="AC2596" t="n">
        <v>420</v>
      </c>
      <c r="AD2596" t="n">
        <v>4</v>
      </c>
      <c r="AE2596" t="n">
        <v>4</v>
      </c>
      <c r="AF2596" t="n">
        <v>21</v>
      </c>
      <c r="AG2596" t="n">
        <v>21</v>
      </c>
      <c r="AH2596" t="n">
        <v>7</v>
      </c>
      <c r="AI2596" t="n">
        <v>7</v>
      </c>
      <c r="AJ2596" t="n">
        <v>6</v>
      </c>
      <c r="AK2596" t="n">
        <v>6</v>
      </c>
      <c r="AL2596" t="n">
        <v>12</v>
      </c>
      <c r="AM2596" t="n">
        <v>12</v>
      </c>
      <c r="AN2596" t="n">
        <v>3</v>
      </c>
      <c r="AO2596" t="n">
        <v>3</v>
      </c>
      <c r="AP2596" t="n">
        <v>0</v>
      </c>
      <c r="AQ2596" t="n">
        <v>0</v>
      </c>
      <c r="AR2596" t="inlineStr">
        <is>
          <t>No</t>
        </is>
      </c>
      <c r="AS2596" t="inlineStr">
        <is>
          <t>Yes</t>
        </is>
      </c>
      <c r="AT2596">
        <f>HYPERLINK("http://catalog.hathitrust.org/Record/000362162","HathiTrust Record")</f>
        <v/>
      </c>
      <c r="AU2596">
        <f>HYPERLINK("https://creighton-primo.hosted.exlibrisgroup.com/primo-explore/search?tab=default_tab&amp;search_scope=EVERYTHING&amp;vid=01CRU&amp;lang=en_US&amp;offset=0&amp;query=any,contains,991000270929702656","Catalog Record")</f>
        <v/>
      </c>
      <c r="AV2596">
        <f>HYPERLINK("http://www.worldcat.org/oclc/9854490","WorldCat Record")</f>
        <v/>
      </c>
      <c r="AW2596" t="inlineStr">
        <is>
          <t>375445828:eng</t>
        </is>
      </c>
      <c r="AX2596" t="inlineStr">
        <is>
          <t>9854490</t>
        </is>
      </c>
      <c r="AY2596" t="inlineStr">
        <is>
          <t>991000270929702656</t>
        </is>
      </c>
      <c r="AZ2596" t="inlineStr">
        <is>
          <t>991000270929702656</t>
        </is>
      </c>
      <c r="BA2596" t="inlineStr">
        <is>
          <t>2261354670002656</t>
        </is>
      </c>
      <c r="BB2596" t="inlineStr">
        <is>
          <t>BOOK</t>
        </is>
      </c>
      <c r="BD2596" t="inlineStr">
        <is>
          <t>9780313238376</t>
        </is>
      </c>
      <c r="BE2596" t="inlineStr">
        <is>
          <t>32285000738095</t>
        </is>
      </c>
      <c r="BF2596" t="inlineStr">
        <is>
          <t>893802645</t>
        </is>
      </c>
    </row>
    <row r="2597">
      <c r="A2597" t="inlineStr">
        <is>
          <t>No</t>
        </is>
      </c>
      <c r="B2597" t="inlineStr">
        <is>
          <t>CURAL</t>
        </is>
      </c>
      <c r="C2597" t="inlineStr">
        <is>
          <t>SHELVES</t>
        </is>
      </c>
      <c r="D2597" t="inlineStr">
        <is>
          <t>PR5853 .J67 1990</t>
        </is>
      </c>
      <c r="E2597" t="inlineStr">
        <is>
          <t>0                      PR 5853000J  67          1990</t>
        </is>
      </c>
      <c r="F2597" t="inlineStr">
        <is>
          <t>Wordsworth-the 1807 poems : a casebook / edited by Alun R. Jones.</t>
        </is>
      </c>
      <c r="H2597" t="inlineStr">
        <is>
          <t>No</t>
        </is>
      </c>
      <c r="I2597" t="inlineStr">
        <is>
          <t>1</t>
        </is>
      </c>
      <c r="J2597" t="inlineStr">
        <is>
          <t>No</t>
        </is>
      </c>
      <c r="K2597" t="inlineStr">
        <is>
          <t>No</t>
        </is>
      </c>
      <c r="L2597" t="inlineStr">
        <is>
          <t>0</t>
        </is>
      </c>
      <c r="N2597" t="inlineStr">
        <is>
          <t>Basingstoke : Macmillan, 1990.</t>
        </is>
      </c>
      <c r="O2597" t="inlineStr">
        <is>
          <t>1990</t>
        </is>
      </c>
      <c r="Q2597" t="inlineStr">
        <is>
          <t>eng</t>
        </is>
      </c>
      <c r="R2597" t="inlineStr">
        <is>
          <t>enk</t>
        </is>
      </c>
      <c r="S2597" t="inlineStr">
        <is>
          <t>Casebook series</t>
        </is>
      </c>
      <c r="T2597" t="inlineStr">
        <is>
          <t xml:space="preserve">PR </t>
        </is>
      </c>
      <c r="U2597" t="n">
        <v>8</v>
      </c>
      <c r="V2597" t="n">
        <v>8</v>
      </c>
      <c r="W2597" t="inlineStr">
        <is>
          <t>2007-02-14</t>
        </is>
      </c>
      <c r="X2597" t="inlineStr">
        <is>
          <t>2007-02-14</t>
        </is>
      </c>
      <c r="Y2597" t="inlineStr">
        <is>
          <t>1991-04-16</t>
        </is>
      </c>
      <c r="Z2597" t="inlineStr">
        <is>
          <t>1991-04-16</t>
        </is>
      </c>
      <c r="AA2597" t="n">
        <v>138</v>
      </c>
      <c r="AB2597" t="n">
        <v>52</v>
      </c>
      <c r="AC2597" t="n">
        <v>52</v>
      </c>
      <c r="AD2597" t="n">
        <v>2</v>
      </c>
      <c r="AE2597" t="n">
        <v>2</v>
      </c>
      <c r="AF2597" t="n">
        <v>3</v>
      </c>
      <c r="AG2597" t="n">
        <v>3</v>
      </c>
      <c r="AH2597" t="n">
        <v>0</v>
      </c>
      <c r="AI2597" t="n">
        <v>0</v>
      </c>
      <c r="AJ2597" t="n">
        <v>1</v>
      </c>
      <c r="AK2597" t="n">
        <v>1</v>
      </c>
      <c r="AL2597" t="n">
        <v>2</v>
      </c>
      <c r="AM2597" t="n">
        <v>2</v>
      </c>
      <c r="AN2597" t="n">
        <v>1</v>
      </c>
      <c r="AO2597" t="n">
        <v>1</v>
      </c>
      <c r="AP2597" t="n">
        <v>0</v>
      </c>
      <c r="AQ2597" t="n">
        <v>0</v>
      </c>
      <c r="AR2597" t="inlineStr">
        <is>
          <t>No</t>
        </is>
      </c>
      <c r="AS2597" t="inlineStr">
        <is>
          <t>No</t>
        </is>
      </c>
      <c r="AU2597">
        <f>HYPERLINK("https://creighton-primo.hosted.exlibrisgroup.com/primo-explore/search?tab=default_tab&amp;search_scope=EVERYTHING&amp;vid=01CRU&amp;lang=en_US&amp;offset=0&amp;query=any,contains,991001574419702656","Catalog Record")</f>
        <v/>
      </c>
      <c r="AV2597">
        <f>HYPERLINK("http://www.worldcat.org/oclc/20420380","WorldCat Record")</f>
        <v/>
      </c>
      <c r="AW2597" t="inlineStr">
        <is>
          <t>10792631230:eng</t>
        </is>
      </c>
      <c r="AX2597" t="inlineStr">
        <is>
          <t>20420380</t>
        </is>
      </c>
      <c r="AY2597" t="inlineStr">
        <is>
          <t>991001574419702656</t>
        </is>
      </c>
      <c r="AZ2597" t="inlineStr">
        <is>
          <t>991001574419702656</t>
        </is>
      </c>
      <c r="BA2597" t="inlineStr">
        <is>
          <t>2268000190002656</t>
        </is>
      </c>
      <c r="BB2597" t="inlineStr">
        <is>
          <t>BOOK</t>
        </is>
      </c>
      <c r="BD2597" t="inlineStr">
        <is>
          <t>9780333423882</t>
        </is>
      </c>
      <c r="BE2597" t="inlineStr">
        <is>
          <t>32285000567932</t>
        </is>
      </c>
      <c r="BF2597" t="inlineStr">
        <is>
          <t>893244217</t>
        </is>
      </c>
    </row>
    <row r="2598">
      <c r="A2598" t="inlineStr">
        <is>
          <t>No</t>
        </is>
      </c>
      <c r="B2598" t="inlineStr">
        <is>
          <t>CURAL</t>
        </is>
      </c>
      <c r="C2598" t="inlineStr">
        <is>
          <t>SHELVES</t>
        </is>
      </c>
      <c r="D2598" t="inlineStr">
        <is>
          <t>PR5864 .B78</t>
        </is>
      </c>
      <c r="E2598" t="inlineStr">
        <is>
          <t>0                      PR 5864000B  78</t>
        </is>
      </c>
      <c r="F2598" t="inlineStr">
        <is>
          <t>The one Wordsworth / by Mary E. Burton.</t>
        </is>
      </c>
      <c r="H2598" t="inlineStr">
        <is>
          <t>No</t>
        </is>
      </c>
      <c r="I2598" t="inlineStr">
        <is>
          <t>1</t>
        </is>
      </c>
      <c r="J2598" t="inlineStr">
        <is>
          <t>No</t>
        </is>
      </c>
      <c r="K2598" t="inlineStr">
        <is>
          <t>No</t>
        </is>
      </c>
      <c r="L2598" t="inlineStr">
        <is>
          <t>0</t>
        </is>
      </c>
      <c r="M2598" t="inlineStr">
        <is>
          <t>Burton, Mary E. (Mary Elizabeth), 1900-1997.</t>
        </is>
      </c>
      <c r="N2598" t="inlineStr">
        <is>
          <t>Chapel Hill : The University of North Carolina Press, [1942]</t>
        </is>
      </c>
      <c r="O2598" t="inlineStr">
        <is>
          <t>1942</t>
        </is>
      </c>
      <c r="Q2598" t="inlineStr">
        <is>
          <t>eng</t>
        </is>
      </c>
      <c r="R2598" t="inlineStr">
        <is>
          <t>ncu</t>
        </is>
      </c>
      <c r="T2598" t="inlineStr">
        <is>
          <t xml:space="preserve">PR </t>
        </is>
      </c>
      <c r="U2598" t="n">
        <v>4</v>
      </c>
      <c r="V2598" t="n">
        <v>4</v>
      </c>
      <c r="W2598" t="inlineStr">
        <is>
          <t>2005-02-21</t>
        </is>
      </c>
      <c r="X2598" t="inlineStr">
        <is>
          <t>2005-02-21</t>
        </is>
      </c>
      <c r="Y2598" t="inlineStr">
        <is>
          <t>1995-03-07</t>
        </is>
      </c>
      <c r="Z2598" t="inlineStr">
        <is>
          <t>1995-03-07</t>
        </is>
      </c>
      <c r="AA2598" t="n">
        <v>331</v>
      </c>
      <c r="AB2598" t="n">
        <v>298</v>
      </c>
      <c r="AC2598" t="n">
        <v>516</v>
      </c>
      <c r="AD2598" t="n">
        <v>2</v>
      </c>
      <c r="AE2598" t="n">
        <v>4</v>
      </c>
      <c r="AF2598" t="n">
        <v>22</v>
      </c>
      <c r="AG2598" t="n">
        <v>32</v>
      </c>
      <c r="AH2598" t="n">
        <v>10</v>
      </c>
      <c r="AI2598" t="n">
        <v>15</v>
      </c>
      <c r="AJ2598" t="n">
        <v>4</v>
      </c>
      <c r="AK2598" t="n">
        <v>8</v>
      </c>
      <c r="AL2598" t="n">
        <v>12</v>
      </c>
      <c r="AM2598" t="n">
        <v>16</v>
      </c>
      <c r="AN2598" t="n">
        <v>1</v>
      </c>
      <c r="AO2598" t="n">
        <v>3</v>
      </c>
      <c r="AP2598" t="n">
        <v>0</v>
      </c>
      <c r="AQ2598" t="n">
        <v>0</v>
      </c>
      <c r="AR2598" t="inlineStr">
        <is>
          <t>No</t>
        </is>
      </c>
      <c r="AS2598" t="inlineStr">
        <is>
          <t>Yes</t>
        </is>
      </c>
      <c r="AT2598">
        <f>HYPERLINK("http://catalog.hathitrust.org/Record/001188934","HathiTrust Record")</f>
        <v/>
      </c>
      <c r="AU2598">
        <f>HYPERLINK("https://creighton-primo.hosted.exlibrisgroup.com/primo-explore/search?tab=default_tab&amp;search_scope=EVERYTHING&amp;vid=01CRU&amp;lang=en_US&amp;offset=0&amp;query=any,contains,991002205969702656","Catalog Record")</f>
        <v/>
      </c>
      <c r="AV2598">
        <f>HYPERLINK("http://www.worldcat.org/oclc/285773","WorldCat Record")</f>
        <v/>
      </c>
      <c r="AW2598" t="inlineStr">
        <is>
          <t>475219312:eng</t>
        </is>
      </c>
      <c r="AX2598" t="inlineStr">
        <is>
          <t>285773</t>
        </is>
      </c>
      <c r="AY2598" t="inlineStr">
        <is>
          <t>991002205969702656</t>
        </is>
      </c>
      <c r="AZ2598" t="inlineStr">
        <is>
          <t>991002205969702656</t>
        </is>
      </c>
      <c r="BA2598" t="inlineStr">
        <is>
          <t>2263222360002656</t>
        </is>
      </c>
      <c r="BB2598" t="inlineStr">
        <is>
          <t>BOOK</t>
        </is>
      </c>
      <c r="BE2598" t="inlineStr">
        <is>
          <t>32285002011582</t>
        </is>
      </c>
      <c r="BF2598" t="inlineStr">
        <is>
          <t>893773342</t>
        </is>
      </c>
    </row>
    <row r="2599">
      <c r="A2599" t="inlineStr">
        <is>
          <t>No</t>
        </is>
      </c>
      <c r="B2599" t="inlineStr">
        <is>
          <t>CURAL</t>
        </is>
      </c>
      <c r="C2599" t="inlineStr">
        <is>
          <t>SHELVES</t>
        </is>
      </c>
      <c r="D2599" t="inlineStr">
        <is>
          <t>PR5864 .C36 1985</t>
        </is>
      </c>
      <c r="E2599" t="inlineStr">
        <is>
          <t>0                      PR 5864000C  36          1985</t>
        </is>
      </c>
      <c r="F2599" t="inlineStr">
        <is>
          <t>Action, organism, and philosophy in Wordsworth and Whitehead / Alexander P. Cappon.</t>
        </is>
      </c>
      <c r="H2599" t="inlineStr">
        <is>
          <t>No</t>
        </is>
      </c>
      <c r="I2599" t="inlineStr">
        <is>
          <t>1</t>
        </is>
      </c>
      <c r="J2599" t="inlineStr">
        <is>
          <t>No</t>
        </is>
      </c>
      <c r="K2599" t="inlineStr">
        <is>
          <t>No</t>
        </is>
      </c>
      <c r="L2599" t="inlineStr">
        <is>
          <t>0</t>
        </is>
      </c>
      <c r="M2599" t="inlineStr">
        <is>
          <t>Cappon, Alexander P. (Alexander Patterson), 1900-1997.</t>
        </is>
      </c>
      <c r="N2599" t="inlineStr">
        <is>
          <t>New York : Philosophical Library, c1985.</t>
        </is>
      </c>
      <c r="O2599" t="inlineStr">
        <is>
          <t>1985</t>
        </is>
      </c>
      <c r="Q2599" t="inlineStr">
        <is>
          <t>eng</t>
        </is>
      </c>
      <c r="R2599" t="inlineStr">
        <is>
          <t>nyu</t>
        </is>
      </c>
      <c r="T2599" t="inlineStr">
        <is>
          <t xml:space="preserve">PR </t>
        </is>
      </c>
      <c r="U2599" t="n">
        <v>2</v>
      </c>
      <c r="V2599" t="n">
        <v>2</v>
      </c>
      <c r="W2599" t="inlineStr">
        <is>
          <t>1994-09-07</t>
        </is>
      </c>
      <c r="X2599" t="inlineStr">
        <is>
          <t>1994-09-07</t>
        </is>
      </c>
      <c r="Y2599" t="inlineStr">
        <is>
          <t>1992-03-12</t>
        </is>
      </c>
      <c r="Z2599" t="inlineStr">
        <is>
          <t>1992-03-12</t>
        </is>
      </c>
      <c r="AA2599" t="n">
        <v>156</v>
      </c>
      <c r="AB2599" t="n">
        <v>131</v>
      </c>
      <c r="AC2599" t="n">
        <v>133</v>
      </c>
      <c r="AD2599" t="n">
        <v>1</v>
      </c>
      <c r="AE2599" t="n">
        <v>1</v>
      </c>
      <c r="AF2599" t="n">
        <v>10</v>
      </c>
      <c r="AG2599" t="n">
        <v>10</v>
      </c>
      <c r="AH2599" t="n">
        <v>4</v>
      </c>
      <c r="AI2599" t="n">
        <v>4</v>
      </c>
      <c r="AJ2599" t="n">
        <v>2</v>
      </c>
      <c r="AK2599" t="n">
        <v>2</v>
      </c>
      <c r="AL2599" t="n">
        <v>7</v>
      </c>
      <c r="AM2599" t="n">
        <v>7</v>
      </c>
      <c r="AN2599" t="n">
        <v>0</v>
      </c>
      <c r="AO2599" t="n">
        <v>0</v>
      </c>
      <c r="AP2599" t="n">
        <v>0</v>
      </c>
      <c r="AQ2599" t="n">
        <v>0</v>
      </c>
      <c r="AR2599" t="inlineStr">
        <is>
          <t>No</t>
        </is>
      </c>
      <c r="AS2599" t="inlineStr">
        <is>
          <t>Yes</t>
        </is>
      </c>
      <c r="AT2599">
        <f>HYPERLINK("http://catalog.hathitrust.org/Record/000478463","HathiTrust Record")</f>
        <v/>
      </c>
      <c r="AU2599">
        <f>HYPERLINK("https://creighton-primo.hosted.exlibrisgroup.com/primo-explore/search?tab=default_tab&amp;search_scope=EVERYTHING&amp;vid=01CRU&amp;lang=en_US&amp;offset=0&amp;query=any,contains,991000470929702656","Catalog Record")</f>
        <v/>
      </c>
      <c r="AV2599">
        <f>HYPERLINK("http://www.worldcat.org/oclc/10996909","WorldCat Record")</f>
        <v/>
      </c>
      <c r="AW2599" t="inlineStr">
        <is>
          <t>3471164:eng</t>
        </is>
      </c>
      <c r="AX2599" t="inlineStr">
        <is>
          <t>10996909</t>
        </is>
      </c>
      <c r="AY2599" t="inlineStr">
        <is>
          <t>991000470929702656</t>
        </is>
      </c>
      <c r="AZ2599" t="inlineStr">
        <is>
          <t>991000470929702656</t>
        </is>
      </c>
      <c r="BA2599" t="inlineStr">
        <is>
          <t>2262086870002656</t>
        </is>
      </c>
      <c r="BB2599" t="inlineStr">
        <is>
          <t>BOOK</t>
        </is>
      </c>
      <c r="BD2599" t="inlineStr">
        <is>
          <t>9780802224682</t>
        </is>
      </c>
      <c r="BE2599" t="inlineStr">
        <is>
          <t>32285000997980</t>
        </is>
      </c>
      <c r="BF2599" t="inlineStr">
        <is>
          <t>893508809</t>
        </is>
      </c>
    </row>
    <row r="2600">
      <c r="A2600" t="inlineStr">
        <is>
          <t>No</t>
        </is>
      </c>
      <c r="B2600" t="inlineStr">
        <is>
          <t>CURAL</t>
        </is>
      </c>
      <c r="C2600" t="inlineStr">
        <is>
          <t>SHELVES</t>
        </is>
      </c>
      <c r="D2600" t="inlineStr">
        <is>
          <t>PR5864 .E5 1985</t>
        </is>
      </c>
      <c r="E2600" t="inlineStr">
        <is>
          <t>0                      PR 5864000E  5           1985</t>
        </is>
      </c>
      <c r="F2600" t="inlineStr">
        <is>
          <t>Wordsworth, Freud, and the Spots of time : interpretation in the Prelude / David Ellis.</t>
        </is>
      </c>
      <c r="H2600" t="inlineStr">
        <is>
          <t>No</t>
        </is>
      </c>
      <c r="I2600" t="inlineStr">
        <is>
          <t>1</t>
        </is>
      </c>
      <c r="J2600" t="inlineStr">
        <is>
          <t>No</t>
        </is>
      </c>
      <c r="K2600" t="inlineStr">
        <is>
          <t>No</t>
        </is>
      </c>
      <c r="L2600" t="inlineStr">
        <is>
          <t>0</t>
        </is>
      </c>
      <c r="M2600" t="inlineStr">
        <is>
          <t>Ellis, David, 1939-</t>
        </is>
      </c>
      <c r="N2600" t="inlineStr">
        <is>
          <t>Cambridge [Cambridgeshire] ; New York : Cambridge University Press, 1985.</t>
        </is>
      </c>
      <c r="O2600" t="inlineStr">
        <is>
          <t>1985</t>
        </is>
      </c>
      <c r="Q2600" t="inlineStr">
        <is>
          <t>eng</t>
        </is>
      </c>
      <c r="R2600" t="inlineStr">
        <is>
          <t>enk</t>
        </is>
      </c>
      <c r="T2600" t="inlineStr">
        <is>
          <t xml:space="preserve">PR </t>
        </is>
      </c>
      <c r="U2600" t="n">
        <v>8</v>
      </c>
      <c r="V2600" t="n">
        <v>8</v>
      </c>
      <c r="W2600" t="inlineStr">
        <is>
          <t>2003-04-18</t>
        </is>
      </c>
      <c r="X2600" t="inlineStr">
        <is>
          <t>2003-04-18</t>
        </is>
      </c>
      <c r="Y2600" t="inlineStr">
        <is>
          <t>1992-03-12</t>
        </is>
      </c>
      <c r="Z2600" t="inlineStr">
        <is>
          <t>1992-03-12</t>
        </is>
      </c>
      <c r="AA2600" t="n">
        <v>486</v>
      </c>
      <c r="AB2600" t="n">
        <v>358</v>
      </c>
      <c r="AC2600" t="n">
        <v>362</v>
      </c>
      <c r="AD2600" t="n">
        <v>4</v>
      </c>
      <c r="AE2600" t="n">
        <v>4</v>
      </c>
      <c r="AF2600" t="n">
        <v>23</v>
      </c>
      <c r="AG2600" t="n">
        <v>23</v>
      </c>
      <c r="AH2600" t="n">
        <v>8</v>
      </c>
      <c r="AI2600" t="n">
        <v>8</v>
      </c>
      <c r="AJ2600" t="n">
        <v>7</v>
      </c>
      <c r="AK2600" t="n">
        <v>7</v>
      </c>
      <c r="AL2600" t="n">
        <v>12</v>
      </c>
      <c r="AM2600" t="n">
        <v>12</v>
      </c>
      <c r="AN2600" t="n">
        <v>3</v>
      </c>
      <c r="AO2600" t="n">
        <v>3</v>
      </c>
      <c r="AP2600" t="n">
        <v>0</v>
      </c>
      <c r="AQ2600" t="n">
        <v>0</v>
      </c>
      <c r="AR2600" t="inlineStr">
        <is>
          <t>No</t>
        </is>
      </c>
      <c r="AS2600" t="inlineStr">
        <is>
          <t>No</t>
        </is>
      </c>
      <c r="AU2600">
        <f>HYPERLINK("https://creighton-primo.hosted.exlibrisgroup.com/primo-explore/search?tab=default_tab&amp;search_scope=EVERYTHING&amp;vid=01CRU&amp;lang=en_US&amp;offset=0&amp;query=any,contains,991000484889702656","Catalog Record")</f>
        <v/>
      </c>
      <c r="AV2600">
        <f>HYPERLINK("http://www.worldcat.org/oclc/11068902","WorldCat Record")</f>
        <v/>
      </c>
      <c r="AW2600" t="inlineStr">
        <is>
          <t>863909148:eng</t>
        </is>
      </c>
      <c r="AX2600" t="inlineStr">
        <is>
          <t>11068902</t>
        </is>
      </c>
      <c r="AY2600" t="inlineStr">
        <is>
          <t>991000484889702656</t>
        </is>
      </c>
      <c r="AZ2600" t="inlineStr">
        <is>
          <t>991000484889702656</t>
        </is>
      </c>
      <c r="BA2600" t="inlineStr">
        <is>
          <t>2261505880002656</t>
        </is>
      </c>
      <c r="BB2600" t="inlineStr">
        <is>
          <t>BOOK</t>
        </is>
      </c>
      <c r="BD2600" t="inlineStr">
        <is>
          <t>9780521265553</t>
        </is>
      </c>
      <c r="BE2600" t="inlineStr">
        <is>
          <t>32285000997998</t>
        </is>
      </c>
      <c r="BF2600" t="inlineStr">
        <is>
          <t>893407226</t>
        </is>
      </c>
    </row>
    <row r="2601">
      <c r="A2601" t="inlineStr">
        <is>
          <t>No</t>
        </is>
      </c>
      <c r="B2601" t="inlineStr">
        <is>
          <t>CURAL</t>
        </is>
      </c>
      <c r="C2601" t="inlineStr">
        <is>
          <t>SHELVES</t>
        </is>
      </c>
      <c r="D2601" t="inlineStr">
        <is>
          <t>PR5864 .G69</t>
        </is>
      </c>
      <c r="E2601" t="inlineStr">
        <is>
          <t>0                      PR 5864000G  69</t>
        </is>
      </c>
      <c r="F2601" t="inlineStr">
        <is>
          <t>The problem of shape in The prelude : the conflict of private and public speech / [by] Jonathan R. Grandine.</t>
        </is>
      </c>
      <c r="H2601" t="inlineStr">
        <is>
          <t>No</t>
        </is>
      </c>
      <c r="I2601" t="inlineStr">
        <is>
          <t>1</t>
        </is>
      </c>
      <c r="J2601" t="inlineStr">
        <is>
          <t>No</t>
        </is>
      </c>
      <c r="K2601" t="inlineStr">
        <is>
          <t>No</t>
        </is>
      </c>
      <c r="L2601" t="inlineStr">
        <is>
          <t>0</t>
        </is>
      </c>
      <c r="M2601" t="inlineStr">
        <is>
          <t>Grandine, Jonathan R.</t>
        </is>
      </c>
      <c r="N2601" t="inlineStr">
        <is>
          <t>Cambridge, Mass. : Harvard University Press, 1968.</t>
        </is>
      </c>
      <c r="O2601" t="inlineStr">
        <is>
          <t>1968</t>
        </is>
      </c>
      <c r="Q2601" t="inlineStr">
        <is>
          <t>eng</t>
        </is>
      </c>
      <c r="R2601" t="inlineStr">
        <is>
          <t>mau</t>
        </is>
      </c>
      <c r="S2601" t="inlineStr">
        <is>
          <t>The LeBaron Russell Briggs prize honors essays in English, 1968</t>
        </is>
      </c>
      <c r="T2601" t="inlineStr">
        <is>
          <t xml:space="preserve">PR </t>
        </is>
      </c>
      <c r="U2601" t="n">
        <v>4</v>
      </c>
      <c r="V2601" t="n">
        <v>4</v>
      </c>
      <c r="W2601" t="inlineStr">
        <is>
          <t>1998-11-18</t>
        </is>
      </c>
      <c r="X2601" t="inlineStr">
        <is>
          <t>1998-11-18</t>
        </is>
      </c>
      <c r="Y2601" t="inlineStr">
        <is>
          <t>1991-02-28</t>
        </is>
      </c>
      <c r="Z2601" t="inlineStr">
        <is>
          <t>1991-02-28</t>
        </is>
      </c>
      <c r="AA2601" t="n">
        <v>279</v>
      </c>
      <c r="AB2601" t="n">
        <v>237</v>
      </c>
      <c r="AC2601" t="n">
        <v>240</v>
      </c>
      <c r="AD2601" t="n">
        <v>5</v>
      </c>
      <c r="AE2601" t="n">
        <v>5</v>
      </c>
      <c r="AF2601" t="n">
        <v>17</v>
      </c>
      <c r="AG2601" t="n">
        <v>17</v>
      </c>
      <c r="AH2601" t="n">
        <v>4</v>
      </c>
      <c r="AI2601" t="n">
        <v>4</v>
      </c>
      <c r="AJ2601" t="n">
        <v>4</v>
      </c>
      <c r="AK2601" t="n">
        <v>4</v>
      </c>
      <c r="AL2601" t="n">
        <v>9</v>
      </c>
      <c r="AM2601" t="n">
        <v>9</v>
      </c>
      <c r="AN2601" t="n">
        <v>4</v>
      </c>
      <c r="AO2601" t="n">
        <v>4</v>
      </c>
      <c r="AP2601" t="n">
        <v>0</v>
      </c>
      <c r="AQ2601" t="n">
        <v>0</v>
      </c>
      <c r="AR2601" t="inlineStr">
        <is>
          <t>No</t>
        </is>
      </c>
      <c r="AS2601" t="inlineStr">
        <is>
          <t>Yes</t>
        </is>
      </c>
      <c r="AT2601">
        <f>HYPERLINK("http://catalog.hathitrust.org/Record/001776288","HathiTrust Record")</f>
        <v/>
      </c>
      <c r="AU2601">
        <f>HYPERLINK("https://creighton-primo.hosted.exlibrisgroup.com/primo-explore/search?tab=default_tab&amp;search_scope=EVERYTHING&amp;vid=01CRU&amp;lang=en_US&amp;offset=0&amp;query=any,contains,991000041319702656","Catalog Record")</f>
        <v/>
      </c>
      <c r="AV2601">
        <f>HYPERLINK("http://www.worldcat.org/oclc/21751","WorldCat Record")</f>
        <v/>
      </c>
      <c r="AW2601" t="inlineStr">
        <is>
          <t>905483727:eng</t>
        </is>
      </c>
      <c r="AX2601" t="inlineStr">
        <is>
          <t>21751</t>
        </is>
      </c>
      <c r="AY2601" t="inlineStr">
        <is>
          <t>991000041319702656</t>
        </is>
      </c>
      <c r="AZ2601" t="inlineStr">
        <is>
          <t>991000041319702656</t>
        </is>
      </c>
      <c r="BA2601" t="inlineStr">
        <is>
          <t>2261352790002656</t>
        </is>
      </c>
      <c r="BB2601" t="inlineStr">
        <is>
          <t>BOOK</t>
        </is>
      </c>
      <c r="BE2601" t="inlineStr">
        <is>
          <t>32285000495001</t>
        </is>
      </c>
      <c r="BF2601" t="inlineStr">
        <is>
          <t>893884048</t>
        </is>
      </c>
    </row>
    <row r="2602">
      <c r="A2602" t="inlineStr">
        <is>
          <t>No</t>
        </is>
      </c>
      <c r="B2602" t="inlineStr">
        <is>
          <t>CURAL</t>
        </is>
      </c>
      <c r="C2602" t="inlineStr">
        <is>
          <t>SHELVES</t>
        </is>
      </c>
      <c r="D2602" t="inlineStr">
        <is>
          <t>PR5864 .H64 1983</t>
        </is>
      </c>
      <c r="E2602" t="inlineStr">
        <is>
          <t>0                      PR 5864000H  64          1983</t>
        </is>
      </c>
      <c r="F2602" t="inlineStr">
        <is>
          <t>A commentary on Wordsworth's Prelude, books I-V / Ted Holt, John Gilroy.</t>
        </is>
      </c>
      <c r="H2602" t="inlineStr">
        <is>
          <t>No</t>
        </is>
      </c>
      <c r="I2602" t="inlineStr">
        <is>
          <t>1</t>
        </is>
      </c>
      <c r="J2602" t="inlineStr">
        <is>
          <t>No</t>
        </is>
      </c>
      <c r="K2602" t="inlineStr">
        <is>
          <t>No</t>
        </is>
      </c>
      <c r="L2602" t="inlineStr">
        <is>
          <t>0</t>
        </is>
      </c>
      <c r="M2602" t="inlineStr">
        <is>
          <t>Holt, Ted, 1943-</t>
        </is>
      </c>
      <c r="N2602" t="inlineStr">
        <is>
          <t>London ; Boston : Routledge &amp; Kegan Paul, 1983.</t>
        </is>
      </c>
      <c r="O2602" t="inlineStr">
        <is>
          <t>1983</t>
        </is>
      </c>
      <c r="Q2602" t="inlineStr">
        <is>
          <t>eng</t>
        </is>
      </c>
      <c r="R2602" t="inlineStr">
        <is>
          <t>enk</t>
        </is>
      </c>
      <c r="T2602" t="inlineStr">
        <is>
          <t xml:space="preserve">PR </t>
        </is>
      </c>
      <c r="U2602" t="n">
        <v>12</v>
      </c>
      <c r="V2602" t="n">
        <v>12</v>
      </c>
      <c r="W2602" t="inlineStr">
        <is>
          <t>2005-02-21</t>
        </is>
      </c>
      <c r="X2602" t="inlineStr">
        <is>
          <t>2005-02-21</t>
        </is>
      </c>
      <c r="Y2602" t="inlineStr">
        <is>
          <t>1992-03-12</t>
        </is>
      </c>
      <c r="Z2602" t="inlineStr">
        <is>
          <t>1992-03-12</t>
        </is>
      </c>
      <c r="AA2602" t="n">
        <v>604</v>
      </c>
      <c r="AB2602" t="n">
        <v>481</v>
      </c>
      <c r="AC2602" t="n">
        <v>502</v>
      </c>
      <c r="AD2602" t="n">
        <v>5</v>
      </c>
      <c r="AE2602" t="n">
        <v>5</v>
      </c>
      <c r="AF2602" t="n">
        <v>26</v>
      </c>
      <c r="AG2602" t="n">
        <v>26</v>
      </c>
      <c r="AH2602" t="n">
        <v>10</v>
      </c>
      <c r="AI2602" t="n">
        <v>10</v>
      </c>
      <c r="AJ2602" t="n">
        <v>5</v>
      </c>
      <c r="AK2602" t="n">
        <v>5</v>
      </c>
      <c r="AL2602" t="n">
        <v>12</v>
      </c>
      <c r="AM2602" t="n">
        <v>12</v>
      </c>
      <c r="AN2602" t="n">
        <v>4</v>
      </c>
      <c r="AO2602" t="n">
        <v>4</v>
      </c>
      <c r="AP2602" t="n">
        <v>0</v>
      </c>
      <c r="AQ2602" t="n">
        <v>0</v>
      </c>
      <c r="AR2602" t="inlineStr">
        <is>
          <t>No</t>
        </is>
      </c>
      <c r="AS2602" t="inlineStr">
        <is>
          <t>No</t>
        </is>
      </c>
      <c r="AU2602">
        <f>HYPERLINK("https://creighton-primo.hosted.exlibrisgroup.com/primo-explore/search?tab=default_tab&amp;search_scope=EVERYTHING&amp;vid=01CRU&amp;lang=en_US&amp;offset=0&amp;query=any,contains,991000218839702656","Catalog Record")</f>
        <v/>
      </c>
      <c r="AV2602">
        <f>HYPERLINK("http://www.worldcat.org/oclc/9575386","WorldCat Record")</f>
        <v/>
      </c>
      <c r="AW2602" t="inlineStr">
        <is>
          <t>146840437:eng</t>
        </is>
      </c>
      <c r="AX2602" t="inlineStr">
        <is>
          <t>9575386</t>
        </is>
      </c>
      <c r="AY2602" t="inlineStr">
        <is>
          <t>991000218839702656</t>
        </is>
      </c>
      <c r="AZ2602" t="inlineStr">
        <is>
          <t>991000218839702656</t>
        </is>
      </c>
      <c r="BA2602" t="inlineStr">
        <is>
          <t>2267028620002656</t>
        </is>
      </c>
      <c r="BB2602" t="inlineStr">
        <is>
          <t>BOOK</t>
        </is>
      </c>
      <c r="BD2602" t="inlineStr">
        <is>
          <t>9780710095695</t>
        </is>
      </c>
      <c r="BE2602" t="inlineStr">
        <is>
          <t>32285000998004</t>
        </is>
      </c>
      <c r="BF2602" t="inlineStr">
        <is>
          <t>893896717</t>
        </is>
      </c>
    </row>
    <row r="2603">
      <c r="A2603" t="inlineStr">
        <is>
          <t>No</t>
        </is>
      </c>
      <c r="B2603" t="inlineStr">
        <is>
          <t>CURAL</t>
        </is>
      </c>
      <c r="C2603" t="inlineStr">
        <is>
          <t>SHELVES</t>
        </is>
      </c>
      <c r="D2603" t="inlineStr">
        <is>
          <t>PR5864 .P68</t>
        </is>
      </c>
      <c r="E2603" t="inlineStr">
        <is>
          <t>0                      PR 5864000P  68</t>
        </is>
      </c>
      <c r="F2603" t="inlineStr">
        <is>
          <t>Wordsworth's Prelude; a study of its literary form.</t>
        </is>
      </c>
      <c r="H2603" t="inlineStr">
        <is>
          <t>No</t>
        </is>
      </c>
      <c r="I2603" t="inlineStr">
        <is>
          <t>1</t>
        </is>
      </c>
      <c r="J2603" t="inlineStr">
        <is>
          <t>No</t>
        </is>
      </c>
      <c r="K2603" t="inlineStr">
        <is>
          <t>No</t>
        </is>
      </c>
      <c r="L2603" t="inlineStr">
        <is>
          <t>0</t>
        </is>
      </c>
      <c r="M2603" t="inlineStr">
        <is>
          <t>Potts, Abbie Findlay, 1884-1964.</t>
        </is>
      </c>
      <c r="N2603" t="inlineStr">
        <is>
          <t>Ithaca, N.Y., Cornell University Press [1953]</t>
        </is>
      </c>
      <c r="O2603" t="inlineStr">
        <is>
          <t>1953</t>
        </is>
      </c>
      <c r="Q2603" t="inlineStr">
        <is>
          <t>eng</t>
        </is>
      </c>
      <c r="R2603" t="inlineStr">
        <is>
          <t>nyu</t>
        </is>
      </c>
      <c r="T2603" t="inlineStr">
        <is>
          <t xml:space="preserve">PR </t>
        </is>
      </c>
      <c r="U2603" t="n">
        <v>1</v>
      </c>
      <c r="V2603" t="n">
        <v>1</v>
      </c>
      <c r="W2603" t="inlineStr">
        <is>
          <t>2005-02-21</t>
        </is>
      </c>
      <c r="X2603" t="inlineStr">
        <is>
          <t>2005-02-21</t>
        </is>
      </c>
      <c r="Y2603" t="inlineStr">
        <is>
          <t>1997-07-23</t>
        </is>
      </c>
      <c r="Z2603" t="inlineStr">
        <is>
          <t>1997-07-23</t>
        </is>
      </c>
      <c r="AA2603" t="n">
        <v>428</v>
      </c>
      <c r="AB2603" t="n">
        <v>359</v>
      </c>
      <c r="AC2603" t="n">
        <v>852</v>
      </c>
      <c r="AD2603" t="n">
        <v>7</v>
      </c>
      <c r="AE2603" t="n">
        <v>9</v>
      </c>
      <c r="AF2603" t="n">
        <v>28</v>
      </c>
      <c r="AG2603" t="n">
        <v>49</v>
      </c>
      <c r="AH2603" t="n">
        <v>13</v>
      </c>
      <c r="AI2603" t="n">
        <v>22</v>
      </c>
      <c r="AJ2603" t="n">
        <v>4</v>
      </c>
      <c r="AK2603" t="n">
        <v>10</v>
      </c>
      <c r="AL2603" t="n">
        <v>13</v>
      </c>
      <c r="AM2603" t="n">
        <v>22</v>
      </c>
      <c r="AN2603" t="n">
        <v>6</v>
      </c>
      <c r="AO2603" t="n">
        <v>8</v>
      </c>
      <c r="AP2603" t="n">
        <v>0</v>
      </c>
      <c r="AQ2603" t="n">
        <v>0</v>
      </c>
      <c r="AR2603" t="inlineStr">
        <is>
          <t>No</t>
        </is>
      </c>
      <c r="AS2603" t="inlineStr">
        <is>
          <t>No</t>
        </is>
      </c>
      <c r="AT2603">
        <f>HYPERLINK("http://catalog.hathitrust.org/Record/001188937","HathiTrust Record")</f>
        <v/>
      </c>
      <c r="AU2603">
        <f>HYPERLINK("https://creighton-primo.hosted.exlibrisgroup.com/primo-explore/search?tab=default_tab&amp;search_scope=EVERYTHING&amp;vid=01CRU&amp;lang=en_US&amp;offset=0&amp;query=any,contains,991003437929702656","Catalog Record")</f>
        <v/>
      </c>
      <c r="AV2603">
        <f>HYPERLINK("http://www.worldcat.org/oclc/973763","WorldCat Record")</f>
        <v/>
      </c>
      <c r="AW2603" t="inlineStr">
        <is>
          <t>1417689:eng</t>
        </is>
      </c>
      <c r="AX2603" t="inlineStr">
        <is>
          <t>973763</t>
        </is>
      </c>
      <c r="AY2603" t="inlineStr">
        <is>
          <t>991003437929702656</t>
        </is>
      </c>
      <c r="AZ2603" t="inlineStr">
        <is>
          <t>991003437929702656</t>
        </is>
      </c>
      <c r="BA2603" t="inlineStr">
        <is>
          <t>2256373490002656</t>
        </is>
      </c>
      <c r="BB2603" t="inlineStr">
        <is>
          <t>BOOK</t>
        </is>
      </c>
      <c r="BE2603" t="inlineStr">
        <is>
          <t>32285002951548</t>
        </is>
      </c>
      <c r="BF2603" t="inlineStr">
        <is>
          <t>893317978</t>
        </is>
      </c>
    </row>
    <row r="2604">
      <c r="A2604" t="inlineStr">
        <is>
          <t>No</t>
        </is>
      </c>
      <c r="B2604" t="inlineStr">
        <is>
          <t>CURAL</t>
        </is>
      </c>
      <c r="C2604" t="inlineStr">
        <is>
          <t>SHELVES</t>
        </is>
      </c>
      <c r="D2604" t="inlineStr">
        <is>
          <t>PR5865 .J63 1984</t>
        </is>
      </c>
      <c r="E2604" t="inlineStr">
        <is>
          <t>0                      PR 5865000J  63          1984</t>
        </is>
      </c>
      <c r="F2604" t="inlineStr">
        <is>
          <t>Wordsworth and The recluse / Kenneth R. Johnston.</t>
        </is>
      </c>
      <c r="H2604" t="inlineStr">
        <is>
          <t>No</t>
        </is>
      </c>
      <c r="I2604" t="inlineStr">
        <is>
          <t>1</t>
        </is>
      </c>
      <c r="J2604" t="inlineStr">
        <is>
          <t>No</t>
        </is>
      </c>
      <c r="K2604" t="inlineStr">
        <is>
          <t>No</t>
        </is>
      </c>
      <c r="L2604" t="inlineStr">
        <is>
          <t>0</t>
        </is>
      </c>
      <c r="M2604" t="inlineStr">
        <is>
          <t>Johnston, Kenneth R.</t>
        </is>
      </c>
      <c r="N2604" t="inlineStr">
        <is>
          <t>New Haven : Yale University Press, c1984.</t>
        </is>
      </c>
      <c r="O2604" t="inlineStr">
        <is>
          <t>1984</t>
        </is>
      </c>
      <c r="Q2604" t="inlineStr">
        <is>
          <t>eng</t>
        </is>
      </c>
      <c r="R2604" t="inlineStr">
        <is>
          <t>ctu</t>
        </is>
      </c>
      <c r="T2604" t="inlineStr">
        <is>
          <t xml:space="preserve">PR </t>
        </is>
      </c>
      <c r="U2604" t="n">
        <v>1</v>
      </c>
      <c r="V2604" t="n">
        <v>1</v>
      </c>
      <c r="W2604" t="inlineStr">
        <is>
          <t>2000-11-29</t>
        </is>
      </c>
      <c r="X2604" t="inlineStr">
        <is>
          <t>2000-11-29</t>
        </is>
      </c>
      <c r="Y2604" t="inlineStr">
        <is>
          <t>1992-03-12</t>
        </is>
      </c>
      <c r="Z2604" t="inlineStr">
        <is>
          <t>1992-03-12</t>
        </is>
      </c>
      <c r="AA2604" t="n">
        <v>573</v>
      </c>
      <c r="AB2604" t="n">
        <v>454</v>
      </c>
      <c r="AC2604" t="n">
        <v>455</v>
      </c>
      <c r="AD2604" t="n">
        <v>3</v>
      </c>
      <c r="AE2604" t="n">
        <v>3</v>
      </c>
      <c r="AF2604" t="n">
        <v>27</v>
      </c>
      <c r="AG2604" t="n">
        <v>27</v>
      </c>
      <c r="AH2604" t="n">
        <v>10</v>
      </c>
      <c r="AI2604" t="n">
        <v>10</v>
      </c>
      <c r="AJ2604" t="n">
        <v>8</v>
      </c>
      <c r="AK2604" t="n">
        <v>8</v>
      </c>
      <c r="AL2604" t="n">
        <v>16</v>
      </c>
      <c r="AM2604" t="n">
        <v>16</v>
      </c>
      <c r="AN2604" t="n">
        <v>2</v>
      </c>
      <c r="AO2604" t="n">
        <v>2</v>
      </c>
      <c r="AP2604" t="n">
        <v>0</v>
      </c>
      <c r="AQ2604" t="n">
        <v>0</v>
      </c>
      <c r="AR2604" t="inlineStr">
        <is>
          <t>No</t>
        </is>
      </c>
      <c r="AS2604" t="inlineStr">
        <is>
          <t>No</t>
        </is>
      </c>
      <c r="AU2604">
        <f>HYPERLINK("https://creighton-primo.hosted.exlibrisgroup.com/primo-explore/search?tab=default_tab&amp;search_scope=EVERYTHING&amp;vid=01CRU&amp;lang=en_US&amp;offset=0&amp;query=any,contains,991000293119702656","Catalog Record")</f>
        <v/>
      </c>
      <c r="AV2604">
        <f>HYPERLINK("http://www.worldcat.org/oclc/9970740","WorldCat Record")</f>
        <v/>
      </c>
      <c r="AW2604" t="inlineStr">
        <is>
          <t>43847519:eng</t>
        </is>
      </c>
      <c r="AX2604" t="inlineStr">
        <is>
          <t>9970740</t>
        </is>
      </c>
      <c r="AY2604" t="inlineStr">
        <is>
          <t>991000293119702656</t>
        </is>
      </c>
      <c r="AZ2604" t="inlineStr">
        <is>
          <t>991000293119702656</t>
        </is>
      </c>
      <c r="BA2604" t="inlineStr">
        <is>
          <t>2255002340002656</t>
        </is>
      </c>
      <c r="BB2604" t="inlineStr">
        <is>
          <t>BOOK</t>
        </is>
      </c>
      <c r="BD2604" t="inlineStr">
        <is>
          <t>9780300031089</t>
        </is>
      </c>
      <c r="BE2604" t="inlineStr">
        <is>
          <t>32285000998020</t>
        </is>
      </c>
      <c r="BF2604" t="inlineStr">
        <is>
          <t>893333363</t>
        </is>
      </c>
    </row>
    <row r="2605">
      <c r="A2605" t="inlineStr">
        <is>
          <t>No</t>
        </is>
      </c>
      <c r="B2605" t="inlineStr">
        <is>
          <t>CURAL</t>
        </is>
      </c>
      <c r="C2605" t="inlineStr">
        <is>
          <t>SHELVES</t>
        </is>
      </c>
      <c r="D2605" t="inlineStr">
        <is>
          <t>PR5869.L9 J6</t>
        </is>
      </c>
      <c r="E2605" t="inlineStr">
        <is>
          <t>0                      PR 5869000L  9                  J  6</t>
        </is>
      </c>
      <c r="F2605" t="inlineStr">
        <is>
          <t>Wordsworth "Lyrical Ballads" : a casebook / edited by Alun R. Jones and William Tydeman.</t>
        </is>
      </c>
      <c r="H2605" t="inlineStr">
        <is>
          <t>No</t>
        </is>
      </c>
      <c r="I2605" t="inlineStr">
        <is>
          <t>1</t>
        </is>
      </c>
      <c r="J2605" t="inlineStr">
        <is>
          <t>No</t>
        </is>
      </c>
      <c r="K2605" t="inlineStr">
        <is>
          <t>No</t>
        </is>
      </c>
      <c r="L2605" t="inlineStr">
        <is>
          <t>0</t>
        </is>
      </c>
      <c r="M2605" t="inlineStr">
        <is>
          <t>Jones, Alun R. (Alun Richard) compiler.</t>
        </is>
      </c>
      <c r="N2605" t="inlineStr">
        <is>
          <t>London : Macmillan, [1972]</t>
        </is>
      </c>
      <c r="O2605" t="inlineStr">
        <is>
          <t>1972</t>
        </is>
      </c>
      <c r="Q2605" t="inlineStr">
        <is>
          <t>eng</t>
        </is>
      </c>
      <c r="R2605" t="inlineStr">
        <is>
          <t>enk</t>
        </is>
      </c>
      <c r="S2605" t="inlineStr">
        <is>
          <t>Casebook series</t>
        </is>
      </c>
      <c r="T2605" t="inlineStr">
        <is>
          <t xml:space="preserve">PR </t>
        </is>
      </c>
      <c r="U2605" t="n">
        <v>8</v>
      </c>
      <c r="V2605" t="n">
        <v>8</v>
      </c>
      <c r="W2605" t="inlineStr">
        <is>
          <t>2007-02-14</t>
        </is>
      </c>
      <c r="X2605" t="inlineStr">
        <is>
          <t>2007-02-14</t>
        </is>
      </c>
      <c r="Y2605" t="inlineStr">
        <is>
          <t>1993-03-30</t>
        </is>
      </c>
      <c r="Z2605" t="inlineStr">
        <is>
          <t>1993-03-30</t>
        </is>
      </c>
      <c r="AA2605" t="n">
        <v>339</v>
      </c>
      <c r="AB2605" t="n">
        <v>121</v>
      </c>
      <c r="AC2605" t="n">
        <v>122</v>
      </c>
      <c r="AD2605" t="n">
        <v>2</v>
      </c>
      <c r="AE2605" t="n">
        <v>2</v>
      </c>
      <c r="AF2605" t="n">
        <v>8</v>
      </c>
      <c r="AG2605" t="n">
        <v>8</v>
      </c>
      <c r="AH2605" t="n">
        <v>1</v>
      </c>
      <c r="AI2605" t="n">
        <v>1</v>
      </c>
      <c r="AJ2605" t="n">
        <v>1</v>
      </c>
      <c r="AK2605" t="n">
        <v>1</v>
      </c>
      <c r="AL2605" t="n">
        <v>6</v>
      </c>
      <c r="AM2605" t="n">
        <v>6</v>
      </c>
      <c r="AN2605" t="n">
        <v>1</v>
      </c>
      <c r="AO2605" t="n">
        <v>1</v>
      </c>
      <c r="AP2605" t="n">
        <v>0</v>
      </c>
      <c r="AQ2605" t="n">
        <v>0</v>
      </c>
      <c r="AR2605" t="inlineStr">
        <is>
          <t>No</t>
        </is>
      </c>
      <c r="AS2605" t="inlineStr">
        <is>
          <t>No</t>
        </is>
      </c>
      <c r="AU2605">
        <f>HYPERLINK("https://creighton-primo.hosted.exlibrisgroup.com/primo-explore/search?tab=default_tab&amp;search_scope=EVERYTHING&amp;vid=01CRU&amp;lang=en_US&amp;offset=0&amp;query=any,contains,991003019629702656","Catalog Record")</f>
        <v/>
      </c>
      <c r="AV2605">
        <f>HYPERLINK("http://www.worldcat.org/oclc/584188","WorldCat Record")</f>
        <v/>
      </c>
      <c r="AW2605" t="inlineStr">
        <is>
          <t>5615034912:eng</t>
        </is>
      </c>
      <c r="AX2605" t="inlineStr">
        <is>
          <t>584188</t>
        </is>
      </c>
      <c r="AY2605" t="inlineStr">
        <is>
          <t>991003019629702656</t>
        </is>
      </c>
      <c r="AZ2605" t="inlineStr">
        <is>
          <t>991003019629702656</t>
        </is>
      </c>
      <c r="BA2605" t="inlineStr">
        <is>
          <t>2269147520002656</t>
        </is>
      </c>
      <c r="BB2605" t="inlineStr">
        <is>
          <t>BOOK</t>
        </is>
      </c>
      <c r="BD2605" t="inlineStr">
        <is>
          <t>9780333074084</t>
        </is>
      </c>
      <c r="BE2605" t="inlineStr">
        <is>
          <t>32285001593390</t>
        </is>
      </c>
      <c r="BF2605" t="inlineStr">
        <is>
          <t>893698583</t>
        </is>
      </c>
    </row>
    <row r="2606">
      <c r="A2606" t="inlineStr">
        <is>
          <t>No</t>
        </is>
      </c>
      <c r="B2606" t="inlineStr">
        <is>
          <t>CURAL</t>
        </is>
      </c>
      <c r="C2606" t="inlineStr">
        <is>
          <t>SHELVES</t>
        </is>
      </c>
      <c r="D2606" t="inlineStr">
        <is>
          <t>PR5869.L93 A617 2001</t>
        </is>
      </c>
      <c r="E2606" t="inlineStr">
        <is>
          <t>0                      PR 5869000L  93                 A  617         2001</t>
        </is>
      </c>
      <c r="F2606" t="inlineStr">
        <is>
          <t>1800 : the new Lyrical ballads / edited by Nicola Trott and Seamus Perry.</t>
        </is>
      </c>
      <c r="H2606" t="inlineStr">
        <is>
          <t>No</t>
        </is>
      </c>
      <c r="I2606" t="inlineStr">
        <is>
          <t>1</t>
        </is>
      </c>
      <c r="J2606" t="inlineStr">
        <is>
          <t>No</t>
        </is>
      </c>
      <c r="K2606" t="inlineStr">
        <is>
          <t>No</t>
        </is>
      </c>
      <c r="L2606" t="inlineStr">
        <is>
          <t>0</t>
        </is>
      </c>
      <c r="N2606" t="inlineStr">
        <is>
          <t>Basingstoke, Hampshire ; New York : Palgrave, 2001.</t>
        </is>
      </c>
      <c r="O2606" t="inlineStr">
        <is>
          <t>2001</t>
        </is>
      </c>
      <c r="Q2606" t="inlineStr">
        <is>
          <t>eng</t>
        </is>
      </c>
      <c r="R2606" t="inlineStr">
        <is>
          <t>enk</t>
        </is>
      </c>
      <c r="T2606" t="inlineStr">
        <is>
          <t xml:space="preserve">PR </t>
        </is>
      </c>
      <c r="U2606" t="n">
        <v>3</v>
      </c>
      <c r="V2606" t="n">
        <v>3</v>
      </c>
      <c r="W2606" t="inlineStr">
        <is>
          <t>2009-04-03</t>
        </is>
      </c>
      <c r="X2606" t="inlineStr">
        <is>
          <t>2009-04-03</t>
        </is>
      </c>
      <c r="Y2606" t="inlineStr">
        <is>
          <t>2001-11-12</t>
        </is>
      </c>
      <c r="Z2606" t="inlineStr">
        <is>
          <t>2001-11-12</t>
        </is>
      </c>
      <c r="AA2606" t="n">
        <v>423</v>
      </c>
      <c r="AB2606" t="n">
        <v>336</v>
      </c>
      <c r="AC2606" t="n">
        <v>338</v>
      </c>
      <c r="AD2606" t="n">
        <v>2</v>
      </c>
      <c r="AE2606" t="n">
        <v>2</v>
      </c>
      <c r="AF2606" t="n">
        <v>21</v>
      </c>
      <c r="AG2606" t="n">
        <v>21</v>
      </c>
      <c r="AH2606" t="n">
        <v>7</v>
      </c>
      <c r="AI2606" t="n">
        <v>7</v>
      </c>
      <c r="AJ2606" t="n">
        <v>7</v>
      </c>
      <c r="AK2606" t="n">
        <v>7</v>
      </c>
      <c r="AL2606" t="n">
        <v>14</v>
      </c>
      <c r="AM2606" t="n">
        <v>14</v>
      </c>
      <c r="AN2606" t="n">
        <v>1</v>
      </c>
      <c r="AO2606" t="n">
        <v>1</v>
      </c>
      <c r="AP2606" t="n">
        <v>0</v>
      </c>
      <c r="AQ2606" t="n">
        <v>0</v>
      </c>
      <c r="AR2606" t="inlineStr">
        <is>
          <t>No</t>
        </is>
      </c>
      <c r="AS2606" t="inlineStr">
        <is>
          <t>No</t>
        </is>
      </c>
      <c r="AU2606">
        <f>HYPERLINK("https://creighton-primo.hosted.exlibrisgroup.com/primo-explore/search?tab=default_tab&amp;search_scope=EVERYTHING&amp;vid=01CRU&amp;lang=en_US&amp;offset=0&amp;query=any,contains,991003643379702656","Catalog Record")</f>
        <v/>
      </c>
      <c r="AV2606">
        <f>HYPERLINK("http://www.worldcat.org/oclc/44461923","WorldCat Record")</f>
        <v/>
      </c>
      <c r="AW2606" t="inlineStr">
        <is>
          <t>351642133:eng</t>
        </is>
      </c>
      <c r="AX2606" t="inlineStr">
        <is>
          <t>44461923</t>
        </is>
      </c>
      <c r="AY2606" t="inlineStr">
        <is>
          <t>991003643379702656</t>
        </is>
      </c>
      <c r="AZ2606" t="inlineStr">
        <is>
          <t>991003643379702656</t>
        </is>
      </c>
      <c r="BA2606" t="inlineStr">
        <is>
          <t>2267864020002656</t>
        </is>
      </c>
      <c r="BB2606" t="inlineStr">
        <is>
          <t>BOOK</t>
        </is>
      </c>
      <c r="BD2606" t="inlineStr">
        <is>
          <t>9780333773987</t>
        </is>
      </c>
      <c r="BE2606" t="inlineStr">
        <is>
          <t>32285004410063</t>
        </is>
      </c>
      <c r="BF2606" t="inlineStr">
        <is>
          <t>893318209</t>
        </is>
      </c>
    </row>
    <row r="2607">
      <c r="A2607" t="inlineStr">
        <is>
          <t>No</t>
        </is>
      </c>
      <c r="B2607" t="inlineStr">
        <is>
          <t>CURAL</t>
        </is>
      </c>
      <c r="C2607" t="inlineStr">
        <is>
          <t>SHELVES</t>
        </is>
      </c>
      <c r="D2607" t="inlineStr">
        <is>
          <t>PR5869.L93 J3</t>
        </is>
      </c>
      <c r="E2607" t="inlineStr">
        <is>
          <t>0                      PR 5869000L  93                 J  3</t>
        </is>
      </c>
      <c r="F2607" t="inlineStr">
        <is>
          <t>Tradition and experiment in Wordsworth's lyrical ballads (1798) / Mary Jacobus.</t>
        </is>
      </c>
      <c r="H2607" t="inlineStr">
        <is>
          <t>No</t>
        </is>
      </c>
      <c r="I2607" t="inlineStr">
        <is>
          <t>1</t>
        </is>
      </c>
      <c r="J2607" t="inlineStr">
        <is>
          <t>No</t>
        </is>
      </c>
      <c r="K2607" t="inlineStr">
        <is>
          <t>No</t>
        </is>
      </c>
      <c r="L2607" t="inlineStr">
        <is>
          <t>0</t>
        </is>
      </c>
      <c r="M2607" t="inlineStr">
        <is>
          <t>Jacobus, Mary.</t>
        </is>
      </c>
      <c r="N2607" t="inlineStr">
        <is>
          <t>Oxford : Clarendon Press, 1976.</t>
        </is>
      </c>
      <c r="O2607" t="inlineStr">
        <is>
          <t>1976</t>
        </is>
      </c>
      <c r="Q2607" t="inlineStr">
        <is>
          <t>eng</t>
        </is>
      </c>
      <c r="R2607" t="inlineStr">
        <is>
          <t>enk</t>
        </is>
      </c>
      <c r="T2607" t="inlineStr">
        <is>
          <t xml:space="preserve">PR </t>
        </is>
      </c>
      <c r="U2607" t="n">
        <v>5</v>
      </c>
      <c r="V2607" t="n">
        <v>5</v>
      </c>
      <c r="W2607" t="inlineStr">
        <is>
          <t>1997-04-05</t>
        </is>
      </c>
      <c r="X2607" t="inlineStr">
        <is>
          <t>1997-04-05</t>
        </is>
      </c>
      <c r="Y2607" t="inlineStr">
        <is>
          <t>1991-04-09</t>
        </is>
      </c>
      <c r="Z2607" t="inlineStr">
        <is>
          <t>1991-04-09</t>
        </is>
      </c>
      <c r="AA2607" t="n">
        <v>658</v>
      </c>
      <c r="AB2607" t="n">
        <v>479</v>
      </c>
      <c r="AC2607" t="n">
        <v>486</v>
      </c>
      <c r="AD2607" t="n">
        <v>5</v>
      </c>
      <c r="AE2607" t="n">
        <v>5</v>
      </c>
      <c r="AF2607" t="n">
        <v>28</v>
      </c>
      <c r="AG2607" t="n">
        <v>28</v>
      </c>
      <c r="AH2607" t="n">
        <v>10</v>
      </c>
      <c r="AI2607" t="n">
        <v>10</v>
      </c>
      <c r="AJ2607" t="n">
        <v>7</v>
      </c>
      <c r="AK2607" t="n">
        <v>7</v>
      </c>
      <c r="AL2607" t="n">
        <v>14</v>
      </c>
      <c r="AM2607" t="n">
        <v>14</v>
      </c>
      <c r="AN2607" t="n">
        <v>4</v>
      </c>
      <c r="AO2607" t="n">
        <v>4</v>
      </c>
      <c r="AP2607" t="n">
        <v>0</v>
      </c>
      <c r="AQ2607" t="n">
        <v>0</v>
      </c>
      <c r="AR2607" t="inlineStr">
        <is>
          <t>No</t>
        </is>
      </c>
      <c r="AS2607" t="inlineStr">
        <is>
          <t>Yes</t>
        </is>
      </c>
      <c r="AT2607">
        <f>HYPERLINK("http://catalog.hathitrust.org/Record/000715999","HathiTrust Record")</f>
        <v/>
      </c>
      <c r="AU2607">
        <f>HYPERLINK("https://creighton-primo.hosted.exlibrisgroup.com/primo-explore/search?tab=default_tab&amp;search_scope=EVERYTHING&amp;vid=01CRU&amp;lang=en_US&amp;offset=0&amp;query=any,contains,991004022099702656","Catalog Record")</f>
        <v/>
      </c>
      <c r="AV2607">
        <f>HYPERLINK("http://www.worldcat.org/oclc/2122156","WorldCat Record")</f>
        <v/>
      </c>
      <c r="AW2607" t="inlineStr">
        <is>
          <t>415732:eng</t>
        </is>
      </c>
      <c r="AX2607" t="inlineStr">
        <is>
          <t>2122156</t>
        </is>
      </c>
      <c r="AY2607" t="inlineStr">
        <is>
          <t>991004022099702656</t>
        </is>
      </c>
      <c r="AZ2607" t="inlineStr">
        <is>
          <t>991004022099702656</t>
        </is>
      </c>
      <c r="BA2607" t="inlineStr">
        <is>
          <t>2270089480002656</t>
        </is>
      </c>
      <c r="BB2607" t="inlineStr">
        <is>
          <t>BOOK</t>
        </is>
      </c>
      <c r="BD2607" t="inlineStr">
        <is>
          <t>9780198120698</t>
        </is>
      </c>
      <c r="BE2607" t="inlineStr">
        <is>
          <t>32285000550763</t>
        </is>
      </c>
      <c r="BF2607" t="inlineStr">
        <is>
          <t>893324832</t>
        </is>
      </c>
    </row>
    <row r="2608">
      <c r="A2608" t="inlineStr">
        <is>
          <t>No</t>
        </is>
      </c>
      <c r="B2608" t="inlineStr">
        <is>
          <t>CURAL</t>
        </is>
      </c>
      <c r="C2608" t="inlineStr">
        <is>
          <t>SHELVES</t>
        </is>
      </c>
      <c r="D2608" t="inlineStr">
        <is>
          <t>PR5869.L93 M8</t>
        </is>
      </c>
      <c r="E2608" t="inlineStr">
        <is>
          <t>0                      PR 5869000L  93                 M  8</t>
        </is>
      </c>
      <c r="F2608" t="inlineStr">
        <is>
          <t>Wordsworth's style : figures and themes in the Lyrical ballads of 1800 / [by] Roger N. Murray.</t>
        </is>
      </c>
      <c r="H2608" t="inlineStr">
        <is>
          <t>No</t>
        </is>
      </c>
      <c r="I2608" t="inlineStr">
        <is>
          <t>1</t>
        </is>
      </c>
      <c r="J2608" t="inlineStr">
        <is>
          <t>No</t>
        </is>
      </c>
      <c r="K2608" t="inlineStr">
        <is>
          <t>No</t>
        </is>
      </c>
      <c r="L2608" t="inlineStr">
        <is>
          <t>0</t>
        </is>
      </c>
      <c r="M2608" t="inlineStr">
        <is>
          <t>Murray, Roger N.</t>
        </is>
      </c>
      <c r="N2608" t="inlineStr">
        <is>
          <t>Lincoln : University of Nebraska Press, [1967]</t>
        </is>
      </c>
      <c r="O2608" t="inlineStr">
        <is>
          <t>1967</t>
        </is>
      </c>
      <c r="Q2608" t="inlineStr">
        <is>
          <t>eng</t>
        </is>
      </c>
      <c r="R2608" t="inlineStr">
        <is>
          <t>nbu</t>
        </is>
      </c>
      <c r="T2608" t="inlineStr">
        <is>
          <t xml:space="preserve">PR </t>
        </is>
      </c>
      <c r="U2608" t="n">
        <v>17</v>
      </c>
      <c r="V2608" t="n">
        <v>17</v>
      </c>
      <c r="W2608" t="inlineStr">
        <is>
          <t>2007-02-14</t>
        </is>
      </c>
      <c r="X2608" t="inlineStr">
        <is>
          <t>2007-02-14</t>
        </is>
      </c>
      <c r="Y2608" t="inlineStr">
        <is>
          <t>1992-04-02</t>
        </is>
      </c>
      <c r="Z2608" t="inlineStr">
        <is>
          <t>1992-04-02</t>
        </is>
      </c>
      <c r="AA2608" t="n">
        <v>756</v>
      </c>
      <c r="AB2608" t="n">
        <v>649</v>
      </c>
      <c r="AC2608" t="n">
        <v>659</v>
      </c>
      <c r="AD2608" t="n">
        <v>7</v>
      </c>
      <c r="AE2608" t="n">
        <v>7</v>
      </c>
      <c r="AF2608" t="n">
        <v>37</v>
      </c>
      <c r="AG2608" t="n">
        <v>37</v>
      </c>
      <c r="AH2608" t="n">
        <v>14</v>
      </c>
      <c r="AI2608" t="n">
        <v>14</v>
      </c>
      <c r="AJ2608" t="n">
        <v>8</v>
      </c>
      <c r="AK2608" t="n">
        <v>8</v>
      </c>
      <c r="AL2608" t="n">
        <v>20</v>
      </c>
      <c r="AM2608" t="n">
        <v>20</v>
      </c>
      <c r="AN2608" t="n">
        <v>6</v>
      </c>
      <c r="AO2608" t="n">
        <v>6</v>
      </c>
      <c r="AP2608" t="n">
        <v>0</v>
      </c>
      <c r="AQ2608" t="n">
        <v>0</v>
      </c>
      <c r="AR2608" t="inlineStr">
        <is>
          <t>No</t>
        </is>
      </c>
      <c r="AS2608" t="inlineStr">
        <is>
          <t>Yes</t>
        </is>
      </c>
      <c r="AT2608">
        <f>HYPERLINK("http://catalog.hathitrust.org/Record/001188930","HathiTrust Record")</f>
        <v/>
      </c>
      <c r="AU2608">
        <f>HYPERLINK("https://creighton-primo.hosted.exlibrisgroup.com/primo-explore/search?tab=default_tab&amp;search_scope=EVERYTHING&amp;vid=01CRU&amp;lang=en_US&amp;offset=0&amp;query=any,contains,991005008679702656","Catalog Record")</f>
        <v/>
      </c>
      <c r="AV2608">
        <f>HYPERLINK("http://www.worldcat.org/oclc/6582061","WorldCat Record")</f>
        <v/>
      </c>
      <c r="AW2608" t="inlineStr">
        <is>
          <t>23142695:eng</t>
        </is>
      </c>
      <c r="AX2608" t="inlineStr">
        <is>
          <t>6582061</t>
        </is>
      </c>
      <c r="AY2608" t="inlineStr">
        <is>
          <t>991005008679702656</t>
        </is>
      </c>
      <c r="AZ2608" t="inlineStr">
        <is>
          <t>991005008679702656</t>
        </is>
      </c>
      <c r="BA2608" t="inlineStr">
        <is>
          <t>2257746390002656</t>
        </is>
      </c>
      <c r="BB2608" t="inlineStr">
        <is>
          <t>BOOK</t>
        </is>
      </c>
      <c r="BD2608" t="inlineStr">
        <is>
          <t>9780803201279</t>
        </is>
      </c>
      <c r="BE2608" t="inlineStr">
        <is>
          <t>32285001032522</t>
        </is>
      </c>
      <c r="BF2608" t="inlineStr">
        <is>
          <t>893694620</t>
        </is>
      </c>
    </row>
    <row r="2609">
      <c r="A2609" t="inlineStr">
        <is>
          <t>No</t>
        </is>
      </c>
      <c r="B2609" t="inlineStr">
        <is>
          <t>CURAL</t>
        </is>
      </c>
      <c r="C2609" t="inlineStr">
        <is>
          <t>SHELVES</t>
        </is>
      </c>
      <c r="D2609" t="inlineStr">
        <is>
          <t>PR5869.R83 W6 1969b</t>
        </is>
      </c>
      <c r="E2609" t="inlineStr">
        <is>
          <t>0                      PR 5869000R  83                 W  6           1969b</t>
        </is>
      </c>
      <c r="F2609" t="inlineStr">
        <is>
          <t>The music of humanity : a critical study of Wordsworth's Ruined cottage, incorporating texts from a manuscript of 1799-1800.</t>
        </is>
      </c>
      <c r="H2609" t="inlineStr">
        <is>
          <t>No</t>
        </is>
      </c>
      <c r="I2609" t="inlineStr">
        <is>
          <t>1</t>
        </is>
      </c>
      <c r="J2609" t="inlineStr">
        <is>
          <t>No</t>
        </is>
      </c>
      <c r="K2609" t="inlineStr">
        <is>
          <t>No</t>
        </is>
      </c>
      <c r="L2609" t="inlineStr">
        <is>
          <t>0</t>
        </is>
      </c>
      <c r="M2609" t="inlineStr">
        <is>
          <t>Wordsworth, Jonathan, 1932-2006</t>
        </is>
      </c>
      <c r="N2609" t="inlineStr">
        <is>
          <t>New York : Harper &amp; Row, [1969]</t>
        </is>
      </c>
      <c r="O2609" t="inlineStr">
        <is>
          <t>1969</t>
        </is>
      </c>
      <c r="Q2609" t="inlineStr">
        <is>
          <t>eng</t>
        </is>
      </c>
      <c r="R2609" t="inlineStr">
        <is>
          <t>nyu</t>
        </is>
      </c>
      <c r="S2609" t="inlineStr">
        <is>
          <t>J. &amp; J. Harper editions</t>
        </is>
      </c>
      <c r="T2609" t="inlineStr">
        <is>
          <t xml:space="preserve">PR </t>
        </is>
      </c>
      <c r="U2609" t="n">
        <v>2</v>
      </c>
      <c r="V2609" t="n">
        <v>2</v>
      </c>
      <c r="W2609" t="inlineStr">
        <is>
          <t>1998-02-12</t>
        </is>
      </c>
      <c r="X2609" t="inlineStr">
        <is>
          <t>1998-02-12</t>
        </is>
      </c>
      <c r="Y2609" t="inlineStr">
        <is>
          <t>1992-04-15</t>
        </is>
      </c>
      <c r="Z2609" t="inlineStr">
        <is>
          <t>1992-04-15</t>
        </is>
      </c>
      <c r="AA2609" t="n">
        <v>333</v>
      </c>
      <c r="AB2609" t="n">
        <v>288</v>
      </c>
      <c r="AC2609" t="n">
        <v>395</v>
      </c>
      <c r="AD2609" t="n">
        <v>5</v>
      </c>
      <c r="AE2609" t="n">
        <v>6</v>
      </c>
      <c r="AF2609" t="n">
        <v>18</v>
      </c>
      <c r="AG2609" t="n">
        <v>21</v>
      </c>
      <c r="AH2609" t="n">
        <v>4</v>
      </c>
      <c r="AI2609" t="n">
        <v>4</v>
      </c>
      <c r="AJ2609" t="n">
        <v>6</v>
      </c>
      <c r="AK2609" t="n">
        <v>6</v>
      </c>
      <c r="AL2609" t="n">
        <v>7</v>
      </c>
      <c r="AM2609" t="n">
        <v>9</v>
      </c>
      <c r="AN2609" t="n">
        <v>4</v>
      </c>
      <c r="AO2609" t="n">
        <v>5</v>
      </c>
      <c r="AP2609" t="n">
        <v>0</v>
      </c>
      <c r="AQ2609" t="n">
        <v>0</v>
      </c>
      <c r="AR2609" t="inlineStr">
        <is>
          <t>No</t>
        </is>
      </c>
      <c r="AS2609" t="inlineStr">
        <is>
          <t>No</t>
        </is>
      </c>
      <c r="AU2609">
        <f>HYPERLINK("https://creighton-primo.hosted.exlibrisgroup.com/primo-explore/search?tab=default_tab&amp;search_scope=EVERYTHING&amp;vid=01CRU&amp;lang=en_US&amp;offset=0&amp;query=any,contains,991000073659702656","Catalog Record")</f>
        <v/>
      </c>
      <c r="AV2609">
        <f>HYPERLINK("http://www.worldcat.org/oclc/29272","WorldCat Record")</f>
        <v/>
      </c>
      <c r="AW2609" t="inlineStr">
        <is>
          <t>793978560:eng</t>
        </is>
      </c>
      <c r="AX2609" t="inlineStr">
        <is>
          <t>29272</t>
        </is>
      </c>
      <c r="AY2609" t="inlineStr">
        <is>
          <t>991000073659702656</t>
        </is>
      </c>
      <c r="AZ2609" t="inlineStr">
        <is>
          <t>991000073659702656</t>
        </is>
      </c>
      <c r="BA2609" t="inlineStr">
        <is>
          <t>2266298580002656</t>
        </is>
      </c>
      <c r="BB2609" t="inlineStr">
        <is>
          <t>BOOK</t>
        </is>
      </c>
      <c r="BE2609" t="inlineStr">
        <is>
          <t>32285001060762</t>
        </is>
      </c>
      <c r="BF2609" t="inlineStr">
        <is>
          <t>893701812</t>
        </is>
      </c>
    </row>
    <row r="2610">
      <c r="A2610" t="inlineStr">
        <is>
          <t>No</t>
        </is>
      </c>
      <c r="B2610" t="inlineStr">
        <is>
          <t>CURAL</t>
        </is>
      </c>
      <c r="C2610" t="inlineStr">
        <is>
          <t>SHELVES</t>
        </is>
      </c>
      <c r="D2610" t="inlineStr">
        <is>
          <t>PR5880 .T8 1967</t>
        </is>
      </c>
      <c r="E2610" t="inlineStr">
        <is>
          <t>0                      PR 5880000T  8           1967</t>
        </is>
      </c>
      <c r="F2610" t="inlineStr">
        <is>
          <t>The Wordsworth dictionary of persons and places, with the familiar quotations from his works (including full index) and a chronologically-arranged list of his best poems.</t>
        </is>
      </c>
      <c r="H2610" t="inlineStr">
        <is>
          <t>No</t>
        </is>
      </c>
      <c r="I2610" t="inlineStr">
        <is>
          <t>1</t>
        </is>
      </c>
      <c r="J2610" t="inlineStr">
        <is>
          <t>No</t>
        </is>
      </c>
      <c r="K2610" t="inlineStr">
        <is>
          <t>No</t>
        </is>
      </c>
      <c r="L2610" t="inlineStr">
        <is>
          <t>0</t>
        </is>
      </c>
      <c r="M2610" t="inlineStr">
        <is>
          <t>Tutin, J. R. (John Ramsden), 1855-1913.</t>
        </is>
      </c>
      <c r="N2610" t="inlineStr">
        <is>
          <t>New York, Burt Franklin [1967]</t>
        </is>
      </c>
      <c r="O2610" t="inlineStr">
        <is>
          <t>1967</t>
        </is>
      </c>
      <c r="Q2610" t="inlineStr">
        <is>
          <t>eng</t>
        </is>
      </c>
      <c r="R2610" t="inlineStr">
        <is>
          <t>nyu</t>
        </is>
      </c>
      <c r="T2610" t="inlineStr">
        <is>
          <t xml:space="preserve">PR </t>
        </is>
      </c>
      <c r="U2610" t="n">
        <v>7</v>
      </c>
      <c r="V2610" t="n">
        <v>7</v>
      </c>
      <c r="W2610" t="inlineStr">
        <is>
          <t>1998-10-28</t>
        </is>
      </c>
      <c r="X2610" t="inlineStr">
        <is>
          <t>1998-10-28</t>
        </is>
      </c>
      <c r="Y2610" t="inlineStr">
        <is>
          <t>1992-03-12</t>
        </is>
      </c>
      <c r="Z2610" t="inlineStr">
        <is>
          <t>1992-03-12</t>
        </is>
      </c>
      <c r="AA2610" t="n">
        <v>288</v>
      </c>
      <c r="AB2610" t="n">
        <v>254</v>
      </c>
      <c r="AC2610" t="n">
        <v>509</v>
      </c>
      <c r="AD2610" t="n">
        <v>2</v>
      </c>
      <c r="AE2610" t="n">
        <v>4</v>
      </c>
      <c r="AF2610" t="n">
        <v>12</v>
      </c>
      <c r="AG2610" t="n">
        <v>26</v>
      </c>
      <c r="AH2610" t="n">
        <v>2</v>
      </c>
      <c r="AI2610" t="n">
        <v>8</v>
      </c>
      <c r="AJ2610" t="n">
        <v>2</v>
      </c>
      <c r="AK2610" t="n">
        <v>4</v>
      </c>
      <c r="AL2610" t="n">
        <v>8</v>
      </c>
      <c r="AM2610" t="n">
        <v>15</v>
      </c>
      <c r="AN2610" t="n">
        <v>1</v>
      </c>
      <c r="AO2610" t="n">
        <v>3</v>
      </c>
      <c r="AP2610" t="n">
        <v>0</v>
      </c>
      <c r="AQ2610" t="n">
        <v>0</v>
      </c>
      <c r="AR2610" t="inlineStr">
        <is>
          <t>No</t>
        </is>
      </c>
      <c r="AS2610" t="inlineStr">
        <is>
          <t>Yes</t>
        </is>
      </c>
      <c r="AT2610">
        <f>HYPERLINK("http://catalog.hathitrust.org/Record/011680069","HathiTrust Record")</f>
        <v/>
      </c>
      <c r="AU2610">
        <f>HYPERLINK("https://creighton-primo.hosted.exlibrisgroup.com/primo-explore/search?tab=default_tab&amp;search_scope=EVERYTHING&amp;vid=01CRU&amp;lang=en_US&amp;offset=0&amp;query=any,contains,991002491569702656","Catalog Record")</f>
        <v/>
      </c>
      <c r="AV2610">
        <f>HYPERLINK("http://www.worldcat.org/oclc/362796","WorldCat Record")</f>
        <v/>
      </c>
      <c r="AW2610" t="inlineStr">
        <is>
          <t>1193187:eng</t>
        </is>
      </c>
      <c r="AX2610" t="inlineStr">
        <is>
          <t>362796</t>
        </is>
      </c>
      <c r="AY2610" t="inlineStr">
        <is>
          <t>991002491569702656</t>
        </is>
      </c>
      <c r="AZ2610" t="inlineStr">
        <is>
          <t>991002491569702656</t>
        </is>
      </c>
      <c r="BA2610" t="inlineStr">
        <is>
          <t>2262396520002656</t>
        </is>
      </c>
      <c r="BB2610" t="inlineStr">
        <is>
          <t>BOOK</t>
        </is>
      </c>
      <c r="BE2610" t="inlineStr">
        <is>
          <t>32285000998038</t>
        </is>
      </c>
      <c r="BF2610" t="inlineStr">
        <is>
          <t>893804668</t>
        </is>
      </c>
    </row>
    <row r="2611">
      <c r="A2611" t="inlineStr">
        <is>
          <t>No</t>
        </is>
      </c>
      <c r="B2611" t="inlineStr">
        <is>
          <t>CURAL</t>
        </is>
      </c>
      <c r="C2611" t="inlineStr">
        <is>
          <t>SHELVES</t>
        </is>
      </c>
      <c r="D2611" t="inlineStr">
        <is>
          <t>PR5881 .B27 2005</t>
        </is>
      </c>
      <c r="E2611" t="inlineStr">
        <is>
          <t>0                      PR 5881000B  27          2005</t>
        </is>
      </c>
      <c r="F2611" t="inlineStr">
        <is>
          <t>Wordsworth : a life / Juliet Barker.</t>
        </is>
      </c>
      <c r="H2611" t="inlineStr">
        <is>
          <t>No</t>
        </is>
      </c>
      <c r="I2611" t="inlineStr">
        <is>
          <t>1</t>
        </is>
      </c>
      <c r="J2611" t="inlineStr">
        <is>
          <t>No</t>
        </is>
      </c>
      <c r="K2611" t="inlineStr">
        <is>
          <t>No</t>
        </is>
      </c>
      <c r="L2611" t="inlineStr">
        <is>
          <t>0</t>
        </is>
      </c>
      <c r="M2611" t="inlineStr">
        <is>
          <t>Barker, Juliet R. V.</t>
        </is>
      </c>
      <c r="N2611" t="inlineStr">
        <is>
          <t>New York : Ecco, 2005.</t>
        </is>
      </c>
      <c r="O2611" t="inlineStr">
        <is>
          <t>2005</t>
        </is>
      </c>
      <c r="P2611" t="inlineStr">
        <is>
          <t>1st American ed.</t>
        </is>
      </c>
      <c r="Q2611" t="inlineStr">
        <is>
          <t>eng</t>
        </is>
      </c>
      <c r="R2611" t="inlineStr">
        <is>
          <t>nyu</t>
        </is>
      </c>
      <c r="T2611" t="inlineStr">
        <is>
          <t xml:space="preserve">PR </t>
        </is>
      </c>
      <c r="U2611" t="n">
        <v>1</v>
      </c>
      <c r="V2611" t="n">
        <v>1</v>
      </c>
      <c r="W2611" t="inlineStr">
        <is>
          <t>2006-02-22</t>
        </is>
      </c>
      <c r="X2611" t="inlineStr">
        <is>
          <t>2006-02-22</t>
        </is>
      </c>
      <c r="Y2611" t="inlineStr">
        <is>
          <t>2006-02-02</t>
        </is>
      </c>
      <c r="Z2611" t="inlineStr">
        <is>
          <t>2006-02-02</t>
        </is>
      </c>
      <c r="AA2611" t="n">
        <v>782</v>
      </c>
      <c r="AB2611" t="n">
        <v>747</v>
      </c>
      <c r="AC2611" t="n">
        <v>1033</v>
      </c>
      <c r="AD2611" t="n">
        <v>6</v>
      </c>
      <c r="AE2611" t="n">
        <v>7</v>
      </c>
      <c r="AF2611" t="n">
        <v>27</v>
      </c>
      <c r="AG2611" t="n">
        <v>41</v>
      </c>
      <c r="AH2611" t="n">
        <v>16</v>
      </c>
      <c r="AI2611" t="n">
        <v>19</v>
      </c>
      <c r="AJ2611" t="n">
        <v>4</v>
      </c>
      <c r="AK2611" t="n">
        <v>10</v>
      </c>
      <c r="AL2611" t="n">
        <v>12</v>
      </c>
      <c r="AM2611" t="n">
        <v>18</v>
      </c>
      <c r="AN2611" t="n">
        <v>4</v>
      </c>
      <c r="AO2611" t="n">
        <v>5</v>
      </c>
      <c r="AP2611" t="n">
        <v>0</v>
      </c>
      <c r="AQ2611" t="n">
        <v>0</v>
      </c>
      <c r="AR2611" t="inlineStr">
        <is>
          <t>No</t>
        </is>
      </c>
      <c r="AS2611" t="inlineStr">
        <is>
          <t>No</t>
        </is>
      </c>
      <c r="AU2611">
        <f>HYPERLINK("https://creighton-primo.hosted.exlibrisgroup.com/primo-explore/search?tab=default_tab&amp;search_scope=EVERYTHING&amp;vid=01CRU&amp;lang=en_US&amp;offset=0&amp;query=any,contains,991004731159702656","Catalog Record")</f>
        <v/>
      </c>
      <c r="AV2611">
        <f>HYPERLINK("http://www.worldcat.org/oclc/60188462","WorldCat Record")</f>
        <v/>
      </c>
      <c r="AW2611" t="inlineStr">
        <is>
          <t>34413169:eng</t>
        </is>
      </c>
      <c r="AX2611" t="inlineStr">
        <is>
          <t>60188462</t>
        </is>
      </c>
      <c r="AY2611" t="inlineStr">
        <is>
          <t>991004731159702656</t>
        </is>
      </c>
      <c r="AZ2611" t="inlineStr">
        <is>
          <t>991004731159702656</t>
        </is>
      </c>
      <c r="BA2611" t="inlineStr">
        <is>
          <t>2270353960002656</t>
        </is>
      </c>
      <c r="BB2611" t="inlineStr">
        <is>
          <t>BOOK</t>
        </is>
      </c>
      <c r="BD2611" t="inlineStr">
        <is>
          <t>9780060787318</t>
        </is>
      </c>
      <c r="BE2611" t="inlineStr">
        <is>
          <t>32285005159800</t>
        </is>
      </c>
      <c r="BF2611" t="inlineStr">
        <is>
          <t>893241778</t>
        </is>
      </c>
    </row>
    <row r="2612">
      <c r="A2612" t="inlineStr">
        <is>
          <t>No</t>
        </is>
      </c>
      <c r="B2612" t="inlineStr">
        <is>
          <t>CURAL</t>
        </is>
      </c>
      <c r="C2612" t="inlineStr">
        <is>
          <t>SHELVES</t>
        </is>
      </c>
      <c r="D2612" t="inlineStr">
        <is>
          <t>PR5881 .C35 1983</t>
        </is>
      </c>
      <c r="E2612" t="inlineStr">
        <is>
          <t>0                      PR 5881000C  35          1983</t>
        </is>
      </c>
      <c r="F2612" t="inlineStr">
        <is>
          <t>Aspects of Wordsworth and Whitehead : philosophy and certain continuing life-problems / Alexander P. Cappon.</t>
        </is>
      </c>
      <c r="H2612" t="inlineStr">
        <is>
          <t>No</t>
        </is>
      </c>
      <c r="I2612" t="inlineStr">
        <is>
          <t>1</t>
        </is>
      </c>
      <c r="J2612" t="inlineStr">
        <is>
          <t>No</t>
        </is>
      </c>
      <c r="K2612" t="inlineStr">
        <is>
          <t>No</t>
        </is>
      </c>
      <c r="L2612" t="inlineStr">
        <is>
          <t>0</t>
        </is>
      </c>
      <c r="M2612" t="inlineStr">
        <is>
          <t>Cappon, Alexander P. (Alexander Patterson), 1900-1997.</t>
        </is>
      </c>
      <c r="N2612" t="inlineStr">
        <is>
          <t>New York : Philosophical Library, c1983.</t>
        </is>
      </c>
      <c r="O2612" t="inlineStr">
        <is>
          <t>1983</t>
        </is>
      </c>
      <c r="Q2612" t="inlineStr">
        <is>
          <t>eng</t>
        </is>
      </c>
      <c r="R2612" t="inlineStr">
        <is>
          <t>nyu</t>
        </is>
      </c>
      <c r="T2612" t="inlineStr">
        <is>
          <t xml:space="preserve">PR </t>
        </is>
      </c>
      <c r="U2612" t="n">
        <v>2</v>
      </c>
      <c r="V2612" t="n">
        <v>2</v>
      </c>
      <c r="W2612" t="inlineStr">
        <is>
          <t>1995-03-01</t>
        </is>
      </c>
      <c r="X2612" t="inlineStr">
        <is>
          <t>1995-03-01</t>
        </is>
      </c>
      <c r="Y2612" t="inlineStr">
        <is>
          <t>1992-06-23</t>
        </is>
      </c>
      <c r="Z2612" t="inlineStr">
        <is>
          <t>1992-06-23</t>
        </is>
      </c>
      <c r="AA2612" t="n">
        <v>177</v>
      </c>
      <c r="AB2612" t="n">
        <v>146</v>
      </c>
      <c r="AC2612" t="n">
        <v>147</v>
      </c>
      <c r="AD2612" t="n">
        <v>2</v>
      </c>
      <c r="AE2612" t="n">
        <v>2</v>
      </c>
      <c r="AF2612" t="n">
        <v>8</v>
      </c>
      <c r="AG2612" t="n">
        <v>8</v>
      </c>
      <c r="AH2612" t="n">
        <v>3</v>
      </c>
      <c r="AI2612" t="n">
        <v>3</v>
      </c>
      <c r="AJ2612" t="n">
        <v>3</v>
      </c>
      <c r="AK2612" t="n">
        <v>3</v>
      </c>
      <c r="AL2612" t="n">
        <v>5</v>
      </c>
      <c r="AM2612" t="n">
        <v>5</v>
      </c>
      <c r="AN2612" t="n">
        <v>1</v>
      </c>
      <c r="AO2612" t="n">
        <v>1</v>
      </c>
      <c r="AP2612" t="n">
        <v>0</v>
      </c>
      <c r="AQ2612" t="n">
        <v>0</v>
      </c>
      <c r="AR2612" t="inlineStr">
        <is>
          <t>No</t>
        </is>
      </c>
      <c r="AS2612" t="inlineStr">
        <is>
          <t>Yes</t>
        </is>
      </c>
      <c r="AT2612">
        <f>HYPERLINK("http://catalog.hathitrust.org/Record/009494567","HathiTrust Record")</f>
        <v/>
      </c>
      <c r="AU2612">
        <f>HYPERLINK("https://creighton-primo.hosted.exlibrisgroup.com/primo-explore/search?tab=default_tab&amp;search_scope=EVERYTHING&amp;vid=01CRU&amp;lang=en_US&amp;offset=0&amp;query=any,contains,991000092369702656","Catalog Record")</f>
        <v/>
      </c>
      <c r="AV2612">
        <f>HYPERLINK("http://www.worldcat.org/oclc/8907356","WorldCat Record")</f>
        <v/>
      </c>
      <c r="AW2612" t="inlineStr">
        <is>
          <t>815128672:eng</t>
        </is>
      </c>
      <c r="AX2612" t="inlineStr">
        <is>
          <t>8907356</t>
        </is>
      </c>
      <c r="AY2612" t="inlineStr">
        <is>
          <t>991000092369702656</t>
        </is>
      </c>
      <c r="AZ2612" t="inlineStr">
        <is>
          <t>991000092369702656</t>
        </is>
      </c>
      <c r="BA2612" t="inlineStr">
        <is>
          <t>2262923130002656</t>
        </is>
      </c>
      <c r="BB2612" t="inlineStr">
        <is>
          <t>BOOK</t>
        </is>
      </c>
      <c r="BD2612" t="inlineStr">
        <is>
          <t>9780802224125</t>
        </is>
      </c>
      <c r="BE2612" t="inlineStr">
        <is>
          <t>32285001132991</t>
        </is>
      </c>
      <c r="BF2612" t="inlineStr">
        <is>
          <t>893320797</t>
        </is>
      </c>
    </row>
    <row r="2613">
      <c r="A2613" t="inlineStr">
        <is>
          <t>No</t>
        </is>
      </c>
      <c r="B2613" t="inlineStr">
        <is>
          <t>CURAL</t>
        </is>
      </c>
      <c r="C2613" t="inlineStr">
        <is>
          <t>SHELVES</t>
        </is>
      </c>
      <c r="D2613" t="inlineStr">
        <is>
          <t>PR5881 .D34 1980b</t>
        </is>
      </c>
      <c r="E2613" t="inlineStr">
        <is>
          <t>0                      PR 5881000D  34          1980b</t>
        </is>
      </c>
      <c r="F2613" t="inlineStr">
        <is>
          <t>William Wordsworth : a biography / Hunter Davies.</t>
        </is>
      </c>
      <c r="H2613" t="inlineStr">
        <is>
          <t>No</t>
        </is>
      </c>
      <c r="I2613" t="inlineStr">
        <is>
          <t>1</t>
        </is>
      </c>
      <c r="J2613" t="inlineStr">
        <is>
          <t>No</t>
        </is>
      </c>
      <c r="K2613" t="inlineStr">
        <is>
          <t>No</t>
        </is>
      </c>
      <c r="L2613" t="inlineStr">
        <is>
          <t>0</t>
        </is>
      </c>
      <c r="M2613" t="inlineStr">
        <is>
          <t>Davies, Hunter, 1936-</t>
        </is>
      </c>
      <c r="N2613" t="inlineStr">
        <is>
          <t>New York : Atheneum, 1980.</t>
        </is>
      </c>
      <c r="O2613" t="inlineStr">
        <is>
          <t>1980</t>
        </is>
      </c>
      <c r="P2613" t="inlineStr">
        <is>
          <t>1st American ed.</t>
        </is>
      </c>
      <c r="Q2613" t="inlineStr">
        <is>
          <t>eng</t>
        </is>
      </c>
      <c r="R2613" t="inlineStr">
        <is>
          <t>nyu</t>
        </is>
      </c>
      <c r="T2613" t="inlineStr">
        <is>
          <t xml:space="preserve">PR </t>
        </is>
      </c>
      <c r="U2613" t="n">
        <v>3</v>
      </c>
      <c r="V2613" t="n">
        <v>3</v>
      </c>
      <c r="W2613" t="inlineStr">
        <is>
          <t>2005-02-15</t>
        </is>
      </c>
      <c r="X2613" t="inlineStr">
        <is>
          <t>2005-02-15</t>
        </is>
      </c>
      <c r="Y2613" t="inlineStr">
        <is>
          <t>1992-06-23</t>
        </is>
      </c>
      <c r="Z2613" t="inlineStr">
        <is>
          <t>1992-06-23</t>
        </is>
      </c>
      <c r="AA2613" t="n">
        <v>917</v>
      </c>
      <c r="AB2613" t="n">
        <v>869</v>
      </c>
      <c r="AC2613" t="n">
        <v>973</v>
      </c>
      <c r="AD2613" t="n">
        <v>6</v>
      </c>
      <c r="AE2613" t="n">
        <v>8</v>
      </c>
      <c r="AF2613" t="n">
        <v>33</v>
      </c>
      <c r="AG2613" t="n">
        <v>37</v>
      </c>
      <c r="AH2613" t="n">
        <v>16</v>
      </c>
      <c r="AI2613" t="n">
        <v>16</v>
      </c>
      <c r="AJ2613" t="n">
        <v>9</v>
      </c>
      <c r="AK2613" t="n">
        <v>9</v>
      </c>
      <c r="AL2613" t="n">
        <v>14</v>
      </c>
      <c r="AM2613" t="n">
        <v>16</v>
      </c>
      <c r="AN2613" t="n">
        <v>4</v>
      </c>
      <c r="AO2613" t="n">
        <v>6</v>
      </c>
      <c r="AP2613" t="n">
        <v>0</v>
      </c>
      <c r="AQ2613" t="n">
        <v>0</v>
      </c>
      <c r="AR2613" t="inlineStr">
        <is>
          <t>No</t>
        </is>
      </c>
      <c r="AS2613" t="inlineStr">
        <is>
          <t>Yes</t>
        </is>
      </c>
      <c r="AT2613">
        <f>HYPERLINK("http://catalog.hathitrust.org/Record/000226819","HathiTrust Record")</f>
        <v/>
      </c>
      <c r="AU2613">
        <f>HYPERLINK("https://creighton-primo.hosted.exlibrisgroup.com/primo-explore/search?tab=default_tab&amp;search_scope=EVERYTHING&amp;vid=01CRU&amp;lang=en_US&amp;offset=0&amp;query=any,contains,991005045749702656","Catalog Record")</f>
        <v/>
      </c>
      <c r="AV2613">
        <f>HYPERLINK("http://www.worldcat.org/oclc/6829463","WorldCat Record")</f>
        <v/>
      </c>
      <c r="AW2613" t="inlineStr">
        <is>
          <t>747171:eng</t>
        </is>
      </c>
      <c r="AX2613" t="inlineStr">
        <is>
          <t>6829463</t>
        </is>
      </c>
      <c r="AY2613" t="inlineStr">
        <is>
          <t>991005045749702656</t>
        </is>
      </c>
      <c r="AZ2613" t="inlineStr">
        <is>
          <t>991005045749702656</t>
        </is>
      </c>
      <c r="BA2613" t="inlineStr">
        <is>
          <t>2268555270002656</t>
        </is>
      </c>
      <c r="BB2613" t="inlineStr">
        <is>
          <t>BOOK</t>
        </is>
      </c>
      <c r="BD2613" t="inlineStr">
        <is>
          <t>9780689110870</t>
        </is>
      </c>
      <c r="BE2613" t="inlineStr">
        <is>
          <t>32285001133007</t>
        </is>
      </c>
      <c r="BF2613" t="inlineStr">
        <is>
          <t>893713363</t>
        </is>
      </c>
    </row>
    <row r="2614">
      <c r="A2614" t="inlineStr">
        <is>
          <t>No</t>
        </is>
      </c>
      <c r="B2614" t="inlineStr">
        <is>
          <t>CURAL</t>
        </is>
      </c>
      <c r="C2614" t="inlineStr">
        <is>
          <t>SHELVES</t>
        </is>
      </c>
      <c r="D2614" t="inlineStr">
        <is>
          <t>PR5881 .D6</t>
        </is>
      </c>
      <c r="E2614" t="inlineStr">
        <is>
          <t>0                      PR 5881000D  6</t>
        </is>
      </c>
      <c r="F2614" t="inlineStr">
        <is>
          <t>Wordsworth : the construction of a personality / [by] Wallace W. Douglas.</t>
        </is>
      </c>
      <c r="H2614" t="inlineStr">
        <is>
          <t>No</t>
        </is>
      </c>
      <c r="I2614" t="inlineStr">
        <is>
          <t>1</t>
        </is>
      </c>
      <c r="J2614" t="inlineStr">
        <is>
          <t>No</t>
        </is>
      </c>
      <c r="K2614" t="inlineStr">
        <is>
          <t>No</t>
        </is>
      </c>
      <c r="L2614" t="inlineStr">
        <is>
          <t>0</t>
        </is>
      </c>
      <c r="M2614" t="inlineStr">
        <is>
          <t>Douglas, Wallace W. (Wallace Warner), 1914-1995.</t>
        </is>
      </c>
      <c r="N2614" t="inlineStr">
        <is>
          <t>Kent? Ohio] : Kent State University Press, [1968]</t>
        </is>
      </c>
      <c r="O2614" t="inlineStr">
        <is>
          <t>1968</t>
        </is>
      </c>
      <c r="P2614" t="inlineStr">
        <is>
          <t>[1st ed.</t>
        </is>
      </c>
      <c r="Q2614" t="inlineStr">
        <is>
          <t>eng</t>
        </is>
      </c>
      <c r="R2614" t="inlineStr">
        <is>
          <t>ohu</t>
        </is>
      </c>
      <c r="S2614" t="inlineStr">
        <is>
          <t>Kent studies in English, 7 [i.e. 6]</t>
        </is>
      </c>
      <c r="T2614" t="inlineStr">
        <is>
          <t xml:space="preserve">PR </t>
        </is>
      </c>
      <c r="U2614" t="n">
        <v>8</v>
      </c>
      <c r="V2614" t="n">
        <v>8</v>
      </c>
      <c r="W2614" t="inlineStr">
        <is>
          <t>2003-04-18</t>
        </is>
      </c>
      <c r="X2614" t="inlineStr">
        <is>
          <t>2003-04-18</t>
        </is>
      </c>
      <c r="Y2614" t="inlineStr">
        <is>
          <t>1995-02-10</t>
        </is>
      </c>
      <c r="Z2614" t="inlineStr">
        <is>
          <t>1995-02-10</t>
        </is>
      </c>
      <c r="AA2614" t="n">
        <v>500</v>
      </c>
      <c r="AB2614" t="n">
        <v>431</v>
      </c>
      <c r="AC2614" t="n">
        <v>438</v>
      </c>
      <c r="AD2614" t="n">
        <v>5</v>
      </c>
      <c r="AE2614" t="n">
        <v>5</v>
      </c>
      <c r="AF2614" t="n">
        <v>31</v>
      </c>
      <c r="AG2614" t="n">
        <v>31</v>
      </c>
      <c r="AH2614" t="n">
        <v>11</v>
      </c>
      <c r="AI2614" t="n">
        <v>11</v>
      </c>
      <c r="AJ2614" t="n">
        <v>9</v>
      </c>
      <c r="AK2614" t="n">
        <v>9</v>
      </c>
      <c r="AL2614" t="n">
        <v>15</v>
      </c>
      <c r="AM2614" t="n">
        <v>15</v>
      </c>
      <c r="AN2614" t="n">
        <v>4</v>
      </c>
      <c r="AO2614" t="n">
        <v>4</v>
      </c>
      <c r="AP2614" t="n">
        <v>0</v>
      </c>
      <c r="AQ2614" t="n">
        <v>0</v>
      </c>
      <c r="AR2614" t="inlineStr">
        <is>
          <t>No</t>
        </is>
      </c>
      <c r="AS2614" t="inlineStr">
        <is>
          <t>Yes</t>
        </is>
      </c>
      <c r="AT2614">
        <f>HYPERLINK("http://catalog.hathitrust.org/Record/001188964","HathiTrust Record")</f>
        <v/>
      </c>
      <c r="AU2614">
        <f>HYPERLINK("https://creighton-primo.hosted.exlibrisgroup.com/primo-explore/search?tab=default_tab&amp;search_scope=EVERYTHING&amp;vid=01CRU&amp;lang=en_US&amp;offset=0&amp;query=any,contains,991001086229702656","Catalog Record")</f>
        <v/>
      </c>
      <c r="AV2614">
        <f>HYPERLINK("http://www.worldcat.org/oclc/180405","WorldCat Record")</f>
        <v/>
      </c>
      <c r="AW2614" t="inlineStr">
        <is>
          <t>347315746:eng</t>
        </is>
      </c>
      <c r="AX2614" t="inlineStr">
        <is>
          <t>180405</t>
        </is>
      </c>
      <c r="AY2614" t="inlineStr">
        <is>
          <t>991001086229702656</t>
        </is>
      </c>
      <c r="AZ2614" t="inlineStr">
        <is>
          <t>991001086229702656</t>
        </is>
      </c>
      <c r="BA2614" t="inlineStr">
        <is>
          <t>2272065430002656</t>
        </is>
      </c>
      <c r="BB2614" t="inlineStr">
        <is>
          <t>BOOK</t>
        </is>
      </c>
      <c r="BE2614" t="inlineStr">
        <is>
          <t>32285001988657</t>
        </is>
      </c>
      <c r="BF2614" t="inlineStr">
        <is>
          <t>893327865</t>
        </is>
      </c>
    </row>
    <row r="2615">
      <c r="A2615" t="inlineStr">
        <is>
          <t>No</t>
        </is>
      </c>
      <c r="B2615" t="inlineStr">
        <is>
          <t>CURAL</t>
        </is>
      </c>
      <c r="C2615" t="inlineStr">
        <is>
          <t>SHELVES</t>
        </is>
      </c>
      <c r="D2615" t="inlineStr">
        <is>
          <t>PR5881 .F3 1966</t>
        </is>
      </c>
      <c r="E2615" t="inlineStr">
        <is>
          <t>0                      PR 5881000F  3           1966</t>
        </is>
      </c>
      <c r="F2615" t="inlineStr">
        <is>
          <t>The lost leader : a study of Wordsworth.</t>
        </is>
      </c>
      <c r="H2615" t="inlineStr">
        <is>
          <t>No</t>
        </is>
      </c>
      <c r="I2615" t="inlineStr">
        <is>
          <t>1</t>
        </is>
      </c>
      <c r="J2615" t="inlineStr">
        <is>
          <t>No</t>
        </is>
      </c>
      <c r="K2615" t="inlineStr">
        <is>
          <t>No</t>
        </is>
      </c>
      <c r="L2615" t="inlineStr">
        <is>
          <t>0</t>
        </is>
      </c>
      <c r="M2615" t="inlineStr">
        <is>
          <t>Fausset, Hugh I'Anson, 1895-1965.</t>
        </is>
      </c>
      <c r="N2615" t="inlineStr">
        <is>
          <t>New York : Russell &amp; Russell, 1966.</t>
        </is>
      </c>
      <c r="O2615" t="inlineStr">
        <is>
          <t>1966</t>
        </is>
      </c>
      <c r="Q2615" t="inlineStr">
        <is>
          <t>eng</t>
        </is>
      </c>
      <c r="R2615" t="inlineStr">
        <is>
          <t>nyu</t>
        </is>
      </c>
      <c r="T2615" t="inlineStr">
        <is>
          <t xml:space="preserve">PR </t>
        </is>
      </c>
      <c r="U2615" t="n">
        <v>3</v>
      </c>
      <c r="V2615" t="n">
        <v>3</v>
      </c>
      <c r="W2615" t="inlineStr">
        <is>
          <t>1998-03-02</t>
        </is>
      </c>
      <c r="X2615" t="inlineStr">
        <is>
          <t>1998-03-02</t>
        </is>
      </c>
      <c r="Y2615" t="inlineStr">
        <is>
          <t>1995-02-21</t>
        </is>
      </c>
      <c r="Z2615" t="inlineStr">
        <is>
          <t>1995-02-21</t>
        </is>
      </c>
      <c r="AA2615" t="n">
        <v>312</v>
      </c>
      <c r="AB2615" t="n">
        <v>288</v>
      </c>
      <c r="AC2615" t="n">
        <v>586</v>
      </c>
      <c r="AD2615" t="n">
        <v>2</v>
      </c>
      <c r="AE2615" t="n">
        <v>6</v>
      </c>
      <c r="AF2615" t="n">
        <v>13</v>
      </c>
      <c r="AG2615" t="n">
        <v>31</v>
      </c>
      <c r="AH2615" t="n">
        <v>7</v>
      </c>
      <c r="AI2615" t="n">
        <v>13</v>
      </c>
      <c r="AJ2615" t="n">
        <v>3</v>
      </c>
      <c r="AK2615" t="n">
        <v>8</v>
      </c>
      <c r="AL2615" t="n">
        <v>6</v>
      </c>
      <c r="AM2615" t="n">
        <v>15</v>
      </c>
      <c r="AN2615" t="n">
        <v>1</v>
      </c>
      <c r="AO2615" t="n">
        <v>5</v>
      </c>
      <c r="AP2615" t="n">
        <v>0</v>
      </c>
      <c r="AQ2615" t="n">
        <v>0</v>
      </c>
      <c r="AR2615" t="inlineStr">
        <is>
          <t>No</t>
        </is>
      </c>
      <c r="AS2615" t="inlineStr">
        <is>
          <t>No</t>
        </is>
      </c>
      <c r="AU2615">
        <f>HYPERLINK("https://creighton-primo.hosted.exlibrisgroup.com/primo-explore/search?tab=default_tab&amp;search_scope=EVERYTHING&amp;vid=01CRU&amp;lang=en_US&amp;offset=0&amp;query=any,contains,991002491769702656","Catalog Record")</f>
        <v/>
      </c>
      <c r="AV2615">
        <f>HYPERLINK("http://www.worldcat.org/oclc/362807","WorldCat Record")</f>
        <v/>
      </c>
      <c r="AW2615" t="inlineStr">
        <is>
          <t>197457900:eng</t>
        </is>
      </c>
      <c r="AX2615" t="inlineStr">
        <is>
          <t>362807</t>
        </is>
      </c>
      <c r="AY2615" t="inlineStr">
        <is>
          <t>991002491769702656</t>
        </is>
      </c>
      <c r="AZ2615" t="inlineStr">
        <is>
          <t>991002491769702656</t>
        </is>
      </c>
      <c r="BA2615" t="inlineStr">
        <is>
          <t>2262407890002656</t>
        </is>
      </c>
      <c r="BB2615" t="inlineStr">
        <is>
          <t>BOOK</t>
        </is>
      </c>
      <c r="BE2615" t="inlineStr">
        <is>
          <t>32285001989309</t>
        </is>
      </c>
      <c r="BF2615" t="inlineStr">
        <is>
          <t>893622350</t>
        </is>
      </c>
    </row>
    <row r="2616">
      <c r="A2616" t="inlineStr">
        <is>
          <t>No</t>
        </is>
      </c>
      <c r="B2616" t="inlineStr">
        <is>
          <t>CURAL</t>
        </is>
      </c>
      <c r="C2616" t="inlineStr">
        <is>
          <t>SHELVES</t>
        </is>
      </c>
      <c r="D2616" t="inlineStr">
        <is>
          <t>PR5881 .G3 1927</t>
        </is>
      </c>
      <c r="E2616" t="inlineStr">
        <is>
          <t>0                      PR 5881000G  3           1927</t>
        </is>
      </c>
      <c r="F2616" t="inlineStr">
        <is>
          <t>Wordsworth : lectures and essays / by H. W. Garrod.</t>
        </is>
      </c>
      <c r="H2616" t="inlineStr">
        <is>
          <t>No</t>
        </is>
      </c>
      <c r="I2616" t="inlineStr">
        <is>
          <t>1</t>
        </is>
      </c>
      <c r="J2616" t="inlineStr">
        <is>
          <t>No</t>
        </is>
      </c>
      <c r="K2616" t="inlineStr">
        <is>
          <t>Yes</t>
        </is>
      </c>
      <c r="L2616" t="inlineStr">
        <is>
          <t>0</t>
        </is>
      </c>
      <c r="M2616" t="inlineStr">
        <is>
          <t>Garrod, H. W. (Heathcote William), 1878-1960.</t>
        </is>
      </c>
      <c r="N2616" t="inlineStr">
        <is>
          <t>Oxford : Clarendon Press, 1927.</t>
        </is>
      </c>
      <c r="O2616" t="inlineStr">
        <is>
          <t>1927</t>
        </is>
      </c>
      <c r="P2616" t="inlineStr">
        <is>
          <t>2d ed., enl.</t>
        </is>
      </c>
      <c r="Q2616" t="inlineStr">
        <is>
          <t>eng</t>
        </is>
      </c>
      <c r="R2616" t="inlineStr">
        <is>
          <t>enk</t>
        </is>
      </c>
      <c r="T2616" t="inlineStr">
        <is>
          <t xml:space="preserve">PR </t>
        </is>
      </c>
      <c r="U2616" t="n">
        <v>1</v>
      </c>
      <c r="V2616" t="n">
        <v>1</v>
      </c>
      <c r="W2616" t="inlineStr">
        <is>
          <t>2005-02-23</t>
        </is>
      </c>
      <c r="X2616" t="inlineStr">
        <is>
          <t>2005-02-23</t>
        </is>
      </c>
      <c r="Y2616" t="inlineStr">
        <is>
          <t>1997-07-23</t>
        </is>
      </c>
      <c r="Z2616" t="inlineStr">
        <is>
          <t>1997-07-23</t>
        </is>
      </c>
      <c r="AA2616" t="n">
        <v>346</v>
      </c>
      <c r="AB2616" t="n">
        <v>272</v>
      </c>
      <c r="AC2616" t="n">
        <v>695</v>
      </c>
      <c r="AD2616" t="n">
        <v>4</v>
      </c>
      <c r="AE2616" t="n">
        <v>6</v>
      </c>
      <c r="AF2616" t="n">
        <v>15</v>
      </c>
      <c r="AG2616" t="n">
        <v>40</v>
      </c>
      <c r="AH2616" t="n">
        <v>3</v>
      </c>
      <c r="AI2616" t="n">
        <v>18</v>
      </c>
      <c r="AJ2616" t="n">
        <v>3</v>
      </c>
      <c r="AK2616" t="n">
        <v>6</v>
      </c>
      <c r="AL2616" t="n">
        <v>11</v>
      </c>
      <c r="AM2616" t="n">
        <v>21</v>
      </c>
      <c r="AN2616" t="n">
        <v>3</v>
      </c>
      <c r="AO2616" t="n">
        <v>5</v>
      </c>
      <c r="AP2616" t="n">
        <v>0</v>
      </c>
      <c r="AQ2616" t="n">
        <v>0</v>
      </c>
      <c r="AR2616" t="inlineStr">
        <is>
          <t>No</t>
        </is>
      </c>
      <c r="AS2616" t="inlineStr">
        <is>
          <t>Yes</t>
        </is>
      </c>
      <c r="AT2616">
        <f>HYPERLINK("http://catalog.hathitrust.org/Record/001428280","HathiTrust Record")</f>
        <v/>
      </c>
      <c r="AU2616">
        <f>HYPERLINK("https://creighton-primo.hosted.exlibrisgroup.com/primo-explore/search?tab=default_tab&amp;search_scope=EVERYTHING&amp;vid=01CRU&amp;lang=en_US&amp;offset=0&amp;query=any,contains,991004515539702656","Catalog Record")</f>
        <v/>
      </c>
      <c r="AV2616">
        <f>HYPERLINK("http://www.worldcat.org/oclc/3785267","WorldCat Record")</f>
        <v/>
      </c>
      <c r="AW2616" t="inlineStr">
        <is>
          <t>3469750:eng</t>
        </is>
      </c>
      <c r="AX2616" t="inlineStr">
        <is>
          <t>3785267</t>
        </is>
      </c>
      <c r="AY2616" t="inlineStr">
        <is>
          <t>991004515539702656</t>
        </is>
      </c>
      <c r="AZ2616" t="inlineStr">
        <is>
          <t>991004515539702656</t>
        </is>
      </c>
      <c r="BA2616" t="inlineStr">
        <is>
          <t>2255664040002656</t>
        </is>
      </c>
      <c r="BB2616" t="inlineStr">
        <is>
          <t>BOOK</t>
        </is>
      </c>
      <c r="BE2616" t="inlineStr">
        <is>
          <t>32285002951704</t>
        </is>
      </c>
      <c r="BF2616" t="inlineStr">
        <is>
          <t>893500672</t>
        </is>
      </c>
    </row>
    <row r="2617">
      <c r="A2617" t="inlineStr">
        <is>
          <t>No</t>
        </is>
      </c>
      <c r="B2617" t="inlineStr">
        <is>
          <t>CURAL</t>
        </is>
      </c>
      <c r="C2617" t="inlineStr">
        <is>
          <t>SHELVES</t>
        </is>
      </c>
      <c r="D2617" t="inlineStr">
        <is>
          <t>PR5881 .G55 1989</t>
        </is>
      </c>
      <c r="E2617" t="inlineStr">
        <is>
          <t>0                      PR 5881000G  55          1989</t>
        </is>
      </c>
      <c r="F2617" t="inlineStr">
        <is>
          <t>William Wordsworth : a life / Stephen Gill.</t>
        </is>
      </c>
      <c r="H2617" t="inlineStr">
        <is>
          <t>No</t>
        </is>
      </c>
      <c r="I2617" t="inlineStr">
        <is>
          <t>1</t>
        </is>
      </c>
      <c r="J2617" t="inlineStr">
        <is>
          <t>No</t>
        </is>
      </c>
      <c r="K2617" t="inlineStr">
        <is>
          <t>No</t>
        </is>
      </c>
      <c r="L2617" t="inlineStr">
        <is>
          <t>0</t>
        </is>
      </c>
      <c r="M2617" t="inlineStr">
        <is>
          <t>Gill, Stephen.</t>
        </is>
      </c>
      <c r="N2617" t="inlineStr">
        <is>
          <t>Oxford [England] : Clarendon Press ; New York : Oxford University Press, 1989.</t>
        </is>
      </c>
      <c r="O2617" t="inlineStr">
        <is>
          <t>1989</t>
        </is>
      </c>
      <c r="Q2617" t="inlineStr">
        <is>
          <t>eng</t>
        </is>
      </c>
      <c r="R2617" t="inlineStr">
        <is>
          <t>enk</t>
        </is>
      </c>
      <c r="T2617" t="inlineStr">
        <is>
          <t xml:space="preserve">PR </t>
        </is>
      </c>
      <c r="U2617" t="n">
        <v>10</v>
      </c>
      <c r="V2617" t="n">
        <v>10</v>
      </c>
      <c r="W2617" t="inlineStr">
        <is>
          <t>2005-02-20</t>
        </is>
      </c>
      <c r="X2617" t="inlineStr">
        <is>
          <t>2005-02-20</t>
        </is>
      </c>
      <c r="Y2617" t="inlineStr">
        <is>
          <t>1990-02-16</t>
        </is>
      </c>
      <c r="Z2617" t="inlineStr">
        <is>
          <t>1990-02-16</t>
        </is>
      </c>
      <c r="AA2617" t="n">
        <v>1540</v>
      </c>
      <c r="AB2617" t="n">
        <v>1270</v>
      </c>
      <c r="AC2617" t="n">
        <v>1394</v>
      </c>
      <c r="AD2617" t="n">
        <v>11</v>
      </c>
      <c r="AE2617" t="n">
        <v>11</v>
      </c>
      <c r="AF2617" t="n">
        <v>51</v>
      </c>
      <c r="AG2617" t="n">
        <v>55</v>
      </c>
      <c r="AH2617" t="n">
        <v>21</v>
      </c>
      <c r="AI2617" t="n">
        <v>23</v>
      </c>
      <c r="AJ2617" t="n">
        <v>9</v>
      </c>
      <c r="AK2617" t="n">
        <v>10</v>
      </c>
      <c r="AL2617" t="n">
        <v>23</v>
      </c>
      <c r="AM2617" t="n">
        <v>26</v>
      </c>
      <c r="AN2617" t="n">
        <v>10</v>
      </c>
      <c r="AO2617" t="n">
        <v>10</v>
      </c>
      <c r="AP2617" t="n">
        <v>0</v>
      </c>
      <c r="AQ2617" t="n">
        <v>0</v>
      </c>
      <c r="AR2617" t="inlineStr">
        <is>
          <t>No</t>
        </is>
      </c>
      <c r="AS2617" t="inlineStr">
        <is>
          <t>Yes</t>
        </is>
      </c>
      <c r="AT2617">
        <f>HYPERLINK("http://catalog.hathitrust.org/Record/001097791","HathiTrust Record")</f>
        <v/>
      </c>
      <c r="AU2617">
        <f>HYPERLINK("https://creighton-primo.hosted.exlibrisgroup.com/primo-explore/search?tab=default_tab&amp;search_scope=EVERYTHING&amp;vid=01CRU&amp;lang=en_US&amp;offset=0&amp;query=any,contains,991001290659702656","Catalog Record")</f>
        <v/>
      </c>
      <c r="AV2617">
        <f>HYPERLINK("http://www.worldcat.org/oclc/17983425","WorldCat Record")</f>
        <v/>
      </c>
      <c r="AW2617" t="inlineStr">
        <is>
          <t>3856077111:eng</t>
        </is>
      </c>
      <c r="AX2617" t="inlineStr">
        <is>
          <t>17983425</t>
        </is>
      </c>
      <c r="AY2617" t="inlineStr">
        <is>
          <t>991001290659702656</t>
        </is>
      </c>
      <c r="AZ2617" t="inlineStr">
        <is>
          <t>991001290659702656</t>
        </is>
      </c>
      <c r="BA2617" t="inlineStr">
        <is>
          <t>2258728570002656</t>
        </is>
      </c>
      <c r="BB2617" t="inlineStr">
        <is>
          <t>BOOK</t>
        </is>
      </c>
      <c r="BD2617" t="inlineStr">
        <is>
          <t>9780198128281</t>
        </is>
      </c>
      <c r="BE2617" t="inlineStr">
        <is>
          <t>32285000038041</t>
        </is>
      </c>
      <c r="BF2617" t="inlineStr">
        <is>
          <t>893891471</t>
        </is>
      </c>
    </row>
    <row r="2618">
      <c r="A2618" t="inlineStr">
        <is>
          <t>No</t>
        </is>
      </c>
      <c r="B2618" t="inlineStr">
        <is>
          <t>CURAL</t>
        </is>
      </c>
      <c r="C2618" t="inlineStr">
        <is>
          <t>SHELVES</t>
        </is>
      </c>
      <c r="D2618" t="inlineStr">
        <is>
          <t>PR5881 .G7 1962</t>
        </is>
      </c>
      <c r="E2618" t="inlineStr">
        <is>
          <t>0                      PR 5881000G  7           1962</t>
        </is>
      </c>
      <c r="F2618" t="inlineStr">
        <is>
          <t>Wordsworth and Coleridge; studies in honor of George McLean Harper. An appreciation by J. Duncan Spaeth. A bibliography by Evelyn Griggs.</t>
        </is>
      </c>
      <c r="H2618" t="inlineStr">
        <is>
          <t>No</t>
        </is>
      </c>
      <c r="I2618" t="inlineStr">
        <is>
          <t>1</t>
        </is>
      </c>
      <c r="J2618" t="inlineStr">
        <is>
          <t>No</t>
        </is>
      </c>
      <c r="K2618" t="inlineStr">
        <is>
          <t>Yes</t>
        </is>
      </c>
      <c r="L2618" t="inlineStr">
        <is>
          <t>0</t>
        </is>
      </c>
      <c r="M2618" t="inlineStr">
        <is>
          <t>Griggs, Earl Leslie, editor.</t>
        </is>
      </c>
      <c r="N2618" t="inlineStr">
        <is>
          <t>New York, Russell &amp; Russell, 1962 [c1939]</t>
        </is>
      </c>
      <c r="O2618" t="inlineStr">
        <is>
          <t>1962</t>
        </is>
      </c>
      <c r="Q2618" t="inlineStr">
        <is>
          <t>eng</t>
        </is>
      </c>
      <c r="R2618" t="inlineStr">
        <is>
          <t>nyu</t>
        </is>
      </c>
      <c r="T2618" t="inlineStr">
        <is>
          <t xml:space="preserve">PR </t>
        </is>
      </c>
      <c r="U2618" t="n">
        <v>1</v>
      </c>
      <c r="V2618" t="n">
        <v>1</v>
      </c>
      <c r="W2618" t="inlineStr">
        <is>
          <t>2007-08-20</t>
        </is>
      </c>
      <c r="X2618" t="inlineStr">
        <is>
          <t>2007-08-20</t>
        </is>
      </c>
      <c r="Y2618" t="inlineStr">
        <is>
          <t>1997-07-23</t>
        </is>
      </c>
      <c r="Z2618" t="inlineStr">
        <is>
          <t>1997-07-23</t>
        </is>
      </c>
      <c r="AA2618" t="n">
        <v>533</v>
      </c>
      <c r="AB2618" t="n">
        <v>485</v>
      </c>
      <c r="AC2618" t="n">
        <v>679</v>
      </c>
      <c r="AD2618" t="n">
        <v>6</v>
      </c>
      <c r="AE2618" t="n">
        <v>7</v>
      </c>
      <c r="AF2618" t="n">
        <v>30</v>
      </c>
      <c r="AG2618" t="n">
        <v>40</v>
      </c>
      <c r="AH2618" t="n">
        <v>13</v>
      </c>
      <c r="AI2618" t="n">
        <v>18</v>
      </c>
      <c r="AJ2618" t="n">
        <v>3</v>
      </c>
      <c r="AK2618" t="n">
        <v>7</v>
      </c>
      <c r="AL2618" t="n">
        <v>17</v>
      </c>
      <c r="AM2618" t="n">
        <v>20</v>
      </c>
      <c r="AN2618" t="n">
        <v>5</v>
      </c>
      <c r="AO2618" t="n">
        <v>6</v>
      </c>
      <c r="AP2618" t="n">
        <v>0</v>
      </c>
      <c r="AQ2618" t="n">
        <v>0</v>
      </c>
      <c r="AR2618" t="inlineStr">
        <is>
          <t>No</t>
        </is>
      </c>
      <c r="AS2618" t="inlineStr">
        <is>
          <t>No</t>
        </is>
      </c>
      <c r="AT2618">
        <f>HYPERLINK("http://catalog.hathitrust.org/Record/001024919","HathiTrust Record")</f>
        <v/>
      </c>
      <c r="AU2618">
        <f>HYPERLINK("https://creighton-primo.hosted.exlibrisgroup.com/primo-explore/search?tab=default_tab&amp;search_scope=EVERYTHING&amp;vid=01CRU&amp;lang=en_US&amp;offset=0&amp;query=any,contains,991004168679702656","Catalog Record")</f>
        <v/>
      </c>
      <c r="AV2618">
        <f>HYPERLINK("http://www.worldcat.org/oclc/2573451","WorldCat Record")</f>
        <v/>
      </c>
      <c r="AW2618" t="inlineStr">
        <is>
          <t>916684242:eng</t>
        </is>
      </c>
      <c r="AX2618" t="inlineStr">
        <is>
          <t>2573451</t>
        </is>
      </c>
      <c r="AY2618" t="inlineStr">
        <is>
          <t>991004168679702656</t>
        </is>
      </c>
      <c r="AZ2618" t="inlineStr">
        <is>
          <t>991004168679702656</t>
        </is>
      </c>
      <c r="BA2618" t="inlineStr">
        <is>
          <t>2263375140002656</t>
        </is>
      </c>
      <c r="BB2618" t="inlineStr">
        <is>
          <t>BOOK</t>
        </is>
      </c>
      <c r="BE2618" t="inlineStr">
        <is>
          <t>32285002951712</t>
        </is>
      </c>
      <c r="BF2618" t="inlineStr">
        <is>
          <t>893599508</t>
        </is>
      </c>
    </row>
    <row r="2619">
      <c r="A2619" t="inlineStr">
        <is>
          <t>No</t>
        </is>
      </c>
      <c r="B2619" t="inlineStr">
        <is>
          <t>CURAL</t>
        </is>
      </c>
      <c r="C2619" t="inlineStr">
        <is>
          <t>SHELVES</t>
        </is>
      </c>
      <c r="D2619" t="inlineStr">
        <is>
          <t>PR5881 .H23</t>
        </is>
      </c>
      <c r="E2619" t="inlineStr">
        <is>
          <t>0                      PR 5881000H  23</t>
        </is>
      </c>
      <c r="F2619" t="inlineStr">
        <is>
          <t>Wordsworth and his world, by F. E. Halliday.</t>
        </is>
      </c>
      <c r="H2619" t="inlineStr">
        <is>
          <t>No</t>
        </is>
      </c>
      <c r="I2619" t="inlineStr">
        <is>
          <t>1</t>
        </is>
      </c>
      <c r="J2619" t="inlineStr">
        <is>
          <t>No</t>
        </is>
      </c>
      <c r="K2619" t="inlineStr">
        <is>
          <t>No</t>
        </is>
      </c>
      <c r="L2619" t="inlineStr">
        <is>
          <t>0</t>
        </is>
      </c>
      <c r="M2619" t="inlineStr">
        <is>
          <t>Halliday, F. E. (Frank Ernest), 1903-1982.</t>
        </is>
      </c>
      <c r="N2619" t="inlineStr">
        <is>
          <t>New York, Viking Press [1970]</t>
        </is>
      </c>
      <c r="O2619" t="inlineStr">
        <is>
          <t>1970</t>
        </is>
      </c>
      <c r="Q2619" t="inlineStr">
        <is>
          <t>eng</t>
        </is>
      </c>
      <c r="R2619" t="inlineStr">
        <is>
          <t>nyu</t>
        </is>
      </c>
      <c r="S2619" t="inlineStr">
        <is>
          <t>A Studio book</t>
        </is>
      </c>
      <c r="T2619" t="inlineStr">
        <is>
          <t xml:space="preserve">PR </t>
        </is>
      </c>
      <c r="U2619" t="n">
        <v>3</v>
      </c>
      <c r="V2619" t="n">
        <v>3</v>
      </c>
      <c r="W2619" t="inlineStr">
        <is>
          <t>2005-02-20</t>
        </is>
      </c>
      <c r="X2619" t="inlineStr">
        <is>
          <t>2005-02-20</t>
        </is>
      </c>
      <c r="Y2619" t="inlineStr">
        <is>
          <t>1997-07-23</t>
        </is>
      </c>
      <c r="Z2619" t="inlineStr">
        <is>
          <t>1997-07-23</t>
        </is>
      </c>
      <c r="AA2619" t="n">
        <v>490</v>
      </c>
      <c r="AB2619" t="n">
        <v>452</v>
      </c>
      <c r="AC2619" t="n">
        <v>508</v>
      </c>
      <c r="AD2619" t="n">
        <v>4</v>
      </c>
      <c r="AE2619" t="n">
        <v>4</v>
      </c>
      <c r="AF2619" t="n">
        <v>17</v>
      </c>
      <c r="AG2619" t="n">
        <v>19</v>
      </c>
      <c r="AH2619" t="n">
        <v>4</v>
      </c>
      <c r="AI2619" t="n">
        <v>4</v>
      </c>
      <c r="AJ2619" t="n">
        <v>5</v>
      </c>
      <c r="AK2619" t="n">
        <v>5</v>
      </c>
      <c r="AL2619" t="n">
        <v>7</v>
      </c>
      <c r="AM2619" t="n">
        <v>9</v>
      </c>
      <c r="AN2619" t="n">
        <v>3</v>
      </c>
      <c r="AO2619" t="n">
        <v>3</v>
      </c>
      <c r="AP2619" t="n">
        <v>0</v>
      </c>
      <c r="AQ2619" t="n">
        <v>0</v>
      </c>
      <c r="AR2619" t="inlineStr">
        <is>
          <t>No</t>
        </is>
      </c>
      <c r="AS2619" t="inlineStr">
        <is>
          <t>Yes</t>
        </is>
      </c>
      <c r="AT2619">
        <f>HYPERLINK("http://catalog.hathitrust.org/Record/001188976","HathiTrust Record")</f>
        <v/>
      </c>
      <c r="AU2619">
        <f>HYPERLINK("https://creighton-primo.hosted.exlibrisgroup.com/primo-explore/search?tab=default_tab&amp;search_scope=EVERYTHING&amp;vid=01CRU&amp;lang=en_US&amp;offset=0&amp;query=any,contains,991000403419702656","Catalog Record")</f>
        <v/>
      </c>
      <c r="AV2619">
        <f>HYPERLINK("http://www.worldcat.org/oclc/73735","WorldCat Record")</f>
        <v/>
      </c>
      <c r="AW2619" t="inlineStr">
        <is>
          <t>1174349:eng</t>
        </is>
      </c>
      <c r="AX2619" t="inlineStr">
        <is>
          <t>73735</t>
        </is>
      </c>
      <c r="AY2619" t="inlineStr">
        <is>
          <t>991000403419702656</t>
        </is>
      </c>
      <c r="AZ2619" t="inlineStr">
        <is>
          <t>991000403419702656</t>
        </is>
      </c>
      <c r="BA2619" t="inlineStr">
        <is>
          <t>2269955430002656</t>
        </is>
      </c>
      <c r="BB2619" t="inlineStr">
        <is>
          <t>BOOK</t>
        </is>
      </c>
      <c r="BD2619" t="inlineStr">
        <is>
          <t>9780670782567</t>
        </is>
      </c>
      <c r="BE2619" t="inlineStr">
        <is>
          <t>32285002951720</t>
        </is>
      </c>
      <c r="BF2619" t="inlineStr">
        <is>
          <t>893689667</t>
        </is>
      </c>
    </row>
    <row r="2620">
      <c r="A2620" t="inlineStr">
        <is>
          <t>No</t>
        </is>
      </c>
      <c r="B2620" t="inlineStr">
        <is>
          <t>CURAL</t>
        </is>
      </c>
      <c r="C2620" t="inlineStr">
        <is>
          <t>SHELVES</t>
        </is>
      </c>
      <c r="D2620" t="inlineStr">
        <is>
          <t>PR5881 .H35</t>
        </is>
      </c>
      <c r="E2620" t="inlineStr">
        <is>
          <t>0                      PR 5881000H  35</t>
        </is>
      </c>
      <c r="F2620" t="inlineStr">
        <is>
          <t>The mind of a poet : a study of Wordsworth's thought with particular reference to The prelude / by Raymond Dexter Havens.</t>
        </is>
      </c>
      <c r="H2620" t="inlineStr">
        <is>
          <t>No</t>
        </is>
      </c>
      <c r="I2620" t="inlineStr">
        <is>
          <t>1</t>
        </is>
      </c>
      <c r="J2620" t="inlineStr">
        <is>
          <t>No</t>
        </is>
      </c>
      <c r="K2620" t="inlineStr">
        <is>
          <t>No</t>
        </is>
      </c>
      <c r="L2620" t="inlineStr">
        <is>
          <t>0</t>
        </is>
      </c>
      <c r="M2620" t="inlineStr">
        <is>
          <t>Havens, Raymond Dexter, 1880-1954.</t>
        </is>
      </c>
      <c r="N2620" t="inlineStr">
        <is>
          <t>Baltimore : The Johns Hopkins Press, 1941.</t>
        </is>
      </c>
      <c r="O2620" t="inlineStr">
        <is>
          <t>1941</t>
        </is>
      </c>
      <c r="Q2620" t="inlineStr">
        <is>
          <t>eng</t>
        </is>
      </c>
      <c r="R2620" t="inlineStr">
        <is>
          <t xml:space="preserve">xx </t>
        </is>
      </c>
      <c r="T2620" t="inlineStr">
        <is>
          <t xml:space="preserve">PR </t>
        </is>
      </c>
      <c r="U2620" t="n">
        <v>6</v>
      </c>
      <c r="V2620" t="n">
        <v>6</v>
      </c>
      <c r="W2620" t="inlineStr">
        <is>
          <t>1998-02-12</t>
        </is>
      </c>
      <c r="X2620" t="inlineStr">
        <is>
          <t>1998-02-12</t>
        </is>
      </c>
      <c r="Y2620" t="inlineStr">
        <is>
          <t>1991-02-28</t>
        </is>
      </c>
      <c r="Z2620" t="inlineStr">
        <is>
          <t>1991-02-28</t>
        </is>
      </c>
      <c r="AA2620" t="n">
        <v>440</v>
      </c>
      <c r="AB2620" t="n">
        <v>394</v>
      </c>
      <c r="AC2620" t="n">
        <v>681</v>
      </c>
      <c r="AD2620" t="n">
        <v>2</v>
      </c>
      <c r="AE2620" t="n">
        <v>7</v>
      </c>
      <c r="AF2620" t="n">
        <v>22</v>
      </c>
      <c r="AG2620" t="n">
        <v>34</v>
      </c>
      <c r="AH2620" t="n">
        <v>14</v>
      </c>
      <c r="AI2620" t="n">
        <v>18</v>
      </c>
      <c r="AJ2620" t="n">
        <v>4</v>
      </c>
      <c r="AK2620" t="n">
        <v>6</v>
      </c>
      <c r="AL2620" t="n">
        <v>10</v>
      </c>
      <c r="AM2620" t="n">
        <v>15</v>
      </c>
      <c r="AN2620" t="n">
        <v>1</v>
      </c>
      <c r="AO2620" t="n">
        <v>5</v>
      </c>
      <c r="AP2620" t="n">
        <v>0</v>
      </c>
      <c r="AQ2620" t="n">
        <v>0</v>
      </c>
      <c r="AR2620" t="inlineStr">
        <is>
          <t>No</t>
        </is>
      </c>
      <c r="AS2620" t="inlineStr">
        <is>
          <t>Yes</t>
        </is>
      </c>
      <c r="AT2620">
        <f>HYPERLINK("http://catalog.hathitrust.org/Record/001112412","HathiTrust Record")</f>
        <v/>
      </c>
      <c r="AU2620">
        <f>HYPERLINK("https://creighton-primo.hosted.exlibrisgroup.com/primo-explore/search?tab=default_tab&amp;search_scope=EVERYTHING&amp;vid=01CRU&amp;lang=en_US&amp;offset=0&amp;query=any,contains,991003405769702656","Catalog Record")</f>
        <v/>
      </c>
      <c r="AV2620">
        <f>HYPERLINK("http://www.worldcat.org/oclc/945702","WorldCat Record")</f>
        <v/>
      </c>
      <c r="AW2620" t="inlineStr">
        <is>
          <t>5481872053:eng</t>
        </is>
      </c>
      <c r="AX2620" t="inlineStr">
        <is>
          <t>945702</t>
        </is>
      </c>
      <c r="AY2620" t="inlineStr">
        <is>
          <t>991003405769702656</t>
        </is>
      </c>
      <c r="AZ2620" t="inlineStr">
        <is>
          <t>991003405769702656</t>
        </is>
      </c>
      <c r="BA2620" t="inlineStr">
        <is>
          <t>2268033300002656</t>
        </is>
      </c>
      <c r="BB2620" t="inlineStr">
        <is>
          <t>BOOK</t>
        </is>
      </c>
      <c r="BE2620" t="inlineStr">
        <is>
          <t>32285000510775</t>
        </is>
      </c>
      <c r="BF2620" t="inlineStr">
        <is>
          <t>893787294</t>
        </is>
      </c>
    </row>
    <row r="2621">
      <c r="A2621" t="inlineStr">
        <is>
          <t>No</t>
        </is>
      </c>
      <c r="B2621" t="inlineStr">
        <is>
          <t>CURAL</t>
        </is>
      </c>
      <c r="C2621" t="inlineStr">
        <is>
          <t>SHELVES</t>
        </is>
      </c>
      <c r="D2621" t="inlineStr">
        <is>
          <t>PR5881 .H4</t>
        </is>
      </c>
      <c r="E2621" t="inlineStr">
        <is>
          <t>0                      PR 5881000H  4</t>
        </is>
      </c>
      <c r="F2621" t="inlineStr">
        <is>
          <t>Wordsworth, by C.H. Herford.</t>
        </is>
      </c>
      <c r="H2621" t="inlineStr">
        <is>
          <t>No</t>
        </is>
      </c>
      <c r="I2621" t="inlineStr">
        <is>
          <t>1</t>
        </is>
      </c>
      <c r="J2621" t="inlineStr">
        <is>
          <t>No</t>
        </is>
      </c>
      <c r="K2621" t="inlineStr">
        <is>
          <t>No</t>
        </is>
      </c>
      <c r="L2621" t="inlineStr">
        <is>
          <t>0</t>
        </is>
      </c>
      <c r="M2621" t="inlineStr">
        <is>
          <t>Herford, C. H. (Charles Harold), 1853-1931.</t>
        </is>
      </c>
      <c r="N2621" t="inlineStr">
        <is>
          <t>New York, E.P. Dutton &amp; co., 1930.</t>
        </is>
      </c>
      <c r="O2621" t="inlineStr">
        <is>
          <t>1930</t>
        </is>
      </c>
      <c r="Q2621" t="inlineStr">
        <is>
          <t>eng</t>
        </is>
      </c>
      <c r="R2621" t="inlineStr">
        <is>
          <t xml:space="preserve">xx </t>
        </is>
      </c>
      <c r="S2621" t="inlineStr">
        <is>
          <t>The Republic of letters, ed. by William Rose</t>
        </is>
      </c>
      <c r="T2621" t="inlineStr">
        <is>
          <t xml:space="preserve">PR </t>
        </is>
      </c>
      <c r="U2621" t="n">
        <v>1</v>
      </c>
      <c r="V2621" t="n">
        <v>1</v>
      </c>
      <c r="W2621" t="inlineStr">
        <is>
          <t>2001-02-12</t>
        </is>
      </c>
      <c r="X2621" t="inlineStr">
        <is>
          <t>2001-02-12</t>
        </is>
      </c>
      <c r="Y2621" t="inlineStr">
        <is>
          <t>1997-07-23</t>
        </is>
      </c>
      <c r="Z2621" t="inlineStr">
        <is>
          <t>1997-07-23</t>
        </is>
      </c>
      <c r="AA2621" t="n">
        <v>292</v>
      </c>
      <c r="AB2621" t="n">
        <v>255</v>
      </c>
      <c r="AC2621" t="n">
        <v>366</v>
      </c>
      <c r="AD2621" t="n">
        <v>1</v>
      </c>
      <c r="AE2621" t="n">
        <v>3</v>
      </c>
      <c r="AF2621" t="n">
        <v>15</v>
      </c>
      <c r="AG2621" t="n">
        <v>23</v>
      </c>
      <c r="AH2621" t="n">
        <v>5</v>
      </c>
      <c r="AI2621" t="n">
        <v>8</v>
      </c>
      <c r="AJ2621" t="n">
        <v>1</v>
      </c>
      <c r="AK2621" t="n">
        <v>2</v>
      </c>
      <c r="AL2621" t="n">
        <v>11</v>
      </c>
      <c r="AM2621" t="n">
        <v>14</v>
      </c>
      <c r="AN2621" t="n">
        <v>0</v>
      </c>
      <c r="AO2621" t="n">
        <v>2</v>
      </c>
      <c r="AP2621" t="n">
        <v>0</v>
      </c>
      <c r="AQ2621" t="n">
        <v>0</v>
      </c>
      <c r="AR2621" t="inlineStr">
        <is>
          <t>No</t>
        </is>
      </c>
      <c r="AS2621" t="inlineStr">
        <is>
          <t>No</t>
        </is>
      </c>
      <c r="AT2621">
        <f>HYPERLINK("http://catalog.hathitrust.org/Record/001188984","HathiTrust Record")</f>
        <v/>
      </c>
      <c r="AU2621">
        <f>HYPERLINK("https://creighton-primo.hosted.exlibrisgroup.com/primo-explore/search?tab=default_tab&amp;search_scope=EVERYTHING&amp;vid=01CRU&amp;lang=en_US&amp;offset=0&amp;query=any,contains,991003301799702656","Catalog Record")</f>
        <v/>
      </c>
      <c r="AV2621">
        <f>HYPERLINK("http://www.worldcat.org/oclc/824813","WorldCat Record")</f>
        <v/>
      </c>
      <c r="AW2621" t="inlineStr">
        <is>
          <t>1486456:eng</t>
        </is>
      </c>
      <c r="AX2621" t="inlineStr">
        <is>
          <t>824813</t>
        </is>
      </c>
      <c r="AY2621" t="inlineStr">
        <is>
          <t>991003301799702656</t>
        </is>
      </c>
      <c r="AZ2621" t="inlineStr">
        <is>
          <t>991003301799702656</t>
        </is>
      </c>
      <c r="BA2621" t="inlineStr">
        <is>
          <t>2267515840002656</t>
        </is>
      </c>
      <c r="BB2621" t="inlineStr">
        <is>
          <t>BOOK</t>
        </is>
      </c>
      <c r="BE2621" t="inlineStr">
        <is>
          <t>32285002951753</t>
        </is>
      </c>
      <c r="BF2621" t="inlineStr">
        <is>
          <t>893592393</t>
        </is>
      </c>
    </row>
    <row r="2622">
      <c r="A2622" t="inlineStr">
        <is>
          <t>No</t>
        </is>
      </c>
      <c r="B2622" t="inlineStr">
        <is>
          <t>CURAL</t>
        </is>
      </c>
      <c r="C2622" t="inlineStr">
        <is>
          <t>SHELVES</t>
        </is>
      </c>
      <c r="D2622" t="inlineStr">
        <is>
          <t>PR5881 .M34</t>
        </is>
      </c>
      <c r="E2622" t="inlineStr">
        <is>
          <t>0                      PR 5881000M  34</t>
        </is>
      </c>
      <c r="F2622" t="inlineStr">
        <is>
          <t>William Wordsworth : a critical anthology / edited by Graham McMaster.</t>
        </is>
      </c>
      <c r="H2622" t="inlineStr">
        <is>
          <t>No</t>
        </is>
      </c>
      <c r="I2622" t="inlineStr">
        <is>
          <t>1</t>
        </is>
      </c>
      <c r="J2622" t="inlineStr">
        <is>
          <t>No</t>
        </is>
      </c>
      <c r="K2622" t="inlineStr">
        <is>
          <t>No</t>
        </is>
      </c>
      <c r="L2622" t="inlineStr">
        <is>
          <t>0</t>
        </is>
      </c>
      <c r="M2622" t="inlineStr">
        <is>
          <t>McMaster, Graham compiler.</t>
        </is>
      </c>
      <c r="N2622" t="inlineStr">
        <is>
          <t>Harmondsworth : Penguin, 1972.</t>
        </is>
      </c>
      <c r="O2622" t="inlineStr">
        <is>
          <t>1972</t>
        </is>
      </c>
      <c r="Q2622" t="inlineStr">
        <is>
          <t>eng</t>
        </is>
      </c>
      <c r="R2622" t="inlineStr">
        <is>
          <t>enk</t>
        </is>
      </c>
      <c r="S2622" t="inlineStr">
        <is>
          <t>Penguin critical anthologies</t>
        </is>
      </c>
      <c r="T2622" t="inlineStr">
        <is>
          <t xml:space="preserve">PR </t>
        </is>
      </c>
      <c r="U2622" t="n">
        <v>4</v>
      </c>
      <c r="V2622" t="n">
        <v>4</v>
      </c>
      <c r="W2622" t="inlineStr">
        <is>
          <t>1993-03-01</t>
        </is>
      </c>
      <c r="X2622" t="inlineStr">
        <is>
          <t>1993-03-01</t>
        </is>
      </c>
      <c r="Y2622" t="inlineStr">
        <is>
          <t>1991-02-28</t>
        </is>
      </c>
      <c r="Z2622" t="inlineStr">
        <is>
          <t>1991-02-28</t>
        </is>
      </c>
      <c r="AA2622" t="n">
        <v>187</v>
      </c>
      <c r="AB2622" t="n">
        <v>65</v>
      </c>
      <c r="AC2622" t="n">
        <v>66</v>
      </c>
      <c r="AD2622" t="n">
        <v>2</v>
      </c>
      <c r="AE2622" t="n">
        <v>2</v>
      </c>
      <c r="AF2622" t="n">
        <v>4</v>
      </c>
      <c r="AG2622" t="n">
        <v>4</v>
      </c>
      <c r="AH2622" t="n">
        <v>0</v>
      </c>
      <c r="AI2622" t="n">
        <v>0</v>
      </c>
      <c r="AJ2622" t="n">
        <v>1</v>
      </c>
      <c r="AK2622" t="n">
        <v>1</v>
      </c>
      <c r="AL2622" t="n">
        <v>3</v>
      </c>
      <c r="AM2622" t="n">
        <v>3</v>
      </c>
      <c r="AN2622" t="n">
        <v>1</v>
      </c>
      <c r="AO2622" t="n">
        <v>1</v>
      </c>
      <c r="AP2622" t="n">
        <v>0</v>
      </c>
      <c r="AQ2622" t="n">
        <v>0</v>
      </c>
      <c r="AR2622" t="inlineStr">
        <is>
          <t>No</t>
        </is>
      </c>
      <c r="AS2622" t="inlineStr">
        <is>
          <t>No</t>
        </is>
      </c>
      <c r="AU2622">
        <f>HYPERLINK("https://creighton-primo.hosted.exlibrisgroup.com/primo-explore/search?tab=default_tab&amp;search_scope=EVERYTHING&amp;vid=01CRU&amp;lang=en_US&amp;offset=0&amp;query=any,contains,991003122399702656","Catalog Record")</f>
        <v/>
      </c>
      <c r="AV2622">
        <f>HYPERLINK("http://www.worldcat.org/oclc/667713","WorldCat Record")</f>
        <v/>
      </c>
      <c r="AW2622" t="inlineStr">
        <is>
          <t>2070301423:eng</t>
        </is>
      </c>
      <c r="AX2622" t="inlineStr">
        <is>
          <t>667713</t>
        </is>
      </c>
      <c r="AY2622" t="inlineStr">
        <is>
          <t>991003122399702656</t>
        </is>
      </c>
      <c r="AZ2622" t="inlineStr">
        <is>
          <t>991003122399702656</t>
        </is>
      </c>
      <c r="BA2622" t="inlineStr">
        <is>
          <t>2256634310002656</t>
        </is>
      </c>
      <c r="BB2622" t="inlineStr">
        <is>
          <t>BOOK</t>
        </is>
      </c>
      <c r="BD2622" t="inlineStr">
        <is>
          <t>9780140806694</t>
        </is>
      </c>
      <c r="BE2622" t="inlineStr">
        <is>
          <t>32285000510783</t>
        </is>
      </c>
      <c r="BF2622" t="inlineStr">
        <is>
          <t>893329984</t>
        </is>
      </c>
    </row>
    <row r="2623">
      <c r="A2623" t="inlineStr">
        <is>
          <t>No</t>
        </is>
      </c>
      <c r="B2623" t="inlineStr">
        <is>
          <t>CURAL</t>
        </is>
      </c>
      <c r="C2623" t="inlineStr">
        <is>
          <t>SHELVES</t>
        </is>
      </c>
      <c r="D2623" t="inlineStr">
        <is>
          <t>PR5881 .M8</t>
        </is>
      </c>
      <c r="E2623" t="inlineStr">
        <is>
          <t>0                      PR 5881000M  8</t>
        </is>
      </c>
      <c r="F2623" t="inlineStr">
        <is>
          <t>Wordsworth / by Frederick W. H. Myers.</t>
        </is>
      </c>
      <c r="H2623" t="inlineStr">
        <is>
          <t>No</t>
        </is>
      </c>
      <c r="I2623" t="inlineStr">
        <is>
          <t>1</t>
        </is>
      </c>
      <c r="J2623" t="inlineStr">
        <is>
          <t>No</t>
        </is>
      </c>
      <c r="K2623" t="inlineStr">
        <is>
          <t>Yes</t>
        </is>
      </c>
      <c r="L2623" t="inlineStr">
        <is>
          <t>0</t>
        </is>
      </c>
      <c r="M2623" t="inlineStr">
        <is>
          <t>Myers, F. W. H. (Frederic William Henry), 1843-1901.</t>
        </is>
      </c>
      <c r="N2623" t="inlineStr">
        <is>
          <t>New York : Harper &amp; Brothers, 1901.</t>
        </is>
      </c>
      <c r="O2623" t="inlineStr">
        <is>
          <t>1901</t>
        </is>
      </c>
      <c r="Q2623" t="inlineStr">
        <is>
          <t>eng</t>
        </is>
      </c>
      <c r="R2623" t="inlineStr">
        <is>
          <t>nyu</t>
        </is>
      </c>
      <c r="S2623" t="inlineStr">
        <is>
          <t>English men of letters</t>
        </is>
      </c>
      <c r="T2623" t="inlineStr">
        <is>
          <t xml:space="preserve">PR </t>
        </is>
      </c>
      <c r="U2623" t="n">
        <v>1</v>
      </c>
      <c r="V2623" t="n">
        <v>1</v>
      </c>
      <c r="W2623" t="inlineStr">
        <is>
          <t>2005-02-23</t>
        </is>
      </c>
      <c r="X2623" t="inlineStr">
        <is>
          <t>2005-02-23</t>
        </is>
      </c>
      <c r="Y2623" t="inlineStr">
        <is>
          <t>1999-01-23</t>
        </is>
      </c>
      <c r="Z2623" t="inlineStr">
        <is>
          <t>1999-01-23</t>
        </is>
      </c>
      <c r="AA2623" t="n">
        <v>116</v>
      </c>
      <c r="AB2623" t="n">
        <v>108</v>
      </c>
      <c r="AC2623" t="n">
        <v>1138</v>
      </c>
      <c r="AD2623" t="n">
        <v>2</v>
      </c>
      <c r="AE2623" t="n">
        <v>10</v>
      </c>
      <c r="AF2623" t="n">
        <v>4</v>
      </c>
      <c r="AG2623" t="n">
        <v>55</v>
      </c>
      <c r="AH2623" t="n">
        <v>2</v>
      </c>
      <c r="AI2623" t="n">
        <v>25</v>
      </c>
      <c r="AJ2623" t="n">
        <v>2</v>
      </c>
      <c r="AK2623" t="n">
        <v>9</v>
      </c>
      <c r="AL2623" t="n">
        <v>1</v>
      </c>
      <c r="AM2623" t="n">
        <v>25</v>
      </c>
      <c r="AN2623" t="n">
        <v>1</v>
      </c>
      <c r="AO2623" t="n">
        <v>9</v>
      </c>
      <c r="AP2623" t="n">
        <v>0</v>
      </c>
      <c r="AQ2623" t="n">
        <v>0</v>
      </c>
      <c r="AR2623" t="inlineStr">
        <is>
          <t>No</t>
        </is>
      </c>
      <c r="AS2623" t="inlineStr">
        <is>
          <t>No</t>
        </is>
      </c>
      <c r="AU2623">
        <f>HYPERLINK("https://creighton-primo.hosted.exlibrisgroup.com/primo-explore/search?tab=default_tab&amp;search_scope=EVERYTHING&amp;vid=01CRU&amp;lang=en_US&amp;offset=0&amp;query=any,contains,991000772949702656","Catalog Record")</f>
        <v/>
      </c>
      <c r="AV2623">
        <f>HYPERLINK("http://www.worldcat.org/oclc/3216332","WorldCat Record")</f>
        <v/>
      </c>
      <c r="AW2623" t="inlineStr">
        <is>
          <t>4916057120:eng</t>
        </is>
      </c>
      <c r="AX2623" t="inlineStr">
        <is>
          <t>3216332</t>
        </is>
      </c>
      <c r="AY2623" t="inlineStr">
        <is>
          <t>991000772949702656</t>
        </is>
      </c>
      <c r="AZ2623" t="inlineStr">
        <is>
          <t>991000772949702656</t>
        </is>
      </c>
      <c r="BA2623" t="inlineStr">
        <is>
          <t>2270430030002656</t>
        </is>
      </c>
      <c r="BB2623" t="inlineStr">
        <is>
          <t>BOOK</t>
        </is>
      </c>
      <c r="BE2623" t="inlineStr">
        <is>
          <t>32285003515672</t>
        </is>
      </c>
      <c r="BF2623" t="inlineStr">
        <is>
          <t>893327574</t>
        </is>
      </c>
    </row>
    <row r="2624">
      <c r="A2624" t="inlineStr">
        <is>
          <t>No</t>
        </is>
      </c>
      <c r="B2624" t="inlineStr">
        <is>
          <t>CURAL</t>
        </is>
      </c>
      <c r="C2624" t="inlineStr">
        <is>
          <t>SHELVES</t>
        </is>
      </c>
      <c r="D2624" t="inlineStr">
        <is>
          <t>PR5881 .N4</t>
        </is>
      </c>
      <c r="E2624" t="inlineStr">
        <is>
          <t>0                      PR 5881000N  4</t>
        </is>
      </c>
      <c r="F2624" t="inlineStr">
        <is>
          <t>Wordsworth: the biographical background of his poetry [by] George L. Nesbitt.</t>
        </is>
      </c>
      <c r="H2624" t="inlineStr">
        <is>
          <t>No</t>
        </is>
      </c>
      <c r="I2624" t="inlineStr">
        <is>
          <t>1</t>
        </is>
      </c>
      <c r="J2624" t="inlineStr">
        <is>
          <t>No</t>
        </is>
      </c>
      <c r="K2624" t="inlineStr">
        <is>
          <t>No</t>
        </is>
      </c>
      <c r="L2624" t="inlineStr">
        <is>
          <t>0</t>
        </is>
      </c>
      <c r="M2624" t="inlineStr">
        <is>
          <t>Nesbitt, George L. (George Lyman), 1903-</t>
        </is>
      </c>
      <c r="N2624" t="inlineStr">
        <is>
          <t>New York, Pegasus [1970]</t>
        </is>
      </c>
      <c r="O2624" t="inlineStr">
        <is>
          <t>1970</t>
        </is>
      </c>
      <c r="Q2624" t="inlineStr">
        <is>
          <t>eng</t>
        </is>
      </c>
      <c r="R2624" t="inlineStr">
        <is>
          <t>nyu</t>
        </is>
      </c>
      <c r="T2624" t="inlineStr">
        <is>
          <t xml:space="preserve">PR </t>
        </is>
      </c>
      <c r="U2624" t="n">
        <v>1</v>
      </c>
      <c r="V2624" t="n">
        <v>1</v>
      </c>
      <c r="W2624" t="inlineStr">
        <is>
          <t>2004-07-22</t>
        </is>
      </c>
      <c r="X2624" t="inlineStr">
        <is>
          <t>2004-07-22</t>
        </is>
      </c>
      <c r="Y2624" t="inlineStr">
        <is>
          <t>1997-07-23</t>
        </is>
      </c>
      <c r="Z2624" t="inlineStr">
        <is>
          <t>1997-07-23</t>
        </is>
      </c>
      <c r="AA2624" t="n">
        <v>589</v>
      </c>
      <c r="AB2624" t="n">
        <v>530</v>
      </c>
      <c r="AC2624" t="n">
        <v>535</v>
      </c>
      <c r="AD2624" t="n">
        <v>5</v>
      </c>
      <c r="AE2624" t="n">
        <v>5</v>
      </c>
      <c r="AF2624" t="n">
        <v>33</v>
      </c>
      <c r="AG2624" t="n">
        <v>34</v>
      </c>
      <c r="AH2624" t="n">
        <v>12</v>
      </c>
      <c r="AI2624" t="n">
        <v>12</v>
      </c>
      <c r="AJ2624" t="n">
        <v>10</v>
      </c>
      <c r="AK2624" t="n">
        <v>10</v>
      </c>
      <c r="AL2624" t="n">
        <v>15</v>
      </c>
      <c r="AM2624" t="n">
        <v>16</v>
      </c>
      <c r="AN2624" t="n">
        <v>4</v>
      </c>
      <c r="AO2624" t="n">
        <v>4</v>
      </c>
      <c r="AP2624" t="n">
        <v>0</v>
      </c>
      <c r="AQ2624" t="n">
        <v>0</v>
      </c>
      <c r="AR2624" t="inlineStr">
        <is>
          <t>No</t>
        </is>
      </c>
      <c r="AS2624" t="inlineStr">
        <is>
          <t>Yes</t>
        </is>
      </c>
      <c r="AT2624">
        <f>HYPERLINK("http://catalog.hathitrust.org/Record/001189003","HathiTrust Record")</f>
        <v/>
      </c>
      <c r="AU2624">
        <f>HYPERLINK("https://creighton-primo.hosted.exlibrisgroup.com/primo-explore/search?tab=default_tab&amp;search_scope=EVERYTHING&amp;vid=01CRU&amp;lang=en_US&amp;offset=0&amp;query=any,contains,991000640499702656","Catalog Record")</f>
        <v/>
      </c>
      <c r="AV2624">
        <f>HYPERLINK("http://www.worldcat.org/oclc/109478","WorldCat Record")</f>
        <v/>
      </c>
      <c r="AW2624" t="inlineStr">
        <is>
          <t>1221714:eng</t>
        </is>
      </c>
      <c r="AX2624" t="inlineStr">
        <is>
          <t>109478</t>
        </is>
      </c>
      <c r="AY2624" t="inlineStr">
        <is>
          <t>991000640499702656</t>
        </is>
      </c>
      <c r="AZ2624" t="inlineStr">
        <is>
          <t>991000640499702656</t>
        </is>
      </c>
      <c r="BA2624" t="inlineStr">
        <is>
          <t>2254820160002656</t>
        </is>
      </c>
      <c r="BB2624" t="inlineStr">
        <is>
          <t>BOOK</t>
        </is>
      </c>
      <c r="BE2624" t="inlineStr">
        <is>
          <t>32285002951779</t>
        </is>
      </c>
      <c r="BF2624" t="inlineStr">
        <is>
          <t>893608134</t>
        </is>
      </c>
    </row>
    <row r="2625">
      <c r="A2625" t="inlineStr">
        <is>
          <t>No</t>
        </is>
      </c>
      <c r="B2625" t="inlineStr">
        <is>
          <t>CURAL</t>
        </is>
      </c>
      <c r="C2625" t="inlineStr">
        <is>
          <t>SHELVES</t>
        </is>
      </c>
      <c r="D2625" t="inlineStr">
        <is>
          <t>PR5881 .P8 1986</t>
        </is>
      </c>
      <c r="E2625" t="inlineStr">
        <is>
          <t>0                      PR 5881000P  8           1986</t>
        </is>
      </c>
      <c r="F2625" t="inlineStr">
        <is>
          <t>A preface to Wordsworth / John Purkis.</t>
        </is>
      </c>
      <c r="H2625" t="inlineStr">
        <is>
          <t>No</t>
        </is>
      </c>
      <c r="I2625" t="inlineStr">
        <is>
          <t>1</t>
        </is>
      </c>
      <c r="J2625" t="inlineStr">
        <is>
          <t>No</t>
        </is>
      </c>
      <c r="K2625" t="inlineStr">
        <is>
          <t>Yes</t>
        </is>
      </c>
      <c r="L2625" t="inlineStr">
        <is>
          <t>0</t>
        </is>
      </c>
      <c r="M2625" t="inlineStr">
        <is>
          <t>Purkis, John Arthur, 1933-</t>
        </is>
      </c>
      <c r="N2625" t="inlineStr">
        <is>
          <t>London ; New York : Longman, 1986.</t>
        </is>
      </c>
      <c r="O2625" t="inlineStr">
        <is>
          <t>1986</t>
        </is>
      </c>
      <c r="P2625" t="inlineStr">
        <is>
          <t>Rev. ed.</t>
        </is>
      </c>
      <c r="Q2625" t="inlineStr">
        <is>
          <t>eng</t>
        </is>
      </c>
      <c r="R2625" t="inlineStr">
        <is>
          <t>enk</t>
        </is>
      </c>
      <c r="S2625" t="inlineStr">
        <is>
          <t>Preface books</t>
        </is>
      </c>
      <c r="T2625" t="inlineStr">
        <is>
          <t xml:space="preserve">PR </t>
        </is>
      </c>
      <c r="U2625" t="n">
        <v>7</v>
      </c>
      <c r="V2625" t="n">
        <v>7</v>
      </c>
      <c r="W2625" t="inlineStr">
        <is>
          <t>1997-04-08</t>
        </is>
      </c>
      <c r="X2625" t="inlineStr">
        <is>
          <t>1997-04-08</t>
        </is>
      </c>
      <c r="Y2625" t="inlineStr">
        <is>
          <t>1992-06-23</t>
        </is>
      </c>
      <c r="Z2625" t="inlineStr">
        <is>
          <t>1992-06-23</t>
        </is>
      </c>
      <c r="AA2625" t="n">
        <v>326</v>
      </c>
      <c r="AB2625" t="n">
        <v>184</v>
      </c>
      <c r="AC2625" t="n">
        <v>896</v>
      </c>
      <c r="AD2625" t="n">
        <v>3</v>
      </c>
      <c r="AE2625" t="n">
        <v>7</v>
      </c>
      <c r="AF2625" t="n">
        <v>10</v>
      </c>
      <c r="AG2625" t="n">
        <v>33</v>
      </c>
      <c r="AH2625" t="n">
        <v>4</v>
      </c>
      <c r="AI2625" t="n">
        <v>13</v>
      </c>
      <c r="AJ2625" t="n">
        <v>3</v>
      </c>
      <c r="AK2625" t="n">
        <v>7</v>
      </c>
      <c r="AL2625" t="n">
        <v>5</v>
      </c>
      <c r="AM2625" t="n">
        <v>18</v>
      </c>
      <c r="AN2625" t="n">
        <v>2</v>
      </c>
      <c r="AO2625" t="n">
        <v>5</v>
      </c>
      <c r="AP2625" t="n">
        <v>0</v>
      </c>
      <c r="AQ2625" t="n">
        <v>0</v>
      </c>
      <c r="AR2625" t="inlineStr">
        <is>
          <t>No</t>
        </is>
      </c>
      <c r="AS2625" t="inlineStr">
        <is>
          <t>Yes</t>
        </is>
      </c>
      <c r="AT2625">
        <f>HYPERLINK("http://catalog.hathitrust.org/Record/000434153","HathiTrust Record")</f>
        <v/>
      </c>
      <c r="AU2625">
        <f>HYPERLINK("https://creighton-primo.hosted.exlibrisgroup.com/primo-explore/search?tab=default_tab&amp;search_scope=EVERYTHING&amp;vid=01CRU&amp;lang=en_US&amp;offset=0&amp;query=any,contains,991000597809702656","Catalog Record")</f>
        <v/>
      </c>
      <c r="AV2625">
        <f>HYPERLINK("http://www.worldcat.org/oclc/11814668","WorldCat Record")</f>
        <v/>
      </c>
      <c r="AW2625" t="inlineStr">
        <is>
          <t>20411286:eng</t>
        </is>
      </c>
      <c r="AX2625" t="inlineStr">
        <is>
          <t>11814668</t>
        </is>
      </c>
      <c r="AY2625" t="inlineStr">
        <is>
          <t>991000597809702656</t>
        </is>
      </c>
      <c r="AZ2625" t="inlineStr">
        <is>
          <t>991000597809702656</t>
        </is>
      </c>
      <c r="BA2625" t="inlineStr">
        <is>
          <t>2260935380002656</t>
        </is>
      </c>
      <c r="BB2625" t="inlineStr">
        <is>
          <t>BOOK</t>
        </is>
      </c>
      <c r="BD2625" t="inlineStr">
        <is>
          <t>9780582354821</t>
        </is>
      </c>
      <c r="BE2625" t="inlineStr">
        <is>
          <t>32285001133023</t>
        </is>
      </c>
      <c r="BF2625" t="inlineStr">
        <is>
          <t>893261536</t>
        </is>
      </c>
    </row>
    <row r="2626">
      <c r="A2626" t="inlineStr">
        <is>
          <t>No</t>
        </is>
      </c>
      <c r="B2626" t="inlineStr">
        <is>
          <t>CURAL</t>
        </is>
      </c>
      <c r="C2626" t="inlineStr">
        <is>
          <t>SHELVES</t>
        </is>
      </c>
      <c r="D2626" t="inlineStr">
        <is>
          <t>PR5881 .S3</t>
        </is>
      </c>
      <c r="E2626" t="inlineStr">
        <is>
          <t>0                      PR 5881000S  3</t>
        </is>
      </c>
      <c r="F2626" t="inlineStr">
        <is>
          <t>The landscape of memory : a study of Wordsworth's poetry.</t>
        </is>
      </c>
      <c r="H2626" t="inlineStr">
        <is>
          <t>No</t>
        </is>
      </c>
      <c r="I2626" t="inlineStr">
        <is>
          <t>1</t>
        </is>
      </c>
      <c r="J2626" t="inlineStr">
        <is>
          <t>No</t>
        </is>
      </c>
      <c r="K2626" t="inlineStr">
        <is>
          <t>No</t>
        </is>
      </c>
      <c r="L2626" t="inlineStr">
        <is>
          <t>0</t>
        </is>
      </c>
      <c r="M2626" t="inlineStr">
        <is>
          <t>Salvesen, Christopher, 1935-</t>
        </is>
      </c>
      <c r="N2626" t="inlineStr">
        <is>
          <t>Lincoln : University of Nebraska Press, [c1965]</t>
        </is>
      </c>
      <c r="O2626" t="inlineStr">
        <is>
          <t>1965</t>
        </is>
      </c>
      <c r="Q2626" t="inlineStr">
        <is>
          <t>eng</t>
        </is>
      </c>
      <c r="R2626" t="inlineStr">
        <is>
          <t>nbu</t>
        </is>
      </c>
      <c r="T2626" t="inlineStr">
        <is>
          <t xml:space="preserve">PR </t>
        </is>
      </c>
      <c r="U2626" t="n">
        <v>8</v>
      </c>
      <c r="V2626" t="n">
        <v>8</v>
      </c>
      <c r="W2626" t="inlineStr">
        <is>
          <t>2001-02-15</t>
        </is>
      </c>
      <c r="X2626" t="inlineStr">
        <is>
          <t>2001-02-15</t>
        </is>
      </c>
      <c r="Y2626" t="inlineStr">
        <is>
          <t>1990-03-14</t>
        </is>
      </c>
      <c r="Z2626" t="inlineStr">
        <is>
          <t>1990-03-14</t>
        </is>
      </c>
      <c r="AA2626" t="n">
        <v>761</v>
      </c>
      <c r="AB2626" t="n">
        <v>692</v>
      </c>
      <c r="AC2626" t="n">
        <v>757</v>
      </c>
      <c r="AD2626" t="n">
        <v>7</v>
      </c>
      <c r="AE2626" t="n">
        <v>7</v>
      </c>
      <c r="AF2626" t="n">
        <v>39</v>
      </c>
      <c r="AG2626" t="n">
        <v>44</v>
      </c>
      <c r="AH2626" t="n">
        <v>17</v>
      </c>
      <c r="AI2626" t="n">
        <v>19</v>
      </c>
      <c r="AJ2626" t="n">
        <v>6</v>
      </c>
      <c r="AK2626" t="n">
        <v>7</v>
      </c>
      <c r="AL2626" t="n">
        <v>20</v>
      </c>
      <c r="AM2626" t="n">
        <v>23</v>
      </c>
      <c r="AN2626" t="n">
        <v>6</v>
      </c>
      <c r="AO2626" t="n">
        <v>6</v>
      </c>
      <c r="AP2626" t="n">
        <v>0</v>
      </c>
      <c r="AQ2626" t="n">
        <v>0</v>
      </c>
      <c r="AR2626" t="inlineStr">
        <is>
          <t>No</t>
        </is>
      </c>
      <c r="AS2626" t="inlineStr">
        <is>
          <t>Yes</t>
        </is>
      </c>
      <c r="AT2626">
        <f>HYPERLINK("http://catalog.hathitrust.org/Record/000169118","HathiTrust Record")</f>
        <v/>
      </c>
      <c r="AU2626">
        <f>HYPERLINK("https://creighton-primo.hosted.exlibrisgroup.com/primo-explore/search?tab=default_tab&amp;search_scope=EVERYTHING&amp;vid=01CRU&amp;lang=en_US&amp;offset=0&amp;query=any,contains,991003304239702656","Catalog Record")</f>
        <v/>
      </c>
      <c r="AV2626">
        <f>HYPERLINK("http://www.worldcat.org/oclc/827654","WorldCat Record")</f>
        <v/>
      </c>
      <c r="AW2626" t="inlineStr">
        <is>
          <t>454865:eng</t>
        </is>
      </c>
      <c r="AX2626" t="inlineStr">
        <is>
          <t>827654</t>
        </is>
      </c>
      <c r="AY2626" t="inlineStr">
        <is>
          <t>991003304239702656</t>
        </is>
      </c>
      <c r="AZ2626" t="inlineStr">
        <is>
          <t>991003304239702656</t>
        </is>
      </c>
      <c r="BA2626" t="inlineStr">
        <is>
          <t>2270684120002656</t>
        </is>
      </c>
      <c r="BB2626" t="inlineStr">
        <is>
          <t>BOOK</t>
        </is>
      </c>
      <c r="BE2626" t="inlineStr">
        <is>
          <t>32285000083179</t>
        </is>
      </c>
      <c r="BF2626" t="inlineStr">
        <is>
          <t>893434863</t>
        </is>
      </c>
    </row>
    <row r="2627">
      <c r="A2627" t="inlineStr">
        <is>
          <t>No</t>
        </is>
      </c>
      <c r="B2627" t="inlineStr">
        <is>
          <t>CURAL</t>
        </is>
      </c>
      <c r="C2627" t="inlineStr">
        <is>
          <t>SHELVES</t>
        </is>
      </c>
      <c r="D2627" t="inlineStr">
        <is>
          <t>PR5881 .T5 1970</t>
        </is>
      </c>
      <c r="E2627" t="inlineStr">
        <is>
          <t>0                      PR 5881000T  5           1970</t>
        </is>
      </c>
      <c r="F2627" t="inlineStr">
        <is>
          <t>Wordsworth's mind and art / [by] William Minto [and others] ; essays edited by A. W. Thomson.</t>
        </is>
      </c>
      <c r="H2627" t="inlineStr">
        <is>
          <t>No</t>
        </is>
      </c>
      <c r="I2627" t="inlineStr">
        <is>
          <t>1</t>
        </is>
      </c>
      <c r="J2627" t="inlineStr">
        <is>
          <t>No</t>
        </is>
      </c>
      <c r="K2627" t="inlineStr">
        <is>
          <t>No</t>
        </is>
      </c>
      <c r="L2627" t="inlineStr">
        <is>
          <t>0</t>
        </is>
      </c>
      <c r="M2627" t="inlineStr">
        <is>
          <t>Thomson, Alastair W.</t>
        </is>
      </c>
      <c r="N2627" t="inlineStr">
        <is>
          <t>New York : Barnes &amp; Noble, [1970]</t>
        </is>
      </c>
      <c r="O2627" t="inlineStr">
        <is>
          <t>1970</t>
        </is>
      </c>
      <c r="Q2627" t="inlineStr">
        <is>
          <t>eng</t>
        </is>
      </c>
      <c r="R2627" t="inlineStr">
        <is>
          <t>nyu</t>
        </is>
      </c>
      <c r="S2627" t="inlineStr">
        <is>
          <t>Essays old and new ; 4</t>
        </is>
      </c>
      <c r="T2627" t="inlineStr">
        <is>
          <t xml:space="preserve">PR </t>
        </is>
      </c>
      <c r="U2627" t="n">
        <v>6</v>
      </c>
      <c r="V2627" t="n">
        <v>6</v>
      </c>
      <c r="W2627" t="inlineStr">
        <is>
          <t>2005-02-21</t>
        </is>
      </c>
      <c r="X2627" t="inlineStr">
        <is>
          <t>2005-02-21</t>
        </is>
      </c>
      <c r="Y2627" t="inlineStr">
        <is>
          <t>1995-05-02</t>
        </is>
      </c>
      <c r="Z2627" t="inlineStr">
        <is>
          <t>1995-05-02</t>
        </is>
      </c>
      <c r="AA2627" t="n">
        <v>287</v>
      </c>
      <c r="AB2627" t="n">
        <v>280</v>
      </c>
      <c r="AC2627" t="n">
        <v>596</v>
      </c>
      <c r="AD2627" t="n">
        <v>3</v>
      </c>
      <c r="AE2627" t="n">
        <v>5</v>
      </c>
      <c r="AF2627" t="n">
        <v>18</v>
      </c>
      <c r="AG2627" t="n">
        <v>38</v>
      </c>
      <c r="AH2627" t="n">
        <v>8</v>
      </c>
      <c r="AI2627" t="n">
        <v>15</v>
      </c>
      <c r="AJ2627" t="n">
        <v>7</v>
      </c>
      <c r="AK2627" t="n">
        <v>10</v>
      </c>
      <c r="AL2627" t="n">
        <v>6</v>
      </c>
      <c r="AM2627" t="n">
        <v>20</v>
      </c>
      <c r="AN2627" t="n">
        <v>2</v>
      </c>
      <c r="AO2627" t="n">
        <v>4</v>
      </c>
      <c r="AP2627" t="n">
        <v>0</v>
      </c>
      <c r="AQ2627" t="n">
        <v>0</v>
      </c>
      <c r="AR2627" t="inlineStr">
        <is>
          <t>No</t>
        </is>
      </c>
      <c r="AS2627" t="inlineStr">
        <is>
          <t>No</t>
        </is>
      </c>
      <c r="AU2627">
        <f>HYPERLINK("https://creighton-primo.hosted.exlibrisgroup.com/primo-explore/search?tab=default_tab&amp;search_scope=EVERYTHING&amp;vid=01CRU&amp;lang=en_US&amp;offset=0&amp;query=any,contains,991000633369702656","Catalog Record")</f>
        <v/>
      </c>
      <c r="AV2627">
        <f>HYPERLINK("http://www.worldcat.org/oclc/106650","WorldCat Record")</f>
        <v/>
      </c>
      <c r="AW2627" t="inlineStr">
        <is>
          <t>1219318:eng</t>
        </is>
      </c>
      <c r="AX2627" t="inlineStr">
        <is>
          <t>106650</t>
        </is>
      </c>
      <c r="AY2627" t="inlineStr">
        <is>
          <t>991000633369702656</t>
        </is>
      </c>
      <c r="AZ2627" t="inlineStr">
        <is>
          <t>991000633369702656</t>
        </is>
      </c>
      <c r="BA2627" t="inlineStr">
        <is>
          <t>2263756430002656</t>
        </is>
      </c>
      <c r="BB2627" t="inlineStr">
        <is>
          <t>BOOK</t>
        </is>
      </c>
      <c r="BD2627" t="inlineStr">
        <is>
          <t>9780389039846</t>
        </is>
      </c>
      <c r="BE2627" t="inlineStr">
        <is>
          <t>32285002030970</t>
        </is>
      </c>
      <c r="BF2627" t="inlineStr">
        <is>
          <t>893702292</t>
        </is>
      </c>
    </row>
    <row r="2628">
      <c r="A2628" t="inlineStr">
        <is>
          <t>No</t>
        </is>
      </c>
      <c r="B2628" t="inlineStr">
        <is>
          <t>CURAL</t>
        </is>
      </c>
      <c r="C2628" t="inlineStr">
        <is>
          <t>SHELVES</t>
        </is>
      </c>
      <c r="D2628" t="inlineStr">
        <is>
          <t>PR5881 .T87 1986</t>
        </is>
      </c>
      <c r="E2628" t="inlineStr">
        <is>
          <t>0                      PR 5881000T  87          1986</t>
        </is>
      </c>
      <c r="F2628" t="inlineStr">
        <is>
          <t>Wordsworth : play and politics : a study of Wordsworth's poetry, 1787-1800 / John Turner.</t>
        </is>
      </c>
      <c r="H2628" t="inlineStr">
        <is>
          <t>No</t>
        </is>
      </c>
      <c r="I2628" t="inlineStr">
        <is>
          <t>1</t>
        </is>
      </c>
      <c r="J2628" t="inlineStr">
        <is>
          <t>No</t>
        </is>
      </c>
      <c r="K2628" t="inlineStr">
        <is>
          <t>No</t>
        </is>
      </c>
      <c r="L2628" t="inlineStr">
        <is>
          <t>0</t>
        </is>
      </c>
      <c r="M2628" t="inlineStr">
        <is>
          <t>Turner, John, 1944-</t>
        </is>
      </c>
      <c r="N2628" t="inlineStr">
        <is>
          <t>London : Macmillan, 1986.</t>
        </is>
      </c>
      <c r="O2628" t="inlineStr">
        <is>
          <t>1985</t>
        </is>
      </c>
      <c r="Q2628" t="inlineStr">
        <is>
          <t>eng</t>
        </is>
      </c>
      <c r="R2628" t="inlineStr">
        <is>
          <t>enk</t>
        </is>
      </c>
      <c r="S2628" t="inlineStr">
        <is>
          <t>Macmillan studies in romanticism</t>
        </is>
      </c>
      <c r="T2628" t="inlineStr">
        <is>
          <t xml:space="preserve">PR </t>
        </is>
      </c>
      <c r="U2628" t="n">
        <v>6</v>
      </c>
      <c r="V2628" t="n">
        <v>6</v>
      </c>
      <c r="W2628" t="inlineStr">
        <is>
          <t>2010-10-18</t>
        </is>
      </c>
      <c r="X2628" t="inlineStr">
        <is>
          <t>2010-10-18</t>
        </is>
      </c>
      <c r="Y2628" t="inlineStr">
        <is>
          <t>1992-06-23</t>
        </is>
      </c>
      <c r="Z2628" t="inlineStr">
        <is>
          <t>1992-06-23</t>
        </is>
      </c>
      <c r="AA2628" t="n">
        <v>96</v>
      </c>
      <c r="AB2628" t="n">
        <v>37</v>
      </c>
      <c r="AC2628" t="n">
        <v>287</v>
      </c>
      <c r="AD2628" t="n">
        <v>2</v>
      </c>
      <c r="AE2628" t="n">
        <v>4</v>
      </c>
      <c r="AF2628" t="n">
        <v>2</v>
      </c>
      <c r="AG2628" t="n">
        <v>18</v>
      </c>
      <c r="AH2628" t="n">
        <v>0</v>
      </c>
      <c r="AI2628" t="n">
        <v>7</v>
      </c>
      <c r="AJ2628" t="n">
        <v>0</v>
      </c>
      <c r="AK2628" t="n">
        <v>5</v>
      </c>
      <c r="AL2628" t="n">
        <v>1</v>
      </c>
      <c r="AM2628" t="n">
        <v>10</v>
      </c>
      <c r="AN2628" t="n">
        <v>1</v>
      </c>
      <c r="AO2628" t="n">
        <v>3</v>
      </c>
      <c r="AP2628" t="n">
        <v>0</v>
      </c>
      <c r="AQ2628" t="n">
        <v>0</v>
      </c>
      <c r="AR2628" t="inlineStr">
        <is>
          <t>No</t>
        </is>
      </c>
      <c r="AS2628" t="inlineStr">
        <is>
          <t>No</t>
        </is>
      </c>
      <c r="AU2628">
        <f>HYPERLINK("https://creighton-primo.hosted.exlibrisgroup.com/primo-explore/search?tab=default_tab&amp;search_scope=EVERYTHING&amp;vid=01CRU&amp;lang=en_US&amp;offset=0&amp;query=any,contains,991000712429702656","Catalog Record")</f>
        <v/>
      </c>
      <c r="AV2628">
        <f>HYPERLINK("http://www.worldcat.org/oclc/12586186","WorldCat Record")</f>
        <v/>
      </c>
      <c r="AW2628" t="inlineStr">
        <is>
          <t>815274697:eng</t>
        </is>
      </c>
      <c r="AX2628" t="inlineStr">
        <is>
          <t>12586186</t>
        </is>
      </c>
      <c r="AY2628" t="inlineStr">
        <is>
          <t>991000712429702656</t>
        </is>
      </c>
      <c r="AZ2628" t="inlineStr">
        <is>
          <t>991000712429702656</t>
        </is>
      </c>
      <c r="BA2628" t="inlineStr">
        <is>
          <t>2265861190002656</t>
        </is>
      </c>
      <c r="BB2628" t="inlineStr">
        <is>
          <t>BOOK</t>
        </is>
      </c>
      <c r="BD2628" t="inlineStr">
        <is>
          <t>9780333388716</t>
        </is>
      </c>
      <c r="BE2628" t="inlineStr">
        <is>
          <t>32285001133031</t>
        </is>
      </c>
      <c r="BF2628" t="inlineStr">
        <is>
          <t>893255655</t>
        </is>
      </c>
    </row>
    <row r="2629">
      <c r="A2629" t="inlineStr">
        <is>
          <t>No</t>
        </is>
      </c>
      <c r="B2629" t="inlineStr">
        <is>
          <t>CURAL</t>
        </is>
      </c>
      <c r="C2629" t="inlineStr">
        <is>
          <t>SHELVES</t>
        </is>
      </c>
      <c r="D2629" t="inlineStr">
        <is>
          <t>PR5881 .W473 1996</t>
        </is>
      </c>
      <c r="E2629" t="inlineStr">
        <is>
          <t>0                      PR 5881000W  473         1996</t>
        </is>
      </c>
      <c r="F2629" t="inlineStr">
        <is>
          <t>William Wordsworth : a literary life / John Williams.</t>
        </is>
      </c>
      <c r="H2629" t="inlineStr">
        <is>
          <t>No</t>
        </is>
      </c>
      <c r="I2629" t="inlineStr">
        <is>
          <t>1</t>
        </is>
      </c>
      <c r="J2629" t="inlineStr">
        <is>
          <t>No</t>
        </is>
      </c>
      <c r="K2629" t="inlineStr">
        <is>
          <t>No</t>
        </is>
      </c>
      <c r="L2629" t="inlineStr">
        <is>
          <t>0</t>
        </is>
      </c>
      <c r="M2629" t="inlineStr">
        <is>
          <t>Williams, John, 1946-</t>
        </is>
      </c>
      <c r="N2629" t="inlineStr">
        <is>
          <t>New York : St. Martin's Press, 1996.</t>
        </is>
      </c>
      <c r="O2629" t="inlineStr">
        <is>
          <t>1996</t>
        </is>
      </c>
      <c r="Q2629" t="inlineStr">
        <is>
          <t>eng</t>
        </is>
      </c>
      <c r="R2629" t="inlineStr">
        <is>
          <t>nyu</t>
        </is>
      </c>
      <c r="S2629" t="inlineStr">
        <is>
          <t>Literary lives</t>
        </is>
      </c>
      <c r="T2629" t="inlineStr">
        <is>
          <t xml:space="preserve">PR </t>
        </is>
      </c>
      <c r="U2629" t="n">
        <v>6</v>
      </c>
      <c r="V2629" t="n">
        <v>6</v>
      </c>
      <c r="W2629" t="inlineStr">
        <is>
          <t>2004-04-23</t>
        </is>
      </c>
      <c r="X2629" t="inlineStr">
        <is>
          <t>2004-04-23</t>
        </is>
      </c>
      <c r="Y2629" t="inlineStr">
        <is>
          <t>1997-03-18</t>
        </is>
      </c>
      <c r="Z2629" t="inlineStr">
        <is>
          <t>1997-03-18</t>
        </is>
      </c>
      <c r="AA2629" t="n">
        <v>456</v>
      </c>
      <c r="AB2629" t="n">
        <v>405</v>
      </c>
      <c r="AC2629" t="n">
        <v>624</v>
      </c>
      <c r="AD2629" t="n">
        <v>4</v>
      </c>
      <c r="AE2629" t="n">
        <v>5</v>
      </c>
      <c r="AF2629" t="n">
        <v>28</v>
      </c>
      <c r="AG2629" t="n">
        <v>36</v>
      </c>
      <c r="AH2629" t="n">
        <v>11</v>
      </c>
      <c r="AI2629" t="n">
        <v>17</v>
      </c>
      <c r="AJ2629" t="n">
        <v>7</v>
      </c>
      <c r="AK2629" t="n">
        <v>9</v>
      </c>
      <c r="AL2629" t="n">
        <v>16</v>
      </c>
      <c r="AM2629" t="n">
        <v>17</v>
      </c>
      <c r="AN2629" t="n">
        <v>2</v>
      </c>
      <c r="AO2629" t="n">
        <v>3</v>
      </c>
      <c r="AP2629" t="n">
        <v>0</v>
      </c>
      <c r="AQ2629" t="n">
        <v>0</v>
      </c>
      <c r="AR2629" t="inlineStr">
        <is>
          <t>No</t>
        </is>
      </c>
      <c r="AS2629" t="inlineStr">
        <is>
          <t>No</t>
        </is>
      </c>
      <c r="AU2629">
        <f>HYPERLINK("https://creighton-primo.hosted.exlibrisgroup.com/primo-explore/search?tab=default_tab&amp;search_scope=EVERYTHING&amp;vid=01CRU&amp;lang=en_US&amp;offset=0&amp;query=any,contains,991002593559702656","Catalog Record")</f>
        <v/>
      </c>
      <c r="AV2629">
        <f>HYPERLINK("http://www.worldcat.org/oclc/33971235","WorldCat Record")</f>
        <v/>
      </c>
      <c r="AW2629" t="inlineStr">
        <is>
          <t>836953738:eng</t>
        </is>
      </c>
      <c r="AX2629" t="inlineStr">
        <is>
          <t>33971235</t>
        </is>
      </c>
      <c r="AY2629" t="inlineStr">
        <is>
          <t>991002593559702656</t>
        </is>
      </c>
      <c r="AZ2629" t="inlineStr">
        <is>
          <t>991002593559702656</t>
        </is>
      </c>
      <c r="BA2629" t="inlineStr">
        <is>
          <t>2264274300002656</t>
        </is>
      </c>
      <c r="BB2629" t="inlineStr">
        <is>
          <t>BOOK</t>
        </is>
      </c>
      <c r="BD2629" t="inlineStr">
        <is>
          <t>9780312158644</t>
        </is>
      </c>
      <c r="BE2629" t="inlineStr">
        <is>
          <t>32285002444007</t>
        </is>
      </c>
      <c r="BF2629" t="inlineStr">
        <is>
          <t>893251421</t>
        </is>
      </c>
    </row>
    <row r="2630">
      <c r="A2630" t="inlineStr">
        <is>
          <t>No</t>
        </is>
      </c>
      <c r="B2630" t="inlineStr">
        <is>
          <t>CURAL</t>
        </is>
      </c>
      <c r="C2630" t="inlineStr">
        <is>
          <t>SHELVES</t>
        </is>
      </c>
      <c r="D2630" t="inlineStr">
        <is>
          <t>PR5881 .W55 1968</t>
        </is>
      </c>
      <c r="E2630" t="inlineStr">
        <is>
          <t>0                      PR 5881000W  55          1968</t>
        </is>
      </c>
      <c r="F2630" t="inlineStr">
        <is>
          <t>Wordsworth [by] Carl Woodring.</t>
        </is>
      </c>
      <c r="H2630" t="inlineStr">
        <is>
          <t>No</t>
        </is>
      </c>
      <c r="I2630" t="inlineStr">
        <is>
          <t>1</t>
        </is>
      </c>
      <c r="J2630" t="inlineStr">
        <is>
          <t>No</t>
        </is>
      </c>
      <c r="K2630" t="inlineStr">
        <is>
          <t>No</t>
        </is>
      </c>
      <c r="L2630" t="inlineStr">
        <is>
          <t>0</t>
        </is>
      </c>
      <c r="M2630" t="inlineStr">
        <is>
          <t>Woodring, Carl, 1919-2009.</t>
        </is>
      </c>
      <c r="N2630" t="inlineStr">
        <is>
          <t>Boston, Houghton Mifflin [1965]</t>
        </is>
      </c>
      <c r="O2630" t="inlineStr">
        <is>
          <t>1965</t>
        </is>
      </c>
      <c r="Q2630" t="inlineStr">
        <is>
          <t>eng</t>
        </is>
      </c>
      <c r="R2630" t="inlineStr">
        <is>
          <t>mau</t>
        </is>
      </c>
      <c r="S2630" t="inlineStr">
        <is>
          <t>Riverside studies in literature ; L2</t>
        </is>
      </c>
      <c r="T2630" t="inlineStr">
        <is>
          <t xml:space="preserve">PR </t>
        </is>
      </c>
      <c r="U2630" t="n">
        <v>1</v>
      </c>
      <c r="V2630" t="n">
        <v>1</v>
      </c>
      <c r="W2630" t="inlineStr">
        <is>
          <t>2004-07-22</t>
        </is>
      </c>
      <c r="X2630" t="inlineStr">
        <is>
          <t>2004-07-22</t>
        </is>
      </c>
      <c r="Y2630" t="inlineStr">
        <is>
          <t>1997-07-23</t>
        </is>
      </c>
      <c r="Z2630" t="inlineStr">
        <is>
          <t>1997-07-23</t>
        </is>
      </c>
      <c r="AA2630" t="n">
        <v>708</v>
      </c>
      <c r="AB2630" t="n">
        <v>645</v>
      </c>
      <c r="AC2630" t="n">
        <v>1048</v>
      </c>
      <c r="AD2630" t="n">
        <v>6</v>
      </c>
      <c r="AE2630" t="n">
        <v>9</v>
      </c>
      <c r="AF2630" t="n">
        <v>29</v>
      </c>
      <c r="AG2630" t="n">
        <v>48</v>
      </c>
      <c r="AH2630" t="n">
        <v>11</v>
      </c>
      <c r="AI2630" t="n">
        <v>18</v>
      </c>
      <c r="AJ2630" t="n">
        <v>6</v>
      </c>
      <c r="AK2630" t="n">
        <v>10</v>
      </c>
      <c r="AL2630" t="n">
        <v>14</v>
      </c>
      <c r="AM2630" t="n">
        <v>24</v>
      </c>
      <c r="AN2630" t="n">
        <v>5</v>
      </c>
      <c r="AO2630" t="n">
        <v>8</v>
      </c>
      <c r="AP2630" t="n">
        <v>0</v>
      </c>
      <c r="AQ2630" t="n">
        <v>0</v>
      </c>
      <c r="AR2630" t="inlineStr">
        <is>
          <t>No</t>
        </is>
      </c>
      <c r="AS2630" t="inlineStr">
        <is>
          <t>Yes</t>
        </is>
      </c>
      <c r="AT2630">
        <f>HYPERLINK("http://catalog.hathitrust.org/Record/001189037","HathiTrust Record")</f>
        <v/>
      </c>
      <c r="AU2630">
        <f>HYPERLINK("https://creighton-primo.hosted.exlibrisgroup.com/primo-explore/search?tab=default_tab&amp;search_scope=EVERYTHING&amp;vid=01CRU&amp;lang=en_US&amp;offset=0&amp;query=any,contains,991002490289702656","Catalog Record")</f>
        <v/>
      </c>
      <c r="AV2630">
        <f>HYPERLINK("http://www.worldcat.org/oclc/362403","WorldCat Record")</f>
        <v/>
      </c>
      <c r="AW2630" t="inlineStr">
        <is>
          <t>505917894:eng</t>
        </is>
      </c>
      <c r="AX2630" t="inlineStr">
        <is>
          <t>362403</t>
        </is>
      </c>
      <c r="AY2630" t="inlineStr">
        <is>
          <t>991002490289702656</t>
        </is>
      </c>
      <c r="AZ2630" t="inlineStr">
        <is>
          <t>991002490289702656</t>
        </is>
      </c>
      <c r="BA2630" t="inlineStr">
        <is>
          <t>2262370860002656</t>
        </is>
      </c>
      <c r="BB2630" t="inlineStr">
        <is>
          <t>BOOK</t>
        </is>
      </c>
      <c r="BE2630" t="inlineStr">
        <is>
          <t>32285002951837</t>
        </is>
      </c>
      <c r="BF2630" t="inlineStr">
        <is>
          <t>893892617</t>
        </is>
      </c>
    </row>
    <row r="2631">
      <c r="A2631" t="inlineStr">
        <is>
          <t>No</t>
        </is>
      </c>
      <c r="B2631" t="inlineStr">
        <is>
          <t>CURAL</t>
        </is>
      </c>
      <c r="C2631" t="inlineStr">
        <is>
          <t>SHELVES</t>
        </is>
      </c>
      <c r="D2631" t="inlineStr">
        <is>
          <t>PR5882 .J65 1998</t>
        </is>
      </c>
      <c r="E2631" t="inlineStr">
        <is>
          <t>0                      PR 5882000J  65          1998</t>
        </is>
      </c>
      <c r="F2631" t="inlineStr">
        <is>
          <t>The hidden Wordsworth : poet, lover, rebel, spy / Kenneth R. Johnston.</t>
        </is>
      </c>
      <c r="H2631" t="inlineStr">
        <is>
          <t>No</t>
        </is>
      </c>
      <c r="I2631" t="inlineStr">
        <is>
          <t>1</t>
        </is>
      </c>
      <c r="J2631" t="inlineStr">
        <is>
          <t>No</t>
        </is>
      </c>
      <c r="K2631" t="inlineStr">
        <is>
          <t>No</t>
        </is>
      </c>
      <c r="L2631" t="inlineStr">
        <is>
          <t>0</t>
        </is>
      </c>
      <c r="M2631" t="inlineStr">
        <is>
          <t>Johnston, Kenneth R.</t>
        </is>
      </c>
      <c r="N2631" t="inlineStr">
        <is>
          <t>New York : W.W. Norton, c1998.</t>
        </is>
      </c>
      <c r="O2631" t="inlineStr">
        <is>
          <t>1998</t>
        </is>
      </c>
      <c r="P2631" t="inlineStr">
        <is>
          <t>1st ed.</t>
        </is>
      </c>
      <c r="Q2631" t="inlineStr">
        <is>
          <t>eng</t>
        </is>
      </c>
      <c r="R2631" t="inlineStr">
        <is>
          <t>nyu</t>
        </is>
      </c>
      <c r="T2631" t="inlineStr">
        <is>
          <t xml:space="preserve">PR </t>
        </is>
      </c>
      <c r="U2631" t="n">
        <v>6</v>
      </c>
      <c r="V2631" t="n">
        <v>6</v>
      </c>
      <c r="W2631" t="inlineStr">
        <is>
          <t>2005-02-20</t>
        </is>
      </c>
      <c r="X2631" t="inlineStr">
        <is>
          <t>2005-02-20</t>
        </is>
      </c>
      <c r="Y2631" t="inlineStr">
        <is>
          <t>1998-12-09</t>
        </is>
      </c>
      <c r="Z2631" t="inlineStr">
        <is>
          <t>1998-12-09</t>
        </is>
      </c>
      <c r="AA2631" t="n">
        <v>1197</v>
      </c>
      <c r="AB2631" t="n">
        <v>995</v>
      </c>
      <c r="AC2631" t="n">
        <v>1043</v>
      </c>
      <c r="AD2631" t="n">
        <v>7</v>
      </c>
      <c r="AE2631" t="n">
        <v>8</v>
      </c>
      <c r="AF2631" t="n">
        <v>47</v>
      </c>
      <c r="AG2631" t="n">
        <v>48</v>
      </c>
      <c r="AH2631" t="n">
        <v>23</v>
      </c>
      <c r="AI2631" t="n">
        <v>23</v>
      </c>
      <c r="AJ2631" t="n">
        <v>11</v>
      </c>
      <c r="AK2631" t="n">
        <v>11</v>
      </c>
      <c r="AL2631" t="n">
        <v>22</v>
      </c>
      <c r="AM2631" t="n">
        <v>23</v>
      </c>
      <c r="AN2631" t="n">
        <v>5</v>
      </c>
      <c r="AO2631" t="n">
        <v>5</v>
      </c>
      <c r="AP2631" t="n">
        <v>0</v>
      </c>
      <c r="AQ2631" t="n">
        <v>0</v>
      </c>
      <c r="AR2631" t="inlineStr">
        <is>
          <t>No</t>
        </is>
      </c>
      <c r="AS2631" t="inlineStr">
        <is>
          <t>No</t>
        </is>
      </c>
      <c r="AU2631">
        <f>HYPERLINK("https://creighton-primo.hosted.exlibrisgroup.com/primo-explore/search?tab=default_tab&amp;search_scope=EVERYTHING&amp;vid=01CRU&amp;lang=en_US&amp;offset=0&amp;query=any,contains,991002854479702656","Catalog Record")</f>
        <v/>
      </c>
      <c r="AV2631">
        <f>HYPERLINK("http://www.worldcat.org/oclc/37608308","WorldCat Record")</f>
        <v/>
      </c>
      <c r="AW2631" t="inlineStr">
        <is>
          <t>33101903:eng</t>
        </is>
      </c>
      <c r="AX2631" t="inlineStr">
        <is>
          <t>37608308</t>
        </is>
      </c>
      <c r="AY2631" t="inlineStr">
        <is>
          <t>991002854479702656</t>
        </is>
      </c>
      <c r="AZ2631" t="inlineStr">
        <is>
          <t>991002854479702656</t>
        </is>
      </c>
      <c r="BA2631" t="inlineStr">
        <is>
          <t>2266151250002656</t>
        </is>
      </c>
      <c r="BB2631" t="inlineStr">
        <is>
          <t>BOOK</t>
        </is>
      </c>
      <c r="BD2631" t="inlineStr">
        <is>
          <t>9780393046236</t>
        </is>
      </c>
      <c r="BE2631" t="inlineStr">
        <is>
          <t>32285003505194</t>
        </is>
      </c>
      <c r="BF2631" t="inlineStr">
        <is>
          <t>893786642</t>
        </is>
      </c>
    </row>
    <row r="2632">
      <c r="A2632" t="inlineStr">
        <is>
          <t>No</t>
        </is>
      </c>
      <c r="B2632" t="inlineStr">
        <is>
          <t>CURAL</t>
        </is>
      </c>
      <c r="C2632" t="inlineStr">
        <is>
          <t>SHELVES</t>
        </is>
      </c>
      <c r="D2632" t="inlineStr">
        <is>
          <t>PR5883 .M34 1997</t>
        </is>
      </c>
      <c r="E2632" t="inlineStr">
        <is>
          <t>0                      PR 5883000M  34          1997</t>
        </is>
      </c>
      <c r="F2632" t="inlineStr">
        <is>
          <t>The poetry of relationship : the Wordsworths and Coleridge, 1797-1800 / Richard E. Matlak.</t>
        </is>
      </c>
      <c r="H2632" t="inlineStr">
        <is>
          <t>No</t>
        </is>
      </c>
      <c r="I2632" t="inlineStr">
        <is>
          <t>1</t>
        </is>
      </c>
      <c r="J2632" t="inlineStr">
        <is>
          <t>No</t>
        </is>
      </c>
      <c r="K2632" t="inlineStr">
        <is>
          <t>No</t>
        </is>
      </c>
      <c r="L2632" t="inlineStr">
        <is>
          <t>0</t>
        </is>
      </c>
      <c r="M2632" t="inlineStr">
        <is>
          <t>Matlak, Richard E., 1944-</t>
        </is>
      </c>
      <c r="N2632" t="inlineStr">
        <is>
          <t>New York : St. Martin's Press, 1997.</t>
        </is>
      </c>
      <c r="O2632" t="inlineStr">
        <is>
          <t>1997</t>
        </is>
      </c>
      <c r="P2632" t="inlineStr">
        <is>
          <t>1st ed.</t>
        </is>
      </c>
      <c r="Q2632" t="inlineStr">
        <is>
          <t>eng</t>
        </is>
      </c>
      <c r="R2632" t="inlineStr">
        <is>
          <t>nyu</t>
        </is>
      </c>
      <c r="T2632" t="inlineStr">
        <is>
          <t xml:space="preserve">PR </t>
        </is>
      </c>
      <c r="U2632" t="n">
        <v>5</v>
      </c>
      <c r="V2632" t="n">
        <v>5</v>
      </c>
      <c r="W2632" t="inlineStr">
        <is>
          <t>2004-07-22</t>
        </is>
      </c>
      <c r="X2632" t="inlineStr">
        <is>
          <t>2004-07-22</t>
        </is>
      </c>
      <c r="Y2632" t="inlineStr">
        <is>
          <t>2001-01-15</t>
        </is>
      </c>
      <c r="Z2632" t="inlineStr">
        <is>
          <t>2001-01-15</t>
        </is>
      </c>
      <c r="AA2632" t="n">
        <v>452</v>
      </c>
      <c r="AB2632" t="n">
        <v>381</v>
      </c>
      <c r="AC2632" t="n">
        <v>386</v>
      </c>
      <c r="AD2632" t="n">
        <v>4</v>
      </c>
      <c r="AE2632" t="n">
        <v>4</v>
      </c>
      <c r="AF2632" t="n">
        <v>26</v>
      </c>
      <c r="AG2632" t="n">
        <v>26</v>
      </c>
      <c r="AH2632" t="n">
        <v>8</v>
      </c>
      <c r="AI2632" t="n">
        <v>8</v>
      </c>
      <c r="AJ2632" t="n">
        <v>8</v>
      </c>
      <c r="AK2632" t="n">
        <v>8</v>
      </c>
      <c r="AL2632" t="n">
        <v>14</v>
      </c>
      <c r="AM2632" t="n">
        <v>14</v>
      </c>
      <c r="AN2632" t="n">
        <v>3</v>
      </c>
      <c r="AO2632" t="n">
        <v>3</v>
      </c>
      <c r="AP2632" t="n">
        <v>0</v>
      </c>
      <c r="AQ2632" t="n">
        <v>0</v>
      </c>
      <c r="AR2632" t="inlineStr">
        <is>
          <t>No</t>
        </is>
      </c>
      <c r="AS2632" t="inlineStr">
        <is>
          <t>No</t>
        </is>
      </c>
      <c r="AU2632">
        <f>HYPERLINK("https://creighton-primo.hosted.exlibrisgroup.com/primo-explore/search?tab=default_tab&amp;search_scope=EVERYTHING&amp;vid=01CRU&amp;lang=en_US&amp;offset=0&amp;query=any,contains,991003361879702656","Catalog Record")</f>
        <v/>
      </c>
      <c r="AV2632">
        <f>HYPERLINK("http://www.worldcat.org/oclc/35865557","WorldCat Record")</f>
        <v/>
      </c>
      <c r="AW2632" t="inlineStr">
        <is>
          <t>40603575:eng</t>
        </is>
      </c>
      <c r="AX2632" t="inlineStr">
        <is>
          <t>35865557</t>
        </is>
      </c>
      <c r="AY2632" t="inlineStr">
        <is>
          <t>991003361879702656</t>
        </is>
      </c>
      <c r="AZ2632" t="inlineStr">
        <is>
          <t>991003361879702656</t>
        </is>
      </c>
      <c r="BA2632" t="inlineStr">
        <is>
          <t>2262894130002656</t>
        </is>
      </c>
      <c r="BB2632" t="inlineStr">
        <is>
          <t>BOOK</t>
        </is>
      </c>
      <c r="BD2632" t="inlineStr">
        <is>
          <t>9780312101664</t>
        </is>
      </c>
      <c r="BE2632" t="inlineStr">
        <is>
          <t>32285004283767</t>
        </is>
      </c>
      <c r="BF2632" t="inlineStr">
        <is>
          <t>893604721</t>
        </is>
      </c>
    </row>
    <row r="2633">
      <c r="A2633" t="inlineStr">
        <is>
          <t>No</t>
        </is>
      </c>
      <c r="B2633" t="inlineStr">
        <is>
          <t>CURAL</t>
        </is>
      </c>
      <c r="C2633" t="inlineStr">
        <is>
          <t>SHELVES</t>
        </is>
      </c>
      <c r="D2633" t="inlineStr">
        <is>
          <t>PR5886 .P48 1997</t>
        </is>
      </c>
      <c r="E2633" t="inlineStr">
        <is>
          <t>0                      PR 5886000P  48          1997</t>
        </is>
      </c>
      <c r="F2633" t="inlineStr">
        <is>
          <t>Wordsworth's profession : form, class, and the logic of early Romantic cultural production / Thomas Pfau.</t>
        </is>
      </c>
      <c r="H2633" t="inlineStr">
        <is>
          <t>No</t>
        </is>
      </c>
      <c r="I2633" t="inlineStr">
        <is>
          <t>1</t>
        </is>
      </c>
      <c r="J2633" t="inlineStr">
        <is>
          <t>No</t>
        </is>
      </c>
      <c r="K2633" t="inlineStr">
        <is>
          <t>No</t>
        </is>
      </c>
      <c r="L2633" t="inlineStr">
        <is>
          <t>0</t>
        </is>
      </c>
      <c r="M2633" t="inlineStr">
        <is>
          <t>Pfau, Thomas, 1960-</t>
        </is>
      </c>
      <c r="N2633" t="inlineStr">
        <is>
          <t>Stanford, Calif. : Stanford University Press, 1997.</t>
        </is>
      </c>
      <c r="O2633" t="inlineStr">
        <is>
          <t>1997</t>
        </is>
      </c>
      <c r="Q2633" t="inlineStr">
        <is>
          <t>eng</t>
        </is>
      </c>
      <c r="R2633" t="inlineStr">
        <is>
          <t>cau</t>
        </is>
      </c>
      <c r="T2633" t="inlineStr">
        <is>
          <t xml:space="preserve">PR </t>
        </is>
      </c>
      <c r="U2633" t="n">
        <v>3</v>
      </c>
      <c r="V2633" t="n">
        <v>3</v>
      </c>
      <c r="W2633" t="inlineStr">
        <is>
          <t>2004-03-17</t>
        </is>
      </c>
      <c r="X2633" t="inlineStr">
        <is>
          <t>2004-03-17</t>
        </is>
      </c>
      <c r="Y2633" t="inlineStr">
        <is>
          <t>1999-01-21</t>
        </is>
      </c>
      <c r="Z2633" t="inlineStr">
        <is>
          <t>1999-01-21</t>
        </is>
      </c>
      <c r="AA2633" t="n">
        <v>330</v>
      </c>
      <c r="AB2633" t="n">
        <v>260</v>
      </c>
      <c r="AC2633" t="n">
        <v>260</v>
      </c>
      <c r="AD2633" t="n">
        <v>3</v>
      </c>
      <c r="AE2633" t="n">
        <v>3</v>
      </c>
      <c r="AF2633" t="n">
        <v>16</v>
      </c>
      <c r="AG2633" t="n">
        <v>16</v>
      </c>
      <c r="AH2633" t="n">
        <v>4</v>
      </c>
      <c r="AI2633" t="n">
        <v>4</v>
      </c>
      <c r="AJ2633" t="n">
        <v>5</v>
      </c>
      <c r="AK2633" t="n">
        <v>5</v>
      </c>
      <c r="AL2633" t="n">
        <v>11</v>
      </c>
      <c r="AM2633" t="n">
        <v>11</v>
      </c>
      <c r="AN2633" t="n">
        <v>2</v>
      </c>
      <c r="AO2633" t="n">
        <v>2</v>
      </c>
      <c r="AP2633" t="n">
        <v>0</v>
      </c>
      <c r="AQ2633" t="n">
        <v>0</v>
      </c>
      <c r="AR2633" t="inlineStr">
        <is>
          <t>No</t>
        </is>
      </c>
      <c r="AS2633" t="inlineStr">
        <is>
          <t>No</t>
        </is>
      </c>
      <c r="AU2633">
        <f>HYPERLINK("https://creighton-primo.hosted.exlibrisgroup.com/primo-explore/search?tab=default_tab&amp;search_scope=EVERYTHING&amp;vid=01CRU&amp;lang=en_US&amp;offset=0&amp;query=any,contains,991002774669702656","Catalog Record")</f>
        <v/>
      </c>
      <c r="AV2633">
        <f>HYPERLINK("http://www.worldcat.org/oclc/36438776","WorldCat Record")</f>
        <v/>
      </c>
      <c r="AW2633" t="inlineStr">
        <is>
          <t>198629457:eng</t>
        </is>
      </c>
      <c r="AX2633" t="inlineStr">
        <is>
          <t>36438776</t>
        </is>
      </c>
      <c r="AY2633" t="inlineStr">
        <is>
          <t>991002774669702656</t>
        </is>
      </c>
      <c r="AZ2633" t="inlineStr">
        <is>
          <t>991002774669702656</t>
        </is>
      </c>
      <c r="BA2633" t="inlineStr">
        <is>
          <t>2272005060002656</t>
        </is>
      </c>
      <c r="BB2633" t="inlineStr">
        <is>
          <t>BOOK</t>
        </is>
      </c>
      <c r="BD2633" t="inlineStr">
        <is>
          <t>9780804729024</t>
        </is>
      </c>
      <c r="BE2633" t="inlineStr">
        <is>
          <t>32285003514725</t>
        </is>
      </c>
      <c r="BF2633" t="inlineStr">
        <is>
          <t>893227257</t>
        </is>
      </c>
    </row>
    <row r="2634">
      <c r="A2634" t="inlineStr">
        <is>
          <t>No</t>
        </is>
      </c>
      <c r="B2634" t="inlineStr">
        <is>
          <t>CURAL</t>
        </is>
      </c>
      <c r="C2634" t="inlineStr">
        <is>
          <t>SHELVES</t>
        </is>
      </c>
      <c r="D2634" t="inlineStr">
        <is>
          <t>PR5887 .P56 1988</t>
        </is>
      </c>
      <c r="E2634" t="inlineStr">
        <is>
          <t>0                      PR 5887000P  56          1988</t>
        </is>
      </c>
      <c r="F2634" t="inlineStr">
        <is>
          <t>A Wordsworth chronology / F.B. Pinion.</t>
        </is>
      </c>
      <c r="H2634" t="inlineStr">
        <is>
          <t>No</t>
        </is>
      </c>
      <c r="I2634" t="inlineStr">
        <is>
          <t>1</t>
        </is>
      </c>
      <c r="J2634" t="inlineStr">
        <is>
          <t>No</t>
        </is>
      </c>
      <c r="K2634" t="inlineStr">
        <is>
          <t>No</t>
        </is>
      </c>
      <c r="L2634" t="inlineStr">
        <is>
          <t>0</t>
        </is>
      </c>
      <c r="M2634" t="inlineStr">
        <is>
          <t>Pinion, F. B.</t>
        </is>
      </c>
      <c r="N2634" t="inlineStr">
        <is>
          <t>Basingstoke : Macmillan, 1988.</t>
        </is>
      </c>
      <c r="O2634" t="inlineStr">
        <is>
          <t>1988</t>
        </is>
      </c>
      <c r="Q2634" t="inlineStr">
        <is>
          <t>eng</t>
        </is>
      </c>
      <c r="R2634" t="inlineStr">
        <is>
          <t>enk</t>
        </is>
      </c>
      <c r="S2634" t="inlineStr">
        <is>
          <t>Macmillan author chronologies</t>
        </is>
      </c>
      <c r="T2634" t="inlineStr">
        <is>
          <t xml:space="preserve">PR </t>
        </is>
      </c>
      <c r="U2634" t="n">
        <v>1</v>
      </c>
      <c r="V2634" t="n">
        <v>1</v>
      </c>
      <c r="W2634" t="inlineStr">
        <is>
          <t>1998-11-05</t>
        </is>
      </c>
      <c r="X2634" t="inlineStr">
        <is>
          <t>1998-11-05</t>
        </is>
      </c>
      <c r="Y2634" t="inlineStr">
        <is>
          <t>1992-06-23</t>
        </is>
      </c>
      <c r="Z2634" t="inlineStr">
        <is>
          <t>1992-06-23</t>
        </is>
      </c>
      <c r="AA2634" t="n">
        <v>123</v>
      </c>
      <c r="AB2634" t="n">
        <v>49</v>
      </c>
      <c r="AC2634" t="n">
        <v>318</v>
      </c>
      <c r="AD2634" t="n">
        <v>2</v>
      </c>
      <c r="AE2634" t="n">
        <v>3</v>
      </c>
      <c r="AF2634" t="n">
        <v>2</v>
      </c>
      <c r="AG2634" t="n">
        <v>17</v>
      </c>
      <c r="AH2634" t="n">
        <v>0</v>
      </c>
      <c r="AI2634" t="n">
        <v>7</v>
      </c>
      <c r="AJ2634" t="n">
        <v>1</v>
      </c>
      <c r="AK2634" t="n">
        <v>3</v>
      </c>
      <c r="AL2634" t="n">
        <v>1</v>
      </c>
      <c r="AM2634" t="n">
        <v>9</v>
      </c>
      <c r="AN2634" t="n">
        <v>1</v>
      </c>
      <c r="AO2634" t="n">
        <v>2</v>
      </c>
      <c r="AP2634" t="n">
        <v>0</v>
      </c>
      <c r="AQ2634" t="n">
        <v>0</v>
      </c>
      <c r="AR2634" t="inlineStr">
        <is>
          <t>No</t>
        </is>
      </c>
      <c r="AS2634" t="inlineStr">
        <is>
          <t>Yes</t>
        </is>
      </c>
      <c r="AT2634">
        <f>HYPERLINK("http://catalog.hathitrust.org/Record/001074530","HathiTrust Record")</f>
        <v/>
      </c>
      <c r="AU2634">
        <f>HYPERLINK("https://creighton-primo.hosted.exlibrisgroup.com/primo-explore/search?tab=default_tab&amp;search_scope=EVERYTHING&amp;vid=01CRU&amp;lang=en_US&amp;offset=0&amp;query=any,contains,991001043489702656","Catalog Record")</f>
        <v/>
      </c>
      <c r="AV2634">
        <f>HYPERLINK("http://www.worldcat.org/oclc/19511783","WorldCat Record")</f>
        <v/>
      </c>
      <c r="AW2634" t="inlineStr">
        <is>
          <t>12647042:eng</t>
        </is>
      </c>
      <c r="AX2634" t="inlineStr">
        <is>
          <t>19511783</t>
        </is>
      </c>
      <c r="AY2634" t="inlineStr">
        <is>
          <t>991001043489702656</t>
        </is>
      </c>
      <c r="AZ2634" t="inlineStr">
        <is>
          <t>991001043489702656</t>
        </is>
      </c>
      <c r="BA2634" t="inlineStr">
        <is>
          <t>2255237970002656</t>
        </is>
      </c>
      <c r="BB2634" t="inlineStr">
        <is>
          <t>BOOK</t>
        </is>
      </c>
      <c r="BD2634" t="inlineStr">
        <is>
          <t>9780333388600</t>
        </is>
      </c>
      <c r="BE2634" t="inlineStr">
        <is>
          <t>32285001133064</t>
        </is>
      </c>
      <c r="BF2634" t="inlineStr">
        <is>
          <t>893791117</t>
        </is>
      </c>
    </row>
    <row r="2635">
      <c r="A2635" t="inlineStr">
        <is>
          <t>No</t>
        </is>
      </c>
      <c r="B2635" t="inlineStr">
        <is>
          <t>CURAL</t>
        </is>
      </c>
      <c r="C2635" t="inlineStr">
        <is>
          <t>SHELVES</t>
        </is>
      </c>
      <c r="D2635" t="inlineStr">
        <is>
          <t>PR5888 .A27</t>
        </is>
      </c>
      <c r="E2635" t="inlineStr">
        <is>
          <t>0                      PR 5888000A  27</t>
        </is>
      </c>
      <c r="F2635" t="inlineStr">
        <is>
          <t>Wordsworth : a collection of critical essays / edited by M. H. Abrams.</t>
        </is>
      </c>
      <c r="H2635" t="inlineStr">
        <is>
          <t>No</t>
        </is>
      </c>
      <c r="I2635" t="inlineStr">
        <is>
          <t>1</t>
        </is>
      </c>
      <c r="J2635" t="inlineStr">
        <is>
          <t>No</t>
        </is>
      </c>
      <c r="K2635" t="inlineStr">
        <is>
          <t>No</t>
        </is>
      </c>
      <c r="L2635" t="inlineStr">
        <is>
          <t>0</t>
        </is>
      </c>
      <c r="M2635" t="inlineStr">
        <is>
          <t>Abrams, M. H. (Meyer Howard), 1912-2015, compiler.</t>
        </is>
      </c>
      <c r="N2635" t="inlineStr">
        <is>
          <t>Englewood Cliffs, N.J. : Prentice-Hall, [1972]</t>
        </is>
      </c>
      <c r="O2635" t="inlineStr">
        <is>
          <t>1972</t>
        </is>
      </c>
      <c r="Q2635" t="inlineStr">
        <is>
          <t>eng</t>
        </is>
      </c>
      <c r="R2635" t="inlineStr">
        <is>
          <t>nju</t>
        </is>
      </c>
      <c r="S2635" t="inlineStr">
        <is>
          <t>A Spectrum book</t>
        </is>
      </c>
      <c r="T2635" t="inlineStr">
        <is>
          <t xml:space="preserve">PR </t>
        </is>
      </c>
      <c r="U2635" t="n">
        <v>12</v>
      </c>
      <c r="V2635" t="n">
        <v>12</v>
      </c>
      <c r="W2635" t="inlineStr">
        <is>
          <t>2001-03-29</t>
        </is>
      </c>
      <c r="X2635" t="inlineStr">
        <is>
          <t>2001-03-29</t>
        </is>
      </c>
      <c r="Y2635" t="inlineStr">
        <is>
          <t>1990-03-12</t>
        </is>
      </c>
      <c r="Z2635" t="inlineStr">
        <is>
          <t>1990-03-12</t>
        </is>
      </c>
      <c r="AA2635" t="n">
        <v>1604</v>
      </c>
      <c r="AB2635" t="n">
        <v>1395</v>
      </c>
      <c r="AC2635" t="n">
        <v>1417</v>
      </c>
      <c r="AD2635" t="n">
        <v>8</v>
      </c>
      <c r="AE2635" t="n">
        <v>8</v>
      </c>
      <c r="AF2635" t="n">
        <v>46</v>
      </c>
      <c r="AG2635" t="n">
        <v>46</v>
      </c>
      <c r="AH2635" t="n">
        <v>19</v>
      </c>
      <c r="AI2635" t="n">
        <v>19</v>
      </c>
      <c r="AJ2635" t="n">
        <v>9</v>
      </c>
      <c r="AK2635" t="n">
        <v>9</v>
      </c>
      <c r="AL2635" t="n">
        <v>23</v>
      </c>
      <c r="AM2635" t="n">
        <v>23</v>
      </c>
      <c r="AN2635" t="n">
        <v>6</v>
      </c>
      <c r="AO2635" t="n">
        <v>6</v>
      </c>
      <c r="AP2635" t="n">
        <v>0</v>
      </c>
      <c r="AQ2635" t="n">
        <v>0</v>
      </c>
      <c r="AR2635" t="inlineStr">
        <is>
          <t>No</t>
        </is>
      </c>
      <c r="AS2635" t="inlineStr">
        <is>
          <t>Yes</t>
        </is>
      </c>
      <c r="AT2635">
        <f>HYPERLINK("http://catalog.hathitrust.org/Record/001024936","HathiTrust Record")</f>
        <v/>
      </c>
      <c r="AU2635">
        <f>HYPERLINK("https://creighton-primo.hosted.exlibrisgroup.com/primo-explore/search?tab=default_tab&amp;search_scope=EVERYTHING&amp;vid=01CRU&amp;lang=en_US&amp;offset=0&amp;query=any,contains,991002412989702656","Catalog Record")</f>
        <v/>
      </c>
      <c r="AV2635">
        <f>HYPERLINK("http://www.worldcat.org/oclc/340494","WorldCat Record")</f>
        <v/>
      </c>
      <c r="AW2635" t="inlineStr">
        <is>
          <t>1807438010:eng</t>
        </is>
      </c>
      <c r="AX2635" t="inlineStr">
        <is>
          <t>340494</t>
        </is>
      </c>
      <c r="AY2635" t="inlineStr">
        <is>
          <t>991002412989702656</t>
        </is>
      </c>
      <c r="AZ2635" t="inlineStr">
        <is>
          <t>991002412989702656</t>
        </is>
      </c>
      <c r="BA2635" t="inlineStr">
        <is>
          <t>2262774750002656</t>
        </is>
      </c>
      <c r="BB2635" t="inlineStr">
        <is>
          <t>BOOK</t>
        </is>
      </c>
      <c r="BD2635" t="inlineStr">
        <is>
          <t>9780139650796</t>
        </is>
      </c>
      <c r="BE2635" t="inlineStr">
        <is>
          <t>32285000081561</t>
        </is>
      </c>
      <c r="BF2635" t="inlineStr">
        <is>
          <t>893886250</t>
        </is>
      </c>
    </row>
    <row r="2636">
      <c r="A2636" t="inlineStr">
        <is>
          <t>No</t>
        </is>
      </c>
      <c r="B2636" t="inlineStr">
        <is>
          <t>CURAL</t>
        </is>
      </c>
      <c r="C2636" t="inlineStr">
        <is>
          <t>SHELVES</t>
        </is>
      </c>
      <c r="D2636" t="inlineStr">
        <is>
          <t>PR5888 .A66 1986</t>
        </is>
      </c>
      <c r="E2636" t="inlineStr">
        <is>
          <t>0                      PR 5888000A  66          1986</t>
        </is>
      </c>
      <c r="F2636" t="inlineStr">
        <is>
          <t>Approaches to teaching Wordsworth's poetry / edited by Spencer Hall, with Jonathan Ramsey.</t>
        </is>
      </c>
      <c r="H2636" t="inlineStr">
        <is>
          <t>No</t>
        </is>
      </c>
      <c r="I2636" t="inlineStr">
        <is>
          <t>1</t>
        </is>
      </c>
      <c r="J2636" t="inlineStr">
        <is>
          <t>No</t>
        </is>
      </c>
      <c r="K2636" t="inlineStr">
        <is>
          <t>No</t>
        </is>
      </c>
      <c r="L2636" t="inlineStr">
        <is>
          <t>0</t>
        </is>
      </c>
      <c r="N2636" t="inlineStr">
        <is>
          <t>New York, N.Y. : Modern Language Association of America, 1986.</t>
        </is>
      </c>
      <c r="O2636" t="inlineStr">
        <is>
          <t>1986</t>
        </is>
      </c>
      <c r="Q2636" t="inlineStr">
        <is>
          <t>eng</t>
        </is>
      </c>
      <c r="R2636" t="inlineStr">
        <is>
          <t>nyu</t>
        </is>
      </c>
      <c r="S2636" t="inlineStr">
        <is>
          <t>Approaches to teaching masterpieces of world literature ; 11</t>
        </is>
      </c>
      <c r="T2636" t="inlineStr">
        <is>
          <t xml:space="preserve">PR </t>
        </is>
      </c>
      <c r="U2636" t="n">
        <v>6</v>
      </c>
      <c r="V2636" t="n">
        <v>6</v>
      </c>
      <c r="W2636" t="inlineStr">
        <is>
          <t>1998-01-19</t>
        </is>
      </c>
      <c r="X2636" t="inlineStr">
        <is>
          <t>1998-01-19</t>
        </is>
      </c>
      <c r="Y2636" t="inlineStr">
        <is>
          <t>1992-06-23</t>
        </is>
      </c>
      <c r="Z2636" t="inlineStr">
        <is>
          <t>1992-06-23</t>
        </is>
      </c>
      <c r="AA2636" t="n">
        <v>757</v>
      </c>
      <c r="AB2636" t="n">
        <v>665</v>
      </c>
      <c r="AC2636" t="n">
        <v>667</v>
      </c>
      <c r="AD2636" t="n">
        <v>6</v>
      </c>
      <c r="AE2636" t="n">
        <v>6</v>
      </c>
      <c r="AF2636" t="n">
        <v>32</v>
      </c>
      <c r="AG2636" t="n">
        <v>32</v>
      </c>
      <c r="AH2636" t="n">
        <v>13</v>
      </c>
      <c r="AI2636" t="n">
        <v>13</v>
      </c>
      <c r="AJ2636" t="n">
        <v>7</v>
      </c>
      <c r="AK2636" t="n">
        <v>7</v>
      </c>
      <c r="AL2636" t="n">
        <v>14</v>
      </c>
      <c r="AM2636" t="n">
        <v>14</v>
      </c>
      <c r="AN2636" t="n">
        <v>5</v>
      </c>
      <c r="AO2636" t="n">
        <v>5</v>
      </c>
      <c r="AP2636" t="n">
        <v>0</v>
      </c>
      <c r="AQ2636" t="n">
        <v>0</v>
      </c>
      <c r="AR2636" t="inlineStr">
        <is>
          <t>No</t>
        </is>
      </c>
      <c r="AS2636" t="inlineStr">
        <is>
          <t>No</t>
        </is>
      </c>
      <c r="AU2636">
        <f>HYPERLINK("https://creighton-primo.hosted.exlibrisgroup.com/primo-explore/search?tab=default_tab&amp;search_scope=EVERYTHING&amp;vid=01CRU&amp;lang=en_US&amp;offset=0&amp;query=any,contains,991000718709702656","Catalog Record")</f>
        <v/>
      </c>
      <c r="AV2636">
        <f>HYPERLINK("http://www.worldcat.org/oclc/12663970","WorldCat Record")</f>
        <v/>
      </c>
      <c r="AW2636" t="inlineStr">
        <is>
          <t>355770990:eng</t>
        </is>
      </c>
      <c r="AX2636" t="inlineStr">
        <is>
          <t>12663970</t>
        </is>
      </c>
      <c r="AY2636" t="inlineStr">
        <is>
          <t>991000718709702656</t>
        </is>
      </c>
      <c r="AZ2636" t="inlineStr">
        <is>
          <t>991000718709702656</t>
        </is>
      </c>
      <c r="BA2636" t="inlineStr">
        <is>
          <t>2269629820002656</t>
        </is>
      </c>
      <c r="BB2636" t="inlineStr">
        <is>
          <t>BOOK</t>
        </is>
      </c>
      <c r="BD2636" t="inlineStr">
        <is>
          <t>9780873524957</t>
        </is>
      </c>
      <c r="BE2636" t="inlineStr">
        <is>
          <t>32285001133072</t>
        </is>
      </c>
      <c r="BF2636" t="inlineStr">
        <is>
          <t>893871949</t>
        </is>
      </c>
    </row>
    <row r="2637">
      <c r="A2637" t="inlineStr">
        <is>
          <t>No</t>
        </is>
      </c>
      <c r="B2637" t="inlineStr">
        <is>
          <t>CURAL</t>
        </is>
      </c>
      <c r="C2637" t="inlineStr">
        <is>
          <t>SHELVES</t>
        </is>
      </c>
      <c r="D2637" t="inlineStr">
        <is>
          <t>PR5888 .B47 1989</t>
        </is>
      </c>
      <c r="E2637" t="inlineStr">
        <is>
          <t>0                      PR 5888000B  47          1989</t>
        </is>
      </c>
      <c r="F2637" t="inlineStr">
        <is>
          <t>Wordsworth and the Enlightenment : nature, man, and society in the experimental poetry / Alan Bewell.</t>
        </is>
      </c>
      <c r="H2637" t="inlineStr">
        <is>
          <t>No</t>
        </is>
      </c>
      <c r="I2637" t="inlineStr">
        <is>
          <t>1</t>
        </is>
      </c>
      <c r="J2637" t="inlineStr">
        <is>
          <t>No</t>
        </is>
      </c>
      <c r="K2637" t="inlineStr">
        <is>
          <t>No</t>
        </is>
      </c>
      <c r="L2637" t="inlineStr">
        <is>
          <t>0</t>
        </is>
      </c>
      <c r="M2637" t="inlineStr">
        <is>
          <t>Bewell, Alan, 1951-</t>
        </is>
      </c>
      <c r="N2637" t="inlineStr">
        <is>
          <t>New Haven : Yale University Press, c1989.</t>
        </is>
      </c>
      <c r="O2637" t="inlineStr">
        <is>
          <t>1989</t>
        </is>
      </c>
      <c r="Q2637" t="inlineStr">
        <is>
          <t>eng</t>
        </is>
      </c>
      <c r="R2637" t="inlineStr">
        <is>
          <t>ctu</t>
        </is>
      </c>
      <c r="T2637" t="inlineStr">
        <is>
          <t xml:space="preserve">PR </t>
        </is>
      </c>
      <c r="U2637" t="n">
        <v>11</v>
      </c>
      <c r="V2637" t="n">
        <v>11</v>
      </c>
      <c r="W2637" t="inlineStr">
        <is>
          <t>2007-09-24</t>
        </is>
      </c>
      <c r="X2637" t="inlineStr">
        <is>
          <t>2007-09-24</t>
        </is>
      </c>
      <c r="Y2637" t="inlineStr">
        <is>
          <t>1989-11-01</t>
        </is>
      </c>
      <c r="Z2637" t="inlineStr">
        <is>
          <t>1989-11-01</t>
        </is>
      </c>
      <c r="AA2637" t="n">
        <v>789</v>
      </c>
      <c r="AB2637" t="n">
        <v>608</v>
      </c>
      <c r="AC2637" t="n">
        <v>609</v>
      </c>
      <c r="AD2637" t="n">
        <v>4</v>
      </c>
      <c r="AE2637" t="n">
        <v>4</v>
      </c>
      <c r="AF2637" t="n">
        <v>41</v>
      </c>
      <c r="AG2637" t="n">
        <v>41</v>
      </c>
      <c r="AH2637" t="n">
        <v>20</v>
      </c>
      <c r="AI2637" t="n">
        <v>20</v>
      </c>
      <c r="AJ2637" t="n">
        <v>9</v>
      </c>
      <c r="AK2637" t="n">
        <v>9</v>
      </c>
      <c r="AL2637" t="n">
        <v>20</v>
      </c>
      <c r="AM2637" t="n">
        <v>20</v>
      </c>
      <c r="AN2637" t="n">
        <v>3</v>
      </c>
      <c r="AO2637" t="n">
        <v>3</v>
      </c>
      <c r="AP2637" t="n">
        <v>0</v>
      </c>
      <c r="AQ2637" t="n">
        <v>0</v>
      </c>
      <c r="AR2637" t="inlineStr">
        <is>
          <t>No</t>
        </is>
      </c>
      <c r="AS2637" t="inlineStr">
        <is>
          <t>No</t>
        </is>
      </c>
      <c r="AU2637">
        <f>HYPERLINK("https://creighton-primo.hosted.exlibrisgroup.com/primo-explore/search?tab=default_tab&amp;search_scope=EVERYTHING&amp;vid=01CRU&amp;lang=en_US&amp;offset=0&amp;query=any,contains,991001323999702656","Catalog Record")</f>
        <v/>
      </c>
      <c r="AV2637">
        <f>HYPERLINK("http://www.worldcat.org/oclc/18257574","WorldCat Record")</f>
        <v/>
      </c>
      <c r="AW2637" t="inlineStr">
        <is>
          <t>836711139:eng</t>
        </is>
      </c>
      <c r="AX2637" t="inlineStr">
        <is>
          <t>18257574</t>
        </is>
      </c>
      <c r="AY2637" t="inlineStr">
        <is>
          <t>991001323999702656</t>
        </is>
      </c>
      <c r="AZ2637" t="inlineStr">
        <is>
          <t>991001323999702656</t>
        </is>
      </c>
      <c r="BA2637" t="inlineStr">
        <is>
          <t>2257791900002656</t>
        </is>
      </c>
      <c r="BB2637" t="inlineStr">
        <is>
          <t>BOOK</t>
        </is>
      </c>
      <c r="BD2637" t="inlineStr">
        <is>
          <t>9780300043938</t>
        </is>
      </c>
      <c r="BE2637" t="inlineStr">
        <is>
          <t>32285000011212</t>
        </is>
      </c>
      <c r="BF2637" t="inlineStr">
        <is>
          <t>893720997</t>
        </is>
      </c>
    </row>
    <row r="2638">
      <c r="A2638" t="inlineStr">
        <is>
          <t>No</t>
        </is>
      </c>
      <c r="B2638" t="inlineStr">
        <is>
          <t>CURAL</t>
        </is>
      </c>
      <c r="C2638" t="inlineStr">
        <is>
          <t>SHELVES</t>
        </is>
      </c>
      <c r="D2638" t="inlineStr">
        <is>
          <t>PR5888 .B5</t>
        </is>
      </c>
      <c r="E2638" t="inlineStr">
        <is>
          <t>0                      PR 5888000B  5</t>
        </is>
      </c>
      <c r="F2638" t="inlineStr">
        <is>
          <t>Bicentenary Wordsworth studies in memory of John Alban Finch / edited by Jonathan Wordsworth. Assistant editor: Beth Darlington.</t>
        </is>
      </c>
      <c r="H2638" t="inlineStr">
        <is>
          <t>No</t>
        </is>
      </c>
      <c r="I2638" t="inlineStr">
        <is>
          <t>1</t>
        </is>
      </c>
      <c r="J2638" t="inlineStr">
        <is>
          <t>No</t>
        </is>
      </c>
      <c r="K2638" t="inlineStr">
        <is>
          <t>No</t>
        </is>
      </c>
      <c r="L2638" t="inlineStr">
        <is>
          <t>0</t>
        </is>
      </c>
      <c r="N2638" t="inlineStr">
        <is>
          <t>Ithaca : Cornell University Press, [1970]</t>
        </is>
      </c>
      <c r="O2638" t="inlineStr">
        <is>
          <t>1970</t>
        </is>
      </c>
      <c r="Q2638" t="inlineStr">
        <is>
          <t>eng</t>
        </is>
      </c>
      <c r="R2638" t="inlineStr">
        <is>
          <t>nyu</t>
        </is>
      </c>
      <c r="T2638" t="inlineStr">
        <is>
          <t xml:space="preserve">PR </t>
        </is>
      </c>
      <c r="U2638" t="n">
        <v>1</v>
      </c>
      <c r="V2638" t="n">
        <v>1</v>
      </c>
      <c r="W2638" t="inlineStr">
        <is>
          <t>1997-04-09</t>
        </is>
      </c>
      <c r="X2638" t="inlineStr">
        <is>
          <t>1997-04-09</t>
        </is>
      </c>
      <c r="Y2638" t="inlineStr">
        <is>
          <t>1994-03-04</t>
        </is>
      </c>
      <c r="Z2638" t="inlineStr">
        <is>
          <t>1994-03-04</t>
        </is>
      </c>
      <c r="AA2638" t="n">
        <v>705</v>
      </c>
      <c r="AB2638" t="n">
        <v>577</v>
      </c>
      <c r="AC2638" t="n">
        <v>585</v>
      </c>
      <c r="AD2638" t="n">
        <v>5</v>
      </c>
      <c r="AE2638" t="n">
        <v>5</v>
      </c>
      <c r="AF2638" t="n">
        <v>37</v>
      </c>
      <c r="AG2638" t="n">
        <v>37</v>
      </c>
      <c r="AH2638" t="n">
        <v>16</v>
      </c>
      <c r="AI2638" t="n">
        <v>16</v>
      </c>
      <c r="AJ2638" t="n">
        <v>10</v>
      </c>
      <c r="AK2638" t="n">
        <v>10</v>
      </c>
      <c r="AL2638" t="n">
        <v>18</v>
      </c>
      <c r="AM2638" t="n">
        <v>18</v>
      </c>
      <c r="AN2638" t="n">
        <v>4</v>
      </c>
      <c r="AO2638" t="n">
        <v>4</v>
      </c>
      <c r="AP2638" t="n">
        <v>0</v>
      </c>
      <c r="AQ2638" t="n">
        <v>0</v>
      </c>
      <c r="AR2638" t="inlineStr">
        <is>
          <t>No</t>
        </is>
      </c>
      <c r="AS2638" t="inlineStr">
        <is>
          <t>Yes</t>
        </is>
      </c>
      <c r="AT2638">
        <f>HYPERLINK("http://catalog.hathitrust.org/Record/001188947","HathiTrust Record")</f>
        <v/>
      </c>
      <c r="AU2638">
        <f>HYPERLINK("https://creighton-primo.hosted.exlibrisgroup.com/primo-explore/search?tab=default_tab&amp;search_scope=EVERYTHING&amp;vid=01CRU&amp;lang=en_US&amp;offset=0&amp;query=any,contains,991000816539702656","Catalog Record")</f>
        <v/>
      </c>
      <c r="AV2638">
        <f>HYPERLINK("http://www.worldcat.org/oclc/142777","WorldCat Record")</f>
        <v/>
      </c>
      <c r="AW2638" t="inlineStr">
        <is>
          <t>793978575:eng</t>
        </is>
      </c>
      <c r="AX2638" t="inlineStr">
        <is>
          <t>142777</t>
        </is>
      </c>
      <c r="AY2638" t="inlineStr">
        <is>
          <t>991000816539702656</t>
        </is>
      </c>
      <c r="AZ2638" t="inlineStr">
        <is>
          <t>991000816539702656</t>
        </is>
      </c>
      <c r="BA2638" t="inlineStr">
        <is>
          <t>2255240760002656</t>
        </is>
      </c>
      <c r="BB2638" t="inlineStr">
        <is>
          <t>BOOK</t>
        </is>
      </c>
      <c r="BD2638" t="inlineStr">
        <is>
          <t>9780801405907</t>
        </is>
      </c>
      <c r="BE2638" t="inlineStr">
        <is>
          <t>32285001851798</t>
        </is>
      </c>
      <c r="BF2638" t="inlineStr">
        <is>
          <t>893426073</t>
        </is>
      </c>
    </row>
    <row r="2639">
      <c r="A2639" t="inlineStr">
        <is>
          <t>No</t>
        </is>
      </c>
      <c r="B2639" t="inlineStr">
        <is>
          <t>CURAL</t>
        </is>
      </c>
      <c r="C2639" t="inlineStr">
        <is>
          <t>SHELVES</t>
        </is>
      </c>
      <c r="D2639" t="inlineStr">
        <is>
          <t>PR5888 .C627 1994</t>
        </is>
      </c>
      <c r="E2639" t="inlineStr">
        <is>
          <t>0                      PR 5888000C  627         1994</t>
        </is>
      </c>
      <c r="F2639" t="inlineStr">
        <is>
          <t>Wordsworthian errancies : the poetics of cultural dismemberment / David Collings.</t>
        </is>
      </c>
      <c r="H2639" t="inlineStr">
        <is>
          <t>No</t>
        </is>
      </c>
      <c r="I2639" t="inlineStr">
        <is>
          <t>1</t>
        </is>
      </c>
      <c r="J2639" t="inlineStr">
        <is>
          <t>No</t>
        </is>
      </c>
      <c r="K2639" t="inlineStr">
        <is>
          <t>No</t>
        </is>
      </c>
      <c r="L2639" t="inlineStr">
        <is>
          <t>0</t>
        </is>
      </c>
      <c r="M2639" t="inlineStr">
        <is>
          <t>Collings, David, 1959-</t>
        </is>
      </c>
      <c r="N2639" t="inlineStr">
        <is>
          <t>Baltimore : Johns Hopkins University Press, c1994.</t>
        </is>
      </c>
      <c r="O2639" t="inlineStr">
        <is>
          <t>1994</t>
        </is>
      </c>
      <c r="Q2639" t="inlineStr">
        <is>
          <t>eng</t>
        </is>
      </c>
      <c r="R2639" t="inlineStr">
        <is>
          <t>mdu</t>
        </is>
      </c>
      <c r="T2639" t="inlineStr">
        <is>
          <t xml:space="preserve">PR </t>
        </is>
      </c>
      <c r="U2639" t="n">
        <v>1</v>
      </c>
      <c r="V2639" t="n">
        <v>1</v>
      </c>
      <c r="W2639" t="inlineStr">
        <is>
          <t>2002-05-20</t>
        </is>
      </c>
      <c r="X2639" t="inlineStr">
        <is>
          <t>2002-05-20</t>
        </is>
      </c>
      <c r="Y2639" t="inlineStr">
        <is>
          <t>2002-05-13</t>
        </is>
      </c>
      <c r="Z2639" t="inlineStr">
        <is>
          <t>2002-05-13</t>
        </is>
      </c>
      <c r="AA2639" t="n">
        <v>331</v>
      </c>
      <c r="AB2639" t="n">
        <v>257</v>
      </c>
      <c r="AC2639" t="n">
        <v>264</v>
      </c>
      <c r="AD2639" t="n">
        <v>3</v>
      </c>
      <c r="AE2639" t="n">
        <v>3</v>
      </c>
      <c r="AF2639" t="n">
        <v>19</v>
      </c>
      <c r="AG2639" t="n">
        <v>19</v>
      </c>
      <c r="AH2639" t="n">
        <v>4</v>
      </c>
      <c r="AI2639" t="n">
        <v>4</v>
      </c>
      <c r="AJ2639" t="n">
        <v>7</v>
      </c>
      <c r="AK2639" t="n">
        <v>7</v>
      </c>
      <c r="AL2639" t="n">
        <v>12</v>
      </c>
      <c r="AM2639" t="n">
        <v>12</v>
      </c>
      <c r="AN2639" t="n">
        <v>2</v>
      </c>
      <c r="AO2639" t="n">
        <v>2</v>
      </c>
      <c r="AP2639" t="n">
        <v>0</v>
      </c>
      <c r="AQ2639" t="n">
        <v>0</v>
      </c>
      <c r="AR2639" t="inlineStr">
        <is>
          <t>No</t>
        </is>
      </c>
      <c r="AS2639" t="inlineStr">
        <is>
          <t>Yes</t>
        </is>
      </c>
      <c r="AT2639">
        <f>HYPERLINK("http://catalog.hathitrust.org/Record/002916003","HathiTrust Record")</f>
        <v/>
      </c>
      <c r="AU2639">
        <f>HYPERLINK("https://creighton-primo.hosted.exlibrisgroup.com/primo-explore/search?tab=default_tab&amp;search_scope=EVERYTHING&amp;vid=01CRU&amp;lang=en_US&amp;offset=0&amp;query=any,contains,991003774659702656","Catalog Record")</f>
        <v/>
      </c>
      <c r="AV2639">
        <f>HYPERLINK("http://www.worldcat.org/oclc/29878312","WorldCat Record")</f>
        <v/>
      </c>
      <c r="AW2639" t="inlineStr">
        <is>
          <t>138765528:eng</t>
        </is>
      </c>
      <c r="AX2639" t="inlineStr">
        <is>
          <t>29878312</t>
        </is>
      </c>
      <c r="AY2639" t="inlineStr">
        <is>
          <t>991003774659702656</t>
        </is>
      </c>
      <c r="AZ2639" t="inlineStr">
        <is>
          <t>991003774659702656</t>
        </is>
      </c>
      <c r="BA2639" t="inlineStr">
        <is>
          <t>2259540390002656</t>
        </is>
      </c>
      <c r="BB2639" t="inlineStr">
        <is>
          <t>BOOK</t>
        </is>
      </c>
      <c r="BD2639" t="inlineStr">
        <is>
          <t>9780801848483</t>
        </is>
      </c>
      <c r="BE2639" t="inlineStr">
        <is>
          <t>32285004487715</t>
        </is>
      </c>
      <c r="BF2639" t="inlineStr">
        <is>
          <t>893875149</t>
        </is>
      </c>
    </row>
    <row r="2640">
      <c r="A2640" t="inlineStr">
        <is>
          <t>No</t>
        </is>
      </c>
      <c r="B2640" t="inlineStr">
        <is>
          <t>CURAL</t>
        </is>
      </c>
      <c r="C2640" t="inlineStr">
        <is>
          <t>SHELVES</t>
        </is>
      </c>
      <c r="D2640" t="inlineStr">
        <is>
          <t>PR5888 .D28</t>
        </is>
      </c>
      <c r="E2640" t="inlineStr">
        <is>
          <t>0                      PR 5888000D  28</t>
        </is>
      </c>
      <c r="F2640" t="inlineStr">
        <is>
          <t>The simple Wordsworth : studies in the poems, 1797-1807.</t>
        </is>
      </c>
      <c r="H2640" t="inlineStr">
        <is>
          <t>No</t>
        </is>
      </c>
      <c r="I2640" t="inlineStr">
        <is>
          <t>1</t>
        </is>
      </c>
      <c r="J2640" t="inlineStr">
        <is>
          <t>No</t>
        </is>
      </c>
      <c r="K2640" t="inlineStr">
        <is>
          <t>No</t>
        </is>
      </c>
      <c r="L2640" t="inlineStr">
        <is>
          <t>0</t>
        </is>
      </c>
      <c r="M2640" t="inlineStr">
        <is>
          <t>Danby, John F. (John Francis)</t>
        </is>
      </c>
      <c r="N2640" t="inlineStr">
        <is>
          <t>London : Routledge &amp; Paul, [1960]</t>
        </is>
      </c>
      <c r="O2640" t="inlineStr">
        <is>
          <t>1960</t>
        </is>
      </c>
      <c r="Q2640" t="inlineStr">
        <is>
          <t>eng</t>
        </is>
      </c>
      <c r="R2640" t="inlineStr">
        <is>
          <t>enk</t>
        </is>
      </c>
      <c r="T2640" t="inlineStr">
        <is>
          <t xml:space="preserve">PR </t>
        </is>
      </c>
      <c r="U2640" t="n">
        <v>1</v>
      </c>
      <c r="V2640" t="n">
        <v>1</v>
      </c>
      <c r="W2640" t="inlineStr">
        <is>
          <t>1993-03-01</t>
        </is>
      </c>
      <c r="X2640" t="inlineStr">
        <is>
          <t>1993-03-01</t>
        </is>
      </c>
      <c r="Y2640" t="inlineStr">
        <is>
          <t>1990-03-07</t>
        </is>
      </c>
      <c r="Z2640" t="inlineStr">
        <is>
          <t>1990-03-07</t>
        </is>
      </c>
      <c r="AA2640" t="n">
        <v>465</v>
      </c>
      <c r="AB2640" t="n">
        <v>296</v>
      </c>
      <c r="AC2640" t="n">
        <v>645</v>
      </c>
      <c r="AD2640" t="n">
        <v>3</v>
      </c>
      <c r="AE2640" t="n">
        <v>6</v>
      </c>
      <c r="AF2640" t="n">
        <v>23</v>
      </c>
      <c r="AG2640" t="n">
        <v>42</v>
      </c>
      <c r="AH2640" t="n">
        <v>7</v>
      </c>
      <c r="AI2640" t="n">
        <v>18</v>
      </c>
      <c r="AJ2640" t="n">
        <v>4</v>
      </c>
      <c r="AK2640" t="n">
        <v>8</v>
      </c>
      <c r="AL2640" t="n">
        <v>15</v>
      </c>
      <c r="AM2640" t="n">
        <v>22</v>
      </c>
      <c r="AN2640" t="n">
        <v>2</v>
      </c>
      <c r="AO2640" t="n">
        <v>4</v>
      </c>
      <c r="AP2640" t="n">
        <v>0</v>
      </c>
      <c r="AQ2640" t="n">
        <v>0</v>
      </c>
      <c r="AR2640" t="inlineStr">
        <is>
          <t>No</t>
        </is>
      </c>
      <c r="AS2640" t="inlineStr">
        <is>
          <t>Yes</t>
        </is>
      </c>
      <c r="AT2640">
        <f>HYPERLINK("http://catalog.hathitrust.org/Record/001024938","HathiTrust Record")</f>
        <v/>
      </c>
      <c r="AU2640">
        <f>HYPERLINK("https://creighton-primo.hosted.exlibrisgroup.com/primo-explore/search?tab=default_tab&amp;search_scope=EVERYTHING&amp;vid=01CRU&amp;lang=en_US&amp;offset=0&amp;query=any,contains,991004194629702656","Catalog Record")</f>
        <v/>
      </c>
      <c r="AV2640">
        <f>HYPERLINK("http://www.worldcat.org/oclc/1597156","WorldCat Record")</f>
        <v/>
      </c>
      <c r="AW2640" t="inlineStr">
        <is>
          <t>1350852:eng</t>
        </is>
      </c>
      <c r="AX2640" t="inlineStr">
        <is>
          <t>1597156</t>
        </is>
      </c>
      <c r="AY2640" t="inlineStr">
        <is>
          <t>991004194629702656</t>
        </is>
      </c>
      <c r="AZ2640" t="inlineStr">
        <is>
          <t>991004194629702656</t>
        </is>
      </c>
      <c r="BA2640" t="inlineStr">
        <is>
          <t>2255584050002656</t>
        </is>
      </c>
      <c r="BB2640" t="inlineStr">
        <is>
          <t>BOOK</t>
        </is>
      </c>
      <c r="BE2640" t="inlineStr">
        <is>
          <t>32285000080407</t>
        </is>
      </c>
      <c r="BF2640" t="inlineStr">
        <is>
          <t>893429769</t>
        </is>
      </c>
    </row>
    <row r="2641">
      <c r="A2641" t="inlineStr">
        <is>
          <t>No</t>
        </is>
      </c>
      <c r="B2641" t="inlineStr">
        <is>
          <t>CURAL</t>
        </is>
      </c>
      <c r="C2641" t="inlineStr">
        <is>
          <t>SHELVES</t>
        </is>
      </c>
      <c r="D2641" t="inlineStr">
        <is>
          <t>PR5888 .D85</t>
        </is>
      </c>
      <c r="E2641" t="inlineStr">
        <is>
          <t>0                      PR 5888000D  85</t>
        </is>
      </c>
      <c r="F2641" t="inlineStr">
        <is>
          <t>Wordsworth and the great system : a study of Wordsworth's poetic universe.</t>
        </is>
      </c>
      <c r="H2641" t="inlineStr">
        <is>
          <t>No</t>
        </is>
      </c>
      <c r="I2641" t="inlineStr">
        <is>
          <t>1</t>
        </is>
      </c>
      <c r="J2641" t="inlineStr">
        <is>
          <t>No</t>
        </is>
      </c>
      <c r="K2641" t="inlineStr">
        <is>
          <t>No</t>
        </is>
      </c>
      <c r="L2641" t="inlineStr">
        <is>
          <t>0</t>
        </is>
      </c>
      <c r="M2641" t="inlineStr">
        <is>
          <t>Durrant, Geoffrey.</t>
        </is>
      </c>
      <c r="N2641" t="inlineStr">
        <is>
          <t>London : Cambridge U.P., 1970.</t>
        </is>
      </c>
      <c r="O2641" t="inlineStr">
        <is>
          <t>1970</t>
        </is>
      </c>
      <c r="Q2641" t="inlineStr">
        <is>
          <t>eng</t>
        </is>
      </c>
      <c r="R2641" t="inlineStr">
        <is>
          <t>enk</t>
        </is>
      </c>
      <c r="T2641" t="inlineStr">
        <is>
          <t xml:space="preserve">PR </t>
        </is>
      </c>
      <c r="U2641" t="n">
        <v>6</v>
      </c>
      <c r="V2641" t="n">
        <v>6</v>
      </c>
      <c r="W2641" t="inlineStr">
        <is>
          <t>1998-04-04</t>
        </is>
      </c>
      <c r="X2641" t="inlineStr">
        <is>
          <t>1998-04-04</t>
        </is>
      </c>
      <c r="Y2641" t="inlineStr">
        <is>
          <t>1995-05-06</t>
        </is>
      </c>
      <c r="Z2641" t="inlineStr">
        <is>
          <t>1995-05-06</t>
        </is>
      </c>
      <c r="AA2641" t="n">
        <v>868</v>
      </c>
      <c r="AB2641" t="n">
        <v>670</v>
      </c>
      <c r="AC2641" t="n">
        <v>681</v>
      </c>
      <c r="AD2641" t="n">
        <v>8</v>
      </c>
      <c r="AE2641" t="n">
        <v>8</v>
      </c>
      <c r="AF2641" t="n">
        <v>39</v>
      </c>
      <c r="AG2641" t="n">
        <v>39</v>
      </c>
      <c r="AH2641" t="n">
        <v>15</v>
      </c>
      <c r="AI2641" t="n">
        <v>15</v>
      </c>
      <c r="AJ2641" t="n">
        <v>8</v>
      </c>
      <c r="AK2641" t="n">
        <v>8</v>
      </c>
      <c r="AL2641" t="n">
        <v>18</v>
      </c>
      <c r="AM2641" t="n">
        <v>18</v>
      </c>
      <c r="AN2641" t="n">
        <v>7</v>
      </c>
      <c r="AO2641" t="n">
        <v>7</v>
      </c>
      <c r="AP2641" t="n">
        <v>0</v>
      </c>
      <c r="AQ2641" t="n">
        <v>0</v>
      </c>
      <c r="AR2641" t="inlineStr">
        <is>
          <t>No</t>
        </is>
      </c>
      <c r="AS2641" t="inlineStr">
        <is>
          <t>No</t>
        </is>
      </c>
      <c r="AU2641">
        <f>HYPERLINK("https://creighton-primo.hosted.exlibrisgroup.com/primo-explore/search?tab=default_tab&amp;search_scope=EVERYTHING&amp;vid=01CRU&amp;lang=en_US&amp;offset=0&amp;query=any,contains,991000550899702656","Catalog Record")</f>
        <v/>
      </c>
      <c r="AV2641">
        <f>HYPERLINK("http://www.worldcat.org/oclc/92685","WorldCat Record")</f>
        <v/>
      </c>
      <c r="AW2641" t="inlineStr">
        <is>
          <t>289872389:eng</t>
        </is>
      </c>
      <c r="AX2641" t="inlineStr">
        <is>
          <t>92685</t>
        </is>
      </c>
      <c r="AY2641" t="inlineStr">
        <is>
          <t>991000550899702656</t>
        </is>
      </c>
      <c r="AZ2641" t="inlineStr">
        <is>
          <t>991000550899702656</t>
        </is>
      </c>
      <c r="BA2641" t="inlineStr">
        <is>
          <t>2262725960002656</t>
        </is>
      </c>
      <c r="BB2641" t="inlineStr">
        <is>
          <t>BOOK</t>
        </is>
      </c>
      <c r="BD2641" t="inlineStr">
        <is>
          <t>9780521077040</t>
        </is>
      </c>
      <c r="BE2641" t="inlineStr">
        <is>
          <t>32285002032612</t>
        </is>
      </c>
      <c r="BF2641" t="inlineStr">
        <is>
          <t>893878157</t>
        </is>
      </c>
    </row>
    <row r="2642">
      <c r="A2642" t="inlineStr">
        <is>
          <t>No</t>
        </is>
      </c>
      <c r="B2642" t="inlineStr">
        <is>
          <t>CURAL</t>
        </is>
      </c>
      <c r="C2642" t="inlineStr">
        <is>
          <t>SHELVES</t>
        </is>
      </c>
      <c r="D2642" t="inlineStr">
        <is>
          <t>PR5888 .F37</t>
        </is>
      </c>
      <c r="E2642" t="inlineStr">
        <is>
          <t>0                      PR 5888000F  37</t>
        </is>
      </c>
      <c r="F2642" t="inlineStr">
        <is>
          <t>Wordsworth : language as counter-spirit / Frances Ferguson.</t>
        </is>
      </c>
      <c r="H2642" t="inlineStr">
        <is>
          <t>No</t>
        </is>
      </c>
      <c r="I2642" t="inlineStr">
        <is>
          <t>1</t>
        </is>
      </c>
      <c r="J2642" t="inlineStr">
        <is>
          <t>No</t>
        </is>
      </c>
      <c r="K2642" t="inlineStr">
        <is>
          <t>No</t>
        </is>
      </c>
      <c r="L2642" t="inlineStr">
        <is>
          <t>0</t>
        </is>
      </c>
      <c r="M2642" t="inlineStr">
        <is>
          <t>Ferguson, Frances.</t>
        </is>
      </c>
      <c r="N2642" t="inlineStr">
        <is>
          <t>New Haven : Yale University Press, 1977.</t>
        </is>
      </c>
      <c r="O2642" t="inlineStr">
        <is>
          <t>1977</t>
        </is>
      </c>
      <c r="Q2642" t="inlineStr">
        <is>
          <t>eng</t>
        </is>
      </c>
      <c r="R2642" t="inlineStr">
        <is>
          <t>ctu</t>
        </is>
      </c>
      <c r="T2642" t="inlineStr">
        <is>
          <t xml:space="preserve">PR </t>
        </is>
      </c>
      <c r="U2642" t="n">
        <v>5</v>
      </c>
      <c r="V2642" t="n">
        <v>5</v>
      </c>
      <c r="W2642" t="inlineStr">
        <is>
          <t>1999-02-22</t>
        </is>
      </c>
      <c r="X2642" t="inlineStr">
        <is>
          <t>1999-02-22</t>
        </is>
      </c>
      <c r="Y2642" t="inlineStr">
        <is>
          <t>1997-07-23</t>
        </is>
      </c>
      <c r="Z2642" t="inlineStr">
        <is>
          <t>1997-07-23</t>
        </is>
      </c>
      <c r="AA2642" t="n">
        <v>744</v>
      </c>
      <c r="AB2642" t="n">
        <v>602</v>
      </c>
      <c r="AC2642" t="n">
        <v>604</v>
      </c>
      <c r="AD2642" t="n">
        <v>4</v>
      </c>
      <c r="AE2642" t="n">
        <v>4</v>
      </c>
      <c r="AF2642" t="n">
        <v>28</v>
      </c>
      <c r="AG2642" t="n">
        <v>28</v>
      </c>
      <c r="AH2642" t="n">
        <v>14</v>
      </c>
      <c r="AI2642" t="n">
        <v>14</v>
      </c>
      <c r="AJ2642" t="n">
        <v>5</v>
      </c>
      <c r="AK2642" t="n">
        <v>5</v>
      </c>
      <c r="AL2642" t="n">
        <v>17</v>
      </c>
      <c r="AM2642" t="n">
        <v>17</v>
      </c>
      <c r="AN2642" t="n">
        <v>2</v>
      </c>
      <c r="AO2642" t="n">
        <v>2</v>
      </c>
      <c r="AP2642" t="n">
        <v>0</v>
      </c>
      <c r="AQ2642" t="n">
        <v>0</v>
      </c>
      <c r="AR2642" t="inlineStr">
        <is>
          <t>No</t>
        </is>
      </c>
      <c r="AS2642" t="inlineStr">
        <is>
          <t>No</t>
        </is>
      </c>
      <c r="AU2642">
        <f>HYPERLINK("https://creighton-primo.hosted.exlibrisgroup.com/primo-explore/search?tab=default_tab&amp;search_scope=EVERYTHING&amp;vid=01CRU&amp;lang=en_US&amp;offset=0&amp;query=any,contains,991004158279702656","Catalog Record")</f>
        <v/>
      </c>
      <c r="AV2642">
        <f>HYPERLINK("http://www.worldcat.org/oclc/2542667","WorldCat Record")</f>
        <v/>
      </c>
      <c r="AW2642" t="inlineStr">
        <is>
          <t>118148914:eng</t>
        </is>
      </c>
      <c r="AX2642" t="inlineStr">
        <is>
          <t>2542667</t>
        </is>
      </c>
      <c r="AY2642" t="inlineStr">
        <is>
          <t>991004158279702656</t>
        </is>
      </c>
      <c r="AZ2642" t="inlineStr">
        <is>
          <t>991004158279702656</t>
        </is>
      </c>
      <c r="BA2642" t="inlineStr">
        <is>
          <t>2272102540002656</t>
        </is>
      </c>
      <c r="BB2642" t="inlineStr">
        <is>
          <t>BOOK</t>
        </is>
      </c>
      <c r="BD2642" t="inlineStr">
        <is>
          <t>9780300020632</t>
        </is>
      </c>
      <c r="BE2642" t="inlineStr">
        <is>
          <t>32285002952041</t>
        </is>
      </c>
      <c r="BF2642" t="inlineStr">
        <is>
          <t>893624418</t>
        </is>
      </c>
    </row>
    <row r="2643">
      <c r="A2643" t="inlineStr">
        <is>
          <t>No</t>
        </is>
      </c>
      <c r="B2643" t="inlineStr">
        <is>
          <t>CURAL</t>
        </is>
      </c>
      <c r="C2643" t="inlineStr">
        <is>
          <t>SHELVES</t>
        </is>
      </c>
      <c r="D2643" t="inlineStr">
        <is>
          <t>PR5888 .F4</t>
        </is>
      </c>
      <c r="E2643" t="inlineStr">
        <is>
          <t>0                      PR 5888000F  4</t>
        </is>
      </c>
      <c r="F2643" t="inlineStr">
        <is>
          <t>The limits of mortality : an essay on Wordsworth's major poems.</t>
        </is>
      </c>
      <c r="H2643" t="inlineStr">
        <is>
          <t>No</t>
        </is>
      </c>
      <c r="I2643" t="inlineStr">
        <is>
          <t>1</t>
        </is>
      </c>
      <c r="J2643" t="inlineStr">
        <is>
          <t>No</t>
        </is>
      </c>
      <c r="K2643" t="inlineStr">
        <is>
          <t>No</t>
        </is>
      </c>
      <c r="L2643" t="inlineStr">
        <is>
          <t>0</t>
        </is>
      </c>
      <c r="M2643" t="inlineStr">
        <is>
          <t>Ferry, David.</t>
        </is>
      </c>
      <c r="N2643" t="inlineStr">
        <is>
          <t>Middletown, Conn. : Wesleyan University Press, [1959]</t>
        </is>
      </c>
      <c r="O2643" t="inlineStr">
        <is>
          <t>1959</t>
        </is>
      </c>
      <c r="P2643" t="inlineStr">
        <is>
          <t>[1st ed.]</t>
        </is>
      </c>
      <c r="Q2643" t="inlineStr">
        <is>
          <t>eng</t>
        </is>
      </c>
      <c r="R2643" t="inlineStr">
        <is>
          <t>ctu</t>
        </is>
      </c>
      <c r="T2643" t="inlineStr">
        <is>
          <t xml:space="preserve">PR </t>
        </is>
      </c>
      <c r="U2643" t="n">
        <v>7</v>
      </c>
      <c r="V2643" t="n">
        <v>7</v>
      </c>
      <c r="W2643" t="inlineStr">
        <is>
          <t>1999-03-20</t>
        </is>
      </c>
      <c r="X2643" t="inlineStr">
        <is>
          <t>1999-03-20</t>
        </is>
      </c>
      <c r="Y2643" t="inlineStr">
        <is>
          <t>1995-05-06</t>
        </is>
      </c>
      <c r="Z2643" t="inlineStr">
        <is>
          <t>1995-05-06</t>
        </is>
      </c>
      <c r="AA2643" t="n">
        <v>788</v>
      </c>
      <c r="AB2643" t="n">
        <v>701</v>
      </c>
      <c r="AC2643" t="n">
        <v>765</v>
      </c>
      <c r="AD2643" t="n">
        <v>9</v>
      </c>
      <c r="AE2643" t="n">
        <v>9</v>
      </c>
      <c r="AF2643" t="n">
        <v>39</v>
      </c>
      <c r="AG2643" t="n">
        <v>40</v>
      </c>
      <c r="AH2643" t="n">
        <v>15</v>
      </c>
      <c r="AI2643" t="n">
        <v>16</v>
      </c>
      <c r="AJ2643" t="n">
        <v>8</v>
      </c>
      <c r="AK2643" t="n">
        <v>8</v>
      </c>
      <c r="AL2643" t="n">
        <v>20</v>
      </c>
      <c r="AM2643" t="n">
        <v>21</v>
      </c>
      <c r="AN2643" t="n">
        <v>7</v>
      </c>
      <c r="AO2643" t="n">
        <v>7</v>
      </c>
      <c r="AP2643" t="n">
        <v>0</v>
      </c>
      <c r="AQ2643" t="n">
        <v>0</v>
      </c>
      <c r="AR2643" t="inlineStr">
        <is>
          <t>Yes</t>
        </is>
      </c>
      <c r="AS2643" t="inlineStr">
        <is>
          <t>No</t>
        </is>
      </c>
      <c r="AT2643">
        <f>HYPERLINK("http://catalog.hathitrust.org/Record/001112899","HathiTrust Record")</f>
        <v/>
      </c>
      <c r="AU2643">
        <f>HYPERLINK("https://creighton-primo.hosted.exlibrisgroup.com/primo-explore/search?tab=default_tab&amp;search_scope=EVERYTHING&amp;vid=01CRU&amp;lang=en_US&amp;offset=0&amp;query=any,contains,991003426779702656","Catalog Record")</f>
        <v/>
      </c>
      <c r="AV2643">
        <f>HYPERLINK("http://www.worldcat.org/oclc/964752","WorldCat Record")</f>
        <v/>
      </c>
      <c r="AW2643" t="inlineStr">
        <is>
          <t>253112:eng</t>
        </is>
      </c>
      <c r="AX2643" t="inlineStr">
        <is>
          <t>964752</t>
        </is>
      </c>
      <c r="AY2643" t="inlineStr">
        <is>
          <t>991003426779702656</t>
        </is>
      </c>
      <c r="AZ2643" t="inlineStr">
        <is>
          <t>991003426779702656</t>
        </is>
      </c>
      <c r="BA2643" t="inlineStr">
        <is>
          <t>2261670250002656</t>
        </is>
      </c>
      <c r="BB2643" t="inlineStr">
        <is>
          <t>BOOK</t>
        </is>
      </c>
      <c r="BE2643" t="inlineStr">
        <is>
          <t>32285002032604</t>
        </is>
      </c>
      <c r="BF2643" t="inlineStr">
        <is>
          <t>893604780</t>
        </is>
      </c>
    </row>
    <row r="2644">
      <c r="A2644" t="inlineStr">
        <is>
          <t>No</t>
        </is>
      </c>
      <c r="B2644" t="inlineStr">
        <is>
          <t>CURAL</t>
        </is>
      </c>
      <c r="C2644" t="inlineStr">
        <is>
          <t>SHELVES</t>
        </is>
      </c>
      <c r="D2644" t="inlineStr">
        <is>
          <t>PR5888 .G3 1971</t>
        </is>
      </c>
      <c r="E2644" t="inlineStr">
        <is>
          <t>0                      PR 5888000G  3           1971</t>
        </is>
      </c>
      <c r="F2644" t="inlineStr">
        <is>
          <t>Wordsworth and the poetry of encounter.</t>
        </is>
      </c>
      <c r="H2644" t="inlineStr">
        <is>
          <t>No</t>
        </is>
      </c>
      <c r="I2644" t="inlineStr">
        <is>
          <t>1</t>
        </is>
      </c>
      <c r="J2644" t="inlineStr">
        <is>
          <t>No</t>
        </is>
      </c>
      <c r="K2644" t="inlineStr">
        <is>
          <t>No</t>
        </is>
      </c>
      <c r="L2644" t="inlineStr">
        <is>
          <t>0</t>
        </is>
      </c>
      <c r="M2644" t="inlineStr">
        <is>
          <t>Garber, Frederick.</t>
        </is>
      </c>
      <c r="N2644" t="inlineStr">
        <is>
          <t>Urbana : University of Illinois Press, [1971]</t>
        </is>
      </c>
      <c r="O2644" t="inlineStr">
        <is>
          <t>1971</t>
        </is>
      </c>
      <c r="Q2644" t="inlineStr">
        <is>
          <t>eng</t>
        </is>
      </c>
      <c r="R2644" t="inlineStr">
        <is>
          <t>ilu</t>
        </is>
      </c>
      <c r="T2644" t="inlineStr">
        <is>
          <t xml:space="preserve">PR </t>
        </is>
      </c>
      <c r="U2644" t="n">
        <v>3</v>
      </c>
      <c r="V2644" t="n">
        <v>3</v>
      </c>
      <c r="W2644" t="inlineStr">
        <is>
          <t>1995-06-15</t>
        </is>
      </c>
      <c r="X2644" t="inlineStr">
        <is>
          <t>1995-06-15</t>
        </is>
      </c>
      <c r="Y2644" t="inlineStr">
        <is>
          <t>1993-03-15</t>
        </is>
      </c>
      <c r="Z2644" t="inlineStr">
        <is>
          <t>1993-03-15</t>
        </is>
      </c>
      <c r="AA2644" t="n">
        <v>778</v>
      </c>
      <c r="AB2644" t="n">
        <v>631</v>
      </c>
      <c r="AC2644" t="n">
        <v>635</v>
      </c>
      <c r="AD2644" t="n">
        <v>6</v>
      </c>
      <c r="AE2644" t="n">
        <v>6</v>
      </c>
      <c r="AF2644" t="n">
        <v>31</v>
      </c>
      <c r="AG2644" t="n">
        <v>31</v>
      </c>
      <c r="AH2644" t="n">
        <v>12</v>
      </c>
      <c r="AI2644" t="n">
        <v>12</v>
      </c>
      <c r="AJ2644" t="n">
        <v>7</v>
      </c>
      <c r="AK2644" t="n">
        <v>7</v>
      </c>
      <c r="AL2644" t="n">
        <v>14</v>
      </c>
      <c r="AM2644" t="n">
        <v>14</v>
      </c>
      <c r="AN2644" t="n">
        <v>5</v>
      </c>
      <c r="AO2644" t="n">
        <v>5</v>
      </c>
      <c r="AP2644" t="n">
        <v>0</v>
      </c>
      <c r="AQ2644" t="n">
        <v>0</v>
      </c>
      <c r="AR2644" t="inlineStr">
        <is>
          <t>No</t>
        </is>
      </c>
      <c r="AS2644" t="inlineStr">
        <is>
          <t>Yes</t>
        </is>
      </c>
      <c r="AT2644">
        <f>HYPERLINK("http://catalog.hathitrust.org/Record/001188969","HathiTrust Record")</f>
        <v/>
      </c>
      <c r="AU2644">
        <f>HYPERLINK("https://creighton-primo.hosted.exlibrisgroup.com/primo-explore/search?tab=default_tab&amp;search_scope=EVERYTHING&amp;vid=01CRU&amp;lang=en_US&amp;offset=0&amp;query=any,contains,991001934349702656","Catalog Record")</f>
        <v/>
      </c>
      <c r="AV2644">
        <f>HYPERLINK("http://www.worldcat.org/oclc/250051","WorldCat Record")</f>
        <v/>
      </c>
      <c r="AW2644" t="inlineStr">
        <is>
          <t>1335688:eng</t>
        </is>
      </c>
      <c r="AX2644" t="inlineStr">
        <is>
          <t>250051</t>
        </is>
      </c>
      <c r="AY2644" t="inlineStr">
        <is>
          <t>991001934349702656</t>
        </is>
      </c>
      <c r="AZ2644" t="inlineStr">
        <is>
          <t>991001934349702656</t>
        </is>
      </c>
      <c r="BA2644" t="inlineStr">
        <is>
          <t>2266846190002656</t>
        </is>
      </c>
      <c r="BB2644" t="inlineStr">
        <is>
          <t>BOOK</t>
        </is>
      </c>
      <c r="BD2644" t="inlineStr">
        <is>
          <t>9780252001840</t>
        </is>
      </c>
      <c r="BE2644" t="inlineStr">
        <is>
          <t>32285001570497</t>
        </is>
      </c>
      <c r="BF2644" t="inlineStr">
        <is>
          <t>893898200</t>
        </is>
      </c>
    </row>
    <row r="2645">
      <c r="A2645" t="inlineStr">
        <is>
          <t>No</t>
        </is>
      </c>
      <c r="B2645" t="inlineStr">
        <is>
          <t>CURAL</t>
        </is>
      </c>
      <c r="C2645" t="inlineStr">
        <is>
          <t>SHELVES</t>
        </is>
      </c>
      <c r="D2645" t="inlineStr">
        <is>
          <t>PR5888 .J59</t>
        </is>
      </c>
      <c r="E2645" t="inlineStr">
        <is>
          <t>0                      PR 5888000J  59</t>
        </is>
      </c>
      <c r="F2645" t="inlineStr">
        <is>
          <t>Wordsworth and the sonnet / Lee M. Johnson.</t>
        </is>
      </c>
      <c r="H2645" t="inlineStr">
        <is>
          <t>No</t>
        </is>
      </c>
      <c r="I2645" t="inlineStr">
        <is>
          <t>1</t>
        </is>
      </c>
      <c r="J2645" t="inlineStr">
        <is>
          <t>No</t>
        </is>
      </c>
      <c r="K2645" t="inlineStr">
        <is>
          <t>No</t>
        </is>
      </c>
      <c r="L2645" t="inlineStr">
        <is>
          <t>0</t>
        </is>
      </c>
      <c r="M2645" t="inlineStr">
        <is>
          <t>Johnson, Lee M.</t>
        </is>
      </c>
      <c r="O2645" t="inlineStr">
        <is>
          <t>1971</t>
        </is>
      </c>
      <c r="Q2645" t="inlineStr">
        <is>
          <t>eng</t>
        </is>
      </c>
      <c r="R2645" t="inlineStr">
        <is>
          <t>miu</t>
        </is>
      </c>
      <c r="T2645" t="inlineStr">
        <is>
          <t xml:space="preserve">PR </t>
        </is>
      </c>
      <c r="U2645" t="n">
        <v>4</v>
      </c>
      <c r="V2645" t="n">
        <v>4</v>
      </c>
      <c r="W2645" t="inlineStr">
        <is>
          <t>1997-12-07</t>
        </is>
      </c>
      <c r="X2645" t="inlineStr">
        <is>
          <t>1997-12-07</t>
        </is>
      </c>
      <c r="Y2645" t="inlineStr">
        <is>
          <t>1995-03-29</t>
        </is>
      </c>
      <c r="Z2645" t="inlineStr">
        <is>
          <t>1995-03-29</t>
        </is>
      </c>
      <c r="AA2645" t="n">
        <v>1</v>
      </c>
      <c r="AB2645" t="n">
        <v>1</v>
      </c>
      <c r="AC2645" t="n">
        <v>195</v>
      </c>
      <c r="AD2645" t="n">
        <v>1</v>
      </c>
      <c r="AE2645" t="n">
        <v>2</v>
      </c>
      <c r="AF2645" t="n">
        <v>0</v>
      </c>
      <c r="AG2645" t="n">
        <v>14</v>
      </c>
      <c r="AH2645" t="n">
        <v>0</v>
      </c>
      <c r="AI2645" t="n">
        <v>4</v>
      </c>
      <c r="AJ2645" t="n">
        <v>0</v>
      </c>
      <c r="AK2645" t="n">
        <v>4</v>
      </c>
      <c r="AL2645" t="n">
        <v>0</v>
      </c>
      <c r="AM2645" t="n">
        <v>10</v>
      </c>
      <c r="AN2645" t="n">
        <v>0</v>
      </c>
      <c r="AO2645" t="n">
        <v>1</v>
      </c>
      <c r="AP2645" t="n">
        <v>0</v>
      </c>
      <c r="AQ2645" t="n">
        <v>0</v>
      </c>
      <c r="AR2645" t="inlineStr">
        <is>
          <t>No</t>
        </is>
      </c>
      <c r="AS2645" t="inlineStr">
        <is>
          <t>No</t>
        </is>
      </c>
      <c r="AU2645">
        <f>HYPERLINK("https://creighton-primo.hosted.exlibrisgroup.com/primo-explore/search?tab=default_tab&amp;search_scope=EVERYTHING&amp;vid=01CRU&amp;lang=en_US&amp;offset=0&amp;query=any,contains,991001215799702656","Catalog Record")</f>
        <v/>
      </c>
      <c r="AV2645">
        <f>HYPERLINK("http://www.worldcat.org/oclc/17415856","WorldCat Record")</f>
        <v/>
      </c>
      <c r="AW2645" t="inlineStr">
        <is>
          <t>1686982:eng</t>
        </is>
      </c>
      <c r="AX2645" t="inlineStr">
        <is>
          <t>17415856</t>
        </is>
      </c>
      <c r="AY2645" t="inlineStr">
        <is>
          <t>991001215799702656</t>
        </is>
      </c>
      <c r="AZ2645" t="inlineStr">
        <is>
          <t>991001215799702656</t>
        </is>
      </c>
      <c r="BA2645" t="inlineStr">
        <is>
          <t>2265934920002656</t>
        </is>
      </c>
      <c r="BB2645" t="inlineStr">
        <is>
          <t>BOOK</t>
        </is>
      </c>
      <c r="BE2645" t="inlineStr">
        <is>
          <t>32285002014487</t>
        </is>
      </c>
      <c r="BF2645" t="inlineStr">
        <is>
          <t>893803446</t>
        </is>
      </c>
    </row>
    <row r="2646">
      <c r="A2646" t="inlineStr">
        <is>
          <t>No</t>
        </is>
      </c>
      <c r="B2646" t="inlineStr">
        <is>
          <t>CURAL</t>
        </is>
      </c>
      <c r="C2646" t="inlineStr">
        <is>
          <t>SHELVES</t>
        </is>
      </c>
      <c r="D2646" t="inlineStr">
        <is>
          <t>PR5888 .J6</t>
        </is>
      </c>
      <c r="E2646" t="inlineStr">
        <is>
          <t>0                      PR 5888000J  6</t>
        </is>
      </c>
      <c r="F2646" t="inlineStr">
        <is>
          <t>The egotistical sublime; a history of Wordsworth's imagination.</t>
        </is>
      </c>
      <c r="H2646" t="inlineStr">
        <is>
          <t>No</t>
        </is>
      </c>
      <c r="I2646" t="inlineStr">
        <is>
          <t>1</t>
        </is>
      </c>
      <c r="J2646" t="inlineStr">
        <is>
          <t>No</t>
        </is>
      </c>
      <c r="K2646" t="inlineStr">
        <is>
          <t>No</t>
        </is>
      </c>
      <c r="L2646" t="inlineStr">
        <is>
          <t>0</t>
        </is>
      </c>
      <c r="M2646" t="inlineStr">
        <is>
          <t>Jones, John, 1924-2016.</t>
        </is>
      </c>
      <c r="N2646" t="inlineStr">
        <is>
          <t>London, Chatto &amp; Windus, 1954.</t>
        </is>
      </c>
      <c r="O2646" t="inlineStr">
        <is>
          <t>1954</t>
        </is>
      </c>
      <c r="Q2646" t="inlineStr">
        <is>
          <t>eng</t>
        </is>
      </c>
      <c r="R2646" t="inlineStr">
        <is>
          <t>enk</t>
        </is>
      </c>
      <c r="T2646" t="inlineStr">
        <is>
          <t xml:space="preserve">PR </t>
        </is>
      </c>
      <c r="U2646" t="n">
        <v>2</v>
      </c>
      <c r="V2646" t="n">
        <v>2</v>
      </c>
      <c r="W2646" t="inlineStr">
        <is>
          <t>2005-02-22</t>
        </is>
      </c>
      <c r="X2646" t="inlineStr">
        <is>
          <t>2005-02-22</t>
        </is>
      </c>
      <c r="Y2646" t="inlineStr">
        <is>
          <t>1997-07-23</t>
        </is>
      </c>
      <c r="Z2646" t="inlineStr">
        <is>
          <t>1997-07-23</t>
        </is>
      </c>
      <c r="AA2646" t="n">
        <v>519</v>
      </c>
      <c r="AB2646" t="n">
        <v>387</v>
      </c>
      <c r="AC2646" t="n">
        <v>680</v>
      </c>
      <c r="AD2646" t="n">
        <v>7</v>
      </c>
      <c r="AE2646" t="n">
        <v>8</v>
      </c>
      <c r="AF2646" t="n">
        <v>28</v>
      </c>
      <c r="AG2646" t="n">
        <v>41</v>
      </c>
      <c r="AH2646" t="n">
        <v>8</v>
      </c>
      <c r="AI2646" t="n">
        <v>16</v>
      </c>
      <c r="AJ2646" t="n">
        <v>4</v>
      </c>
      <c r="AK2646" t="n">
        <v>8</v>
      </c>
      <c r="AL2646" t="n">
        <v>18</v>
      </c>
      <c r="AM2646" t="n">
        <v>22</v>
      </c>
      <c r="AN2646" t="n">
        <v>6</v>
      </c>
      <c r="AO2646" t="n">
        <v>7</v>
      </c>
      <c r="AP2646" t="n">
        <v>0</v>
      </c>
      <c r="AQ2646" t="n">
        <v>0</v>
      </c>
      <c r="AR2646" t="inlineStr">
        <is>
          <t>No</t>
        </is>
      </c>
      <c r="AS2646" t="inlineStr">
        <is>
          <t>Yes</t>
        </is>
      </c>
      <c r="AT2646">
        <f>HYPERLINK("http://catalog.hathitrust.org/Record/002707549","HathiTrust Record")</f>
        <v/>
      </c>
      <c r="AU2646">
        <f>HYPERLINK("https://creighton-primo.hosted.exlibrisgroup.com/primo-explore/search?tab=default_tab&amp;search_scope=EVERYTHING&amp;vid=01CRU&amp;lang=en_US&amp;offset=0&amp;query=any,contains,991004007269702656","Catalog Record")</f>
        <v/>
      </c>
      <c r="AV2646">
        <f>HYPERLINK("http://www.worldcat.org/oclc/2088854","WorldCat Record")</f>
        <v/>
      </c>
      <c r="AW2646" t="inlineStr">
        <is>
          <t>1294805:eng</t>
        </is>
      </c>
      <c r="AX2646" t="inlineStr">
        <is>
          <t>2088854</t>
        </is>
      </c>
      <c r="AY2646" t="inlineStr">
        <is>
          <t>991004007269702656</t>
        </is>
      </c>
      <c r="AZ2646" t="inlineStr">
        <is>
          <t>991004007269702656</t>
        </is>
      </c>
      <c r="BA2646" t="inlineStr">
        <is>
          <t>2263138570002656</t>
        </is>
      </c>
      <c r="BB2646" t="inlineStr">
        <is>
          <t>BOOK</t>
        </is>
      </c>
      <c r="BE2646" t="inlineStr">
        <is>
          <t>32285002952066</t>
        </is>
      </c>
      <c r="BF2646" t="inlineStr">
        <is>
          <t>893506265</t>
        </is>
      </c>
    </row>
    <row r="2647">
      <c r="A2647" t="inlineStr">
        <is>
          <t>No</t>
        </is>
      </c>
      <c r="B2647" t="inlineStr">
        <is>
          <t>CURAL</t>
        </is>
      </c>
      <c r="C2647" t="inlineStr">
        <is>
          <t>SHELVES</t>
        </is>
      </c>
      <c r="D2647" t="inlineStr">
        <is>
          <t>PR5888 .L6</t>
        </is>
      </c>
      <c r="E2647" t="inlineStr">
        <is>
          <t>0                      PR 5888000L  6</t>
        </is>
      </c>
      <c r="F2647" t="inlineStr">
        <is>
          <t>Wordsworthian criticism : a guide and bibliography.</t>
        </is>
      </c>
      <c r="H2647" t="inlineStr">
        <is>
          <t>No</t>
        </is>
      </c>
      <c r="I2647" t="inlineStr">
        <is>
          <t>1</t>
        </is>
      </c>
      <c r="J2647" t="inlineStr">
        <is>
          <t>No</t>
        </is>
      </c>
      <c r="K2647" t="inlineStr">
        <is>
          <t>No</t>
        </is>
      </c>
      <c r="L2647" t="inlineStr">
        <is>
          <t>0</t>
        </is>
      </c>
      <c r="M2647" t="inlineStr">
        <is>
          <t>Logan, James Venable, 1901-</t>
        </is>
      </c>
      <c r="N2647" t="inlineStr">
        <is>
          <t>Columbus : Ohio State Univ., 1947.</t>
        </is>
      </c>
      <c r="O2647" t="inlineStr">
        <is>
          <t>1947</t>
        </is>
      </c>
      <c r="Q2647" t="inlineStr">
        <is>
          <t>eng</t>
        </is>
      </c>
      <c r="R2647" t="inlineStr">
        <is>
          <t xml:space="preserve">xx </t>
        </is>
      </c>
      <c r="S2647" t="inlineStr">
        <is>
          <t>Graduate School monographs. Contributions in languages and literature, no. 12. English series, 4</t>
        </is>
      </c>
      <c r="T2647" t="inlineStr">
        <is>
          <t xml:space="preserve">PR </t>
        </is>
      </c>
      <c r="U2647" t="n">
        <v>4</v>
      </c>
      <c r="V2647" t="n">
        <v>4</v>
      </c>
      <c r="W2647" t="inlineStr">
        <is>
          <t>2001-02-12</t>
        </is>
      </c>
      <c r="X2647" t="inlineStr">
        <is>
          <t>2001-02-12</t>
        </is>
      </c>
      <c r="Y2647" t="inlineStr">
        <is>
          <t>1991-02-28</t>
        </is>
      </c>
      <c r="Z2647" t="inlineStr">
        <is>
          <t>1991-02-28</t>
        </is>
      </c>
      <c r="AA2647" t="n">
        <v>207</v>
      </c>
      <c r="AB2647" t="n">
        <v>174</v>
      </c>
      <c r="AC2647" t="n">
        <v>590</v>
      </c>
      <c r="AD2647" t="n">
        <v>2</v>
      </c>
      <c r="AE2647" t="n">
        <v>3</v>
      </c>
      <c r="AF2647" t="n">
        <v>13</v>
      </c>
      <c r="AG2647" t="n">
        <v>32</v>
      </c>
      <c r="AH2647" t="n">
        <v>5</v>
      </c>
      <c r="AI2647" t="n">
        <v>15</v>
      </c>
      <c r="AJ2647" t="n">
        <v>4</v>
      </c>
      <c r="AK2647" t="n">
        <v>6</v>
      </c>
      <c r="AL2647" t="n">
        <v>8</v>
      </c>
      <c r="AM2647" t="n">
        <v>19</v>
      </c>
      <c r="AN2647" t="n">
        <v>1</v>
      </c>
      <c r="AO2647" t="n">
        <v>2</v>
      </c>
      <c r="AP2647" t="n">
        <v>0</v>
      </c>
      <c r="AQ2647" t="n">
        <v>0</v>
      </c>
      <c r="AR2647" t="inlineStr">
        <is>
          <t>No</t>
        </is>
      </c>
      <c r="AS2647" t="inlineStr">
        <is>
          <t>No</t>
        </is>
      </c>
      <c r="AU2647">
        <f>HYPERLINK("https://creighton-primo.hosted.exlibrisgroup.com/primo-explore/search?tab=default_tab&amp;search_scope=EVERYTHING&amp;vid=01CRU&amp;lang=en_US&amp;offset=0&amp;query=any,contains,991004053369702656","Catalog Record")</f>
        <v/>
      </c>
      <c r="AV2647">
        <f>HYPERLINK("http://www.worldcat.org/oclc/2218767","WorldCat Record")</f>
        <v/>
      </c>
      <c r="AW2647" t="inlineStr">
        <is>
          <t>536233:eng</t>
        </is>
      </c>
      <c r="AX2647" t="inlineStr">
        <is>
          <t>2218767</t>
        </is>
      </c>
      <c r="AY2647" t="inlineStr">
        <is>
          <t>991004053369702656</t>
        </is>
      </c>
      <c r="AZ2647" t="inlineStr">
        <is>
          <t>991004053369702656</t>
        </is>
      </c>
      <c r="BA2647" t="inlineStr">
        <is>
          <t>2256226130002656</t>
        </is>
      </c>
      <c r="BB2647" t="inlineStr">
        <is>
          <t>BOOK</t>
        </is>
      </c>
      <c r="BE2647" t="inlineStr">
        <is>
          <t>32285000510809</t>
        </is>
      </c>
      <c r="BF2647" t="inlineStr">
        <is>
          <t>893794417</t>
        </is>
      </c>
    </row>
    <row r="2648">
      <c r="A2648" t="inlineStr">
        <is>
          <t>No</t>
        </is>
      </c>
      <c r="B2648" t="inlineStr">
        <is>
          <t>CURAL</t>
        </is>
      </c>
      <c r="C2648" t="inlineStr">
        <is>
          <t>SHELVES</t>
        </is>
      </c>
      <c r="D2648" t="inlineStr">
        <is>
          <t>PR5888 .M4</t>
        </is>
      </c>
      <c r="E2648" t="inlineStr">
        <is>
          <t>0                      PR 5888000M  4</t>
        </is>
      </c>
      <c r="F2648" t="inlineStr">
        <is>
          <t>Four studies in Wordsworth, by Marian Mead.</t>
        </is>
      </c>
      <c r="H2648" t="inlineStr">
        <is>
          <t>No</t>
        </is>
      </c>
      <c r="I2648" t="inlineStr">
        <is>
          <t>1</t>
        </is>
      </c>
      <c r="J2648" t="inlineStr">
        <is>
          <t>No</t>
        </is>
      </c>
      <c r="K2648" t="inlineStr">
        <is>
          <t>No</t>
        </is>
      </c>
      <c r="L2648" t="inlineStr">
        <is>
          <t>0</t>
        </is>
      </c>
      <c r="M2648" t="inlineStr">
        <is>
          <t>Mead, Marian.</t>
        </is>
      </c>
      <c r="N2648" t="inlineStr">
        <is>
          <t>Menasha, Wis., George Banta publishing company, 1929.</t>
        </is>
      </c>
      <c r="O2648" t="inlineStr">
        <is>
          <t>1929</t>
        </is>
      </c>
      <c r="Q2648" t="inlineStr">
        <is>
          <t>eng</t>
        </is>
      </c>
      <c r="R2648" t="inlineStr">
        <is>
          <t>wiu</t>
        </is>
      </c>
      <c r="T2648" t="inlineStr">
        <is>
          <t xml:space="preserve">PR </t>
        </is>
      </c>
      <c r="U2648" t="n">
        <v>3</v>
      </c>
      <c r="V2648" t="n">
        <v>3</v>
      </c>
      <c r="W2648" t="inlineStr">
        <is>
          <t>2004-03-22</t>
        </is>
      </c>
      <c r="X2648" t="inlineStr">
        <is>
          <t>2004-03-22</t>
        </is>
      </c>
      <c r="Y2648" t="inlineStr">
        <is>
          <t>1997-07-23</t>
        </is>
      </c>
      <c r="Z2648" t="inlineStr">
        <is>
          <t>1997-07-23</t>
        </is>
      </c>
      <c r="AA2648" t="n">
        <v>78</v>
      </c>
      <c r="AB2648" t="n">
        <v>70</v>
      </c>
      <c r="AC2648" t="n">
        <v>376</v>
      </c>
      <c r="AD2648" t="n">
        <v>1</v>
      </c>
      <c r="AE2648" t="n">
        <v>5</v>
      </c>
      <c r="AF2648" t="n">
        <v>3</v>
      </c>
      <c r="AG2648" t="n">
        <v>23</v>
      </c>
      <c r="AH2648" t="n">
        <v>2</v>
      </c>
      <c r="AI2648" t="n">
        <v>7</v>
      </c>
      <c r="AJ2648" t="n">
        <v>1</v>
      </c>
      <c r="AK2648" t="n">
        <v>5</v>
      </c>
      <c r="AL2648" t="n">
        <v>2</v>
      </c>
      <c r="AM2648" t="n">
        <v>13</v>
      </c>
      <c r="AN2648" t="n">
        <v>0</v>
      </c>
      <c r="AO2648" t="n">
        <v>4</v>
      </c>
      <c r="AP2648" t="n">
        <v>0</v>
      </c>
      <c r="AQ2648" t="n">
        <v>0</v>
      </c>
      <c r="AR2648" t="inlineStr">
        <is>
          <t>Yes</t>
        </is>
      </c>
      <c r="AS2648" t="inlineStr">
        <is>
          <t>No</t>
        </is>
      </c>
      <c r="AT2648">
        <f>HYPERLINK("http://catalog.hathitrust.org/Record/001188998","HathiTrust Record")</f>
        <v/>
      </c>
      <c r="AU2648">
        <f>HYPERLINK("https://creighton-primo.hosted.exlibrisgroup.com/primo-explore/search?tab=default_tab&amp;search_scope=EVERYTHING&amp;vid=01CRU&amp;lang=en_US&amp;offset=0&amp;query=any,contains,991004221589702656","Catalog Record")</f>
        <v/>
      </c>
      <c r="AV2648">
        <f>HYPERLINK("http://www.worldcat.org/oclc/2714422","WorldCat Record")</f>
        <v/>
      </c>
      <c r="AW2648" t="inlineStr">
        <is>
          <t>1297287:eng</t>
        </is>
      </c>
      <c r="AX2648" t="inlineStr">
        <is>
          <t>2714422</t>
        </is>
      </c>
      <c r="AY2648" t="inlineStr">
        <is>
          <t>991004221589702656</t>
        </is>
      </c>
      <c r="AZ2648" t="inlineStr">
        <is>
          <t>991004221589702656</t>
        </is>
      </c>
      <c r="BA2648" t="inlineStr">
        <is>
          <t>2268972690002656</t>
        </is>
      </c>
      <c r="BB2648" t="inlineStr">
        <is>
          <t>BOOK</t>
        </is>
      </c>
      <c r="BE2648" t="inlineStr">
        <is>
          <t>32285002952074</t>
        </is>
      </c>
      <c r="BF2648" t="inlineStr">
        <is>
          <t>893411262</t>
        </is>
      </c>
    </row>
    <row r="2649">
      <c r="A2649" t="inlineStr">
        <is>
          <t>No</t>
        </is>
      </c>
      <c r="B2649" t="inlineStr">
        <is>
          <t>CURAL</t>
        </is>
      </c>
      <c r="C2649" t="inlineStr">
        <is>
          <t>SHELVES</t>
        </is>
      </c>
      <c r="D2649" t="inlineStr">
        <is>
          <t>PR5888 .M6</t>
        </is>
      </c>
      <c r="E2649" t="inlineStr">
        <is>
          <t>0                      PR 5888000M  6</t>
        </is>
      </c>
      <c r="F2649" t="inlineStr">
        <is>
          <t>The reflective journey toward order; essays on Dante, Wordsworth, Eliot, and others.</t>
        </is>
      </c>
      <c r="H2649" t="inlineStr">
        <is>
          <t>No</t>
        </is>
      </c>
      <c r="I2649" t="inlineStr">
        <is>
          <t>1</t>
        </is>
      </c>
      <c r="J2649" t="inlineStr">
        <is>
          <t>No</t>
        </is>
      </c>
      <c r="K2649" t="inlineStr">
        <is>
          <t>No</t>
        </is>
      </c>
      <c r="L2649" t="inlineStr">
        <is>
          <t>0</t>
        </is>
      </c>
      <c r="M2649" t="inlineStr">
        <is>
          <t>Montgomery, Marion.</t>
        </is>
      </c>
      <c r="N2649" t="inlineStr">
        <is>
          <t>Athens, University of Georgia Press [1973]</t>
        </is>
      </c>
      <c r="O2649" t="inlineStr">
        <is>
          <t>1973</t>
        </is>
      </c>
      <c r="Q2649" t="inlineStr">
        <is>
          <t>eng</t>
        </is>
      </c>
      <c r="R2649" t="inlineStr">
        <is>
          <t>gau</t>
        </is>
      </c>
      <c r="T2649" t="inlineStr">
        <is>
          <t xml:space="preserve">PR </t>
        </is>
      </c>
      <c r="U2649" t="n">
        <v>1</v>
      </c>
      <c r="V2649" t="n">
        <v>1</v>
      </c>
      <c r="W2649" t="inlineStr">
        <is>
          <t>2001-02-12</t>
        </is>
      </c>
      <c r="X2649" t="inlineStr">
        <is>
          <t>2001-02-12</t>
        </is>
      </c>
      <c r="Y2649" t="inlineStr">
        <is>
          <t>1997-07-23</t>
        </is>
      </c>
      <c r="Z2649" t="inlineStr">
        <is>
          <t>1997-07-23</t>
        </is>
      </c>
      <c r="AA2649" t="n">
        <v>851</v>
      </c>
      <c r="AB2649" t="n">
        <v>770</v>
      </c>
      <c r="AC2649" t="n">
        <v>778</v>
      </c>
      <c r="AD2649" t="n">
        <v>8</v>
      </c>
      <c r="AE2649" t="n">
        <v>8</v>
      </c>
      <c r="AF2649" t="n">
        <v>35</v>
      </c>
      <c r="AG2649" t="n">
        <v>35</v>
      </c>
      <c r="AH2649" t="n">
        <v>12</v>
      </c>
      <c r="AI2649" t="n">
        <v>12</v>
      </c>
      <c r="AJ2649" t="n">
        <v>5</v>
      </c>
      <c r="AK2649" t="n">
        <v>5</v>
      </c>
      <c r="AL2649" t="n">
        <v>18</v>
      </c>
      <c r="AM2649" t="n">
        <v>18</v>
      </c>
      <c r="AN2649" t="n">
        <v>7</v>
      </c>
      <c r="AO2649" t="n">
        <v>7</v>
      </c>
      <c r="AP2649" t="n">
        <v>0</v>
      </c>
      <c r="AQ2649" t="n">
        <v>0</v>
      </c>
      <c r="AR2649" t="inlineStr">
        <is>
          <t>No</t>
        </is>
      </c>
      <c r="AS2649" t="inlineStr">
        <is>
          <t>Yes</t>
        </is>
      </c>
      <c r="AT2649">
        <f>HYPERLINK("http://catalog.hathitrust.org/Record/001024943","HathiTrust Record")</f>
        <v/>
      </c>
      <c r="AU2649">
        <f>HYPERLINK("https://creighton-primo.hosted.exlibrisgroup.com/primo-explore/search?tab=default_tab&amp;search_scope=EVERYTHING&amp;vid=01CRU&amp;lang=en_US&amp;offset=0&amp;query=any,contains,991003067409702656","Catalog Record")</f>
        <v/>
      </c>
      <c r="AV2649">
        <f>HYPERLINK("http://www.worldcat.org/oclc/623166","WorldCat Record")</f>
        <v/>
      </c>
      <c r="AW2649" t="inlineStr">
        <is>
          <t>484674:eng</t>
        </is>
      </c>
      <c r="AX2649" t="inlineStr">
        <is>
          <t>623166</t>
        </is>
      </c>
      <c r="AY2649" t="inlineStr">
        <is>
          <t>991003067409702656</t>
        </is>
      </c>
      <c r="AZ2649" t="inlineStr">
        <is>
          <t>991003067409702656</t>
        </is>
      </c>
      <c r="BA2649" t="inlineStr">
        <is>
          <t>2256126020002656</t>
        </is>
      </c>
      <c r="BB2649" t="inlineStr">
        <is>
          <t>BOOK</t>
        </is>
      </c>
      <c r="BD2649" t="inlineStr">
        <is>
          <t>9780820302997</t>
        </is>
      </c>
      <c r="BE2649" t="inlineStr">
        <is>
          <t>32285002952082</t>
        </is>
      </c>
      <c r="BF2649" t="inlineStr">
        <is>
          <t>893893347</t>
        </is>
      </c>
    </row>
    <row r="2650">
      <c r="A2650" t="inlineStr">
        <is>
          <t>No</t>
        </is>
      </c>
      <c r="B2650" t="inlineStr">
        <is>
          <t>CURAL</t>
        </is>
      </c>
      <c r="C2650" t="inlineStr">
        <is>
          <t>SHELVES</t>
        </is>
      </c>
      <c r="D2650" t="inlineStr">
        <is>
          <t>PR5888 .P46</t>
        </is>
      </c>
      <c r="E2650" t="inlineStr">
        <is>
          <t>0                      PR 5888000P  46</t>
        </is>
      </c>
      <c r="F2650" t="inlineStr">
        <is>
          <t>Wordsworth and the poetry of sincerity.</t>
        </is>
      </c>
      <c r="H2650" t="inlineStr">
        <is>
          <t>No</t>
        </is>
      </c>
      <c r="I2650" t="inlineStr">
        <is>
          <t>1</t>
        </is>
      </c>
      <c r="J2650" t="inlineStr">
        <is>
          <t>No</t>
        </is>
      </c>
      <c r="K2650" t="inlineStr">
        <is>
          <t>No</t>
        </is>
      </c>
      <c r="L2650" t="inlineStr">
        <is>
          <t>0</t>
        </is>
      </c>
      <c r="M2650" t="inlineStr">
        <is>
          <t>Perkins, David, 1928-</t>
        </is>
      </c>
      <c r="N2650" t="inlineStr">
        <is>
          <t>Cambridge : Belknap Press of Harvard University Press, 1964.</t>
        </is>
      </c>
      <c r="O2650" t="inlineStr">
        <is>
          <t>1964</t>
        </is>
      </c>
      <c r="Q2650" t="inlineStr">
        <is>
          <t>eng</t>
        </is>
      </c>
      <c r="R2650" t="inlineStr">
        <is>
          <t>mau</t>
        </is>
      </c>
      <c r="T2650" t="inlineStr">
        <is>
          <t xml:space="preserve">PR </t>
        </is>
      </c>
      <c r="U2650" t="n">
        <v>3</v>
      </c>
      <c r="V2650" t="n">
        <v>3</v>
      </c>
      <c r="W2650" t="inlineStr">
        <is>
          <t>1998-04-05</t>
        </is>
      </c>
      <c r="X2650" t="inlineStr">
        <is>
          <t>1998-04-05</t>
        </is>
      </c>
      <c r="Y2650" t="inlineStr">
        <is>
          <t>1993-03-15</t>
        </is>
      </c>
      <c r="Z2650" t="inlineStr">
        <is>
          <t>1993-03-15</t>
        </is>
      </c>
      <c r="AA2650" t="n">
        <v>1052</v>
      </c>
      <c r="AB2650" t="n">
        <v>872</v>
      </c>
      <c r="AC2650" t="n">
        <v>880</v>
      </c>
      <c r="AD2650" t="n">
        <v>8</v>
      </c>
      <c r="AE2650" t="n">
        <v>8</v>
      </c>
      <c r="AF2650" t="n">
        <v>47</v>
      </c>
      <c r="AG2650" t="n">
        <v>47</v>
      </c>
      <c r="AH2650" t="n">
        <v>19</v>
      </c>
      <c r="AI2650" t="n">
        <v>19</v>
      </c>
      <c r="AJ2650" t="n">
        <v>10</v>
      </c>
      <c r="AK2650" t="n">
        <v>10</v>
      </c>
      <c r="AL2650" t="n">
        <v>24</v>
      </c>
      <c r="AM2650" t="n">
        <v>24</v>
      </c>
      <c r="AN2650" t="n">
        <v>7</v>
      </c>
      <c r="AO2650" t="n">
        <v>7</v>
      </c>
      <c r="AP2650" t="n">
        <v>0</v>
      </c>
      <c r="AQ2650" t="n">
        <v>0</v>
      </c>
      <c r="AR2650" t="inlineStr">
        <is>
          <t>No</t>
        </is>
      </c>
      <c r="AS2650" t="inlineStr">
        <is>
          <t>Yes</t>
        </is>
      </c>
      <c r="AT2650">
        <f>HYPERLINK("http://catalog.hathitrust.org/Record/001112901","HathiTrust Record")</f>
        <v/>
      </c>
      <c r="AU2650">
        <f>HYPERLINK("https://creighton-primo.hosted.exlibrisgroup.com/primo-explore/search?tab=default_tab&amp;search_scope=EVERYTHING&amp;vid=01CRU&amp;lang=en_US&amp;offset=0&amp;query=any,contains,991002500259702656","Catalog Record")</f>
        <v/>
      </c>
      <c r="AV2650">
        <f>HYPERLINK("http://www.worldcat.org/oclc/364196","WorldCat Record")</f>
        <v/>
      </c>
      <c r="AW2650" t="inlineStr">
        <is>
          <t>1421778:eng</t>
        </is>
      </c>
      <c r="AX2650" t="inlineStr">
        <is>
          <t>364196</t>
        </is>
      </c>
      <c r="AY2650" t="inlineStr">
        <is>
          <t>991002500259702656</t>
        </is>
      </c>
      <c r="AZ2650" t="inlineStr">
        <is>
          <t>991002500259702656</t>
        </is>
      </c>
      <c r="BA2650" t="inlineStr">
        <is>
          <t>2263013520002656</t>
        </is>
      </c>
      <c r="BB2650" t="inlineStr">
        <is>
          <t>BOOK</t>
        </is>
      </c>
      <c r="BE2650" t="inlineStr">
        <is>
          <t>32285001570489</t>
        </is>
      </c>
      <c r="BF2650" t="inlineStr">
        <is>
          <t>893873604</t>
        </is>
      </c>
    </row>
    <row r="2651">
      <c r="A2651" t="inlineStr">
        <is>
          <t>No</t>
        </is>
      </c>
      <c r="B2651" t="inlineStr">
        <is>
          <t>CURAL</t>
        </is>
      </c>
      <c r="C2651" t="inlineStr">
        <is>
          <t>SHELVES</t>
        </is>
      </c>
      <c r="D2651" t="inlineStr">
        <is>
          <t>PR5888 .P57 1982</t>
        </is>
      </c>
      <c r="E2651" t="inlineStr">
        <is>
          <t>0                      PR 5888000P  57          1982</t>
        </is>
      </c>
      <c r="F2651" t="inlineStr">
        <is>
          <t>William Wordsworth, the poetry of grandeur and of tenderness / David B. Pirie.</t>
        </is>
      </c>
      <c r="H2651" t="inlineStr">
        <is>
          <t>No</t>
        </is>
      </c>
      <c r="I2651" t="inlineStr">
        <is>
          <t>1</t>
        </is>
      </c>
      <c r="J2651" t="inlineStr">
        <is>
          <t>No</t>
        </is>
      </c>
      <c r="K2651" t="inlineStr">
        <is>
          <t>No</t>
        </is>
      </c>
      <c r="L2651" t="inlineStr">
        <is>
          <t>0</t>
        </is>
      </c>
      <c r="M2651" t="inlineStr">
        <is>
          <t>Pirie, David.</t>
        </is>
      </c>
      <c r="N2651" t="inlineStr">
        <is>
          <t>London ; New York : Methuen, 1982.</t>
        </is>
      </c>
      <c r="O2651" t="inlineStr">
        <is>
          <t>1982</t>
        </is>
      </c>
      <c r="Q2651" t="inlineStr">
        <is>
          <t>eng</t>
        </is>
      </c>
      <c r="R2651" t="inlineStr">
        <is>
          <t>enk</t>
        </is>
      </c>
      <c r="T2651" t="inlineStr">
        <is>
          <t xml:space="preserve">PR </t>
        </is>
      </c>
      <c r="U2651" t="n">
        <v>3</v>
      </c>
      <c r="V2651" t="n">
        <v>3</v>
      </c>
      <c r="W2651" t="inlineStr">
        <is>
          <t>1995-02-13</t>
        </is>
      </c>
      <c r="X2651" t="inlineStr">
        <is>
          <t>1995-02-13</t>
        </is>
      </c>
      <c r="Y2651" t="inlineStr">
        <is>
          <t>1992-06-23</t>
        </is>
      </c>
      <c r="Z2651" t="inlineStr">
        <is>
          <t>1992-06-23</t>
        </is>
      </c>
      <c r="AA2651" t="n">
        <v>674</v>
      </c>
      <c r="AB2651" t="n">
        <v>479</v>
      </c>
      <c r="AC2651" t="n">
        <v>506</v>
      </c>
      <c r="AD2651" t="n">
        <v>8</v>
      </c>
      <c r="AE2651" t="n">
        <v>8</v>
      </c>
      <c r="AF2651" t="n">
        <v>28</v>
      </c>
      <c r="AG2651" t="n">
        <v>28</v>
      </c>
      <c r="AH2651" t="n">
        <v>11</v>
      </c>
      <c r="AI2651" t="n">
        <v>11</v>
      </c>
      <c r="AJ2651" t="n">
        <v>5</v>
      </c>
      <c r="AK2651" t="n">
        <v>5</v>
      </c>
      <c r="AL2651" t="n">
        <v>13</v>
      </c>
      <c r="AM2651" t="n">
        <v>13</v>
      </c>
      <c r="AN2651" t="n">
        <v>7</v>
      </c>
      <c r="AO2651" t="n">
        <v>7</v>
      </c>
      <c r="AP2651" t="n">
        <v>0</v>
      </c>
      <c r="AQ2651" t="n">
        <v>0</v>
      </c>
      <c r="AR2651" t="inlineStr">
        <is>
          <t>No</t>
        </is>
      </c>
      <c r="AS2651" t="inlineStr">
        <is>
          <t>Yes</t>
        </is>
      </c>
      <c r="AT2651">
        <f>HYPERLINK("http://catalog.hathitrust.org/Record/000304913","HathiTrust Record")</f>
        <v/>
      </c>
      <c r="AU2651">
        <f>HYPERLINK("https://creighton-primo.hosted.exlibrisgroup.com/primo-explore/search?tab=default_tab&amp;search_scope=EVERYTHING&amp;vid=01CRU&amp;lang=en_US&amp;offset=0&amp;query=any,contains,991005203179702656","Catalog Record")</f>
        <v/>
      </c>
      <c r="AV2651">
        <f>HYPERLINK("http://www.worldcat.org/oclc/8109504","WorldCat Record")</f>
        <v/>
      </c>
      <c r="AW2651" t="inlineStr">
        <is>
          <t>478595:eng</t>
        </is>
      </c>
      <c r="AX2651" t="inlineStr">
        <is>
          <t>8109504</t>
        </is>
      </c>
      <c r="AY2651" t="inlineStr">
        <is>
          <t>991005203179702656</t>
        </is>
      </c>
      <c r="AZ2651" t="inlineStr">
        <is>
          <t>991005203179702656</t>
        </is>
      </c>
      <c r="BA2651" t="inlineStr">
        <is>
          <t>2261506190002656</t>
        </is>
      </c>
      <c r="BB2651" t="inlineStr">
        <is>
          <t>BOOK</t>
        </is>
      </c>
      <c r="BD2651" t="inlineStr">
        <is>
          <t>9780416313000</t>
        </is>
      </c>
      <c r="BE2651" t="inlineStr">
        <is>
          <t>32285001133114</t>
        </is>
      </c>
      <c r="BF2651" t="inlineStr">
        <is>
          <t>893870690</t>
        </is>
      </c>
    </row>
    <row r="2652">
      <c r="A2652" t="inlineStr">
        <is>
          <t>No</t>
        </is>
      </c>
      <c r="B2652" t="inlineStr">
        <is>
          <t>CURAL</t>
        </is>
      </c>
      <c r="C2652" t="inlineStr">
        <is>
          <t>SHELVES</t>
        </is>
      </c>
      <c r="D2652" t="inlineStr">
        <is>
          <t>PR5888 .R32</t>
        </is>
      </c>
      <c r="E2652" t="inlineStr">
        <is>
          <t>0                      PR 5888000R  32</t>
        </is>
      </c>
      <c r="F2652" t="inlineStr">
        <is>
          <t>Wordsworth, a philosophical approach / by Melvin Rader.</t>
        </is>
      </c>
      <c r="H2652" t="inlineStr">
        <is>
          <t>No</t>
        </is>
      </c>
      <c r="I2652" t="inlineStr">
        <is>
          <t>1</t>
        </is>
      </c>
      <c r="J2652" t="inlineStr">
        <is>
          <t>No</t>
        </is>
      </c>
      <c r="K2652" t="inlineStr">
        <is>
          <t>No</t>
        </is>
      </c>
      <c r="L2652" t="inlineStr">
        <is>
          <t>0</t>
        </is>
      </c>
      <c r="M2652" t="inlineStr">
        <is>
          <t>Rader, Melvin (Melvin Miller), 1903-1981.</t>
        </is>
      </c>
      <c r="N2652" t="inlineStr">
        <is>
          <t>Oxford : Clarendon P., 1967.</t>
        </is>
      </c>
      <c r="O2652" t="inlineStr">
        <is>
          <t>1967</t>
        </is>
      </c>
      <c r="Q2652" t="inlineStr">
        <is>
          <t>eng</t>
        </is>
      </c>
      <c r="R2652" t="inlineStr">
        <is>
          <t>enk</t>
        </is>
      </c>
      <c r="T2652" t="inlineStr">
        <is>
          <t xml:space="preserve">PR </t>
        </is>
      </c>
      <c r="U2652" t="n">
        <v>6</v>
      </c>
      <c r="V2652" t="n">
        <v>6</v>
      </c>
      <c r="W2652" t="inlineStr">
        <is>
          <t>2007-08-20</t>
        </is>
      </c>
      <c r="X2652" t="inlineStr">
        <is>
          <t>2007-08-20</t>
        </is>
      </c>
      <c r="Y2652" t="inlineStr">
        <is>
          <t>1995-03-07</t>
        </is>
      </c>
      <c r="Z2652" t="inlineStr">
        <is>
          <t>1995-03-07</t>
        </is>
      </c>
      <c r="AA2652" t="n">
        <v>753</v>
      </c>
      <c r="AB2652" t="n">
        <v>601</v>
      </c>
      <c r="AC2652" t="n">
        <v>628</v>
      </c>
      <c r="AD2652" t="n">
        <v>5</v>
      </c>
      <c r="AE2652" t="n">
        <v>5</v>
      </c>
      <c r="AF2652" t="n">
        <v>36</v>
      </c>
      <c r="AG2652" t="n">
        <v>38</v>
      </c>
      <c r="AH2652" t="n">
        <v>15</v>
      </c>
      <c r="AI2652" t="n">
        <v>16</v>
      </c>
      <c r="AJ2652" t="n">
        <v>10</v>
      </c>
      <c r="AK2652" t="n">
        <v>10</v>
      </c>
      <c r="AL2652" t="n">
        <v>19</v>
      </c>
      <c r="AM2652" t="n">
        <v>20</v>
      </c>
      <c r="AN2652" t="n">
        <v>4</v>
      </c>
      <c r="AO2652" t="n">
        <v>4</v>
      </c>
      <c r="AP2652" t="n">
        <v>0</v>
      </c>
      <c r="AQ2652" t="n">
        <v>0</v>
      </c>
      <c r="AR2652" t="inlineStr">
        <is>
          <t>No</t>
        </is>
      </c>
      <c r="AS2652" t="inlineStr">
        <is>
          <t>Yes</t>
        </is>
      </c>
      <c r="AT2652">
        <f>HYPERLINK("http://catalog.hathitrust.org/Record/001024945","HathiTrust Record")</f>
        <v/>
      </c>
      <c r="AU2652">
        <f>HYPERLINK("https://creighton-primo.hosted.exlibrisgroup.com/primo-explore/search?tab=default_tab&amp;search_scope=EVERYTHING&amp;vid=01CRU&amp;lang=en_US&amp;offset=0&amp;query=any,contains,991003579989702656","Catalog Record")</f>
        <v/>
      </c>
      <c r="AV2652">
        <f>HYPERLINK("http://www.worldcat.org/oclc/40812969","WorldCat Record")</f>
        <v/>
      </c>
      <c r="AW2652" t="inlineStr">
        <is>
          <t>377799721:eng</t>
        </is>
      </c>
      <c r="AX2652" t="inlineStr">
        <is>
          <t>40812969</t>
        </is>
      </c>
      <c r="AY2652" t="inlineStr">
        <is>
          <t>991003579989702656</t>
        </is>
      </c>
      <c r="AZ2652" t="inlineStr">
        <is>
          <t>991003579989702656</t>
        </is>
      </c>
      <c r="BA2652" t="inlineStr">
        <is>
          <t>2269620610002656</t>
        </is>
      </c>
      <c r="BB2652" t="inlineStr">
        <is>
          <t>BOOK</t>
        </is>
      </c>
      <c r="BE2652" t="inlineStr">
        <is>
          <t>32285002011574</t>
        </is>
      </c>
      <c r="BF2652" t="inlineStr">
        <is>
          <t>893598723</t>
        </is>
      </c>
    </row>
    <row r="2653">
      <c r="A2653" t="inlineStr">
        <is>
          <t>No</t>
        </is>
      </c>
      <c r="B2653" t="inlineStr">
        <is>
          <t>CURAL</t>
        </is>
      </c>
      <c r="C2653" t="inlineStr">
        <is>
          <t>SHELVES</t>
        </is>
      </c>
      <c r="D2653" t="inlineStr">
        <is>
          <t>PR5888 .S38</t>
        </is>
      </c>
      <c r="E2653" t="inlineStr">
        <is>
          <t>0                      PR 5888000S  38</t>
        </is>
      </c>
      <c r="F2653" t="inlineStr">
        <is>
          <t>Imagination and fancy: complementary modes in the poetry of Wordsworth.</t>
        </is>
      </c>
      <c r="H2653" t="inlineStr">
        <is>
          <t>No</t>
        </is>
      </c>
      <c r="I2653" t="inlineStr">
        <is>
          <t>1</t>
        </is>
      </c>
      <c r="J2653" t="inlineStr">
        <is>
          <t>No</t>
        </is>
      </c>
      <c r="K2653" t="inlineStr">
        <is>
          <t>No</t>
        </is>
      </c>
      <c r="L2653" t="inlineStr">
        <is>
          <t>0</t>
        </is>
      </c>
      <c r="M2653" t="inlineStr">
        <is>
          <t>Scoggins, James.</t>
        </is>
      </c>
      <c r="N2653" t="inlineStr">
        <is>
          <t>Lincoln, University of Nebraska Press [c1966]</t>
        </is>
      </c>
      <c r="O2653" t="inlineStr">
        <is>
          <t>1966</t>
        </is>
      </c>
      <c r="Q2653" t="inlineStr">
        <is>
          <t>eng</t>
        </is>
      </c>
      <c r="R2653" t="inlineStr">
        <is>
          <t>nbu</t>
        </is>
      </c>
      <c r="T2653" t="inlineStr">
        <is>
          <t xml:space="preserve">PR </t>
        </is>
      </c>
      <c r="U2653" t="n">
        <v>1</v>
      </c>
      <c r="V2653" t="n">
        <v>1</v>
      </c>
      <c r="W2653" t="inlineStr">
        <is>
          <t>2001-03-29</t>
        </is>
      </c>
      <c r="X2653" t="inlineStr">
        <is>
          <t>2001-03-29</t>
        </is>
      </c>
      <c r="Y2653" t="inlineStr">
        <is>
          <t>1997-07-23</t>
        </is>
      </c>
      <c r="Z2653" t="inlineStr">
        <is>
          <t>1997-07-23</t>
        </is>
      </c>
      <c r="AA2653" t="n">
        <v>637</v>
      </c>
      <c r="AB2653" t="n">
        <v>554</v>
      </c>
      <c r="AC2653" t="n">
        <v>565</v>
      </c>
      <c r="AD2653" t="n">
        <v>6</v>
      </c>
      <c r="AE2653" t="n">
        <v>6</v>
      </c>
      <c r="AF2653" t="n">
        <v>34</v>
      </c>
      <c r="AG2653" t="n">
        <v>34</v>
      </c>
      <c r="AH2653" t="n">
        <v>13</v>
      </c>
      <c r="AI2653" t="n">
        <v>13</v>
      </c>
      <c r="AJ2653" t="n">
        <v>7</v>
      </c>
      <c r="AK2653" t="n">
        <v>7</v>
      </c>
      <c r="AL2653" t="n">
        <v>20</v>
      </c>
      <c r="AM2653" t="n">
        <v>20</v>
      </c>
      <c r="AN2653" t="n">
        <v>5</v>
      </c>
      <c r="AO2653" t="n">
        <v>5</v>
      </c>
      <c r="AP2653" t="n">
        <v>0</v>
      </c>
      <c r="AQ2653" t="n">
        <v>0</v>
      </c>
      <c r="AR2653" t="inlineStr">
        <is>
          <t>No</t>
        </is>
      </c>
      <c r="AS2653" t="inlineStr">
        <is>
          <t>Yes</t>
        </is>
      </c>
      <c r="AT2653">
        <f>HYPERLINK("http://catalog.hathitrust.org/Record/001189019","HathiTrust Record")</f>
        <v/>
      </c>
      <c r="AU2653">
        <f>HYPERLINK("https://creighton-primo.hosted.exlibrisgroup.com/primo-explore/search?tab=default_tab&amp;search_scope=EVERYTHING&amp;vid=01CRU&amp;lang=en_US&amp;offset=0&amp;query=any,contains,991003180989702656","Catalog Record")</f>
        <v/>
      </c>
      <c r="AV2653">
        <f>HYPERLINK("http://www.worldcat.org/oclc/711759","WorldCat Record")</f>
        <v/>
      </c>
      <c r="AW2653" t="inlineStr">
        <is>
          <t>1660333:eng</t>
        </is>
      </c>
      <c r="AX2653" t="inlineStr">
        <is>
          <t>711759</t>
        </is>
      </c>
      <c r="AY2653" t="inlineStr">
        <is>
          <t>991003180989702656</t>
        </is>
      </c>
      <c r="AZ2653" t="inlineStr">
        <is>
          <t>991003180989702656</t>
        </is>
      </c>
      <c r="BA2653" t="inlineStr">
        <is>
          <t>2261849060002656</t>
        </is>
      </c>
      <c r="BB2653" t="inlineStr">
        <is>
          <t>BOOK</t>
        </is>
      </c>
      <c r="BE2653" t="inlineStr">
        <is>
          <t>32285002952132</t>
        </is>
      </c>
      <c r="BF2653" t="inlineStr">
        <is>
          <t>893592263</t>
        </is>
      </c>
    </row>
    <row r="2654">
      <c r="A2654" t="inlineStr">
        <is>
          <t>No</t>
        </is>
      </c>
      <c r="B2654" t="inlineStr">
        <is>
          <t>CURAL</t>
        </is>
      </c>
      <c r="C2654" t="inlineStr">
        <is>
          <t>SHELVES</t>
        </is>
      </c>
      <c r="D2654" t="inlineStr">
        <is>
          <t>PR5888 .S48 1980</t>
        </is>
      </c>
      <c r="E2654" t="inlineStr">
        <is>
          <t>0                      PR 5888000S  48          1980</t>
        </is>
      </c>
      <c r="F2654" t="inlineStr">
        <is>
          <t>Wordsworth's poetry of the imagination / Charles Sherry.</t>
        </is>
      </c>
      <c r="H2654" t="inlineStr">
        <is>
          <t>No</t>
        </is>
      </c>
      <c r="I2654" t="inlineStr">
        <is>
          <t>1</t>
        </is>
      </c>
      <c r="J2654" t="inlineStr">
        <is>
          <t>No</t>
        </is>
      </c>
      <c r="K2654" t="inlineStr">
        <is>
          <t>No</t>
        </is>
      </c>
      <c r="L2654" t="inlineStr">
        <is>
          <t>0</t>
        </is>
      </c>
      <c r="M2654" t="inlineStr">
        <is>
          <t>Sherry, Charles.</t>
        </is>
      </c>
      <c r="N2654" t="inlineStr">
        <is>
          <t>Oxford : Clarendon Press ; New York : Oxford University Press, 1980.</t>
        </is>
      </c>
      <c r="O2654" t="inlineStr">
        <is>
          <t>1980</t>
        </is>
      </c>
      <c r="Q2654" t="inlineStr">
        <is>
          <t>eng</t>
        </is>
      </c>
      <c r="R2654" t="inlineStr">
        <is>
          <t>enk</t>
        </is>
      </c>
      <c r="T2654" t="inlineStr">
        <is>
          <t xml:space="preserve">PR </t>
        </is>
      </c>
      <c r="U2654" t="n">
        <v>6</v>
      </c>
      <c r="V2654" t="n">
        <v>6</v>
      </c>
      <c r="W2654" t="inlineStr">
        <is>
          <t>1997-01-22</t>
        </is>
      </c>
      <c r="X2654" t="inlineStr">
        <is>
          <t>1997-01-22</t>
        </is>
      </c>
      <c r="Y2654" t="inlineStr">
        <is>
          <t>1992-06-23</t>
        </is>
      </c>
      <c r="Z2654" t="inlineStr">
        <is>
          <t>1992-06-23</t>
        </is>
      </c>
      <c r="AA2654" t="n">
        <v>502</v>
      </c>
      <c r="AB2654" t="n">
        <v>338</v>
      </c>
      <c r="AC2654" t="n">
        <v>340</v>
      </c>
      <c r="AD2654" t="n">
        <v>4</v>
      </c>
      <c r="AE2654" t="n">
        <v>4</v>
      </c>
      <c r="AF2654" t="n">
        <v>17</v>
      </c>
      <c r="AG2654" t="n">
        <v>17</v>
      </c>
      <c r="AH2654" t="n">
        <v>4</v>
      </c>
      <c r="AI2654" t="n">
        <v>4</v>
      </c>
      <c r="AJ2654" t="n">
        <v>6</v>
      </c>
      <c r="AK2654" t="n">
        <v>6</v>
      </c>
      <c r="AL2654" t="n">
        <v>9</v>
      </c>
      <c r="AM2654" t="n">
        <v>9</v>
      </c>
      <c r="AN2654" t="n">
        <v>3</v>
      </c>
      <c r="AO2654" t="n">
        <v>3</v>
      </c>
      <c r="AP2654" t="n">
        <v>0</v>
      </c>
      <c r="AQ2654" t="n">
        <v>0</v>
      </c>
      <c r="AR2654" t="inlineStr">
        <is>
          <t>No</t>
        </is>
      </c>
      <c r="AS2654" t="inlineStr">
        <is>
          <t>Yes</t>
        </is>
      </c>
      <c r="AT2654">
        <f>HYPERLINK("http://catalog.hathitrust.org/Record/000730064","HathiTrust Record")</f>
        <v/>
      </c>
      <c r="AU2654">
        <f>HYPERLINK("https://creighton-primo.hosted.exlibrisgroup.com/primo-explore/search?tab=default_tab&amp;search_scope=EVERYTHING&amp;vid=01CRU&amp;lang=en_US&amp;offset=0&amp;query=any,contains,991004950929702656","Catalog Record")</f>
        <v/>
      </c>
      <c r="AV2654">
        <f>HYPERLINK("http://www.worldcat.org/oclc/6249828","WorldCat Record")</f>
        <v/>
      </c>
      <c r="AW2654" t="inlineStr">
        <is>
          <t>415784:eng</t>
        </is>
      </c>
      <c r="AX2654" t="inlineStr">
        <is>
          <t>6249828</t>
        </is>
      </c>
      <c r="AY2654" t="inlineStr">
        <is>
          <t>991004950929702656</t>
        </is>
      </c>
      <c r="AZ2654" t="inlineStr">
        <is>
          <t>991004950929702656</t>
        </is>
      </c>
      <c r="BA2654" t="inlineStr">
        <is>
          <t>2263051930002656</t>
        </is>
      </c>
      <c r="BB2654" t="inlineStr">
        <is>
          <t>BOOK</t>
        </is>
      </c>
      <c r="BD2654" t="inlineStr">
        <is>
          <t>9780198126553</t>
        </is>
      </c>
      <c r="BE2654" t="inlineStr">
        <is>
          <t>32285001133122</t>
        </is>
      </c>
      <c r="BF2654" t="inlineStr">
        <is>
          <t>893501132</t>
        </is>
      </c>
    </row>
    <row r="2655">
      <c r="A2655" t="inlineStr">
        <is>
          <t>No</t>
        </is>
      </c>
      <c r="B2655" t="inlineStr">
        <is>
          <t>CURAL</t>
        </is>
      </c>
      <c r="C2655" t="inlineStr">
        <is>
          <t>SHELVES</t>
        </is>
      </c>
      <c r="D2655" t="inlineStr">
        <is>
          <t>PR5888 .S53 1982</t>
        </is>
      </c>
      <c r="E2655" t="inlineStr">
        <is>
          <t>0                      PR 5888000S  53          1982</t>
        </is>
      </c>
      <c r="F2655" t="inlineStr">
        <is>
          <t>Wordsworth and the figurings of the real / David Simpson.</t>
        </is>
      </c>
      <c r="H2655" t="inlineStr">
        <is>
          <t>No</t>
        </is>
      </c>
      <c r="I2655" t="inlineStr">
        <is>
          <t>1</t>
        </is>
      </c>
      <c r="J2655" t="inlineStr">
        <is>
          <t>No</t>
        </is>
      </c>
      <c r="K2655" t="inlineStr">
        <is>
          <t>No</t>
        </is>
      </c>
      <c r="L2655" t="inlineStr">
        <is>
          <t>0</t>
        </is>
      </c>
      <c r="M2655" t="inlineStr">
        <is>
          <t>Simpson, David, 1951-</t>
        </is>
      </c>
      <c r="N2655" t="inlineStr">
        <is>
          <t>Atlantic Highlands, N.J. : Humanities Press, 1982.</t>
        </is>
      </c>
      <c r="O2655" t="inlineStr">
        <is>
          <t>1982</t>
        </is>
      </c>
      <c r="Q2655" t="inlineStr">
        <is>
          <t>eng</t>
        </is>
      </c>
      <c r="R2655" t="inlineStr">
        <is>
          <t>nju</t>
        </is>
      </c>
      <c r="T2655" t="inlineStr">
        <is>
          <t xml:space="preserve">PR </t>
        </is>
      </c>
      <c r="U2655" t="n">
        <v>2</v>
      </c>
      <c r="V2655" t="n">
        <v>2</v>
      </c>
      <c r="W2655" t="inlineStr">
        <is>
          <t>1998-01-26</t>
        </is>
      </c>
      <c r="X2655" t="inlineStr">
        <is>
          <t>1998-01-26</t>
        </is>
      </c>
      <c r="Y2655" t="inlineStr">
        <is>
          <t>1992-06-23</t>
        </is>
      </c>
      <c r="Z2655" t="inlineStr">
        <is>
          <t>1992-06-23</t>
        </is>
      </c>
      <c r="AA2655" t="n">
        <v>270</v>
      </c>
      <c r="AB2655" t="n">
        <v>233</v>
      </c>
      <c r="AC2655" t="n">
        <v>293</v>
      </c>
      <c r="AD2655" t="n">
        <v>2</v>
      </c>
      <c r="AE2655" t="n">
        <v>4</v>
      </c>
      <c r="AF2655" t="n">
        <v>12</v>
      </c>
      <c r="AG2655" t="n">
        <v>16</v>
      </c>
      <c r="AH2655" t="n">
        <v>5</v>
      </c>
      <c r="AI2655" t="n">
        <v>6</v>
      </c>
      <c r="AJ2655" t="n">
        <v>3</v>
      </c>
      <c r="AK2655" t="n">
        <v>3</v>
      </c>
      <c r="AL2655" t="n">
        <v>7</v>
      </c>
      <c r="AM2655" t="n">
        <v>9</v>
      </c>
      <c r="AN2655" t="n">
        <v>1</v>
      </c>
      <c r="AO2655" t="n">
        <v>3</v>
      </c>
      <c r="AP2655" t="n">
        <v>0</v>
      </c>
      <c r="AQ2655" t="n">
        <v>0</v>
      </c>
      <c r="AR2655" t="inlineStr">
        <is>
          <t>No</t>
        </is>
      </c>
      <c r="AS2655" t="inlineStr">
        <is>
          <t>No</t>
        </is>
      </c>
      <c r="AU2655">
        <f>HYPERLINK("https://creighton-primo.hosted.exlibrisgroup.com/primo-explore/search?tab=default_tab&amp;search_scope=EVERYTHING&amp;vid=01CRU&amp;lang=en_US&amp;offset=0&amp;query=any,contains,991005166149702656","Catalog Record")</f>
        <v/>
      </c>
      <c r="AV2655">
        <f>HYPERLINK("http://www.worldcat.org/oclc/7835746","WorldCat Record")</f>
        <v/>
      </c>
      <c r="AW2655" t="inlineStr">
        <is>
          <t>459130:eng</t>
        </is>
      </c>
      <c r="AX2655" t="inlineStr">
        <is>
          <t>7835746</t>
        </is>
      </c>
      <c r="AY2655" t="inlineStr">
        <is>
          <t>991005166149702656</t>
        </is>
      </c>
      <c r="AZ2655" t="inlineStr">
        <is>
          <t>991005166149702656</t>
        </is>
      </c>
      <c r="BA2655" t="inlineStr">
        <is>
          <t>2255004850002656</t>
        </is>
      </c>
      <c r="BB2655" t="inlineStr">
        <is>
          <t>BOOK</t>
        </is>
      </c>
      <c r="BD2655" t="inlineStr">
        <is>
          <t>9780391024502</t>
        </is>
      </c>
      <c r="BE2655" t="inlineStr">
        <is>
          <t>32285001133130</t>
        </is>
      </c>
      <c r="BF2655" t="inlineStr">
        <is>
          <t>893332508</t>
        </is>
      </c>
    </row>
    <row r="2656">
      <c r="A2656" t="inlineStr">
        <is>
          <t>No</t>
        </is>
      </c>
      <c r="B2656" t="inlineStr">
        <is>
          <t>CURAL</t>
        </is>
      </c>
      <c r="C2656" t="inlineStr">
        <is>
          <t>SHELVES</t>
        </is>
      </c>
      <c r="D2656" t="inlineStr">
        <is>
          <t>PR5888 .S56</t>
        </is>
      </c>
      <c r="E2656" t="inlineStr">
        <is>
          <t>0                      PR 5888000S  56</t>
        </is>
      </c>
      <c r="F2656" t="inlineStr">
        <is>
          <t>An estimate of William Wordsworth by his contemporaries, 1793- 1822.</t>
        </is>
      </c>
      <c r="H2656" t="inlineStr">
        <is>
          <t>No</t>
        </is>
      </c>
      <c r="I2656" t="inlineStr">
        <is>
          <t>1</t>
        </is>
      </c>
      <c r="J2656" t="inlineStr">
        <is>
          <t>No</t>
        </is>
      </c>
      <c r="K2656" t="inlineStr">
        <is>
          <t>No</t>
        </is>
      </c>
      <c r="L2656" t="inlineStr">
        <is>
          <t>0</t>
        </is>
      </c>
      <c r="M2656" t="inlineStr">
        <is>
          <t>Smith, Elsie, editor.</t>
        </is>
      </c>
      <c r="N2656" t="inlineStr">
        <is>
          <t>Oxford : B. Blackwell, 1932.</t>
        </is>
      </c>
      <c r="O2656" t="inlineStr">
        <is>
          <t>1932</t>
        </is>
      </c>
      <c r="Q2656" t="inlineStr">
        <is>
          <t>eng</t>
        </is>
      </c>
      <c r="R2656" t="inlineStr">
        <is>
          <t>enk</t>
        </is>
      </c>
      <c r="T2656" t="inlineStr">
        <is>
          <t xml:space="preserve">PR </t>
        </is>
      </c>
      <c r="U2656" t="n">
        <v>4</v>
      </c>
      <c r="V2656" t="n">
        <v>4</v>
      </c>
      <c r="W2656" t="inlineStr">
        <is>
          <t>1995-02-28</t>
        </is>
      </c>
      <c r="X2656" t="inlineStr">
        <is>
          <t>1995-02-28</t>
        </is>
      </c>
      <c r="Y2656" t="inlineStr">
        <is>
          <t>1990-03-12</t>
        </is>
      </c>
      <c r="Z2656" t="inlineStr">
        <is>
          <t>1990-03-12</t>
        </is>
      </c>
      <c r="AA2656" t="n">
        <v>165</v>
      </c>
      <c r="AB2656" t="n">
        <v>112</v>
      </c>
      <c r="AC2656" t="n">
        <v>256</v>
      </c>
      <c r="AD2656" t="n">
        <v>2</v>
      </c>
      <c r="AE2656" t="n">
        <v>5</v>
      </c>
      <c r="AF2656" t="n">
        <v>9</v>
      </c>
      <c r="AG2656" t="n">
        <v>22</v>
      </c>
      <c r="AH2656" t="n">
        <v>3</v>
      </c>
      <c r="AI2656" t="n">
        <v>7</v>
      </c>
      <c r="AJ2656" t="n">
        <v>3</v>
      </c>
      <c r="AK2656" t="n">
        <v>6</v>
      </c>
      <c r="AL2656" t="n">
        <v>6</v>
      </c>
      <c r="AM2656" t="n">
        <v>11</v>
      </c>
      <c r="AN2656" t="n">
        <v>1</v>
      </c>
      <c r="AO2656" t="n">
        <v>4</v>
      </c>
      <c r="AP2656" t="n">
        <v>0</v>
      </c>
      <c r="AQ2656" t="n">
        <v>0</v>
      </c>
      <c r="AR2656" t="inlineStr">
        <is>
          <t>No</t>
        </is>
      </c>
      <c r="AS2656" t="inlineStr">
        <is>
          <t>Yes</t>
        </is>
      </c>
      <c r="AT2656">
        <f>HYPERLINK("http://catalog.hathitrust.org/Record/001189022","HathiTrust Record")</f>
        <v/>
      </c>
      <c r="AU2656">
        <f>HYPERLINK("https://creighton-primo.hosted.exlibrisgroup.com/primo-explore/search?tab=default_tab&amp;search_scope=EVERYTHING&amp;vid=01CRU&amp;lang=en_US&amp;offset=0&amp;query=any,contains,991004194689702656","Catalog Record")</f>
        <v/>
      </c>
      <c r="AV2656">
        <f>HYPERLINK("http://www.worldcat.org/oclc/2642319","WorldCat Record")</f>
        <v/>
      </c>
      <c r="AW2656" t="inlineStr">
        <is>
          <t>1531316:eng</t>
        </is>
      </c>
      <c r="AX2656" t="inlineStr">
        <is>
          <t>2642319</t>
        </is>
      </c>
      <c r="AY2656" t="inlineStr">
        <is>
          <t>991004194689702656</t>
        </is>
      </c>
      <c r="AZ2656" t="inlineStr">
        <is>
          <t>991004194689702656</t>
        </is>
      </c>
      <c r="BA2656" t="inlineStr">
        <is>
          <t>2255704030002656</t>
        </is>
      </c>
      <c r="BB2656" t="inlineStr">
        <is>
          <t>BOOK</t>
        </is>
      </c>
      <c r="BE2656" t="inlineStr">
        <is>
          <t>32285000081553</t>
        </is>
      </c>
      <c r="BF2656" t="inlineStr">
        <is>
          <t>893593393</t>
        </is>
      </c>
    </row>
    <row r="2657">
      <c r="A2657" t="inlineStr">
        <is>
          <t>No</t>
        </is>
      </c>
      <c r="B2657" t="inlineStr">
        <is>
          <t>CURAL</t>
        </is>
      </c>
      <c r="C2657" t="inlineStr">
        <is>
          <t>SHELVES</t>
        </is>
      </c>
      <c r="D2657" t="inlineStr">
        <is>
          <t>PR5888 .S6</t>
        </is>
      </c>
      <c r="E2657" t="inlineStr">
        <is>
          <t>0                      PR 5888000S  6</t>
        </is>
      </c>
      <c r="F2657" t="inlineStr">
        <is>
          <t>Wordsworth, poet of nature and poet of man / by E. Hershey Sneath.</t>
        </is>
      </c>
      <c r="H2657" t="inlineStr">
        <is>
          <t>No</t>
        </is>
      </c>
      <c r="I2657" t="inlineStr">
        <is>
          <t>1</t>
        </is>
      </c>
      <c r="J2657" t="inlineStr">
        <is>
          <t>No</t>
        </is>
      </c>
      <c r="K2657" t="inlineStr">
        <is>
          <t>No</t>
        </is>
      </c>
      <c r="L2657" t="inlineStr">
        <is>
          <t>0</t>
        </is>
      </c>
      <c r="M2657" t="inlineStr">
        <is>
          <t>Sneath, E. Hershey (Elias Hershey), 1857-1935.</t>
        </is>
      </c>
      <c r="N2657" t="inlineStr">
        <is>
          <t>Boston : Ginn, 1912.</t>
        </is>
      </c>
      <c r="O2657" t="inlineStr">
        <is>
          <t>1912</t>
        </is>
      </c>
      <c r="Q2657" t="inlineStr">
        <is>
          <t>eng</t>
        </is>
      </c>
      <c r="R2657" t="inlineStr">
        <is>
          <t>mau</t>
        </is>
      </c>
      <c r="T2657" t="inlineStr">
        <is>
          <t xml:space="preserve">PR </t>
        </is>
      </c>
      <c r="U2657" t="n">
        <v>7</v>
      </c>
      <c r="V2657" t="n">
        <v>7</v>
      </c>
      <c r="W2657" t="inlineStr">
        <is>
          <t>2009-12-02</t>
        </is>
      </c>
      <c r="X2657" t="inlineStr">
        <is>
          <t>2009-12-02</t>
        </is>
      </c>
      <c r="Y2657" t="inlineStr">
        <is>
          <t>1993-04-12</t>
        </is>
      </c>
      <c r="Z2657" t="inlineStr">
        <is>
          <t>1993-04-12</t>
        </is>
      </c>
      <c r="AA2657" t="n">
        <v>204</v>
      </c>
      <c r="AB2657" t="n">
        <v>189</v>
      </c>
      <c r="AC2657" t="n">
        <v>420</v>
      </c>
      <c r="AD2657" t="n">
        <v>2</v>
      </c>
      <c r="AE2657" t="n">
        <v>4</v>
      </c>
      <c r="AF2657" t="n">
        <v>9</v>
      </c>
      <c r="AG2657" t="n">
        <v>19</v>
      </c>
      <c r="AH2657" t="n">
        <v>4</v>
      </c>
      <c r="AI2657" t="n">
        <v>7</v>
      </c>
      <c r="AJ2657" t="n">
        <v>2</v>
      </c>
      <c r="AK2657" t="n">
        <v>5</v>
      </c>
      <c r="AL2657" t="n">
        <v>4</v>
      </c>
      <c r="AM2657" t="n">
        <v>9</v>
      </c>
      <c r="AN2657" t="n">
        <v>1</v>
      </c>
      <c r="AO2657" t="n">
        <v>3</v>
      </c>
      <c r="AP2657" t="n">
        <v>0</v>
      </c>
      <c r="AQ2657" t="n">
        <v>0</v>
      </c>
      <c r="AR2657" t="inlineStr">
        <is>
          <t>Yes</t>
        </is>
      </c>
      <c r="AS2657" t="inlineStr">
        <is>
          <t>No</t>
        </is>
      </c>
      <c r="AT2657">
        <f>HYPERLINK("http://catalog.hathitrust.org/Record/100326583","HathiTrust Record")</f>
        <v/>
      </c>
      <c r="AU2657">
        <f>HYPERLINK("https://creighton-primo.hosted.exlibrisgroup.com/primo-explore/search?tab=default_tab&amp;search_scope=EVERYTHING&amp;vid=01CRU&amp;lang=en_US&amp;offset=0&amp;query=any,contains,991004324289702656","Catalog Record")</f>
        <v/>
      </c>
      <c r="AV2657">
        <f>HYPERLINK("http://www.worldcat.org/oclc/3032364","WorldCat Record")</f>
        <v/>
      </c>
      <c r="AW2657" t="inlineStr">
        <is>
          <t>1591395:eng</t>
        </is>
      </c>
      <c r="AX2657" t="inlineStr">
        <is>
          <t>3032364</t>
        </is>
      </c>
      <c r="AY2657" t="inlineStr">
        <is>
          <t>991004324289702656</t>
        </is>
      </c>
      <c r="AZ2657" t="inlineStr">
        <is>
          <t>991004324289702656</t>
        </is>
      </c>
      <c r="BA2657" t="inlineStr">
        <is>
          <t>2261914240002656</t>
        </is>
      </c>
      <c r="BB2657" t="inlineStr">
        <is>
          <t>BOOK</t>
        </is>
      </c>
      <c r="BE2657" t="inlineStr">
        <is>
          <t>32285001615680</t>
        </is>
      </c>
      <c r="BF2657" t="inlineStr">
        <is>
          <t>893901111</t>
        </is>
      </c>
    </row>
    <row r="2658">
      <c r="A2658" t="inlineStr">
        <is>
          <t>No</t>
        </is>
      </c>
      <c r="B2658" t="inlineStr">
        <is>
          <t>CURAL</t>
        </is>
      </c>
      <c r="C2658" t="inlineStr">
        <is>
          <t>SHELVES</t>
        </is>
      </c>
      <c r="D2658" t="inlineStr">
        <is>
          <t>PR5888 .W4 1970b</t>
        </is>
      </c>
      <c r="E2658" t="inlineStr">
        <is>
          <t>0                      PR 5888000W  4           1970b</t>
        </is>
      </c>
      <c r="F2658" t="inlineStr">
        <is>
          <t>Wordsworth and the adequacy of landscape.</t>
        </is>
      </c>
      <c r="H2658" t="inlineStr">
        <is>
          <t>No</t>
        </is>
      </c>
      <c r="I2658" t="inlineStr">
        <is>
          <t>1</t>
        </is>
      </c>
      <c r="J2658" t="inlineStr">
        <is>
          <t>No</t>
        </is>
      </c>
      <c r="K2658" t="inlineStr">
        <is>
          <t>No</t>
        </is>
      </c>
      <c r="L2658" t="inlineStr">
        <is>
          <t>0</t>
        </is>
      </c>
      <c r="M2658" t="inlineStr">
        <is>
          <t>Wesling, Donald.</t>
        </is>
      </c>
      <c r="N2658" t="inlineStr">
        <is>
          <t>New York, Barnes &amp; Noble [1970]</t>
        </is>
      </c>
      <c r="O2658" t="inlineStr">
        <is>
          <t>1970</t>
        </is>
      </c>
      <c r="Q2658" t="inlineStr">
        <is>
          <t>eng</t>
        </is>
      </c>
      <c r="R2658" t="inlineStr">
        <is>
          <t>nyu</t>
        </is>
      </c>
      <c r="T2658" t="inlineStr">
        <is>
          <t xml:space="preserve">PR </t>
        </is>
      </c>
      <c r="U2658" t="n">
        <v>2</v>
      </c>
      <c r="V2658" t="n">
        <v>2</v>
      </c>
      <c r="W2658" t="inlineStr">
        <is>
          <t>2001-02-15</t>
        </is>
      </c>
      <c r="X2658" t="inlineStr">
        <is>
          <t>2001-02-15</t>
        </is>
      </c>
      <c r="Y2658" t="inlineStr">
        <is>
          <t>1997-07-23</t>
        </is>
      </c>
      <c r="Z2658" t="inlineStr">
        <is>
          <t>1997-07-23</t>
        </is>
      </c>
      <c r="AA2658" t="n">
        <v>407</v>
      </c>
      <c r="AB2658" t="n">
        <v>380</v>
      </c>
      <c r="AC2658" t="n">
        <v>479</v>
      </c>
      <c r="AD2658" t="n">
        <v>3</v>
      </c>
      <c r="AE2658" t="n">
        <v>4</v>
      </c>
      <c r="AF2658" t="n">
        <v>20</v>
      </c>
      <c r="AG2658" t="n">
        <v>24</v>
      </c>
      <c r="AH2658" t="n">
        <v>11</v>
      </c>
      <c r="AI2658" t="n">
        <v>11</v>
      </c>
      <c r="AJ2658" t="n">
        <v>3</v>
      </c>
      <c r="AK2658" t="n">
        <v>4</v>
      </c>
      <c r="AL2658" t="n">
        <v>9</v>
      </c>
      <c r="AM2658" t="n">
        <v>12</v>
      </c>
      <c r="AN2658" t="n">
        <v>2</v>
      </c>
      <c r="AO2658" t="n">
        <v>3</v>
      </c>
      <c r="AP2658" t="n">
        <v>0</v>
      </c>
      <c r="AQ2658" t="n">
        <v>0</v>
      </c>
      <c r="AR2658" t="inlineStr">
        <is>
          <t>No</t>
        </is>
      </c>
      <c r="AS2658" t="inlineStr">
        <is>
          <t>Yes</t>
        </is>
      </c>
      <c r="AT2658">
        <f>HYPERLINK("http://catalog.hathitrust.org/Record/008323066","HathiTrust Record")</f>
        <v/>
      </c>
      <c r="AU2658">
        <f>HYPERLINK("https://creighton-primo.hosted.exlibrisgroup.com/primo-explore/search?tab=default_tab&amp;search_scope=EVERYTHING&amp;vid=01CRU&amp;lang=en_US&amp;offset=0&amp;query=any,contains,991000554749702656","Catalog Record")</f>
        <v/>
      </c>
      <c r="AV2658">
        <f>HYPERLINK("http://www.worldcat.org/oclc/93034","WorldCat Record")</f>
        <v/>
      </c>
      <c r="AW2658" t="inlineStr">
        <is>
          <t>1228112:eng</t>
        </is>
      </c>
      <c r="AX2658" t="inlineStr">
        <is>
          <t>93034</t>
        </is>
      </c>
      <c r="AY2658" t="inlineStr">
        <is>
          <t>991000554749702656</t>
        </is>
      </c>
      <c r="AZ2658" t="inlineStr">
        <is>
          <t>991000554749702656</t>
        </is>
      </c>
      <c r="BA2658" t="inlineStr">
        <is>
          <t>2265589940002656</t>
        </is>
      </c>
      <c r="BB2658" t="inlineStr">
        <is>
          <t>BOOK</t>
        </is>
      </c>
      <c r="BD2658" t="inlineStr">
        <is>
          <t>9780389039952</t>
        </is>
      </c>
      <c r="BE2658" t="inlineStr">
        <is>
          <t>32285002952173</t>
        </is>
      </c>
      <c r="BF2658" t="inlineStr">
        <is>
          <t>893255529</t>
        </is>
      </c>
    </row>
    <row r="2659">
      <c r="A2659" t="inlineStr">
        <is>
          <t>No</t>
        </is>
      </c>
      <c r="B2659" t="inlineStr">
        <is>
          <t>CURAL</t>
        </is>
      </c>
      <c r="C2659" t="inlineStr">
        <is>
          <t>SHELVES</t>
        </is>
      </c>
      <c r="D2659" t="inlineStr">
        <is>
          <t>PR5888 .W6</t>
        </is>
      </c>
      <c r="E2659" t="inlineStr">
        <is>
          <t>0                      PR 5888000W  6</t>
        </is>
      </c>
      <c r="F2659" t="inlineStr">
        <is>
          <t>Wordsworth and the sublime [by] Albert O. Wlecke.</t>
        </is>
      </c>
      <c r="H2659" t="inlineStr">
        <is>
          <t>No</t>
        </is>
      </c>
      <c r="I2659" t="inlineStr">
        <is>
          <t>1</t>
        </is>
      </c>
      <c r="J2659" t="inlineStr">
        <is>
          <t>No</t>
        </is>
      </c>
      <c r="K2659" t="inlineStr">
        <is>
          <t>No</t>
        </is>
      </c>
      <c r="L2659" t="inlineStr">
        <is>
          <t>0</t>
        </is>
      </c>
      <c r="M2659" t="inlineStr">
        <is>
          <t>Wlecke, Albert O.</t>
        </is>
      </c>
      <c r="N2659" t="inlineStr">
        <is>
          <t>Berkeley, University of California Press, 1973.</t>
        </is>
      </c>
      <c r="O2659" t="inlineStr">
        <is>
          <t>1973</t>
        </is>
      </c>
      <c r="Q2659" t="inlineStr">
        <is>
          <t>eng</t>
        </is>
      </c>
      <c r="R2659" t="inlineStr">
        <is>
          <t>cau</t>
        </is>
      </c>
      <c r="S2659" t="inlineStr">
        <is>
          <t>Perspectives in criticism ; 23</t>
        </is>
      </c>
      <c r="T2659" t="inlineStr">
        <is>
          <t xml:space="preserve">PR </t>
        </is>
      </c>
      <c r="U2659" t="n">
        <v>1</v>
      </c>
      <c r="V2659" t="n">
        <v>1</v>
      </c>
      <c r="W2659" t="inlineStr">
        <is>
          <t>2005-02-22</t>
        </is>
      </c>
      <c r="X2659" t="inlineStr">
        <is>
          <t>2005-02-22</t>
        </is>
      </c>
      <c r="Y2659" t="inlineStr">
        <is>
          <t>1997-07-23</t>
        </is>
      </c>
      <c r="Z2659" t="inlineStr">
        <is>
          <t>1997-07-23</t>
        </is>
      </c>
      <c r="AA2659" t="n">
        <v>583</v>
      </c>
      <c r="AB2659" t="n">
        <v>449</v>
      </c>
      <c r="AC2659" t="n">
        <v>457</v>
      </c>
      <c r="AD2659" t="n">
        <v>4</v>
      </c>
      <c r="AE2659" t="n">
        <v>4</v>
      </c>
      <c r="AF2659" t="n">
        <v>26</v>
      </c>
      <c r="AG2659" t="n">
        <v>26</v>
      </c>
      <c r="AH2659" t="n">
        <v>10</v>
      </c>
      <c r="AI2659" t="n">
        <v>10</v>
      </c>
      <c r="AJ2659" t="n">
        <v>7</v>
      </c>
      <c r="AK2659" t="n">
        <v>7</v>
      </c>
      <c r="AL2659" t="n">
        <v>14</v>
      </c>
      <c r="AM2659" t="n">
        <v>14</v>
      </c>
      <c r="AN2659" t="n">
        <v>3</v>
      </c>
      <c r="AO2659" t="n">
        <v>3</v>
      </c>
      <c r="AP2659" t="n">
        <v>0</v>
      </c>
      <c r="AQ2659" t="n">
        <v>0</v>
      </c>
      <c r="AR2659" t="inlineStr">
        <is>
          <t>No</t>
        </is>
      </c>
      <c r="AS2659" t="inlineStr">
        <is>
          <t>Yes</t>
        </is>
      </c>
      <c r="AT2659">
        <f>HYPERLINK("http://catalog.hathitrust.org/Record/001189036","HathiTrust Record")</f>
        <v/>
      </c>
      <c r="AU2659">
        <f>HYPERLINK("https://creighton-primo.hosted.exlibrisgroup.com/primo-explore/search?tab=default_tab&amp;search_scope=EVERYTHING&amp;vid=01CRU&amp;lang=en_US&amp;offset=0&amp;query=any,contains,991003067499702656","Catalog Record")</f>
        <v/>
      </c>
      <c r="AV2659">
        <f>HYPERLINK("http://www.worldcat.org/oclc/623184","WorldCat Record")</f>
        <v/>
      </c>
      <c r="AW2659" t="inlineStr">
        <is>
          <t>1703399:eng</t>
        </is>
      </c>
      <c r="AX2659" t="inlineStr">
        <is>
          <t>623184</t>
        </is>
      </c>
      <c r="AY2659" t="inlineStr">
        <is>
          <t>991003067499702656</t>
        </is>
      </c>
      <c r="AZ2659" t="inlineStr">
        <is>
          <t>991003067499702656</t>
        </is>
      </c>
      <c r="BA2659" t="inlineStr">
        <is>
          <t>2255971260002656</t>
        </is>
      </c>
      <c r="BB2659" t="inlineStr">
        <is>
          <t>BOOK</t>
        </is>
      </c>
      <c r="BD2659" t="inlineStr">
        <is>
          <t>9780520022331</t>
        </is>
      </c>
      <c r="BE2659" t="inlineStr">
        <is>
          <t>32285002952181</t>
        </is>
      </c>
      <c r="BF2659" t="inlineStr">
        <is>
          <t>893498912</t>
        </is>
      </c>
    </row>
    <row r="2660">
      <c r="A2660" t="inlineStr">
        <is>
          <t>No</t>
        </is>
      </c>
      <c r="B2660" t="inlineStr">
        <is>
          <t>CURAL</t>
        </is>
      </c>
      <c r="C2660" t="inlineStr">
        <is>
          <t>SHELVES</t>
        </is>
      </c>
      <c r="D2660" t="inlineStr">
        <is>
          <t>PR589.A44 N4 1986</t>
        </is>
      </c>
      <c r="E2660" t="inlineStr">
        <is>
          <t>0                      PR 0589000A  44                 N  4           1986</t>
        </is>
      </c>
      <c r="F2660" t="inlineStr">
        <is>
          <t>Coleridge, Wordsworth, and the language of allusion / Lucy Newlyn.</t>
        </is>
      </c>
      <c r="H2660" t="inlineStr">
        <is>
          <t>No</t>
        </is>
      </c>
      <c r="I2660" t="inlineStr">
        <is>
          <t>1</t>
        </is>
      </c>
      <c r="J2660" t="inlineStr">
        <is>
          <t>No</t>
        </is>
      </c>
      <c r="K2660" t="inlineStr">
        <is>
          <t>No</t>
        </is>
      </c>
      <c r="L2660" t="inlineStr">
        <is>
          <t>0</t>
        </is>
      </c>
      <c r="M2660" t="inlineStr">
        <is>
          <t>Newlyn, Lucy.</t>
        </is>
      </c>
      <c r="N2660" t="inlineStr">
        <is>
          <t>Oxford [Oxfordshire] : Clarendon Press ; New York : Oxford University Press, 1986.</t>
        </is>
      </c>
      <c r="O2660" t="inlineStr">
        <is>
          <t>1986</t>
        </is>
      </c>
      <c r="Q2660" t="inlineStr">
        <is>
          <t>eng</t>
        </is>
      </c>
      <c r="R2660" t="inlineStr">
        <is>
          <t>enk</t>
        </is>
      </c>
      <c r="S2660" t="inlineStr">
        <is>
          <t>Oxford English monographs</t>
        </is>
      </c>
      <c r="T2660" t="inlineStr">
        <is>
          <t xml:space="preserve">PR </t>
        </is>
      </c>
      <c r="U2660" t="n">
        <v>4</v>
      </c>
      <c r="V2660" t="n">
        <v>4</v>
      </c>
      <c r="W2660" t="inlineStr">
        <is>
          <t>1996-08-13</t>
        </is>
      </c>
      <c r="X2660" t="inlineStr">
        <is>
          <t>1996-08-13</t>
        </is>
      </c>
      <c r="Y2660" t="inlineStr">
        <is>
          <t>1991-09-09</t>
        </is>
      </c>
      <c r="Z2660" t="inlineStr">
        <is>
          <t>1991-09-09</t>
        </is>
      </c>
      <c r="AA2660" t="n">
        <v>551</v>
      </c>
      <c r="AB2660" t="n">
        <v>411</v>
      </c>
      <c r="AC2660" t="n">
        <v>506</v>
      </c>
      <c r="AD2660" t="n">
        <v>5</v>
      </c>
      <c r="AE2660" t="n">
        <v>5</v>
      </c>
      <c r="AF2660" t="n">
        <v>27</v>
      </c>
      <c r="AG2660" t="n">
        <v>32</v>
      </c>
      <c r="AH2660" t="n">
        <v>10</v>
      </c>
      <c r="AI2660" t="n">
        <v>12</v>
      </c>
      <c r="AJ2660" t="n">
        <v>7</v>
      </c>
      <c r="AK2660" t="n">
        <v>8</v>
      </c>
      <c r="AL2660" t="n">
        <v>16</v>
      </c>
      <c r="AM2660" t="n">
        <v>18</v>
      </c>
      <c r="AN2660" t="n">
        <v>4</v>
      </c>
      <c r="AO2660" t="n">
        <v>4</v>
      </c>
      <c r="AP2660" t="n">
        <v>0</v>
      </c>
      <c r="AQ2660" t="n">
        <v>0</v>
      </c>
      <c r="AR2660" t="inlineStr">
        <is>
          <t>No</t>
        </is>
      </c>
      <c r="AS2660" t="inlineStr">
        <is>
          <t>Yes</t>
        </is>
      </c>
      <c r="AT2660">
        <f>HYPERLINK("http://catalog.hathitrust.org/Record/000663566","HathiTrust Record")</f>
        <v/>
      </c>
      <c r="AU2660">
        <f>HYPERLINK("https://creighton-primo.hosted.exlibrisgroup.com/primo-explore/search?tab=default_tab&amp;search_scope=EVERYTHING&amp;vid=01CRU&amp;lang=en_US&amp;offset=0&amp;query=any,contains,991000710089702656","Catalog Record")</f>
        <v/>
      </c>
      <c r="AV2660">
        <f>HYPERLINK("http://www.worldcat.org/oclc/12581770","WorldCat Record")</f>
        <v/>
      </c>
      <c r="AW2660" t="inlineStr">
        <is>
          <t>989529:eng</t>
        </is>
      </c>
      <c r="AX2660" t="inlineStr">
        <is>
          <t>12581770</t>
        </is>
      </c>
      <c r="AY2660" t="inlineStr">
        <is>
          <t>991000710089702656</t>
        </is>
      </c>
      <c r="AZ2660" t="inlineStr">
        <is>
          <t>991000710089702656</t>
        </is>
      </c>
      <c r="BA2660" t="inlineStr">
        <is>
          <t>2271673970002656</t>
        </is>
      </c>
      <c r="BB2660" t="inlineStr">
        <is>
          <t>BOOK</t>
        </is>
      </c>
      <c r="BD2660" t="inlineStr">
        <is>
          <t>9780198128557</t>
        </is>
      </c>
      <c r="BE2660" t="inlineStr">
        <is>
          <t>32285000738103</t>
        </is>
      </c>
      <c r="BF2660" t="inlineStr">
        <is>
          <t>893589679</t>
        </is>
      </c>
    </row>
    <row r="2661">
      <c r="A2661" t="inlineStr">
        <is>
          <t>No</t>
        </is>
      </c>
      <c r="B2661" t="inlineStr">
        <is>
          <t>CURAL</t>
        </is>
      </c>
      <c r="C2661" t="inlineStr">
        <is>
          <t>SHELVES</t>
        </is>
      </c>
      <c r="D2661" t="inlineStr">
        <is>
          <t>PR5891 .B52 1984</t>
        </is>
      </c>
      <c r="E2661" t="inlineStr">
        <is>
          <t>0                      PR 5891000B  52          1984</t>
        </is>
      </c>
      <c r="F2661" t="inlineStr">
        <is>
          <t>Making tales : the poetics of Wordsworth's narrative experiments / Don H. Bialostosky.</t>
        </is>
      </c>
      <c r="H2661" t="inlineStr">
        <is>
          <t>No</t>
        </is>
      </c>
      <c r="I2661" t="inlineStr">
        <is>
          <t>1</t>
        </is>
      </c>
      <c r="J2661" t="inlineStr">
        <is>
          <t>No</t>
        </is>
      </c>
      <c r="K2661" t="inlineStr">
        <is>
          <t>No</t>
        </is>
      </c>
      <c r="L2661" t="inlineStr">
        <is>
          <t>0</t>
        </is>
      </c>
      <c r="M2661" t="inlineStr">
        <is>
          <t>Bialostosky, Don H.</t>
        </is>
      </c>
      <c r="N2661" t="inlineStr">
        <is>
          <t>Chicago : University of Chicago Press, c1984.</t>
        </is>
      </c>
      <c r="O2661" t="inlineStr">
        <is>
          <t>1984</t>
        </is>
      </c>
      <c r="Q2661" t="inlineStr">
        <is>
          <t>eng</t>
        </is>
      </c>
      <c r="R2661" t="inlineStr">
        <is>
          <t>ilu</t>
        </is>
      </c>
      <c r="S2661" t="inlineStr">
        <is>
          <t>Chicago original paperbacks</t>
        </is>
      </c>
      <c r="T2661" t="inlineStr">
        <is>
          <t xml:space="preserve">PR </t>
        </is>
      </c>
      <c r="U2661" t="n">
        <v>1</v>
      </c>
      <c r="V2661" t="n">
        <v>1</v>
      </c>
      <c r="W2661" t="inlineStr">
        <is>
          <t>2002-12-11</t>
        </is>
      </c>
      <c r="X2661" t="inlineStr">
        <is>
          <t>2002-12-11</t>
        </is>
      </c>
      <c r="Y2661" t="inlineStr">
        <is>
          <t>2002-12-11</t>
        </is>
      </c>
      <c r="Z2661" t="inlineStr">
        <is>
          <t>2002-12-11</t>
        </is>
      </c>
      <c r="AA2661" t="n">
        <v>589</v>
      </c>
      <c r="AB2661" t="n">
        <v>492</v>
      </c>
      <c r="AC2661" t="n">
        <v>498</v>
      </c>
      <c r="AD2661" t="n">
        <v>5</v>
      </c>
      <c r="AE2661" t="n">
        <v>5</v>
      </c>
      <c r="AF2661" t="n">
        <v>32</v>
      </c>
      <c r="AG2661" t="n">
        <v>32</v>
      </c>
      <c r="AH2661" t="n">
        <v>10</v>
      </c>
      <c r="AI2661" t="n">
        <v>10</v>
      </c>
      <c r="AJ2661" t="n">
        <v>9</v>
      </c>
      <c r="AK2661" t="n">
        <v>9</v>
      </c>
      <c r="AL2661" t="n">
        <v>17</v>
      </c>
      <c r="AM2661" t="n">
        <v>17</v>
      </c>
      <c r="AN2661" t="n">
        <v>4</v>
      </c>
      <c r="AO2661" t="n">
        <v>4</v>
      </c>
      <c r="AP2661" t="n">
        <v>0</v>
      </c>
      <c r="AQ2661" t="n">
        <v>0</v>
      </c>
      <c r="AR2661" t="inlineStr">
        <is>
          <t>No</t>
        </is>
      </c>
      <c r="AS2661" t="inlineStr">
        <is>
          <t>Yes</t>
        </is>
      </c>
      <c r="AT2661">
        <f>HYPERLINK("http://catalog.hathitrust.org/Record/000783191","HathiTrust Record")</f>
        <v/>
      </c>
      <c r="AU2661">
        <f>HYPERLINK("https://creighton-primo.hosted.exlibrisgroup.com/primo-explore/search?tab=default_tab&amp;search_scope=EVERYTHING&amp;vid=01CRU&amp;lang=en_US&amp;offset=0&amp;query=any,contains,991003961299702656","Catalog Record")</f>
        <v/>
      </c>
      <c r="AV2661">
        <f>HYPERLINK("http://www.worldcat.org/oclc/9646583","WorldCat Record")</f>
        <v/>
      </c>
      <c r="AW2661" t="inlineStr">
        <is>
          <t>309112530:eng</t>
        </is>
      </c>
      <c r="AX2661" t="inlineStr">
        <is>
          <t>9646583</t>
        </is>
      </c>
      <c r="AY2661" t="inlineStr">
        <is>
          <t>991003961299702656</t>
        </is>
      </c>
      <c r="AZ2661" t="inlineStr">
        <is>
          <t>991003961299702656</t>
        </is>
      </c>
      <c r="BA2661" t="inlineStr">
        <is>
          <t>2269008970002656</t>
        </is>
      </c>
      <c r="BB2661" t="inlineStr">
        <is>
          <t>BOOK</t>
        </is>
      </c>
      <c r="BD2661" t="inlineStr">
        <is>
          <t>9780226045757</t>
        </is>
      </c>
      <c r="BE2661" t="inlineStr">
        <is>
          <t>32285004690490</t>
        </is>
      </c>
      <c r="BF2661" t="inlineStr">
        <is>
          <t>893417050</t>
        </is>
      </c>
    </row>
    <row r="2662">
      <c r="A2662" t="inlineStr">
        <is>
          <t>No</t>
        </is>
      </c>
      <c r="B2662" t="inlineStr">
        <is>
          <t>CURAL</t>
        </is>
      </c>
      <c r="C2662" t="inlineStr">
        <is>
          <t>SHELVES</t>
        </is>
      </c>
      <c r="D2662" t="inlineStr">
        <is>
          <t>PR5892.B6 W82 1995</t>
        </is>
      </c>
      <c r="E2662" t="inlineStr">
        <is>
          <t>0                      PR 5892000B  6                  W  82          1995</t>
        </is>
      </c>
      <c r="F2662" t="inlineStr">
        <is>
          <t>Wordsworth's reading, 1800-1815 / Duncan Wu.</t>
        </is>
      </c>
      <c r="H2662" t="inlineStr">
        <is>
          <t>No</t>
        </is>
      </c>
      <c r="I2662" t="inlineStr">
        <is>
          <t>1</t>
        </is>
      </c>
      <c r="J2662" t="inlineStr">
        <is>
          <t>No</t>
        </is>
      </c>
      <c r="K2662" t="inlineStr">
        <is>
          <t>No</t>
        </is>
      </c>
      <c r="L2662" t="inlineStr">
        <is>
          <t>0</t>
        </is>
      </c>
      <c r="M2662" t="inlineStr">
        <is>
          <t>Wu, Duncan.</t>
        </is>
      </c>
      <c r="N2662" t="inlineStr">
        <is>
          <t>Cambridge ; New York : Cambridge University Press, 1995.</t>
        </is>
      </c>
      <c r="O2662" t="inlineStr">
        <is>
          <t>1995</t>
        </is>
      </c>
      <c r="Q2662" t="inlineStr">
        <is>
          <t>eng</t>
        </is>
      </c>
      <c r="R2662" t="inlineStr">
        <is>
          <t>enk</t>
        </is>
      </c>
      <c r="T2662" t="inlineStr">
        <is>
          <t xml:space="preserve">PR </t>
        </is>
      </c>
      <c r="U2662" t="n">
        <v>4</v>
      </c>
      <c r="V2662" t="n">
        <v>4</v>
      </c>
      <c r="W2662" t="inlineStr">
        <is>
          <t>2004-04-23</t>
        </is>
      </c>
      <c r="X2662" t="inlineStr">
        <is>
          <t>2004-04-23</t>
        </is>
      </c>
      <c r="Y2662" t="inlineStr">
        <is>
          <t>1997-05-15</t>
        </is>
      </c>
      <c r="Z2662" t="inlineStr">
        <is>
          <t>1997-05-15</t>
        </is>
      </c>
      <c r="AA2662" t="n">
        <v>380</v>
      </c>
      <c r="AB2662" t="n">
        <v>284</v>
      </c>
      <c r="AC2662" t="n">
        <v>284</v>
      </c>
      <c r="AD2662" t="n">
        <v>3</v>
      </c>
      <c r="AE2662" t="n">
        <v>3</v>
      </c>
      <c r="AF2662" t="n">
        <v>21</v>
      </c>
      <c r="AG2662" t="n">
        <v>21</v>
      </c>
      <c r="AH2662" t="n">
        <v>8</v>
      </c>
      <c r="AI2662" t="n">
        <v>8</v>
      </c>
      <c r="AJ2662" t="n">
        <v>7</v>
      </c>
      <c r="AK2662" t="n">
        <v>7</v>
      </c>
      <c r="AL2662" t="n">
        <v>11</v>
      </c>
      <c r="AM2662" t="n">
        <v>11</v>
      </c>
      <c r="AN2662" t="n">
        <v>2</v>
      </c>
      <c r="AO2662" t="n">
        <v>2</v>
      </c>
      <c r="AP2662" t="n">
        <v>0</v>
      </c>
      <c r="AQ2662" t="n">
        <v>0</v>
      </c>
      <c r="AR2662" t="inlineStr">
        <is>
          <t>No</t>
        </is>
      </c>
      <c r="AS2662" t="inlineStr">
        <is>
          <t>No</t>
        </is>
      </c>
      <c r="AU2662">
        <f>HYPERLINK("https://creighton-primo.hosted.exlibrisgroup.com/primo-explore/search?tab=default_tab&amp;search_scope=EVERYTHING&amp;vid=01CRU&amp;lang=en_US&amp;offset=0&amp;query=any,contains,991002546539702656","Catalog Record")</f>
        <v/>
      </c>
      <c r="AV2662">
        <f>HYPERLINK("http://www.worldcat.org/oclc/33079780","WorldCat Record")</f>
        <v/>
      </c>
      <c r="AW2662" t="inlineStr">
        <is>
          <t>24141854:eng</t>
        </is>
      </c>
      <c r="AX2662" t="inlineStr">
        <is>
          <t>33079780</t>
        </is>
      </c>
      <c r="AY2662" t="inlineStr">
        <is>
          <t>991002546539702656</t>
        </is>
      </c>
      <c r="AZ2662" t="inlineStr">
        <is>
          <t>991002546539702656</t>
        </is>
      </c>
      <c r="BA2662" t="inlineStr">
        <is>
          <t>2272169790002656</t>
        </is>
      </c>
      <c r="BB2662" t="inlineStr">
        <is>
          <t>BOOK</t>
        </is>
      </c>
      <c r="BD2662" t="inlineStr">
        <is>
          <t>9780521496742</t>
        </is>
      </c>
      <c r="BE2662" t="inlineStr">
        <is>
          <t>32285002608676</t>
        </is>
      </c>
      <c r="BF2662" t="inlineStr">
        <is>
          <t>893892698</t>
        </is>
      </c>
    </row>
    <row r="2663">
      <c r="A2663" t="inlineStr">
        <is>
          <t>No</t>
        </is>
      </c>
      <c r="B2663" t="inlineStr">
        <is>
          <t>CURAL</t>
        </is>
      </c>
      <c r="C2663" t="inlineStr">
        <is>
          <t>SHELVES</t>
        </is>
      </c>
      <c r="D2663" t="inlineStr">
        <is>
          <t>PR5892.E5 B43</t>
        </is>
      </c>
      <c r="E2663" t="inlineStr">
        <is>
          <t>0                      PR 5892000E  5                  B  43</t>
        </is>
      </c>
      <c r="F2663" t="inlineStr">
        <is>
          <t>Wordsworth and the human heart / John Beer.</t>
        </is>
      </c>
      <c r="H2663" t="inlineStr">
        <is>
          <t>No</t>
        </is>
      </c>
      <c r="I2663" t="inlineStr">
        <is>
          <t>1</t>
        </is>
      </c>
      <c r="J2663" t="inlineStr">
        <is>
          <t>No</t>
        </is>
      </c>
      <c r="K2663" t="inlineStr">
        <is>
          <t>No</t>
        </is>
      </c>
      <c r="L2663" t="inlineStr">
        <is>
          <t>0</t>
        </is>
      </c>
      <c r="M2663" t="inlineStr">
        <is>
          <t>Beer, John B.</t>
        </is>
      </c>
      <c r="N2663" t="inlineStr">
        <is>
          <t>New York : Columbia University Press, 1978.</t>
        </is>
      </c>
      <c r="O2663" t="inlineStr">
        <is>
          <t>1978</t>
        </is>
      </c>
      <c r="Q2663" t="inlineStr">
        <is>
          <t>eng</t>
        </is>
      </c>
      <c r="R2663" t="inlineStr">
        <is>
          <t>nyu</t>
        </is>
      </c>
      <c r="T2663" t="inlineStr">
        <is>
          <t xml:space="preserve">PR </t>
        </is>
      </c>
      <c r="U2663" t="n">
        <v>2</v>
      </c>
      <c r="V2663" t="n">
        <v>2</v>
      </c>
      <c r="W2663" t="inlineStr">
        <is>
          <t>2001-03-29</t>
        </is>
      </c>
      <c r="X2663" t="inlineStr">
        <is>
          <t>2001-03-29</t>
        </is>
      </c>
      <c r="Y2663" t="inlineStr">
        <is>
          <t>1992-06-23</t>
        </is>
      </c>
      <c r="Z2663" t="inlineStr">
        <is>
          <t>1992-06-23</t>
        </is>
      </c>
      <c r="AA2663" t="n">
        <v>612</v>
      </c>
      <c r="AB2663" t="n">
        <v>560</v>
      </c>
      <c r="AC2663" t="n">
        <v>612</v>
      </c>
      <c r="AD2663" t="n">
        <v>4</v>
      </c>
      <c r="AE2663" t="n">
        <v>6</v>
      </c>
      <c r="AF2663" t="n">
        <v>28</v>
      </c>
      <c r="AG2663" t="n">
        <v>31</v>
      </c>
      <c r="AH2663" t="n">
        <v>10</v>
      </c>
      <c r="AI2663" t="n">
        <v>11</v>
      </c>
      <c r="AJ2663" t="n">
        <v>7</v>
      </c>
      <c r="AK2663" t="n">
        <v>8</v>
      </c>
      <c r="AL2663" t="n">
        <v>18</v>
      </c>
      <c r="AM2663" t="n">
        <v>18</v>
      </c>
      <c r="AN2663" t="n">
        <v>2</v>
      </c>
      <c r="AO2663" t="n">
        <v>4</v>
      </c>
      <c r="AP2663" t="n">
        <v>0</v>
      </c>
      <c r="AQ2663" t="n">
        <v>0</v>
      </c>
      <c r="AR2663" t="inlineStr">
        <is>
          <t>No</t>
        </is>
      </c>
      <c r="AS2663" t="inlineStr">
        <is>
          <t>Yes</t>
        </is>
      </c>
      <c r="AT2663">
        <f>HYPERLINK("http://catalog.hathitrust.org/Record/009493465","HathiTrust Record")</f>
        <v/>
      </c>
      <c r="AU2663">
        <f>HYPERLINK("https://creighton-primo.hosted.exlibrisgroup.com/primo-explore/search?tab=default_tab&amp;search_scope=EVERYTHING&amp;vid=01CRU&amp;lang=en_US&amp;offset=0&amp;query=any,contains,991004555589702656","Catalog Record")</f>
        <v/>
      </c>
      <c r="AV2663">
        <f>HYPERLINK("http://www.worldcat.org/oclc/3966124","WorldCat Record")</f>
        <v/>
      </c>
      <c r="AW2663" t="inlineStr">
        <is>
          <t>5435337:eng</t>
        </is>
      </c>
      <c r="AX2663" t="inlineStr">
        <is>
          <t>3966124</t>
        </is>
      </c>
      <c r="AY2663" t="inlineStr">
        <is>
          <t>991004555589702656</t>
        </is>
      </c>
      <c r="AZ2663" t="inlineStr">
        <is>
          <t>991004555589702656</t>
        </is>
      </c>
      <c r="BA2663" t="inlineStr">
        <is>
          <t>2263877380002656</t>
        </is>
      </c>
      <c r="BB2663" t="inlineStr">
        <is>
          <t>BOOK</t>
        </is>
      </c>
      <c r="BD2663" t="inlineStr">
        <is>
          <t>9780231046466</t>
        </is>
      </c>
      <c r="BE2663" t="inlineStr">
        <is>
          <t>32285001133163</t>
        </is>
      </c>
      <c r="BF2663" t="inlineStr">
        <is>
          <t>893513382</t>
        </is>
      </c>
    </row>
    <row r="2664">
      <c r="A2664" t="inlineStr">
        <is>
          <t>No</t>
        </is>
      </c>
      <c r="B2664" t="inlineStr">
        <is>
          <t>CURAL</t>
        </is>
      </c>
      <c r="C2664" t="inlineStr">
        <is>
          <t>SHELVES</t>
        </is>
      </c>
      <c r="D2664" t="inlineStr">
        <is>
          <t>PR5892.G42 W93 1995</t>
        </is>
      </c>
      <c r="E2664" t="inlineStr">
        <is>
          <t>0                      PR 5892000G  42                 W  93          1995</t>
        </is>
      </c>
      <c r="F2664" t="inlineStr">
        <is>
          <t>Wordsworth and the geologists / John Wyatt.</t>
        </is>
      </c>
      <c r="H2664" t="inlineStr">
        <is>
          <t>No</t>
        </is>
      </c>
      <c r="I2664" t="inlineStr">
        <is>
          <t>1</t>
        </is>
      </c>
      <c r="J2664" t="inlineStr">
        <is>
          <t>No</t>
        </is>
      </c>
      <c r="K2664" t="inlineStr">
        <is>
          <t>No</t>
        </is>
      </c>
      <c r="L2664" t="inlineStr">
        <is>
          <t>0</t>
        </is>
      </c>
      <c r="M2664" t="inlineStr">
        <is>
          <t>Wyatt, John, 1931-</t>
        </is>
      </c>
      <c r="N2664" t="inlineStr">
        <is>
          <t>Cambridge ; New York : Cambridge University Press, 1995.</t>
        </is>
      </c>
      <c r="O2664" t="inlineStr">
        <is>
          <t>1995</t>
        </is>
      </c>
      <c r="Q2664" t="inlineStr">
        <is>
          <t>eng</t>
        </is>
      </c>
      <c r="R2664" t="inlineStr">
        <is>
          <t>enk</t>
        </is>
      </c>
      <c r="S2664" t="inlineStr">
        <is>
          <t>Cambridge studies in Romanticism ; 16</t>
        </is>
      </c>
      <c r="T2664" t="inlineStr">
        <is>
          <t xml:space="preserve">PR </t>
        </is>
      </c>
      <c r="U2664" t="n">
        <v>4</v>
      </c>
      <c r="V2664" t="n">
        <v>4</v>
      </c>
      <c r="W2664" t="inlineStr">
        <is>
          <t>1999-02-03</t>
        </is>
      </c>
      <c r="X2664" t="inlineStr">
        <is>
          <t>1999-02-03</t>
        </is>
      </c>
      <c r="Y2664" t="inlineStr">
        <is>
          <t>1997-01-17</t>
        </is>
      </c>
      <c r="Z2664" t="inlineStr">
        <is>
          <t>1997-01-17</t>
        </is>
      </c>
      <c r="AA2664" t="n">
        <v>333</v>
      </c>
      <c r="AB2664" t="n">
        <v>231</v>
      </c>
      <c r="AC2664" t="n">
        <v>246</v>
      </c>
      <c r="AD2664" t="n">
        <v>2</v>
      </c>
      <c r="AE2664" t="n">
        <v>2</v>
      </c>
      <c r="AF2664" t="n">
        <v>12</v>
      </c>
      <c r="AG2664" t="n">
        <v>12</v>
      </c>
      <c r="AH2664" t="n">
        <v>3</v>
      </c>
      <c r="AI2664" t="n">
        <v>3</v>
      </c>
      <c r="AJ2664" t="n">
        <v>4</v>
      </c>
      <c r="AK2664" t="n">
        <v>4</v>
      </c>
      <c r="AL2664" t="n">
        <v>8</v>
      </c>
      <c r="AM2664" t="n">
        <v>8</v>
      </c>
      <c r="AN2664" t="n">
        <v>1</v>
      </c>
      <c r="AO2664" t="n">
        <v>1</v>
      </c>
      <c r="AP2664" t="n">
        <v>0</v>
      </c>
      <c r="AQ2664" t="n">
        <v>0</v>
      </c>
      <c r="AR2664" t="inlineStr">
        <is>
          <t>No</t>
        </is>
      </c>
      <c r="AS2664" t="inlineStr">
        <is>
          <t>No</t>
        </is>
      </c>
      <c r="AU2664">
        <f>HYPERLINK("https://creighton-primo.hosted.exlibrisgroup.com/primo-explore/search?tab=default_tab&amp;search_scope=EVERYTHING&amp;vid=01CRU&amp;lang=en_US&amp;offset=0&amp;query=any,contains,991002467509702656","Catalog Record")</f>
        <v/>
      </c>
      <c r="AV2664">
        <f>HYPERLINK("http://www.worldcat.org/oclc/32133804","WorldCat Record")</f>
        <v/>
      </c>
      <c r="AW2664" t="inlineStr">
        <is>
          <t>117906016:eng</t>
        </is>
      </c>
      <c r="AX2664" t="inlineStr">
        <is>
          <t>32133804</t>
        </is>
      </c>
      <c r="AY2664" t="inlineStr">
        <is>
          <t>991002467509702656</t>
        </is>
      </c>
      <c r="AZ2664" t="inlineStr">
        <is>
          <t>991002467509702656</t>
        </is>
      </c>
      <c r="BA2664" t="inlineStr">
        <is>
          <t>2264028040002656</t>
        </is>
      </c>
      <c r="BB2664" t="inlineStr">
        <is>
          <t>BOOK</t>
        </is>
      </c>
      <c r="BD2664" t="inlineStr">
        <is>
          <t>9780521472593</t>
        </is>
      </c>
      <c r="BE2664" t="inlineStr">
        <is>
          <t>32285002409133</t>
        </is>
      </c>
      <c r="BF2664" t="inlineStr">
        <is>
          <t>893517322</t>
        </is>
      </c>
    </row>
    <row r="2665">
      <c r="A2665" t="inlineStr">
        <is>
          <t>No</t>
        </is>
      </c>
      <c r="B2665" t="inlineStr">
        <is>
          <t>CURAL</t>
        </is>
      </c>
      <c r="C2665" t="inlineStr">
        <is>
          <t>SHELVES</t>
        </is>
      </c>
      <c r="D2665" t="inlineStr">
        <is>
          <t>PR5892.H5 L5 1989</t>
        </is>
      </c>
      <c r="E2665" t="inlineStr">
        <is>
          <t>0                      PR 5892000H  5                  L  5           1989</t>
        </is>
      </c>
      <c r="F2665" t="inlineStr">
        <is>
          <t>Wordsworth, the sense of history / Alan Liu.</t>
        </is>
      </c>
      <c r="H2665" t="inlineStr">
        <is>
          <t>No</t>
        </is>
      </c>
      <c r="I2665" t="inlineStr">
        <is>
          <t>1</t>
        </is>
      </c>
      <c r="J2665" t="inlineStr">
        <is>
          <t>No</t>
        </is>
      </c>
      <c r="K2665" t="inlineStr">
        <is>
          <t>No</t>
        </is>
      </c>
      <c r="L2665" t="inlineStr">
        <is>
          <t>0</t>
        </is>
      </c>
      <c r="M2665" t="inlineStr">
        <is>
          <t>Liu, Alan, 1953-</t>
        </is>
      </c>
      <c r="N2665" t="inlineStr">
        <is>
          <t>Stanford, Calif. : Stanford University Press, c1989.</t>
        </is>
      </c>
      <c r="O2665" t="inlineStr">
        <is>
          <t>1989</t>
        </is>
      </c>
      <c r="Q2665" t="inlineStr">
        <is>
          <t>eng</t>
        </is>
      </c>
      <c r="R2665" t="inlineStr">
        <is>
          <t>cau</t>
        </is>
      </c>
      <c r="T2665" t="inlineStr">
        <is>
          <t xml:space="preserve">PR </t>
        </is>
      </c>
      <c r="U2665" t="n">
        <v>6</v>
      </c>
      <c r="V2665" t="n">
        <v>6</v>
      </c>
      <c r="W2665" t="inlineStr">
        <is>
          <t>2001-03-29</t>
        </is>
      </c>
      <c r="X2665" t="inlineStr">
        <is>
          <t>2001-03-29</t>
        </is>
      </c>
      <c r="Y2665" t="inlineStr">
        <is>
          <t>1997-01-28</t>
        </is>
      </c>
      <c r="Z2665" t="inlineStr">
        <is>
          <t>1997-01-28</t>
        </is>
      </c>
      <c r="AA2665" t="n">
        <v>549</v>
      </c>
      <c r="AB2665" t="n">
        <v>427</v>
      </c>
      <c r="AC2665" t="n">
        <v>428</v>
      </c>
      <c r="AD2665" t="n">
        <v>3</v>
      </c>
      <c r="AE2665" t="n">
        <v>3</v>
      </c>
      <c r="AF2665" t="n">
        <v>25</v>
      </c>
      <c r="AG2665" t="n">
        <v>25</v>
      </c>
      <c r="AH2665" t="n">
        <v>9</v>
      </c>
      <c r="AI2665" t="n">
        <v>9</v>
      </c>
      <c r="AJ2665" t="n">
        <v>7</v>
      </c>
      <c r="AK2665" t="n">
        <v>7</v>
      </c>
      <c r="AL2665" t="n">
        <v>15</v>
      </c>
      <c r="AM2665" t="n">
        <v>15</v>
      </c>
      <c r="AN2665" t="n">
        <v>2</v>
      </c>
      <c r="AO2665" t="n">
        <v>2</v>
      </c>
      <c r="AP2665" t="n">
        <v>0</v>
      </c>
      <c r="AQ2665" t="n">
        <v>0</v>
      </c>
      <c r="AR2665" t="inlineStr">
        <is>
          <t>No</t>
        </is>
      </c>
      <c r="AS2665" t="inlineStr">
        <is>
          <t>No</t>
        </is>
      </c>
      <c r="AU2665">
        <f>HYPERLINK("https://creighton-primo.hosted.exlibrisgroup.com/primo-explore/search?tab=default_tab&amp;search_scope=EVERYTHING&amp;vid=01CRU&amp;lang=en_US&amp;offset=0&amp;query=any,contains,991001350099702656","Catalog Record")</f>
        <v/>
      </c>
      <c r="AV2665">
        <f>HYPERLINK("http://www.worldcat.org/oclc/18441363","WorldCat Record")</f>
        <v/>
      </c>
      <c r="AW2665" t="inlineStr">
        <is>
          <t>17969191:eng</t>
        </is>
      </c>
      <c r="AX2665" t="inlineStr">
        <is>
          <t>18441363</t>
        </is>
      </c>
      <c r="AY2665" t="inlineStr">
        <is>
          <t>991001350099702656</t>
        </is>
      </c>
      <c r="AZ2665" t="inlineStr">
        <is>
          <t>991001350099702656</t>
        </is>
      </c>
      <c r="BA2665" t="inlineStr">
        <is>
          <t>2269091910002656</t>
        </is>
      </c>
      <c r="BB2665" t="inlineStr">
        <is>
          <t>BOOK</t>
        </is>
      </c>
      <c r="BD2665" t="inlineStr">
        <is>
          <t>9780804713733</t>
        </is>
      </c>
      <c r="BE2665" t="inlineStr">
        <is>
          <t>32285002398484</t>
        </is>
      </c>
      <c r="BF2665" t="inlineStr">
        <is>
          <t>893702952</t>
        </is>
      </c>
    </row>
    <row r="2666">
      <c r="A2666" t="inlineStr">
        <is>
          <t>No</t>
        </is>
      </c>
      <c r="B2666" t="inlineStr">
        <is>
          <t>CURAL</t>
        </is>
      </c>
      <c r="C2666" t="inlineStr">
        <is>
          <t>SHELVES</t>
        </is>
      </c>
      <c r="D2666" t="inlineStr">
        <is>
          <t>PR5892.H5 S56 1987</t>
        </is>
      </c>
      <c r="E2666" t="inlineStr">
        <is>
          <t>0                      PR 5892000H  5                  S  56          1987</t>
        </is>
      </c>
      <c r="F2666" t="inlineStr">
        <is>
          <t>Wordsworth's historical imagination : the poetry of displacement / David Simpson.</t>
        </is>
      </c>
      <c r="H2666" t="inlineStr">
        <is>
          <t>No</t>
        </is>
      </c>
      <c r="I2666" t="inlineStr">
        <is>
          <t>1</t>
        </is>
      </c>
      <c r="J2666" t="inlineStr">
        <is>
          <t>No</t>
        </is>
      </c>
      <c r="K2666" t="inlineStr">
        <is>
          <t>No</t>
        </is>
      </c>
      <c r="L2666" t="inlineStr">
        <is>
          <t>0</t>
        </is>
      </c>
      <c r="M2666" t="inlineStr">
        <is>
          <t>Simpson, David, 1951-</t>
        </is>
      </c>
      <c r="N2666" t="inlineStr">
        <is>
          <t>New York : Methuen, 1987.</t>
        </is>
      </c>
      <c r="O2666" t="inlineStr">
        <is>
          <t>1987</t>
        </is>
      </c>
      <c r="Q2666" t="inlineStr">
        <is>
          <t>eng</t>
        </is>
      </c>
      <c r="R2666" t="inlineStr">
        <is>
          <t>nyu</t>
        </is>
      </c>
      <c r="T2666" t="inlineStr">
        <is>
          <t xml:space="preserve">PR </t>
        </is>
      </c>
      <c r="U2666" t="n">
        <v>6</v>
      </c>
      <c r="V2666" t="n">
        <v>6</v>
      </c>
      <c r="W2666" t="inlineStr">
        <is>
          <t>1998-01-26</t>
        </is>
      </c>
      <c r="X2666" t="inlineStr">
        <is>
          <t>1998-01-26</t>
        </is>
      </c>
      <c r="Y2666" t="inlineStr">
        <is>
          <t>1992-06-23</t>
        </is>
      </c>
      <c r="Z2666" t="inlineStr">
        <is>
          <t>1992-06-23</t>
        </is>
      </c>
      <c r="AA2666" t="n">
        <v>464</v>
      </c>
      <c r="AB2666" t="n">
        <v>334</v>
      </c>
      <c r="AC2666" t="n">
        <v>357</v>
      </c>
      <c r="AD2666" t="n">
        <v>3</v>
      </c>
      <c r="AE2666" t="n">
        <v>3</v>
      </c>
      <c r="AF2666" t="n">
        <v>26</v>
      </c>
      <c r="AG2666" t="n">
        <v>26</v>
      </c>
      <c r="AH2666" t="n">
        <v>13</v>
      </c>
      <c r="AI2666" t="n">
        <v>13</v>
      </c>
      <c r="AJ2666" t="n">
        <v>7</v>
      </c>
      <c r="AK2666" t="n">
        <v>7</v>
      </c>
      <c r="AL2666" t="n">
        <v>13</v>
      </c>
      <c r="AM2666" t="n">
        <v>13</v>
      </c>
      <c r="AN2666" t="n">
        <v>2</v>
      </c>
      <c r="AO2666" t="n">
        <v>2</v>
      </c>
      <c r="AP2666" t="n">
        <v>0</v>
      </c>
      <c r="AQ2666" t="n">
        <v>0</v>
      </c>
      <c r="AR2666" t="inlineStr">
        <is>
          <t>No</t>
        </is>
      </c>
      <c r="AS2666" t="inlineStr">
        <is>
          <t>No</t>
        </is>
      </c>
      <c r="AU2666">
        <f>HYPERLINK("https://creighton-primo.hosted.exlibrisgroup.com/primo-explore/search?tab=default_tab&amp;search_scope=EVERYTHING&amp;vid=01CRU&amp;lang=en_US&amp;offset=0&amp;query=any,contains,991000960439702656","Catalog Record")</f>
        <v/>
      </c>
      <c r="AV2666">
        <f>HYPERLINK("http://www.worldcat.org/oclc/14818327","WorldCat Record")</f>
        <v/>
      </c>
      <c r="AW2666" t="inlineStr">
        <is>
          <t>863037262:eng</t>
        </is>
      </c>
      <c r="AX2666" t="inlineStr">
        <is>
          <t>14818327</t>
        </is>
      </c>
      <c r="AY2666" t="inlineStr">
        <is>
          <t>991000960439702656</t>
        </is>
      </c>
      <c r="AZ2666" t="inlineStr">
        <is>
          <t>991000960439702656</t>
        </is>
      </c>
      <c r="BA2666" t="inlineStr">
        <is>
          <t>2263685220002656</t>
        </is>
      </c>
      <c r="BB2666" t="inlineStr">
        <is>
          <t>BOOK</t>
        </is>
      </c>
      <c r="BD2666" t="inlineStr">
        <is>
          <t>9780416038729</t>
        </is>
      </c>
      <c r="BE2666" t="inlineStr">
        <is>
          <t>32285001133171</t>
        </is>
      </c>
      <c r="BF2666" t="inlineStr">
        <is>
          <t>893589901</t>
        </is>
      </c>
    </row>
    <row r="2667">
      <c r="A2667" t="inlineStr">
        <is>
          <t>No</t>
        </is>
      </c>
      <c r="B2667" t="inlineStr">
        <is>
          <t>CURAL</t>
        </is>
      </c>
      <c r="C2667" t="inlineStr">
        <is>
          <t>SHELVES</t>
        </is>
      </c>
      <c r="D2667" t="inlineStr">
        <is>
          <t>PR5892.L5 B5 1992</t>
        </is>
      </c>
      <c r="E2667" t="inlineStr">
        <is>
          <t>0                      PR 5892000L  5                  B  5           1992</t>
        </is>
      </c>
      <c r="F2667" t="inlineStr">
        <is>
          <t>Wordsworth, dialogics, and the practice of criticism / Don H. Bialostosky.</t>
        </is>
      </c>
      <c r="H2667" t="inlineStr">
        <is>
          <t>No</t>
        </is>
      </c>
      <c r="I2667" t="inlineStr">
        <is>
          <t>1</t>
        </is>
      </c>
      <c r="J2667" t="inlineStr">
        <is>
          <t>No</t>
        </is>
      </c>
      <c r="K2667" t="inlineStr">
        <is>
          <t>No</t>
        </is>
      </c>
      <c r="L2667" t="inlineStr">
        <is>
          <t>0</t>
        </is>
      </c>
      <c r="M2667" t="inlineStr">
        <is>
          <t>Bialostosky, Don H.</t>
        </is>
      </c>
      <c r="N2667" t="inlineStr">
        <is>
          <t>Cambridge [England] ; New York : Cambridge University Press, 1992.</t>
        </is>
      </c>
      <c r="O2667" t="inlineStr">
        <is>
          <t>1992</t>
        </is>
      </c>
      <c r="Q2667" t="inlineStr">
        <is>
          <t>eng</t>
        </is>
      </c>
      <c r="R2667" t="inlineStr">
        <is>
          <t>enk</t>
        </is>
      </c>
      <c r="S2667" t="inlineStr">
        <is>
          <t>Literature, culture, theory ; 2</t>
        </is>
      </c>
      <c r="T2667" t="inlineStr">
        <is>
          <t xml:space="preserve">PR </t>
        </is>
      </c>
      <c r="U2667" t="n">
        <v>2</v>
      </c>
      <c r="V2667" t="n">
        <v>2</v>
      </c>
      <c r="W2667" t="inlineStr">
        <is>
          <t>1999-02-01</t>
        </is>
      </c>
      <c r="X2667" t="inlineStr">
        <is>
          <t>1999-02-01</t>
        </is>
      </c>
      <c r="Y2667" t="inlineStr">
        <is>
          <t>1993-04-13</t>
        </is>
      </c>
      <c r="Z2667" t="inlineStr">
        <is>
          <t>1993-04-13</t>
        </is>
      </c>
      <c r="AA2667" t="n">
        <v>422</v>
      </c>
      <c r="AB2667" t="n">
        <v>279</v>
      </c>
      <c r="AC2667" t="n">
        <v>284</v>
      </c>
      <c r="AD2667" t="n">
        <v>4</v>
      </c>
      <c r="AE2667" t="n">
        <v>4</v>
      </c>
      <c r="AF2667" t="n">
        <v>19</v>
      </c>
      <c r="AG2667" t="n">
        <v>19</v>
      </c>
      <c r="AH2667" t="n">
        <v>4</v>
      </c>
      <c r="AI2667" t="n">
        <v>4</v>
      </c>
      <c r="AJ2667" t="n">
        <v>7</v>
      </c>
      <c r="AK2667" t="n">
        <v>7</v>
      </c>
      <c r="AL2667" t="n">
        <v>12</v>
      </c>
      <c r="AM2667" t="n">
        <v>12</v>
      </c>
      <c r="AN2667" t="n">
        <v>3</v>
      </c>
      <c r="AO2667" t="n">
        <v>3</v>
      </c>
      <c r="AP2667" t="n">
        <v>0</v>
      </c>
      <c r="AQ2667" t="n">
        <v>0</v>
      </c>
      <c r="AR2667" t="inlineStr">
        <is>
          <t>No</t>
        </is>
      </c>
      <c r="AS2667" t="inlineStr">
        <is>
          <t>No</t>
        </is>
      </c>
      <c r="AU2667">
        <f>HYPERLINK("https://creighton-primo.hosted.exlibrisgroup.com/primo-explore/search?tab=default_tab&amp;search_scope=EVERYTHING&amp;vid=01CRU&amp;lang=en_US&amp;offset=0&amp;query=any,contains,991001858629702656","Catalog Record")</f>
        <v/>
      </c>
      <c r="AV2667">
        <f>HYPERLINK("http://www.worldcat.org/oclc/23356069","WorldCat Record")</f>
        <v/>
      </c>
      <c r="AW2667" t="inlineStr">
        <is>
          <t>24792706:eng</t>
        </is>
      </c>
      <c r="AX2667" t="inlineStr">
        <is>
          <t>23356069</t>
        </is>
      </c>
      <c r="AY2667" t="inlineStr">
        <is>
          <t>991001858629702656</t>
        </is>
      </c>
      <c r="AZ2667" t="inlineStr">
        <is>
          <t>991001858629702656</t>
        </is>
      </c>
      <c r="BA2667" t="inlineStr">
        <is>
          <t>2272479100002656</t>
        </is>
      </c>
      <c r="BB2667" t="inlineStr">
        <is>
          <t>BOOK</t>
        </is>
      </c>
      <c r="BD2667" t="inlineStr">
        <is>
          <t>9780521412490</t>
        </is>
      </c>
      <c r="BE2667" t="inlineStr">
        <is>
          <t>32285001499101</t>
        </is>
      </c>
      <c r="BF2667" t="inlineStr">
        <is>
          <t>893408417</t>
        </is>
      </c>
    </row>
    <row r="2668">
      <c r="A2668" t="inlineStr">
        <is>
          <t>No</t>
        </is>
      </c>
      <c r="B2668" t="inlineStr">
        <is>
          <t>CURAL</t>
        </is>
      </c>
      <c r="C2668" t="inlineStr">
        <is>
          <t>SHELVES</t>
        </is>
      </c>
      <c r="D2668" t="inlineStr">
        <is>
          <t>PR5892.L5 G75 1995</t>
        </is>
      </c>
      <c r="E2668" t="inlineStr">
        <is>
          <t>0                      PR 5892000L  5                  G  75          1995</t>
        </is>
      </c>
      <c r="F2668" t="inlineStr">
        <is>
          <t>Wordsworth's Pope : a study in literary historiography / Robert J. Griffin.</t>
        </is>
      </c>
      <c r="H2668" t="inlineStr">
        <is>
          <t>No</t>
        </is>
      </c>
      <c r="I2668" t="inlineStr">
        <is>
          <t>1</t>
        </is>
      </c>
      <c r="J2668" t="inlineStr">
        <is>
          <t>No</t>
        </is>
      </c>
      <c r="K2668" t="inlineStr">
        <is>
          <t>No</t>
        </is>
      </c>
      <c r="L2668" t="inlineStr">
        <is>
          <t>0</t>
        </is>
      </c>
      <c r="M2668" t="inlineStr">
        <is>
          <t>Griffin, Robert J. (Robert John), 1950-</t>
        </is>
      </c>
      <c r="N2668" t="inlineStr">
        <is>
          <t>Cambridge ; New York : Cambridge University Press, 1995.</t>
        </is>
      </c>
      <c r="O2668" t="inlineStr">
        <is>
          <t>1995</t>
        </is>
      </c>
      <c r="Q2668" t="inlineStr">
        <is>
          <t>eng</t>
        </is>
      </c>
      <c r="R2668" t="inlineStr">
        <is>
          <t>enk</t>
        </is>
      </c>
      <c r="S2668" t="inlineStr">
        <is>
          <t>Cambridge studies in Romanticism ; 17</t>
        </is>
      </c>
      <c r="T2668" t="inlineStr">
        <is>
          <t xml:space="preserve">PR </t>
        </is>
      </c>
      <c r="U2668" t="n">
        <v>9</v>
      </c>
      <c r="V2668" t="n">
        <v>9</v>
      </c>
      <c r="W2668" t="inlineStr">
        <is>
          <t>1999-10-06</t>
        </is>
      </c>
      <c r="X2668" t="inlineStr">
        <is>
          <t>1999-10-06</t>
        </is>
      </c>
      <c r="Y2668" t="inlineStr">
        <is>
          <t>1996-05-09</t>
        </is>
      </c>
      <c r="Z2668" t="inlineStr">
        <is>
          <t>1996-05-09</t>
        </is>
      </c>
      <c r="AA2668" t="n">
        <v>346</v>
      </c>
      <c r="AB2668" t="n">
        <v>245</v>
      </c>
      <c r="AC2668" t="n">
        <v>252</v>
      </c>
      <c r="AD2668" t="n">
        <v>2</v>
      </c>
      <c r="AE2668" t="n">
        <v>2</v>
      </c>
      <c r="AF2668" t="n">
        <v>20</v>
      </c>
      <c r="AG2668" t="n">
        <v>20</v>
      </c>
      <c r="AH2668" t="n">
        <v>6</v>
      </c>
      <c r="AI2668" t="n">
        <v>6</v>
      </c>
      <c r="AJ2668" t="n">
        <v>8</v>
      </c>
      <c r="AK2668" t="n">
        <v>8</v>
      </c>
      <c r="AL2668" t="n">
        <v>12</v>
      </c>
      <c r="AM2668" t="n">
        <v>12</v>
      </c>
      <c r="AN2668" t="n">
        <v>1</v>
      </c>
      <c r="AO2668" t="n">
        <v>1</v>
      </c>
      <c r="AP2668" t="n">
        <v>0</v>
      </c>
      <c r="AQ2668" t="n">
        <v>0</v>
      </c>
      <c r="AR2668" t="inlineStr">
        <is>
          <t>No</t>
        </is>
      </c>
      <c r="AS2668" t="inlineStr">
        <is>
          <t>No</t>
        </is>
      </c>
      <c r="AU2668">
        <f>HYPERLINK("https://creighton-primo.hosted.exlibrisgroup.com/primo-explore/search?tab=default_tab&amp;search_scope=EVERYTHING&amp;vid=01CRU&amp;lang=en_US&amp;offset=0&amp;query=any,contains,991002463139702656","Catalog Record")</f>
        <v/>
      </c>
      <c r="AV2668">
        <f>HYPERLINK("http://www.worldcat.org/oclc/32090986","WorldCat Record")</f>
        <v/>
      </c>
      <c r="AW2668" t="inlineStr">
        <is>
          <t>810001533:eng</t>
        </is>
      </c>
      <c r="AX2668" t="inlineStr">
        <is>
          <t>32090986</t>
        </is>
      </c>
      <c r="AY2668" t="inlineStr">
        <is>
          <t>991002463139702656</t>
        </is>
      </c>
      <c r="AZ2668" t="inlineStr">
        <is>
          <t>991002463139702656</t>
        </is>
      </c>
      <c r="BA2668" t="inlineStr">
        <is>
          <t>2264746750002656</t>
        </is>
      </c>
      <c r="BB2668" t="inlineStr">
        <is>
          <t>BOOK</t>
        </is>
      </c>
      <c r="BD2668" t="inlineStr">
        <is>
          <t>9780521481717</t>
        </is>
      </c>
      <c r="BE2668" t="inlineStr">
        <is>
          <t>32285002166279</t>
        </is>
      </c>
      <c r="BF2668" t="inlineStr">
        <is>
          <t>893704111</t>
        </is>
      </c>
    </row>
    <row r="2669">
      <c r="A2669" t="inlineStr">
        <is>
          <t>No</t>
        </is>
      </c>
      <c r="B2669" t="inlineStr">
        <is>
          <t>CURAL</t>
        </is>
      </c>
      <c r="C2669" t="inlineStr">
        <is>
          <t>SHELVES</t>
        </is>
      </c>
      <c r="D2669" t="inlineStr">
        <is>
          <t>PR5892.N2 N67 1973</t>
        </is>
      </c>
      <c r="E2669" t="inlineStr">
        <is>
          <t>0                      PR 5892000N  2                  N  67          1973</t>
        </is>
      </c>
      <c r="F2669" t="inlineStr">
        <is>
          <t>Wordsworth and the art of landscape.</t>
        </is>
      </c>
      <c r="H2669" t="inlineStr">
        <is>
          <t>No</t>
        </is>
      </c>
      <c r="I2669" t="inlineStr">
        <is>
          <t>1</t>
        </is>
      </c>
      <c r="J2669" t="inlineStr">
        <is>
          <t>No</t>
        </is>
      </c>
      <c r="K2669" t="inlineStr">
        <is>
          <t>No</t>
        </is>
      </c>
      <c r="L2669" t="inlineStr">
        <is>
          <t>0</t>
        </is>
      </c>
      <c r="M2669" t="inlineStr">
        <is>
          <t>Noyes, Russell, 1901-</t>
        </is>
      </c>
      <c r="N2669" t="inlineStr">
        <is>
          <t>New York : Haskell House Publishers, 1973 [c1968]</t>
        </is>
      </c>
      <c r="O2669" t="inlineStr">
        <is>
          <t>1973</t>
        </is>
      </c>
      <c r="Q2669" t="inlineStr">
        <is>
          <t>eng</t>
        </is>
      </c>
      <c r="R2669" t="inlineStr">
        <is>
          <t>nyu</t>
        </is>
      </c>
      <c r="T2669" t="inlineStr">
        <is>
          <t xml:space="preserve">PR </t>
        </is>
      </c>
      <c r="U2669" t="n">
        <v>8</v>
      </c>
      <c r="V2669" t="n">
        <v>8</v>
      </c>
      <c r="W2669" t="inlineStr">
        <is>
          <t>1998-04-04</t>
        </is>
      </c>
      <c r="X2669" t="inlineStr">
        <is>
          <t>1998-04-04</t>
        </is>
      </c>
      <c r="Y2669" t="inlineStr">
        <is>
          <t>1990-03-14</t>
        </is>
      </c>
      <c r="Z2669" t="inlineStr">
        <is>
          <t>1990-03-14</t>
        </is>
      </c>
      <c r="AA2669" t="n">
        <v>107</v>
      </c>
      <c r="AB2669" t="n">
        <v>81</v>
      </c>
      <c r="AC2669" t="n">
        <v>364</v>
      </c>
      <c r="AD2669" t="n">
        <v>1</v>
      </c>
      <c r="AE2669" t="n">
        <v>5</v>
      </c>
      <c r="AF2669" t="n">
        <v>3</v>
      </c>
      <c r="AG2669" t="n">
        <v>26</v>
      </c>
      <c r="AH2669" t="n">
        <v>1</v>
      </c>
      <c r="AI2669" t="n">
        <v>6</v>
      </c>
      <c r="AJ2669" t="n">
        <v>0</v>
      </c>
      <c r="AK2669" t="n">
        <v>7</v>
      </c>
      <c r="AL2669" t="n">
        <v>2</v>
      </c>
      <c r="AM2669" t="n">
        <v>15</v>
      </c>
      <c r="AN2669" t="n">
        <v>0</v>
      </c>
      <c r="AO2669" t="n">
        <v>4</v>
      </c>
      <c r="AP2669" t="n">
        <v>0</v>
      </c>
      <c r="AQ2669" t="n">
        <v>0</v>
      </c>
      <c r="AR2669" t="inlineStr">
        <is>
          <t>No</t>
        </is>
      </c>
      <c r="AS2669" t="inlineStr">
        <is>
          <t>No</t>
        </is>
      </c>
      <c r="AU2669">
        <f>HYPERLINK("https://creighton-primo.hosted.exlibrisgroup.com/primo-explore/search?tab=default_tab&amp;search_scope=EVERYTHING&amp;vid=01CRU&amp;lang=en_US&amp;offset=0&amp;query=any,contains,991002666369702656","Catalog Record")</f>
        <v/>
      </c>
      <c r="AV2669">
        <f>HYPERLINK("http://www.worldcat.org/oclc/393331","WorldCat Record")</f>
        <v/>
      </c>
      <c r="AW2669" t="inlineStr">
        <is>
          <t>118298890:eng</t>
        </is>
      </c>
      <c r="AX2669" t="inlineStr">
        <is>
          <t>393331</t>
        </is>
      </c>
      <c r="AY2669" t="inlineStr">
        <is>
          <t>991002666369702656</t>
        </is>
      </c>
      <c r="AZ2669" t="inlineStr">
        <is>
          <t>991002666369702656</t>
        </is>
      </c>
      <c r="BA2669" t="inlineStr">
        <is>
          <t>2263754670002656</t>
        </is>
      </c>
      <c r="BB2669" t="inlineStr">
        <is>
          <t>BOOK</t>
        </is>
      </c>
      <c r="BD2669" t="inlineStr">
        <is>
          <t>9780838316603</t>
        </is>
      </c>
      <c r="BE2669" t="inlineStr">
        <is>
          <t>32285000083146</t>
        </is>
      </c>
      <c r="BF2669" t="inlineStr">
        <is>
          <t>893597716</t>
        </is>
      </c>
    </row>
    <row r="2670">
      <c r="A2670" t="inlineStr">
        <is>
          <t>No</t>
        </is>
      </c>
      <c r="B2670" t="inlineStr">
        <is>
          <t>CURAL</t>
        </is>
      </c>
      <c r="C2670" t="inlineStr">
        <is>
          <t>SHELVES</t>
        </is>
      </c>
      <c r="D2670" t="inlineStr">
        <is>
          <t>PR5892.P5 G7 1973</t>
        </is>
      </c>
      <c r="E2670" t="inlineStr">
        <is>
          <t>0                      PR 5892000P  5                  G  7           1973</t>
        </is>
      </c>
      <c r="F2670" t="inlineStr">
        <is>
          <t>The philosophic mind : a study of Wordsworth's poetry and thought, 1797-1805.</t>
        </is>
      </c>
      <c r="H2670" t="inlineStr">
        <is>
          <t>No</t>
        </is>
      </c>
      <c r="I2670" t="inlineStr">
        <is>
          <t>1</t>
        </is>
      </c>
      <c r="J2670" t="inlineStr">
        <is>
          <t>No</t>
        </is>
      </c>
      <c r="K2670" t="inlineStr">
        <is>
          <t>No</t>
        </is>
      </c>
      <c r="L2670" t="inlineStr">
        <is>
          <t>0</t>
        </is>
      </c>
      <c r="M2670" t="inlineStr">
        <is>
          <t>Grob, Alan.</t>
        </is>
      </c>
      <c r="N2670" t="inlineStr">
        <is>
          <t>Columbus : Ohio State University Press, [1973]</t>
        </is>
      </c>
      <c r="O2670" t="inlineStr">
        <is>
          <t>1973</t>
        </is>
      </c>
      <c r="Q2670" t="inlineStr">
        <is>
          <t>eng</t>
        </is>
      </c>
      <c r="R2670" t="inlineStr">
        <is>
          <t>ohu</t>
        </is>
      </c>
      <c r="T2670" t="inlineStr">
        <is>
          <t xml:space="preserve">PR </t>
        </is>
      </c>
      <c r="U2670" t="n">
        <v>4</v>
      </c>
      <c r="V2670" t="n">
        <v>4</v>
      </c>
      <c r="W2670" t="inlineStr">
        <is>
          <t>1998-03-02</t>
        </is>
      </c>
      <c r="X2670" t="inlineStr">
        <is>
          <t>1998-03-02</t>
        </is>
      </c>
      <c r="Y2670" t="inlineStr">
        <is>
          <t>1995-05-06</t>
        </is>
      </c>
      <c r="Z2670" t="inlineStr">
        <is>
          <t>1995-05-06</t>
        </is>
      </c>
      <c r="AA2670" t="n">
        <v>721</v>
      </c>
      <c r="AB2670" t="n">
        <v>595</v>
      </c>
      <c r="AC2670" t="n">
        <v>602</v>
      </c>
      <c r="AD2670" t="n">
        <v>6</v>
      </c>
      <c r="AE2670" t="n">
        <v>6</v>
      </c>
      <c r="AF2670" t="n">
        <v>35</v>
      </c>
      <c r="AG2670" t="n">
        <v>35</v>
      </c>
      <c r="AH2670" t="n">
        <v>12</v>
      </c>
      <c r="AI2670" t="n">
        <v>12</v>
      </c>
      <c r="AJ2670" t="n">
        <v>9</v>
      </c>
      <c r="AK2670" t="n">
        <v>9</v>
      </c>
      <c r="AL2670" t="n">
        <v>17</v>
      </c>
      <c r="AM2670" t="n">
        <v>17</v>
      </c>
      <c r="AN2670" t="n">
        <v>5</v>
      </c>
      <c r="AO2670" t="n">
        <v>5</v>
      </c>
      <c r="AP2670" t="n">
        <v>0</v>
      </c>
      <c r="AQ2670" t="n">
        <v>0</v>
      </c>
      <c r="AR2670" t="inlineStr">
        <is>
          <t>No</t>
        </is>
      </c>
      <c r="AS2670" t="inlineStr">
        <is>
          <t>Yes</t>
        </is>
      </c>
      <c r="AT2670">
        <f>HYPERLINK("http://catalog.hathitrust.org/Record/001188974","HathiTrust Record")</f>
        <v/>
      </c>
      <c r="AU2670">
        <f>HYPERLINK("https://creighton-primo.hosted.exlibrisgroup.com/primo-explore/search?tab=default_tab&amp;search_scope=EVERYTHING&amp;vid=01CRU&amp;lang=en_US&amp;offset=0&amp;query=any,contains,991002951209702656","Catalog Record")</f>
        <v/>
      </c>
      <c r="AV2670">
        <f>HYPERLINK("http://www.worldcat.org/oclc/538904","WorldCat Record")</f>
        <v/>
      </c>
      <c r="AW2670" t="inlineStr">
        <is>
          <t>263555086:eng</t>
        </is>
      </c>
      <c r="AX2670" t="inlineStr">
        <is>
          <t>538904</t>
        </is>
      </c>
      <c r="AY2670" t="inlineStr">
        <is>
          <t>991002951209702656</t>
        </is>
      </c>
      <c r="AZ2670" t="inlineStr">
        <is>
          <t>991002951209702656</t>
        </is>
      </c>
      <c r="BA2670" t="inlineStr">
        <is>
          <t>2262482340002656</t>
        </is>
      </c>
      <c r="BB2670" t="inlineStr">
        <is>
          <t>BOOK</t>
        </is>
      </c>
      <c r="BD2670" t="inlineStr">
        <is>
          <t>9780814201787</t>
        </is>
      </c>
      <c r="BE2670" t="inlineStr">
        <is>
          <t>32285002032596</t>
        </is>
      </c>
      <c r="BF2670" t="inlineStr">
        <is>
          <t>893799207</t>
        </is>
      </c>
    </row>
    <row r="2671">
      <c r="A2671" t="inlineStr">
        <is>
          <t>No</t>
        </is>
      </c>
      <c r="B2671" t="inlineStr">
        <is>
          <t>CURAL</t>
        </is>
      </c>
      <c r="C2671" t="inlineStr">
        <is>
          <t>SHELVES</t>
        </is>
      </c>
      <c r="D2671" t="inlineStr">
        <is>
          <t>PR5892.P5 P4</t>
        </is>
      </c>
      <c r="E2671" t="inlineStr">
        <is>
          <t>0                      PR 5892000P  5                  P  4</t>
        </is>
      </c>
      <c r="F2671" t="inlineStr">
        <is>
          <t>The quest for permanence; the symbolism of Wordsworth, Shelley, and Keats.</t>
        </is>
      </c>
      <c r="H2671" t="inlineStr">
        <is>
          <t>No</t>
        </is>
      </c>
      <c r="I2671" t="inlineStr">
        <is>
          <t>1</t>
        </is>
      </c>
      <c r="J2671" t="inlineStr">
        <is>
          <t>No</t>
        </is>
      </c>
      <c r="K2671" t="inlineStr">
        <is>
          <t>No</t>
        </is>
      </c>
      <c r="L2671" t="inlineStr">
        <is>
          <t>0</t>
        </is>
      </c>
      <c r="M2671" t="inlineStr">
        <is>
          <t>Perkins, David, 1928-</t>
        </is>
      </c>
      <c r="N2671" t="inlineStr">
        <is>
          <t>Cambridge, Harvard University Press, 1959.</t>
        </is>
      </c>
      <c r="O2671" t="inlineStr">
        <is>
          <t>1959</t>
        </is>
      </c>
      <c r="Q2671" t="inlineStr">
        <is>
          <t>eng</t>
        </is>
      </c>
      <c r="R2671" t="inlineStr">
        <is>
          <t>mau</t>
        </is>
      </c>
      <c r="T2671" t="inlineStr">
        <is>
          <t xml:space="preserve">PR </t>
        </is>
      </c>
      <c r="U2671" t="n">
        <v>4</v>
      </c>
      <c r="V2671" t="n">
        <v>4</v>
      </c>
      <c r="W2671" t="inlineStr">
        <is>
          <t>1999-02-20</t>
        </is>
      </c>
      <c r="X2671" t="inlineStr">
        <is>
          <t>1999-02-20</t>
        </is>
      </c>
      <c r="Y2671" t="inlineStr">
        <is>
          <t>1997-07-23</t>
        </is>
      </c>
      <c r="Z2671" t="inlineStr">
        <is>
          <t>1997-07-23</t>
        </is>
      </c>
      <c r="AA2671" t="n">
        <v>918</v>
      </c>
      <c r="AB2671" t="n">
        <v>759</v>
      </c>
      <c r="AC2671" t="n">
        <v>805</v>
      </c>
      <c r="AD2671" t="n">
        <v>9</v>
      </c>
      <c r="AE2671" t="n">
        <v>9</v>
      </c>
      <c r="AF2671" t="n">
        <v>45</v>
      </c>
      <c r="AG2671" t="n">
        <v>46</v>
      </c>
      <c r="AH2671" t="n">
        <v>19</v>
      </c>
      <c r="AI2671" t="n">
        <v>19</v>
      </c>
      <c r="AJ2671" t="n">
        <v>9</v>
      </c>
      <c r="AK2671" t="n">
        <v>9</v>
      </c>
      <c r="AL2671" t="n">
        <v>21</v>
      </c>
      <c r="AM2671" t="n">
        <v>22</v>
      </c>
      <c r="AN2671" t="n">
        <v>8</v>
      </c>
      <c r="AO2671" t="n">
        <v>8</v>
      </c>
      <c r="AP2671" t="n">
        <v>0</v>
      </c>
      <c r="AQ2671" t="n">
        <v>0</v>
      </c>
      <c r="AR2671" t="inlineStr">
        <is>
          <t>No</t>
        </is>
      </c>
      <c r="AS2671" t="inlineStr">
        <is>
          <t>No</t>
        </is>
      </c>
      <c r="AT2671">
        <f>HYPERLINK("http://catalog.hathitrust.org/Record/001112903","HathiTrust Record")</f>
        <v/>
      </c>
      <c r="AU2671">
        <f>HYPERLINK("https://creighton-primo.hosted.exlibrisgroup.com/primo-explore/search?tab=default_tab&amp;search_scope=EVERYTHING&amp;vid=01CRU&amp;lang=en_US&amp;offset=0&amp;query=any,contains,991004200659702656","Catalog Record")</f>
        <v/>
      </c>
      <c r="AV2671">
        <f>HYPERLINK("http://www.worldcat.org/oclc/2651782","WorldCat Record")</f>
        <v/>
      </c>
      <c r="AW2671" t="inlineStr">
        <is>
          <t>294130186:eng</t>
        </is>
      </c>
      <c r="AX2671" t="inlineStr">
        <is>
          <t>2651782</t>
        </is>
      </c>
      <c r="AY2671" t="inlineStr">
        <is>
          <t>991004200659702656</t>
        </is>
      </c>
      <c r="AZ2671" t="inlineStr">
        <is>
          <t>991004200659702656</t>
        </is>
      </c>
      <c r="BA2671" t="inlineStr">
        <is>
          <t>2258293690002656</t>
        </is>
      </c>
      <c r="BB2671" t="inlineStr">
        <is>
          <t>BOOK</t>
        </is>
      </c>
      <c r="BE2671" t="inlineStr">
        <is>
          <t>32285002952207</t>
        </is>
      </c>
      <c r="BF2671" t="inlineStr">
        <is>
          <t>893331306</t>
        </is>
      </c>
    </row>
    <row r="2672">
      <c r="A2672" t="inlineStr">
        <is>
          <t>No</t>
        </is>
      </c>
      <c r="B2672" t="inlineStr">
        <is>
          <t>CURAL</t>
        </is>
      </c>
      <c r="C2672" t="inlineStr">
        <is>
          <t>SHELVES</t>
        </is>
      </c>
      <c r="D2672" t="inlineStr">
        <is>
          <t>PR5892.P64 C48 1984</t>
        </is>
      </c>
      <c r="E2672" t="inlineStr">
        <is>
          <t>0                      PR 5892000P  64                 C  48          1984</t>
        </is>
      </c>
      <c r="F2672" t="inlineStr">
        <is>
          <t>Wordsworth's second nature : a study of the poetry and politics / James K. Chandler.</t>
        </is>
      </c>
      <c r="H2672" t="inlineStr">
        <is>
          <t>No</t>
        </is>
      </c>
      <c r="I2672" t="inlineStr">
        <is>
          <t>1</t>
        </is>
      </c>
      <c r="J2672" t="inlineStr">
        <is>
          <t>No</t>
        </is>
      </c>
      <c r="K2672" t="inlineStr">
        <is>
          <t>No</t>
        </is>
      </c>
      <c r="L2672" t="inlineStr">
        <is>
          <t>0</t>
        </is>
      </c>
      <c r="M2672" t="inlineStr">
        <is>
          <t>Chandler, James, 1948-</t>
        </is>
      </c>
      <c r="N2672" t="inlineStr">
        <is>
          <t>Chicago : University of Chicago Press, c1984.</t>
        </is>
      </c>
      <c r="O2672" t="inlineStr">
        <is>
          <t>1984</t>
        </is>
      </c>
      <c r="Q2672" t="inlineStr">
        <is>
          <t>eng</t>
        </is>
      </c>
      <c r="R2672" t="inlineStr">
        <is>
          <t>ilu</t>
        </is>
      </c>
      <c r="T2672" t="inlineStr">
        <is>
          <t xml:space="preserve">PR </t>
        </is>
      </c>
      <c r="U2672" t="n">
        <v>5</v>
      </c>
      <c r="V2672" t="n">
        <v>5</v>
      </c>
      <c r="W2672" t="inlineStr">
        <is>
          <t>2006-07-31</t>
        </is>
      </c>
      <c r="X2672" t="inlineStr">
        <is>
          <t>2006-07-31</t>
        </is>
      </c>
      <c r="Y2672" t="inlineStr">
        <is>
          <t>1990-05-17</t>
        </is>
      </c>
      <c r="Z2672" t="inlineStr">
        <is>
          <t>1990-05-17</t>
        </is>
      </c>
      <c r="AA2672" t="n">
        <v>577</v>
      </c>
      <c r="AB2672" t="n">
        <v>431</v>
      </c>
      <c r="AC2672" t="n">
        <v>431</v>
      </c>
      <c r="AD2672" t="n">
        <v>3</v>
      </c>
      <c r="AE2672" t="n">
        <v>3</v>
      </c>
      <c r="AF2672" t="n">
        <v>26</v>
      </c>
      <c r="AG2672" t="n">
        <v>26</v>
      </c>
      <c r="AH2672" t="n">
        <v>10</v>
      </c>
      <c r="AI2672" t="n">
        <v>10</v>
      </c>
      <c r="AJ2672" t="n">
        <v>9</v>
      </c>
      <c r="AK2672" t="n">
        <v>9</v>
      </c>
      <c r="AL2672" t="n">
        <v>15</v>
      </c>
      <c r="AM2672" t="n">
        <v>15</v>
      </c>
      <c r="AN2672" t="n">
        <v>2</v>
      </c>
      <c r="AO2672" t="n">
        <v>2</v>
      </c>
      <c r="AP2672" t="n">
        <v>0</v>
      </c>
      <c r="AQ2672" t="n">
        <v>0</v>
      </c>
      <c r="AR2672" t="inlineStr">
        <is>
          <t>No</t>
        </is>
      </c>
      <c r="AS2672" t="inlineStr">
        <is>
          <t>No</t>
        </is>
      </c>
      <c r="AU2672">
        <f>HYPERLINK("https://creighton-primo.hosted.exlibrisgroup.com/primo-explore/search?tab=default_tab&amp;search_scope=EVERYTHING&amp;vid=01CRU&amp;lang=en_US&amp;offset=0&amp;query=any,contains,991000393809702656","Catalog Record")</f>
        <v/>
      </c>
      <c r="AV2672">
        <f>HYPERLINK("http://www.worldcat.org/oclc/10559092","WorldCat Record")</f>
        <v/>
      </c>
      <c r="AW2672" t="inlineStr">
        <is>
          <t>312644208:eng</t>
        </is>
      </c>
      <c r="AX2672" t="inlineStr">
        <is>
          <t>10559092</t>
        </is>
      </c>
      <c r="AY2672" t="inlineStr">
        <is>
          <t>991000393809702656</t>
        </is>
      </c>
      <c r="AZ2672" t="inlineStr">
        <is>
          <t>991000393809702656</t>
        </is>
      </c>
      <c r="BA2672" t="inlineStr">
        <is>
          <t>2272048810002656</t>
        </is>
      </c>
      <c r="BB2672" t="inlineStr">
        <is>
          <t>BOOK</t>
        </is>
      </c>
      <c r="BD2672" t="inlineStr">
        <is>
          <t>9780226100807</t>
        </is>
      </c>
      <c r="BE2672" t="inlineStr">
        <is>
          <t>32285000152974</t>
        </is>
      </c>
      <c r="BF2672" t="inlineStr">
        <is>
          <t>893601707</t>
        </is>
      </c>
    </row>
    <row r="2673">
      <c r="A2673" t="inlineStr">
        <is>
          <t>No</t>
        </is>
      </c>
      <c r="B2673" t="inlineStr">
        <is>
          <t>CURAL</t>
        </is>
      </c>
      <c r="C2673" t="inlineStr">
        <is>
          <t>SHELVES</t>
        </is>
      </c>
      <c r="D2673" t="inlineStr">
        <is>
          <t>PR5892.P64 W5 1989</t>
        </is>
      </c>
      <c r="E2673" t="inlineStr">
        <is>
          <t>0                      PR 5892000P  64                 W  5           1989</t>
        </is>
      </c>
      <c r="F2673" t="inlineStr">
        <is>
          <t>Wordsworth : romantic poetry and revolution politics / John Williams.</t>
        </is>
      </c>
      <c r="H2673" t="inlineStr">
        <is>
          <t>No</t>
        </is>
      </c>
      <c r="I2673" t="inlineStr">
        <is>
          <t>1</t>
        </is>
      </c>
      <c r="J2673" t="inlineStr">
        <is>
          <t>No</t>
        </is>
      </c>
      <c r="K2673" t="inlineStr">
        <is>
          <t>No</t>
        </is>
      </c>
      <c r="L2673" t="inlineStr">
        <is>
          <t>0</t>
        </is>
      </c>
      <c r="M2673" t="inlineStr">
        <is>
          <t>Williams, John, 1946-</t>
        </is>
      </c>
      <c r="N2673" t="inlineStr">
        <is>
          <t>Manchester ; New York : Manchester University Press ; New York, NY, USA : Distributed exclusively in the USA and Canada by St. Martin's Press, c1989.</t>
        </is>
      </c>
      <c r="O2673" t="inlineStr">
        <is>
          <t>1989</t>
        </is>
      </c>
      <c r="Q2673" t="inlineStr">
        <is>
          <t>eng</t>
        </is>
      </c>
      <c r="R2673" t="inlineStr">
        <is>
          <t>enk</t>
        </is>
      </c>
      <c r="T2673" t="inlineStr">
        <is>
          <t xml:space="preserve">PR </t>
        </is>
      </c>
      <c r="U2673" t="n">
        <v>8</v>
      </c>
      <c r="V2673" t="n">
        <v>8</v>
      </c>
      <c r="W2673" t="inlineStr">
        <is>
          <t>2010-10-18</t>
        </is>
      </c>
      <c r="X2673" t="inlineStr">
        <is>
          <t>2010-10-18</t>
        </is>
      </c>
      <c r="Y2673" t="inlineStr">
        <is>
          <t>1990-04-20</t>
        </is>
      </c>
      <c r="Z2673" t="inlineStr">
        <is>
          <t>1990-04-20</t>
        </is>
      </c>
      <c r="AA2673" t="n">
        <v>338</v>
      </c>
      <c r="AB2673" t="n">
        <v>230</v>
      </c>
      <c r="AC2673" t="n">
        <v>237</v>
      </c>
      <c r="AD2673" t="n">
        <v>2</v>
      </c>
      <c r="AE2673" t="n">
        <v>2</v>
      </c>
      <c r="AF2673" t="n">
        <v>9</v>
      </c>
      <c r="AG2673" t="n">
        <v>9</v>
      </c>
      <c r="AH2673" t="n">
        <v>1</v>
      </c>
      <c r="AI2673" t="n">
        <v>1</v>
      </c>
      <c r="AJ2673" t="n">
        <v>5</v>
      </c>
      <c r="AK2673" t="n">
        <v>5</v>
      </c>
      <c r="AL2673" t="n">
        <v>6</v>
      </c>
      <c r="AM2673" t="n">
        <v>6</v>
      </c>
      <c r="AN2673" t="n">
        <v>1</v>
      </c>
      <c r="AO2673" t="n">
        <v>1</v>
      </c>
      <c r="AP2673" t="n">
        <v>0</v>
      </c>
      <c r="AQ2673" t="n">
        <v>0</v>
      </c>
      <c r="AR2673" t="inlineStr">
        <is>
          <t>No</t>
        </is>
      </c>
      <c r="AS2673" t="inlineStr">
        <is>
          <t>Yes</t>
        </is>
      </c>
      <c r="AT2673">
        <f>HYPERLINK("http://catalog.hathitrust.org/Record/001834162","HathiTrust Record")</f>
        <v/>
      </c>
      <c r="AU2673">
        <f>HYPERLINK("https://creighton-primo.hosted.exlibrisgroup.com/primo-explore/search?tab=default_tab&amp;search_scope=EVERYTHING&amp;vid=01CRU&amp;lang=en_US&amp;offset=0&amp;query=any,contains,991001526519702656","Catalog Record")</f>
        <v/>
      </c>
      <c r="AV2673">
        <f>HYPERLINK("http://www.worldcat.org/oclc/20013186","WorldCat Record")</f>
        <v/>
      </c>
      <c r="AW2673" t="inlineStr">
        <is>
          <t>4925807678:eng</t>
        </is>
      </c>
      <c r="AX2673" t="inlineStr">
        <is>
          <t>20013186</t>
        </is>
      </c>
      <c r="AY2673" t="inlineStr">
        <is>
          <t>991001526519702656</t>
        </is>
      </c>
      <c r="AZ2673" t="inlineStr">
        <is>
          <t>991001526519702656</t>
        </is>
      </c>
      <c r="BA2673" t="inlineStr">
        <is>
          <t>2262135440002656</t>
        </is>
      </c>
      <c r="BB2673" t="inlineStr">
        <is>
          <t>BOOK</t>
        </is>
      </c>
      <c r="BD2673" t="inlineStr">
        <is>
          <t>9780719031687</t>
        </is>
      </c>
      <c r="BE2673" t="inlineStr">
        <is>
          <t>32285000103613</t>
        </is>
      </c>
      <c r="BF2673" t="inlineStr">
        <is>
          <t>893225900</t>
        </is>
      </c>
    </row>
    <row r="2674">
      <c r="A2674" t="inlineStr">
        <is>
          <t>No</t>
        </is>
      </c>
      <c r="B2674" t="inlineStr">
        <is>
          <t>CURAL</t>
        </is>
      </c>
      <c r="C2674" t="inlineStr">
        <is>
          <t>SHELVES</t>
        </is>
      </c>
      <c r="D2674" t="inlineStr">
        <is>
          <t>PR5892.P8 T6</t>
        </is>
      </c>
      <c r="E2674" t="inlineStr">
        <is>
          <t>0                      PR 5892000P  8                  T  6</t>
        </is>
      </c>
      <c r="F2674" t="inlineStr">
        <is>
          <t>Politics and the poet : a study of Wordsworth.</t>
        </is>
      </c>
      <c r="H2674" t="inlineStr">
        <is>
          <t>No</t>
        </is>
      </c>
      <c r="I2674" t="inlineStr">
        <is>
          <t>1</t>
        </is>
      </c>
      <c r="J2674" t="inlineStr">
        <is>
          <t>No</t>
        </is>
      </c>
      <c r="K2674" t="inlineStr">
        <is>
          <t>No</t>
        </is>
      </c>
      <c r="L2674" t="inlineStr">
        <is>
          <t>0</t>
        </is>
      </c>
      <c r="M2674" t="inlineStr">
        <is>
          <t>Todd, F. M. (Francis Murray), 1924-</t>
        </is>
      </c>
      <c r="N2674" t="inlineStr">
        <is>
          <t>London : Methuen, [1957]</t>
        </is>
      </c>
      <c r="O2674" t="inlineStr">
        <is>
          <t>1957</t>
        </is>
      </c>
      <c r="Q2674" t="inlineStr">
        <is>
          <t>eng</t>
        </is>
      </c>
      <c r="R2674" t="inlineStr">
        <is>
          <t>enk</t>
        </is>
      </c>
      <c r="T2674" t="inlineStr">
        <is>
          <t xml:space="preserve">PR </t>
        </is>
      </c>
      <c r="U2674" t="n">
        <v>5</v>
      </c>
      <c r="V2674" t="n">
        <v>5</v>
      </c>
      <c r="W2674" t="inlineStr">
        <is>
          <t>1995-03-20</t>
        </is>
      </c>
      <c r="X2674" t="inlineStr">
        <is>
          <t>1995-03-20</t>
        </is>
      </c>
      <c r="Y2674" t="inlineStr">
        <is>
          <t>1990-05-22</t>
        </is>
      </c>
      <c r="Z2674" t="inlineStr">
        <is>
          <t>1990-05-22</t>
        </is>
      </c>
      <c r="AA2674" t="n">
        <v>574</v>
      </c>
      <c r="AB2674" t="n">
        <v>428</v>
      </c>
      <c r="AC2674" t="n">
        <v>460</v>
      </c>
      <c r="AD2674" t="n">
        <v>4</v>
      </c>
      <c r="AE2674" t="n">
        <v>4</v>
      </c>
      <c r="AF2674" t="n">
        <v>22</v>
      </c>
      <c r="AG2674" t="n">
        <v>22</v>
      </c>
      <c r="AH2674" t="n">
        <v>8</v>
      </c>
      <c r="AI2674" t="n">
        <v>8</v>
      </c>
      <c r="AJ2674" t="n">
        <v>4</v>
      </c>
      <c r="AK2674" t="n">
        <v>4</v>
      </c>
      <c r="AL2674" t="n">
        <v>12</v>
      </c>
      <c r="AM2674" t="n">
        <v>12</v>
      </c>
      <c r="AN2674" t="n">
        <v>3</v>
      </c>
      <c r="AO2674" t="n">
        <v>3</v>
      </c>
      <c r="AP2674" t="n">
        <v>0</v>
      </c>
      <c r="AQ2674" t="n">
        <v>0</v>
      </c>
      <c r="AR2674" t="inlineStr">
        <is>
          <t>No</t>
        </is>
      </c>
      <c r="AS2674" t="inlineStr">
        <is>
          <t>Yes</t>
        </is>
      </c>
      <c r="AT2674">
        <f>HYPERLINK("http://catalog.hathitrust.org/Record/001020222","HathiTrust Record")</f>
        <v/>
      </c>
      <c r="AU2674">
        <f>HYPERLINK("https://creighton-primo.hosted.exlibrisgroup.com/primo-explore/search?tab=default_tab&amp;search_scope=EVERYTHING&amp;vid=01CRU&amp;lang=en_US&amp;offset=0&amp;query=any,contains,991002499689702656","Catalog Record")</f>
        <v/>
      </c>
      <c r="AV2674">
        <f>HYPERLINK("http://www.worldcat.org/oclc/364163","WorldCat Record")</f>
        <v/>
      </c>
      <c r="AW2674" t="inlineStr">
        <is>
          <t>1421708:eng</t>
        </is>
      </c>
      <c r="AX2674" t="inlineStr">
        <is>
          <t>364163</t>
        </is>
      </c>
      <c r="AY2674" t="inlineStr">
        <is>
          <t>991002499689702656</t>
        </is>
      </c>
      <c r="AZ2674" t="inlineStr">
        <is>
          <t>991002499689702656</t>
        </is>
      </c>
      <c r="BA2674" t="inlineStr">
        <is>
          <t>2263017610002656</t>
        </is>
      </c>
      <c r="BB2674" t="inlineStr">
        <is>
          <t>BOOK</t>
        </is>
      </c>
      <c r="BE2674" t="inlineStr">
        <is>
          <t>32285000157411</t>
        </is>
      </c>
      <c r="BF2674" t="inlineStr">
        <is>
          <t>893597524</t>
        </is>
      </c>
    </row>
    <row r="2675">
      <c r="A2675" t="inlineStr">
        <is>
          <t>No</t>
        </is>
      </c>
      <c r="B2675" t="inlineStr">
        <is>
          <t>CURAL</t>
        </is>
      </c>
      <c r="C2675" t="inlineStr">
        <is>
          <t>SHELVES</t>
        </is>
      </c>
      <c r="D2675" t="inlineStr">
        <is>
          <t>PR5892.R27 R6 1988</t>
        </is>
      </c>
      <c r="E2675" t="inlineStr">
        <is>
          <t>0                      PR 5892000R  27                 R  6           1988</t>
        </is>
      </c>
      <c r="F2675" t="inlineStr">
        <is>
          <t>Wordsworth and Coleridge : the radical years / Nicholas Roe.</t>
        </is>
      </c>
      <c r="H2675" t="inlineStr">
        <is>
          <t>No</t>
        </is>
      </c>
      <c r="I2675" t="inlineStr">
        <is>
          <t>1</t>
        </is>
      </c>
      <c r="J2675" t="inlineStr">
        <is>
          <t>No</t>
        </is>
      </c>
      <c r="K2675" t="inlineStr">
        <is>
          <t>No</t>
        </is>
      </c>
      <c r="L2675" t="inlineStr">
        <is>
          <t>0</t>
        </is>
      </c>
      <c r="M2675" t="inlineStr">
        <is>
          <t>Roe, Nicholas.</t>
        </is>
      </c>
      <c r="N2675" t="inlineStr">
        <is>
          <t>Oxford : Clarendon Press ; New York : Oxford University Press, 1988.</t>
        </is>
      </c>
      <c r="O2675" t="inlineStr">
        <is>
          <t>1988</t>
        </is>
      </c>
      <c r="Q2675" t="inlineStr">
        <is>
          <t>eng</t>
        </is>
      </c>
      <c r="R2675" t="inlineStr">
        <is>
          <t>enk</t>
        </is>
      </c>
      <c r="S2675" t="inlineStr">
        <is>
          <t>Oxford English monographs</t>
        </is>
      </c>
      <c r="T2675" t="inlineStr">
        <is>
          <t xml:space="preserve">PR </t>
        </is>
      </c>
      <c r="U2675" t="n">
        <v>6</v>
      </c>
      <c r="V2675" t="n">
        <v>6</v>
      </c>
      <c r="W2675" t="inlineStr">
        <is>
          <t>2001-03-24</t>
        </is>
      </c>
      <c r="X2675" t="inlineStr">
        <is>
          <t>2001-03-24</t>
        </is>
      </c>
      <c r="Y2675" t="inlineStr">
        <is>
          <t>1992-06-23</t>
        </is>
      </c>
      <c r="Z2675" t="inlineStr">
        <is>
          <t>1992-06-23</t>
        </is>
      </c>
      <c r="AA2675" t="n">
        <v>709</v>
      </c>
      <c r="AB2675" t="n">
        <v>558</v>
      </c>
      <c r="AC2675" t="n">
        <v>680</v>
      </c>
      <c r="AD2675" t="n">
        <v>4</v>
      </c>
      <c r="AE2675" t="n">
        <v>5</v>
      </c>
      <c r="AF2675" t="n">
        <v>28</v>
      </c>
      <c r="AG2675" t="n">
        <v>33</v>
      </c>
      <c r="AH2675" t="n">
        <v>9</v>
      </c>
      <c r="AI2675" t="n">
        <v>11</v>
      </c>
      <c r="AJ2675" t="n">
        <v>8</v>
      </c>
      <c r="AK2675" t="n">
        <v>9</v>
      </c>
      <c r="AL2675" t="n">
        <v>17</v>
      </c>
      <c r="AM2675" t="n">
        <v>20</v>
      </c>
      <c r="AN2675" t="n">
        <v>3</v>
      </c>
      <c r="AO2675" t="n">
        <v>4</v>
      </c>
      <c r="AP2675" t="n">
        <v>0</v>
      </c>
      <c r="AQ2675" t="n">
        <v>0</v>
      </c>
      <c r="AR2675" t="inlineStr">
        <is>
          <t>No</t>
        </is>
      </c>
      <c r="AS2675" t="inlineStr">
        <is>
          <t>Yes</t>
        </is>
      </c>
      <c r="AT2675">
        <f>HYPERLINK("http://catalog.hathitrust.org/Record/000902667","HathiTrust Record")</f>
        <v/>
      </c>
      <c r="AU2675">
        <f>HYPERLINK("https://creighton-primo.hosted.exlibrisgroup.com/primo-explore/search?tab=default_tab&amp;search_scope=EVERYTHING&amp;vid=01CRU&amp;lang=en_US&amp;offset=0&amp;query=any,contains,991001083279702656","Catalog Record")</f>
        <v/>
      </c>
      <c r="AV2675">
        <f>HYPERLINK("http://www.worldcat.org/oclc/16091605","WorldCat Record")</f>
        <v/>
      </c>
      <c r="AW2675" t="inlineStr">
        <is>
          <t>795589708:eng</t>
        </is>
      </c>
      <c r="AX2675" t="inlineStr">
        <is>
          <t>16091605</t>
        </is>
      </c>
      <c r="AY2675" t="inlineStr">
        <is>
          <t>991001083279702656</t>
        </is>
      </c>
      <c r="AZ2675" t="inlineStr">
        <is>
          <t>991001083279702656</t>
        </is>
      </c>
      <c r="BA2675" t="inlineStr">
        <is>
          <t>2263147820002656</t>
        </is>
      </c>
      <c r="BB2675" t="inlineStr">
        <is>
          <t>BOOK</t>
        </is>
      </c>
      <c r="BD2675" t="inlineStr">
        <is>
          <t>9780198128687</t>
        </is>
      </c>
      <c r="BE2675" t="inlineStr">
        <is>
          <t>32285001133197</t>
        </is>
      </c>
      <c r="BF2675" t="inlineStr">
        <is>
          <t>893321617</t>
        </is>
      </c>
    </row>
    <row r="2676">
      <c r="A2676" t="inlineStr">
        <is>
          <t>No</t>
        </is>
      </c>
      <c r="B2676" t="inlineStr">
        <is>
          <t>CURAL</t>
        </is>
      </c>
      <c r="C2676" t="inlineStr">
        <is>
          <t>SHELVES</t>
        </is>
      </c>
      <c r="D2676" t="inlineStr">
        <is>
          <t>PR5892.R4 E27 1996</t>
        </is>
      </c>
      <c r="E2676" t="inlineStr">
        <is>
          <t>0                      PR 5892000R  4                  E  27          1996</t>
        </is>
      </c>
      <c r="F2676" t="inlineStr">
        <is>
          <t>Wordsworth and the question of "romantic religion" / Nancy Easterlin.</t>
        </is>
      </c>
      <c r="H2676" t="inlineStr">
        <is>
          <t>No</t>
        </is>
      </c>
      <c r="I2676" t="inlineStr">
        <is>
          <t>1</t>
        </is>
      </c>
      <c r="J2676" t="inlineStr">
        <is>
          <t>No</t>
        </is>
      </c>
      <c r="K2676" t="inlineStr">
        <is>
          <t>No</t>
        </is>
      </c>
      <c r="L2676" t="inlineStr">
        <is>
          <t>0</t>
        </is>
      </c>
      <c r="M2676" t="inlineStr">
        <is>
          <t>Easterlin, Nancy.</t>
        </is>
      </c>
      <c r="N2676" t="inlineStr">
        <is>
          <t>Lewisburg : Bucknell University Press ; London : Associated University Presses, c1996.</t>
        </is>
      </c>
      <c r="O2676" t="inlineStr">
        <is>
          <t>1996</t>
        </is>
      </c>
      <c r="Q2676" t="inlineStr">
        <is>
          <t>eng</t>
        </is>
      </c>
      <c r="R2676" t="inlineStr">
        <is>
          <t>nyu</t>
        </is>
      </c>
      <c r="T2676" t="inlineStr">
        <is>
          <t xml:space="preserve">PR </t>
        </is>
      </c>
      <c r="U2676" t="n">
        <v>3</v>
      </c>
      <c r="V2676" t="n">
        <v>3</v>
      </c>
      <c r="W2676" t="inlineStr">
        <is>
          <t>2007-02-03</t>
        </is>
      </c>
      <c r="X2676" t="inlineStr">
        <is>
          <t>2007-02-03</t>
        </is>
      </c>
      <c r="Y2676" t="inlineStr">
        <is>
          <t>1997-06-09</t>
        </is>
      </c>
      <c r="Z2676" t="inlineStr">
        <is>
          <t>1997-06-09</t>
        </is>
      </c>
      <c r="AA2676" t="n">
        <v>407</v>
      </c>
      <c r="AB2676" t="n">
        <v>340</v>
      </c>
      <c r="AC2676" t="n">
        <v>342</v>
      </c>
      <c r="AD2676" t="n">
        <v>3</v>
      </c>
      <c r="AE2676" t="n">
        <v>3</v>
      </c>
      <c r="AF2676" t="n">
        <v>24</v>
      </c>
      <c r="AG2676" t="n">
        <v>24</v>
      </c>
      <c r="AH2676" t="n">
        <v>9</v>
      </c>
      <c r="AI2676" t="n">
        <v>9</v>
      </c>
      <c r="AJ2676" t="n">
        <v>6</v>
      </c>
      <c r="AK2676" t="n">
        <v>6</v>
      </c>
      <c r="AL2676" t="n">
        <v>15</v>
      </c>
      <c r="AM2676" t="n">
        <v>15</v>
      </c>
      <c r="AN2676" t="n">
        <v>2</v>
      </c>
      <c r="AO2676" t="n">
        <v>2</v>
      </c>
      <c r="AP2676" t="n">
        <v>0</v>
      </c>
      <c r="AQ2676" t="n">
        <v>0</v>
      </c>
      <c r="AR2676" t="inlineStr">
        <is>
          <t>No</t>
        </is>
      </c>
      <c r="AS2676" t="inlineStr">
        <is>
          <t>Yes</t>
        </is>
      </c>
      <c r="AT2676">
        <f>HYPERLINK("http://catalog.hathitrust.org/Record/003088679","HathiTrust Record")</f>
        <v/>
      </c>
      <c r="AU2676">
        <f>HYPERLINK("https://creighton-primo.hosted.exlibrisgroup.com/primo-explore/search?tab=default_tab&amp;search_scope=EVERYTHING&amp;vid=01CRU&amp;lang=en_US&amp;offset=0&amp;query=any,contains,991002554659702656","Catalog Record")</f>
        <v/>
      </c>
      <c r="AV2676">
        <f>HYPERLINK("http://www.worldcat.org/oclc/33208137","WorldCat Record")</f>
        <v/>
      </c>
      <c r="AW2676" t="inlineStr">
        <is>
          <t>37403480:eng</t>
        </is>
      </c>
      <c r="AX2676" t="inlineStr">
        <is>
          <t>33208137</t>
        </is>
      </c>
      <c r="AY2676" t="inlineStr">
        <is>
          <t>991002554659702656</t>
        </is>
      </c>
      <c r="AZ2676" t="inlineStr">
        <is>
          <t>991002554659702656</t>
        </is>
      </c>
      <c r="BA2676" t="inlineStr">
        <is>
          <t>2263181640002656</t>
        </is>
      </c>
      <c r="BB2676" t="inlineStr">
        <is>
          <t>BOOK</t>
        </is>
      </c>
      <c r="BD2676" t="inlineStr">
        <is>
          <t>9780838753095</t>
        </is>
      </c>
      <c r="BE2676" t="inlineStr">
        <is>
          <t>32285002750684</t>
        </is>
      </c>
      <c r="BF2676" t="inlineStr">
        <is>
          <t>893323076</t>
        </is>
      </c>
    </row>
    <row r="2677">
      <c r="A2677" t="inlineStr">
        <is>
          <t>No</t>
        </is>
      </c>
      <c r="B2677" t="inlineStr">
        <is>
          <t>CURAL</t>
        </is>
      </c>
      <c r="C2677" t="inlineStr">
        <is>
          <t>SHELVES</t>
        </is>
      </c>
      <c r="D2677" t="inlineStr">
        <is>
          <t>PR5892.R4 W47 2001</t>
        </is>
      </c>
      <c r="E2677" t="inlineStr">
        <is>
          <t>0                      PR 5892000R  4                  W  47          2001</t>
        </is>
      </c>
      <c r="F2677" t="inlineStr">
        <is>
          <t>Wordsworth's Biblical ghosts / Deeanne Westbrook.</t>
        </is>
      </c>
      <c r="H2677" t="inlineStr">
        <is>
          <t>No</t>
        </is>
      </c>
      <c r="I2677" t="inlineStr">
        <is>
          <t>1</t>
        </is>
      </c>
      <c r="J2677" t="inlineStr">
        <is>
          <t>No</t>
        </is>
      </c>
      <c r="K2677" t="inlineStr">
        <is>
          <t>No</t>
        </is>
      </c>
      <c r="L2677" t="inlineStr">
        <is>
          <t>0</t>
        </is>
      </c>
      <c r="M2677" t="inlineStr">
        <is>
          <t>Westbrook, Deeanne.</t>
        </is>
      </c>
      <c r="N2677" t="inlineStr">
        <is>
          <t>New York : Palgrave, c2001.</t>
        </is>
      </c>
      <c r="O2677" t="inlineStr">
        <is>
          <t>2001</t>
        </is>
      </c>
      <c r="P2677" t="inlineStr">
        <is>
          <t>1st ed.</t>
        </is>
      </c>
      <c r="Q2677" t="inlineStr">
        <is>
          <t>eng</t>
        </is>
      </c>
      <c r="R2677" t="inlineStr">
        <is>
          <t>nyu</t>
        </is>
      </c>
      <c r="T2677" t="inlineStr">
        <is>
          <t xml:space="preserve">PR </t>
        </is>
      </c>
      <c r="U2677" t="n">
        <v>1</v>
      </c>
      <c r="V2677" t="n">
        <v>1</v>
      </c>
      <c r="W2677" t="inlineStr">
        <is>
          <t>2002-04-29</t>
        </is>
      </c>
      <c r="X2677" t="inlineStr">
        <is>
          <t>2002-04-29</t>
        </is>
      </c>
      <c r="Y2677" t="inlineStr">
        <is>
          <t>2002-04-17</t>
        </is>
      </c>
      <c r="Z2677" t="inlineStr">
        <is>
          <t>2002-04-17</t>
        </is>
      </c>
      <c r="AA2677" t="n">
        <v>316</v>
      </c>
      <c r="AB2677" t="n">
        <v>263</v>
      </c>
      <c r="AC2677" t="n">
        <v>301</v>
      </c>
      <c r="AD2677" t="n">
        <v>3</v>
      </c>
      <c r="AE2677" t="n">
        <v>3</v>
      </c>
      <c r="AF2677" t="n">
        <v>17</v>
      </c>
      <c r="AG2677" t="n">
        <v>17</v>
      </c>
      <c r="AH2677" t="n">
        <v>5</v>
      </c>
      <c r="AI2677" t="n">
        <v>5</v>
      </c>
      <c r="AJ2677" t="n">
        <v>5</v>
      </c>
      <c r="AK2677" t="n">
        <v>5</v>
      </c>
      <c r="AL2677" t="n">
        <v>9</v>
      </c>
      <c r="AM2677" t="n">
        <v>9</v>
      </c>
      <c r="AN2677" t="n">
        <v>2</v>
      </c>
      <c r="AO2677" t="n">
        <v>2</v>
      </c>
      <c r="AP2677" t="n">
        <v>0</v>
      </c>
      <c r="AQ2677" t="n">
        <v>0</v>
      </c>
      <c r="AR2677" t="inlineStr">
        <is>
          <t>No</t>
        </is>
      </c>
      <c r="AS2677" t="inlineStr">
        <is>
          <t>No</t>
        </is>
      </c>
      <c r="AU2677">
        <f>HYPERLINK("https://creighton-primo.hosted.exlibrisgroup.com/primo-explore/search?tab=default_tab&amp;search_scope=EVERYTHING&amp;vid=01CRU&amp;lang=en_US&amp;offset=0&amp;query=any,contains,991003749779702656","Catalog Record")</f>
        <v/>
      </c>
      <c r="AV2677">
        <f>HYPERLINK("http://www.worldcat.org/oclc/46359629","WorldCat Record")</f>
        <v/>
      </c>
      <c r="AW2677" t="inlineStr">
        <is>
          <t>35275172:eng</t>
        </is>
      </c>
      <c r="AX2677" t="inlineStr">
        <is>
          <t>46359629</t>
        </is>
      </c>
      <c r="AY2677" t="inlineStr">
        <is>
          <t>991003749779702656</t>
        </is>
      </c>
      <c r="AZ2677" t="inlineStr">
        <is>
          <t>991003749779702656</t>
        </is>
      </c>
      <c r="BA2677" t="inlineStr">
        <is>
          <t>2261267430002656</t>
        </is>
      </c>
      <c r="BB2677" t="inlineStr">
        <is>
          <t>BOOK</t>
        </is>
      </c>
      <c r="BD2677" t="inlineStr">
        <is>
          <t>9780312240141</t>
        </is>
      </c>
      <c r="BE2677" t="inlineStr">
        <is>
          <t>32285004480736</t>
        </is>
      </c>
      <c r="BF2677" t="inlineStr">
        <is>
          <t>893410638</t>
        </is>
      </c>
    </row>
    <row r="2678">
      <c r="A2678" t="inlineStr">
        <is>
          <t>No</t>
        </is>
      </c>
      <c r="B2678" t="inlineStr">
        <is>
          <t>CURAL</t>
        </is>
      </c>
      <c r="C2678" t="inlineStr">
        <is>
          <t>SHELVES</t>
        </is>
      </c>
      <c r="D2678" t="inlineStr">
        <is>
          <t>PR5892.R63 A34 1987</t>
        </is>
      </c>
      <c r="E2678" t="inlineStr">
        <is>
          <t>0                      PR 5892000R  63                 A  34          1987</t>
        </is>
      </c>
      <c r="F2678" t="inlineStr">
        <is>
          <t>The Age of William Wordsworth : critical essays on the romantic tradition / edited by Kenneth R. Johnston and Gene W. Ruoff.</t>
        </is>
      </c>
      <c r="H2678" t="inlineStr">
        <is>
          <t>No</t>
        </is>
      </c>
      <c r="I2678" t="inlineStr">
        <is>
          <t>1</t>
        </is>
      </c>
      <c r="J2678" t="inlineStr">
        <is>
          <t>No</t>
        </is>
      </c>
      <c r="K2678" t="inlineStr">
        <is>
          <t>No</t>
        </is>
      </c>
      <c r="L2678" t="inlineStr">
        <is>
          <t>0</t>
        </is>
      </c>
      <c r="N2678" t="inlineStr">
        <is>
          <t>New Brunswick : Rutgers University Press, c1987.</t>
        </is>
      </c>
      <c r="O2678" t="inlineStr">
        <is>
          <t>1987</t>
        </is>
      </c>
      <c r="Q2678" t="inlineStr">
        <is>
          <t>eng</t>
        </is>
      </c>
      <c r="R2678" t="inlineStr">
        <is>
          <t>nju</t>
        </is>
      </c>
      <c r="T2678" t="inlineStr">
        <is>
          <t xml:space="preserve">PR </t>
        </is>
      </c>
      <c r="U2678" t="n">
        <v>12</v>
      </c>
      <c r="V2678" t="n">
        <v>12</v>
      </c>
      <c r="W2678" t="inlineStr">
        <is>
          <t>2005-02-20</t>
        </is>
      </c>
      <c r="X2678" t="inlineStr">
        <is>
          <t>2005-02-20</t>
        </is>
      </c>
      <c r="Y2678" t="inlineStr">
        <is>
          <t>1992-02-25</t>
        </is>
      </c>
      <c r="Z2678" t="inlineStr">
        <is>
          <t>1992-02-25</t>
        </is>
      </c>
      <c r="AA2678" t="n">
        <v>714</v>
      </c>
      <c r="AB2678" t="n">
        <v>600</v>
      </c>
      <c r="AC2678" t="n">
        <v>603</v>
      </c>
      <c r="AD2678" t="n">
        <v>5</v>
      </c>
      <c r="AE2678" t="n">
        <v>5</v>
      </c>
      <c r="AF2678" t="n">
        <v>27</v>
      </c>
      <c r="AG2678" t="n">
        <v>27</v>
      </c>
      <c r="AH2678" t="n">
        <v>12</v>
      </c>
      <c r="AI2678" t="n">
        <v>12</v>
      </c>
      <c r="AJ2678" t="n">
        <v>7</v>
      </c>
      <c r="AK2678" t="n">
        <v>7</v>
      </c>
      <c r="AL2678" t="n">
        <v>14</v>
      </c>
      <c r="AM2678" t="n">
        <v>14</v>
      </c>
      <c r="AN2678" t="n">
        <v>4</v>
      </c>
      <c r="AO2678" t="n">
        <v>4</v>
      </c>
      <c r="AP2678" t="n">
        <v>0</v>
      </c>
      <c r="AQ2678" t="n">
        <v>0</v>
      </c>
      <c r="AR2678" t="inlineStr">
        <is>
          <t>No</t>
        </is>
      </c>
      <c r="AS2678" t="inlineStr">
        <is>
          <t>Yes</t>
        </is>
      </c>
      <c r="AT2678">
        <f>HYPERLINK("http://catalog.hathitrust.org/Record/000883830","HathiTrust Record")</f>
        <v/>
      </c>
      <c r="AU2678">
        <f>HYPERLINK("https://creighton-primo.hosted.exlibrisgroup.com/primo-explore/search?tab=default_tab&amp;search_scope=EVERYTHING&amp;vid=01CRU&amp;lang=en_US&amp;offset=0&amp;query=any,contains,991000990829702656","Catalog Record")</f>
        <v/>
      </c>
      <c r="AV2678">
        <f>HYPERLINK("http://www.worldcat.org/oclc/15107610","WorldCat Record")</f>
        <v/>
      </c>
      <c r="AW2678" t="inlineStr">
        <is>
          <t>836703538:eng</t>
        </is>
      </c>
      <c r="AX2678" t="inlineStr">
        <is>
          <t>15107610</t>
        </is>
      </c>
      <c r="AY2678" t="inlineStr">
        <is>
          <t>991000990829702656</t>
        </is>
      </c>
      <c r="AZ2678" t="inlineStr">
        <is>
          <t>991000990829702656</t>
        </is>
      </c>
      <c r="BA2678" t="inlineStr">
        <is>
          <t>2266589740002656</t>
        </is>
      </c>
      <c r="BB2678" t="inlineStr">
        <is>
          <t>BOOK</t>
        </is>
      </c>
      <c r="BD2678" t="inlineStr">
        <is>
          <t>9780813512440</t>
        </is>
      </c>
      <c r="BE2678" t="inlineStr">
        <is>
          <t>32285000982750</t>
        </is>
      </c>
      <c r="BF2678" t="inlineStr">
        <is>
          <t>893346151</t>
        </is>
      </c>
    </row>
    <row r="2679">
      <c r="A2679" t="inlineStr">
        <is>
          <t>No</t>
        </is>
      </c>
      <c r="B2679" t="inlineStr">
        <is>
          <t>CURAL</t>
        </is>
      </c>
      <c r="C2679" t="inlineStr">
        <is>
          <t>SHELVES</t>
        </is>
      </c>
      <c r="D2679" t="inlineStr">
        <is>
          <t>PR5892.S58 L35 1995</t>
        </is>
      </c>
      <c r="E2679" t="inlineStr">
        <is>
          <t>0                      PR 5892000S  58                 L  35          1995</t>
        </is>
      </c>
      <c r="F2679" t="inlineStr">
        <is>
          <t>Romantic vagrancy : Wordsworth and the simulation of freedom / Celeste Langan.</t>
        </is>
      </c>
      <c r="H2679" t="inlineStr">
        <is>
          <t>No</t>
        </is>
      </c>
      <c r="I2679" t="inlineStr">
        <is>
          <t>1</t>
        </is>
      </c>
      <c r="J2679" t="inlineStr">
        <is>
          <t>No</t>
        </is>
      </c>
      <c r="K2679" t="inlineStr">
        <is>
          <t>No</t>
        </is>
      </c>
      <c r="L2679" t="inlineStr">
        <is>
          <t>0</t>
        </is>
      </c>
      <c r="M2679" t="inlineStr">
        <is>
          <t>Langan, Celeste.</t>
        </is>
      </c>
      <c r="N2679" t="inlineStr">
        <is>
          <t>Cambridge [England] ; New York : Cambridge University Press, 1995.</t>
        </is>
      </c>
      <c r="O2679" t="inlineStr">
        <is>
          <t>1995</t>
        </is>
      </c>
      <c r="Q2679" t="inlineStr">
        <is>
          <t>eng</t>
        </is>
      </c>
      <c r="R2679" t="inlineStr">
        <is>
          <t>enk</t>
        </is>
      </c>
      <c r="S2679" t="inlineStr">
        <is>
          <t>Cambridge studies in Romanticism</t>
        </is>
      </c>
      <c r="T2679" t="inlineStr">
        <is>
          <t xml:space="preserve">PR </t>
        </is>
      </c>
      <c r="U2679" t="n">
        <v>3</v>
      </c>
      <c r="V2679" t="n">
        <v>3</v>
      </c>
      <c r="W2679" t="inlineStr">
        <is>
          <t>2000-11-27</t>
        </is>
      </c>
      <c r="X2679" t="inlineStr">
        <is>
          <t>2000-11-27</t>
        </is>
      </c>
      <c r="Y2679" t="inlineStr">
        <is>
          <t>1997-01-23</t>
        </is>
      </c>
      <c r="Z2679" t="inlineStr">
        <is>
          <t>1997-01-23</t>
        </is>
      </c>
      <c r="AA2679" t="n">
        <v>398</v>
      </c>
      <c r="AB2679" t="n">
        <v>261</v>
      </c>
      <c r="AC2679" t="n">
        <v>269</v>
      </c>
      <c r="AD2679" t="n">
        <v>3</v>
      </c>
      <c r="AE2679" t="n">
        <v>3</v>
      </c>
      <c r="AF2679" t="n">
        <v>18</v>
      </c>
      <c r="AG2679" t="n">
        <v>18</v>
      </c>
      <c r="AH2679" t="n">
        <v>3</v>
      </c>
      <c r="AI2679" t="n">
        <v>3</v>
      </c>
      <c r="AJ2679" t="n">
        <v>6</v>
      </c>
      <c r="AK2679" t="n">
        <v>6</v>
      </c>
      <c r="AL2679" t="n">
        <v>12</v>
      </c>
      <c r="AM2679" t="n">
        <v>12</v>
      </c>
      <c r="AN2679" t="n">
        <v>2</v>
      </c>
      <c r="AO2679" t="n">
        <v>2</v>
      </c>
      <c r="AP2679" t="n">
        <v>0</v>
      </c>
      <c r="AQ2679" t="n">
        <v>0</v>
      </c>
      <c r="AR2679" t="inlineStr">
        <is>
          <t>No</t>
        </is>
      </c>
      <c r="AS2679" t="inlineStr">
        <is>
          <t>No</t>
        </is>
      </c>
      <c r="AU2679">
        <f>HYPERLINK("https://creighton-primo.hosted.exlibrisgroup.com/primo-explore/search?tab=default_tab&amp;search_scope=EVERYTHING&amp;vid=01CRU&amp;lang=en_US&amp;offset=0&amp;query=any,contains,991002442589702656","Catalog Record")</f>
        <v/>
      </c>
      <c r="AV2679">
        <f>HYPERLINK("http://www.worldcat.org/oclc/31865575","WorldCat Record")</f>
        <v/>
      </c>
      <c r="AW2679" t="inlineStr">
        <is>
          <t>807217484:eng</t>
        </is>
      </c>
      <c r="AX2679" t="inlineStr">
        <is>
          <t>31865575</t>
        </is>
      </c>
      <c r="AY2679" t="inlineStr">
        <is>
          <t>991002442589702656</t>
        </is>
      </c>
      <c r="AZ2679" t="inlineStr">
        <is>
          <t>991002442589702656</t>
        </is>
      </c>
      <c r="BA2679" t="inlineStr">
        <is>
          <t>2259325660002656</t>
        </is>
      </c>
      <c r="BB2679" t="inlineStr">
        <is>
          <t>BOOK</t>
        </is>
      </c>
      <c r="BD2679" t="inlineStr">
        <is>
          <t>9780521475075</t>
        </is>
      </c>
      <c r="BE2679" t="inlineStr">
        <is>
          <t>32285002410677</t>
        </is>
      </c>
      <c r="BF2679" t="inlineStr">
        <is>
          <t>893529996</t>
        </is>
      </c>
    </row>
    <row r="2680">
      <c r="A2680" t="inlineStr">
        <is>
          <t>No</t>
        </is>
      </c>
      <c r="B2680" t="inlineStr">
        <is>
          <t>CURAL</t>
        </is>
      </c>
      <c r="C2680" t="inlineStr">
        <is>
          <t>SHELVES</t>
        </is>
      </c>
      <c r="D2680" t="inlineStr">
        <is>
          <t>PR5892.S93 A94 1980</t>
        </is>
      </c>
      <c r="E2680" t="inlineStr">
        <is>
          <t>0                      PR 5892000S  93                 A  94          1980</t>
        </is>
      </c>
      <c r="F2680" t="inlineStr">
        <is>
          <t>Wordsworth and the poetry of human suffering / James H. Averill.</t>
        </is>
      </c>
      <c r="H2680" t="inlineStr">
        <is>
          <t>No</t>
        </is>
      </c>
      <c r="I2680" t="inlineStr">
        <is>
          <t>1</t>
        </is>
      </c>
      <c r="J2680" t="inlineStr">
        <is>
          <t>No</t>
        </is>
      </c>
      <c r="K2680" t="inlineStr">
        <is>
          <t>No</t>
        </is>
      </c>
      <c r="L2680" t="inlineStr">
        <is>
          <t>0</t>
        </is>
      </c>
      <c r="M2680" t="inlineStr">
        <is>
          <t>Averill, James H., 1947-</t>
        </is>
      </c>
      <c r="N2680" t="inlineStr">
        <is>
          <t>Ithaca, N.Y. : Cornell University Press, 1980</t>
        </is>
      </c>
      <c r="O2680" t="inlineStr">
        <is>
          <t>1980</t>
        </is>
      </c>
      <c r="Q2680" t="inlineStr">
        <is>
          <t>eng</t>
        </is>
      </c>
      <c r="R2680" t="inlineStr">
        <is>
          <t>nyu</t>
        </is>
      </c>
      <c r="T2680" t="inlineStr">
        <is>
          <t xml:space="preserve">PR </t>
        </is>
      </c>
      <c r="U2680" t="n">
        <v>7</v>
      </c>
      <c r="V2680" t="n">
        <v>7</v>
      </c>
      <c r="W2680" t="inlineStr">
        <is>
          <t>2010-10-18</t>
        </is>
      </c>
      <c r="X2680" t="inlineStr">
        <is>
          <t>2010-10-18</t>
        </is>
      </c>
      <c r="Y2680" t="inlineStr">
        <is>
          <t>1992-05-22</t>
        </is>
      </c>
      <c r="Z2680" t="inlineStr">
        <is>
          <t>1992-05-22</t>
        </is>
      </c>
      <c r="AA2680" t="n">
        <v>716</v>
      </c>
      <c r="AB2680" t="n">
        <v>570</v>
      </c>
      <c r="AC2680" t="n">
        <v>720</v>
      </c>
      <c r="AD2680" t="n">
        <v>5</v>
      </c>
      <c r="AE2680" t="n">
        <v>5</v>
      </c>
      <c r="AF2680" t="n">
        <v>33</v>
      </c>
      <c r="AG2680" t="n">
        <v>39</v>
      </c>
      <c r="AH2680" t="n">
        <v>14</v>
      </c>
      <c r="AI2680" t="n">
        <v>18</v>
      </c>
      <c r="AJ2680" t="n">
        <v>9</v>
      </c>
      <c r="AK2680" t="n">
        <v>9</v>
      </c>
      <c r="AL2680" t="n">
        <v>14</v>
      </c>
      <c r="AM2680" t="n">
        <v>17</v>
      </c>
      <c r="AN2680" t="n">
        <v>4</v>
      </c>
      <c r="AO2680" t="n">
        <v>4</v>
      </c>
      <c r="AP2680" t="n">
        <v>0</v>
      </c>
      <c r="AQ2680" t="n">
        <v>0</v>
      </c>
      <c r="AR2680" t="inlineStr">
        <is>
          <t>No</t>
        </is>
      </c>
      <c r="AS2680" t="inlineStr">
        <is>
          <t>No</t>
        </is>
      </c>
      <c r="AU2680">
        <f>HYPERLINK("https://creighton-primo.hosted.exlibrisgroup.com/primo-explore/search?tab=default_tab&amp;search_scope=EVERYTHING&amp;vid=01CRU&amp;lang=en_US&amp;offset=0&amp;query=any,contains,991004835479702656","Catalog Record")</f>
        <v/>
      </c>
      <c r="AV2680">
        <f>HYPERLINK("http://www.worldcat.org/oclc/5447604","WorldCat Record")</f>
        <v/>
      </c>
      <c r="AW2680" t="inlineStr">
        <is>
          <t>450499:eng</t>
        </is>
      </c>
      <c r="AX2680" t="inlineStr">
        <is>
          <t>5447604</t>
        </is>
      </c>
      <c r="AY2680" t="inlineStr">
        <is>
          <t>991004835479702656</t>
        </is>
      </c>
      <c r="AZ2680" t="inlineStr">
        <is>
          <t>991004835479702656</t>
        </is>
      </c>
      <c r="BA2680" t="inlineStr">
        <is>
          <t>2259190090002656</t>
        </is>
      </c>
      <c r="BB2680" t="inlineStr">
        <is>
          <t>BOOK</t>
        </is>
      </c>
      <c r="BD2680" t="inlineStr">
        <is>
          <t>9780801412493</t>
        </is>
      </c>
      <c r="BE2680" t="inlineStr">
        <is>
          <t>32285001118115</t>
        </is>
      </c>
      <c r="BF2680" t="inlineStr">
        <is>
          <t>893412001</t>
        </is>
      </c>
    </row>
    <row r="2681">
      <c r="A2681" t="inlineStr">
        <is>
          <t>No</t>
        </is>
      </c>
      <c r="B2681" t="inlineStr">
        <is>
          <t>CURAL</t>
        </is>
      </c>
      <c r="C2681" t="inlineStr">
        <is>
          <t>SHELVES</t>
        </is>
      </c>
      <c r="D2681" t="inlineStr">
        <is>
          <t>PR5899.Y6 Z62 1974</t>
        </is>
      </c>
      <c r="E2681" t="inlineStr">
        <is>
          <t>0                      PR 5899000Y  6                  Z  62          1974</t>
        </is>
      </c>
      <c r="F2681" t="inlineStr">
        <is>
          <t>John Butler Yeats / Douglas N. Archibald.</t>
        </is>
      </c>
      <c r="H2681" t="inlineStr">
        <is>
          <t>No</t>
        </is>
      </c>
      <c r="I2681" t="inlineStr">
        <is>
          <t>1</t>
        </is>
      </c>
      <c r="J2681" t="inlineStr">
        <is>
          <t>No</t>
        </is>
      </c>
      <c r="K2681" t="inlineStr">
        <is>
          <t>No</t>
        </is>
      </c>
      <c r="L2681" t="inlineStr">
        <is>
          <t>0</t>
        </is>
      </c>
      <c r="M2681" t="inlineStr">
        <is>
          <t>Archibald, Douglas N.</t>
        </is>
      </c>
      <c r="N2681" t="inlineStr">
        <is>
          <t>Lewisburg, [Pa.] : Bucknell University Press, [1974]</t>
        </is>
      </c>
      <c r="O2681" t="inlineStr">
        <is>
          <t>1974</t>
        </is>
      </c>
      <c r="Q2681" t="inlineStr">
        <is>
          <t>eng</t>
        </is>
      </c>
      <c r="R2681" t="inlineStr">
        <is>
          <t>pau</t>
        </is>
      </c>
      <c r="S2681" t="inlineStr">
        <is>
          <t>The Irish writers series</t>
        </is>
      </c>
      <c r="T2681" t="inlineStr">
        <is>
          <t xml:space="preserve">PR </t>
        </is>
      </c>
      <c r="U2681" t="n">
        <v>2</v>
      </c>
      <c r="V2681" t="n">
        <v>2</v>
      </c>
      <c r="W2681" t="inlineStr">
        <is>
          <t>1995-05-01</t>
        </is>
      </c>
      <c r="X2681" t="inlineStr">
        <is>
          <t>1995-05-01</t>
        </is>
      </c>
      <c r="Y2681" t="inlineStr">
        <is>
          <t>1992-06-23</t>
        </is>
      </c>
      <c r="Z2681" t="inlineStr">
        <is>
          <t>1992-06-23</t>
        </is>
      </c>
      <c r="AA2681" t="n">
        <v>497</v>
      </c>
      <c r="AB2681" t="n">
        <v>408</v>
      </c>
      <c r="AC2681" t="n">
        <v>414</v>
      </c>
      <c r="AD2681" t="n">
        <v>3</v>
      </c>
      <c r="AE2681" t="n">
        <v>3</v>
      </c>
      <c r="AF2681" t="n">
        <v>27</v>
      </c>
      <c r="AG2681" t="n">
        <v>27</v>
      </c>
      <c r="AH2681" t="n">
        <v>11</v>
      </c>
      <c r="AI2681" t="n">
        <v>11</v>
      </c>
      <c r="AJ2681" t="n">
        <v>9</v>
      </c>
      <c r="AK2681" t="n">
        <v>9</v>
      </c>
      <c r="AL2681" t="n">
        <v>12</v>
      </c>
      <c r="AM2681" t="n">
        <v>12</v>
      </c>
      <c r="AN2681" t="n">
        <v>2</v>
      </c>
      <c r="AO2681" t="n">
        <v>2</v>
      </c>
      <c r="AP2681" t="n">
        <v>0</v>
      </c>
      <c r="AQ2681" t="n">
        <v>0</v>
      </c>
      <c r="AR2681" t="inlineStr">
        <is>
          <t>No</t>
        </is>
      </c>
      <c r="AS2681" t="inlineStr">
        <is>
          <t>Yes</t>
        </is>
      </c>
      <c r="AT2681">
        <f>HYPERLINK("http://catalog.hathitrust.org/Record/001195033","HathiTrust Record")</f>
        <v/>
      </c>
      <c r="AU2681">
        <f>HYPERLINK("https://creighton-primo.hosted.exlibrisgroup.com/primo-explore/search?tab=default_tab&amp;search_scope=EVERYTHING&amp;vid=01CRU&amp;lang=en_US&amp;offset=0&amp;query=any,contains,991003282339702656","Catalog Record")</f>
        <v/>
      </c>
      <c r="AV2681">
        <f>HYPERLINK("http://www.worldcat.org/oclc/804807","WorldCat Record")</f>
        <v/>
      </c>
      <c r="AW2681" t="inlineStr">
        <is>
          <t>1621073:eng</t>
        </is>
      </c>
      <c r="AX2681" t="inlineStr">
        <is>
          <t>804807</t>
        </is>
      </c>
      <c r="AY2681" t="inlineStr">
        <is>
          <t>991003282339702656</t>
        </is>
      </c>
      <c r="AZ2681" t="inlineStr">
        <is>
          <t>991003282339702656</t>
        </is>
      </c>
      <c r="BA2681" t="inlineStr">
        <is>
          <t>2269402360002656</t>
        </is>
      </c>
      <c r="BB2681" t="inlineStr">
        <is>
          <t>BOOK</t>
        </is>
      </c>
      <c r="BD2681" t="inlineStr">
        <is>
          <t>9780838777596</t>
        </is>
      </c>
      <c r="BE2681" t="inlineStr">
        <is>
          <t>32285001133221</t>
        </is>
      </c>
      <c r="BF2681" t="inlineStr">
        <is>
          <t>893627523</t>
        </is>
      </c>
    </row>
    <row r="2682">
      <c r="A2682" t="inlineStr">
        <is>
          <t>No</t>
        </is>
      </c>
      <c r="B2682" t="inlineStr">
        <is>
          <t>CURAL</t>
        </is>
      </c>
      <c r="C2682" t="inlineStr">
        <is>
          <t>SHELVES</t>
        </is>
      </c>
      <c r="D2682" t="inlineStr">
        <is>
          <t>PR590 .B39 1963</t>
        </is>
      </c>
      <c r="E2682" t="inlineStr">
        <is>
          <t>0                      PR 0590000B  39          1963</t>
        </is>
      </c>
      <c r="F2682" t="inlineStr">
        <is>
          <t>The visionary company : a reading of English romantic Poetry.</t>
        </is>
      </c>
      <c r="H2682" t="inlineStr">
        <is>
          <t>No</t>
        </is>
      </c>
      <c r="I2682" t="inlineStr">
        <is>
          <t>1</t>
        </is>
      </c>
      <c r="J2682" t="inlineStr">
        <is>
          <t>No</t>
        </is>
      </c>
      <c r="K2682" t="inlineStr">
        <is>
          <t>No</t>
        </is>
      </c>
      <c r="L2682" t="inlineStr">
        <is>
          <t>0</t>
        </is>
      </c>
      <c r="M2682" t="inlineStr">
        <is>
          <t>Bloom, Harold.</t>
        </is>
      </c>
      <c r="N2682" t="inlineStr">
        <is>
          <t>Garden City, N.Y. : Doubleday, [1963, c1961]</t>
        </is>
      </c>
      <c r="O2682" t="inlineStr">
        <is>
          <t>1963</t>
        </is>
      </c>
      <c r="P2682" t="inlineStr">
        <is>
          <t>[Anchor Books ed.]</t>
        </is>
      </c>
      <c r="Q2682" t="inlineStr">
        <is>
          <t>eng</t>
        </is>
      </c>
      <c r="R2682" t="inlineStr">
        <is>
          <t>nyu</t>
        </is>
      </c>
      <c r="S2682" t="inlineStr">
        <is>
          <t>Anchor Books</t>
        </is>
      </c>
      <c r="T2682" t="inlineStr">
        <is>
          <t xml:space="preserve">PR </t>
        </is>
      </c>
      <c r="U2682" t="n">
        <v>2</v>
      </c>
      <c r="V2682" t="n">
        <v>2</v>
      </c>
      <c r="W2682" t="inlineStr">
        <is>
          <t>2008-06-18</t>
        </is>
      </c>
      <c r="X2682" t="inlineStr">
        <is>
          <t>2008-06-18</t>
        </is>
      </c>
      <c r="Y2682" t="inlineStr">
        <is>
          <t>1993-07-01</t>
        </is>
      </c>
      <c r="Z2682" t="inlineStr">
        <is>
          <t>1993-07-01</t>
        </is>
      </c>
      <c r="AA2682" t="n">
        <v>158</v>
      </c>
      <c r="AB2682" t="n">
        <v>148</v>
      </c>
      <c r="AC2682" t="n">
        <v>1444</v>
      </c>
      <c r="AD2682" t="n">
        <v>2</v>
      </c>
      <c r="AE2682" t="n">
        <v>11</v>
      </c>
      <c r="AF2682" t="n">
        <v>9</v>
      </c>
      <c r="AG2682" t="n">
        <v>58</v>
      </c>
      <c r="AH2682" t="n">
        <v>4</v>
      </c>
      <c r="AI2682" t="n">
        <v>24</v>
      </c>
      <c r="AJ2682" t="n">
        <v>1</v>
      </c>
      <c r="AK2682" t="n">
        <v>9</v>
      </c>
      <c r="AL2682" t="n">
        <v>3</v>
      </c>
      <c r="AM2682" t="n">
        <v>28</v>
      </c>
      <c r="AN2682" t="n">
        <v>1</v>
      </c>
      <c r="AO2682" t="n">
        <v>10</v>
      </c>
      <c r="AP2682" t="n">
        <v>0</v>
      </c>
      <c r="AQ2682" t="n">
        <v>0</v>
      </c>
      <c r="AR2682" t="inlineStr">
        <is>
          <t>No</t>
        </is>
      </c>
      <c r="AS2682" t="inlineStr">
        <is>
          <t>No</t>
        </is>
      </c>
      <c r="AU2682">
        <f>HYPERLINK("https://creighton-primo.hosted.exlibrisgroup.com/primo-explore/search?tab=default_tab&amp;search_scope=EVERYTHING&amp;vid=01CRU&amp;lang=en_US&amp;offset=0&amp;query=any,contains,991003369129702656","Catalog Record")</f>
        <v/>
      </c>
      <c r="AV2682">
        <f>HYPERLINK("http://www.worldcat.org/oclc/904818","WorldCat Record")</f>
        <v/>
      </c>
      <c r="AW2682" t="inlineStr">
        <is>
          <t>450869:eng</t>
        </is>
      </c>
      <c r="AX2682" t="inlineStr">
        <is>
          <t>904818</t>
        </is>
      </c>
      <c r="AY2682" t="inlineStr">
        <is>
          <t>991003369129702656</t>
        </is>
      </c>
      <c r="AZ2682" t="inlineStr">
        <is>
          <t>991003369129702656</t>
        </is>
      </c>
      <c r="BA2682" t="inlineStr">
        <is>
          <t>2263724360002656</t>
        </is>
      </c>
      <c r="BB2682" t="inlineStr">
        <is>
          <t>BOOK</t>
        </is>
      </c>
      <c r="BE2682" t="inlineStr">
        <is>
          <t>32285001699445</t>
        </is>
      </c>
      <c r="BF2682" t="inlineStr">
        <is>
          <t>893598533</t>
        </is>
      </c>
    </row>
    <row r="2683">
      <c r="A2683" t="inlineStr">
        <is>
          <t>No</t>
        </is>
      </c>
      <c r="B2683" t="inlineStr">
        <is>
          <t>CURAL</t>
        </is>
      </c>
      <c r="C2683" t="inlineStr">
        <is>
          <t>SHELVES</t>
        </is>
      </c>
      <c r="D2683" t="inlineStr">
        <is>
          <t>PR590 .G5</t>
        </is>
      </c>
      <c r="E2683" t="inlineStr">
        <is>
          <t>0                      PR 0590000G  5</t>
        </is>
      </c>
      <c r="F2683" t="inlineStr">
        <is>
          <t>Essays in the romantic poets, by Solomon Francis Gingerich...</t>
        </is>
      </c>
      <c r="H2683" t="inlineStr">
        <is>
          <t>No</t>
        </is>
      </c>
      <c r="I2683" t="inlineStr">
        <is>
          <t>1</t>
        </is>
      </c>
      <c r="J2683" t="inlineStr">
        <is>
          <t>No</t>
        </is>
      </c>
      <c r="K2683" t="inlineStr">
        <is>
          <t>No</t>
        </is>
      </c>
      <c r="L2683" t="inlineStr">
        <is>
          <t>0</t>
        </is>
      </c>
      <c r="M2683" t="inlineStr">
        <is>
          <t>Gingerich, Solomon Francis, 1875-</t>
        </is>
      </c>
      <c r="N2683" t="inlineStr">
        <is>
          <t>New York, Macmillan company, 1924.</t>
        </is>
      </c>
      <c r="O2683" t="inlineStr">
        <is>
          <t>1924</t>
        </is>
      </c>
      <c r="Q2683" t="inlineStr">
        <is>
          <t>eng</t>
        </is>
      </c>
      <c r="R2683" t="inlineStr">
        <is>
          <t>nyu</t>
        </is>
      </c>
      <c r="T2683" t="inlineStr">
        <is>
          <t xml:space="preserve">PR </t>
        </is>
      </c>
      <c r="U2683" t="n">
        <v>3</v>
      </c>
      <c r="V2683" t="n">
        <v>3</v>
      </c>
      <c r="W2683" t="inlineStr">
        <is>
          <t>2005-02-27</t>
        </is>
      </c>
      <c r="X2683" t="inlineStr">
        <is>
          <t>2005-02-27</t>
        </is>
      </c>
      <c r="Y2683" t="inlineStr">
        <is>
          <t>1997-09-04</t>
        </is>
      </c>
      <c r="Z2683" t="inlineStr">
        <is>
          <t>1997-09-04</t>
        </is>
      </c>
      <c r="AA2683" t="n">
        <v>320</v>
      </c>
      <c r="AB2683" t="n">
        <v>303</v>
      </c>
      <c r="AC2683" t="n">
        <v>648</v>
      </c>
      <c r="AD2683" t="n">
        <v>3</v>
      </c>
      <c r="AE2683" t="n">
        <v>6</v>
      </c>
      <c r="AF2683" t="n">
        <v>16</v>
      </c>
      <c r="AG2683" t="n">
        <v>35</v>
      </c>
      <c r="AH2683" t="n">
        <v>5</v>
      </c>
      <c r="AI2683" t="n">
        <v>13</v>
      </c>
      <c r="AJ2683" t="n">
        <v>1</v>
      </c>
      <c r="AK2683" t="n">
        <v>5</v>
      </c>
      <c r="AL2683" t="n">
        <v>9</v>
      </c>
      <c r="AM2683" t="n">
        <v>17</v>
      </c>
      <c r="AN2683" t="n">
        <v>2</v>
      </c>
      <c r="AO2683" t="n">
        <v>5</v>
      </c>
      <c r="AP2683" t="n">
        <v>0</v>
      </c>
      <c r="AQ2683" t="n">
        <v>0</v>
      </c>
      <c r="AR2683" t="inlineStr">
        <is>
          <t>Yes</t>
        </is>
      </c>
      <c r="AS2683" t="inlineStr">
        <is>
          <t>No</t>
        </is>
      </c>
      <c r="AT2683">
        <f>HYPERLINK("http://catalog.hathitrust.org/Record/001016526","HathiTrust Record")</f>
        <v/>
      </c>
      <c r="AU2683">
        <f>HYPERLINK("https://creighton-primo.hosted.exlibrisgroup.com/primo-explore/search?tab=default_tab&amp;search_scope=EVERYTHING&amp;vid=01CRU&amp;lang=en_US&amp;offset=0&amp;query=any,contains,991003001489702656","Catalog Record")</f>
        <v/>
      </c>
      <c r="AV2683">
        <f>HYPERLINK("http://www.worldcat.org/oclc/569172","WorldCat Record")</f>
        <v/>
      </c>
      <c r="AW2683" t="inlineStr">
        <is>
          <t>1224144:eng</t>
        </is>
      </c>
      <c r="AX2683" t="inlineStr">
        <is>
          <t>569172</t>
        </is>
      </c>
      <c r="AY2683" t="inlineStr">
        <is>
          <t>991003001489702656</t>
        </is>
      </c>
      <c r="AZ2683" t="inlineStr">
        <is>
          <t>991003001489702656</t>
        </is>
      </c>
      <c r="BA2683" t="inlineStr">
        <is>
          <t>2261498450002656</t>
        </is>
      </c>
      <c r="BB2683" t="inlineStr">
        <is>
          <t>BOOK</t>
        </is>
      </c>
      <c r="BE2683" t="inlineStr">
        <is>
          <t>32285003154621</t>
        </is>
      </c>
      <c r="BF2683" t="inlineStr">
        <is>
          <t>893592068</t>
        </is>
      </c>
    </row>
    <row r="2684">
      <c r="A2684" t="inlineStr">
        <is>
          <t>No</t>
        </is>
      </c>
      <c r="B2684" t="inlineStr">
        <is>
          <t>CURAL</t>
        </is>
      </c>
      <c r="C2684" t="inlineStr">
        <is>
          <t>SHELVES</t>
        </is>
      </c>
      <c r="D2684" t="inlineStr">
        <is>
          <t>PR590 .H6 1966</t>
        </is>
      </c>
      <c r="E2684" t="inlineStr">
        <is>
          <t>0                      PR 0590000H  6           1966</t>
        </is>
      </c>
      <c r="F2684" t="inlineStr">
        <is>
          <t>The English Romantic poets &amp; essayists; a review of research and criticism.</t>
        </is>
      </c>
      <c r="H2684" t="inlineStr">
        <is>
          <t>No</t>
        </is>
      </c>
      <c r="I2684" t="inlineStr">
        <is>
          <t>1</t>
        </is>
      </c>
      <c r="J2684" t="inlineStr">
        <is>
          <t>No</t>
        </is>
      </c>
      <c r="K2684" t="inlineStr">
        <is>
          <t>No</t>
        </is>
      </c>
      <c r="L2684" t="inlineStr">
        <is>
          <t>0</t>
        </is>
      </c>
      <c r="M2684" t="inlineStr">
        <is>
          <t>Houtchens, Carolyn Washburn, editor.</t>
        </is>
      </c>
      <c r="N2684" t="inlineStr">
        <is>
          <t>[New York] Published for the Modern Language Association of America by New York University Press, 1966.</t>
        </is>
      </c>
      <c r="O2684" t="inlineStr">
        <is>
          <t>1966</t>
        </is>
      </c>
      <c r="P2684" t="inlineStr">
        <is>
          <t>Rev. ed. Edited by Carolyn Washburn Houtchens [and] Lawrence Huston Houtchens.</t>
        </is>
      </c>
      <c r="Q2684" t="inlineStr">
        <is>
          <t>eng</t>
        </is>
      </c>
      <c r="R2684" t="inlineStr">
        <is>
          <t>nyu</t>
        </is>
      </c>
      <c r="S2684" t="inlineStr">
        <is>
          <t>Revolving fund series ; no. 21</t>
        </is>
      </c>
      <c r="T2684" t="inlineStr">
        <is>
          <t xml:space="preserve">PR </t>
        </is>
      </c>
      <c r="U2684" t="n">
        <v>0</v>
      </c>
      <c r="V2684" t="n">
        <v>0</v>
      </c>
      <c r="W2684" t="inlineStr">
        <is>
          <t>2002-11-01</t>
        </is>
      </c>
      <c r="X2684" t="inlineStr">
        <is>
          <t>2002-11-01</t>
        </is>
      </c>
      <c r="Y2684" t="inlineStr">
        <is>
          <t>1997-09-04</t>
        </is>
      </c>
      <c r="Z2684" t="inlineStr">
        <is>
          <t>1997-09-04</t>
        </is>
      </c>
      <c r="AA2684" t="n">
        <v>1117</v>
      </c>
      <c r="AB2684" t="n">
        <v>1016</v>
      </c>
      <c r="AC2684" t="n">
        <v>1248</v>
      </c>
      <c r="AD2684" t="n">
        <v>12</v>
      </c>
      <c r="AE2684" t="n">
        <v>14</v>
      </c>
      <c r="AF2684" t="n">
        <v>45</v>
      </c>
      <c r="AG2684" t="n">
        <v>56</v>
      </c>
      <c r="AH2684" t="n">
        <v>16</v>
      </c>
      <c r="AI2684" t="n">
        <v>22</v>
      </c>
      <c r="AJ2684" t="n">
        <v>6</v>
      </c>
      <c r="AK2684" t="n">
        <v>8</v>
      </c>
      <c r="AL2684" t="n">
        <v>21</v>
      </c>
      <c r="AM2684" t="n">
        <v>25</v>
      </c>
      <c r="AN2684" t="n">
        <v>11</v>
      </c>
      <c r="AO2684" t="n">
        <v>13</v>
      </c>
      <c r="AP2684" t="n">
        <v>0</v>
      </c>
      <c r="AQ2684" t="n">
        <v>0</v>
      </c>
      <c r="AR2684" t="inlineStr">
        <is>
          <t>No</t>
        </is>
      </c>
      <c r="AS2684" t="inlineStr">
        <is>
          <t>Yes</t>
        </is>
      </c>
      <c r="AT2684">
        <f>HYPERLINK("http://catalog.hathitrust.org/Record/003008464","HathiTrust Record")</f>
        <v/>
      </c>
      <c r="AU2684">
        <f>HYPERLINK("https://creighton-primo.hosted.exlibrisgroup.com/primo-explore/search?tab=default_tab&amp;search_scope=EVERYTHING&amp;vid=01CRU&amp;lang=en_US&amp;offset=0&amp;query=any,contains,991001914329702656","Catalog Record")</f>
        <v/>
      </c>
      <c r="AV2684">
        <f>HYPERLINK("http://www.worldcat.org/oclc/243323","WorldCat Record")</f>
        <v/>
      </c>
      <c r="AW2684" t="inlineStr">
        <is>
          <t>151110950:eng</t>
        </is>
      </c>
      <c r="AX2684" t="inlineStr">
        <is>
          <t>243323</t>
        </is>
      </c>
      <c r="AY2684" t="inlineStr">
        <is>
          <t>991001914329702656</t>
        </is>
      </c>
      <c r="AZ2684" t="inlineStr">
        <is>
          <t>991001914329702656</t>
        </is>
      </c>
      <c r="BA2684" t="inlineStr">
        <is>
          <t>2270473430002656</t>
        </is>
      </c>
      <c r="BB2684" t="inlineStr">
        <is>
          <t>BOOK</t>
        </is>
      </c>
      <c r="BE2684" t="inlineStr">
        <is>
          <t>32285003154662</t>
        </is>
      </c>
      <c r="BF2684" t="inlineStr">
        <is>
          <t>893609237</t>
        </is>
      </c>
    </row>
    <row r="2685">
      <c r="A2685" t="inlineStr">
        <is>
          <t>No</t>
        </is>
      </c>
      <c r="B2685" t="inlineStr">
        <is>
          <t>CURAL</t>
        </is>
      </c>
      <c r="C2685" t="inlineStr">
        <is>
          <t>SHELVES</t>
        </is>
      </c>
      <c r="D2685" t="inlineStr">
        <is>
          <t>PR590 .J6 1972</t>
        </is>
      </c>
      <c r="E2685" t="inlineStr">
        <is>
          <t>0                      PR 0590000J  6           1972</t>
        </is>
      </c>
      <c r="F2685" t="inlineStr">
        <is>
          <t>The English romantic poets : a review of research and criticism / [by] Ernest Bernbaum [and others] Edited by Frank Jordan.</t>
        </is>
      </c>
      <c r="H2685" t="inlineStr">
        <is>
          <t>No</t>
        </is>
      </c>
      <c r="I2685" t="inlineStr">
        <is>
          <t>1</t>
        </is>
      </c>
      <c r="J2685" t="inlineStr">
        <is>
          <t>No</t>
        </is>
      </c>
      <c r="K2685" t="inlineStr">
        <is>
          <t>Yes</t>
        </is>
      </c>
      <c r="L2685" t="inlineStr">
        <is>
          <t>0</t>
        </is>
      </c>
      <c r="M2685" t="inlineStr">
        <is>
          <t>Jordan, Frank, 1937-</t>
        </is>
      </c>
      <c r="N2685" t="inlineStr">
        <is>
          <t>New York : The Modern Language Association of America, 1972.</t>
        </is>
      </c>
      <c r="O2685" t="inlineStr">
        <is>
          <t>1972</t>
        </is>
      </c>
      <c r="P2685" t="inlineStr">
        <is>
          <t>3d rev. ed.</t>
        </is>
      </c>
      <c r="Q2685" t="inlineStr">
        <is>
          <t>eng</t>
        </is>
      </c>
      <c r="R2685" t="inlineStr">
        <is>
          <t>nyu</t>
        </is>
      </c>
      <c r="T2685" t="inlineStr">
        <is>
          <t xml:space="preserve">PR </t>
        </is>
      </c>
      <c r="U2685" t="n">
        <v>6</v>
      </c>
      <c r="V2685" t="n">
        <v>6</v>
      </c>
      <c r="W2685" t="inlineStr">
        <is>
          <t>2003-05-06</t>
        </is>
      </c>
      <c r="X2685" t="inlineStr">
        <is>
          <t>2003-05-06</t>
        </is>
      </c>
      <c r="Y2685" t="inlineStr">
        <is>
          <t>1990-03-01</t>
        </is>
      </c>
      <c r="Z2685" t="inlineStr">
        <is>
          <t>1990-03-01</t>
        </is>
      </c>
      <c r="AA2685" t="n">
        <v>871</v>
      </c>
      <c r="AB2685" t="n">
        <v>729</v>
      </c>
      <c r="AC2685" t="n">
        <v>992</v>
      </c>
      <c r="AD2685" t="n">
        <v>5</v>
      </c>
      <c r="AE2685" t="n">
        <v>7</v>
      </c>
      <c r="AF2685" t="n">
        <v>42</v>
      </c>
      <c r="AG2685" t="n">
        <v>51</v>
      </c>
      <c r="AH2685" t="n">
        <v>21</v>
      </c>
      <c r="AI2685" t="n">
        <v>25</v>
      </c>
      <c r="AJ2685" t="n">
        <v>7</v>
      </c>
      <c r="AK2685" t="n">
        <v>9</v>
      </c>
      <c r="AL2685" t="n">
        <v>21</v>
      </c>
      <c r="AM2685" t="n">
        <v>24</v>
      </c>
      <c r="AN2685" t="n">
        <v>4</v>
      </c>
      <c r="AO2685" t="n">
        <v>6</v>
      </c>
      <c r="AP2685" t="n">
        <v>0</v>
      </c>
      <c r="AQ2685" t="n">
        <v>0</v>
      </c>
      <c r="AR2685" t="inlineStr">
        <is>
          <t>No</t>
        </is>
      </c>
      <c r="AS2685" t="inlineStr">
        <is>
          <t>No</t>
        </is>
      </c>
      <c r="AU2685">
        <f>HYPERLINK("https://creighton-primo.hosted.exlibrisgroup.com/primo-explore/search?tab=default_tab&amp;search_scope=EVERYTHING&amp;vid=01CRU&amp;lang=en_US&amp;offset=0&amp;query=any,contains,991002976849702656","Catalog Record")</f>
        <v/>
      </c>
      <c r="AV2685">
        <f>HYPERLINK("http://www.worldcat.org/oclc/552353","WorldCat Record")</f>
        <v/>
      </c>
      <c r="AW2685" t="inlineStr">
        <is>
          <t>4916534686:eng</t>
        </is>
      </c>
      <c r="AX2685" t="inlineStr">
        <is>
          <t>552353</t>
        </is>
      </c>
      <c r="AY2685" t="inlineStr">
        <is>
          <t>991002976849702656</t>
        </is>
      </c>
      <c r="AZ2685" t="inlineStr">
        <is>
          <t>991002976849702656</t>
        </is>
      </c>
      <c r="BA2685" t="inlineStr">
        <is>
          <t>2259681930002656</t>
        </is>
      </c>
      <c r="BB2685" t="inlineStr">
        <is>
          <t>BOOK</t>
        </is>
      </c>
      <c r="BD2685" t="inlineStr">
        <is>
          <t>9780873520430</t>
        </is>
      </c>
      <c r="BE2685" t="inlineStr">
        <is>
          <t>32285000063304</t>
        </is>
      </c>
      <c r="BF2685" t="inlineStr">
        <is>
          <t>893686033</t>
        </is>
      </c>
    </row>
    <row r="2686">
      <c r="A2686" t="inlineStr">
        <is>
          <t>No</t>
        </is>
      </c>
      <c r="B2686" t="inlineStr">
        <is>
          <t>CURAL</t>
        </is>
      </c>
      <c r="C2686" t="inlineStr">
        <is>
          <t>SHELVES</t>
        </is>
      </c>
      <c r="D2686" t="inlineStr">
        <is>
          <t>PR590 .K25 1990</t>
        </is>
      </c>
      <c r="E2686" t="inlineStr">
        <is>
          <t>0                      PR 0590000K  25          1990</t>
        </is>
      </c>
      <c r="F2686" t="inlineStr">
        <is>
          <t>Plato and the English romantics : dialogoi / E. Douka Kabitoglou.</t>
        </is>
      </c>
      <c r="H2686" t="inlineStr">
        <is>
          <t>No</t>
        </is>
      </c>
      <c r="I2686" t="inlineStr">
        <is>
          <t>1</t>
        </is>
      </c>
      <c r="J2686" t="inlineStr">
        <is>
          <t>No</t>
        </is>
      </c>
      <c r="K2686" t="inlineStr">
        <is>
          <t>No</t>
        </is>
      </c>
      <c r="L2686" t="inlineStr">
        <is>
          <t>0</t>
        </is>
      </c>
      <c r="M2686" t="inlineStr">
        <is>
          <t>Douka-Kampitoglou, Aikaterinē, 1940-</t>
        </is>
      </c>
      <c r="N2686" t="inlineStr">
        <is>
          <t>London ; New York : Routledge, 1990.</t>
        </is>
      </c>
      <c r="O2686" t="inlineStr">
        <is>
          <t>1990</t>
        </is>
      </c>
      <c r="Q2686" t="inlineStr">
        <is>
          <t>eng</t>
        </is>
      </c>
      <c r="R2686" t="inlineStr">
        <is>
          <t>enk</t>
        </is>
      </c>
      <c r="T2686" t="inlineStr">
        <is>
          <t xml:space="preserve">PR </t>
        </is>
      </c>
      <c r="U2686" t="n">
        <v>4</v>
      </c>
      <c r="V2686" t="n">
        <v>4</v>
      </c>
      <c r="W2686" t="inlineStr">
        <is>
          <t>1997-04-08</t>
        </is>
      </c>
      <c r="X2686" t="inlineStr">
        <is>
          <t>1997-04-08</t>
        </is>
      </c>
      <c r="Y2686" t="inlineStr">
        <is>
          <t>1990-12-28</t>
        </is>
      </c>
      <c r="Z2686" t="inlineStr">
        <is>
          <t>1990-12-28</t>
        </is>
      </c>
      <c r="AA2686" t="n">
        <v>271</v>
      </c>
      <c r="AB2686" t="n">
        <v>182</v>
      </c>
      <c r="AC2686" t="n">
        <v>751</v>
      </c>
      <c r="AD2686" t="n">
        <v>3</v>
      </c>
      <c r="AE2686" t="n">
        <v>28</v>
      </c>
      <c r="AF2686" t="n">
        <v>12</v>
      </c>
      <c r="AG2686" t="n">
        <v>39</v>
      </c>
      <c r="AH2686" t="n">
        <v>4</v>
      </c>
      <c r="AI2686" t="n">
        <v>12</v>
      </c>
      <c r="AJ2686" t="n">
        <v>2</v>
      </c>
      <c r="AK2686" t="n">
        <v>7</v>
      </c>
      <c r="AL2686" t="n">
        <v>8</v>
      </c>
      <c r="AM2686" t="n">
        <v>12</v>
      </c>
      <c r="AN2686" t="n">
        <v>2</v>
      </c>
      <c r="AO2686" t="n">
        <v>13</v>
      </c>
      <c r="AP2686" t="n">
        <v>0</v>
      </c>
      <c r="AQ2686" t="n">
        <v>1</v>
      </c>
      <c r="AR2686" t="inlineStr">
        <is>
          <t>No</t>
        </is>
      </c>
      <c r="AS2686" t="inlineStr">
        <is>
          <t>No</t>
        </is>
      </c>
      <c r="AU2686">
        <f>HYPERLINK("https://creighton-primo.hosted.exlibrisgroup.com/primo-explore/search?tab=default_tab&amp;search_scope=EVERYTHING&amp;vid=01CRU&amp;lang=en_US&amp;offset=0&amp;query=any,contains,991001564939702656","Catalog Record")</f>
        <v/>
      </c>
      <c r="AV2686">
        <f>HYPERLINK("http://www.worldcat.org/oclc/20320074","WorldCat Record")</f>
        <v/>
      </c>
      <c r="AW2686" t="inlineStr">
        <is>
          <t>55246567:eng</t>
        </is>
      </c>
      <c r="AX2686" t="inlineStr">
        <is>
          <t>20320074</t>
        </is>
      </c>
      <c r="AY2686" t="inlineStr">
        <is>
          <t>991001564939702656</t>
        </is>
      </c>
      <c r="AZ2686" t="inlineStr">
        <is>
          <t>991001564939702656</t>
        </is>
      </c>
      <c r="BA2686" t="inlineStr">
        <is>
          <t>2261991040002656</t>
        </is>
      </c>
      <c r="BB2686" t="inlineStr">
        <is>
          <t>BOOK</t>
        </is>
      </c>
      <c r="BD2686" t="inlineStr">
        <is>
          <t>9780415036023</t>
        </is>
      </c>
      <c r="BE2686" t="inlineStr">
        <is>
          <t>32285000405802</t>
        </is>
      </c>
      <c r="BF2686" t="inlineStr">
        <is>
          <t>893250299</t>
        </is>
      </c>
    </row>
    <row r="2687">
      <c r="A2687" t="inlineStr">
        <is>
          <t>No</t>
        </is>
      </c>
      <c r="B2687" t="inlineStr">
        <is>
          <t>CURAL</t>
        </is>
      </c>
      <c r="C2687" t="inlineStr">
        <is>
          <t>SHELVES</t>
        </is>
      </c>
      <c r="D2687" t="inlineStr">
        <is>
          <t>PR590 .M55 1994</t>
        </is>
      </c>
      <c r="E2687" t="inlineStr">
        <is>
          <t>0                      PR 0590000M  55          1994</t>
        </is>
      </c>
      <c r="F2687" t="inlineStr">
        <is>
          <t>Milton, the metaphysicals, and romanticism / edited by Lisa Low and Anthony John Harding.</t>
        </is>
      </c>
      <c r="H2687" t="inlineStr">
        <is>
          <t>No</t>
        </is>
      </c>
      <c r="I2687" t="inlineStr">
        <is>
          <t>1</t>
        </is>
      </c>
      <c r="J2687" t="inlineStr">
        <is>
          <t>No</t>
        </is>
      </c>
      <c r="K2687" t="inlineStr">
        <is>
          <t>No</t>
        </is>
      </c>
      <c r="L2687" t="inlineStr">
        <is>
          <t>0</t>
        </is>
      </c>
      <c r="N2687" t="inlineStr">
        <is>
          <t>Cambridge [England] ; New York : Cambridge University Press, 1994.</t>
        </is>
      </c>
      <c r="O2687" t="inlineStr">
        <is>
          <t>1994</t>
        </is>
      </c>
      <c r="Q2687" t="inlineStr">
        <is>
          <t>eng</t>
        </is>
      </c>
      <c r="R2687" t="inlineStr">
        <is>
          <t>enk</t>
        </is>
      </c>
      <c r="T2687" t="inlineStr">
        <is>
          <t xml:space="preserve">PR </t>
        </is>
      </c>
      <c r="U2687" t="n">
        <v>7</v>
      </c>
      <c r="V2687" t="n">
        <v>7</v>
      </c>
      <c r="W2687" t="inlineStr">
        <is>
          <t>2002-04-05</t>
        </is>
      </c>
      <c r="X2687" t="inlineStr">
        <is>
          <t>2002-04-05</t>
        </is>
      </c>
      <c r="Y2687" t="inlineStr">
        <is>
          <t>1995-04-17</t>
        </is>
      </c>
      <c r="Z2687" t="inlineStr">
        <is>
          <t>1995-04-17</t>
        </is>
      </c>
      <c r="AA2687" t="n">
        <v>384</v>
      </c>
      <c r="AB2687" t="n">
        <v>271</v>
      </c>
      <c r="AC2687" t="n">
        <v>276</v>
      </c>
      <c r="AD2687" t="n">
        <v>4</v>
      </c>
      <c r="AE2687" t="n">
        <v>4</v>
      </c>
      <c r="AF2687" t="n">
        <v>17</v>
      </c>
      <c r="AG2687" t="n">
        <v>17</v>
      </c>
      <c r="AH2687" t="n">
        <v>2</v>
      </c>
      <c r="AI2687" t="n">
        <v>2</v>
      </c>
      <c r="AJ2687" t="n">
        <v>6</v>
      </c>
      <c r="AK2687" t="n">
        <v>6</v>
      </c>
      <c r="AL2687" t="n">
        <v>11</v>
      </c>
      <c r="AM2687" t="n">
        <v>11</v>
      </c>
      <c r="AN2687" t="n">
        <v>3</v>
      </c>
      <c r="AO2687" t="n">
        <v>3</v>
      </c>
      <c r="AP2687" t="n">
        <v>0</v>
      </c>
      <c r="AQ2687" t="n">
        <v>0</v>
      </c>
      <c r="AR2687" t="inlineStr">
        <is>
          <t>No</t>
        </is>
      </c>
      <c r="AS2687" t="inlineStr">
        <is>
          <t>No</t>
        </is>
      </c>
      <c r="AU2687">
        <f>HYPERLINK("https://creighton-primo.hosted.exlibrisgroup.com/primo-explore/search?tab=default_tab&amp;search_scope=EVERYTHING&amp;vid=01CRU&amp;lang=en_US&amp;offset=0&amp;query=any,contains,991002263019702656","Catalog Record")</f>
        <v/>
      </c>
      <c r="AV2687">
        <f>HYPERLINK("http://www.worldcat.org/oclc/29357758","WorldCat Record")</f>
        <v/>
      </c>
      <c r="AW2687" t="inlineStr">
        <is>
          <t>350306082:eng</t>
        </is>
      </c>
      <c r="AX2687" t="inlineStr">
        <is>
          <t>29357758</t>
        </is>
      </c>
      <c r="AY2687" t="inlineStr">
        <is>
          <t>991002263019702656</t>
        </is>
      </c>
      <c r="AZ2687" t="inlineStr">
        <is>
          <t>991002263019702656</t>
        </is>
      </c>
      <c r="BA2687" t="inlineStr">
        <is>
          <t>2265719070002656</t>
        </is>
      </c>
      <c r="BB2687" t="inlineStr">
        <is>
          <t>BOOK</t>
        </is>
      </c>
      <c r="BD2687" t="inlineStr">
        <is>
          <t>9780521444149</t>
        </is>
      </c>
      <c r="BE2687" t="inlineStr">
        <is>
          <t>32285002018769</t>
        </is>
      </c>
      <c r="BF2687" t="inlineStr">
        <is>
          <t>893322730</t>
        </is>
      </c>
    </row>
    <row r="2688">
      <c r="A2688" t="inlineStr">
        <is>
          <t>No</t>
        </is>
      </c>
      <c r="B2688" t="inlineStr">
        <is>
          <t>CURAL</t>
        </is>
      </c>
      <c r="C2688" t="inlineStr">
        <is>
          <t>SHELVES</t>
        </is>
      </c>
      <c r="D2688" t="inlineStr">
        <is>
          <t>PR590 .R27 1980</t>
        </is>
      </c>
      <c r="E2688" t="inlineStr">
        <is>
          <t>0                      PR 0590000R  27          1980</t>
        </is>
      </c>
      <c r="F2688" t="inlineStr">
        <is>
          <t>Dark interpreter : the discourse of Romanticism / Tilottama Rajan.</t>
        </is>
      </c>
      <c r="H2688" t="inlineStr">
        <is>
          <t>No</t>
        </is>
      </c>
      <c r="I2688" t="inlineStr">
        <is>
          <t>1</t>
        </is>
      </c>
      <c r="J2688" t="inlineStr">
        <is>
          <t>No</t>
        </is>
      </c>
      <c r="K2688" t="inlineStr">
        <is>
          <t>No</t>
        </is>
      </c>
      <c r="L2688" t="inlineStr">
        <is>
          <t>0</t>
        </is>
      </c>
      <c r="M2688" t="inlineStr">
        <is>
          <t>Rajan, Tilottama.</t>
        </is>
      </c>
      <c r="N2688" t="inlineStr">
        <is>
          <t>Ithaca, N.Y. : Cornell University Press, 1980.</t>
        </is>
      </c>
      <c r="O2688" t="inlineStr">
        <is>
          <t>1980</t>
        </is>
      </c>
      <c r="Q2688" t="inlineStr">
        <is>
          <t>eng</t>
        </is>
      </c>
      <c r="R2688" t="inlineStr">
        <is>
          <t>nyu</t>
        </is>
      </c>
      <c r="T2688" t="inlineStr">
        <is>
          <t xml:space="preserve">PR </t>
        </is>
      </c>
      <c r="U2688" t="n">
        <v>1</v>
      </c>
      <c r="V2688" t="n">
        <v>1</v>
      </c>
      <c r="W2688" t="inlineStr">
        <is>
          <t>1998-11-16</t>
        </is>
      </c>
      <c r="X2688" t="inlineStr">
        <is>
          <t>1998-11-16</t>
        </is>
      </c>
      <c r="Y2688" t="inlineStr">
        <is>
          <t>1991-09-09</t>
        </is>
      </c>
      <c r="Z2688" t="inlineStr">
        <is>
          <t>1991-09-09</t>
        </is>
      </c>
      <c r="AA2688" t="n">
        <v>837</v>
      </c>
      <c r="AB2688" t="n">
        <v>690</v>
      </c>
      <c r="AC2688" t="n">
        <v>714</v>
      </c>
      <c r="AD2688" t="n">
        <v>7</v>
      </c>
      <c r="AE2688" t="n">
        <v>7</v>
      </c>
      <c r="AF2688" t="n">
        <v>36</v>
      </c>
      <c r="AG2688" t="n">
        <v>37</v>
      </c>
      <c r="AH2688" t="n">
        <v>13</v>
      </c>
      <c r="AI2688" t="n">
        <v>14</v>
      </c>
      <c r="AJ2688" t="n">
        <v>9</v>
      </c>
      <c r="AK2688" t="n">
        <v>10</v>
      </c>
      <c r="AL2688" t="n">
        <v>16</v>
      </c>
      <c r="AM2688" t="n">
        <v>16</v>
      </c>
      <c r="AN2688" t="n">
        <v>6</v>
      </c>
      <c r="AO2688" t="n">
        <v>6</v>
      </c>
      <c r="AP2688" t="n">
        <v>0</v>
      </c>
      <c r="AQ2688" t="n">
        <v>0</v>
      </c>
      <c r="AR2688" t="inlineStr">
        <is>
          <t>No</t>
        </is>
      </c>
      <c r="AS2688" t="inlineStr">
        <is>
          <t>Yes</t>
        </is>
      </c>
      <c r="AT2688">
        <f>HYPERLINK("http://catalog.hathitrust.org/Record/004549328","HathiTrust Record")</f>
        <v/>
      </c>
      <c r="AU2688">
        <f>HYPERLINK("https://creighton-primo.hosted.exlibrisgroup.com/primo-explore/search?tab=default_tab&amp;search_scope=EVERYTHING&amp;vid=01CRU&amp;lang=en_US&amp;offset=0&amp;query=any,contains,991004952129702656","Catalog Record")</f>
        <v/>
      </c>
      <c r="AV2688">
        <f>HYPERLINK("http://www.worldcat.org/oclc/6251075","WorldCat Record")</f>
        <v/>
      </c>
      <c r="AW2688" t="inlineStr">
        <is>
          <t>878677991:eng</t>
        </is>
      </c>
      <c r="AX2688" t="inlineStr">
        <is>
          <t>6251075</t>
        </is>
      </c>
      <c r="AY2688" t="inlineStr">
        <is>
          <t>991004952129702656</t>
        </is>
      </c>
      <c r="AZ2688" t="inlineStr">
        <is>
          <t>991004952129702656</t>
        </is>
      </c>
      <c r="BA2688" t="inlineStr">
        <is>
          <t>2262779810002656</t>
        </is>
      </c>
      <c r="BB2688" t="inlineStr">
        <is>
          <t>BOOK</t>
        </is>
      </c>
      <c r="BD2688" t="inlineStr">
        <is>
          <t>9780801412929</t>
        </is>
      </c>
      <c r="BE2688" t="inlineStr">
        <is>
          <t>32285000738236</t>
        </is>
      </c>
      <c r="BF2688" t="inlineStr">
        <is>
          <t>893350540</t>
        </is>
      </c>
    </row>
    <row r="2689">
      <c r="A2689" t="inlineStr">
        <is>
          <t>No</t>
        </is>
      </c>
      <c r="B2689" t="inlineStr">
        <is>
          <t>CURAL</t>
        </is>
      </c>
      <c r="C2689" t="inlineStr">
        <is>
          <t>SHELVES</t>
        </is>
      </c>
      <c r="D2689" t="inlineStr">
        <is>
          <t>PR590 .R42 1973a</t>
        </is>
      </c>
      <c r="E2689" t="inlineStr">
        <is>
          <t>0                      PR 0590000R  42          1973a</t>
        </is>
      </c>
      <c r="F2689" t="inlineStr">
        <is>
          <t>The young romantics and critical opinion, 1807-1824 : poetry of Byron, Shelley, and Keats as seen by their contemporary critics / by Theodore Redpath.</t>
        </is>
      </c>
      <c r="H2689" t="inlineStr">
        <is>
          <t>No</t>
        </is>
      </c>
      <c r="I2689" t="inlineStr">
        <is>
          <t>1</t>
        </is>
      </c>
      <c r="J2689" t="inlineStr">
        <is>
          <t>No</t>
        </is>
      </c>
      <c r="K2689" t="inlineStr">
        <is>
          <t>No</t>
        </is>
      </c>
      <c r="L2689" t="inlineStr">
        <is>
          <t>0</t>
        </is>
      </c>
      <c r="M2689" t="inlineStr">
        <is>
          <t>Redpath, Theodore.</t>
        </is>
      </c>
      <c r="N2689" t="inlineStr">
        <is>
          <t>London : Harrap, 1973.</t>
        </is>
      </c>
      <c r="O2689" t="inlineStr">
        <is>
          <t>1973</t>
        </is>
      </c>
      <c r="Q2689" t="inlineStr">
        <is>
          <t>eng</t>
        </is>
      </c>
      <c r="R2689" t="inlineStr">
        <is>
          <t>enk</t>
        </is>
      </c>
      <c r="T2689" t="inlineStr">
        <is>
          <t xml:space="preserve">PR </t>
        </is>
      </c>
      <c r="U2689" t="n">
        <v>5</v>
      </c>
      <c r="V2689" t="n">
        <v>5</v>
      </c>
      <c r="W2689" t="inlineStr">
        <is>
          <t>1995-03-20</t>
        </is>
      </c>
      <c r="X2689" t="inlineStr">
        <is>
          <t>1995-03-20</t>
        </is>
      </c>
      <c r="Y2689" t="inlineStr">
        <is>
          <t>1990-05-15</t>
        </is>
      </c>
      <c r="Z2689" t="inlineStr">
        <is>
          <t>1990-05-15</t>
        </is>
      </c>
      <c r="AA2689" t="n">
        <v>293</v>
      </c>
      <c r="AB2689" t="n">
        <v>136</v>
      </c>
      <c r="AC2689" t="n">
        <v>143</v>
      </c>
      <c r="AD2689" t="n">
        <v>3</v>
      </c>
      <c r="AE2689" t="n">
        <v>3</v>
      </c>
      <c r="AF2689" t="n">
        <v>8</v>
      </c>
      <c r="AG2689" t="n">
        <v>8</v>
      </c>
      <c r="AH2689" t="n">
        <v>3</v>
      </c>
      <c r="AI2689" t="n">
        <v>3</v>
      </c>
      <c r="AJ2689" t="n">
        <v>4</v>
      </c>
      <c r="AK2689" t="n">
        <v>4</v>
      </c>
      <c r="AL2689" t="n">
        <v>2</v>
      </c>
      <c r="AM2689" t="n">
        <v>2</v>
      </c>
      <c r="AN2689" t="n">
        <v>2</v>
      </c>
      <c r="AO2689" t="n">
        <v>2</v>
      </c>
      <c r="AP2689" t="n">
        <v>0</v>
      </c>
      <c r="AQ2689" t="n">
        <v>0</v>
      </c>
      <c r="AR2689" t="inlineStr">
        <is>
          <t>No</t>
        </is>
      </c>
      <c r="AS2689" t="inlineStr">
        <is>
          <t>Yes</t>
        </is>
      </c>
      <c r="AT2689">
        <f>HYPERLINK("http://catalog.hathitrust.org/Record/001397784","HathiTrust Record")</f>
        <v/>
      </c>
      <c r="AU2689">
        <f>HYPERLINK("https://creighton-primo.hosted.exlibrisgroup.com/primo-explore/search?tab=default_tab&amp;search_scope=EVERYTHING&amp;vid=01CRU&amp;lang=en_US&amp;offset=0&amp;query=any,contains,991003474009702656","Catalog Record")</f>
        <v/>
      </c>
      <c r="AV2689">
        <f>HYPERLINK("http://www.worldcat.org/oclc/1017307","WorldCat Record")</f>
        <v/>
      </c>
      <c r="AW2689" t="inlineStr">
        <is>
          <t>10183399058:eng</t>
        </is>
      </c>
      <c r="AX2689" t="inlineStr">
        <is>
          <t>1017307</t>
        </is>
      </c>
      <c r="AY2689" t="inlineStr">
        <is>
          <t>991003474009702656</t>
        </is>
      </c>
      <c r="AZ2689" t="inlineStr">
        <is>
          <t>991003474009702656</t>
        </is>
      </c>
      <c r="BA2689" t="inlineStr">
        <is>
          <t>2258881390002656</t>
        </is>
      </c>
      <c r="BB2689" t="inlineStr">
        <is>
          <t>BOOK</t>
        </is>
      </c>
      <c r="BD2689" t="inlineStr">
        <is>
          <t>9780245504075</t>
        </is>
      </c>
      <c r="BE2689" t="inlineStr">
        <is>
          <t>32285000155316</t>
        </is>
      </c>
      <c r="BF2689" t="inlineStr">
        <is>
          <t>893422597</t>
        </is>
      </c>
    </row>
    <row r="2690">
      <c r="A2690" t="inlineStr">
        <is>
          <t>No</t>
        </is>
      </c>
      <c r="B2690" t="inlineStr">
        <is>
          <t>CURAL</t>
        </is>
      </c>
      <c r="C2690" t="inlineStr">
        <is>
          <t>SHELVES</t>
        </is>
      </c>
      <c r="D2690" t="inlineStr">
        <is>
          <t>PR590 .R48 1991</t>
        </is>
      </c>
      <c r="E2690" t="inlineStr">
        <is>
          <t>0                      PR 0590000R  48          1991</t>
        </is>
      </c>
      <c r="F2690" t="inlineStr">
        <is>
          <t>Oracles and hierophants : constructions of romantic authority / David G. Riede.</t>
        </is>
      </c>
      <c r="H2690" t="inlineStr">
        <is>
          <t>No</t>
        </is>
      </c>
      <c r="I2690" t="inlineStr">
        <is>
          <t>1</t>
        </is>
      </c>
      <c r="J2690" t="inlineStr">
        <is>
          <t>No</t>
        </is>
      </c>
      <c r="K2690" t="inlineStr">
        <is>
          <t>No</t>
        </is>
      </c>
      <c r="L2690" t="inlineStr">
        <is>
          <t>0</t>
        </is>
      </c>
      <c r="M2690" t="inlineStr">
        <is>
          <t>Riede, David G.</t>
        </is>
      </c>
      <c r="N2690" t="inlineStr">
        <is>
          <t>Ithaca : Cornell University Press, 1991.</t>
        </is>
      </c>
      <c r="O2690" t="inlineStr">
        <is>
          <t>1991</t>
        </is>
      </c>
      <c r="Q2690" t="inlineStr">
        <is>
          <t>eng</t>
        </is>
      </c>
      <c r="R2690" t="inlineStr">
        <is>
          <t>nyu</t>
        </is>
      </c>
      <c r="T2690" t="inlineStr">
        <is>
          <t xml:space="preserve">PR </t>
        </is>
      </c>
      <c r="U2690" t="n">
        <v>8</v>
      </c>
      <c r="V2690" t="n">
        <v>8</v>
      </c>
      <c r="W2690" t="inlineStr">
        <is>
          <t>1996-08-13</t>
        </is>
      </c>
      <c r="X2690" t="inlineStr">
        <is>
          <t>1996-08-13</t>
        </is>
      </c>
      <c r="Y2690" t="inlineStr">
        <is>
          <t>1992-06-22</t>
        </is>
      </c>
      <c r="Z2690" t="inlineStr">
        <is>
          <t>1992-06-22</t>
        </is>
      </c>
      <c r="AA2690" t="n">
        <v>313</v>
      </c>
      <c r="AB2690" t="n">
        <v>241</v>
      </c>
      <c r="AC2690" t="n">
        <v>249</v>
      </c>
      <c r="AD2690" t="n">
        <v>3</v>
      </c>
      <c r="AE2690" t="n">
        <v>3</v>
      </c>
      <c r="AF2690" t="n">
        <v>17</v>
      </c>
      <c r="AG2690" t="n">
        <v>17</v>
      </c>
      <c r="AH2690" t="n">
        <v>3</v>
      </c>
      <c r="AI2690" t="n">
        <v>3</v>
      </c>
      <c r="AJ2690" t="n">
        <v>5</v>
      </c>
      <c r="AK2690" t="n">
        <v>5</v>
      </c>
      <c r="AL2690" t="n">
        <v>9</v>
      </c>
      <c r="AM2690" t="n">
        <v>9</v>
      </c>
      <c r="AN2690" t="n">
        <v>2</v>
      </c>
      <c r="AO2690" t="n">
        <v>2</v>
      </c>
      <c r="AP2690" t="n">
        <v>0</v>
      </c>
      <c r="AQ2690" t="n">
        <v>0</v>
      </c>
      <c r="AR2690" t="inlineStr">
        <is>
          <t>No</t>
        </is>
      </c>
      <c r="AS2690" t="inlineStr">
        <is>
          <t>Yes</t>
        </is>
      </c>
      <c r="AT2690">
        <f>HYPERLINK("http://catalog.hathitrust.org/Record/002516230","HathiTrust Record")</f>
        <v/>
      </c>
      <c r="AU2690">
        <f>HYPERLINK("https://creighton-primo.hosted.exlibrisgroup.com/primo-explore/search?tab=default_tab&amp;search_scope=EVERYTHING&amp;vid=01CRU&amp;lang=en_US&amp;offset=0&amp;query=any,contains,991001877809702656","Catalog Record")</f>
        <v/>
      </c>
      <c r="AV2690">
        <f>HYPERLINK("http://www.worldcat.org/oclc/23691738","WorldCat Record")</f>
        <v/>
      </c>
      <c r="AW2690" t="inlineStr">
        <is>
          <t>2749828:eng</t>
        </is>
      </c>
      <c r="AX2690" t="inlineStr">
        <is>
          <t>23691738</t>
        </is>
      </c>
      <c r="AY2690" t="inlineStr">
        <is>
          <t>991001877809702656</t>
        </is>
      </c>
      <c r="AZ2690" t="inlineStr">
        <is>
          <t>991001877809702656</t>
        </is>
      </c>
      <c r="BA2690" t="inlineStr">
        <is>
          <t>2261264380002656</t>
        </is>
      </c>
      <c r="BB2690" t="inlineStr">
        <is>
          <t>BOOK</t>
        </is>
      </c>
      <c r="BD2690" t="inlineStr">
        <is>
          <t>9780801426261</t>
        </is>
      </c>
      <c r="BE2690" t="inlineStr">
        <is>
          <t>32285001129997</t>
        </is>
      </c>
      <c r="BF2690" t="inlineStr">
        <is>
          <t>893244482</t>
        </is>
      </c>
    </row>
    <row r="2691">
      <c r="A2691" t="inlineStr">
        <is>
          <t>No</t>
        </is>
      </c>
      <c r="B2691" t="inlineStr">
        <is>
          <t>CURAL</t>
        </is>
      </c>
      <c r="C2691" t="inlineStr">
        <is>
          <t>SHELVES</t>
        </is>
      </c>
      <c r="D2691" t="inlineStr">
        <is>
          <t>PR590 .R6 1965</t>
        </is>
      </c>
      <c r="E2691" t="inlineStr">
        <is>
          <t>0                      PR 0590000R  6           1965</t>
        </is>
      </c>
      <c r="F2691" t="inlineStr">
        <is>
          <t>Prophet and poet; the Bible and the growth of romanticism.</t>
        </is>
      </c>
      <c r="H2691" t="inlineStr">
        <is>
          <t>No</t>
        </is>
      </c>
      <c r="I2691" t="inlineStr">
        <is>
          <t>1</t>
        </is>
      </c>
      <c r="J2691" t="inlineStr">
        <is>
          <t>No</t>
        </is>
      </c>
      <c r="K2691" t="inlineStr">
        <is>
          <t>No</t>
        </is>
      </c>
      <c r="L2691" t="inlineStr">
        <is>
          <t>0</t>
        </is>
      </c>
      <c r="M2691" t="inlineStr">
        <is>
          <t>Roston, Murray.</t>
        </is>
      </c>
      <c r="N2691" t="inlineStr">
        <is>
          <t>Evanston, Northwestern University Press [1965]</t>
        </is>
      </c>
      <c r="O2691" t="inlineStr">
        <is>
          <t>1965</t>
        </is>
      </c>
      <c r="Q2691" t="inlineStr">
        <is>
          <t>eng</t>
        </is>
      </c>
      <c r="R2691" t="inlineStr">
        <is>
          <t>ilu</t>
        </is>
      </c>
      <c r="T2691" t="inlineStr">
        <is>
          <t xml:space="preserve">PR </t>
        </is>
      </c>
      <c r="U2691" t="n">
        <v>1</v>
      </c>
      <c r="V2691" t="n">
        <v>1</v>
      </c>
      <c r="W2691" t="inlineStr">
        <is>
          <t>2008-06-18</t>
        </is>
      </c>
      <c r="X2691" t="inlineStr">
        <is>
          <t>2008-06-18</t>
        </is>
      </c>
      <c r="Y2691" t="inlineStr">
        <is>
          <t>1997-09-04</t>
        </is>
      </c>
      <c r="Z2691" t="inlineStr">
        <is>
          <t>1997-09-04</t>
        </is>
      </c>
      <c r="AA2691" t="n">
        <v>561</v>
      </c>
      <c r="AB2691" t="n">
        <v>524</v>
      </c>
      <c r="AC2691" t="n">
        <v>598</v>
      </c>
      <c r="AD2691" t="n">
        <v>6</v>
      </c>
      <c r="AE2691" t="n">
        <v>6</v>
      </c>
      <c r="AF2691" t="n">
        <v>31</v>
      </c>
      <c r="AG2691" t="n">
        <v>34</v>
      </c>
      <c r="AH2691" t="n">
        <v>9</v>
      </c>
      <c r="AI2691" t="n">
        <v>11</v>
      </c>
      <c r="AJ2691" t="n">
        <v>6</v>
      </c>
      <c r="AK2691" t="n">
        <v>7</v>
      </c>
      <c r="AL2691" t="n">
        <v>19</v>
      </c>
      <c r="AM2691" t="n">
        <v>20</v>
      </c>
      <c r="AN2691" t="n">
        <v>5</v>
      </c>
      <c r="AO2691" t="n">
        <v>5</v>
      </c>
      <c r="AP2691" t="n">
        <v>0</v>
      </c>
      <c r="AQ2691" t="n">
        <v>0</v>
      </c>
      <c r="AR2691" t="inlineStr">
        <is>
          <t>No</t>
        </is>
      </c>
      <c r="AS2691" t="inlineStr">
        <is>
          <t>Yes</t>
        </is>
      </c>
      <c r="AT2691">
        <f>HYPERLINK("http://catalog.hathitrust.org/Record/001371665","HathiTrust Record")</f>
        <v/>
      </c>
      <c r="AU2691">
        <f>HYPERLINK("https://creighton-primo.hosted.exlibrisgroup.com/primo-explore/search?tab=default_tab&amp;search_scope=EVERYTHING&amp;vid=01CRU&amp;lang=en_US&amp;offset=0&amp;query=any,contains,991002439589702656","Catalog Record")</f>
        <v/>
      </c>
      <c r="AV2691">
        <f>HYPERLINK("http://www.worldcat.org/oclc/349742","WorldCat Record")</f>
        <v/>
      </c>
      <c r="AW2691" t="inlineStr">
        <is>
          <t>376070507:eng</t>
        </is>
      </c>
      <c r="AX2691" t="inlineStr">
        <is>
          <t>349742</t>
        </is>
      </c>
      <c r="AY2691" t="inlineStr">
        <is>
          <t>991002439589702656</t>
        </is>
      </c>
      <c r="AZ2691" t="inlineStr">
        <is>
          <t>991002439589702656</t>
        </is>
      </c>
      <c r="BA2691" t="inlineStr">
        <is>
          <t>2267172140002656</t>
        </is>
      </c>
      <c r="BB2691" t="inlineStr">
        <is>
          <t>BOOK</t>
        </is>
      </c>
      <c r="BE2691" t="inlineStr">
        <is>
          <t>32285003154696</t>
        </is>
      </c>
      <c r="BF2691" t="inlineStr">
        <is>
          <t>893603608</t>
        </is>
      </c>
    </row>
    <row r="2692">
      <c r="A2692" t="inlineStr">
        <is>
          <t>No</t>
        </is>
      </c>
      <c r="B2692" t="inlineStr">
        <is>
          <t>CURAL</t>
        </is>
      </c>
      <c r="C2692" t="inlineStr">
        <is>
          <t>SHELVES</t>
        </is>
      </c>
      <c r="D2692" t="inlineStr">
        <is>
          <t>PR590 .R93 1997</t>
        </is>
      </c>
      <c r="E2692" t="inlineStr">
        <is>
          <t>0                      PR 0590000R  93          1997</t>
        </is>
      </c>
      <c r="F2692" t="inlineStr">
        <is>
          <t>The romantic reformation : religious politics in English literature, 1789-1824 / Robert M. Ryan.</t>
        </is>
      </c>
      <c r="H2692" t="inlineStr">
        <is>
          <t>No</t>
        </is>
      </c>
      <c r="I2692" t="inlineStr">
        <is>
          <t>1</t>
        </is>
      </c>
      <c r="J2692" t="inlineStr">
        <is>
          <t>No</t>
        </is>
      </c>
      <c r="K2692" t="inlineStr">
        <is>
          <t>No</t>
        </is>
      </c>
      <c r="L2692" t="inlineStr">
        <is>
          <t>0</t>
        </is>
      </c>
      <c r="M2692" t="inlineStr">
        <is>
          <t>Ryan, Robert M., 1941-</t>
        </is>
      </c>
      <c r="N2692" t="inlineStr">
        <is>
          <t>Cambridge ; New York : Cambridge University Press, 1997.</t>
        </is>
      </c>
      <c r="O2692" t="inlineStr">
        <is>
          <t>1997</t>
        </is>
      </c>
      <c r="Q2692" t="inlineStr">
        <is>
          <t>eng</t>
        </is>
      </c>
      <c r="R2692" t="inlineStr">
        <is>
          <t>enk</t>
        </is>
      </c>
      <c r="S2692" t="inlineStr">
        <is>
          <t>Cambridge studies in Romanticism ; 24</t>
        </is>
      </c>
      <c r="T2692" t="inlineStr">
        <is>
          <t xml:space="preserve">PR </t>
        </is>
      </c>
      <c r="U2692" t="n">
        <v>13</v>
      </c>
      <c r="V2692" t="n">
        <v>13</v>
      </c>
      <c r="W2692" t="inlineStr">
        <is>
          <t>2008-06-18</t>
        </is>
      </c>
      <c r="X2692" t="inlineStr">
        <is>
          <t>2008-06-18</t>
        </is>
      </c>
      <c r="Y2692" t="inlineStr">
        <is>
          <t>2000-01-27</t>
        </is>
      </c>
      <c r="Z2692" t="inlineStr">
        <is>
          <t>2000-01-27</t>
        </is>
      </c>
      <c r="AA2692" t="n">
        <v>629</v>
      </c>
      <c r="AB2692" t="n">
        <v>477</v>
      </c>
      <c r="AC2692" t="n">
        <v>489</v>
      </c>
      <c r="AD2692" t="n">
        <v>4</v>
      </c>
      <c r="AE2692" t="n">
        <v>4</v>
      </c>
      <c r="AF2692" t="n">
        <v>30</v>
      </c>
      <c r="AG2692" t="n">
        <v>30</v>
      </c>
      <c r="AH2692" t="n">
        <v>13</v>
      </c>
      <c r="AI2692" t="n">
        <v>13</v>
      </c>
      <c r="AJ2692" t="n">
        <v>8</v>
      </c>
      <c r="AK2692" t="n">
        <v>8</v>
      </c>
      <c r="AL2692" t="n">
        <v>15</v>
      </c>
      <c r="AM2692" t="n">
        <v>15</v>
      </c>
      <c r="AN2692" t="n">
        <v>3</v>
      </c>
      <c r="AO2692" t="n">
        <v>3</v>
      </c>
      <c r="AP2692" t="n">
        <v>0</v>
      </c>
      <c r="AQ2692" t="n">
        <v>0</v>
      </c>
      <c r="AR2692" t="inlineStr">
        <is>
          <t>No</t>
        </is>
      </c>
      <c r="AS2692" t="inlineStr">
        <is>
          <t>No</t>
        </is>
      </c>
      <c r="AU2692">
        <f>HYPERLINK("https://creighton-primo.hosted.exlibrisgroup.com/primo-explore/search?tab=default_tab&amp;search_scope=EVERYTHING&amp;vid=01CRU&amp;lang=en_US&amp;offset=0&amp;query=any,contains,991002745819702656","Catalog Record")</f>
        <v/>
      </c>
      <c r="AV2692">
        <f>HYPERLINK("http://www.worldcat.org/oclc/36037888","WorldCat Record")</f>
        <v/>
      </c>
      <c r="AW2692" t="inlineStr">
        <is>
          <t>808888367:eng</t>
        </is>
      </c>
      <c r="AX2692" t="inlineStr">
        <is>
          <t>36037888</t>
        </is>
      </c>
      <c r="AY2692" t="inlineStr">
        <is>
          <t>991002745819702656</t>
        </is>
      </c>
      <c r="AZ2692" t="inlineStr">
        <is>
          <t>991002745819702656</t>
        </is>
      </c>
      <c r="BA2692" t="inlineStr">
        <is>
          <t>2256727430002656</t>
        </is>
      </c>
      <c r="BB2692" t="inlineStr">
        <is>
          <t>BOOK</t>
        </is>
      </c>
      <c r="BD2692" t="inlineStr">
        <is>
          <t>9780521570084</t>
        </is>
      </c>
      <c r="BE2692" t="inlineStr">
        <is>
          <t>32285003655908</t>
        </is>
      </c>
      <c r="BF2692" t="inlineStr">
        <is>
          <t>893786493</t>
        </is>
      </c>
    </row>
    <row r="2693">
      <c r="A2693" t="inlineStr">
        <is>
          <t>No</t>
        </is>
      </c>
      <c r="B2693" t="inlineStr">
        <is>
          <t>CURAL</t>
        </is>
      </c>
      <c r="C2693" t="inlineStr">
        <is>
          <t>SHELVES</t>
        </is>
      </c>
      <c r="D2693" t="inlineStr">
        <is>
          <t>PR590 .S55 1979</t>
        </is>
      </c>
      <c r="E2693" t="inlineStr">
        <is>
          <t>0                      PR 0590000S  55          1979</t>
        </is>
      </c>
      <c r="F2693" t="inlineStr">
        <is>
          <t>Irony and authority in romantic poetry / David Simpson.</t>
        </is>
      </c>
      <c r="H2693" t="inlineStr">
        <is>
          <t>No</t>
        </is>
      </c>
      <c r="I2693" t="inlineStr">
        <is>
          <t>1</t>
        </is>
      </c>
      <c r="J2693" t="inlineStr">
        <is>
          <t>No</t>
        </is>
      </c>
      <c r="K2693" t="inlineStr">
        <is>
          <t>No</t>
        </is>
      </c>
      <c r="L2693" t="inlineStr">
        <is>
          <t>0</t>
        </is>
      </c>
      <c r="M2693" t="inlineStr">
        <is>
          <t>Simpson, David, 1951-</t>
        </is>
      </c>
      <c r="N2693" t="inlineStr">
        <is>
          <t>Totowa, N.J. : Rowman and Littlefield, 1979.</t>
        </is>
      </c>
      <c r="O2693" t="inlineStr">
        <is>
          <t>1979</t>
        </is>
      </c>
      <c r="Q2693" t="inlineStr">
        <is>
          <t>eng</t>
        </is>
      </c>
      <c r="R2693" t="inlineStr">
        <is>
          <t>nju</t>
        </is>
      </c>
      <c r="T2693" t="inlineStr">
        <is>
          <t xml:space="preserve">PR </t>
        </is>
      </c>
      <c r="U2693" t="n">
        <v>2</v>
      </c>
      <c r="V2693" t="n">
        <v>2</v>
      </c>
      <c r="W2693" t="inlineStr">
        <is>
          <t>1998-11-16</t>
        </is>
      </c>
      <c r="X2693" t="inlineStr">
        <is>
          <t>1998-11-16</t>
        </is>
      </c>
      <c r="Y2693" t="inlineStr">
        <is>
          <t>1991-09-09</t>
        </is>
      </c>
      <c r="Z2693" t="inlineStr">
        <is>
          <t>1991-09-09</t>
        </is>
      </c>
      <c r="AA2693" t="n">
        <v>366</v>
      </c>
      <c r="AB2693" t="n">
        <v>325</v>
      </c>
      <c r="AC2693" t="n">
        <v>385</v>
      </c>
      <c r="AD2693" t="n">
        <v>2</v>
      </c>
      <c r="AE2693" t="n">
        <v>4</v>
      </c>
      <c r="AF2693" t="n">
        <v>24</v>
      </c>
      <c r="AG2693" t="n">
        <v>27</v>
      </c>
      <c r="AH2693" t="n">
        <v>10</v>
      </c>
      <c r="AI2693" t="n">
        <v>11</v>
      </c>
      <c r="AJ2693" t="n">
        <v>8</v>
      </c>
      <c r="AK2693" t="n">
        <v>8</v>
      </c>
      <c r="AL2693" t="n">
        <v>14</v>
      </c>
      <c r="AM2693" t="n">
        <v>15</v>
      </c>
      <c r="AN2693" t="n">
        <v>1</v>
      </c>
      <c r="AO2693" t="n">
        <v>3</v>
      </c>
      <c r="AP2693" t="n">
        <v>0</v>
      </c>
      <c r="AQ2693" t="n">
        <v>0</v>
      </c>
      <c r="AR2693" t="inlineStr">
        <is>
          <t>No</t>
        </is>
      </c>
      <c r="AS2693" t="inlineStr">
        <is>
          <t>Yes</t>
        </is>
      </c>
      <c r="AT2693">
        <f>HYPERLINK("http://catalog.hathitrust.org/Record/008323585","HathiTrust Record")</f>
        <v/>
      </c>
      <c r="AU2693">
        <f>HYPERLINK("https://creighton-primo.hosted.exlibrisgroup.com/primo-explore/search?tab=default_tab&amp;search_scope=EVERYTHING&amp;vid=01CRU&amp;lang=en_US&amp;offset=0&amp;query=any,contains,991004715279702656","Catalog Record")</f>
        <v/>
      </c>
      <c r="AV2693">
        <f>HYPERLINK("http://www.worldcat.org/oclc/4775778","WorldCat Record")</f>
        <v/>
      </c>
      <c r="AW2693" t="inlineStr">
        <is>
          <t>15035580:eng</t>
        </is>
      </c>
      <c r="AX2693" t="inlineStr">
        <is>
          <t>4775778</t>
        </is>
      </c>
      <c r="AY2693" t="inlineStr">
        <is>
          <t>991004715279702656</t>
        </is>
      </c>
      <c r="AZ2693" t="inlineStr">
        <is>
          <t>991004715279702656</t>
        </is>
      </c>
      <c r="BA2693" t="inlineStr">
        <is>
          <t>2255436860002656</t>
        </is>
      </c>
      <c r="BB2693" t="inlineStr">
        <is>
          <t>BOOK</t>
        </is>
      </c>
      <c r="BD2693" t="inlineStr">
        <is>
          <t>9780847661725</t>
        </is>
      </c>
      <c r="BE2693" t="inlineStr">
        <is>
          <t>32285000738244</t>
        </is>
      </c>
      <c r="BF2693" t="inlineStr">
        <is>
          <t>893618993</t>
        </is>
      </c>
    </row>
    <row r="2694">
      <c r="A2694" t="inlineStr">
        <is>
          <t>No</t>
        </is>
      </c>
      <c r="B2694" t="inlineStr">
        <is>
          <t>CURAL</t>
        </is>
      </c>
      <c r="C2694" t="inlineStr">
        <is>
          <t>SHELVES</t>
        </is>
      </c>
      <c r="D2694" t="inlineStr">
        <is>
          <t>PR590 .W33 1985</t>
        </is>
      </c>
      <c r="E2694" t="inlineStr">
        <is>
          <t>0                      PR 0590000W  33          1985</t>
        </is>
      </c>
      <c r="F2694" t="inlineStr">
        <is>
          <t>English poetry of the Romantic period, 1789-1830 / J.R. Watson.</t>
        </is>
      </c>
      <c r="H2694" t="inlineStr">
        <is>
          <t>No</t>
        </is>
      </c>
      <c r="I2694" t="inlineStr">
        <is>
          <t>1</t>
        </is>
      </c>
      <c r="J2694" t="inlineStr">
        <is>
          <t>No</t>
        </is>
      </c>
      <c r="K2694" t="inlineStr">
        <is>
          <t>No</t>
        </is>
      </c>
      <c r="L2694" t="inlineStr">
        <is>
          <t>0</t>
        </is>
      </c>
      <c r="M2694" t="inlineStr">
        <is>
          <t>Watson, J. R. (John Richard), 1934-</t>
        </is>
      </c>
      <c r="N2694" t="inlineStr">
        <is>
          <t>London ; New York : Longman, 1985.</t>
        </is>
      </c>
      <c r="O2694" t="inlineStr">
        <is>
          <t>1985</t>
        </is>
      </c>
      <c r="Q2694" t="inlineStr">
        <is>
          <t>eng</t>
        </is>
      </c>
      <c r="R2694" t="inlineStr">
        <is>
          <t>enk</t>
        </is>
      </c>
      <c r="S2694" t="inlineStr">
        <is>
          <t>Longman literature in English series</t>
        </is>
      </c>
      <c r="T2694" t="inlineStr">
        <is>
          <t xml:space="preserve">PR </t>
        </is>
      </c>
      <c r="U2694" t="n">
        <v>13</v>
      </c>
      <c r="V2694" t="n">
        <v>13</v>
      </c>
      <c r="W2694" t="inlineStr">
        <is>
          <t>2005-10-27</t>
        </is>
      </c>
      <c r="X2694" t="inlineStr">
        <is>
          <t>2005-10-27</t>
        </is>
      </c>
      <c r="Y2694" t="inlineStr">
        <is>
          <t>1991-09-09</t>
        </is>
      </c>
      <c r="Z2694" t="inlineStr">
        <is>
          <t>1991-09-09</t>
        </is>
      </c>
      <c r="AA2694" t="n">
        <v>767</v>
      </c>
      <c r="AB2694" t="n">
        <v>566</v>
      </c>
      <c r="AC2694" t="n">
        <v>699</v>
      </c>
      <c r="AD2694" t="n">
        <v>8</v>
      </c>
      <c r="AE2694" t="n">
        <v>8</v>
      </c>
      <c r="AF2694" t="n">
        <v>29</v>
      </c>
      <c r="AG2694" t="n">
        <v>35</v>
      </c>
      <c r="AH2694" t="n">
        <v>11</v>
      </c>
      <c r="AI2694" t="n">
        <v>13</v>
      </c>
      <c r="AJ2694" t="n">
        <v>4</v>
      </c>
      <c r="AK2694" t="n">
        <v>8</v>
      </c>
      <c r="AL2694" t="n">
        <v>14</v>
      </c>
      <c r="AM2694" t="n">
        <v>17</v>
      </c>
      <c r="AN2694" t="n">
        <v>7</v>
      </c>
      <c r="AO2694" t="n">
        <v>7</v>
      </c>
      <c r="AP2694" t="n">
        <v>0</v>
      </c>
      <c r="AQ2694" t="n">
        <v>0</v>
      </c>
      <c r="AR2694" t="inlineStr">
        <is>
          <t>No</t>
        </is>
      </c>
      <c r="AS2694" t="inlineStr">
        <is>
          <t>Yes</t>
        </is>
      </c>
      <c r="AT2694">
        <f>HYPERLINK("http://catalog.hathitrust.org/Record/000379601","HathiTrust Record")</f>
        <v/>
      </c>
      <c r="AU2694">
        <f>HYPERLINK("https://creighton-primo.hosted.exlibrisgroup.com/primo-explore/search?tab=default_tab&amp;search_scope=EVERYTHING&amp;vid=01CRU&amp;lang=en_US&amp;offset=0&amp;query=any,contains,991000515759702656","Catalog Record")</f>
        <v/>
      </c>
      <c r="AV2694">
        <f>HYPERLINK("http://www.worldcat.org/oclc/11289509","WorldCat Record")</f>
        <v/>
      </c>
      <c r="AW2694" t="inlineStr">
        <is>
          <t>4092286:eng</t>
        </is>
      </c>
      <c r="AX2694" t="inlineStr">
        <is>
          <t>11289509</t>
        </is>
      </c>
      <c r="AY2694" t="inlineStr">
        <is>
          <t>991000515759702656</t>
        </is>
      </c>
      <c r="AZ2694" t="inlineStr">
        <is>
          <t>991000515759702656</t>
        </is>
      </c>
      <c r="BA2694" t="inlineStr">
        <is>
          <t>2272224360002656</t>
        </is>
      </c>
      <c r="BB2694" t="inlineStr">
        <is>
          <t>BOOK</t>
        </is>
      </c>
      <c r="BD2694" t="inlineStr">
        <is>
          <t>9780582492585</t>
        </is>
      </c>
      <c r="BE2694" t="inlineStr">
        <is>
          <t>32285000738269</t>
        </is>
      </c>
      <c r="BF2694" t="inlineStr">
        <is>
          <t>893407267</t>
        </is>
      </c>
    </row>
    <row r="2695">
      <c r="A2695" t="inlineStr">
        <is>
          <t>No</t>
        </is>
      </c>
      <c r="B2695" t="inlineStr">
        <is>
          <t>CURAL</t>
        </is>
      </c>
      <c r="C2695" t="inlineStr">
        <is>
          <t>SHELVES</t>
        </is>
      </c>
      <c r="D2695" t="inlineStr">
        <is>
          <t>PR590 .W4</t>
        </is>
      </c>
      <c r="E2695" t="inlineStr">
        <is>
          <t>0                      PR 0590000W  4</t>
        </is>
      </c>
      <c r="F2695" t="inlineStr">
        <is>
          <t>Romantic poets and epic tradition.</t>
        </is>
      </c>
      <c r="H2695" t="inlineStr">
        <is>
          <t>No</t>
        </is>
      </c>
      <c r="I2695" t="inlineStr">
        <is>
          <t>1</t>
        </is>
      </c>
      <c r="J2695" t="inlineStr">
        <is>
          <t>No</t>
        </is>
      </c>
      <c r="K2695" t="inlineStr">
        <is>
          <t>No</t>
        </is>
      </c>
      <c r="L2695" t="inlineStr">
        <is>
          <t>0</t>
        </is>
      </c>
      <c r="M2695" t="inlineStr">
        <is>
          <t>Wilkie, Brian, 1929-</t>
        </is>
      </c>
      <c r="N2695" t="inlineStr">
        <is>
          <t>Madison : University of Wisconsin Press, 1965.</t>
        </is>
      </c>
      <c r="O2695" t="inlineStr">
        <is>
          <t>1965</t>
        </is>
      </c>
      <c r="Q2695" t="inlineStr">
        <is>
          <t>eng</t>
        </is>
      </c>
      <c r="R2695" t="inlineStr">
        <is>
          <t>wiu</t>
        </is>
      </c>
      <c r="T2695" t="inlineStr">
        <is>
          <t xml:space="preserve">PR </t>
        </is>
      </c>
      <c r="U2695" t="n">
        <v>4</v>
      </c>
      <c r="V2695" t="n">
        <v>4</v>
      </c>
      <c r="W2695" t="inlineStr">
        <is>
          <t>2009-05-08</t>
        </is>
      </c>
      <c r="X2695" t="inlineStr">
        <is>
          <t>2009-05-08</t>
        </is>
      </c>
      <c r="Y2695" t="inlineStr">
        <is>
          <t>1995-04-24</t>
        </is>
      </c>
      <c r="Z2695" t="inlineStr">
        <is>
          <t>1995-04-24</t>
        </is>
      </c>
      <c r="AA2695" t="n">
        <v>826</v>
      </c>
      <c r="AB2695" t="n">
        <v>729</v>
      </c>
      <c r="AC2695" t="n">
        <v>738</v>
      </c>
      <c r="AD2695" t="n">
        <v>8</v>
      </c>
      <c r="AE2695" t="n">
        <v>8</v>
      </c>
      <c r="AF2695" t="n">
        <v>42</v>
      </c>
      <c r="AG2695" t="n">
        <v>42</v>
      </c>
      <c r="AH2695" t="n">
        <v>17</v>
      </c>
      <c r="AI2695" t="n">
        <v>17</v>
      </c>
      <c r="AJ2695" t="n">
        <v>7</v>
      </c>
      <c r="AK2695" t="n">
        <v>7</v>
      </c>
      <c r="AL2695" t="n">
        <v>22</v>
      </c>
      <c r="AM2695" t="n">
        <v>22</v>
      </c>
      <c r="AN2695" t="n">
        <v>7</v>
      </c>
      <c r="AO2695" t="n">
        <v>7</v>
      </c>
      <c r="AP2695" t="n">
        <v>0</v>
      </c>
      <c r="AQ2695" t="n">
        <v>0</v>
      </c>
      <c r="AR2695" t="inlineStr">
        <is>
          <t>No</t>
        </is>
      </c>
      <c r="AS2695" t="inlineStr">
        <is>
          <t>Yes</t>
        </is>
      </c>
      <c r="AT2695">
        <f>HYPERLINK("http://catalog.hathitrust.org/Record/001371753","HathiTrust Record")</f>
        <v/>
      </c>
      <c r="AU2695">
        <f>HYPERLINK("https://creighton-primo.hosted.exlibrisgroup.com/primo-explore/search?tab=default_tab&amp;search_scope=EVERYTHING&amp;vid=01CRU&amp;lang=en_US&amp;offset=0&amp;query=any,contains,991002439609702656","Catalog Record")</f>
        <v/>
      </c>
      <c r="AV2695">
        <f>HYPERLINK("http://www.worldcat.org/oclc/349747","WorldCat Record")</f>
        <v/>
      </c>
      <c r="AW2695" t="inlineStr">
        <is>
          <t>1510416:eng</t>
        </is>
      </c>
      <c r="AX2695" t="inlineStr">
        <is>
          <t>349747</t>
        </is>
      </c>
      <c r="AY2695" t="inlineStr">
        <is>
          <t>991002439609702656</t>
        </is>
      </c>
      <c r="AZ2695" t="inlineStr">
        <is>
          <t>991002439609702656</t>
        </is>
      </c>
      <c r="BA2695" t="inlineStr">
        <is>
          <t>2267171890002656</t>
        </is>
      </c>
      <c r="BB2695" t="inlineStr">
        <is>
          <t>BOOK</t>
        </is>
      </c>
      <c r="BE2695" t="inlineStr">
        <is>
          <t>32285002028719</t>
        </is>
      </c>
      <c r="BF2695" t="inlineStr">
        <is>
          <t>893879934</t>
        </is>
      </c>
    </row>
    <row r="2696">
      <c r="A2696" t="inlineStr">
        <is>
          <t>No</t>
        </is>
      </c>
      <c r="B2696" t="inlineStr">
        <is>
          <t>CURAL</t>
        </is>
      </c>
      <c r="C2696" t="inlineStr">
        <is>
          <t>SHELVES</t>
        </is>
      </c>
      <c r="D2696" t="inlineStr">
        <is>
          <t>PR5904.V53 A33 1995</t>
        </is>
      </c>
      <c r="E2696" t="inlineStr">
        <is>
          <t>0                      PR 5904000V  53                 A  33          1995</t>
        </is>
      </c>
      <c r="F2696" t="inlineStr">
        <is>
          <t>The book of Yeats's Vision : romantic modernism and antithetical tradition / by Hazard Adams.</t>
        </is>
      </c>
      <c r="H2696" t="inlineStr">
        <is>
          <t>No</t>
        </is>
      </c>
      <c r="I2696" t="inlineStr">
        <is>
          <t>1</t>
        </is>
      </c>
      <c r="J2696" t="inlineStr">
        <is>
          <t>No</t>
        </is>
      </c>
      <c r="K2696" t="inlineStr">
        <is>
          <t>No</t>
        </is>
      </c>
      <c r="L2696" t="inlineStr">
        <is>
          <t>0</t>
        </is>
      </c>
      <c r="M2696" t="inlineStr">
        <is>
          <t>Adams, Hazard, 1926-</t>
        </is>
      </c>
      <c r="N2696" t="inlineStr">
        <is>
          <t>Ann Arbor : University of Michigan Press, c1995.</t>
        </is>
      </c>
      <c r="O2696" t="inlineStr">
        <is>
          <t>1995</t>
        </is>
      </c>
      <c r="Q2696" t="inlineStr">
        <is>
          <t>eng</t>
        </is>
      </c>
      <c r="R2696" t="inlineStr">
        <is>
          <t>miu</t>
        </is>
      </c>
      <c r="T2696" t="inlineStr">
        <is>
          <t xml:space="preserve">PR </t>
        </is>
      </c>
      <c r="U2696" t="n">
        <v>2</v>
      </c>
      <c r="V2696" t="n">
        <v>2</v>
      </c>
      <c r="W2696" t="inlineStr">
        <is>
          <t>2001-09-23</t>
        </is>
      </c>
      <c r="X2696" t="inlineStr">
        <is>
          <t>2001-09-23</t>
        </is>
      </c>
      <c r="Y2696" t="inlineStr">
        <is>
          <t>1996-10-11</t>
        </is>
      </c>
      <c r="Z2696" t="inlineStr">
        <is>
          <t>1996-10-11</t>
        </is>
      </c>
      <c r="AA2696" t="n">
        <v>456</v>
      </c>
      <c r="AB2696" t="n">
        <v>398</v>
      </c>
      <c r="AC2696" t="n">
        <v>418</v>
      </c>
      <c r="AD2696" t="n">
        <v>4</v>
      </c>
      <c r="AE2696" t="n">
        <v>4</v>
      </c>
      <c r="AF2696" t="n">
        <v>26</v>
      </c>
      <c r="AG2696" t="n">
        <v>26</v>
      </c>
      <c r="AH2696" t="n">
        <v>13</v>
      </c>
      <c r="AI2696" t="n">
        <v>13</v>
      </c>
      <c r="AJ2696" t="n">
        <v>6</v>
      </c>
      <c r="AK2696" t="n">
        <v>6</v>
      </c>
      <c r="AL2696" t="n">
        <v>13</v>
      </c>
      <c r="AM2696" t="n">
        <v>13</v>
      </c>
      <c r="AN2696" t="n">
        <v>3</v>
      </c>
      <c r="AO2696" t="n">
        <v>3</v>
      </c>
      <c r="AP2696" t="n">
        <v>0</v>
      </c>
      <c r="AQ2696" t="n">
        <v>0</v>
      </c>
      <c r="AR2696" t="inlineStr">
        <is>
          <t>No</t>
        </is>
      </c>
      <c r="AS2696" t="inlineStr">
        <is>
          <t>Yes</t>
        </is>
      </c>
      <c r="AT2696">
        <f>HYPERLINK("http://catalog.hathitrust.org/Record/003075740","HathiTrust Record")</f>
        <v/>
      </c>
      <c r="AU2696">
        <f>HYPERLINK("https://creighton-primo.hosted.exlibrisgroup.com/primo-explore/search?tab=default_tab&amp;search_scope=EVERYTHING&amp;vid=01CRU&amp;lang=en_US&amp;offset=0&amp;query=any,contains,991002547419702656","Catalog Record")</f>
        <v/>
      </c>
      <c r="AV2696">
        <f>HYPERLINK("http://www.worldcat.org/oclc/33101599","WorldCat Record")</f>
        <v/>
      </c>
      <c r="AW2696" t="inlineStr">
        <is>
          <t>144182180:eng</t>
        </is>
      </c>
      <c r="AX2696" t="inlineStr">
        <is>
          <t>33101599</t>
        </is>
      </c>
      <c r="AY2696" t="inlineStr">
        <is>
          <t>991002547419702656</t>
        </is>
      </c>
      <c r="AZ2696" t="inlineStr">
        <is>
          <t>991002547419702656</t>
        </is>
      </c>
      <c r="BA2696" t="inlineStr">
        <is>
          <t>2272599680002656</t>
        </is>
      </c>
      <c r="BB2696" t="inlineStr">
        <is>
          <t>BOOK</t>
        </is>
      </c>
      <c r="BD2696" t="inlineStr">
        <is>
          <t>9780472106219</t>
        </is>
      </c>
      <c r="BE2696" t="inlineStr">
        <is>
          <t>32285002365640</t>
        </is>
      </c>
      <c r="BF2696" t="inlineStr">
        <is>
          <t>893510882</t>
        </is>
      </c>
    </row>
    <row r="2697">
      <c r="A2697" t="inlineStr">
        <is>
          <t>No</t>
        </is>
      </c>
      <c r="B2697" t="inlineStr">
        <is>
          <t>CURAL</t>
        </is>
      </c>
      <c r="C2697" t="inlineStr">
        <is>
          <t>SHELVES</t>
        </is>
      </c>
      <c r="D2697" t="inlineStr">
        <is>
          <t>PR5904.V53 V4</t>
        </is>
      </c>
      <c r="E2697" t="inlineStr">
        <is>
          <t>0                      PR 5904000V  53                 V  4</t>
        </is>
      </c>
      <c r="F2697" t="inlineStr">
        <is>
          <t>Yeats's Vision and the later plays.</t>
        </is>
      </c>
      <c r="H2697" t="inlineStr">
        <is>
          <t>No</t>
        </is>
      </c>
      <c r="I2697" t="inlineStr">
        <is>
          <t>1</t>
        </is>
      </c>
      <c r="J2697" t="inlineStr">
        <is>
          <t>No</t>
        </is>
      </c>
      <c r="K2697" t="inlineStr">
        <is>
          <t>No</t>
        </is>
      </c>
      <c r="L2697" t="inlineStr">
        <is>
          <t>0</t>
        </is>
      </c>
      <c r="M2697" t="inlineStr">
        <is>
          <t>Vendler, Helen, 1933-</t>
        </is>
      </c>
      <c r="N2697" t="inlineStr">
        <is>
          <t>Cambridge : Harvard University Press, [1963]</t>
        </is>
      </c>
      <c r="O2697" t="inlineStr">
        <is>
          <t>1963</t>
        </is>
      </c>
      <c r="Q2697" t="inlineStr">
        <is>
          <t>eng</t>
        </is>
      </c>
      <c r="R2697" t="inlineStr">
        <is>
          <t>mau</t>
        </is>
      </c>
      <c r="T2697" t="inlineStr">
        <is>
          <t xml:space="preserve">PR </t>
        </is>
      </c>
      <c r="U2697" t="n">
        <v>4</v>
      </c>
      <c r="V2697" t="n">
        <v>4</v>
      </c>
      <c r="W2697" t="inlineStr">
        <is>
          <t>2000-12-11</t>
        </is>
      </c>
      <c r="X2697" t="inlineStr">
        <is>
          <t>2000-12-11</t>
        </is>
      </c>
      <c r="Y2697" t="inlineStr">
        <is>
          <t>1993-03-26</t>
        </is>
      </c>
      <c r="Z2697" t="inlineStr">
        <is>
          <t>1993-03-26</t>
        </is>
      </c>
      <c r="AA2697" t="n">
        <v>859</v>
      </c>
      <c r="AB2697" t="n">
        <v>731</v>
      </c>
      <c r="AC2697" t="n">
        <v>760</v>
      </c>
      <c r="AD2697" t="n">
        <v>7</v>
      </c>
      <c r="AE2697" t="n">
        <v>7</v>
      </c>
      <c r="AF2697" t="n">
        <v>36</v>
      </c>
      <c r="AG2697" t="n">
        <v>37</v>
      </c>
      <c r="AH2697" t="n">
        <v>13</v>
      </c>
      <c r="AI2697" t="n">
        <v>13</v>
      </c>
      <c r="AJ2697" t="n">
        <v>7</v>
      </c>
      <c r="AK2697" t="n">
        <v>8</v>
      </c>
      <c r="AL2697" t="n">
        <v>17</v>
      </c>
      <c r="AM2697" t="n">
        <v>18</v>
      </c>
      <c r="AN2697" t="n">
        <v>6</v>
      </c>
      <c r="AO2697" t="n">
        <v>6</v>
      </c>
      <c r="AP2697" t="n">
        <v>0</v>
      </c>
      <c r="AQ2697" t="n">
        <v>0</v>
      </c>
      <c r="AR2697" t="inlineStr">
        <is>
          <t>No</t>
        </is>
      </c>
      <c r="AS2697" t="inlineStr">
        <is>
          <t>Yes</t>
        </is>
      </c>
      <c r="AT2697">
        <f>HYPERLINK("http://catalog.hathitrust.org/Record/001189140","HathiTrust Record")</f>
        <v/>
      </c>
      <c r="AU2697">
        <f>HYPERLINK("https://creighton-primo.hosted.exlibrisgroup.com/primo-explore/search?tab=default_tab&amp;search_scope=EVERYTHING&amp;vid=01CRU&amp;lang=en_US&amp;offset=0&amp;query=any,contains,991002218239702656","Catalog Record")</f>
        <v/>
      </c>
      <c r="AV2697">
        <f>HYPERLINK("http://www.worldcat.org/oclc/289394","WorldCat Record")</f>
        <v/>
      </c>
      <c r="AW2697" t="inlineStr">
        <is>
          <t>155398874:eng</t>
        </is>
      </c>
      <c r="AX2697" t="inlineStr">
        <is>
          <t>289394</t>
        </is>
      </c>
      <c r="AY2697" t="inlineStr">
        <is>
          <t>991002218239702656</t>
        </is>
      </c>
      <c r="AZ2697" t="inlineStr">
        <is>
          <t>991002218239702656</t>
        </is>
      </c>
      <c r="BA2697" t="inlineStr">
        <is>
          <t>2261951970002656</t>
        </is>
      </c>
      <c r="BB2697" t="inlineStr">
        <is>
          <t>BOOK</t>
        </is>
      </c>
      <c r="BE2697" t="inlineStr">
        <is>
          <t>32285001499705</t>
        </is>
      </c>
      <c r="BF2697" t="inlineStr">
        <is>
          <t>893232691</t>
        </is>
      </c>
    </row>
    <row r="2698">
      <c r="A2698" t="inlineStr">
        <is>
          <t>No</t>
        </is>
      </c>
      <c r="B2698" t="inlineStr">
        <is>
          <t>CURAL</t>
        </is>
      </c>
      <c r="C2698" t="inlineStr">
        <is>
          <t>SHELVES</t>
        </is>
      </c>
      <c r="D2698" t="inlineStr">
        <is>
          <t>PR5906 .A18 no.1</t>
        </is>
      </c>
      <c r="E2698" t="inlineStr">
        <is>
          <t>0                      PR 5906000A  18                                                      no.1</t>
        </is>
      </c>
      <c r="F2698" t="inlineStr">
        <is>
          <t>Yeats and the 1890s / editors: Robert O'Driscoll [and] Lorna Reynolds.</t>
        </is>
      </c>
      <c r="G2698" t="inlineStr">
        <is>
          <t>no.1*</t>
        </is>
      </c>
      <c r="H2698" t="inlineStr">
        <is>
          <t>No</t>
        </is>
      </c>
      <c r="I2698" t="inlineStr">
        <is>
          <t>1</t>
        </is>
      </c>
      <c r="J2698" t="inlineStr">
        <is>
          <t>No</t>
        </is>
      </c>
      <c r="K2698" t="inlineStr">
        <is>
          <t>No</t>
        </is>
      </c>
      <c r="L2698" t="inlineStr">
        <is>
          <t>0</t>
        </is>
      </c>
      <c r="N2698" t="inlineStr">
        <is>
          <t>Shannon, Irish University Press [1971]</t>
        </is>
      </c>
      <c r="O2698" t="inlineStr">
        <is>
          <t>1971</t>
        </is>
      </c>
      <c r="Q2698" t="inlineStr">
        <is>
          <t>eng</t>
        </is>
      </c>
      <c r="R2698" t="inlineStr">
        <is>
          <t xml:space="preserve">ie </t>
        </is>
      </c>
      <c r="S2698" t="inlineStr">
        <is>
          <t>Yeats studies ; no. 1</t>
        </is>
      </c>
      <c r="T2698" t="inlineStr">
        <is>
          <t xml:space="preserve">PR </t>
        </is>
      </c>
      <c r="U2698" t="n">
        <v>2</v>
      </c>
      <c r="V2698" t="n">
        <v>2</v>
      </c>
      <c r="W2698" t="inlineStr">
        <is>
          <t>2000-12-12</t>
        </is>
      </c>
      <c r="X2698" t="inlineStr">
        <is>
          <t>2000-12-12</t>
        </is>
      </c>
      <c r="Y2698" t="inlineStr">
        <is>
          <t>1997-07-28</t>
        </is>
      </c>
      <c r="Z2698" t="inlineStr">
        <is>
          <t>1997-07-28</t>
        </is>
      </c>
      <c r="AA2698" t="n">
        <v>103</v>
      </c>
      <c r="AB2698" t="n">
        <v>65</v>
      </c>
      <c r="AC2698" t="n">
        <v>70</v>
      </c>
      <c r="AD2698" t="n">
        <v>1</v>
      </c>
      <c r="AE2698" t="n">
        <v>1</v>
      </c>
      <c r="AF2698" t="n">
        <v>4</v>
      </c>
      <c r="AG2698" t="n">
        <v>4</v>
      </c>
      <c r="AH2698" t="n">
        <v>2</v>
      </c>
      <c r="AI2698" t="n">
        <v>2</v>
      </c>
      <c r="AJ2698" t="n">
        <v>1</v>
      </c>
      <c r="AK2698" t="n">
        <v>1</v>
      </c>
      <c r="AL2698" t="n">
        <v>4</v>
      </c>
      <c r="AM2698" t="n">
        <v>4</v>
      </c>
      <c r="AN2698" t="n">
        <v>0</v>
      </c>
      <c r="AO2698" t="n">
        <v>0</v>
      </c>
      <c r="AP2698" t="n">
        <v>0</v>
      </c>
      <c r="AQ2698" t="n">
        <v>0</v>
      </c>
      <c r="AR2698" t="inlineStr">
        <is>
          <t>No</t>
        </is>
      </c>
      <c r="AS2698" t="inlineStr">
        <is>
          <t>No</t>
        </is>
      </c>
      <c r="AU2698">
        <f>HYPERLINK("https://creighton-primo.hosted.exlibrisgroup.com/primo-explore/search?tab=default_tab&amp;search_scope=EVERYTHING&amp;vid=01CRU&amp;lang=en_US&amp;offset=0&amp;query=any,contains,991001905549702656","Catalog Record")</f>
        <v/>
      </c>
      <c r="AV2698">
        <f>HYPERLINK("http://www.worldcat.org/oclc/240322","WorldCat Record")</f>
        <v/>
      </c>
      <c r="AW2698" t="inlineStr">
        <is>
          <t>10678344375:eng</t>
        </is>
      </c>
      <c r="AX2698" t="inlineStr">
        <is>
          <t>240322</t>
        </is>
      </c>
      <c r="AY2698" t="inlineStr">
        <is>
          <t>991001905549702656</t>
        </is>
      </c>
      <c r="AZ2698" t="inlineStr">
        <is>
          <t>991001905549702656</t>
        </is>
      </c>
      <c r="BA2698" t="inlineStr">
        <is>
          <t>2272192450002656</t>
        </is>
      </c>
      <c r="BB2698" t="inlineStr">
        <is>
          <t>BOOK</t>
        </is>
      </c>
      <c r="BE2698" t="inlineStr">
        <is>
          <t>32285002991999</t>
        </is>
      </c>
      <c r="BF2698" t="inlineStr">
        <is>
          <t>893226214</t>
        </is>
      </c>
    </row>
    <row r="2699">
      <c r="A2699" t="inlineStr">
        <is>
          <t>No</t>
        </is>
      </c>
      <c r="B2699" t="inlineStr">
        <is>
          <t>CURAL</t>
        </is>
      </c>
      <c r="C2699" t="inlineStr">
        <is>
          <t>SHELVES</t>
        </is>
      </c>
      <c r="D2699" t="inlineStr">
        <is>
          <t>PR5906 .A18 no.2</t>
        </is>
      </c>
      <c r="E2699" t="inlineStr">
        <is>
          <t>0                      PR 5906000A  18                                                      no.2</t>
        </is>
      </c>
      <c r="F2699" t="inlineStr">
        <is>
          <t>Theatre and the visual arts: a centenary celebration of Jack Yeats and John Synge. Editors: Robert O'Driscoll [and] Lorna Reynolds.</t>
        </is>
      </c>
      <c r="G2699" t="inlineStr">
        <is>
          <t>no.2*</t>
        </is>
      </c>
      <c r="H2699" t="inlineStr">
        <is>
          <t>No</t>
        </is>
      </c>
      <c r="I2699" t="inlineStr">
        <is>
          <t>1</t>
        </is>
      </c>
      <c r="J2699" t="inlineStr">
        <is>
          <t>No</t>
        </is>
      </c>
      <c r="K2699" t="inlineStr">
        <is>
          <t>No</t>
        </is>
      </c>
      <c r="L2699" t="inlineStr">
        <is>
          <t>0</t>
        </is>
      </c>
      <c r="M2699" t="inlineStr">
        <is>
          <t>O'Driscoll, Robert.</t>
        </is>
      </c>
      <c r="N2699" t="inlineStr">
        <is>
          <t>Shannon, Irish University Press for University College, Galway [1972]</t>
        </is>
      </c>
      <c r="O2699" t="inlineStr">
        <is>
          <t>1972</t>
        </is>
      </c>
      <c r="Q2699" t="inlineStr">
        <is>
          <t>eng</t>
        </is>
      </c>
      <c r="R2699" t="inlineStr">
        <is>
          <t xml:space="preserve">ie </t>
        </is>
      </c>
      <c r="S2699" t="inlineStr">
        <is>
          <t>Yeats studies ; no. 2</t>
        </is>
      </c>
      <c r="T2699" t="inlineStr">
        <is>
          <t xml:space="preserve">PR </t>
        </is>
      </c>
      <c r="U2699" t="n">
        <v>2</v>
      </c>
      <c r="V2699" t="n">
        <v>2</v>
      </c>
      <c r="W2699" t="inlineStr">
        <is>
          <t>2007-11-11</t>
        </is>
      </c>
      <c r="X2699" t="inlineStr">
        <is>
          <t>2007-11-11</t>
        </is>
      </c>
      <c r="Y2699" t="inlineStr">
        <is>
          <t>1997-07-23</t>
        </is>
      </c>
      <c r="Z2699" t="inlineStr">
        <is>
          <t>1997-07-23</t>
        </is>
      </c>
      <c r="AA2699" t="n">
        <v>99</v>
      </c>
      <c r="AB2699" t="n">
        <v>64</v>
      </c>
      <c r="AC2699" t="n">
        <v>69</v>
      </c>
      <c r="AD2699" t="n">
        <v>1</v>
      </c>
      <c r="AE2699" t="n">
        <v>1</v>
      </c>
      <c r="AF2699" t="n">
        <v>5</v>
      </c>
      <c r="AG2699" t="n">
        <v>5</v>
      </c>
      <c r="AH2699" t="n">
        <v>2</v>
      </c>
      <c r="AI2699" t="n">
        <v>2</v>
      </c>
      <c r="AJ2699" t="n">
        <v>2</v>
      </c>
      <c r="AK2699" t="n">
        <v>2</v>
      </c>
      <c r="AL2699" t="n">
        <v>5</v>
      </c>
      <c r="AM2699" t="n">
        <v>5</v>
      </c>
      <c r="AN2699" t="n">
        <v>0</v>
      </c>
      <c r="AO2699" t="n">
        <v>0</v>
      </c>
      <c r="AP2699" t="n">
        <v>0</v>
      </c>
      <c r="AQ2699" t="n">
        <v>0</v>
      </c>
      <c r="AR2699" t="inlineStr">
        <is>
          <t>No</t>
        </is>
      </c>
      <c r="AS2699" t="inlineStr">
        <is>
          <t>No</t>
        </is>
      </c>
      <c r="AU2699">
        <f>HYPERLINK("https://creighton-primo.hosted.exlibrisgroup.com/primo-explore/search?tab=default_tab&amp;search_scope=EVERYTHING&amp;vid=01CRU&amp;lang=en_US&amp;offset=0&amp;query=any,contains,991003033929702656","Catalog Record")</f>
        <v/>
      </c>
      <c r="AV2699">
        <f>HYPERLINK("http://www.worldcat.org/oclc/596676","WorldCat Record")</f>
        <v/>
      </c>
      <c r="AW2699" t="inlineStr">
        <is>
          <t>1810562:eng</t>
        </is>
      </c>
      <c r="AX2699" t="inlineStr">
        <is>
          <t>596676</t>
        </is>
      </c>
      <c r="AY2699" t="inlineStr">
        <is>
          <t>991003033929702656</t>
        </is>
      </c>
      <c r="AZ2699" t="inlineStr">
        <is>
          <t>991003033929702656</t>
        </is>
      </c>
      <c r="BA2699" t="inlineStr">
        <is>
          <t>2270924880002656</t>
        </is>
      </c>
      <c r="BB2699" t="inlineStr">
        <is>
          <t>BOOK</t>
        </is>
      </c>
      <c r="BE2699" t="inlineStr">
        <is>
          <t>32285002952314</t>
        </is>
      </c>
      <c r="BF2699" t="inlineStr">
        <is>
          <t>893592112</t>
        </is>
      </c>
    </row>
    <row r="2700">
      <c r="A2700" t="inlineStr">
        <is>
          <t>No</t>
        </is>
      </c>
      <c r="B2700" t="inlineStr">
        <is>
          <t>CURAL</t>
        </is>
      </c>
      <c r="C2700" t="inlineStr">
        <is>
          <t>SHELVES</t>
        </is>
      </c>
      <c r="D2700" t="inlineStr">
        <is>
          <t>PR5906 .A2 1978</t>
        </is>
      </c>
      <c r="E2700" t="inlineStr">
        <is>
          <t>0                      PR 5906000A  2           1978</t>
        </is>
      </c>
      <c r="F2700" t="inlineStr">
        <is>
          <t>W. B. Yeats : a classified bibliography of criticism : including additions to Allan Wade's Bibliography of the writings of W. B. Yeats and a section on the Irish literary and dramatic revival / K. P. S. Jochum.</t>
        </is>
      </c>
      <c r="H2700" t="inlineStr">
        <is>
          <t>No</t>
        </is>
      </c>
      <c r="I2700" t="inlineStr">
        <is>
          <t>1</t>
        </is>
      </c>
      <c r="J2700" t="inlineStr">
        <is>
          <t>No</t>
        </is>
      </c>
      <c r="K2700" t="inlineStr">
        <is>
          <t>No</t>
        </is>
      </c>
      <c r="L2700" t="inlineStr">
        <is>
          <t>0</t>
        </is>
      </c>
      <c r="M2700" t="inlineStr">
        <is>
          <t>Jochum, K. P. S.</t>
        </is>
      </c>
      <c r="N2700" t="inlineStr">
        <is>
          <t>Urbana : University of Illinois Press, c1978.</t>
        </is>
      </c>
      <c r="O2700" t="inlineStr">
        <is>
          <t>1978</t>
        </is>
      </c>
      <c r="Q2700" t="inlineStr">
        <is>
          <t>eng</t>
        </is>
      </c>
      <c r="R2700" t="inlineStr">
        <is>
          <t>ilu</t>
        </is>
      </c>
      <c r="T2700" t="inlineStr">
        <is>
          <t xml:space="preserve">PR </t>
        </is>
      </c>
      <c r="U2700" t="n">
        <v>5</v>
      </c>
      <c r="V2700" t="n">
        <v>5</v>
      </c>
      <c r="W2700" t="inlineStr">
        <is>
          <t>2001-04-24</t>
        </is>
      </c>
      <c r="X2700" t="inlineStr">
        <is>
          <t>2001-04-24</t>
        </is>
      </c>
      <c r="Y2700" t="inlineStr">
        <is>
          <t>1992-06-23</t>
        </is>
      </c>
      <c r="Z2700" t="inlineStr">
        <is>
          <t>1992-06-23</t>
        </is>
      </c>
      <c r="AA2700" t="n">
        <v>491</v>
      </c>
      <c r="AB2700" t="n">
        <v>429</v>
      </c>
      <c r="AC2700" t="n">
        <v>444</v>
      </c>
      <c r="AD2700" t="n">
        <v>3</v>
      </c>
      <c r="AE2700" t="n">
        <v>3</v>
      </c>
      <c r="AF2700" t="n">
        <v>21</v>
      </c>
      <c r="AG2700" t="n">
        <v>22</v>
      </c>
      <c r="AH2700" t="n">
        <v>5</v>
      </c>
      <c r="AI2700" t="n">
        <v>6</v>
      </c>
      <c r="AJ2700" t="n">
        <v>7</v>
      </c>
      <c r="AK2700" t="n">
        <v>7</v>
      </c>
      <c r="AL2700" t="n">
        <v>13</v>
      </c>
      <c r="AM2700" t="n">
        <v>13</v>
      </c>
      <c r="AN2700" t="n">
        <v>2</v>
      </c>
      <c r="AO2700" t="n">
        <v>2</v>
      </c>
      <c r="AP2700" t="n">
        <v>0</v>
      </c>
      <c r="AQ2700" t="n">
        <v>0</v>
      </c>
      <c r="AR2700" t="inlineStr">
        <is>
          <t>No</t>
        </is>
      </c>
      <c r="AS2700" t="inlineStr">
        <is>
          <t>Yes</t>
        </is>
      </c>
      <c r="AT2700">
        <f>HYPERLINK("http://catalog.hathitrust.org/Record/000295640","HathiTrust Record")</f>
        <v/>
      </c>
      <c r="AU2700">
        <f>HYPERLINK("https://creighton-primo.hosted.exlibrisgroup.com/primo-explore/search?tab=default_tab&amp;search_scope=EVERYTHING&amp;vid=01CRU&amp;lang=en_US&amp;offset=0&amp;query=any,contains,991004382469702656","Catalog Record")</f>
        <v/>
      </c>
      <c r="AV2700">
        <f>HYPERLINK("http://www.worldcat.org/oclc/3224116","WorldCat Record")</f>
        <v/>
      </c>
      <c r="AW2700" t="inlineStr">
        <is>
          <t>23347772:eng</t>
        </is>
      </c>
      <c r="AX2700" t="inlineStr">
        <is>
          <t>3224116</t>
        </is>
      </c>
      <c r="AY2700" t="inlineStr">
        <is>
          <t>991004382469702656</t>
        </is>
      </c>
      <c r="AZ2700" t="inlineStr">
        <is>
          <t>991004382469702656</t>
        </is>
      </c>
      <c r="BA2700" t="inlineStr">
        <is>
          <t>2258561530002656</t>
        </is>
      </c>
      <c r="BB2700" t="inlineStr">
        <is>
          <t>BOOK</t>
        </is>
      </c>
      <c r="BD2700" t="inlineStr">
        <is>
          <t>9780252005770</t>
        </is>
      </c>
      <c r="BE2700" t="inlineStr">
        <is>
          <t>32285001133312</t>
        </is>
      </c>
      <c r="BF2700" t="inlineStr">
        <is>
          <t>893605952</t>
        </is>
      </c>
    </row>
    <row r="2701">
      <c r="A2701" t="inlineStr">
        <is>
          <t>No</t>
        </is>
      </c>
      <c r="B2701" t="inlineStr">
        <is>
          <t>CURAL</t>
        </is>
      </c>
      <c r="C2701" t="inlineStr">
        <is>
          <t>SHELVES</t>
        </is>
      </c>
      <c r="D2701" t="inlineStr">
        <is>
          <t>PR5906 .A69 1982</t>
        </is>
      </c>
      <c r="E2701" t="inlineStr">
        <is>
          <t>0                      PR 5906000A  69          1982</t>
        </is>
      </c>
      <c r="F2701" t="inlineStr">
        <is>
          <t>Yeat's epitaph : a key to symbolic unity in his life and work / James Lovic Allen.</t>
        </is>
      </c>
      <c r="H2701" t="inlineStr">
        <is>
          <t>No</t>
        </is>
      </c>
      <c r="I2701" t="inlineStr">
        <is>
          <t>1</t>
        </is>
      </c>
      <c r="J2701" t="inlineStr">
        <is>
          <t>No</t>
        </is>
      </c>
      <c r="K2701" t="inlineStr">
        <is>
          <t>No</t>
        </is>
      </c>
      <c r="L2701" t="inlineStr">
        <is>
          <t>0</t>
        </is>
      </c>
      <c r="M2701" t="inlineStr">
        <is>
          <t>Allen, James Lovic, 1929-</t>
        </is>
      </c>
      <c r="N2701" t="inlineStr">
        <is>
          <t>Washington, D.C. : University Press of America, c1982.</t>
        </is>
      </c>
      <c r="O2701" t="inlineStr">
        <is>
          <t>1982</t>
        </is>
      </c>
      <c r="Q2701" t="inlineStr">
        <is>
          <t>eng</t>
        </is>
      </c>
      <c r="R2701" t="inlineStr">
        <is>
          <t>dcu</t>
        </is>
      </c>
      <c r="T2701" t="inlineStr">
        <is>
          <t xml:space="preserve">PR </t>
        </is>
      </c>
      <c r="U2701" t="n">
        <v>2</v>
      </c>
      <c r="V2701" t="n">
        <v>2</v>
      </c>
      <c r="W2701" t="inlineStr">
        <is>
          <t>2007-11-26</t>
        </is>
      </c>
      <c r="X2701" t="inlineStr">
        <is>
          <t>2007-11-26</t>
        </is>
      </c>
      <c r="Y2701" t="inlineStr">
        <is>
          <t>1992-06-23</t>
        </is>
      </c>
      <c r="Z2701" t="inlineStr">
        <is>
          <t>1992-06-23</t>
        </is>
      </c>
      <c r="AA2701" t="n">
        <v>280</v>
      </c>
      <c r="AB2701" t="n">
        <v>235</v>
      </c>
      <c r="AC2701" t="n">
        <v>253</v>
      </c>
      <c r="AD2701" t="n">
        <v>4</v>
      </c>
      <c r="AE2701" t="n">
        <v>4</v>
      </c>
      <c r="AF2701" t="n">
        <v>13</v>
      </c>
      <c r="AG2701" t="n">
        <v>14</v>
      </c>
      <c r="AH2701" t="n">
        <v>4</v>
      </c>
      <c r="AI2701" t="n">
        <v>4</v>
      </c>
      <c r="AJ2701" t="n">
        <v>5</v>
      </c>
      <c r="AK2701" t="n">
        <v>6</v>
      </c>
      <c r="AL2701" t="n">
        <v>4</v>
      </c>
      <c r="AM2701" t="n">
        <v>5</v>
      </c>
      <c r="AN2701" t="n">
        <v>3</v>
      </c>
      <c r="AO2701" t="n">
        <v>3</v>
      </c>
      <c r="AP2701" t="n">
        <v>0</v>
      </c>
      <c r="AQ2701" t="n">
        <v>0</v>
      </c>
      <c r="AR2701" t="inlineStr">
        <is>
          <t>No</t>
        </is>
      </c>
      <c r="AS2701" t="inlineStr">
        <is>
          <t>No</t>
        </is>
      </c>
      <c r="AU2701">
        <f>HYPERLINK("https://creighton-primo.hosted.exlibrisgroup.com/primo-explore/search?tab=default_tab&amp;search_scope=EVERYTHING&amp;vid=01CRU&amp;lang=en_US&amp;offset=0&amp;query=any,contains,991000016259702656","Catalog Record")</f>
        <v/>
      </c>
      <c r="AV2701">
        <f>HYPERLINK("http://www.worldcat.org/oclc/8553066","WorldCat Record")</f>
        <v/>
      </c>
      <c r="AW2701" t="inlineStr">
        <is>
          <t>309026805:eng</t>
        </is>
      </c>
      <c r="AX2701" t="inlineStr">
        <is>
          <t>8553066</t>
        </is>
      </c>
      <c r="AY2701" t="inlineStr">
        <is>
          <t>991000016259702656</t>
        </is>
      </c>
      <c r="AZ2701" t="inlineStr">
        <is>
          <t>991000016259702656</t>
        </is>
      </c>
      <c r="BA2701" t="inlineStr">
        <is>
          <t>2258920060002656</t>
        </is>
      </c>
      <c r="BB2701" t="inlineStr">
        <is>
          <t>BOOK</t>
        </is>
      </c>
      <c r="BD2701" t="inlineStr">
        <is>
          <t>9780819125934</t>
        </is>
      </c>
      <c r="BE2701" t="inlineStr">
        <is>
          <t>32285001133403</t>
        </is>
      </c>
      <c r="BF2701" t="inlineStr">
        <is>
          <t>893502145</t>
        </is>
      </c>
    </row>
    <row r="2702">
      <c r="A2702" t="inlineStr">
        <is>
          <t>No</t>
        </is>
      </c>
      <c r="B2702" t="inlineStr">
        <is>
          <t>CURAL</t>
        </is>
      </c>
      <c r="C2702" t="inlineStr">
        <is>
          <t>SHELVES</t>
        </is>
      </c>
      <c r="D2702" t="inlineStr">
        <is>
          <t>PR5906 .E38</t>
        </is>
      </c>
      <c r="E2702" t="inlineStr">
        <is>
          <t>0                      PR 5906000E  38</t>
        </is>
      </c>
      <c r="F2702" t="inlineStr">
        <is>
          <t>Eminent domain; Yeats among Wilde, Joyce, Pound, Eliot, and Auden.</t>
        </is>
      </c>
      <c r="H2702" t="inlineStr">
        <is>
          <t>No</t>
        </is>
      </c>
      <c r="I2702" t="inlineStr">
        <is>
          <t>1</t>
        </is>
      </c>
      <c r="J2702" t="inlineStr">
        <is>
          <t>No</t>
        </is>
      </c>
      <c r="K2702" t="inlineStr">
        <is>
          <t>No</t>
        </is>
      </c>
      <c r="L2702" t="inlineStr">
        <is>
          <t>0</t>
        </is>
      </c>
      <c r="M2702" t="inlineStr">
        <is>
          <t>Ellmann, Richard, 1918-1987.</t>
        </is>
      </c>
      <c r="N2702" t="inlineStr">
        <is>
          <t>New York, Oxford University Press, 1967.</t>
        </is>
      </c>
      <c r="O2702" t="inlineStr">
        <is>
          <t>1967</t>
        </is>
      </c>
      <c r="Q2702" t="inlineStr">
        <is>
          <t>eng</t>
        </is>
      </c>
      <c r="R2702" t="inlineStr">
        <is>
          <t>nyu</t>
        </is>
      </c>
      <c r="T2702" t="inlineStr">
        <is>
          <t xml:space="preserve">PR </t>
        </is>
      </c>
      <c r="U2702" t="n">
        <v>1</v>
      </c>
      <c r="V2702" t="n">
        <v>1</v>
      </c>
      <c r="W2702" t="inlineStr">
        <is>
          <t>2001-04-04</t>
        </is>
      </c>
      <c r="X2702" t="inlineStr">
        <is>
          <t>2001-04-04</t>
        </is>
      </c>
      <c r="Y2702" t="inlineStr">
        <is>
          <t>1997-07-23</t>
        </is>
      </c>
      <c r="Z2702" t="inlineStr">
        <is>
          <t>1997-07-23</t>
        </is>
      </c>
      <c r="AA2702" t="n">
        <v>1469</v>
      </c>
      <c r="AB2702" t="n">
        <v>1272</v>
      </c>
      <c r="AC2702" t="n">
        <v>1318</v>
      </c>
      <c r="AD2702" t="n">
        <v>10</v>
      </c>
      <c r="AE2702" t="n">
        <v>10</v>
      </c>
      <c r="AF2702" t="n">
        <v>51</v>
      </c>
      <c r="AG2702" t="n">
        <v>52</v>
      </c>
      <c r="AH2702" t="n">
        <v>20</v>
      </c>
      <c r="AI2702" t="n">
        <v>20</v>
      </c>
      <c r="AJ2702" t="n">
        <v>10</v>
      </c>
      <c r="AK2702" t="n">
        <v>10</v>
      </c>
      <c r="AL2702" t="n">
        <v>23</v>
      </c>
      <c r="AM2702" t="n">
        <v>24</v>
      </c>
      <c r="AN2702" t="n">
        <v>9</v>
      </c>
      <c r="AO2702" t="n">
        <v>9</v>
      </c>
      <c r="AP2702" t="n">
        <v>0</v>
      </c>
      <c r="AQ2702" t="n">
        <v>0</v>
      </c>
      <c r="AR2702" t="inlineStr">
        <is>
          <t>No</t>
        </is>
      </c>
      <c r="AS2702" t="inlineStr">
        <is>
          <t>Yes</t>
        </is>
      </c>
      <c r="AT2702">
        <f>HYPERLINK("http://catalog.hathitrust.org/Record/001025000","HathiTrust Record")</f>
        <v/>
      </c>
      <c r="AU2702">
        <f>HYPERLINK("https://creighton-primo.hosted.exlibrisgroup.com/primo-explore/search?tab=default_tab&amp;search_scope=EVERYTHING&amp;vid=01CRU&amp;lang=en_US&amp;offset=0&amp;query=any,contains,991003184999702656","Catalog Record")</f>
        <v/>
      </c>
      <c r="AV2702">
        <f>HYPERLINK("http://www.worldcat.org/oclc/712560","WorldCat Record")</f>
        <v/>
      </c>
      <c r="AW2702" t="inlineStr">
        <is>
          <t>197769848:eng</t>
        </is>
      </c>
      <c r="AX2702" t="inlineStr">
        <is>
          <t>712560</t>
        </is>
      </c>
      <c r="AY2702" t="inlineStr">
        <is>
          <t>991003184999702656</t>
        </is>
      </c>
      <c r="AZ2702" t="inlineStr">
        <is>
          <t>991003184999702656</t>
        </is>
      </c>
      <c r="BA2702" t="inlineStr">
        <is>
          <t>2256676190002656</t>
        </is>
      </c>
      <c r="BB2702" t="inlineStr">
        <is>
          <t>BOOK</t>
        </is>
      </c>
      <c r="BE2702" t="inlineStr">
        <is>
          <t>32285002952413</t>
        </is>
      </c>
      <c r="BF2702" t="inlineStr">
        <is>
          <t>893780688</t>
        </is>
      </c>
    </row>
    <row r="2703">
      <c r="A2703" t="inlineStr">
        <is>
          <t>No</t>
        </is>
      </c>
      <c r="B2703" t="inlineStr">
        <is>
          <t>CURAL</t>
        </is>
      </c>
      <c r="C2703" t="inlineStr">
        <is>
          <t>SHELVES</t>
        </is>
      </c>
      <c r="D2703" t="inlineStr">
        <is>
          <t>PR5906 .E39</t>
        </is>
      </c>
      <c r="E2703" t="inlineStr">
        <is>
          <t>0                      PR 5906000E  39</t>
        </is>
      </c>
      <c r="F2703" t="inlineStr">
        <is>
          <t>The identity of Yeats.</t>
        </is>
      </c>
      <c r="H2703" t="inlineStr">
        <is>
          <t>No</t>
        </is>
      </c>
      <c r="I2703" t="inlineStr">
        <is>
          <t>1</t>
        </is>
      </c>
      <c r="J2703" t="inlineStr">
        <is>
          <t>No</t>
        </is>
      </c>
      <c r="K2703" t="inlineStr">
        <is>
          <t>No</t>
        </is>
      </c>
      <c r="L2703" t="inlineStr">
        <is>
          <t>0</t>
        </is>
      </c>
      <c r="M2703" t="inlineStr">
        <is>
          <t>Ellmann, Richard, 1918-1987.</t>
        </is>
      </c>
      <c r="N2703" t="inlineStr">
        <is>
          <t>New York : Oxford University Press, 1954.</t>
        </is>
      </c>
      <c r="O2703" t="inlineStr">
        <is>
          <t>1954</t>
        </is>
      </c>
      <c r="Q2703" t="inlineStr">
        <is>
          <t>eng</t>
        </is>
      </c>
      <c r="R2703" t="inlineStr">
        <is>
          <t>nyu</t>
        </is>
      </c>
      <c r="T2703" t="inlineStr">
        <is>
          <t xml:space="preserve">PR </t>
        </is>
      </c>
      <c r="U2703" t="n">
        <v>17</v>
      </c>
      <c r="V2703" t="n">
        <v>17</v>
      </c>
      <c r="W2703" t="inlineStr">
        <is>
          <t>2008-01-09</t>
        </is>
      </c>
      <c r="X2703" t="inlineStr">
        <is>
          <t>2008-01-09</t>
        </is>
      </c>
      <c r="Y2703" t="inlineStr">
        <is>
          <t>1993-08-20</t>
        </is>
      </c>
      <c r="Z2703" t="inlineStr">
        <is>
          <t>1993-08-20</t>
        </is>
      </c>
      <c r="AA2703" t="n">
        <v>427</v>
      </c>
      <c r="AB2703" t="n">
        <v>402</v>
      </c>
      <c r="AC2703" t="n">
        <v>1224</v>
      </c>
      <c r="AD2703" t="n">
        <v>5</v>
      </c>
      <c r="AE2703" t="n">
        <v>10</v>
      </c>
      <c r="AF2703" t="n">
        <v>20</v>
      </c>
      <c r="AG2703" t="n">
        <v>53</v>
      </c>
      <c r="AH2703" t="n">
        <v>5</v>
      </c>
      <c r="AI2703" t="n">
        <v>21</v>
      </c>
      <c r="AJ2703" t="n">
        <v>5</v>
      </c>
      <c r="AK2703" t="n">
        <v>11</v>
      </c>
      <c r="AL2703" t="n">
        <v>10</v>
      </c>
      <c r="AM2703" t="n">
        <v>24</v>
      </c>
      <c r="AN2703" t="n">
        <v>4</v>
      </c>
      <c r="AO2703" t="n">
        <v>9</v>
      </c>
      <c r="AP2703" t="n">
        <v>0</v>
      </c>
      <c r="AQ2703" t="n">
        <v>0</v>
      </c>
      <c r="AR2703" t="inlineStr">
        <is>
          <t>Yes</t>
        </is>
      </c>
      <c r="AS2703" t="inlineStr">
        <is>
          <t>No</t>
        </is>
      </c>
      <c r="AT2703">
        <f>HYPERLINK("http://catalog.hathitrust.org/Record/001112910","HathiTrust Record")</f>
        <v/>
      </c>
      <c r="AU2703">
        <f>HYPERLINK("https://creighton-primo.hosted.exlibrisgroup.com/primo-explore/search?tab=default_tab&amp;search_scope=EVERYTHING&amp;vid=01CRU&amp;lang=en_US&amp;offset=0&amp;query=any,contains,991002261419702656","Catalog Record")</f>
        <v/>
      </c>
      <c r="AV2703">
        <f>HYPERLINK("http://www.worldcat.org/oclc/304396","WorldCat Record")</f>
        <v/>
      </c>
      <c r="AW2703" t="inlineStr">
        <is>
          <t>19784522:eng</t>
        </is>
      </c>
      <c r="AX2703" t="inlineStr">
        <is>
          <t>304396</t>
        </is>
      </c>
      <c r="AY2703" t="inlineStr">
        <is>
          <t>991002261419702656</t>
        </is>
      </c>
      <c r="AZ2703" t="inlineStr">
        <is>
          <t>991002261419702656</t>
        </is>
      </c>
      <c r="BA2703" t="inlineStr">
        <is>
          <t>2271318690002656</t>
        </is>
      </c>
      <c r="BB2703" t="inlineStr">
        <is>
          <t>BOOK</t>
        </is>
      </c>
      <c r="BE2703" t="inlineStr">
        <is>
          <t>32285001760288</t>
        </is>
      </c>
      <c r="BF2703" t="inlineStr">
        <is>
          <t>893529751</t>
        </is>
      </c>
    </row>
    <row r="2704">
      <c r="A2704" t="inlineStr">
        <is>
          <t>No</t>
        </is>
      </c>
      <c r="B2704" t="inlineStr">
        <is>
          <t>CURAL</t>
        </is>
      </c>
      <c r="C2704" t="inlineStr">
        <is>
          <t>SHELVES</t>
        </is>
      </c>
      <c r="D2704" t="inlineStr">
        <is>
          <t>PR5906 .E4</t>
        </is>
      </c>
      <c r="E2704" t="inlineStr">
        <is>
          <t>0                      PR 5906000E  4</t>
        </is>
      </c>
      <c r="F2704" t="inlineStr">
        <is>
          <t>Yeats, the man and the masks.</t>
        </is>
      </c>
      <c r="H2704" t="inlineStr">
        <is>
          <t>No</t>
        </is>
      </c>
      <c r="I2704" t="inlineStr">
        <is>
          <t>1</t>
        </is>
      </c>
      <c r="J2704" t="inlineStr">
        <is>
          <t>No</t>
        </is>
      </c>
      <c r="K2704" t="inlineStr">
        <is>
          <t>No</t>
        </is>
      </c>
      <c r="L2704" t="inlineStr">
        <is>
          <t>0</t>
        </is>
      </c>
      <c r="M2704" t="inlineStr">
        <is>
          <t>Ellmann, Richard, 1918-1987.</t>
        </is>
      </c>
      <c r="N2704" t="inlineStr">
        <is>
          <t>New York, Dutton [c1948]</t>
        </is>
      </c>
      <c r="O2704" t="inlineStr">
        <is>
          <t>1948</t>
        </is>
      </c>
      <c r="Q2704" t="inlineStr">
        <is>
          <t>eng</t>
        </is>
      </c>
      <c r="R2704" t="inlineStr">
        <is>
          <t>nyu</t>
        </is>
      </c>
      <c r="S2704" t="inlineStr">
        <is>
          <t>A Dutton everyman paperback, D24</t>
        </is>
      </c>
      <c r="T2704" t="inlineStr">
        <is>
          <t xml:space="preserve">PR </t>
        </is>
      </c>
      <c r="U2704" t="n">
        <v>16</v>
      </c>
      <c r="V2704" t="n">
        <v>16</v>
      </c>
      <c r="W2704" t="inlineStr">
        <is>
          <t>2007-12-04</t>
        </is>
      </c>
      <c r="X2704" t="inlineStr">
        <is>
          <t>2007-12-04</t>
        </is>
      </c>
      <c r="Y2704" t="inlineStr">
        <is>
          <t>1992-12-07</t>
        </is>
      </c>
      <c r="Z2704" t="inlineStr">
        <is>
          <t>1992-12-07</t>
        </is>
      </c>
      <c r="AA2704" t="n">
        <v>398</v>
      </c>
      <c r="AB2704" t="n">
        <v>345</v>
      </c>
      <c r="AC2704" t="n">
        <v>1491</v>
      </c>
      <c r="AD2704" t="n">
        <v>3</v>
      </c>
      <c r="AE2704" t="n">
        <v>11</v>
      </c>
      <c r="AF2704" t="n">
        <v>7</v>
      </c>
      <c r="AG2704" t="n">
        <v>59</v>
      </c>
      <c r="AH2704" t="n">
        <v>3</v>
      </c>
      <c r="AI2704" t="n">
        <v>27</v>
      </c>
      <c r="AJ2704" t="n">
        <v>1</v>
      </c>
      <c r="AK2704" t="n">
        <v>11</v>
      </c>
      <c r="AL2704" t="n">
        <v>2</v>
      </c>
      <c r="AM2704" t="n">
        <v>26</v>
      </c>
      <c r="AN2704" t="n">
        <v>1</v>
      </c>
      <c r="AO2704" t="n">
        <v>9</v>
      </c>
      <c r="AP2704" t="n">
        <v>0</v>
      </c>
      <c r="AQ2704" t="n">
        <v>0</v>
      </c>
      <c r="AR2704" t="inlineStr">
        <is>
          <t>Yes</t>
        </is>
      </c>
      <c r="AS2704" t="inlineStr">
        <is>
          <t>No</t>
        </is>
      </c>
      <c r="AT2704">
        <f>HYPERLINK("http://catalog.hathitrust.org/Record/006727764","HathiTrust Record")</f>
        <v/>
      </c>
      <c r="AU2704">
        <f>HYPERLINK("https://creighton-primo.hosted.exlibrisgroup.com/primo-explore/search?tab=default_tab&amp;search_scope=EVERYTHING&amp;vid=01CRU&amp;lang=en_US&amp;offset=0&amp;query=any,contains,991005356039702656","Catalog Record")</f>
        <v/>
      </c>
      <c r="AV2704">
        <f>HYPERLINK("http://www.worldcat.org/oclc/607363","WorldCat Record")</f>
        <v/>
      </c>
      <c r="AW2704" t="inlineStr">
        <is>
          <t>196526175:eng</t>
        </is>
      </c>
      <c r="AX2704" t="inlineStr">
        <is>
          <t>607363</t>
        </is>
      </c>
      <c r="AY2704" t="inlineStr">
        <is>
          <t>991005356039702656</t>
        </is>
      </c>
      <c r="AZ2704" t="inlineStr">
        <is>
          <t>991005356039702656</t>
        </is>
      </c>
      <c r="BA2704" t="inlineStr">
        <is>
          <t>2261958160002656</t>
        </is>
      </c>
      <c r="BB2704" t="inlineStr">
        <is>
          <t>BOOK</t>
        </is>
      </c>
      <c r="BE2704" t="inlineStr">
        <is>
          <t>32285001466381</t>
        </is>
      </c>
      <c r="BF2704" t="inlineStr">
        <is>
          <t>893248779</t>
        </is>
      </c>
    </row>
    <row r="2705">
      <c r="A2705" t="inlineStr">
        <is>
          <t>No</t>
        </is>
      </c>
      <c r="B2705" t="inlineStr">
        <is>
          <t>CURAL</t>
        </is>
      </c>
      <c r="C2705" t="inlineStr">
        <is>
          <t>SHELVES</t>
        </is>
      </c>
      <c r="D2705" t="inlineStr">
        <is>
          <t>PR5906 .F7 1958</t>
        </is>
      </c>
      <c r="E2705" t="inlineStr">
        <is>
          <t>0                      PR 5906000F  7           1958</t>
        </is>
      </c>
      <c r="F2705" t="inlineStr">
        <is>
          <t>W.B. Yeats / by G. S. Fraser.</t>
        </is>
      </c>
      <c r="H2705" t="inlineStr">
        <is>
          <t>No</t>
        </is>
      </c>
      <c r="I2705" t="inlineStr">
        <is>
          <t>1</t>
        </is>
      </c>
      <c r="J2705" t="inlineStr">
        <is>
          <t>No</t>
        </is>
      </c>
      <c r="K2705" t="inlineStr">
        <is>
          <t>No</t>
        </is>
      </c>
      <c r="L2705" t="inlineStr">
        <is>
          <t>0</t>
        </is>
      </c>
      <c r="M2705" t="inlineStr">
        <is>
          <t>Fraser, G. S. (George Sutherland), 1915-1980.</t>
        </is>
      </c>
      <c r="N2705" t="inlineStr">
        <is>
          <t>London ; New York : Published for the British Council and the National Book League by Longmans, Green, 1958.</t>
        </is>
      </c>
      <c r="O2705" t="inlineStr">
        <is>
          <t>1958</t>
        </is>
      </c>
      <c r="Q2705" t="inlineStr">
        <is>
          <t>eng</t>
        </is>
      </c>
      <c r="R2705" t="inlineStr">
        <is>
          <t>enk</t>
        </is>
      </c>
      <c r="S2705" t="inlineStr">
        <is>
          <t>Bibliographical series of supplements to British book news on writers and their work ; no. 50</t>
        </is>
      </c>
      <c r="T2705" t="inlineStr">
        <is>
          <t xml:space="preserve">PR </t>
        </is>
      </c>
      <c r="U2705" t="n">
        <v>3</v>
      </c>
      <c r="V2705" t="n">
        <v>3</v>
      </c>
      <c r="W2705" t="inlineStr">
        <is>
          <t>2003-04-07</t>
        </is>
      </c>
      <c r="X2705" t="inlineStr">
        <is>
          <t>2003-04-07</t>
        </is>
      </c>
      <c r="Y2705" t="inlineStr">
        <is>
          <t>1998-01-09</t>
        </is>
      </c>
      <c r="Z2705" t="inlineStr">
        <is>
          <t>1998-01-09</t>
        </is>
      </c>
      <c r="AA2705" t="n">
        <v>33</v>
      </c>
      <c r="AB2705" t="n">
        <v>27</v>
      </c>
      <c r="AC2705" t="n">
        <v>563</v>
      </c>
      <c r="AD2705" t="n">
        <v>1</v>
      </c>
      <c r="AE2705" t="n">
        <v>6</v>
      </c>
      <c r="AF2705" t="n">
        <v>2</v>
      </c>
      <c r="AG2705" t="n">
        <v>35</v>
      </c>
      <c r="AH2705" t="n">
        <v>1</v>
      </c>
      <c r="AI2705" t="n">
        <v>12</v>
      </c>
      <c r="AJ2705" t="n">
        <v>1</v>
      </c>
      <c r="AK2705" t="n">
        <v>7</v>
      </c>
      <c r="AL2705" t="n">
        <v>1</v>
      </c>
      <c r="AM2705" t="n">
        <v>18</v>
      </c>
      <c r="AN2705" t="n">
        <v>0</v>
      </c>
      <c r="AO2705" t="n">
        <v>5</v>
      </c>
      <c r="AP2705" t="n">
        <v>0</v>
      </c>
      <c r="AQ2705" t="n">
        <v>0</v>
      </c>
      <c r="AR2705" t="inlineStr">
        <is>
          <t>No</t>
        </is>
      </c>
      <c r="AS2705" t="inlineStr">
        <is>
          <t>No</t>
        </is>
      </c>
      <c r="AU2705">
        <f>HYPERLINK("https://creighton-primo.hosted.exlibrisgroup.com/primo-explore/search?tab=default_tab&amp;search_scope=EVERYTHING&amp;vid=01CRU&amp;lang=en_US&amp;offset=0&amp;query=any,contains,991004881649702656","Catalog Record")</f>
        <v/>
      </c>
      <c r="AV2705">
        <f>HYPERLINK("http://www.worldcat.org/oclc/5821797","WorldCat Record")</f>
        <v/>
      </c>
      <c r="AW2705" t="inlineStr">
        <is>
          <t>4918821795:eng</t>
        </is>
      </c>
      <c r="AX2705" t="inlineStr">
        <is>
          <t>5821797</t>
        </is>
      </c>
      <c r="AY2705" t="inlineStr">
        <is>
          <t>991004881649702656</t>
        </is>
      </c>
      <c r="AZ2705" t="inlineStr">
        <is>
          <t>991004881649702656</t>
        </is>
      </c>
      <c r="BA2705" t="inlineStr">
        <is>
          <t>2265983780002656</t>
        </is>
      </c>
      <c r="BB2705" t="inlineStr">
        <is>
          <t>BOOK</t>
        </is>
      </c>
      <c r="BE2705" t="inlineStr">
        <is>
          <t>32285003302402</t>
        </is>
      </c>
      <c r="BF2705" t="inlineStr">
        <is>
          <t>893807578</t>
        </is>
      </c>
    </row>
    <row r="2706">
      <c r="A2706" t="inlineStr">
        <is>
          <t>No</t>
        </is>
      </c>
      <c r="B2706" t="inlineStr">
        <is>
          <t>CURAL</t>
        </is>
      </c>
      <c r="C2706" t="inlineStr">
        <is>
          <t>SHELVES</t>
        </is>
      </c>
      <c r="D2706" t="inlineStr">
        <is>
          <t>PR5906 .G6 1962</t>
        </is>
      </c>
      <c r="E2706" t="inlineStr">
        <is>
          <t>0                      PR 5906000G  6           1962</t>
        </is>
      </c>
      <c r="F2706" t="inlineStr">
        <is>
          <t>W.B. Yeats : images of a poet / by D. J. Gordon ; with contributions by Ian Fletcher, Frank Kermode, and Robin Skelton.</t>
        </is>
      </c>
      <c r="H2706" t="inlineStr">
        <is>
          <t>No</t>
        </is>
      </c>
      <c r="I2706" t="inlineStr">
        <is>
          <t>1</t>
        </is>
      </c>
      <c r="J2706" t="inlineStr">
        <is>
          <t>No</t>
        </is>
      </c>
      <c r="K2706" t="inlineStr">
        <is>
          <t>No</t>
        </is>
      </c>
      <c r="L2706" t="inlineStr">
        <is>
          <t>0</t>
        </is>
      </c>
      <c r="M2706" t="inlineStr">
        <is>
          <t>Gordon, D. J. (Donald James)</t>
        </is>
      </c>
      <c r="N2706" t="inlineStr">
        <is>
          <t>[Manchester, Eng.] : Manchester University Press, [1962 ,c1961]</t>
        </is>
      </c>
      <c r="O2706" t="inlineStr">
        <is>
          <t>1962</t>
        </is>
      </c>
      <c r="Q2706" t="inlineStr">
        <is>
          <t>eng</t>
        </is>
      </c>
      <c r="R2706" t="inlineStr">
        <is>
          <t>enk</t>
        </is>
      </c>
      <c r="T2706" t="inlineStr">
        <is>
          <t xml:space="preserve">PR </t>
        </is>
      </c>
      <c r="U2706" t="n">
        <v>5</v>
      </c>
      <c r="V2706" t="n">
        <v>5</v>
      </c>
      <c r="W2706" t="inlineStr">
        <is>
          <t>2008-01-09</t>
        </is>
      </c>
      <c r="X2706" t="inlineStr">
        <is>
          <t>2008-01-09</t>
        </is>
      </c>
      <c r="Y2706" t="inlineStr">
        <is>
          <t>1997-07-23</t>
        </is>
      </c>
      <c r="Z2706" t="inlineStr">
        <is>
          <t>1997-07-23</t>
        </is>
      </c>
      <c r="AA2706" t="n">
        <v>239</v>
      </c>
      <c r="AB2706" t="n">
        <v>229</v>
      </c>
      <c r="AC2706" t="n">
        <v>230</v>
      </c>
      <c r="AD2706" t="n">
        <v>3</v>
      </c>
      <c r="AE2706" t="n">
        <v>3</v>
      </c>
      <c r="AF2706" t="n">
        <v>9</v>
      </c>
      <c r="AG2706" t="n">
        <v>9</v>
      </c>
      <c r="AH2706" t="n">
        <v>2</v>
      </c>
      <c r="AI2706" t="n">
        <v>2</v>
      </c>
      <c r="AJ2706" t="n">
        <v>2</v>
      </c>
      <c r="AK2706" t="n">
        <v>2</v>
      </c>
      <c r="AL2706" t="n">
        <v>5</v>
      </c>
      <c r="AM2706" t="n">
        <v>5</v>
      </c>
      <c r="AN2706" t="n">
        <v>2</v>
      </c>
      <c r="AO2706" t="n">
        <v>2</v>
      </c>
      <c r="AP2706" t="n">
        <v>0</v>
      </c>
      <c r="AQ2706" t="n">
        <v>0</v>
      </c>
      <c r="AR2706" t="inlineStr">
        <is>
          <t>No</t>
        </is>
      </c>
      <c r="AS2706" t="inlineStr">
        <is>
          <t>Yes</t>
        </is>
      </c>
      <c r="AT2706">
        <f>HYPERLINK("http://catalog.hathitrust.org/Record/009904741","HathiTrust Record")</f>
        <v/>
      </c>
      <c r="AU2706">
        <f>HYPERLINK("https://creighton-primo.hosted.exlibrisgroup.com/primo-explore/search?tab=default_tab&amp;search_scope=EVERYTHING&amp;vid=01CRU&amp;lang=en_US&amp;offset=0&amp;query=any,contains,991004897759702656","Catalog Record")</f>
        <v/>
      </c>
      <c r="AV2706">
        <f>HYPERLINK("http://www.worldcat.org/oclc/5898926","WorldCat Record")</f>
        <v/>
      </c>
      <c r="AW2706" t="inlineStr">
        <is>
          <t>8910356907:eng</t>
        </is>
      </c>
      <c r="AX2706" t="inlineStr">
        <is>
          <t>5898926</t>
        </is>
      </c>
      <c r="AY2706" t="inlineStr">
        <is>
          <t>991004897759702656</t>
        </is>
      </c>
      <c r="AZ2706" t="inlineStr">
        <is>
          <t>991004897759702656</t>
        </is>
      </c>
      <c r="BA2706" t="inlineStr">
        <is>
          <t>2268352920002656</t>
        </is>
      </c>
      <c r="BB2706" t="inlineStr">
        <is>
          <t>BOOK</t>
        </is>
      </c>
      <c r="BE2706" t="inlineStr">
        <is>
          <t>32285002952421</t>
        </is>
      </c>
      <c r="BF2706" t="inlineStr">
        <is>
          <t>893876676</t>
        </is>
      </c>
    </row>
    <row r="2707">
      <c r="A2707" t="inlineStr">
        <is>
          <t>No</t>
        </is>
      </c>
      <c r="B2707" t="inlineStr">
        <is>
          <t>CURAL</t>
        </is>
      </c>
      <c r="C2707" t="inlineStr">
        <is>
          <t>SHELVES</t>
        </is>
      </c>
      <c r="D2707" t="inlineStr">
        <is>
          <t>PR5906 .H32 1980</t>
        </is>
      </c>
      <c r="E2707" t="inlineStr">
        <is>
          <t>0                      PR 5906000H  32          1980</t>
        </is>
      </c>
      <c r="F2707" t="inlineStr">
        <is>
          <t>W. B. Yeats and W. T. Horton : the record of an occult friendship / George Mills Harper.</t>
        </is>
      </c>
      <c r="H2707" t="inlineStr">
        <is>
          <t>No</t>
        </is>
      </c>
      <c r="I2707" t="inlineStr">
        <is>
          <t>1</t>
        </is>
      </c>
      <c r="J2707" t="inlineStr">
        <is>
          <t>No</t>
        </is>
      </c>
      <c r="K2707" t="inlineStr">
        <is>
          <t>No</t>
        </is>
      </c>
      <c r="L2707" t="inlineStr">
        <is>
          <t>0</t>
        </is>
      </c>
      <c r="M2707" t="inlineStr">
        <is>
          <t>Harper, George Mills.</t>
        </is>
      </c>
      <c r="N2707" t="inlineStr">
        <is>
          <t>Atlantic Highlands, N.J. : Humanities Press, [1980]</t>
        </is>
      </c>
      <c r="O2707" t="inlineStr">
        <is>
          <t>1980</t>
        </is>
      </c>
      <c r="Q2707" t="inlineStr">
        <is>
          <t>eng</t>
        </is>
      </c>
      <c r="R2707" t="inlineStr">
        <is>
          <t>nju</t>
        </is>
      </c>
      <c r="T2707" t="inlineStr">
        <is>
          <t xml:space="preserve">PR </t>
        </is>
      </c>
      <c r="U2707" t="n">
        <v>2</v>
      </c>
      <c r="V2707" t="n">
        <v>2</v>
      </c>
      <c r="W2707" t="inlineStr">
        <is>
          <t>1997-12-08</t>
        </is>
      </c>
      <c r="X2707" t="inlineStr">
        <is>
          <t>1997-12-08</t>
        </is>
      </c>
      <c r="Y2707" t="inlineStr">
        <is>
          <t>1992-06-23</t>
        </is>
      </c>
      <c r="Z2707" t="inlineStr">
        <is>
          <t>1992-06-23</t>
        </is>
      </c>
      <c r="AA2707" t="n">
        <v>199</v>
      </c>
      <c r="AB2707" t="n">
        <v>169</v>
      </c>
      <c r="AC2707" t="n">
        <v>225</v>
      </c>
      <c r="AD2707" t="n">
        <v>2</v>
      </c>
      <c r="AE2707" t="n">
        <v>2</v>
      </c>
      <c r="AF2707" t="n">
        <v>8</v>
      </c>
      <c r="AG2707" t="n">
        <v>11</v>
      </c>
      <c r="AH2707" t="n">
        <v>2</v>
      </c>
      <c r="AI2707" t="n">
        <v>3</v>
      </c>
      <c r="AJ2707" t="n">
        <v>5</v>
      </c>
      <c r="AK2707" t="n">
        <v>6</v>
      </c>
      <c r="AL2707" t="n">
        <v>3</v>
      </c>
      <c r="AM2707" t="n">
        <v>5</v>
      </c>
      <c r="AN2707" t="n">
        <v>1</v>
      </c>
      <c r="AO2707" t="n">
        <v>1</v>
      </c>
      <c r="AP2707" t="n">
        <v>0</v>
      </c>
      <c r="AQ2707" t="n">
        <v>0</v>
      </c>
      <c r="AR2707" t="inlineStr">
        <is>
          <t>No</t>
        </is>
      </c>
      <c r="AS2707" t="inlineStr">
        <is>
          <t>No</t>
        </is>
      </c>
      <c r="AU2707">
        <f>HYPERLINK("https://creighton-primo.hosted.exlibrisgroup.com/primo-explore/search?tab=default_tab&amp;search_scope=EVERYTHING&amp;vid=01CRU&amp;lang=en_US&amp;offset=0&amp;query=any,contains,991004943899702656","Catalog Record")</f>
        <v/>
      </c>
      <c r="AV2707">
        <f>HYPERLINK("http://www.worldcat.org/oclc/6196715","WorldCat Record")</f>
        <v/>
      </c>
      <c r="AW2707" t="inlineStr">
        <is>
          <t>7764:eng</t>
        </is>
      </c>
      <c r="AX2707" t="inlineStr">
        <is>
          <t>6196715</t>
        </is>
      </c>
      <c r="AY2707" t="inlineStr">
        <is>
          <t>991004943899702656</t>
        </is>
      </c>
      <c r="AZ2707" t="inlineStr">
        <is>
          <t>991004943899702656</t>
        </is>
      </c>
      <c r="BA2707" t="inlineStr">
        <is>
          <t>2266245330002656</t>
        </is>
      </c>
      <c r="BB2707" t="inlineStr">
        <is>
          <t>BOOK</t>
        </is>
      </c>
      <c r="BD2707" t="inlineStr">
        <is>
          <t>9780391019072</t>
        </is>
      </c>
      <c r="BE2707" t="inlineStr">
        <is>
          <t>32285001133429</t>
        </is>
      </c>
      <c r="BF2707" t="inlineStr">
        <is>
          <t>893412120</t>
        </is>
      </c>
    </row>
    <row r="2708">
      <c r="A2708" t="inlineStr">
        <is>
          <t>No</t>
        </is>
      </c>
      <c r="B2708" t="inlineStr">
        <is>
          <t>CURAL</t>
        </is>
      </c>
      <c r="C2708" t="inlineStr">
        <is>
          <t>SHELVES</t>
        </is>
      </c>
      <c r="D2708" t="inlineStr">
        <is>
          <t>PR5906 .H6 1962</t>
        </is>
      </c>
      <c r="E2708" t="inlineStr">
        <is>
          <t>0                      PR 5906000H  6           1962</t>
        </is>
      </c>
      <c r="F2708" t="inlineStr">
        <is>
          <t>W. B. Yeats, 1865-1939 / by Joseph Hone.</t>
        </is>
      </c>
      <c r="H2708" t="inlineStr">
        <is>
          <t>No</t>
        </is>
      </c>
      <c r="I2708" t="inlineStr">
        <is>
          <t>1</t>
        </is>
      </c>
      <c r="J2708" t="inlineStr">
        <is>
          <t>No</t>
        </is>
      </c>
      <c r="K2708" t="inlineStr">
        <is>
          <t>No</t>
        </is>
      </c>
      <c r="L2708" t="inlineStr">
        <is>
          <t>0</t>
        </is>
      </c>
      <c r="M2708" t="inlineStr">
        <is>
          <t>Hone, Joseph M. (Joseph Maunsell), 1882-1959.</t>
        </is>
      </c>
      <c r="N2708" t="inlineStr">
        <is>
          <t>New York : St. Martin Press, 1962.</t>
        </is>
      </c>
      <c r="O2708" t="inlineStr">
        <is>
          <t>1962</t>
        </is>
      </c>
      <c r="P2708" t="inlineStr">
        <is>
          <t>[2d ed.]</t>
        </is>
      </c>
      <c r="Q2708" t="inlineStr">
        <is>
          <t>eng</t>
        </is>
      </c>
      <c r="R2708" t="inlineStr">
        <is>
          <t>nyu</t>
        </is>
      </c>
      <c r="T2708" t="inlineStr">
        <is>
          <t xml:space="preserve">PR </t>
        </is>
      </c>
      <c r="U2708" t="n">
        <v>1</v>
      </c>
      <c r="V2708" t="n">
        <v>1</v>
      </c>
      <c r="W2708" t="inlineStr">
        <is>
          <t>2000-12-11</t>
        </is>
      </c>
      <c r="X2708" t="inlineStr">
        <is>
          <t>2000-12-11</t>
        </is>
      </c>
      <c r="Y2708" t="inlineStr">
        <is>
          <t>1997-07-23</t>
        </is>
      </c>
      <c r="Z2708" t="inlineStr">
        <is>
          <t>1997-07-23</t>
        </is>
      </c>
      <c r="AA2708" t="n">
        <v>279</v>
      </c>
      <c r="AB2708" t="n">
        <v>272</v>
      </c>
      <c r="AC2708" t="n">
        <v>1045</v>
      </c>
      <c r="AD2708" t="n">
        <v>2</v>
      </c>
      <c r="AE2708" t="n">
        <v>7</v>
      </c>
      <c r="AF2708" t="n">
        <v>10</v>
      </c>
      <c r="AG2708" t="n">
        <v>50</v>
      </c>
      <c r="AH2708" t="n">
        <v>2</v>
      </c>
      <c r="AI2708" t="n">
        <v>25</v>
      </c>
      <c r="AJ2708" t="n">
        <v>2</v>
      </c>
      <c r="AK2708" t="n">
        <v>9</v>
      </c>
      <c r="AL2708" t="n">
        <v>6</v>
      </c>
      <c r="AM2708" t="n">
        <v>23</v>
      </c>
      <c r="AN2708" t="n">
        <v>1</v>
      </c>
      <c r="AO2708" t="n">
        <v>5</v>
      </c>
      <c r="AP2708" t="n">
        <v>0</v>
      </c>
      <c r="AQ2708" t="n">
        <v>0</v>
      </c>
      <c r="AR2708" t="inlineStr">
        <is>
          <t>No</t>
        </is>
      </c>
      <c r="AS2708" t="inlineStr">
        <is>
          <t>No</t>
        </is>
      </c>
      <c r="AT2708">
        <f>HYPERLINK("http://catalog.hathitrust.org/Record/006155908","HathiTrust Record")</f>
        <v/>
      </c>
      <c r="AU2708">
        <f>HYPERLINK("https://creighton-primo.hosted.exlibrisgroup.com/primo-explore/search?tab=default_tab&amp;search_scope=EVERYTHING&amp;vid=01CRU&amp;lang=en_US&amp;offset=0&amp;query=any,contains,991001176369702656","Catalog Record")</f>
        <v/>
      </c>
      <c r="AV2708">
        <f>HYPERLINK("http://www.worldcat.org/oclc/17015313","WorldCat Record")</f>
        <v/>
      </c>
      <c r="AW2708" t="inlineStr">
        <is>
          <t>1714649:eng</t>
        </is>
      </c>
      <c r="AX2708" t="inlineStr">
        <is>
          <t>17015313</t>
        </is>
      </c>
      <c r="AY2708" t="inlineStr">
        <is>
          <t>991001176369702656</t>
        </is>
      </c>
      <c r="AZ2708" t="inlineStr">
        <is>
          <t>991001176369702656</t>
        </is>
      </c>
      <c r="BA2708" t="inlineStr">
        <is>
          <t>2264760520002656</t>
        </is>
      </c>
      <c r="BB2708" t="inlineStr">
        <is>
          <t>BOOK</t>
        </is>
      </c>
      <c r="BE2708" t="inlineStr">
        <is>
          <t>32285002952447</t>
        </is>
      </c>
      <c r="BF2708" t="inlineStr">
        <is>
          <t>893420134</t>
        </is>
      </c>
    </row>
    <row r="2709">
      <c r="A2709" t="inlineStr">
        <is>
          <t>No</t>
        </is>
      </c>
      <c r="B2709" t="inlineStr">
        <is>
          <t>CURAL</t>
        </is>
      </c>
      <c r="C2709" t="inlineStr">
        <is>
          <t>SHELVES</t>
        </is>
      </c>
      <c r="D2709" t="inlineStr">
        <is>
          <t>PR5906 .J36 1970b</t>
        </is>
      </c>
      <c r="E2709" t="inlineStr">
        <is>
          <t>0                      PR 5906000J  36          1970b</t>
        </is>
      </c>
      <c r="F2709" t="inlineStr">
        <is>
          <t>The circus animals : essays on W. B. Yeats / [by] A. Norman Jeffares.</t>
        </is>
      </c>
      <c r="H2709" t="inlineStr">
        <is>
          <t>No</t>
        </is>
      </c>
      <c r="I2709" t="inlineStr">
        <is>
          <t>1</t>
        </is>
      </c>
      <c r="J2709" t="inlineStr">
        <is>
          <t>No</t>
        </is>
      </c>
      <c r="K2709" t="inlineStr">
        <is>
          <t>No</t>
        </is>
      </c>
      <c r="L2709" t="inlineStr">
        <is>
          <t>0</t>
        </is>
      </c>
      <c r="M2709" t="inlineStr">
        <is>
          <t>Jeffares, A. Norman (Alexander Norman), 1920-2005.</t>
        </is>
      </c>
      <c r="N2709" t="inlineStr">
        <is>
          <t>Stanford, Calif. : Stanford University Press, 1970.</t>
        </is>
      </c>
      <c r="O2709" t="inlineStr">
        <is>
          <t>1970</t>
        </is>
      </c>
      <c r="Q2709" t="inlineStr">
        <is>
          <t>eng</t>
        </is>
      </c>
      <c r="R2709" t="inlineStr">
        <is>
          <t>cau</t>
        </is>
      </c>
      <c r="T2709" t="inlineStr">
        <is>
          <t xml:space="preserve">PR </t>
        </is>
      </c>
      <c r="U2709" t="n">
        <v>1</v>
      </c>
      <c r="V2709" t="n">
        <v>1</v>
      </c>
      <c r="W2709" t="inlineStr">
        <is>
          <t>1995-05-01</t>
        </is>
      </c>
      <c r="X2709" t="inlineStr">
        <is>
          <t>1995-05-01</t>
        </is>
      </c>
      <c r="Y2709" t="inlineStr">
        <is>
          <t>1995-04-11</t>
        </is>
      </c>
      <c r="Z2709" t="inlineStr">
        <is>
          <t>1995-04-11</t>
        </is>
      </c>
      <c r="AA2709" t="n">
        <v>550</v>
      </c>
      <c r="AB2709" t="n">
        <v>470</v>
      </c>
      <c r="AC2709" t="n">
        <v>538</v>
      </c>
      <c r="AD2709" t="n">
        <v>2</v>
      </c>
      <c r="AE2709" t="n">
        <v>2</v>
      </c>
      <c r="AF2709" t="n">
        <v>28</v>
      </c>
      <c r="AG2709" t="n">
        <v>32</v>
      </c>
      <c r="AH2709" t="n">
        <v>12</v>
      </c>
      <c r="AI2709" t="n">
        <v>14</v>
      </c>
      <c r="AJ2709" t="n">
        <v>8</v>
      </c>
      <c r="AK2709" t="n">
        <v>9</v>
      </c>
      <c r="AL2709" t="n">
        <v>16</v>
      </c>
      <c r="AM2709" t="n">
        <v>18</v>
      </c>
      <c r="AN2709" t="n">
        <v>1</v>
      </c>
      <c r="AO2709" t="n">
        <v>1</v>
      </c>
      <c r="AP2709" t="n">
        <v>0</v>
      </c>
      <c r="AQ2709" t="n">
        <v>0</v>
      </c>
      <c r="AR2709" t="inlineStr">
        <is>
          <t>No</t>
        </is>
      </c>
      <c r="AS2709" t="inlineStr">
        <is>
          <t>Yes</t>
        </is>
      </c>
      <c r="AT2709">
        <f>HYPERLINK("http://catalog.hathitrust.org/Record/001025005","HathiTrust Record")</f>
        <v/>
      </c>
      <c r="AU2709">
        <f>HYPERLINK("https://creighton-primo.hosted.exlibrisgroup.com/primo-explore/search?tab=default_tab&amp;search_scope=EVERYTHING&amp;vid=01CRU&amp;lang=en_US&amp;offset=0&amp;query=any,contains,991000678539702656","Catalog Record")</f>
        <v/>
      </c>
      <c r="AV2709">
        <f>HYPERLINK("http://www.worldcat.org/oclc/120766","WorldCat Record")</f>
        <v/>
      </c>
      <c r="AW2709" t="inlineStr">
        <is>
          <t>200973095:eng</t>
        </is>
      </c>
      <c r="AX2709" t="inlineStr">
        <is>
          <t>120766</t>
        </is>
      </c>
      <c r="AY2709" t="inlineStr">
        <is>
          <t>991000678539702656</t>
        </is>
      </c>
      <c r="AZ2709" t="inlineStr">
        <is>
          <t>991000678539702656</t>
        </is>
      </c>
      <c r="BA2709" t="inlineStr">
        <is>
          <t>2264245870002656</t>
        </is>
      </c>
      <c r="BB2709" t="inlineStr">
        <is>
          <t>BOOK</t>
        </is>
      </c>
      <c r="BD2709" t="inlineStr">
        <is>
          <t>9780804707541</t>
        </is>
      </c>
      <c r="BE2709" t="inlineStr">
        <is>
          <t>32285002026218</t>
        </is>
      </c>
      <c r="BF2709" t="inlineStr">
        <is>
          <t>893796901</t>
        </is>
      </c>
    </row>
    <row r="2710">
      <c r="A2710" t="inlineStr">
        <is>
          <t>No</t>
        </is>
      </c>
      <c r="B2710" t="inlineStr">
        <is>
          <t>CURAL</t>
        </is>
      </c>
      <c r="C2710" t="inlineStr">
        <is>
          <t>SHELVES</t>
        </is>
      </c>
      <c r="D2710" t="inlineStr">
        <is>
          <t>PR5906 .J38 1965a</t>
        </is>
      </c>
      <c r="E2710" t="inlineStr">
        <is>
          <t>0                      PR 5906000J  38          1965a</t>
        </is>
      </c>
      <c r="F2710" t="inlineStr">
        <is>
          <t>In excited reverie : a centenary tribute to William Butler Yeats, 1865-1939 / edited by A. Norman Jeffares and K. G. W. Cross.</t>
        </is>
      </c>
      <c r="H2710" t="inlineStr">
        <is>
          <t>No</t>
        </is>
      </c>
      <c r="I2710" t="inlineStr">
        <is>
          <t>1</t>
        </is>
      </c>
      <c r="J2710" t="inlineStr">
        <is>
          <t>No</t>
        </is>
      </c>
      <c r="K2710" t="inlineStr">
        <is>
          <t>No</t>
        </is>
      </c>
      <c r="L2710" t="inlineStr">
        <is>
          <t>0</t>
        </is>
      </c>
      <c r="M2710" t="inlineStr">
        <is>
          <t>Jeffares, A. Norman (Alexander Norman), 1920-2005, editor.</t>
        </is>
      </c>
      <c r="N2710" t="inlineStr">
        <is>
          <t>London : Macmillan ; New York : St Martin's Press, 1965.</t>
        </is>
      </c>
      <c r="O2710" t="inlineStr">
        <is>
          <t>1965</t>
        </is>
      </c>
      <c r="Q2710" t="inlineStr">
        <is>
          <t>eng</t>
        </is>
      </c>
      <c r="R2710" t="inlineStr">
        <is>
          <t>enk</t>
        </is>
      </c>
      <c r="T2710" t="inlineStr">
        <is>
          <t xml:space="preserve">PR </t>
        </is>
      </c>
      <c r="U2710" t="n">
        <v>1</v>
      </c>
      <c r="V2710" t="n">
        <v>1</v>
      </c>
      <c r="W2710" t="inlineStr">
        <is>
          <t>1994-04-24</t>
        </is>
      </c>
      <c r="X2710" t="inlineStr">
        <is>
          <t>1994-04-24</t>
        </is>
      </c>
      <c r="Y2710" t="inlineStr">
        <is>
          <t>1990-03-28</t>
        </is>
      </c>
      <c r="Z2710" t="inlineStr">
        <is>
          <t>1990-03-28</t>
        </is>
      </c>
      <c r="AA2710" t="n">
        <v>287</v>
      </c>
      <c r="AB2710" t="n">
        <v>146</v>
      </c>
      <c r="AC2710" t="n">
        <v>531</v>
      </c>
      <c r="AD2710" t="n">
        <v>2</v>
      </c>
      <c r="AE2710" t="n">
        <v>5</v>
      </c>
      <c r="AF2710" t="n">
        <v>10</v>
      </c>
      <c r="AG2710" t="n">
        <v>31</v>
      </c>
      <c r="AH2710" t="n">
        <v>5</v>
      </c>
      <c r="AI2710" t="n">
        <v>12</v>
      </c>
      <c r="AJ2710" t="n">
        <v>2</v>
      </c>
      <c r="AK2710" t="n">
        <v>7</v>
      </c>
      <c r="AL2710" t="n">
        <v>5</v>
      </c>
      <c r="AM2710" t="n">
        <v>16</v>
      </c>
      <c r="AN2710" t="n">
        <v>1</v>
      </c>
      <c r="AO2710" t="n">
        <v>4</v>
      </c>
      <c r="AP2710" t="n">
        <v>0</v>
      </c>
      <c r="AQ2710" t="n">
        <v>0</v>
      </c>
      <c r="AR2710" t="inlineStr">
        <is>
          <t>No</t>
        </is>
      </c>
      <c r="AS2710" t="inlineStr">
        <is>
          <t>Yes</t>
        </is>
      </c>
      <c r="AT2710">
        <f>HYPERLINK("http://catalog.hathitrust.org/Record/001189188","HathiTrust Record")</f>
        <v/>
      </c>
      <c r="AU2710">
        <f>HYPERLINK("https://creighton-primo.hosted.exlibrisgroup.com/primo-explore/search?tab=default_tab&amp;search_scope=EVERYTHING&amp;vid=01CRU&amp;lang=en_US&amp;offset=0&amp;query=any,contains,991004069429702656","Catalog Record")</f>
        <v/>
      </c>
      <c r="AV2710">
        <f>HYPERLINK("http://www.worldcat.org/oclc/2295185","WorldCat Record")</f>
        <v/>
      </c>
      <c r="AW2710" t="inlineStr">
        <is>
          <t>207842646:eng</t>
        </is>
      </c>
      <c r="AX2710" t="inlineStr">
        <is>
          <t>2295185</t>
        </is>
      </c>
      <c r="AY2710" t="inlineStr">
        <is>
          <t>991004069429702656</t>
        </is>
      </c>
      <c r="AZ2710" t="inlineStr">
        <is>
          <t>991004069429702656</t>
        </is>
      </c>
      <c r="BA2710" t="inlineStr">
        <is>
          <t>2264410360002656</t>
        </is>
      </c>
      <c r="BB2710" t="inlineStr">
        <is>
          <t>BOOK</t>
        </is>
      </c>
      <c r="BE2710" t="inlineStr">
        <is>
          <t>32285000094101</t>
        </is>
      </c>
      <c r="BF2710" t="inlineStr">
        <is>
          <t>893240981</t>
        </is>
      </c>
    </row>
    <row r="2711">
      <c r="A2711" t="inlineStr">
        <is>
          <t>No</t>
        </is>
      </c>
      <c r="B2711" t="inlineStr">
        <is>
          <t>CURAL</t>
        </is>
      </c>
      <c r="C2711" t="inlineStr">
        <is>
          <t>SHELVES</t>
        </is>
      </c>
      <c r="D2711" t="inlineStr">
        <is>
          <t>PR5906 .J418 1971</t>
        </is>
      </c>
      <c r="E2711" t="inlineStr">
        <is>
          <t>0                      PR 5906000J  418         1971</t>
        </is>
      </c>
      <c r="F2711" t="inlineStr">
        <is>
          <t>W. B. Yeats / by A. Norman Jeffares.</t>
        </is>
      </c>
      <c r="H2711" t="inlineStr">
        <is>
          <t>No</t>
        </is>
      </c>
      <c r="I2711" t="inlineStr">
        <is>
          <t>1</t>
        </is>
      </c>
      <c r="J2711" t="inlineStr">
        <is>
          <t>No</t>
        </is>
      </c>
      <c r="K2711" t="inlineStr">
        <is>
          <t>No</t>
        </is>
      </c>
      <c r="L2711" t="inlineStr">
        <is>
          <t>0</t>
        </is>
      </c>
      <c r="M2711" t="inlineStr">
        <is>
          <t>Jeffares, A. Norman (Alexander Norman), 1920-2005.</t>
        </is>
      </c>
      <c r="N2711" t="inlineStr">
        <is>
          <t>New York : Humanities Press, [1971]</t>
        </is>
      </c>
      <c r="O2711" t="inlineStr">
        <is>
          <t>1971</t>
        </is>
      </c>
      <c r="Q2711" t="inlineStr">
        <is>
          <t>eng</t>
        </is>
      </c>
      <c r="R2711" t="inlineStr">
        <is>
          <t>nyu</t>
        </is>
      </c>
      <c r="S2711" t="inlineStr">
        <is>
          <t>The Profiles in literature series</t>
        </is>
      </c>
      <c r="T2711" t="inlineStr">
        <is>
          <t xml:space="preserve">PR </t>
        </is>
      </c>
      <c r="U2711" t="n">
        <v>14</v>
      </c>
      <c r="V2711" t="n">
        <v>14</v>
      </c>
      <c r="W2711" t="inlineStr">
        <is>
          <t>2008-01-09</t>
        </is>
      </c>
      <c r="X2711" t="inlineStr">
        <is>
          <t>2008-01-09</t>
        </is>
      </c>
      <c r="Y2711" t="inlineStr">
        <is>
          <t>1995-03-21</t>
        </is>
      </c>
      <c r="Z2711" t="inlineStr">
        <is>
          <t>1995-03-21</t>
        </is>
      </c>
      <c r="AA2711" t="n">
        <v>189</v>
      </c>
      <c r="AB2711" t="n">
        <v>174</v>
      </c>
      <c r="AC2711" t="n">
        <v>267</v>
      </c>
      <c r="AD2711" t="n">
        <v>1</v>
      </c>
      <c r="AE2711" t="n">
        <v>2</v>
      </c>
      <c r="AF2711" t="n">
        <v>6</v>
      </c>
      <c r="AG2711" t="n">
        <v>11</v>
      </c>
      <c r="AH2711" t="n">
        <v>2</v>
      </c>
      <c r="AI2711" t="n">
        <v>2</v>
      </c>
      <c r="AJ2711" t="n">
        <v>2</v>
      </c>
      <c r="AK2711" t="n">
        <v>2</v>
      </c>
      <c r="AL2711" t="n">
        <v>4</v>
      </c>
      <c r="AM2711" t="n">
        <v>8</v>
      </c>
      <c r="AN2711" t="n">
        <v>0</v>
      </c>
      <c r="AO2711" t="n">
        <v>1</v>
      </c>
      <c r="AP2711" t="n">
        <v>0</v>
      </c>
      <c r="AQ2711" t="n">
        <v>0</v>
      </c>
      <c r="AR2711" t="inlineStr">
        <is>
          <t>No</t>
        </is>
      </c>
      <c r="AS2711" t="inlineStr">
        <is>
          <t>Yes</t>
        </is>
      </c>
      <c r="AT2711">
        <f>HYPERLINK("http://catalog.hathitrust.org/Record/009904742","HathiTrust Record")</f>
        <v/>
      </c>
      <c r="AU2711">
        <f>HYPERLINK("https://creighton-primo.hosted.exlibrisgroup.com/primo-explore/search?tab=default_tab&amp;search_scope=EVERYTHING&amp;vid=01CRU&amp;lang=en_US&amp;offset=0&amp;query=any,contains,991000893799702656","Catalog Record")</f>
        <v/>
      </c>
      <c r="AV2711">
        <f>HYPERLINK("http://www.worldcat.org/oclc/155202","WorldCat Record")</f>
        <v/>
      </c>
      <c r="AW2711" t="inlineStr">
        <is>
          <t>9846724148:eng</t>
        </is>
      </c>
      <c r="AX2711" t="inlineStr">
        <is>
          <t>155202</t>
        </is>
      </c>
      <c r="AY2711" t="inlineStr">
        <is>
          <t>991000893799702656</t>
        </is>
      </c>
      <c r="AZ2711" t="inlineStr">
        <is>
          <t>991000893799702656</t>
        </is>
      </c>
      <c r="BA2711" t="inlineStr">
        <is>
          <t>2256654640002656</t>
        </is>
      </c>
      <c r="BB2711" t="inlineStr">
        <is>
          <t>BOOK</t>
        </is>
      </c>
      <c r="BD2711" t="inlineStr">
        <is>
          <t>9780391001633</t>
        </is>
      </c>
      <c r="BE2711" t="inlineStr">
        <is>
          <t>32285002012788</t>
        </is>
      </c>
      <c r="BF2711" t="inlineStr">
        <is>
          <t>893413772</t>
        </is>
      </c>
    </row>
    <row r="2712">
      <c r="A2712" t="inlineStr">
        <is>
          <t>No</t>
        </is>
      </c>
      <c r="B2712" t="inlineStr">
        <is>
          <t>CURAL</t>
        </is>
      </c>
      <c r="C2712" t="inlineStr">
        <is>
          <t>SHELVES</t>
        </is>
      </c>
      <c r="D2712" t="inlineStr">
        <is>
          <t>PR5906 .J42 1949a</t>
        </is>
      </c>
      <c r="E2712" t="inlineStr">
        <is>
          <t>0                      PR 5906000J  42          1949a</t>
        </is>
      </c>
      <c r="F2712" t="inlineStr">
        <is>
          <t>W.B. Yeats, man and poet.</t>
        </is>
      </c>
      <c r="H2712" t="inlineStr">
        <is>
          <t>No</t>
        </is>
      </c>
      <c r="I2712" t="inlineStr">
        <is>
          <t>1</t>
        </is>
      </c>
      <c r="J2712" t="inlineStr">
        <is>
          <t>No</t>
        </is>
      </c>
      <c r="K2712" t="inlineStr">
        <is>
          <t>Yes</t>
        </is>
      </c>
      <c r="L2712" t="inlineStr">
        <is>
          <t>0</t>
        </is>
      </c>
      <c r="M2712" t="inlineStr">
        <is>
          <t>Jeffares, A. Norman (Alexander Norman), 1920-2005.</t>
        </is>
      </c>
      <c r="N2712" t="inlineStr">
        <is>
          <t>New Haven : Yale University Press, 1949.</t>
        </is>
      </c>
      <c r="O2712" t="inlineStr">
        <is>
          <t>1949</t>
        </is>
      </c>
      <c r="Q2712" t="inlineStr">
        <is>
          <t>eng</t>
        </is>
      </c>
      <c r="R2712" t="inlineStr">
        <is>
          <t>ctu</t>
        </is>
      </c>
      <c r="T2712" t="inlineStr">
        <is>
          <t xml:space="preserve">PR </t>
        </is>
      </c>
      <c r="U2712" t="n">
        <v>7</v>
      </c>
      <c r="V2712" t="n">
        <v>7</v>
      </c>
      <c r="W2712" t="inlineStr">
        <is>
          <t>2007-12-13</t>
        </is>
      </c>
      <c r="X2712" t="inlineStr">
        <is>
          <t>2007-12-13</t>
        </is>
      </c>
      <c r="Y2712" t="inlineStr">
        <is>
          <t>1990-03-22</t>
        </is>
      </c>
      <c r="Z2712" t="inlineStr">
        <is>
          <t>1990-03-22</t>
        </is>
      </c>
      <c r="AA2712" t="n">
        <v>539</v>
      </c>
      <c r="AB2712" t="n">
        <v>511</v>
      </c>
      <c r="AC2712" t="n">
        <v>1034</v>
      </c>
      <c r="AD2712" t="n">
        <v>7</v>
      </c>
      <c r="AE2712" t="n">
        <v>10</v>
      </c>
      <c r="AF2712" t="n">
        <v>27</v>
      </c>
      <c r="AG2712" t="n">
        <v>49</v>
      </c>
      <c r="AH2712" t="n">
        <v>14</v>
      </c>
      <c r="AI2712" t="n">
        <v>21</v>
      </c>
      <c r="AJ2712" t="n">
        <v>5</v>
      </c>
      <c r="AK2712" t="n">
        <v>9</v>
      </c>
      <c r="AL2712" t="n">
        <v>8</v>
      </c>
      <c r="AM2712" t="n">
        <v>22</v>
      </c>
      <c r="AN2712" t="n">
        <v>5</v>
      </c>
      <c r="AO2712" t="n">
        <v>7</v>
      </c>
      <c r="AP2712" t="n">
        <v>0</v>
      </c>
      <c r="AQ2712" t="n">
        <v>0</v>
      </c>
      <c r="AR2712" t="inlineStr">
        <is>
          <t>No</t>
        </is>
      </c>
      <c r="AS2712" t="inlineStr">
        <is>
          <t>Yes</t>
        </is>
      </c>
      <c r="AT2712">
        <f>HYPERLINK("http://catalog.hathitrust.org/Record/006058944","HathiTrust Record")</f>
        <v/>
      </c>
      <c r="AU2712">
        <f>HYPERLINK("https://creighton-primo.hosted.exlibrisgroup.com/primo-explore/search?tab=default_tab&amp;search_scope=EVERYTHING&amp;vid=01CRU&amp;lang=en_US&amp;offset=0&amp;query=any,contains,991001169559702656","Catalog Record")</f>
        <v/>
      </c>
      <c r="AV2712">
        <f>HYPERLINK("http://www.worldcat.org/oclc/32402442","WorldCat Record")</f>
        <v/>
      </c>
      <c r="AW2712" t="inlineStr">
        <is>
          <t>1909121451:eng</t>
        </is>
      </c>
      <c r="AX2712" t="inlineStr">
        <is>
          <t>32402442</t>
        </is>
      </c>
      <c r="AY2712" t="inlineStr">
        <is>
          <t>991001169559702656</t>
        </is>
      </c>
      <c r="AZ2712" t="inlineStr">
        <is>
          <t>991001169559702656</t>
        </is>
      </c>
      <c r="BA2712" t="inlineStr">
        <is>
          <t>2265459370002656</t>
        </is>
      </c>
      <c r="BB2712" t="inlineStr">
        <is>
          <t>BOOK</t>
        </is>
      </c>
      <c r="BE2712" t="inlineStr">
        <is>
          <t>32285000092105</t>
        </is>
      </c>
      <c r="BF2712" t="inlineStr">
        <is>
          <t>893327922</t>
        </is>
      </c>
    </row>
    <row r="2713">
      <c r="A2713" t="inlineStr">
        <is>
          <t>No</t>
        </is>
      </c>
      <c r="B2713" t="inlineStr">
        <is>
          <t>CURAL</t>
        </is>
      </c>
      <c r="C2713" t="inlineStr">
        <is>
          <t>SHELVES</t>
        </is>
      </c>
      <c r="D2713" t="inlineStr">
        <is>
          <t>PR5906 .L9 1979</t>
        </is>
      </c>
      <c r="E2713" t="inlineStr">
        <is>
          <t>0                      PR 5906000L  9           1979</t>
        </is>
      </c>
      <c r="F2713" t="inlineStr">
        <is>
          <t>Yeats, the poetics of the self / David Lynch.</t>
        </is>
      </c>
      <c r="H2713" t="inlineStr">
        <is>
          <t>No</t>
        </is>
      </c>
      <c r="I2713" t="inlineStr">
        <is>
          <t>1</t>
        </is>
      </c>
      <c r="J2713" t="inlineStr">
        <is>
          <t>No</t>
        </is>
      </c>
      <c r="K2713" t="inlineStr">
        <is>
          <t>No</t>
        </is>
      </c>
      <c r="L2713" t="inlineStr">
        <is>
          <t>0</t>
        </is>
      </c>
      <c r="M2713" t="inlineStr">
        <is>
          <t>Lynch, David, 1943-</t>
        </is>
      </c>
      <c r="N2713" t="inlineStr">
        <is>
          <t>Chicago : University of Chicago Press, 1979.</t>
        </is>
      </c>
      <c r="O2713" t="inlineStr">
        <is>
          <t>1979</t>
        </is>
      </c>
      <c r="Q2713" t="inlineStr">
        <is>
          <t>eng</t>
        </is>
      </c>
      <c r="R2713" t="inlineStr">
        <is>
          <t>ilu</t>
        </is>
      </c>
      <c r="T2713" t="inlineStr">
        <is>
          <t xml:space="preserve">PR </t>
        </is>
      </c>
      <c r="U2713" t="n">
        <v>4</v>
      </c>
      <c r="V2713" t="n">
        <v>4</v>
      </c>
      <c r="W2713" t="inlineStr">
        <is>
          <t>2000-11-15</t>
        </is>
      </c>
      <c r="X2713" t="inlineStr">
        <is>
          <t>2000-11-15</t>
        </is>
      </c>
      <c r="Y2713" t="inlineStr">
        <is>
          <t>1992-06-23</t>
        </is>
      </c>
      <c r="Z2713" t="inlineStr">
        <is>
          <t>1992-06-23</t>
        </is>
      </c>
      <c r="AA2713" t="n">
        <v>737</v>
      </c>
      <c r="AB2713" t="n">
        <v>598</v>
      </c>
      <c r="AC2713" t="n">
        <v>619</v>
      </c>
      <c r="AD2713" t="n">
        <v>6</v>
      </c>
      <c r="AE2713" t="n">
        <v>6</v>
      </c>
      <c r="AF2713" t="n">
        <v>31</v>
      </c>
      <c r="AG2713" t="n">
        <v>34</v>
      </c>
      <c r="AH2713" t="n">
        <v>11</v>
      </c>
      <c r="AI2713" t="n">
        <v>12</v>
      </c>
      <c r="AJ2713" t="n">
        <v>8</v>
      </c>
      <c r="AK2713" t="n">
        <v>8</v>
      </c>
      <c r="AL2713" t="n">
        <v>13</v>
      </c>
      <c r="AM2713" t="n">
        <v>16</v>
      </c>
      <c r="AN2713" t="n">
        <v>5</v>
      </c>
      <c r="AO2713" t="n">
        <v>5</v>
      </c>
      <c r="AP2713" t="n">
        <v>0</v>
      </c>
      <c r="AQ2713" t="n">
        <v>0</v>
      </c>
      <c r="AR2713" t="inlineStr">
        <is>
          <t>No</t>
        </is>
      </c>
      <c r="AS2713" t="inlineStr">
        <is>
          <t>No</t>
        </is>
      </c>
      <c r="AU2713">
        <f>HYPERLINK("https://creighton-primo.hosted.exlibrisgroup.com/primo-explore/search?tab=default_tab&amp;search_scope=EVERYTHING&amp;vid=01CRU&amp;lang=en_US&amp;offset=0&amp;query=any,contains,991004605179702656","Catalog Record")</f>
        <v/>
      </c>
      <c r="AV2713">
        <f>HYPERLINK("http://www.worldcat.org/oclc/4194127","WorldCat Record")</f>
        <v/>
      </c>
      <c r="AW2713" t="inlineStr">
        <is>
          <t>418782:eng</t>
        </is>
      </c>
      <c r="AX2713" t="inlineStr">
        <is>
          <t>4194127</t>
        </is>
      </c>
      <c r="AY2713" t="inlineStr">
        <is>
          <t>991004605179702656</t>
        </is>
      </c>
      <c r="AZ2713" t="inlineStr">
        <is>
          <t>991004605179702656</t>
        </is>
      </c>
      <c r="BA2713" t="inlineStr">
        <is>
          <t>2262344920002656</t>
        </is>
      </c>
      <c r="BB2713" t="inlineStr">
        <is>
          <t>BOOK</t>
        </is>
      </c>
      <c r="BD2713" t="inlineStr">
        <is>
          <t>9780226498164</t>
        </is>
      </c>
      <c r="BE2713" t="inlineStr">
        <is>
          <t>32285001133445</t>
        </is>
      </c>
      <c r="BF2713" t="inlineStr">
        <is>
          <t>893618857</t>
        </is>
      </c>
    </row>
    <row r="2714">
      <c r="A2714" t="inlineStr">
        <is>
          <t>No</t>
        </is>
      </c>
      <c r="B2714" t="inlineStr">
        <is>
          <t>CURAL</t>
        </is>
      </c>
      <c r="C2714" t="inlineStr">
        <is>
          <t>SHELVES</t>
        </is>
      </c>
      <c r="D2714" t="inlineStr">
        <is>
          <t>PR5906 .M27</t>
        </is>
      </c>
      <c r="E2714" t="inlineStr">
        <is>
          <t>0                      PR 5906000M  27</t>
        </is>
      </c>
      <c r="F2714" t="inlineStr">
        <is>
          <t>W. B. Yeats and his world / by Micheál Mac Liammóir and Eavan Boland.</t>
        </is>
      </c>
      <c r="H2714" t="inlineStr">
        <is>
          <t>No</t>
        </is>
      </c>
      <c r="I2714" t="inlineStr">
        <is>
          <t>1</t>
        </is>
      </c>
      <c r="J2714" t="inlineStr">
        <is>
          <t>No</t>
        </is>
      </c>
      <c r="K2714" t="inlineStr">
        <is>
          <t>No</t>
        </is>
      </c>
      <c r="L2714" t="inlineStr">
        <is>
          <t>0</t>
        </is>
      </c>
      <c r="M2714" t="inlineStr">
        <is>
          <t>Mac Liammóir, Micheál, 1899-1978.</t>
        </is>
      </c>
      <c r="N2714" t="inlineStr">
        <is>
          <t>London : Thames and Hudson, 1971.</t>
        </is>
      </c>
      <c r="O2714" t="inlineStr">
        <is>
          <t>1971</t>
        </is>
      </c>
      <c r="Q2714" t="inlineStr">
        <is>
          <t>eng</t>
        </is>
      </c>
      <c r="R2714" t="inlineStr">
        <is>
          <t>enk</t>
        </is>
      </c>
      <c r="T2714" t="inlineStr">
        <is>
          <t xml:space="preserve">PR </t>
        </is>
      </c>
      <c r="U2714" t="n">
        <v>6</v>
      </c>
      <c r="V2714" t="n">
        <v>6</v>
      </c>
      <c r="W2714" t="inlineStr">
        <is>
          <t>2007-12-13</t>
        </is>
      </c>
      <c r="X2714" t="inlineStr">
        <is>
          <t>2007-12-13</t>
        </is>
      </c>
      <c r="Y2714" t="inlineStr">
        <is>
          <t>1990-03-07</t>
        </is>
      </c>
      <c r="Z2714" t="inlineStr">
        <is>
          <t>1990-03-07</t>
        </is>
      </c>
      <c r="AA2714" t="n">
        <v>349</v>
      </c>
      <c r="AB2714" t="n">
        <v>131</v>
      </c>
      <c r="AC2714" t="n">
        <v>818</v>
      </c>
      <c r="AD2714" t="n">
        <v>1</v>
      </c>
      <c r="AE2714" t="n">
        <v>5</v>
      </c>
      <c r="AF2714" t="n">
        <v>5</v>
      </c>
      <c r="AG2714" t="n">
        <v>32</v>
      </c>
      <c r="AH2714" t="n">
        <v>2</v>
      </c>
      <c r="AI2714" t="n">
        <v>9</v>
      </c>
      <c r="AJ2714" t="n">
        <v>2</v>
      </c>
      <c r="AK2714" t="n">
        <v>10</v>
      </c>
      <c r="AL2714" t="n">
        <v>3</v>
      </c>
      <c r="AM2714" t="n">
        <v>18</v>
      </c>
      <c r="AN2714" t="n">
        <v>0</v>
      </c>
      <c r="AO2714" t="n">
        <v>3</v>
      </c>
      <c r="AP2714" t="n">
        <v>0</v>
      </c>
      <c r="AQ2714" t="n">
        <v>0</v>
      </c>
      <c r="AR2714" t="inlineStr">
        <is>
          <t>No</t>
        </is>
      </c>
      <c r="AS2714" t="inlineStr">
        <is>
          <t>No</t>
        </is>
      </c>
      <c r="AU2714">
        <f>HYPERLINK("https://creighton-primo.hosted.exlibrisgroup.com/primo-explore/search?tab=default_tab&amp;search_scope=EVERYTHING&amp;vid=01CRU&amp;lang=en_US&amp;offset=0&amp;query=any,contains,991001386079702656","Catalog Record")</f>
        <v/>
      </c>
      <c r="AV2714">
        <f>HYPERLINK("http://www.worldcat.org/oclc/227168","WorldCat Record")</f>
        <v/>
      </c>
      <c r="AW2714" t="inlineStr">
        <is>
          <t>3943542027:eng</t>
        </is>
      </c>
      <c r="AX2714" t="inlineStr">
        <is>
          <t>227168</t>
        </is>
      </c>
      <c r="AY2714" t="inlineStr">
        <is>
          <t>991001386079702656</t>
        </is>
      </c>
      <c r="AZ2714" t="inlineStr">
        <is>
          <t>991001386079702656</t>
        </is>
      </c>
      <c r="BA2714" t="inlineStr">
        <is>
          <t>2255616580002656</t>
        </is>
      </c>
      <c r="BB2714" t="inlineStr">
        <is>
          <t>BOOK</t>
        </is>
      </c>
      <c r="BD2714" t="inlineStr">
        <is>
          <t>9780500130339</t>
        </is>
      </c>
      <c r="BE2714" t="inlineStr">
        <is>
          <t>32285000064708</t>
        </is>
      </c>
      <c r="BF2714" t="inlineStr">
        <is>
          <t>893522536</t>
        </is>
      </c>
    </row>
    <row r="2715">
      <c r="A2715" t="inlineStr">
        <is>
          <t>No</t>
        </is>
      </c>
      <c r="B2715" t="inlineStr">
        <is>
          <t>CURAL</t>
        </is>
      </c>
      <c r="C2715" t="inlineStr">
        <is>
          <t>SHELVES</t>
        </is>
      </c>
      <c r="D2715" t="inlineStr">
        <is>
          <t>PR5906 .M276 1995</t>
        </is>
      </c>
      <c r="E2715" t="inlineStr">
        <is>
          <t>0                      PR 5906000M  276         1995</t>
        </is>
      </c>
      <c r="F2715" t="inlineStr">
        <is>
          <t>W.B. Yeats : a literary life / Alasdair D.F. Macrae.</t>
        </is>
      </c>
      <c r="H2715" t="inlineStr">
        <is>
          <t>No</t>
        </is>
      </c>
      <c r="I2715" t="inlineStr">
        <is>
          <t>1</t>
        </is>
      </c>
      <c r="J2715" t="inlineStr">
        <is>
          <t>No</t>
        </is>
      </c>
      <c r="K2715" t="inlineStr">
        <is>
          <t>No</t>
        </is>
      </c>
      <c r="L2715" t="inlineStr">
        <is>
          <t>0</t>
        </is>
      </c>
      <c r="M2715" t="inlineStr">
        <is>
          <t>Macrae, Alasdair D. F., 1939-</t>
        </is>
      </c>
      <c r="N2715" t="inlineStr">
        <is>
          <t>New York : St. Martin's Press, 1995.</t>
        </is>
      </c>
      <c r="O2715" t="inlineStr">
        <is>
          <t>1995</t>
        </is>
      </c>
      <c r="Q2715" t="inlineStr">
        <is>
          <t>eng</t>
        </is>
      </c>
      <c r="R2715" t="inlineStr">
        <is>
          <t>nyu</t>
        </is>
      </c>
      <c r="S2715" t="inlineStr">
        <is>
          <t>Literary lives</t>
        </is>
      </c>
      <c r="T2715" t="inlineStr">
        <is>
          <t xml:space="preserve">PR </t>
        </is>
      </c>
      <c r="U2715" t="n">
        <v>4</v>
      </c>
      <c r="V2715" t="n">
        <v>4</v>
      </c>
      <c r="W2715" t="inlineStr">
        <is>
          <t>2007-12-05</t>
        </is>
      </c>
      <c r="X2715" t="inlineStr">
        <is>
          <t>2007-12-05</t>
        </is>
      </c>
      <c r="Y2715" t="inlineStr">
        <is>
          <t>1995-04-05</t>
        </is>
      </c>
      <c r="Z2715" t="inlineStr">
        <is>
          <t>1995-04-05</t>
        </is>
      </c>
      <c r="AA2715" t="n">
        <v>578</v>
      </c>
      <c r="AB2715" t="n">
        <v>532</v>
      </c>
      <c r="AC2715" t="n">
        <v>566</v>
      </c>
      <c r="AD2715" t="n">
        <v>6</v>
      </c>
      <c r="AE2715" t="n">
        <v>6</v>
      </c>
      <c r="AF2715" t="n">
        <v>30</v>
      </c>
      <c r="AG2715" t="n">
        <v>30</v>
      </c>
      <c r="AH2715" t="n">
        <v>12</v>
      </c>
      <c r="AI2715" t="n">
        <v>12</v>
      </c>
      <c r="AJ2715" t="n">
        <v>5</v>
      </c>
      <c r="AK2715" t="n">
        <v>5</v>
      </c>
      <c r="AL2715" t="n">
        <v>14</v>
      </c>
      <c r="AM2715" t="n">
        <v>14</v>
      </c>
      <c r="AN2715" t="n">
        <v>5</v>
      </c>
      <c r="AO2715" t="n">
        <v>5</v>
      </c>
      <c r="AP2715" t="n">
        <v>0</v>
      </c>
      <c r="AQ2715" t="n">
        <v>0</v>
      </c>
      <c r="AR2715" t="inlineStr">
        <is>
          <t>No</t>
        </is>
      </c>
      <c r="AS2715" t="inlineStr">
        <is>
          <t>No</t>
        </is>
      </c>
      <c r="AU2715">
        <f>HYPERLINK("https://creighton-primo.hosted.exlibrisgroup.com/primo-explore/search?tab=default_tab&amp;search_scope=EVERYTHING&amp;vid=01CRU&amp;lang=en_US&amp;offset=0&amp;query=any,contains,991002345599702656","Catalog Record")</f>
        <v/>
      </c>
      <c r="AV2715">
        <f>HYPERLINK("http://www.worldcat.org/oclc/30544030","WorldCat Record")</f>
        <v/>
      </c>
      <c r="AW2715" t="inlineStr">
        <is>
          <t>11625189:eng</t>
        </is>
      </c>
      <c r="AX2715" t="inlineStr">
        <is>
          <t>30544030</t>
        </is>
      </c>
      <c r="AY2715" t="inlineStr">
        <is>
          <t>991002345599702656</t>
        </is>
      </c>
      <c r="AZ2715" t="inlineStr">
        <is>
          <t>991002345599702656</t>
        </is>
      </c>
      <c r="BA2715" t="inlineStr">
        <is>
          <t>2261267460002656</t>
        </is>
      </c>
      <c r="BB2715" t="inlineStr">
        <is>
          <t>BOOK</t>
        </is>
      </c>
      <c r="BD2715" t="inlineStr">
        <is>
          <t>9780312123109</t>
        </is>
      </c>
      <c r="BE2715" t="inlineStr">
        <is>
          <t>32285002016698</t>
        </is>
      </c>
      <c r="BF2715" t="inlineStr">
        <is>
          <t>893328961</t>
        </is>
      </c>
    </row>
    <row r="2716">
      <c r="A2716" t="inlineStr">
        <is>
          <t>No</t>
        </is>
      </c>
      <c r="B2716" t="inlineStr">
        <is>
          <t>CURAL</t>
        </is>
      </c>
      <c r="C2716" t="inlineStr">
        <is>
          <t>SHELVES</t>
        </is>
      </c>
      <c r="D2716" t="inlineStr">
        <is>
          <t>PR5906 .M296</t>
        </is>
      </c>
      <c r="E2716" t="inlineStr">
        <is>
          <t>0                      PR 5906000M  296</t>
        </is>
      </c>
      <c r="F2716" t="inlineStr">
        <is>
          <t>A preface to Yeats / Edward Malins.</t>
        </is>
      </c>
      <c r="H2716" t="inlineStr">
        <is>
          <t>No</t>
        </is>
      </c>
      <c r="I2716" t="inlineStr">
        <is>
          <t>1</t>
        </is>
      </c>
      <c r="J2716" t="inlineStr">
        <is>
          <t>No</t>
        </is>
      </c>
      <c r="K2716" t="inlineStr">
        <is>
          <t>No</t>
        </is>
      </c>
      <c r="L2716" t="inlineStr">
        <is>
          <t>0</t>
        </is>
      </c>
      <c r="M2716" t="inlineStr">
        <is>
          <t>Malins, Edward, 1930-</t>
        </is>
      </c>
      <c r="N2716" t="inlineStr">
        <is>
          <t>London : Longman, 1974, 1976 printing.</t>
        </is>
      </c>
      <c r="O2716" t="inlineStr">
        <is>
          <t>1974</t>
        </is>
      </c>
      <c r="Q2716" t="inlineStr">
        <is>
          <t>eng</t>
        </is>
      </c>
      <c r="R2716" t="inlineStr">
        <is>
          <t>enk</t>
        </is>
      </c>
      <c r="S2716" t="inlineStr">
        <is>
          <t>Preface books</t>
        </is>
      </c>
      <c r="T2716" t="inlineStr">
        <is>
          <t xml:space="preserve">PR </t>
        </is>
      </c>
      <c r="U2716" t="n">
        <v>7</v>
      </c>
      <c r="V2716" t="n">
        <v>7</v>
      </c>
      <c r="W2716" t="inlineStr">
        <is>
          <t>1997-12-08</t>
        </is>
      </c>
      <c r="X2716" t="inlineStr">
        <is>
          <t>1997-12-08</t>
        </is>
      </c>
      <c r="Y2716" t="inlineStr">
        <is>
          <t>1992-02-01</t>
        </is>
      </c>
      <c r="Z2716" t="inlineStr">
        <is>
          <t>1992-02-01</t>
        </is>
      </c>
      <c r="AA2716" t="n">
        <v>309</v>
      </c>
      <c r="AB2716" t="n">
        <v>134</v>
      </c>
      <c r="AC2716" t="n">
        <v>836</v>
      </c>
      <c r="AD2716" t="n">
        <v>2</v>
      </c>
      <c r="AE2716" t="n">
        <v>9</v>
      </c>
      <c r="AF2716" t="n">
        <v>6</v>
      </c>
      <c r="AG2716" t="n">
        <v>37</v>
      </c>
      <c r="AH2716" t="n">
        <v>2</v>
      </c>
      <c r="AI2716" t="n">
        <v>14</v>
      </c>
      <c r="AJ2716" t="n">
        <v>1</v>
      </c>
      <c r="AK2716" t="n">
        <v>10</v>
      </c>
      <c r="AL2716" t="n">
        <v>5</v>
      </c>
      <c r="AM2716" t="n">
        <v>17</v>
      </c>
      <c r="AN2716" t="n">
        <v>1</v>
      </c>
      <c r="AO2716" t="n">
        <v>7</v>
      </c>
      <c r="AP2716" t="n">
        <v>0</v>
      </c>
      <c r="AQ2716" t="n">
        <v>0</v>
      </c>
      <c r="AR2716" t="inlineStr">
        <is>
          <t>No</t>
        </is>
      </c>
      <c r="AS2716" t="inlineStr">
        <is>
          <t>No</t>
        </is>
      </c>
      <c r="AU2716">
        <f>HYPERLINK("https://creighton-primo.hosted.exlibrisgroup.com/primo-explore/search?tab=default_tab&amp;search_scope=EVERYTHING&amp;vid=01CRU&amp;lang=en_US&amp;offset=0&amp;query=any,contains,991003780009702656","Catalog Record")</f>
        <v/>
      </c>
      <c r="AV2716">
        <f>HYPERLINK("http://www.worldcat.org/oclc/1492358","WorldCat Record")</f>
        <v/>
      </c>
      <c r="AW2716" t="inlineStr">
        <is>
          <t>111022091:eng</t>
        </is>
      </c>
      <c r="AX2716" t="inlineStr">
        <is>
          <t>1492358</t>
        </is>
      </c>
      <c r="AY2716" t="inlineStr">
        <is>
          <t>991003780009702656</t>
        </is>
      </c>
      <c r="AZ2716" t="inlineStr">
        <is>
          <t>991003780009702656</t>
        </is>
      </c>
      <c r="BA2716" t="inlineStr">
        <is>
          <t>2269911130002656</t>
        </is>
      </c>
      <c r="BB2716" t="inlineStr">
        <is>
          <t>BOOK</t>
        </is>
      </c>
      <c r="BD2716" t="inlineStr">
        <is>
          <t>9780582351059</t>
        </is>
      </c>
      <c r="BE2716" t="inlineStr">
        <is>
          <t>32285000933423</t>
        </is>
      </c>
      <c r="BF2716" t="inlineStr">
        <is>
          <t>893775181</t>
        </is>
      </c>
    </row>
    <row r="2717">
      <c r="A2717" t="inlineStr">
        <is>
          <t>No</t>
        </is>
      </c>
      <c r="B2717" t="inlineStr">
        <is>
          <t>CURAL</t>
        </is>
      </c>
      <c r="C2717" t="inlineStr">
        <is>
          <t>SHELVES</t>
        </is>
      </c>
      <c r="D2717" t="inlineStr">
        <is>
          <t>PR5906 .M58</t>
        </is>
      </c>
      <c r="E2717" t="inlineStr">
        <is>
          <t>0                      PR 5906000M  58</t>
        </is>
      </c>
      <c r="F2717" t="inlineStr">
        <is>
          <t>Masks of love and death : Yeats as dramatist.</t>
        </is>
      </c>
      <c r="H2717" t="inlineStr">
        <is>
          <t>No</t>
        </is>
      </c>
      <c r="I2717" t="inlineStr">
        <is>
          <t>1</t>
        </is>
      </c>
      <c r="J2717" t="inlineStr">
        <is>
          <t>No</t>
        </is>
      </c>
      <c r="K2717" t="inlineStr">
        <is>
          <t>No</t>
        </is>
      </c>
      <c r="L2717" t="inlineStr">
        <is>
          <t>0</t>
        </is>
      </c>
      <c r="M2717" t="inlineStr">
        <is>
          <t>Moore, John Rees, 1918-</t>
        </is>
      </c>
      <c r="N2717" t="inlineStr">
        <is>
          <t>Ithaca, [N.Y.] : Cornell University Press, [1971]</t>
        </is>
      </c>
      <c r="O2717" t="inlineStr">
        <is>
          <t>1971</t>
        </is>
      </c>
      <c r="Q2717" t="inlineStr">
        <is>
          <t>eng</t>
        </is>
      </c>
      <c r="R2717" t="inlineStr">
        <is>
          <t>nyu</t>
        </is>
      </c>
      <c r="T2717" t="inlineStr">
        <is>
          <t xml:space="preserve">PR </t>
        </is>
      </c>
      <c r="U2717" t="n">
        <v>1</v>
      </c>
      <c r="V2717" t="n">
        <v>1</v>
      </c>
      <c r="W2717" t="inlineStr">
        <is>
          <t>1997-09-28</t>
        </is>
      </c>
      <c r="X2717" t="inlineStr">
        <is>
          <t>1997-09-28</t>
        </is>
      </c>
      <c r="Y2717" t="inlineStr">
        <is>
          <t>1990-05-15</t>
        </is>
      </c>
      <c r="Z2717" t="inlineStr">
        <is>
          <t>1990-05-15</t>
        </is>
      </c>
      <c r="AA2717" t="n">
        <v>997</v>
      </c>
      <c r="AB2717" t="n">
        <v>819</v>
      </c>
      <c r="AC2717" t="n">
        <v>822</v>
      </c>
      <c r="AD2717" t="n">
        <v>4</v>
      </c>
      <c r="AE2717" t="n">
        <v>4</v>
      </c>
      <c r="AF2717" t="n">
        <v>36</v>
      </c>
      <c r="AG2717" t="n">
        <v>36</v>
      </c>
      <c r="AH2717" t="n">
        <v>14</v>
      </c>
      <c r="AI2717" t="n">
        <v>14</v>
      </c>
      <c r="AJ2717" t="n">
        <v>10</v>
      </c>
      <c r="AK2717" t="n">
        <v>10</v>
      </c>
      <c r="AL2717" t="n">
        <v>17</v>
      </c>
      <c r="AM2717" t="n">
        <v>17</v>
      </c>
      <c r="AN2717" t="n">
        <v>3</v>
      </c>
      <c r="AO2717" t="n">
        <v>3</v>
      </c>
      <c r="AP2717" t="n">
        <v>0</v>
      </c>
      <c r="AQ2717" t="n">
        <v>0</v>
      </c>
      <c r="AR2717" t="inlineStr">
        <is>
          <t>No</t>
        </is>
      </c>
      <c r="AS2717" t="inlineStr">
        <is>
          <t>Yes</t>
        </is>
      </c>
      <c r="AT2717">
        <f>HYPERLINK("http://catalog.hathitrust.org/Record/001776387","HathiTrust Record")</f>
        <v/>
      </c>
      <c r="AU2717">
        <f>HYPERLINK("https://creighton-primo.hosted.exlibrisgroup.com/primo-explore/search?tab=default_tab&amp;search_scope=EVERYTHING&amp;vid=01CRU&amp;lang=en_US&amp;offset=0&amp;query=any,contains,991000682339702656","Catalog Record")</f>
        <v/>
      </c>
      <c r="AV2717">
        <f>HYPERLINK("http://www.worldcat.org/oclc/122107","WorldCat Record")</f>
        <v/>
      </c>
      <c r="AW2717" t="inlineStr">
        <is>
          <t>195987761:eng</t>
        </is>
      </c>
      <c r="AX2717" t="inlineStr">
        <is>
          <t>122107</t>
        </is>
      </c>
      <c r="AY2717" t="inlineStr">
        <is>
          <t>991000682339702656</t>
        </is>
      </c>
      <c r="AZ2717" t="inlineStr">
        <is>
          <t>991000682339702656</t>
        </is>
      </c>
      <c r="BA2717" t="inlineStr">
        <is>
          <t>2262971140002656</t>
        </is>
      </c>
      <c r="BB2717" t="inlineStr">
        <is>
          <t>BOOK</t>
        </is>
      </c>
      <c r="BD2717" t="inlineStr">
        <is>
          <t>9780801406089</t>
        </is>
      </c>
      <c r="BE2717" t="inlineStr">
        <is>
          <t>32285000155456</t>
        </is>
      </c>
      <c r="BF2717" t="inlineStr">
        <is>
          <t>893515519</t>
        </is>
      </c>
    </row>
    <row r="2718">
      <c r="A2718" t="inlineStr">
        <is>
          <t>No</t>
        </is>
      </c>
      <c r="B2718" t="inlineStr">
        <is>
          <t>CURAL</t>
        </is>
      </c>
      <c r="C2718" t="inlineStr">
        <is>
          <t>SHELVES</t>
        </is>
      </c>
      <c r="D2718" t="inlineStr">
        <is>
          <t>PR5906 .M87 1995</t>
        </is>
      </c>
      <c r="E2718" t="inlineStr">
        <is>
          <t>0                      PR 5906000M  87          1995</t>
        </is>
      </c>
      <c r="F2718" t="inlineStr">
        <is>
          <t>Family secrets : William Butler Yeats and his relatives / William M. Murphy.</t>
        </is>
      </c>
      <c r="H2718" t="inlineStr">
        <is>
          <t>No</t>
        </is>
      </c>
      <c r="I2718" t="inlineStr">
        <is>
          <t>1</t>
        </is>
      </c>
      <c r="J2718" t="inlineStr">
        <is>
          <t>No</t>
        </is>
      </c>
      <c r="K2718" t="inlineStr">
        <is>
          <t>No</t>
        </is>
      </c>
      <c r="L2718" t="inlineStr">
        <is>
          <t>0</t>
        </is>
      </c>
      <c r="M2718" t="inlineStr">
        <is>
          <t>Murphy, William M. (William Michael), 1916-2008.</t>
        </is>
      </c>
      <c r="N2718" t="inlineStr">
        <is>
          <t>Syracuse, N.Y. : Syracuse University Press, 1995.</t>
        </is>
      </c>
      <c r="O2718" t="inlineStr">
        <is>
          <t>1995</t>
        </is>
      </c>
      <c r="P2718" t="inlineStr">
        <is>
          <t>1st ed.</t>
        </is>
      </c>
      <c r="Q2718" t="inlineStr">
        <is>
          <t>eng</t>
        </is>
      </c>
      <c r="R2718" t="inlineStr">
        <is>
          <t>nyu</t>
        </is>
      </c>
      <c r="S2718" t="inlineStr">
        <is>
          <t>Irish studies</t>
        </is>
      </c>
      <c r="T2718" t="inlineStr">
        <is>
          <t xml:space="preserve">PR </t>
        </is>
      </c>
      <c r="U2718" t="n">
        <v>3</v>
      </c>
      <c r="V2718" t="n">
        <v>3</v>
      </c>
      <c r="W2718" t="inlineStr">
        <is>
          <t>2006-12-14</t>
        </is>
      </c>
      <c r="X2718" t="inlineStr">
        <is>
          <t>2006-12-14</t>
        </is>
      </c>
      <c r="Y2718" t="inlineStr">
        <is>
          <t>1995-05-15</t>
        </is>
      </c>
      <c r="Z2718" t="inlineStr">
        <is>
          <t>1995-05-15</t>
        </is>
      </c>
      <c r="AA2718" t="n">
        <v>757</v>
      </c>
      <c r="AB2718" t="n">
        <v>672</v>
      </c>
      <c r="AC2718" t="n">
        <v>691</v>
      </c>
      <c r="AD2718" t="n">
        <v>5</v>
      </c>
      <c r="AE2718" t="n">
        <v>6</v>
      </c>
      <c r="AF2718" t="n">
        <v>38</v>
      </c>
      <c r="AG2718" t="n">
        <v>39</v>
      </c>
      <c r="AH2718" t="n">
        <v>19</v>
      </c>
      <c r="AI2718" t="n">
        <v>19</v>
      </c>
      <c r="AJ2718" t="n">
        <v>7</v>
      </c>
      <c r="AK2718" t="n">
        <v>7</v>
      </c>
      <c r="AL2718" t="n">
        <v>19</v>
      </c>
      <c r="AM2718" t="n">
        <v>19</v>
      </c>
      <c r="AN2718" t="n">
        <v>3</v>
      </c>
      <c r="AO2718" t="n">
        <v>4</v>
      </c>
      <c r="AP2718" t="n">
        <v>0</v>
      </c>
      <c r="AQ2718" t="n">
        <v>0</v>
      </c>
      <c r="AR2718" t="inlineStr">
        <is>
          <t>No</t>
        </is>
      </c>
      <c r="AS2718" t="inlineStr">
        <is>
          <t>Yes</t>
        </is>
      </c>
      <c r="AT2718">
        <f>HYPERLINK("http://catalog.hathitrust.org/Record/002960173","HathiTrust Record")</f>
        <v/>
      </c>
      <c r="AU2718">
        <f>HYPERLINK("https://creighton-primo.hosted.exlibrisgroup.com/primo-explore/search?tab=default_tab&amp;search_scope=EVERYTHING&amp;vid=01CRU&amp;lang=en_US&amp;offset=0&amp;query=any,contains,991002338469702656","Catalog Record")</f>
        <v/>
      </c>
      <c r="AV2718">
        <f>HYPERLINK("http://www.worldcat.org/oclc/30437684","WorldCat Record")</f>
        <v/>
      </c>
      <c r="AW2718" t="inlineStr">
        <is>
          <t>196797473:eng</t>
        </is>
      </c>
      <c r="AX2718" t="inlineStr">
        <is>
          <t>30437684</t>
        </is>
      </c>
      <c r="AY2718" t="inlineStr">
        <is>
          <t>991002338469702656</t>
        </is>
      </c>
      <c r="AZ2718" t="inlineStr">
        <is>
          <t>991002338469702656</t>
        </is>
      </c>
      <c r="BA2718" t="inlineStr">
        <is>
          <t>2256296210002656</t>
        </is>
      </c>
      <c r="BB2718" t="inlineStr">
        <is>
          <t>BOOK</t>
        </is>
      </c>
      <c r="BD2718" t="inlineStr">
        <is>
          <t>9780815603016</t>
        </is>
      </c>
      <c r="BE2718" t="inlineStr">
        <is>
          <t>32285002045259</t>
        </is>
      </c>
      <c r="BF2718" t="inlineStr">
        <is>
          <t>893609741</t>
        </is>
      </c>
    </row>
    <row r="2719">
      <c r="A2719" t="inlineStr">
        <is>
          <t>No</t>
        </is>
      </c>
      <c r="B2719" t="inlineStr">
        <is>
          <t>CURAL</t>
        </is>
      </c>
      <c r="C2719" t="inlineStr">
        <is>
          <t>SHELVES</t>
        </is>
      </c>
      <c r="D2719" t="inlineStr">
        <is>
          <t>PR5906 .P54 1995</t>
        </is>
      </c>
      <c r="E2719" t="inlineStr">
        <is>
          <t>0                      PR 5906000P  54          1995</t>
        </is>
      </c>
      <c r="F2719" t="inlineStr">
        <is>
          <t>Yeat's worlds : Ireland, England and the poetic imagination / David Pierce ; with contemporary photographs by Dan Harper.</t>
        </is>
      </c>
      <c r="H2719" t="inlineStr">
        <is>
          <t>No</t>
        </is>
      </c>
      <c r="I2719" t="inlineStr">
        <is>
          <t>1</t>
        </is>
      </c>
      <c r="J2719" t="inlineStr">
        <is>
          <t>No</t>
        </is>
      </c>
      <c r="K2719" t="inlineStr">
        <is>
          <t>No</t>
        </is>
      </c>
      <c r="L2719" t="inlineStr">
        <is>
          <t>0</t>
        </is>
      </c>
      <c r="M2719" t="inlineStr">
        <is>
          <t>Pierce, David, 1947-</t>
        </is>
      </c>
      <c r="N2719" t="inlineStr">
        <is>
          <t>New Haven : Yale University Press, c1995.</t>
        </is>
      </c>
      <c r="O2719" t="inlineStr">
        <is>
          <t>1995</t>
        </is>
      </c>
      <c r="Q2719" t="inlineStr">
        <is>
          <t>eng</t>
        </is>
      </c>
      <c r="R2719" t="inlineStr">
        <is>
          <t>ctu</t>
        </is>
      </c>
      <c r="T2719" t="inlineStr">
        <is>
          <t xml:space="preserve">PR </t>
        </is>
      </c>
      <c r="U2719" t="n">
        <v>6</v>
      </c>
      <c r="V2719" t="n">
        <v>6</v>
      </c>
      <c r="W2719" t="inlineStr">
        <is>
          <t>2007-10-07</t>
        </is>
      </c>
      <c r="X2719" t="inlineStr">
        <is>
          <t>2007-10-07</t>
        </is>
      </c>
      <c r="Y2719" t="inlineStr">
        <is>
          <t>1996-09-10</t>
        </is>
      </c>
      <c r="Z2719" t="inlineStr">
        <is>
          <t>1996-09-10</t>
        </is>
      </c>
      <c r="AA2719" t="n">
        <v>710</v>
      </c>
      <c r="AB2719" t="n">
        <v>562</v>
      </c>
      <c r="AC2719" t="n">
        <v>582</v>
      </c>
      <c r="AD2719" t="n">
        <v>5</v>
      </c>
      <c r="AE2719" t="n">
        <v>5</v>
      </c>
      <c r="AF2719" t="n">
        <v>28</v>
      </c>
      <c r="AG2719" t="n">
        <v>28</v>
      </c>
      <c r="AH2719" t="n">
        <v>10</v>
      </c>
      <c r="AI2719" t="n">
        <v>10</v>
      </c>
      <c r="AJ2719" t="n">
        <v>6</v>
      </c>
      <c r="AK2719" t="n">
        <v>6</v>
      </c>
      <c r="AL2719" t="n">
        <v>15</v>
      </c>
      <c r="AM2719" t="n">
        <v>15</v>
      </c>
      <c r="AN2719" t="n">
        <v>4</v>
      </c>
      <c r="AO2719" t="n">
        <v>4</v>
      </c>
      <c r="AP2719" t="n">
        <v>0</v>
      </c>
      <c r="AQ2719" t="n">
        <v>0</v>
      </c>
      <c r="AR2719" t="inlineStr">
        <is>
          <t>No</t>
        </is>
      </c>
      <c r="AS2719" t="inlineStr">
        <is>
          <t>No</t>
        </is>
      </c>
      <c r="AU2719">
        <f>HYPERLINK("https://creighton-primo.hosted.exlibrisgroup.com/primo-explore/search?tab=default_tab&amp;search_scope=EVERYTHING&amp;vid=01CRU&amp;lang=en_US&amp;offset=0&amp;query=any,contains,991002461599702656","Catalog Record")</f>
        <v/>
      </c>
      <c r="AV2719">
        <f>HYPERLINK("http://www.worldcat.org/oclc/32085246","WorldCat Record")</f>
        <v/>
      </c>
      <c r="AW2719" t="inlineStr">
        <is>
          <t>837028630:eng</t>
        </is>
      </c>
      <c r="AX2719" t="inlineStr">
        <is>
          <t>32085246</t>
        </is>
      </c>
      <c r="AY2719" t="inlineStr">
        <is>
          <t>991002461599702656</t>
        </is>
      </c>
      <c r="AZ2719" t="inlineStr">
        <is>
          <t>991002461599702656</t>
        </is>
      </c>
      <c r="BA2719" t="inlineStr">
        <is>
          <t>2272304760002656</t>
        </is>
      </c>
      <c r="BB2719" t="inlineStr">
        <is>
          <t>BOOK</t>
        </is>
      </c>
      <c r="BD2719" t="inlineStr">
        <is>
          <t>9780300063233</t>
        </is>
      </c>
      <c r="BE2719" t="inlineStr">
        <is>
          <t>32285002316452</t>
        </is>
      </c>
      <c r="BF2719" t="inlineStr">
        <is>
          <t>893504409</t>
        </is>
      </c>
    </row>
    <row r="2720">
      <c r="A2720" t="inlineStr">
        <is>
          <t>No</t>
        </is>
      </c>
      <c r="B2720" t="inlineStr">
        <is>
          <t>CURAL</t>
        </is>
      </c>
      <c r="C2720" t="inlineStr">
        <is>
          <t>SHELVES</t>
        </is>
      </c>
      <c r="D2720" t="inlineStr">
        <is>
          <t>PR5906 .S28 2002</t>
        </is>
      </c>
      <c r="E2720" t="inlineStr">
        <is>
          <t>0                      PR 5906000S  28          2002</t>
        </is>
      </c>
      <c r="F2720" t="inlineStr">
        <is>
          <t>Becoming George : the life of Mrs. W.B. Yeats / Ann Saddlemyer.</t>
        </is>
      </c>
      <c r="H2720" t="inlineStr">
        <is>
          <t>No</t>
        </is>
      </c>
      <c r="I2720" t="inlineStr">
        <is>
          <t>1</t>
        </is>
      </c>
      <c r="J2720" t="inlineStr">
        <is>
          <t>No</t>
        </is>
      </c>
      <c r="K2720" t="inlineStr">
        <is>
          <t>No</t>
        </is>
      </c>
      <c r="L2720" t="inlineStr">
        <is>
          <t>0</t>
        </is>
      </c>
      <c r="M2720" t="inlineStr">
        <is>
          <t>Saddlemyer, Ann.</t>
        </is>
      </c>
      <c r="N2720" t="inlineStr">
        <is>
          <t>Oxford ; New York : Oxford University Press, 2002.</t>
        </is>
      </c>
      <c r="O2720" t="inlineStr">
        <is>
          <t>2002</t>
        </is>
      </c>
      <c r="Q2720" t="inlineStr">
        <is>
          <t>eng</t>
        </is>
      </c>
      <c r="R2720" t="inlineStr">
        <is>
          <t>enk</t>
        </is>
      </c>
      <c r="T2720" t="inlineStr">
        <is>
          <t xml:space="preserve">PR </t>
        </is>
      </c>
      <c r="U2720" t="n">
        <v>4</v>
      </c>
      <c r="V2720" t="n">
        <v>4</v>
      </c>
      <c r="W2720" t="inlineStr">
        <is>
          <t>2005-03-17</t>
        </is>
      </c>
      <c r="X2720" t="inlineStr">
        <is>
          <t>2005-03-17</t>
        </is>
      </c>
      <c r="Y2720" t="inlineStr">
        <is>
          <t>2003-07-07</t>
        </is>
      </c>
      <c r="Z2720" t="inlineStr">
        <is>
          <t>2003-07-07</t>
        </is>
      </c>
      <c r="AA2720" t="n">
        <v>582</v>
      </c>
      <c r="AB2720" t="n">
        <v>454</v>
      </c>
      <c r="AC2720" t="n">
        <v>656</v>
      </c>
      <c r="AD2720" t="n">
        <v>6</v>
      </c>
      <c r="AE2720" t="n">
        <v>8</v>
      </c>
      <c r="AF2720" t="n">
        <v>32</v>
      </c>
      <c r="AG2720" t="n">
        <v>35</v>
      </c>
      <c r="AH2720" t="n">
        <v>14</v>
      </c>
      <c r="AI2720" t="n">
        <v>15</v>
      </c>
      <c r="AJ2720" t="n">
        <v>8</v>
      </c>
      <c r="AK2720" t="n">
        <v>8</v>
      </c>
      <c r="AL2720" t="n">
        <v>15</v>
      </c>
      <c r="AM2720" t="n">
        <v>15</v>
      </c>
      <c r="AN2720" t="n">
        <v>5</v>
      </c>
      <c r="AO2720" t="n">
        <v>7</v>
      </c>
      <c r="AP2720" t="n">
        <v>0</v>
      </c>
      <c r="AQ2720" t="n">
        <v>0</v>
      </c>
      <c r="AR2720" t="inlineStr">
        <is>
          <t>No</t>
        </is>
      </c>
      <c r="AS2720" t="inlineStr">
        <is>
          <t>No</t>
        </is>
      </c>
      <c r="AU2720">
        <f>HYPERLINK("https://creighton-primo.hosted.exlibrisgroup.com/primo-explore/search?tab=default_tab&amp;search_scope=EVERYTHING&amp;vid=01CRU&amp;lang=en_US&amp;offset=0&amp;query=any,contains,991004076139702656","Catalog Record")</f>
        <v/>
      </c>
      <c r="AV2720">
        <f>HYPERLINK("http://www.worldcat.org/oclc/48958012","WorldCat Record")</f>
        <v/>
      </c>
      <c r="AW2720" t="inlineStr">
        <is>
          <t>800682732:eng</t>
        </is>
      </c>
      <c r="AX2720" t="inlineStr">
        <is>
          <t>48958012</t>
        </is>
      </c>
      <c r="AY2720" t="inlineStr">
        <is>
          <t>991004076139702656</t>
        </is>
      </c>
      <c r="AZ2720" t="inlineStr">
        <is>
          <t>991004076139702656</t>
        </is>
      </c>
      <c r="BA2720" t="inlineStr">
        <is>
          <t>2271714110002656</t>
        </is>
      </c>
      <c r="BB2720" t="inlineStr">
        <is>
          <t>BOOK</t>
        </is>
      </c>
      <c r="BD2720" t="inlineStr">
        <is>
          <t>9780198112327</t>
        </is>
      </c>
      <c r="BE2720" t="inlineStr">
        <is>
          <t>32285004755129</t>
        </is>
      </c>
      <c r="BF2720" t="inlineStr">
        <is>
          <t>893781819</t>
        </is>
      </c>
    </row>
    <row r="2721">
      <c r="A2721" t="inlineStr">
        <is>
          <t>No</t>
        </is>
      </c>
      <c r="B2721" t="inlineStr">
        <is>
          <t>CURAL</t>
        </is>
      </c>
      <c r="C2721" t="inlineStr">
        <is>
          <t>SHELVES</t>
        </is>
      </c>
      <c r="D2721" t="inlineStr">
        <is>
          <t>PR5906 .T6</t>
        </is>
      </c>
      <c r="E2721" t="inlineStr">
        <is>
          <t>0                      PR 5906000T  6</t>
        </is>
      </c>
      <c r="F2721" t="inlineStr">
        <is>
          <t>W.B. Yeats &amp; Georgian Ireland.</t>
        </is>
      </c>
      <c r="H2721" t="inlineStr">
        <is>
          <t>No</t>
        </is>
      </c>
      <c r="I2721" t="inlineStr">
        <is>
          <t>1</t>
        </is>
      </c>
      <c r="J2721" t="inlineStr">
        <is>
          <t>No</t>
        </is>
      </c>
      <c r="K2721" t="inlineStr">
        <is>
          <t>No</t>
        </is>
      </c>
      <c r="L2721" t="inlineStr">
        <is>
          <t>0</t>
        </is>
      </c>
      <c r="M2721" t="inlineStr">
        <is>
          <t>Torchiana, Donald T.</t>
        </is>
      </c>
      <c r="N2721" t="inlineStr">
        <is>
          <t>Evanston [Ill.] Northwestern University Press, 1966.</t>
        </is>
      </c>
      <c r="O2721" t="inlineStr">
        <is>
          <t>1966</t>
        </is>
      </c>
      <c r="Q2721" t="inlineStr">
        <is>
          <t>eng</t>
        </is>
      </c>
      <c r="R2721" t="inlineStr">
        <is>
          <t>ilu</t>
        </is>
      </c>
      <c r="T2721" t="inlineStr">
        <is>
          <t xml:space="preserve">PR </t>
        </is>
      </c>
      <c r="U2721" t="n">
        <v>3</v>
      </c>
      <c r="V2721" t="n">
        <v>3</v>
      </c>
      <c r="W2721" t="inlineStr">
        <is>
          <t>2006-03-25</t>
        </is>
      </c>
      <c r="X2721" t="inlineStr">
        <is>
          <t>2006-03-25</t>
        </is>
      </c>
      <c r="Y2721" t="inlineStr">
        <is>
          <t>1997-07-23</t>
        </is>
      </c>
      <c r="Z2721" t="inlineStr">
        <is>
          <t>1997-07-23</t>
        </is>
      </c>
      <c r="AA2721" t="n">
        <v>828</v>
      </c>
      <c r="AB2721" t="n">
        <v>692</v>
      </c>
      <c r="AC2721" t="n">
        <v>723</v>
      </c>
      <c r="AD2721" t="n">
        <v>5</v>
      </c>
      <c r="AE2721" t="n">
        <v>6</v>
      </c>
      <c r="AF2721" t="n">
        <v>36</v>
      </c>
      <c r="AG2721" t="n">
        <v>38</v>
      </c>
      <c r="AH2721" t="n">
        <v>14</v>
      </c>
      <c r="AI2721" t="n">
        <v>15</v>
      </c>
      <c r="AJ2721" t="n">
        <v>10</v>
      </c>
      <c r="AK2721" t="n">
        <v>10</v>
      </c>
      <c r="AL2721" t="n">
        <v>19</v>
      </c>
      <c r="AM2721" t="n">
        <v>20</v>
      </c>
      <c r="AN2721" t="n">
        <v>4</v>
      </c>
      <c r="AO2721" t="n">
        <v>5</v>
      </c>
      <c r="AP2721" t="n">
        <v>0</v>
      </c>
      <c r="AQ2721" t="n">
        <v>0</v>
      </c>
      <c r="AR2721" t="inlineStr">
        <is>
          <t>No</t>
        </is>
      </c>
      <c r="AS2721" t="inlineStr">
        <is>
          <t>Yes</t>
        </is>
      </c>
      <c r="AT2721">
        <f>HYPERLINK("http://catalog.hathitrust.org/Record/001776391","HathiTrust Record")</f>
        <v/>
      </c>
      <c r="AU2721">
        <f>HYPERLINK("https://creighton-primo.hosted.exlibrisgroup.com/primo-explore/search?tab=default_tab&amp;search_scope=EVERYTHING&amp;vid=01CRU&amp;lang=en_US&amp;offset=0&amp;query=any,contains,991002506729702656","Catalog Record")</f>
        <v/>
      </c>
      <c r="AV2721">
        <f>HYPERLINK("http://www.worldcat.org/oclc/364710","WorldCat Record")</f>
        <v/>
      </c>
      <c r="AW2721" t="inlineStr">
        <is>
          <t>1422920:eng</t>
        </is>
      </c>
      <c r="AX2721" t="inlineStr">
        <is>
          <t>364710</t>
        </is>
      </c>
      <c r="AY2721" t="inlineStr">
        <is>
          <t>991002506729702656</t>
        </is>
      </c>
      <c r="AZ2721" t="inlineStr">
        <is>
          <t>991002506729702656</t>
        </is>
      </c>
      <c r="BA2721" t="inlineStr">
        <is>
          <t>2265548030002656</t>
        </is>
      </c>
      <c r="BB2721" t="inlineStr">
        <is>
          <t>BOOK</t>
        </is>
      </c>
      <c r="BE2721" t="inlineStr">
        <is>
          <t>32285002952504</t>
        </is>
      </c>
      <c r="BF2721" t="inlineStr">
        <is>
          <t>893609935</t>
        </is>
      </c>
    </row>
    <row r="2722">
      <c r="A2722" t="inlineStr">
        <is>
          <t>No</t>
        </is>
      </c>
      <c r="B2722" t="inlineStr">
        <is>
          <t>CURAL</t>
        </is>
      </c>
      <c r="C2722" t="inlineStr">
        <is>
          <t>SHELVES</t>
        </is>
      </c>
      <c r="D2722" t="inlineStr">
        <is>
          <t>PR5906 .W75 1988</t>
        </is>
      </c>
      <c r="E2722" t="inlineStr">
        <is>
          <t>0                      PR 5906000W  75          1988</t>
        </is>
      </c>
      <c r="F2722" t="inlineStr">
        <is>
          <t>Yeats's myth of self : the autobiographical prose / David G. Wright.</t>
        </is>
      </c>
      <c r="H2722" t="inlineStr">
        <is>
          <t>No</t>
        </is>
      </c>
      <c r="I2722" t="inlineStr">
        <is>
          <t>1</t>
        </is>
      </c>
      <c r="J2722" t="inlineStr">
        <is>
          <t>No</t>
        </is>
      </c>
      <c r="K2722" t="inlineStr">
        <is>
          <t>No</t>
        </is>
      </c>
      <c r="L2722" t="inlineStr">
        <is>
          <t>0</t>
        </is>
      </c>
      <c r="M2722" t="inlineStr">
        <is>
          <t>Wright, David G.</t>
        </is>
      </c>
      <c r="N2722" t="inlineStr">
        <is>
          <t>Totowa, N.J. : Barnes &amp; Noble Books, 1988, c1987.</t>
        </is>
      </c>
      <c r="O2722" t="inlineStr">
        <is>
          <t>1987</t>
        </is>
      </c>
      <c r="Q2722" t="inlineStr">
        <is>
          <t>eng</t>
        </is>
      </c>
      <c r="R2722" t="inlineStr">
        <is>
          <t>nju</t>
        </is>
      </c>
      <c r="T2722" t="inlineStr">
        <is>
          <t xml:space="preserve">PR </t>
        </is>
      </c>
      <c r="U2722" t="n">
        <v>5</v>
      </c>
      <c r="V2722" t="n">
        <v>5</v>
      </c>
      <c r="W2722" t="inlineStr">
        <is>
          <t>2000-12-11</t>
        </is>
      </c>
      <c r="X2722" t="inlineStr">
        <is>
          <t>2000-12-11</t>
        </is>
      </c>
      <c r="Y2722" t="inlineStr">
        <is>
          <t>1992-06-23</t>
        </is>
      </c>
      <c r="Z2722" t="inlineStr">
        <is>
          <t>1992-06-23</t>
        </is>
      </c>
      <c r="AA2722" t="n">
        <v>216</v>
      </c>
      <c r="AB2722" t="n">
        <v>194</v>
      </c>
      <c r="AC2722" t="n">
        <v>225</v>
      </c>
      <c r="AD2722" t="n">
        <v>2</v>
      </c>
      <c r="AE2722" t="n">
        <v>3</v>
      </c>
      <c r="AF2722" t="n">
        <v>13</v>
      </c>
      <c r="AG2722" t="n">
        <v>15</v>
      </c>
      <c r="AH2722" t="n">
        <v>4</v>
      </c>
      <c r="AI2722" t="n">
        <v>5</v>
      </c>
      <c r="AJ2722" t="n">
        <v>3</v>
      </c>
      <c r="AK2722" t="n">
        <v>3</v>
      </c>
      <c r="AL2722" t="n">
        <v>9</v>
      </c>
      <c r="AM2722" t="n">
        <v>9</v>
      </c>
      <c r="AN2722" t="n">
        <v>1</v>
      </c>
      <c r="AO2722" t="n">
        <v>2</v>
      </c>
      <c r="AP2722" t="n">
        <v>0</v>
      </c>
      <c r="AQ2722" t="n">
        <v>0</v>
      </c>
      <c r="AR2722" t="inlineStr">
        <is>
          <t>No</t>
        </is>
      </c>
      <c r="AS2722" t="inlineStr">
        <is>
          <t>No</t>
        </is>
      </c>
      <c r="AU2722">
        <f>HYPERLINK("https://creighton-primo.hosted.exlibrisgroup.com/primo-explore/search?tab=default_tab&amp;search_scope=EVERYTHING&amp;vid=01CRU&amp;lang=en_US&amp;offset=0&amp;query=any,contains,991001073759702656","Catalog Record")</f>
        <v/>
      </c>
      <c r="AV2722">
        <f>HYPERLINK("http://www.worldcat.org/oclc/16004206","WorldCat Record")</f>
        <v/>
      </c>
      <c r="AW2722" t="inlineStr">
        <is>
          <t>10688370:eng</t>
        </is>
      </c>
      <c r="AX2722" t="inlineStr">
        <is>
          <t>16004206</t>
        </is>
      </c>
      <c r="AY2722" t="inlineStr">
        <is>
          <t>991001073759702656</t>
        </is>
      </c>
      <c r="AZ2722" t="inlineStr">
        <is>
          <t>991001073759702656</t>
        </is>
      </c>
      <c r="BA2722" t="inlineStr">
        <is>
          <t>2271513120002656</t>
        </is>
      </c>
      <c r="BB2722" t="inlineStr">
        <is>
          <t>BOOK</t>
        </is>
      </c>
      <c r="BD2722" t="inlineStr">
        <is>
          <t>9780389207603</t>
        </is>
      </c>
      <c r="BE2722" t="inlineStr">
        <is>
          <t>32285001133460</t>
        </is>
      </c>
      <c r="BF2722" t="inlineStr">
        <is>
          <t>893808932</t>
        </is>
      </c>
    </row>
    <row r="2723">
      <c r="A2723" t="inlineStr">
        <is>
          <t>No</t>
        </is>
      </c>
      <c r="B2723" t="inlineStr">
        <is>
          <t>CURAL</t>
        </is>
      </c>
      <c r="C2723" t="inlineStr">
        <is>
          <t>SHELVES</t>
        </is>
      </c>
      <c r="D2723" t="inlineStr">
        <is>
          <t>PR5906.A2 C7</t>
        </is>
      </c>
      <c r="E2723" t="inlineStr">
        <is>
          <t>0                      PR 5906000A  2                  C  7</t>
        </is>
      </c>
      <c r="F2723" t="inlineStr">
        <is>
          <t>A bibliography of Yeats criticism, 1887-1965, by K. G. W. Cross and R. T. Dunlop. With a foreword by A. Norman Jeffares.</t>
        </is>
      </c>
      <c r="H2723" t="inlineStr">
        <is>
          <t>No</t>
        </is>
      </c>
      <c r="I2723" t="inlineStr">
        <is>
          <t>1</t>
        </is>
      </c>
      <c r="J2723" t="inlineStr">
        <is>
          <t>No</t>
        </is>
      </c>
      <c r="K2723" t="inlineStr">
        <is>
          <t>No</t>
        </is>
      </c>
      <c r="L2723" t="inlineStr">
        <is>
          <t>0</t>
        </is>
      </c>
      <c r="M2723" t="inlineStr">
        <is>
          <t>Cross, K. G. W.</t>
        </is>
      </c>
      <c r="N2723" t="inlineStr">
        <is>
          <t>New York, Macmillan [c1971]</t>
        </is>
      </c>
      <c r="O2723" t="inlineStr">
        <is>
          <t>1971</t>
        </is>
      </c>
      <c r="P2723" t="inlineStr">
        <is>
          <t>[1st American ed.]</t>
        </is>
      </c>
      <c r="Q2723" t="inlineStr">
        <is>
          <t>eng</t>
        </is>
      </c>
      <c r="R2723" t="inlineStr">
        <is>
          <t>nyu</t>
        </is>
      </c>
      <c r="T2723" t="inlineStr">
        <is>
          <t xml:space="preserve">PR </t>
        </is>
      </c>
      <c r="U2723" t="n">
        <v>3</v>
      </c>
      <c r="V2723" t="n">
        <v>3</v>
      </c>
      <c r="W2723" t="inlineStr">
        <is>
          <t>2001-09-15</t>
        </is>
      </c>
      <c r="X2723" t="inlineStr">
        <is>
          <t>2001-09-15</t>
        </is>
      </c>
      <c r="Y2723" t="inlineStr">
        <is>
          <t>1997-07-23</t>
        </is>
      </c>
      <c r="Z2723" t="inlineStr">
        <is>
          <t>1997-07-23</t>
        </is>
      </c>
      <c r="AA2723" t="n">
        <v>467</v>
      </c>
      <c r="AB2723" t="n">
        <v>449</v>
      </c>
      <c r="AC2723" t="n">
        <v>590</v>
      </c>
      <c r="AD2723" t="n">
        <v>4</v>
      </c>
      <c r="AE2723" t="n">
        <v>4</v>
      </c>
      <c r="AF2723" t="n">
        <v>16</v>
      </c>
      <c r="AG2723" t="n">
        <v>27</v>
      </c>
      <c r="AH2723" t="n">
        <v>8</v>
      </c>
      <c r="AI2723" t="n">
        <v>12</v>
      </c>
      <c r="AJ2723" t="n">
        <v>2</v>
      </c>
      <c r="AK2723" t="n">
        <v>4</v>
      </c>
      <c r="AL2723" t="n">
        <v>6</v>
      </c>
      <c r="AM2723" t="n">
        <v>16</v>
      </c>
      <c r="AN2723" t="n">
        <v>3</v>
      </c>
      <c r="AO2723" t="n">
        <v>3</v>
      </c>
      <c r="AP2723" t="n">
        <v>0</v>
      </c>
      <c r="AQ2723" t="n">
        <v>0</v>
      </c>
      <c r="AR2723" t="inlineStr">
        <is>
          <t>No</t>
        </is>
      </c>
      <c r="AS2723" t="inlineStr">
        <is>
          <t>Yes</t>
        </is>
      </c>
      <c r="AT2723">
        <f>HYPERLINK("http://catalog.hathitrust.org/Record/001024992","HathiTrust Record")</f>
        <v/>
      </c>
      <c r="AU2723">
        <f>HYPERLINK("https://creighton-primo.hosted.exlibrisgroup.com/primo-explore/search?tab=default_tab&amp;search_scope=EVERYTHING&amp;vid=01CRU&amp;lang=en_US&amp;offset=0&amp;query=any,contains,991002273549702656","Catalog Record")</f>
        <v/>
      </c>
      <c r="AV2723">
        <f>HYPERLINK("http://www.worldcat.org/oclc/309352","WorldCat Record")</f>
        <v/>
      </c>
      <c r="AW2723" t="inlineStr">
        <is>
          <t>1367140:eng</t>
        </is>
      </c>
      <c r="AX2723" t="inlineStr">
        <is>
          <t>309352</t>
        </is>
      </c>
      <c r="AY2723" t="inlineStr">
        <is>
          <t>991002273549702656</t>
        </is>
      </c>
      <c r="AZ2723" t="inlineStr">
        <is>
          <t>991002273549702656</t>
        </is>
      </c>
      <c r="BA2723" t="inlineStr">
        <is>
          <t>2264689250002656</t>
        </is>
      </c>
      <c r="BB2723" t="inlineStr">
        <is>
          <t>BOOK</t>
        </is>
      </c>
      <c r="BE2723" t="inlineStr">
        <is>
          <t>32285002952322</t>
        </is>
      </c>
      <c r="BF2723" t="inlineStr">
        <is>
          <t>893691414</t>
        </is>
      </c>
    </row>
    <row r="2724">
      <c r="A2724" t="inlineStr">
        <is>
          <t>No</t>
        </is>
      </c>
      <c r="B2724" t="inlineStr">
        <is>
          <t>CURAL</t>
        </is>
      </c>
      <c r="C2724" t="inlineStr">
        <is>
          <t>SHELVES</t>
        </is>
      </c>
      <c r="D2724" t="inlineStr">
        <is>
          <t>PR5906.A3 S2</t>
        </is>
      </c>
      <c r="E2724" t="inlineStr">
        <is>
          <t>0                      PR 5906000A  3                  S  2</t>
        </is>
      </c>
      <c r="F2724" t="inlineStr">
        <is>
          <t>Prolegomena to the study of Yeats's plays.</t>
        </is>
      </c>
      <c r="H2724" t="inlineStr">
        <is>
          <t>No</t>
        </is>
      </c>
      <c r="I2724" t="inlineStr">
        <is>
          <t>1</t>
        </is>
      </c>
      <c r="J2724" t="inlineStr">
        <is>
          <t>No</t>
        </is>
      </c>
      <c r="K2724" t="inlineStr">
        <is>
          <t>No</t>
        </is>
      </c>
      <c r="L2724" t="inlineStr">
        <is>
          <t>0</t>
        </is>
      </c>
      <c r="M2724" t="inlineStr">
        <is>
          <t>Saul, George Brandon, 1901-1986.</t>
        </is>
      </c>
      <c r="N2724" t="inlineStr">
        <is>
          <t>Philadelphia, University of Pennsylvania Press [1958]</t>
        </is>
      </c>
      <c r="O2724" t="inlineStr">
        <is>
          <t>1958</t>
        </is>
      </c>
      <c r="Q2724" t="inlineStr">
        <is>
          <t>eng</t>
        </is>
      </c>
      <c r="R2724" t="inlineStr">
        <is>
          <t>pau</t>
        </is>
      </c>
      <c r="T2724" t="inlineStr">
        <is>
          <t xml:space="preserve">PR </t>
        </is>
      </c>
      <c r="U2724" t="n">
        <v>1</v>
      </c>
      <c r="V2724" t="n">
        <v>1</v>
      </c>
      <c r="W2724" t="inlineStr">
        <is>
          <t>2000-12-11</t>
        </is>
      </c>
      <c r="X2724" t="inlineStr">
        <is>
          <t>2000-12-11</t>
        </is>
      </c>
      <c r="Y2724" t="inlineStr">
        <is>
          <t>1997-07-23</t>
        </is>
      </c>
      <c r="Z2724" t="inlineStr">
        <is>
          <t>1997-07-23</t>
        </is>
      </c>
      <c r="AA2724" t="n">
        <v>383</v>
      </c>
      <c r="AB2724" t="n">
        <v>318</v>
      </c>
      <c r="AC2724" t="n">
        <v>626</v>
      </c>
      <c r="AD2724" t="n">
        <v>4</v>
      </c>
      <c r="AE2724" t="n">
        <v>4</v>
      </c>
      <c r="AF2724" t="n">
        <v>18</v>
      </c>
      <c r="AG2724" t="n">
        <v>31</v>
      </c>
      <c r="AH2724" t="n">
        <v>7</v>
      </c>
      <c r="AI2724" t="n">
        <v>13</v>
      </c>
      <c r="AJ2724" t="n">
        <v>2</v>
      </c>
      <c r="AK2724" t="n">
        <v>6</v>
      </c>
      <c r="AL2724" t="n">
        <v>8</v>
      </c>
      <c r="AM2724" t="n">
        <v>15</v>
      </c>
      <c r="AN2724" t="n">
        <v>3</v>
      </c>
      <c r="AO2724" t="n">
        <v>3</v>
      </c>
      <c r="AP2724" t="n">
        <v>0</v>
      </c>
      <c r="AQ2724" t="n">
        <v>0</v>
      </c>
      <c r="AR2724" t="inlineStr">
        <is>
          <t>No</t>
        </is>
      </c>
      <c r="AS2724" t="inlineStr">
        <is>
          <t>Yes</t>
        </is>
      </c>
      <c r="AT2724">
        <f>HYPERLINK("http://catalog.hathitrust.org/Record/001189193","HathiTrust Record")</f>
        <v/>
      </c>
      <c r="AU2724">
        <f>HYPERLINK("https://creighton-primo.hosted.exlibrisgroup.com/primo-explore/search?tab=default_tab&amp;search_scope=EVERYTHING&amp;vid=01CRU&amp;lang=en_US&amp;offset=0&amp;query=any,contains,991003017269702656","Catalog Record")</f>
        <v/>
      </c>
      <c r="AV2724">
        <f>HYPERLINK("http://www.worldcat.org/oclc/581987","WorldCat Record")</f>
        <v/>
      </c>
      <c r="AW2724" t="inlineStr">
        <is>
          <t>102181555:eng</t>
        </is>
      </c>
      <c r="AX2724" t="inlineStr">
        <is>
          <t>581987</t>
        </is>
      </c>
      <c r="AY2724" t="inlineStr">
        <is>
          <t>991003017269702656</t>
        </is>
      </c>
      <c r="AZ2724" t="inlineStr">
        <is>
          <t>991003017269702656</t>
        </is>
      </c>
      <c r="BA2724" t="inlineStr">
        <is>
          <t>2271219260002656</t>
        </is>
      </c>
      <c r="BB2724" t="inlineStr">
        <is>
          <t>BOOK</t>
        </is>
      </c>
      <c r="BE2724" t="inlineStr">
        <is>
          <t>32285002952330</t>
        </is>
      </c>
      <c r="BF2724" t="inlineStr">
        <is>
          <t>893623051</t>
        </is>
      </c>
    </row>
    <row r="2725">
      <c r="A2725" t="inlineStr">
        <is>
          <t>No</t>
        </is>
      </c>
      <c r="B2725" t="inlineStr">
        <is>
          <t>CURAL</t>
        </is>
      </c>
      <c r="C2725" t="inlineStr">
        <is>
          <t>SHELVES</t>
        </is>
      </c>
      <c r="D2725" t="inlineStr">
        <is>
          <t>PR5906.A532 R6</t>
        </is>
      </c>
      <c r="E2725" t="inlineStr">
        <is>
          <t>0                      PR 5906000A  532                R  6</t>
        </is>
      </c>
      <c r="F2725" t="inlineStr">
        <is>
          <t>Yeats's Autobiography; life as symbolic pattern.</t>
        </is>
      </c>
      <c r="H2725" t="inlineStr">
        <is>
          <t>No</t>
        </is>
      </c>
      <c r="I2725" t="inlineStr">
        <is>
          <t>1</t>
        </is>
      </c>
      <c r="J2725" t="inlineStr">
        <is>
          <t>No</t>
        </is>
      </c>
      <c r="K2725" t="inlineStr">
        <is>
          <t>No</t>
        </is>
      </c>
      <c r="L2725" t="inlineStr">
        <is>
          <t>0</t>
        </is>
      </c>
      <c r="M2725" t="inlineStr">
        <is>
          <t>Ronsley, Joseph.</t>
        </is>
      </c>
      <c r="N2725" t="inlineStr">
        <is>
          <t>Cambridge, Mass., Harvard University Press, 1968.</t>
        </is>
      </c>
      <c r="O2725" t="inlineStr">
        <is>
          <t>1968</t>
        </is>
      </c>
      <c r="Q2725" t="inlineStr">
        <is>
          <t>eng</t>
        </is>
      </c>
      <c r="R2725" t="inlineStr">
        <is>
          <t>mau</t>
        </is>
      </c>
      <c r="T2725" t="inlineStr">
        <is>
          <t xml:space="preserve">PR </t>
        </is>
      </c>
      <c r="U2725" t="n">
        <v>6</v>
      </c>
      <c r="V2725" t="n">
        <v>6</v>
      </c>
      <c r="W2725" t="inlineStr">
        <is>
          <t>2006-03-25</t>
        </is>
      </c>
      <c r="X2725" t="inlineStr">
        <is>
          <t>2006-03-25</t>
        </is>
      </c>
      <c r="Y2725" t="inlineStr">
        <is>
          <t>1997-07-23</t>
        </is>
      </c>
      <c r="Z2725" t="inlineStr">
        <is>
          <t>1997-07-23</t>
        </is>
      </c>
      <c r="AA2725" t="n">
        <v>876</v>
      </c>
      <c r="AB2725" t="n">
        <v>725</v>
      </c>
      <c r="AC2725" t="n">
        <v>735</v>
      </c>
      <c r="AD2725" t="n">
        <v>4</v>
      </c>
      <c r="AE2725" t="n">
        <v>4</v>
      </c>
      <c r="AF2725" t="n">
        <v>39</v>
      </c>
      <c r="AG2725" t="n">
        <v>39</v>
      </c>
      <c r="AH2725" t="n">
        <v>16</v>
      </c>
      <c r="AI2725" t="n">
        <v>16</v>
      </c>
      <c r="AJ2725" t="n">
        <v>9</v>
      </c>
      <c r="AK2725" t="n">
        <v>9</v>
      </c>
      <c r="AL2725" t="n">
        <v>21</v>
      </c>
      <c r="AM2725" t="n">
        <v>21</v>
      </c>
      <c r="AN2725" t="n">
        <v>3</v>
      </c>
      <c r="AO2725" t="n">
        <v>3</v>
      </c>
      <c r="AP2725" t="n">
        <v>0</v>
      </c>
      <c r="AQ2725" t="n">
        <v>0</v>
      </c>
      <c r="AR2725" t="inlineStr">
        <is>
          <t>No</t>
        </is>
      </c>
      <c r="AS2725" t="inlineStr">
        <is>
          <t>Yes</t>
        </is>
      </c>
      <c r="AT2725">
        <f>HYPERLINK("http://catalog.hathitrust.org/Record/000223244","HathiTrust Record")</f>
        <v/>
      </c>
      <c r="AU2725">
        <f>HYPERLINK("https://creighton-primo.hosted.exlibrisgroup.com/primo-explore/search?tab=default_tab&amp;search_scope=EVERYTHING&amp;vid=01CRU&amp;lang=en_US&amp;offset=0&amp;query=any,contains,991002776979702656","Catalog Record")</f>
        <v/>
      </c>
      <c r="AV2725">
        <f>HYPERLINK("http://www.worldcat.org/oclc/439046","WorldCat Record")</f>
        <v/>
      </c>
      <c r="AW2725" t="inlineStr">
        <is>
          <t>430876:eng</t>
        </is>
      </c>
      <c r="AX2725" t="inlineStr">
        <is>
          <t>439046</t>
        </is>
      </c>
      <c r="AY2725" t="inlineStr">
        <is>
          <t>991002776979702656</t>
        </is>
      </c>
      <c r="AZ2725" t="inlineStr">
        <is>
          <t>991002776979702656</t>
        </is>
      </c>
      <c r="BA2725" t="inlineStr">
        <is>
          <t>2267828700002656</t>
        </is>
      </c>
      <c r="BB2725" t="inlineStr">
        <is>
          <t>BOOK</t>
        </is>
      </c>
      <c r="BE2725" t="inlineStr">
        <is>
          <t>32285002952363</t>
        </is>
      </c>
      <c r="BF2725" t="inlineStr">
        <is>
          <t>893904081</t>
        </is>
      </c>
    </row>
    <row r="2726">
      <c r="A2726" t="inlineStr">
        <is>
          <t>No</t>
        </is>
      </c>
      <c r="B2726" t="inlineStr">
        <is>
          <t>CURAL</t>
        </is>
      </c>
      <c r="C2726" t="inlineStr">
        <is>
          <t>SHELVES</t>
        </is>
      </c>
      <c r="D2726" t="inlineStr">
        <is>
          <t>PR5907 .A4</t>
        </is>
      </c>
      <c r="E2726" t="inlineStr">
        <is>
          <t>0                      PR 5907000A  4</t>
        </is>
      </c>
      <c r="F2726" t="inlineStr">
        <is>
          <t>The myth against myth: a study of Yeats's imagination in old age.</t>
        </is>
      </c>
      <c r="H2726" t="inlineStr">
        <is>
          <t>No</t>
        </is>
      </c>
      <c r="I2726" t="inlineStr">
        <is>
          <t>1</t>
        </is>
      </c>
      <c r="J2726" t="inlineStr">
        <is>
          <t>No</t>
        </is>
      </c>
      <c r="K2726" t="inlineStr">
        <is>
          <t>No</t>
        </is>
      </c>
      <c r="L2726" t="inlineStr">
        <is>
          <t>0</t>
        </is>
      </c>
      <c r="M2726" t="inlineStr">
        <is>
          <t>Albright, Daniel, 1945-2015.</t>
        </is>
      </c>
      <c r="N2726" t="inlineStr">
        <is>
          <t>London, Oxford University Press, 1972.</t>
        </is>
      </c>
      <c r="O2726" t="inlineStr">
        <is>
          <t>1972</t>
        </is>
      </c>
      <c r="Q2726" t="inlineStr">
        <is>
          <t>eng</t>
        </is>
      </c>
      <c r="R2726" t="inlineStr">
        <is>
          <t>enk</t>
        </is>
      </c>
      <c r="T2726" t="inlineStr">
        <is>
          <t xml:space="preserve">PR </t>
        </is>
      </c>
      <c r="U2726" t="n">
        <v>2</v>
      </c>
      <c r="V2726" t="n">
        <v>2</v>
      </c>
      <c r="W2726" t="inlineStr">
        <is>
          <t>2007-12-13</t>
        </is>
      </c>
      <c r="X2726" t="inlineStr">
        <is>
          <t>2007-12-13</t>
        </is>
      </c>
      <c r="Y2726" t="inlineStr">
        <is>
          <t>1997-07-23</t>
        </is>
      </c>
      <c r="Z2726" t="inlineStr">
        <is>
          <t>1997-07-23</t>
        </is>
      </c>
      <c r="AA2726" t="n">
        <v>789</v>
      </c>
      <c r="AB2726" t="n">
        <v>610</v>
      </c>
      <c r="AC2726" t="n">
        <v>618</v>
      </c>
      <c r="AD2726" t="n">
        <v>2</v>
      </c>
      <c r="AE2726" t="n">
        <v>2</v>
      </c>
      <c r="AF2726" t="n">
        <v>33</v>
      </c>
      <c r="AG2726" t="n">
        <v>33</v>
      </c>
      <c r="AH2726" t="n">
        <v>14</v>
      </c>
      <c r="AI2726" t="n">
        <v>14</v>
      </c>
      <c r="AJ2726" t="n">
        <v>10</v>
      </c>
      <c r="AK2726" t="n">
        <v>10</v>
      </c>
      <c r="AL2726" t="n">
        <v>20</v>
      </c>
      <c r="AM2726" t="n">
        <v>20</v>
      </c>
      <c r="AN2726" t="n">
        <v>1</v>
      </c>
      <c r="AO2726" t="n">
        <v>1</v>
      </c>
      <c r="AP2726" t="n">
        <v>0</v>
      </c>
      <c r="AQ2726" t="n">
        <v>0</v>
      </c>
      <c r="AR2726" t="inlineStr">
        <is>
          <t>No</t>
        </is>
      </c>
      <c r="AS2726" t="inlineStr">
        <is>
          <t>Yes</t>
        </is>
      </c>
      <c r="AT2726">
        <f>HYPERLINK("http://catalog.hathitrust.org/Record/001025009","HathiTrust Record")</f>
        <v/>
      </c>
      <c r="AU2726">
        <f>HYPERLINK("https://creighton-primo.hosted.exlibrisgroup.com/primo-explore/search?tab=default_tab&amp;search_scope=EVERYTHING&amp;vid=01CRU&amp;lang=en_US&amp;offset=0&amp;query=any,contains,991003080929702656","Catalog Record")</f>
        <v/>
      </c>
      <c r="AV2726">
        <f>HYPERLINK("http://www.worldcat.org/oclc/632596","WorldCat Record")</f>
        <v/>
      </c>
      <c r="AW2726" t="inlineStr">
        <is>
          <t>1749978:eng</t>
        </is>
      </c>
      <c r="AX2726" t="inlineStr">
        <is>
          <t>632596</t>
        </is>
      </c>
      <c r="AY2726" t="inlineStr">
        <is>
          <t>991003080929702656</t>
        </is>
      </c>
      <c r="AZ2726" t="inlineStr">
        <is>
          <t>991003080929702656</t>
        </is>
      </c>
      <c r="BA2726" t="inlineStr">
        <is>
          <t>2263872750002656</t>
        </is>
      </c>
      <c r="BB2726" t="inlineStr">
        <is>
          <t>BOOK</t>
        </is>
      </c>
      <c r="BD2726" t="inlineStr">
        <is>
          <t>9780192121882</t>
        </is>
      </c>
      <c r="BE2726" t="inlineStr">
        <is>
          <t>32285002952561</t>
        </is>
      </c>
      <c r="BF2726" t="inlineStr">
        <is>
          <t>893505180</t>
        </is>
      </c>
    </row>
    <row r="2727">
      <c r="A2727" t="inlineStr">
        <is>
          <t>No</t>
        </is>
      </c>
      <c r="B2727" t="inlineStr">
        <is>
          <t>CURAL</t>
        </is>
      </c>
      <c r="C2727" t="inlineStr">
        <is>
          <t>SHELVES</t>
        </is>
      </c>
      <c r="D2727" t="inlineStr">
        <is>
          <t>PR5907 .A72 1983</t>
        </is>
      </c>
      <c r="E2727" t="inlineStr">
        <is>
          <t>0                      PR 5907000A  72          1983</t>
        </is>
      </c>
      <c r="F2727" t="inlineStr">
        <is>
          <t>Yeats / Douglas Archibald.</t>
        </is>
      </c>
      <c r="H2727" t="inlineStr">
        <is>
          <t>No</t>
        </is>
      </c>
      <c r="I2727" t="inlineStr">
        <is>
          <t>1</t>
        </is>
      </c>
      <c r="J2727" t="inlineStr">
        <is>
          <t>No</t>
        </is>
      </c>
      <c r="K2727" t="inlineStr">
        <is>
          <t>No</t>
        </is>
      </c>
      <c r="L2727" t="inlineStr">
        <is>
          <t>0</t>
        </is>
      </c>
      <c r="M2727" t="inlineStr">
        <is>
          <t>Archibald, Douglas N.</t>
        </is>
      </c>
      <c r="N2727" t="inlineStr">
        <is>
          <t>Syracuse : Syracuse University Press, 1983.</t>
        </is>
      </c>
      <c r="O2727" t="inlineStr">
        <is>
          <t>1983</t>
        </is>
      </c>
      <c r="P2727" t="inlineStr">
        <is>
          <t>1st ed.</t>
        </is>
      </c>
      <c r="Q2727" t="inlineStr">
        <is>
          <t>eng</t>
        </is>
      </c>
      <c r="R2727" t="inlineStr">
        <is>
          <t>nyu</t>
        </is>
      </c>
      <c r="S2727" t="inlineStr">
        <is>
          <t>Irish studies</t>
        </is>
      </c>
      <c r="T2727" t="inlineStr">
        <is>
          <t xml:space="preserve">PR </t>
        </is>
      </c>
      <c r="U2727" t="n">
        <v>6</v>
      </c>
      <c r="V2727" t="n">
        <v>6</v>
      </c>
      <c r="W2727" t="inlineStr">
        <is>
          <t>2007-11-26</t>
        </is>
      </c>
      <c r="X2727" t="inlineStr">
        <is>
          <t>2007-11-26</t>
        </is>
      </c>
      <c r="Y2727" t="inlineStr">
        <is>
          <t>1992-06-23</t>
        </is>
      </c>
      <c r="Z2727" t="inlineStr">
        <is>
          <t>1992-06-23</t>
        </is>
      </c>
      <c r="AA2727" t="n">
        <v>1051</v>
      </c>
      <c r="AB2727" t="n">
        <v>931</v>
      </c>
      <c r="AC2727" t="n">
        <v>969</v>
      </c>
      <c r="AD2727" t="n">
        <v>8</v>
      </c>
      <c r="AE2727" t="n">
        <v>8</v>
      </c>
      <c r="AF2727" t="n">
        <v>45</v>
      </c>
      <c r="AG2727" t="n">
        <v>47</v>
      </c>
      <c r="AH2727" t="n">
        <v>19</v>
      </c>
      <c r="AI2727" t="n">
        <v>21</v>
      </c>
      <c r="AJ2727" t="n">
        <v>10</v>
      </c>
      <c r="AK2727" t="n">
        <v>10</v>
      </c>
      <c r="AL2727" t="n">
        <v>20</v>
      </c>
      <c r="AM2727" t="n">
        <v>21</v>
      </c>
      <c r="AN2727" t="n">
        <v>7</v>
      </c>
      <c r="AO2727" t="n">
        <v>7</v>
      </c>
      <c r="AP2727" t="n">
        <v>0</v>
      </c>
      <c r="AQ2727" t="n">
        <v>0</v>
      </c>
      <c r="AR2727" t="inlineStr">
        <is>
          <t>No</t>
        </is>
      </c>
      <c r="AS2727" t="inlineStr">
        <is>
          <t>Yes</t>
        </is>
      </c>
      <c r="AT2727">
        <f>HYPERLINK("http://catalog.hathitrust.org/Record/000234693","HathiTrust Record")</f>
        <v/>
      </c>
      <c r="AU2727">
        <f>HYPERLINK("https://creighton-primo.hosted.exlibrisgroup.com/primo-explore/search?tab=default_tab&amp;search_scope=EVERYTHING&amp;vid=01CRU&amp;lang=en_US&amp;offset=0&amp;query=any,contains,991000130179702656","Catalog Record")</f>
        <v/>
      </c>
      <c r="AV2727">
        <f>HYPERLINK("http://www.worldcat.org/oclc/9110883","WorldCat Record")</f>
        <v/>
      </c>
      <c r="AW2727" t="inlineStr">
        <is>
          <t>1909003377:eng</t>
        </is>
      </c>
      <c r="AX2727" t="inlineStr">
        <is>
          <t>9110883</t>
        </is>
      </c>
      <c r="AY2727" t="inlineStr">
        <is>
          <t>991000130179702656</t>
        </is>
      </c>
      <c r="AZ2727" t="inlineStr">
        <is>
          <t>991000130179702656</t>
        </is>
      </c>
      <c r="BA2727" t="inlineStr">
        <is>
          <t>2268682190002656</t>
        </is>
      </c>
      <c r="BB2727" t="inlineStr">
        <is>
          <t>BOOK</t>
        </is>
      </c>
      <c r="BD2727" t="inlineStr">
        <is>
          <t>9780815622635</t>
        </is>
      </c>
      <c r="BE2727" t="inlineStr">
        <is>
          <t>32285001133478</t>
        </is>
      </c>
      <c r="BF2727" t="inlineStr">
        <is>
          <t>893877830</t>
        </is>
      </c>
    </row>
    <row r="2728">
      <c r="A2728" t="inlineStr">
        <is>
          <t>No</t>
        </is>
      </c>
      <c r="B2728" t="inlineStr">
        <is>
          <t>CURAL</t>
        </is>
      </c>
      <c r="C2728" t="inlineStr">
        <is>
          <t>SHELVES</t>
        </is>
      </c>
      <c r="D2728" t="inlineStr">
        <is>
          <t>PR5907 .B4</t>
        </is>
      </c>
      <c r="E2728" t="inlineStr">
        <is>
          <t>0                      PR 5907000B  4</t>
        </is>
      </c>
      <c r="F2728" t="inlineStr">
        <is>
          <t>W. B. Yeats: design of opposites, a critical study.</t>
        </is>
      </c>
      <c r="H2728" t="inlineStr">
        <is>
          <t>No</t>
        </is>
      </c>
      <c r="I2728" t="inlineStr">
        <is>
          <t>1</t>
        </is>
      </c>
      <c r="J2728" t="inlineStr">
        <is>
          <t>No</t>
        </is>
      </c>
      <c r="K2728" t="inlineStr">
        <is>
          <t>No</t>
        </is>
      </c>
      <c r="L2728" t="inlineStr">
        <is>
          <t>0</t>
        </is>
      </c>
      <c r="M2728" t="inlineStr">
        <is>
          <t>Berryman, Charles, 1939-</t>
        </is>
      </c>
      <c r="N2728" t="inlineStr">
        <is>
          <t>New York, Exposition Press [1967]</t>
        </is>
      </c>
      <c r="O2728" t="inlineStr">
        <is>
          <t>1967</t>
        </is>
      </c>
      <c r="P2728" t="inlineStr">
        <is>
          <t>[1st ed.]</t>
        </is>
      </c>
      <c r="Q2728" t="inlineStr">
        <is>
          <t>eng</t>
        </is>
      </c>
      <c r="R2728" t="inlineStr">
        <is>
          <t>nyu</t>
        </is>
      </c>
      <c r="S2728" t="inlineStr">
        <is>
          <t>An Exposition-University book</t>
        </is>
      </c>
      <c r="T2728" t="inlineStr">
        <is>
          <t xml:space="preserve">PR </t>
        </is>
      </c>
      <c r="U2728" t="n">
        <v>1</v>
      </c>
      <c r="V2728" t="n">
        <v>1</v>
      </c>
      <c r="W2728" t="inlineStr">
        <is>
          <t>2000-12-11</t>
        </is>
      </c>
      <c r="X2728" t="inlineStr">
        <is>
          <t>2000-12-11</t>
        </is>
      </c>
      <c r="Y2728" t="inlineStr">
        <is>
          <t>1997-07-23</t>
        </is>
      </c>
      <c r="Z2728" t="inlineStr">
        <is>
          <t>1997-07-23</t>
        </is>
      </c>
      <c r="AA2728" t="n">
        <v>259</v>
      </c>
      <c r="AB2728" t="n">
        <v>215</v>
      </c>
      <c r="AC2728" t="n">
        <v>221</v>
      </c>
      <c r="AD2728" t="n">
        <v>1</v>
      </c>
      <c r="AE2728" t="n">
        <v>1</v>
      </c>
      <c r="AF2728" t="n">
        <v>14</v>
      </c>
      <c r="AG2728" t="n">
        <v>14</v>
      </c>
      <c r="AH2728" t="n">
        <v>4</v>
      </c>
      <c r="AI2728" t="n">
        <v>4</v>
      </c>
      <c r="AJ2728" t="n">
        <v>4</v>
      </c>
      <c r="AK2728" t="n">
        <v>4</v>
      </c>
      <c r="AL2728" t="n">
        <v>8</v>
      </c>
      <c r="AM2728" t="n">
        <v>8</v>
      </c>
      <c r="AN2728" t="n">
        <v>0</v>
      </c>
      <c r="AO2728" t="n">
        <v>0</v>
      </c>
      <c r="AP2728" t="n">
        <v>0</v>
      </c>
      <c r="AQ2728" t="n">
        <v>0</v>
      </c>
      <c r="AR2728" t="inlineStr">
        <is>
          <t>No</t>
        </is>
      </c>
      <c r="AS2728" t="inlineStr">
        <is>
          <t>No</t>
        </is>
      </c>
      <c r="AU2728">
        <f>HYPERLINK("https://creighton-primo.hosted.exlibrisgroup.com/primo-explore/search?tab=default_tab&amp;search_scope=EVERYTHING&amp;vid=01CRU&amp;lang=en_US&amp;offset=0&amp;query=any,contains,991003969929702656","Catalog Record")</f>
        <v/>
      </c>
      <c r="AV2728">
        <f>HYPERLINK("http://www.worldcat.org/oclc/1991885","WorldCat Record")</f>
        <v/>
      </c>
      <c r="AW2728" t="inlineStr">
        <is>
          <t>4020205658:eng</t>
        </is>
      </c>
      <c r="AX2728" t="inlineStr">
        <is>
          <t>1991885</t>
        </is>
      </c>
      <c r="AY2728" t="inlineStr">
        <is>
          <t>991003969929702656</t>
        </is>
      </c>
      <c r="AZ2728" t="inlineStr">
        <is>
          <t>991003969929702656</t>
        </is>
      </c>
      <c r="BA2728" t="inlineStr">
        <is>
          <t>2264019490002656</t>
        </is>
      </c>
      <c r="BB2728" t="inlineStr">
        <is>
          <t>BOOK</t>
        </is>
      </c>
      <c r="BE2728" t="inlineStr">
        <is>
          <t>32285002952579</t>
        </is>
      </c>
      <c r="BF2728" t="inlineStr">
        <is>
          <t>893343308</t>
        </is>
      </c>
    </row>
    <row r="2729">
      <c r="A2729" t="inlineStr">
        <is>
          <t>No</t>
        </is>
      </c>
      <c r="B2729" t="inlineStr">
        <is>
          <t>CURAL</t>
        </is>
      </c>
      <c r="C2729" t="inlineStr">
        <is>
          <t>SHELVES</t>
        </is>
      </c>
      <c r="D2729" t="inlineStr">
        <is>
          <t>PR5907 .B47 1992</t>
        </is>
      </c>
      <c r="E2729" t="inlineStr">
        <is>
          <t>0                      PR 5907000B  47          1992</t>
        </is>
      </c>
      <c r="F2729" t="inlineStr">
        <is>
          <t>Between time and eternity : nine essays on W.B. Yeats and his contemporaries, Hofmannsthal and Blok / edited by Paul Kirschner and Alexander Stillmark.</t>
        </is>
      </c>
      <c r="H2729" t="inlineStr">
        <is>
          <t>No</t>
        </is>
      </c>
      <c r="I2729" t="inlineStr">
        <is>
          <t>1</t>
        </is>
      </c>
      <c r="J2729" t="inlineStr">
        <is>
          <t>No</t>
        </is>
      </c>
      <c r="K2729" t="inlineStr">
        <is>
          <t>No</t>
        </is>
      </c>
      <c r="L2729" t="inlineStr">
        <is>
          <t>0</t>
        </is>
      </c>
      <c r="N2729" t="inlineStr">
        <is>
          <t>Amsterdam ; Atlanta, GA : Rodopi, 1992.</t>
        </is>
      </c>
      <c r="O2729" t="inlineStr">
        <is>
          <t>1992</t>
        </is>
      </c>
      <c r="Q2729" t="inlineStr">
        <is>
          <t>eng</t>
        </is>
      </c>
      <c r="R2729" t="inlineStr">
        <is>
          <t xml:space="preserve">ne </t>
        </is>
      </c>
      <c r="S2729" t="inlineStr">
        <is>
          <t>Costerus, 0165-9618 ; new ser., 86</t>
        </is>
      </c>
      <c r="T2729" t="inlineStr">
        <is>
          <t xml:space="preserve">PR </t>
        </is>
      </c>
      <c r="U2729" t="n">
        <v>1</v>
      </c>
      <c r="V2729" t="n">
        <v>1</v>
      </c>
      <c r="W2729" t="inlineStr">
        <is>
          <t>2005-01-25</t>
        </is>
      </c>
      <c r="X2729" t="inlineStr">
        <is>
          <t>2005-01-25</t>
        </is>
      </c>
      <c r="Y2729" t="inlineStr">
        <is>
          <t>2005-01-24</t>
        </is>
      </c>
      <c r="Z2729" t="inlineStr">
        <is>
          <t>2005-01-24</t>
        </is>
      </c>
      <c r="AA2729" t="n">
        <v>125</v>
      </c>
      <c r="AB2729" t="n">
        <v>80</v>
      </c>
      <c r="AC2729" t="n">
        <v>81</v>
      </c>
      <c r="AD2729" t="n">
        <v>2</v>
      </c>
      <c r="AE2729" t="n">
        <v>2</v>
      </c>
      <c r="AF2729" t="n">
        <v>3</v>
      </c>
      <c r="AG2729" t="n">
        <v>3</v>
      </c>
      <c r="AH2729" t="n">
        <v>0</v>
      </c>
      <c r="AI2729" t="n">
        <v>0</v>
      </c>
      <c r="AJ2729" t="n">
        <v>0</v>
      </c>
      <c r="AK2729" t="n">
        <v>0</v>
      </c>
      <c r="AL2729" t="n">
        <v>2</v>
      </c>
      <c r="AM2729" t="n">
        <v>2</v>
      </c>
      <c r="AN2729" t="n">
        <v>1</v>
      </c>
      <c r="AO2729" t="n">
        <v>1</v>
      </c>
      <c r="AP2729" t="n">
        <v>0</v>
      </c>
      <c r="AQ2729" t="n">
        <v>0</v>
      </c>
      <c r="AR2729" t="inlineStr">
        <is>
          <t>No</t>
        </is>
      </c>
      <c r="AS2729" t="inlineStr">
        <is>
          <t>Yes</t>
        </is>
      </c>
      <c r="AT2729">
        <f>HYPERLINK("http://catalog.hathitrust.org/Record/006724318","HathiTrust Record")</f>
        <v/>
      </c>
      <c r="AU2729">
        <f>HYPERLINK("https://creighton-primo.hosted.exlibrisgroup.com/primo-explore/search?tab=default_tab&amp;search_scope=EVERYTHING&amp;vid=01CRU&amp;lang=en_US&amp;offset=0&amp;query=any,contains,991004416989702656","Catalog Record")</f>
        <v/>
      </c>
      <c r="AV2729">
        <f>HYPERLINK("http://www.worldcat.org/oclc/27295041","WorldCat Record")</f>
        <v/>
      </c>
      <c r="AW2729" t="inlineStr">
        <is>
          <t>890590536:eng</t>
        </is>
      </c>
      <c r="AX2729" t="inlineStr">
        <is>
          <t>27295041</t>
        </is>
      </c>
      <c r="AY2729" t="inlineStr">
        <is>
          <t>991004416989702656</t>
        </is>
      </c>
      <c r="AZ2729" t="inlineStr">
        <is>
          <t>991004416989702656</t>
        </is>
      </c>
      <c r="BA2729" t="inlineStr">
        <is>
          <t>2263754010002656</t>
        </is>
      </c>
      <c r="BB2729" t="inlineStr">
        <is>
          <t>BOOK</t>
        </is>
      </c>
      <c r="BD2729" t="inlineStr">
        <is>
          <t>9789051834161</t>
        </is>
      </c>
      <c r="BE2729" t="inlineStr">
        <is>
          <t>32285005015648</t>
        </is>
      </c>
      <c r="BF2729" t="inlineStr">
        <is>
          <t>893235472</t>
        </is>
      </c>
    </row>
    <row r="2730">
      <c r="A2730" t="inlineStr">
        <is>
          <t>No</t>
        </is>
      </c>
      <c r="B2730" t="inlineStr">
        <is>
          <t>CURAL</t>
        </is>
      </c>
      <c r="C2730" t="inlineStr">
        <is>
          <t>SHELVES</t>
        </is>
      </c>
      <c r="D2730" t="inlineStr">
        <is>
          <t>PR5907 .B55</t>
        </is>
      </c>
      <c r="E2730" t="inlineStr">
        <is>
          <t>0                      PR 5907000B  55</t>
        </is>
      </c>
      <c r="F2730" t="inlineStr">
        <is>
          <t>Yeats.</t>
        </is>
      </c>
      <c r="H2730" t="inlineStr">
        <is>
          <t>No</t>
        </is>
      </c>
      <c r="I2730" t="inlineStr">
        <is>
          <t>1</t>
        </is>
      </c>
      <c r="J2730" t="inlineStr">
        <is>
          <t>No</t>
        </is>
      </c>
      <c r="K2730" t="inlineStr">
        <is>
          <t>No</t>
        </is>
      </c>
      <c r="L2730" t="inlineStr">
        <is>
          <t>0</t>
        </is>
      </c>
      <c r="M2730" t="inlineStr">
        <is>
          <t>Bloom, Harold.</t>
        </is>
      </c>
      <c r="N2730" t="inlineStr">
        <is>
          <t>New York : Oxford University Press, 1970.</t>
        </is>
      </c>
      <c r="O2730" t="inlineStr">
        <is>
          <t>1970</t>
        </is>
      </c>
      <c r="Q2730" t="inlineStr">
        <is>
          <t>eng</t>
        </is>
      </c>
      <c r="R2730" t="inlineStr">
        <is>
          <t>nyu</t>
        </is>
      </c>
      <c r="T2730" t="inlineStr">
        <is>
          <t xml:space="preserve">PR </t>
        </is>
      </c>
      <c r="U2730" t="n">
        <v>7</v>
      </c>
      <c r="V2730" t="n">
        <v>7</v>
      </c>
      <c r="W2730" t="inlineStr">
        <is>
          <t>2007-11-26</t>
        </is>
      </c>
      <c r="X2730" t="inlineStr">
        <is>
          <t>2007-11-26</t>
        </is>
      </c>
      <c r="Y2730" t="inlineStr">
        <is>
          <t>1991-05-17</t>
        </is>
      </c>
      <c r="Z2730" t="inlineStr">
        <is>
          <t>1991-05-17</t>
        </is>
      </c>
      <c r="AA2730" t="n">
        <v>1597</v>
      </c>
      <c r="AB2730" t="n">
        <v>1374</v>
      </c>
      <c r="AC2730" t="n">
        <v>1486</v>
      </c>
      <c r="AD2730" t="n">
        <v>10</v>
      </c>
      <c r="AE2730" t="n">
        <v>11</v>
      </c>
      <c r="AF2730" t="n">
        <v>53</v>
      </c>
      <c r="AG2730" t="n">
        <v>58</v>
      </c>
      <c r="AH2730" t="n">
        <v>23</v>
      </c>
      <c r="AI2730" t="n">
        <v>26</v>
      </c>
      <c r="AJ2730" t="n">
        <v>11</v>
      </c>
      <c r="AK2730" t="n">
        <v>11</v>
      </c>
      <c r="AL2730" t="n">
        <v>21</v>
      </c>
      <c r="AM2730" t="n">
        <v>24</v>
      </c>
      <c r="AN2730" t="n">
        <v>9</v>
      </c>
      <c r="AO2730" t="n">
        <v>10</v>
      </c>
      <c r="AP2730" t="n">
        <v>0</v>
      </c>
      <c r="AQ2730" t="n">
        <v>0</v>
      </c>
      <c r="AR2730" t="inlineStr">
        <is>
          <t>No</t>
        </is>
      </c>
      <c r="AS2730" t="inlineStr">
        <is>
          <t>Yes</t>
        </is>
      </c>
      <c r="AT2730">
        <f>HYPERLINK("http://catalog.hathitrust.org/Record/001189147","HathiTrust Record")</f>
        <v/>
      </c>
      <c r="AU2730">
        <f>HYPERLINK("https://creighton-primo.hosted.exlibrisgroup.com/primo-explore/search?tab=default_tab&amp;search_scope=EVERYTHING&amp;vid=01CRU&amp;lang=en_US&amp;offset=0&amp;query=any,contains,991000205319702656","Catalog Record")</f>
        <v/>
      </c>
      <c r="AV2730">
        <f>HYPERLINK("http://www.worldcat.org/oclc/64756","WorldCat Record")</f>
        <v/>
      </c>
      <c r="AW2730" t="inlineStr">
        <is>
          <t>3943610031:eng</t>
        </is>
      </c>
      <c r="AX2730" t="inlineStr">
        <is>
          <t>64756</t>
        </is>
      </c>
      <c r="AY2730" t="inlineStr">
        <is>
          <t>991000205319702656</t>
        </is>
      </c>
      <c r="AZ2730" t="inlineStr">
        <is>
          <t>991000205319702656</t>
        </is>
      </c>
      <c r="BA2730" t="inlineStr">
        <is>
          <t>2255591220002656</t>
        </is>
      </c>
      <c r="BB2730" t="inlineStr">
        <is>
          <t>BOOK</t>
        </is>
      </c>
      <c r="BE2730" t="inlineStr">
        <is>
          <t>32285000596253</t>
        </is>
      </c>
      <c r="BF2730" t="inlineStr">
        <is>
          <t>893521501</t>
        </is>
      </c>
    </row>
    <row r="2731">
      <c r="A2731" t="inlineStr">
        <is>
          <t>No</t>
        </is>
      </c>
      <c r="B2731" t="inlineStr">
        <is>
          <t>CURAL</t>
        </is>
      </c>
      <c r="C2731" t="inlineStr">
        <is>
          <t>SHELVES</t>
        </is>
      </c>
      <c r="D2731" t="inlineStr">
        <is>
          <t>PR5907 .B8</t>
        </is>
      </c>
      <c r="E2731" t="inlineStr">
        <is>
          <t>0                      PR 5907000B  8</t>
        </is>
      </c>
      <c r="F2731" t="inlineStr">
        <is>
          <t>Yeats's verse-plays; the revisions 1900-1910 [by] S. B. Bushrui.</t>
        </is>
      </c>
      <c r="H2731" t="inlineStr">
        <is>
          <t>No</t>
        </is>
      </c>
      <c r="I2731" t="inlineStr">
        <is>
          <t>1</t>
        </is>
      </c>
      <c r="J2731" t="inlineStr">
        <is>
          <t>No</t>
        </is>
      </c>
      <c r="K2731" t="inlineStr">
        <is>
          <t>No</t>
        </is>
      </c>
      <c r="L2731" t="inlineStr">
        <is>
          <t>0</t>
        </is>
      </c>
      <c r="M2731" t="inlineStr">
        <is>
          <t>Bushrui, Suheil B.</t>
        </is>
      </c>
      <c r="N2731" t="inlineStr">
        <is>
          <t>Oxford [New York] Clarendon Press, 1965.</t>
        </is>
      </c>
      <c r="O2731" t="inlineStr">
        <is>
          <t>1965</t>
        </is>
      </c>
      <c r="Q2731" t="inlineStr">
        <is>
          <t>eng</t>
        </is>
      </c>
      <c r="R2731" t="inlineStr">
        <is>
          <t>enk</t>
        </is>
      </c>
      <c r="T2731" t="inlineStr">
        <is>
          <t xml:space="preserve">PR </t>
        </is>
      </c>
      <c r="U2731" t="n">
        <v>2</v>
      </c>
      <c r="V2731" t="n">
        <v>2</v>
      </c>
      <c r="W2731" t="inlineStr">
        <is>
          <t>2000-12-10</t>
        </is>
      </c>
      <c r="X2731" t="inlineStr">
        <is>
          <t>2000-12-10</t>
        </is>
      </c>
      <c r="Y2731" t="inlineStr">
        <is>
          <t>1997-07-23</t>
        </is>
      </c>
      <c r="Z2731" t="inlineStr">
        <is>
          <t>1997-07-23</t>
        </is>
      </c>
      <c r="AA2731" t="n">
        <v>521</v>
      </c>
      <c r="AB2731" t="n">
        <v>419</v>
      </c>
      <c r="AC2731" t="n">
        <v>427</v>
      </c>
      <c r="AD2731" t="n">
        <v>4</v>
      </c>
      <c r="AE2731" t="n">
        <v>4</v>
      </c>
      <c r="AF2731" t="n">
        <v>21</v>
      </c>
      <c r="AG2731" t="n">
        <v>22</v>
      </c>
      <c r="AH2731" t="n">
        <v>5</v>
      </c>
      <c r="AI2731" t="n">
        <v>5</v>
      </c>
      <c r="AJ2731" t="n">
        <v>5</v>
      </c>
      <c r="AK2731" t="n">
        <v>6</v>
      </c>
      <c r="AL2731" t="n">
        <v>13</v>
      </c>
      <c r="AM2731" t="n">
        <v>14</v>
      </c>
      <c r="AN2731" t="n">
        <v>3</v>
      </c>
      <c r="AO2731" t="n">
        <v>3</v>
      </c>
      <c r="AP2731" t="n">
        <v>0</v>
      </c>
      <c r="AQ2731" t="n">
        <v>0</v>
      </c>
      <c r="AR2731" t="inlineStr">
        <is>
          <t>No</t>
        </is>
      </c>
      <c r="AS2731" t="inlineStr">
        <is>
          <t>Yes</t>
        </is>
      </c>
      <c r="AT2731">
        <f>HYPERLINK("http://catalog.hathitrust.org/Record/001195038","HathiTrust Record")</f>
        <v/>
      </c>
      <c r="AU2731">
        <f>HYPERLINK("https://creighton-primo.hosted.exlibrisgroup.com/primo-explore/search?tab=default_tab&amp;search_scope=EVERYTHING&amp;vid=01CRU&amp;lang=en_US&amp;offset=0&amp;query=any,contains,991002506679702656","Catalog Record")</f>
        <v/>
      </c>
      <c r="AV2731">
        <f>HYPERLINK("http://www.worldcat.org/oclc/364707","WorldCat Record")</f>
        <v/>
      </c>
      <c r="AW2731" t="inlineStr">
        <is>
          <t>226715069:eng</t>
        </is>
      </c>
      <c r="AX2731" t="inlineStr">
        <is>
          <t>364707</t>
        </is>
      </c>
      <c r="AY2731" t="inlineStr">
        <is>
          <t>991002506679702656</t>
        </is>
      </c>
      <c r="AZ2731" t="inlineStr">
        <is>
          <t>991002506679702656</t>
        </is>
      </c>
      <c r="BA2731" t="inlineStr">
        <is>
          <t>2265546430002656</t>
        </is>
      </c>
      <c r="BB2731" t="inlineStr">
        <is>
          <t>BOOK</t>
        </is>
      </c>
      <c r="BE2731" t="inlineStr">
        <is>
          <t>32285002952587</t>
        </is>
      </c>
      <c r="BF2731" t="inlineStr">
        <is>
          <t>893226932</t>
        </is>
      </c>
    </row>
    <row r="2732">
      <c r="A2732" t="inlineStr">
        <is>
          <t>No</t>
        </is>
      </c>
      <c r="B2732" t="inlineStr">
        <is>
          <t>CURAL</t>
        </is>
      </c>
      <c r="C2732" t="inlineStr">
        <is>
          <t>SHELVES</t>
        </is>
      </c>
      <c r="D2732" t="inlineStr">
        <is>
          <t>PR5907 .D6</t>
        </is>
      </c>
      <c r="E2732" t="inlineStr">
        <is>
          <t>0                      PR 5907000D  6</t>
        </is>
      </c>
      <c r="F2732" t="inlineStr">
        <is>
          <t>William Butler Yeats.</t>
        </is>
      </c>
      <c r="H2732" t="inlineStr">
        <is>
          <t>No</t>
        </is>
      </c>
      <c r="I2732" t="inlineStr">
        <is>
          <t>1</t>
        </is>
      </c>
      <c r="J2732" t="inlineStr">
        <is>
          <t>No</t>
        </is>
      </c>
      <c r="K2732" t="inlineStr">
        <is>
          <t>No</t>
        </is>
      </c>
      <c r="L2732" t="inlineStr">
        <is>
          <t>0</t>
        </is>
      </c>
      <c r="M2732" t="inlineStr">
        <is>
          <t>Donoghue, Denis.</t>
        </is>
      </c>
      <c r="N2732" t="inlineStr">
        <is>
          <t>New York, Viking Press [1971]</t>
        </is>
      </c>
      <c r="O2732" t="inlineStr">
        <is>
          <t>1971</t>
        </is>
      </c>
      <c r="Q2732" t="inlineStr">
        <is>
          <t>eng</t>
        </is>
      </c>
      <c r="R2732" t="inlineStr">
        <is>
          <t>nyu</t>
        </is>
      </c>
      <c r="S2732" t="inlineStr">
        <is>
          <t>Modern masters, M13</t>
        </is>
      </c>
      <c r="T2732" t="inlineStr">
        <is>
          <t xml:space="preserve">PR </t>
        </is>
      </c>
      <c r="U2732" t="n">
        <v>2</v>
      </c>
      <c r="V2732" t="n">
        <v>2</v>
      </c>
      <c r="W2732" t="inlineStr">
        <is>
          <t>1994-02-17</t>
        </is>
      </c>
      <c r="X2732" t="inlineStr">
        <is>
          <t>1994-02-17</t>
        </is>
      </c>
      <c r="Y2732" t="inlineStr">
        <is>
          <t>1992-06-23</t>
        </is>
      </c>
      <c r="Z2732" t="inlineStr">
        <is>
          <t>1992-06-23</t>
        </is>
      </c>
      <c r="AA2732" t="n">
        <v>656</v>
      </c>
      <c r="AB2732" t="n">
        <v>605</v>
      </c>
      <c r="AC2732" t="n">
        <v>686</v>
      </c>
      <c r="AD2732" t="n">
        <v>3</v>
      </c>
      <c r="AE2732" t="n">
        <v>5</v>
      </c>
      <c r="AF2732" t="n">
        <v>23</v>
      </c>
      <c r="AG2732" t="n">
        <v>26</v>
      </c>
      <c r="AH2732" t="n">
        <v>11</v>
      </c>
      <c r="AI2732" t="n">
        <v>11</v>
      </c>
      <c r="AJ2732" t="n">
        <v>4</v>
      </c>
      <c r="AK2732" t="n">
        <v>4</v>
      </c>
      <c r="AL2732" t="n">
        <v>14</v>
      </c>
      <c r="AM2732" t="n">
        <v>15</v>
      </c>
      <c r="AN2732" t="n">
        <v>1</v>
      </c>
      <c r="AO2732" t="n">
        <v>3</v>
      </c>
      <c r="AP2732" t="n">
        <v>0</v>
      </c>
      <c r="AQ2732" t="n">
        <v>0</v>
      </c>
      <c r="AR2732" t="inlineStr">
        <is>
          <t>No</t>
        </is>
      </c>
      <c r="AS2732" t="inlineStr">
        <is>
          <t>Yes</t>
        </is>
      </c>
      <c r="AT2732">
        <f>HYPERLINK("http://catalog.hathitrust.org/Record/001189154","HathiTrust Record")</f>
        <v/>
      </c>
      <c r="AU2732">
        <f>HYPERLINK("https://creighton-primo.hosted.exlibrisgroup.com/primo-explore/search?tab=default_tab&amp;search_scope=EVERYTHING&amp;vid=01CRU&amp;lang=en_US&amp;offset=0&amp;query=any,contains,991002159559702656","Catalog Record")</f>
        <v/>
      </c>
      <c r="AV2732">
        <f>HYPERLINK("http://www.worldcat.org/oclc/177657","WorldCat Record")</f>
        <v/>
      </c>
      <c r="AW2732" t="inlineStr">
        <is>
          <t>1848488:eng</t>
        </is>
      </c>
      <c r="AX2732" t="inlineStr">
        <is>
          <t>177657</t>
        </is>
      </c>
      <c r="AY2732" t="inlineStr">
        <is>
          <t>991002159559702656</t>
        </is>
      </c>
      <c r="AZ2732" t="inlineStr">
        <is>
          <t>991002159559702656</t>
        </is>
      </c>
      <c r="BA2732" t="inlineStr">
        <is>
          <t>2262047520002656</t>
        </is>
      </c>
      <c r="BB2732" t="inlineStr">
        <is>
          <t>BOOK</t>
        </is>
      </c>
      <c r="BD2732" t="inlineStr">
        <is>
          <t>9780670769568</t>
        </is>
      </c>
      <c r="BE2732" t="inlineStr">
        <is>
          <t>32285001133536</t>
        </is>
      </c>
      <c r="BF2732" t="inlineStr">
        <is>
          <t>893709936</t>
        </is>
      </c>
    </row>
    <row r="2733">
      <c r="A2733" t="inlineStr">
        <is>
          <t>No</t>
        </is>
      </c>
      <c r="B2733" t="inlineStr">
        <is>
          <t>CURAL</t>
        </is>
      </c>
      <c r="C2733" t="inlineStr">
        <is>
          <t>SHELVES</t>
        </is>
      </c>
      <c r="D2733" t="inlineStr">
        <is>
          <t>PR5907 .F561 1990</t>
        </is>
      </c>
      <c r="E2733" t="inlineStr">
        <is>
          <t>0                      PR 5907000F  561         1990</t>
        </is>
      </c>
      <c r="F2733" t="inlineStr">
        <is>
          <t>Editing Yeats's poems : a reconsideration / Richard J. Finneran.</t>
        </is>
      </c>
      <c r="H2733" t="inlineStr">
        <is>
          <t>No</t>
        </is>
      </c>
      <c r="I2733" t="inlineStr">
        <is>
          <t>1</t>
        </is>
      </c>
      <c r="J2733" t="inlineStr">
        <is>
          <t>No</t>
        </is>
      </c>
      <c r="K2733" t="inlineStr">
        <is>
          <t>No</t>
        </is>
      </c>
      <c r="L2733" t="inlineStr">
        <is>
          <t>0</t>
        </is>
      </c>
      <c r="M2733" t="inlineStr">
        <is>
          <t>Finneran, Richard J.</t>
        </is>
      </c>
      <c r="N2733" t="inlineStr">
        <is>
          <t>New York : St. Martin's Press, 1990.</t>
        </is>
      </c>
      <c r="O2733" t="inlineStr">
        <is>
          <t>1990</t>
        </is>
      </c>
      <c r="P2733" t="inlineStr">
        <is>
          <t>[Rev. ed.].</t>
        </is>
      </c>
      <c r="Q2733" t="inlineStr">
        <is>
          <t>eng</t>
        </is>
      </c>
      <c r="R2733" t="inlineStr">
        <is>
          <t>nyu</t>
        </is>
      </c>
      <c r="T2733" t="inlineStr">
        <is>
          <t xml:space="preserve">PR </t>
        </is>
      </c>
      <c r="U2733" t="n">
        <v>8</v>
      </c>
      <c r="V2733" t="n">
        <v>8</v>
      </c>
      <c r="W2733" t="inlineStr">
        <is>
          <t>2000-10-29</t>
        </is>
      </c>
      <c r="X2733" t="inlineStr">
        <is>
          <t>2000-10-29</t>
        </is>
      </c>
      <c r="Y2733" t="inlineStr">
        <is>
          <t>1990-03-27</t>
        </is>
      </c>
      <c r="Z2733" t="inlineStr">
        <is>
          <t>1990-03-27</t>
        </is>
      </c>
      <c r="AA2733" t="n">
        <v>191</v>
      </c>
      <c r="AB2733" t="n">
        <v>173</v>
      </c>
      <c r="AC2733" t="n">
        <v>389</v>
      </c>
      <c r="AD2733" t="n">
        <v>2</v>
      </c>
      <c r="AE2733" t="n">
        <v>3</v>
      </c>
      <c r="AF2733" t="n">
        <v>12</v>
      </c>
      <c r="AG2733" t="n">
        <v>25</v>
      </c>
      <c r="AH2733" t="n">
        <v>4</v>
      </c>
      <c r="AI2733" t="n">
        <v>9</v>
      </c>
      <c r="AJ2733" t="n">
        <v>4</v>
      </c>
      <c r="AK2733" t="n">
        <v>9</v>
      </c>
      <c r="AL2733" t="n">
        <v>8</v>
      </c>
      <c r="AM2733" t="n">
        <v>14</v>
      </c>
      <c r="AN2733" t="n">
        <v>1</v>
      </c>
      <c r="AO2733" t="n">
        <v>2</v>
      </c>
      <c r="AP2733" t="n">
        <v>0</v>
      </c>
      <c r="AQ2733" t="n">
        <v>0</v>
      </c>
      <c r="AR2733" t="inlineStr">
        <is>
          <t>No</t>
        </is>
      </c>
      <c r="AS2733" t="inlineStr">
        <is>
          <t>No</t>
        </is>
      </c>
      <c r="AU2733">
        <f>HYPERLINK("https://creighton-primo.hosted.exlibrisgroup.com/primo-explore/search?tab=default_tab&amp;search_scope=EVERYTHING&amp;vid=01CRU&amp;lang=en_US&amp;offset=0&amp;query=any,contains,991001661629702656","Catalog Record")</f>
        <v/>
      </c>
      <c r="AV2733">
        <f>HYPERLINK("http://www.worldcat.org/oclc/21181301","WorldCat Record")</f>
        <v/>
      </c>
      <c r="AW2733" t="inlineStr">
        <is>
          <t>4160199348:eng</t>
        </is>
      </c>
      <c r="AX2733" t="inlineStr">
        <is>
          <t>21181301</t>
        </is>
      </c>
      <c r="AY2733" t="inlineStr">
        <is>
          <t>991001661629702656</t>
        </is>
      </c>
      <c r="AZ2733" t="inlineStr">
        <is>
          <t>991001661629702656</t>
        </is>
      </c>
      <c r="BA2733" t="inlineStr">
        <is>
          <t>2267454170002656</t>
        </is>
      </c>
      <c r="BB2733" t="inlineStr">
        <is>
          <t>BOOK</t>
        </is>
      </c>
      <c r="BD2733" t="inlineStr">
        <is>
          <t>9780312032036</t>
        </is>
      </c>
      <c r="BE2733" t="inlineStr">
        <is>
          <t>32285000083997</t>
        </is>
      </c>
      <c r="BF2733" t="inlineStr">
        <is>
          <t>893351950</t>
        </is>
      </c>
    </row>
    <row r="2734">
      <c r="A2734" t="inlineStr">
        <is>
          <t>No</t>
        </is>
      </c>
      <c r="B2734" t="inlineStr">
        <is>
          <t>CURAL</t>
        </is>
      </c>
      <c r="C2734" t="inlineStr">
        <is>
          <t>SHELVES</t>
        </is>
      </c>
      <c r="D2734" t="inlineStr">
        <is>
          <t>PR5907 .G3</t>
        </is>
      </c>
      <c r="E2734" t="inlineStr">
        <is>
          <t>0                      PR 5907000G  3</t>
        </is>
      </c>
      <c r="F2734" t="inlineStr">
        <is>
          <t>Beyond Byzantium; the last phase of Yeats's career [by] Arra M. Garab.</t>
        </is>
      </c>
      <c r="H2734" t="inlineStr">
        <is>
          <t>No</t>
        </is>
      </c>
      <c r="I2734" t="inlineStr">
        <is>
          <t>1</t>
        </is>
      </c>
      <c r="J2734" t="inlineStr">
        <is>
          <t>No</t>
        </is>
      </c>
      <c r="K2734" t="inlineStr">
        <is>
          <t>No</t>
        </is>
      </c>
      <c r="L2734" t="inlineStr">
        <is>
          <t>0</t>
        </is>
      </c>
      <c r="M2734" t="inlineStr">
        <is>
          <t>Garab, Arra M.</t>
        </is>
      </c>
      <c r="N2734" t="inlineStr">
        <is>
          <t>DeKalb, Northern Illinois University Press [1969]</t>
        </is>
      </c>
      <c r="O2734" t="inlineStr">
        <is>
          <t>1969</t>
        </is>
      </c>
      <c r="Q2734" t="inlineStr">
        <is>
          <t>eng</t>
        </is>
      </c>
      <c r="R2734" t="inlineStr">
        <is>
          <t>ilu</t>
        </is>
      </c>
      <c r="T2734" t="inlineStr">
        <is>
          <t xml:space="preserve">PR </t>
        </is>
      </c>
      <c r="U2734" t="n">
        <v>5</v>
      </c>
      <c r="V2734" t="n">
        <v>5</v>
      </c>
      <c r="W2734" t="inlineStr">
        <is>
          <t>2008-01-09</t>
        </is>
      </c>
      <c r="X2734" t="inlineStr">
        <is>
          <t>2008-01-09</t>
        </is>
      </c>
      <c r="Y2734" t="inlineStr">
        <is>
          <t>1997-07-23</t>
        </is>
      </c>
      <c r="Z2734" t="inlineStr">
        <is>
          <t>1997-07-23</t>
        </is>
      </c>
      <c r="AA2734" t="n">
        <v>829</v>
      </c>
      <c r="AB2734" t="n">
        <v>742</v>
      </c>
      <c r="AC2734" t="n">
        <v>752</v>
      </c>
      <c r="AD2734" t="n">
        <v>7</v>
      </c>
      <c r="AE2734" t="n">
        <v>7</v>
      </c>
      <c r="AF2734" t="n">
        <v>43</v>
      </c>
      <c r="AG2734" t="n">
        <v>43</v>
      </c>
      <c r="AH2734" t="n">
        <v>17</v>
      </c>
      <c r="AI2734" t="n">
        <v>17</v>
      </c>
      <c r="AJ2734" t="n">
        <v>9</v>
      </c>
      <c r="AK2734" t="n">
        <v>9</v>
      </c>
      <c r="AL2734" t="n">
        <v>21</v>
      </c>
      <c r="AM2734" t="n">
        <v>21</v>
      </c>
      <c r="AN2734" t="n">
        <v>6</v>
      </c>
      <c r="AO2734" t="n">
        <v>6</v>
      </c>
      <c r="AP2734" t="n">
        <v>0</v>
      </c>
      <c r="AQ2734" t="n">
        <v>0</v>
      </c>
      <c r="AR2734" t="inlineStr">
        <is>
          <t>No</t>
        </is>
      </c>
      <c r="AS2734" t="inlineStr">
        <is>
          <t>No</t>
        </is>
      </c>
      <c r="AU2734">
        <f>HYPERLINK("https://creighton-primo.hosted.exlibrisgroup.com/primo-explore/search?tab=default_tab&amp;search_scope=EVERYTHING&amp;vid=01CRU&amp;lang=en_US&amp;offset=0&amp;query=any,contains,991000074169702656","Catalog Record")</f>
        <v/>
      </c>
      <c r="AV2734">
        <f>HYPERLINK("http://www.worldcat.org/oclc/29378","WorldCat Record")</f>
        <v/>
      </c>
      <c r="AW2734" t="inlineStr">
        <is>
          <t>1175216:eng</t>
        </is>
      </c>
      <c r="AX2734" t="inlineStr">
        <is>
          <t>29378</t>
        </is>
      </c>
      <c r="AY2734" t="inlineStr">
        <is>
          <t>991000074169702656</t>
        </is>
      </c>
      <c r="AZ2734" t="inlineStr">
        <is>
          <t>991000074169702656</t>
        </is>
      </c>
      <c r="BA2734" t="inlineStr">
        <is>
          <t>2266311270002656</t>
        </is>
      </c>
      <c r="BB2734" t="inlineStr">
        <is>
          <t>BOOK</t>
        </is>
      </c>
      <c r="BD2734" t="inlineStr">
        <is>
          <t>9780875800127</t>
        </is>
      </c>
      <c r="BE2734" t="inlineStr">
        <is>
          <t>32285002952611</t>
        </is>
      </c>
      <c r="BF2734" t="inlineStr">
        <is>
          <t>893865059</t>
        </is>
      </c>
    </row>
    <row r="2735">
      <c r="A2735" t="inlineStr">
        <is>
          <t>No</t>
        </is>
      </c>
      <c r="B2735" t="inlineStr">
        <is>
          <t>CURAL</t>
        </is>
      </c>
      <c r="C2735" t="inlineStr">
        <is>
          <t>SHELVES</t>
        </is>
      </c>
      <c r="D2735" t="inlineStr">
        <is>
          <t>PR5907 .H4 1965</t>
        </is>
      </c>
      <c r="E2735" t="inlineStr">
        <is>
          <t>0                      PR 5907000H  4           1965</t>
        </is>
      </c>
      <c r="F2735" t="inlineStr">
        <is>
          <t>The lonely tower; studies in the poetry of W. B. Yeats [by] T. R. Henn.</t>
        </is>
      </c>
      <c r="H2735" t="inlineStr">
        <is>
          <t>No</t>
        </is>
      </c>
      <c r="I2735" t="inlineStr">
        <is>
          <t>1</t>
        </is>
      </c>
      <c r="J2735" t="inlineStr">
        <is>
          <t>No</t>
        </is>
      </c>
      <c r="K2735" t="inlineStr">
        <is>
          <t>Yes</t>
        </is>
      </c>
      <c r="L2735" t="inlineStr">
        <is>
          <t>0</t>
        </is>
      </c>
      <c r="M2735" t="inlineStr">
        <is>
          <t>Henn, T. R. (Thomas Rice), 1901-1974.</t>
        </is>
      </c>
      <c r="N2735" t="inlineStr">
        <is>
          <t>London, Methuen; New York, Barnes &amp; Noble [1965]</t>
        </is>
      </c>
      <c r="O2735" t="inlineStr">
        <is>
          <t>1965</t>
        </is>
      </c>
      <c r="P2735" t="inlineStr">
        <is>
          <t>[2d ed.]</t>
        </is>
      </c>
      <c r="Q2735" t="inlineStr">
        <is>
          <t>eng</t>
        </is>
      </c>
      <c r="R2735" t="inlineStr">
        <is>
          <t>enk</t>
        </is>
      </c>
      <c r="T2735" t="inlineStr">
        <is>
          <t xml:space="preserve">PR </t>
        </is>
      </c>
      <c r="U2735" t="n">
        <v>4</v>
      </c>
      <c r="V2735" t="n">
        <v>4</v>
      </c>
      <c r="W2735" t="inlineStr">
        <is>
          <t>2007-12-13</t>
        </is>
      </c>
      <c r="X2735" t="inlineStr">
        <is>
          <t>2007-12-13</t>
        </is>
      </c>
      <c r="Y2735" t="inlineStr">
        <is>
          <t>1997-07-23</t>
        </is>
      </c>
      <c r="Z2735" t="inlineStr">
        <is>
          <t>1997-07-23</t>
        </is>
      </c>
      <c r="AA2735" t="n">
        <v>752</v>
      </c>
      <c r="AB2735" t="n">
        <v>632</v>
      </c>
      <c r="AC2735" t="n">
        <v>925</v>
      </c>
      <c r="AD2735" t="n">
        <v>3</v>
      </c>
      <c r="AE2735" t="n">
        <v>6</v>
      </c>
      <c r="AF2735" t="n">
        <v>33</v>
      </c>
      <c r="AG2735" t="n">
        <v>42</v>
      </c>
      <c r="AH2735" t="n">
        <v>12</v>
      </c>
      <c r="AI2735" t="n">
        <v>15</v>
      </c>
      <c r="AJ2735" t="n">
        <v>7</v>
      </c>
      <c r="AK2735" t="n">
        <v>10</v>
      </c>
      <c r="AL2735" t="n">
        <v>17</v>
      </c>
      <c r="AM2735" t="n">
        <v>22</v>
      </c>
      <c r="AN2735" t="n">
        <v>2</v>
      </c>
      <c r="AO2735" t="n">
        <v>5</v>
      </c>
      <c r="AP2735" t="n">
        <v>0</v>
      </c>
      <c r="AQ2735" t="n">
        <v>0</v>
      </c>
      <c r="AR2735" t="inlineStr">
        <is>
          <t>No</t>
        </is>
      </c>
      <c r="AS2735" t="inlineStr">
        <is>
          <t>Yes</t>
        </is>
      </c>
      <c r="AT2735">
        <f>HYPERLINK("http://catalog.hathitrust.org/Record/001112417","HathiTrust Record")</f>
        <v/>
      </c>
      <c r="AU2735">
        <f>HYPERLINK("https://creighton-primo.hosted.exlibrisgroup.com/primo-explore/search?tab=default_tab&amp;search_scope=EVERYTHING&amp;vid=01CRU&amp;lang=en_US&amp;offset=0&amp;query=any,contains,991002506629702656","Catalog Record")</f>
        <v/>
      </c>
      <c r="AV2735">
        <f>HYPERLINK("http://www.worldcat.org/oclc/364703","WorldCat Record")</f>
        <v/>
      </c>
      <c r="AW2735" t="inlineStr">
        <is>
          <t>1342973:eng</t>
        </is>
      </c>
      <c r="AX2735" t="inlineStr">
        <is>
          <t>364703</t>
        </is>
      </c>
      <c r="AY2735" t="inlineStr">
        <is>
          <t>991002506629702656</t>
        </is>
      </c>
      <c r="AZ2735" t="inlineStr">
        <is>
          <t>991002506629702656</t>
        </is>
      </c>
      <c r="BA2735" t="inlineStr">
        <is>
          <t>2265546670002656</t>
        </is>
      </c>
      <c r="BB2735" t="inlineStr">
        <is>
          <t>BOOK</t>
        </is>
      </c>
      <c r="BE2735" t="inlineStr">
        <is>
          <t>32285002952645</t>
        </is>
      </c>
      <c r="BF2735" t="inlineStr">
        <is>
          <t>893415273</t>
        </is>
      </c>
    </row>
    <row r="2736">
      <c r="A2736" t="inlineStr">
        <is>
          <t>No</t>
        </is>
      </c>
      <c r="B2736" t="inlineStr">
        <is>
          <t>CURAL</t>
        </is>
      </c>
      <c r="C2736" t="inlineStr">
        <is>
          <t>SHELVES</t>
        </is>
      </c>
      <c r="D2736" t="inlineStr">
        <is>
          <t>PR5907 .J4 1961a</t>
        </is>
      </c>
      <c r="E2736" t="inlineStr">
        <is>
          <t>0                      PR 5907000J  4           1961a</t>
        </is>
      </c>
      <c r="F2736" t="inlineStr">
        <is>
          <t>The poetry of W. B. Yeats.</t>
        </is>
      </c>
      <c r="H2736" t="inlineStr">
        <is>
          <t>No</t>
        </is>
      </c>
      <c r="I2736" t="inlineStr">
        <is>
          <t>1</t>
        </is>
      </c>
      <c r="J2736" t="inlineStr">
        <is>
          <t>No</t>
        </is>
      </c>
      <c r="K2736" t="inlineStr">
        <is>
          <t>No</t>
        </is>
      </c>
      <c r="L2736" t="inlineStr">
        <is>
          <t>0</t>
        </is>
      </c>
      <c r="M2736" t="inlineStr">
        <is>
          <t>Jeffares, A. Norman (Alexander Norman), 1920-2005.</t>
        </is>
      </c>
      <c r="N2736" t="inlineStr">
        <is>
          <t>Great Neck, N. Y., Barron's Educational Series [c1961]</t>
        </is>
      </c>
      <c r="O2736" t="inlineStr">
        <is>
          <t>1961</t>
        </is>
      </c>
      <c r="Q2736" t="inlineStr">
        <is>
          <t>eng</t>
        </is>
      </c>
      <c r="R2736" t="inlineStr">
        <is>
          <t>nyu</t>
        </is>
      </c>
      <c r="S2736" t="inlineStr">
        <is>
          <t>Studies in English literature ; no. 4</t>
        </is>
      </c>
      <c r="T2736" t="inlineStr">
        <is>
          <t xml:space="preserve">PR </t>
        </is>
      </c>
      <c r="U2736" t="n">
        <v>1</v>
      </c>
      <c r="V2736" t="n">
        <v>1</v>
      </c>
      <c r="W2736" t="inlineStr">
        <is>
          <t>2003-04-17</t>
        </is>
      </c>
      <c r="X2736" t="inlineStr">
        <is>
          <t>2003-04-17</t>
        </is>
      </c>
      <c r="Y2736" t="inlineStr">
        <is>
          <t>1997-07-23</t>
        </is>
      </c>
      <c r="Z2736" t="inlineStr">
        <is>
          <t>1997-07-23</t>
        </is>
      </c>
      <c r="AA2736" t="n">
        <v>290</v>
      </c>
      <c r="AB2736" t="n">
        <v>278</v>
      </c>
      <c r="AC2736" t="n">
        <v>399</v>
      </c>
      <c r="AD2736" t="n">
        <v>4</v>
      </c>
      <c r="AE2736" t="n">
        <v>4</v>
      </c>
      <c r="AF2736" t="n">
        <v>16</v>
      </c>
      <c r="AG2736" t="n">
        <v>22</v>
      </c>
      <c r="AH2736" t="n">
        <v>8</v>
      </c>
      <c r="AI2736" t="n">
        <v>10</v>
      </c>
      <c r="AJ2736" t="n">
        <v>2</v>
      </c>
      <c r="AK2736" t="n">
        <v>2</v>
      </c>
      <c r="AL2736" t="n">
        <v>8</v>
      </c>
      <c r="AM2736" t="n">
        <v>13</v>
      </c>
      <c r="AN2736" t="n">
        <v>2</v>
      </c>
      <c r="AO2736" t="n">
        <v>2</v>
      </c>
      <c r="AP2736" t="n">
        <v>0</v>
      </c>
      <c r="AQ2736" t="n">
        <v>0</v>
      </c>
      <c r="AR2736" t="inlineStr">
        <is>
          <t>No</t>
        </is>
      </c>
      <c r="AS2736" t="inlineStr">
        <is>
          <t>No</t>
        </is>
      </c>
      <c r="AT2736">
        <f>HYPERLINK("http://catalog.hathitrust.org/Record/007122599","HathiTrust Record")</f>
        <v/>
      </c>
      <c r="AU2736">
        <f>HYPERLINK("https://creighton-primo.hosted.exlibrisgroup.com/primo-explore/search?tab=default_tab&amp;search_scope=EVERYTHING&amp;vid=01CRU&amp;lang=en_US&amp;offset=0&amp;query=any,contains,991004430819702656","Catalog Record")</f>
        <v/>
      </c>
      <c r="AV2736">
        <f>HYPERLINK("http://www.worldcat.org/oclc/3418527","WorldCat Record")</f>
        <v/>
      </c>
      <c r="AW2736" t="inlineStr">
        <is>
          <t>48330552:eng</t>
        </is>
      </c>
      <c r="AX2736" t="inlineStr">
        <is>
          <t>3418527</t>
        </is>
      </c>
      <c r="AY2736" t="inlineStr">
        <is>
          <t>991004430819702656</t>
        </is>
      </c>
      <c r="AZ2736" t="inlineStr">
        <is>
          <t>991004430819702656</t>
        </is>
      </c>
      <c r="BA2736" t="inlineStr">
        <is>
          <t>2263985640002656</t>
        </is>
      </c>
      <c r="BB2736" t="inlineStr">
        <is>
          <t>BOOK</t>
        </is>
      </c>
      <c r="BE2736" t="inlineStr">
        <is>
          <t>32285002952652</t>
        </is>
      </c>
      <c r="BF2736" t="inlineStr">
        <is>
          <t>893331582</t>
        </is>
      </c>
    </row>
    <row r="2737">
      <c r="A2737" t="inlineStr">
        <is>
          <t>No</t>
        </is>
      </c>
      <c r="B2737" t="inlineStr">
        <is>
          <t>CURAL</t>
        </is>
      </c>
      <c r="C2737" t="inlineStr">
        <is>
          <t>SHELVES</t>
        </is>
      </c>
      <c r="D2737" t="inlineStr">
        <is>
          <t>PR5907 .K4 1973</t>
        </is>
      </c>
      <c r="E2737" t="inlineStr">
        <is>
          <t>0                      PR 5907000K  4           1973</t>
        </is>
      </c>
      <c r="F2737" t="inlineStr">
        <is>
          <t>William Butler Yeats : a collection of criticism / Edited by Patrick J. Keane.</t>
        </is>
      </c>
      <c r="H2737" t="inlineStr">
        <is>
          <t>No</t>
        </is>
      </c>
      <c r="I2737" t="inlineStr">
        <is>
          <t>1</t>
        </is>
      </c>
      <c r="J2737" t="inlineStr">
        <is>
          <t>No</t>
        </is>
      </c>
      <c r="K2737" t="inlineStr">
        <is>
          <t>No</t>
        </is>
      </c>
      <c r="L2737" t="inlineStr">
        <is>
          <t>0</t>
        </is>
      </c>
      <c r="M2737" t="inlineStr">
        <is>
          <t>Keane, Patrick J., compiler.</t>
        </is>
      </c>
      <c r="N2737" t="inlineStr">
        <is>
          <t>New York : McGraw-Hill, [1973]</t>
        </is>
      </c>
      <c r="O2737" t="inlineStr">
        <is>
          <t>1973</t>
        </is>
      </c>
      <c r="Q2737" t="inlineStr">
        <is>
          <t>eng</t>
        </is>
      </c>
      <c r="R2737" t="inlineStr">
        <is>
          <t>nyu</t>
        </is>
      </c>
      <c r="S2737" t="inlineStr">
        <is>
          <t>Contemporary studies in literature</t>
        </is>
      </c>
      <c r="T2737" t="inlineStr">
        <is>
          <t xml:space="preserve">PR </t>
        </is>
      </c>
      <c r="U2737" t="n">
        <v>4</v>
      </c>
      <c r="V2737" t="n">
        <v>4</v>
      </c>
      <c r="W2737" t="inlineStr">
        <is>
          <t>2001-09-15</t>
        </is>
      </c>
      <c r="X2737" t="inlineStr">
        <is>
          <t>2001-09-15</t>
        </is>
      </c>
      <c r="Y2737" t="inlineStr">
        <is>
          <t>1992-04-22</t>
        </is>
      </c>
      <c r="Z2737" t="inlineStr">
        <is>
          <t>1992-04-22</t>
        </is>
      </c>
      <c r="AA2737" t="n">
        <v>606</v>
      </c>
      <c r="AB2737" t="n">
        <v>511</v>
      </c>
      <c r="AC2737" t="n">
        <v>514</v>
      </c>
      <c r="AD2737" t="n">
        <v>6</v>
      </c>
      <c r="AE2737" t="n">
        <v>6</v>
      </c>
      <c r="AF2737" t="n">
        <v>22</v>
      </c>
      <c r="AG2737" t="n">
        <v>22</v>
      </c>
      <c r="AH2737" t="n">
        <v>6</v>
      </c>
      <c r="AI2737" t="n">
        <v>6</v>
      </c>
      <c r="AJ2737" t="n">
        <v>5</v>
      </c>
      <c r="AK2737" t="n">
        <v>5</v>
      </c>
      <c r="AL2737" t="n">
        <v>11</v>
      </c>
      <c r="AM2737" t="n">
        <v>11</v>
      </c>
      <c r="AN2737" t="n">
        <v>4</v>
      </c>
      <c r="AO2737" t="n">
        <v>4</v>
      </c>
      <c r="AP2737" t="n">
        <v>0</v>
      </c>
      <c r="AQ2737" t="n">
        <v>0</v>
      </c>
      <c r="AR2737" t="inlineStr">
        <is>
          <t>No</t>
        </is>
      </c>
      <c r="AS2737" t="inlineStr">
        <is>
          <t>Yes</t>
        </is>
      </c>
      <c r="AT2737">
        <f>HYPERLINK("http://catalog.hathitrust.org/Record/000006509","HathiTrust Record")</f>
        <v/>
      </c>
      <c r="AU2737">
        <f>HYPERLINK("https://creighton-primo.hosted.exlibrisgroup.com/primo-explore/search?tab=default_tab&amp;search_scope=EVERYTHING&amp;vid=01CRU&amp;lang=en_US&amp;offset=0&amp;query=any,contains,991002853749702656","Catalog Record")</f>
        <v/>
      </c>
      <c r="AV2737">
        <f>HYPERLINK("http://www.worldcat.org/oclc/488312","WorldCat Record")</f>
        <v/>
      </c>
      <c r="AW2737" t="inlineStr">
        <is>
          <t>762520286:eng</t>
        </is>
      </c>
      <c r="AX2737" t="inlineStr">
        <is>
          <t>488312</t>
        </is>
      </c>
      <c r="AY2737" t="inlineStr">
        <is>
          <t>991002853749702656</t>
        </is>
      </c>
      <c r="AZ2737" t="inlineStr">
        <is>
          <t>991002853749702656</t>
        </is>
      </c>
      <c r="BA2737" t="inlineStr">
        <is>
          <t>2256007270002656</t>
        </is>
      </c>
      <c r="BB2737" t="inlineStr">
        <is>
          <t>BOOK</t>
        </is>
      </c>
      <c r="BD2737" t="inlineStr">
        <is>
          <t>9780070334243</t>
        </is>
      </c>
      <c r="BE2737" t="inlineStr">
        <is>
          <t>32285001064178</t>
        </is>
      </c>
      <c r="BF2737" t="inlineStr">
        <is>
          <t>893257802</t>
        </is>
      </c>
    </row>
    <row r="2738">
      <c r="A2738" t="inlineStr">
        <is>
          <t>No</t>
        </is>
      </c>
      <c r="B2738" t="inlineStr">
        <is>
          <t>CURAL</t>
        </is>
      </c>
      <c r="C2738" t="inlineStr">
        <is>
          <t>SHELVES</t>
        </is>
      </c>
      <c r="D2738" t="inlineStr">
        <is>
          <t>PR5907 .K6</t>
        </is>
      </c>
      <c r="E2738" t="inlineStr">
        <is>
          <t>0                      PR 5907000K  6</t>
        </is>
      </c>
      <c r="F2738" t="inlineStr">
        <is>
          <t>W. B. Yeats, the tragic phase / a study of the last poems / by Vivienne Koch.</t>
        </is>
      </c>
      <c r="H2738" t="inlineStr">
        <is>
          <t>No</t>
        </is>
      </c>
      <c r="I2738" t="inlineStr">
        <is>
          <t>1</t>
        </is>
      </c>
      <c r="J2738" t="inlineStr">
        <is>
          <t>No</t>
        </is>
      </c>
      <c r="K2738" t="inlineStr">
        <is>
          <t>No</t>
        </is>
      </c>
      <c r="L2738" t="inlineStr">
        <is>
          <t>0</t>
        </is>
      </c>
      <c r="M2738" t="inlineStr">
        <is>
          <t>Koch, Vivienne.</t>
        </is>
      </c>
      <c r="N2738" t="inlineStr">
        <is>
          <t>Baltimore : Johns Hopkins Press, 1951.</t>
        </is>
      </c>
      <c r="O2738" t="inlineStr">
        <is>
          <t>1951</t>
        </is>
      </c>
      <c r="Q2738" t="inlineStr">
        <is>
          <t>eng</t>
        </is>
      </c>
      <c r="R2738" t="inlineStr">
        <is>
          <t>mdu</t>
        </is>
      </c>
      <c r="T2738" t="inlineStr">
        <is>
          <t xml:space="preserve">PR </t>
        </is>
      </c>
      <c r="U2738" t="n">
        <v>2</v>
      </c>
      <c r="V2738" t="n">
        <v>2</v>
      </c>
      <c r="W2738" t="inlineStr">
        <is>
          <t>2007-12-13</t>
        </is>
      </c>
      <c r="X2738" t="inlineStr">
        <is>
          <t>2007-12-13</t>
        </is>
      </c>
      <c r="Y2738" t="inlineStr">
        <is>
          <t>1997-07-23</t>
        </is>
      </c>
      <c r="Z2738" t="inlineStr">
        <is>
          <t>1997-07-23</t>
        </is>
      </c>
      <c r="AA2738" t="n">
        <v>311</v>
      </c>
      <c r="AB2738" t="n">
        <v>293</v>
      </c>
      <c r="AC2738" t="n">
        <v>644</v>
      </c>
      <c r="AD2738" t="n">
        <v>2</v>
      </c>
      <c r="AE2738" t="n">
        <v>5</v>
      </c>
      <c r="AF2738" t="n">
        <v>20</v>
      </c>
      <c r="AG2738" t="n">
        <v>38</v>
      </c>
      <c r="AH2738" t="n">
        <v>7</v>
      </c>
      <c r="AI2738" t="n">
        <v>15</v>
      </c>
      <c r="AJ2738" t="n">
        <v>5</v>
      </c>
      <c r="AK2738" t="n">
        <v>8</v>
      </c>
      <c r="AL2738" t="n">
        <v>10</v>
      </c>
      <c r="AM2738" t="n">
        <v>21</v>
      </c>
      <c r="AN2738" t="n">
        <v>1</v>
      </c>
      <c r="AO2738" t="n">
        <v>4</v>
      </c>
      <c r="AP2738" t="n">
        <v>0</v>
      </c>
      <c r="AQ2738" t="n">
        <v>0</v>
      </c>
      <c r="AR2738" t="inlineStr">
        <is>
          <t>No</t>
        </is>
      </c>
      <c r="AS2738" t="inlineStr">
        <is>
          <t>No</t>
        </is>
      </c>
      <c r="AT2738">
        <f>HYPERLINK("http://catalog.hathitrust.org/Record/001025011","HathiTrust Record")</f>
        <v/>
      </c>
      <c r="AU2738">
        <f>HYPERLINK("https://creighton-primo.hosted.exlibrisgroup.com/primo-explore/search?tab=default_tab&amp;search_scope=EVERYTHING&amp;vid=01CRU&amp;lang=en_US&amp;offset=0&amp;query=any,contains,991004388639702656","Catalog Record")</f>
        <v/>
      </c>
      <c r="AV2738">
        <f>HYPERLINK("http://www.worldcat.org/oclc/3254423","WorldCat Record")</f>
        <v/>
      </c>
      <c r="AW2738" t="inlineStr">
        <is>
          <t>1145823:eng</t>
        </is>
      </c>
      <c r="AX2738" t="inlineStr">
        <is>
          <t>3254423</t>
        </is>
      </c>
      <c r="AY2738" t="inlineStr">
        <is>
          <t>991004388639702656</t>
        </is>
      </c>
      <c r="AZ2738" t="inlineStr">
        <is>
          <t>991004388639702656</t>
        </is>
      </c>
      <c r="BA2738" t="inlineStr">
        <is>
          <t>2255329160002656</t>
        </is>
      </c>
      <c r="BB2738" t="inlineStr">
        <is>
          <t>BOOK</t>
        </is>
      </c>
      <c r="BE2738" t="inlineStr">
        <is>
          <t>32285002952660</t>
        </is>
      </c>
      <c r="BF2738" t="inlineStr">
        <is>
          <t>893794797</t>
        </is>
      </c>
    </row>
    <row r="2739">
      <c r="A2739" t="inlineStr">
        <is>
          <t>No</t>
        </is>
      </c>
      <c r="B2739" t="inlineStr">
        <is>
          <t>CURAL</t>
        </is>
      </c>
      <c r="C2739" t="inlineStr">
        <is>
          <t>SHELVES</t>
        </is>
      </c>
      <c r="D2739" t="inlineStr">
        <is>
          <t>PR5907 .M27 1970</t>
        </is>
      </c>
      <c r="E2739" t="inlineStr">
        <is>
          <t>0                      PR 5907000M  27          1970</t>
        </is>
      </c>
      <c r="F2739" t="inlineStr">
        <is>
          <t>Yeats and the beginning of the Irish renaissance [by] Phillip L. Marcus.</t>
        </is>
      </c>
      <c r="H2739" t="inlineStr">
        <is>
          <t>No</t>
        </is>
      </c>
      <c r="I2739" t="inlineStr">
        <is>
          <t>1</t>
        </is>
      </c>
      <c r="J2739" t="inlineStr">
        <is>
          <t>No</t>
        </is>
      </c>
      <c r="K2739" t="inlineStr">
        <is>
          <t>Yes</t>
        </is>
      </c>
      <c r="L2739" t="inlineStr">
        <is>
          <t>0</t>
        </is>
      </c>
      <c r="M2739" t="inlineStr">
        <is>
          <t>Marcus, Phillip L., 1941-2015.</t>
        </is>
      </c>
      <c r="N2739" t="inlineStr">
        <is>
          <t>Ithaca, Cornell University Press [1970]</t>
        </is>
      </c>
      <c r="O2739" t="inlineStr">
        <is>
          <t>1970</t>
        </is>
      </c>
      <c r="Q2739" t="inlineStr">
        <is>
          <t>eng</t>
        </is>
      </c>
      <c r="R2739" t="inlineStr">
        <is>
          <t>nyu</t>
        </is>
      </c>
      <c r="T2739" t="inlineStr">
        <is>
          <t xml:space="preserve">PR </t>
        </is>
      </c>
      <c r="U2739" t="n">
        <v>1</v>
      </c>
      <c r="V2739" t="n">
        <v>1</v>
      </c>
      <c r="W2739" t="inlineStr">
        <is>
          <t>2000-10-29</t>
        </is>
      </c>
      <c r="X2739" t="inlineStr">
        <is>
          <t>2000-10-29</t>
        </is>
      </c>
      <c r="Y2739" t="inlineStr">
        <is>
          <t>1997-07-23</t>
        </is>
      </c>
      <c r="Z2739" t="inlineStr">
        <is>
          <t>1997-07-23</t>
        </is>
      </c>
      <c r="AA2739" t="n">
        <v>980</v>
      </c>
      <c r="AB2739" t="n">
        <v>817</v>
      </c>
      <c r="AC2739" t="n">
        <v>884</v>
      </c>
      <c r="AD2739" t="n">
        <v>6</v>
      </c>
      <c r="AE2739" t="n">
        <v>6</v>
      </c>
      <c r="AF2739" t="n">
        <v>43</v>
      </c>
      <c r="AG2739" t="n">
        <v>46</v>
      </c>
      <c r="AH2739" t="n">
        <v>22</v>
      </c>
      <c r="AI2739" t="n">
        <v>22</v>
      </c>
      <c r="AJ2739" t="n">
        <v>10</v>
      </c>
      <c r="AK2739" t="n">
        <v>11</v>
      </c>
      <c r="AL2739" t="n">
        <v>19</v>
      </c>
      <c r="AM2739" t="n">
        <v>21</v>
      </c>
      <c r="AN2739" t="n">
        <v>5</v>
      </c>
      <c r="AO2739" t="n">
        <v>5</v>
      </c>
      <c r="AP2739" t="n">
        <v>0</v>
      </c>
      <c r="AQ2739" t="n">
        <v>0</v>
      </c>
      <c r="AR2739" t="inlineStr">
        <is>
          <t>No</t>
        </is>
      </c>
      <c r="AS2739" t="inlineStr">
        <is>
          <t>Yes</t>
        </is>
      </c>
      <c r="AT2739">
        <f>HYPERLINK("http://catalog.hathitrust.org/Record/001189179","HathiTrust Record")</f>
        <v/>
      </c>
      <c r="AU2739">
        <f>HYPERLINK("https://creighton-primo.hosted.exlibrisgroup.com/primo-explore/search?tab=default_tab&amp;search_scope=EVERYTHING&amp;vid=01CRU&amp;lang=en_US&amp;offset=0&amp;query=any,contains,991000628129702656","Catalog Record")</f>
        <v/>
      </c>
      <c r="AV2739">
        <f>HYPERLINK("http://www.worldcat.org/oclc/104998","WorldCat Record")</f>
        <v/>
      </c>
      <c r="AW2739" t="inlineStr">
        <is>
          <t>1184461:eng</t>
        </is>
      </c>
      <c r="AX2739" t="inlineStr">
        <is>
          <t>104998</t>
        </is>
      </c>
      <c r="AY2739" t="inlineStr">
        <is>
          <t>991000628129702656</t>
        </is>
      </c>
      <c r="AZ2739" t="inlineStr">
        <is>
          <t>991000628129702656</t>
        </is>
      </c>
      <c r="BA2739" t="inlineStr">
        <is>
          <t>2260791640002656</t>
        </is>
      </c>
      <c r="BB2739" t="inlineStr">
        <is>
          <t>BOOK</t>
        </is>
      </c>
      <c r="BD2739" t="inlineStr">
        <is>
          <t>9780801405914</t>
        </is>
      </c>
      <c r="BE2739" t="inlineStr">
        <is>
          <t>32285002952686</t>
        </is>
      </c>
      <c r="BF2739" t="inlineStr">
        <is>
          <t>893702283</t>
        </is>
      </c>
    </row>
    <row r="2740">
      <c r="A2740" t="inlineStr">
        <is>
          <t>No</t>
        </is>
      </c>
      <c r="B2740" t="inlineStr">
        <is>
          <t>CURAL</t>
        </is>
      </c>
      <c r="C2740" t="inlineStr">
        <is>
          <t>SHELVES</t>
        </is>
      </c>
      <c r="D2740" t="inlineStr">
        <is>
          <t>PR5907 .M27 1987</t>
        </is>
      </c>
      <c r="E2740" t="inlineStr">
        <is>
          <t>0                      PR 5907000M  27          1987</t>
        </is>
      </c>
      <c r="F2740" t="inlineStr">
        <is>
          <t>Yeats and the beginning of the Irish renaissance / Phillip L. Marcus.</t>
        </is>
      </c>
      <c r="H2740" t="inlineStr">
        <is>
          <t>No</t>
        </is>
      </c>
      <c r="I2740" t="inlineStr">
        <is>
          <t>1</t>
        </is>
      </c>
      <c r="J2740" t="inlineStr">
        <is>
          <t>No</t>
        </is>
      </c>
      <c r="K2740" t="inlineStr">
        <is>
          <t>Yes</t>
        </is>
      </c>
      <c r="L2740" t="inlineStr">
        <is>
          <t>0</t>
        </is>
      </c>
      <c r="M2740" t="inlineStr">
        <is>
          <t>Marcus, Phillip L., 1941-2015.</t>
        </is>
      </c>
      <c r="N2740" t="inlineStr">
        <is>
          <t>Syracuse, N.Y. : Syracuse University Press, 1987.</t>
        </is>
      </c>
      <c r="O2740" t="inlineStr">
        <is>
          <t>1987</t>
        </is>
      </c>
      <c r="P2740" t="inlineStr">
        <is>
          <t>2nd ed.</t>
        </is>
      </c>
      <c r="Q2740" t="inlineStr">
        <is>
          <t>eng</t>
        </is>
      </c>
      <c r="R2740" t="inlineStr">
        <is>
          <t>nyu</t>
        </is>
      </c>
      <c r="S2740" t="inlineStr">
        <is>
          <t>Irish studies</t>
        </is>
      </c>
      <c r="T2740" t="inlineStr">
        <is>
          <t xml:space="preserve">PR </t>
        </is>
      </c>
      <c r="U2740" t="n">
        <v>5</v>
      </c>
      <c r="V2740" t="n">
        <v>5</v>
      </c>
      <c r="W2740" t="inlineStr">
        <is>
          <t>2006-03-01</t>
        </is>
      </c>
      <c r="X2740" t="inlineStr">
        <is>
          <t>2006-03-01</t>
        </is>
      </c>
      <c r="Y2740" t="inlineStr">
        <is>
          <t>1992-03-10</t>
        </is>
      </c>
      <c r="Z2740" t="inlineStr">
        <is>
          <t>1992-03-10</t>
        </is>
      </c>
      <c r="AA2740" t="n">
        <v>248</v>
      </c>
      <c r="AB2740" t="n">
        <v>207</v>
      </c>
      <c r="AC2740" t="n">
        <v>884</v>
      </c>
      <c r="AD2740" t="n">
        <v>3</v>
      </c>
      <c r="AE2740" t="n">
        <v>6</v>
      </c>
      <c r="AF2740" t="n">
        <v>14</v>
      </c>
      <c r="AG2740" t="n">
        <v>46</v>
      </c>
      <c r="AH2740" t="n">
        <v>3</v>
      </c>
      <c r="AI2740" t="n">
        <v>22</v>
      </c>
      <c r="AJ2740" t="n">
        <v>4</v>
      </c>
      <c r="AK2740" t="n">
        <v>11</v>
      </c>
      <c r="AL2740" t="n">
        <v>9</v>
      </c>
      <c r="AM2740" t="n">
        <v>21</v>
      </c>
      <c r="AN2740" t="n">
        <v>2</v>
      </c>
      <c r="AO2740" t="n">
        <v>5</v>
      </c>
      <c r="AP2740" t="n">
        <v>0</v>
      </c>
      <c r="AQ2740" t="n">
        <v>0</v>
      </c>
      <c r="AR2740" t="inlineStr">
        <is>
          <t>No</t>
        </is>
      </c>
      <c r="AS2740" t="inlineStr">
        <is>
          <t>Yes</t>
        </is>
      </c>
      <c r="AT2740">
        <f>HYPERLINK("http://catalog.hathitrust.org/Record/000594516","HathiTrust Record")</f>
        <v/>
      </c>
      <c r="AU2740">
        <f>HYPERLINK("https://creighton-primo.hosted.exlibrisgroup.com/primo-explore/search?tab=default_tab&amp;search_scope=EVERYTHING&amp;vid=01CRU&amp;lang=en_US&amp;offset=0&amp;query=any,contains,991000918559702656","Catalog Record")</f>
        <v/>
      </c>
      <c r="AV2740">
        <f>HYPERLINK("http://www.worldcat.org/oclc/14188427","WorldCat Record")</f>
        <v/>
      </c>
      <c r="AW2740" t="inlineStr">
        <is>
          <t>1184461:eng</t>
        </is>
      </c>
      <c r="AX2740" t="inlineStr">
        <is>
          <t>14188427</t>
        </is>
      </c>
      <c r="AY2740" t="inlineStr">
        <is>
          <t>991000918559702656</t>
        </is>
      </c>
      <c r="AZ2740" t="inlineStr">
        <is>
          <t>991000918559702656</t>
        </is>
      </c>
      <c r="BA2740" t="inlineStr">
        <is>
          <t>2259644980002656</t>
        </is>
      </c>
      <c r="BB2740" t="inlineStr">
        <is>
          <t>BOOK</t>
        </is>
      </c>
      <c r="BD2740" t="inlineStr">
        <is>
          <t>9780815623984</t>
        </is>
      </c>
      <c r="BE2740" t="inlineStr">
        <is>
          <t>32285000996479</t>
        </is>
      </c>
      <c r="BF2740" t="inlineStr">
        <is>
          <t>893797113</t>
        </is>
      </c>
    </row>
    <row r="2741">
      <c r="A2741" t="inlineStr">
        <is>
          <t>No</t>
        </is>
      </c>
      <c r="B2741" t="inlineStr">
        <is>
          <t>CURAL</t>
        </is>
      </c>
      <c r="C2741" t="inlineStr">
        <is>
          <t>SHELVES</t>
        </is>
      </c>
      <c r="D2741" t="inlineStr">
        <is>
          <t>PR5907 .M4 1960</t>
        </is>
      </c>
      <c r="E2741" t="inlineStr">
        <is>
          <t>0                      PR 5907000M  4           1960</t>
        </is>
      </c>
      <c r="F2741" t="inlineStr">
        <is>
          <t>The whole mystery of art; pattern into poetry in the work of W.B. Yeats.</t>
        </is>
      </c>
      <c r="H2741" t="inlineStr">
        <is>
          <t>No</t>
        </is>
      </c>
      <c r="I2741" t="inlineStr">
        <is>
          <t>1</t>
        </is>
      </c>
      <c r="J2741" t="inlineStr">
        <is>
          <t>No</t>
        </is>
      </c>
      <c r="K2741" t="inlineStr">
        <is>
          <t>Yes</t>
        </is>
      </c>
      <c r="L2741" t="inlineStr">
        <is>
          <t>0</t>
        </is>
      </c>
      <c r="M2741" t="inlineStr">
        <is>
          <t>Melchiori, Giorgio.</t>
        </is>
      </c>
      <c r="N2741" t="inlineStr">
        <is>
          <t>London, Routledge &amp; Paul [1960]</t>
        </is>
      </c>
      <c r="O2741" t="inlineStr">
        <is>
          <t>1960</t>
        </is>
      </c>
      <c r="Q2741" t="inlineStr">
        <is>
          <t>eng</t>
        </is>
      </c>
      <c r="R2741" t="inlineStr">
        <is>
          <t>enk</t>
        </is>
      </c>
      <c r="T2741" t="inlineStr">
        <is>
          <t xml:space="preserve">PR </t>
        </is>
      </c>
      <c r="U2741" t="n">
        <v>1</v>
      </c>
      <c r="V2741" t="n">
        <v>1</v>
      </c>
      <c r="W2741" t="inlineStr">
        <is>
          <t>2001-09-24</t>
        </is>
      </c>
      <c r="X2741" t="inlineStr">
        <is>
          <t>2001-09-24</t>
        </is>
      </c>
      <c r="Y2741" t="inlineStr">
        <is>
          <t>1997-07-23</t>
        </is>
      </c>
      <c r="Z2741" t="inlineStr">
        <is>
          <t>1997-07-23</t>
        </is>
      </c>
      <c r="AA2741" t="n">
        <v>245</v>
      </c>
      <c r="AB2741" t="n">
        <v>182</v>
      </c>
      <c r="AC2741" t="n">
        <v>514</v>
      </c>
      <c r="AD2741" t="n">
        <v>3</v>
      </c>
      <c r="AE2741" t="n">
        <v>4</v>
      </c>
      <c r="AF2741" t="n">
        <v>10</v>
      </c>
      <c r="AG2741" t="n">
        <v>27</v>
      </c>
      <c r="AH2741" t="n">
        <v>3</v>
      </c>
      <c r="AI2741" t="n">
        <v>9</v>
      </c>
      <c r="AJ2741" t="n">
        <v>1</v>
      </c>
      <c r="AK2741" t="n">
        <v>8</v>
      </c>
      <c r="AL2741" t="n">
        <v>6</v>
      </c>
      <c r="AM2741" t="n">
        <v>13</v>
      </c>
      <c r="AN2741" t="n">
        <v>2</v>
      </c>
      <c r="AO2741" t="n">
        <v>3</v>
      </c>
      <c r="AP2741" t="n">
        <v>0</v>
      </c>
      <c r="AQ2741" t="n">
        <v>0</v>
      </c>
      <c r="AR2741" t="inlineStr">
        <is>
          <t>No</t>
        </is>
      </c>
      <c r="AS2741" t="inlineStr">
        <is>
          <t>Yes</t>
        </is>
      </c>
      <c r="AT2741">
        <f>HYPERLINK("http://catalog.hathitrust.org/Record/001020245","HathiTrust Record")</f>
        <v/>
      </c>
      <c r="AU2741">
        <f>HYPERLINK("https://creighton-primo.hosted.exlibrisgroup.com/primo-explore/search?tab=default_tab&amp;search_scope=EVERYTHING&amp;vid=01CRU&amp;lang=en_US&amp;offset=0&amp;query=any,contains,991002235449702656","Catalog Record")</f>
        <v/>
      </c>
      <c r="AV2741">
        <f>HYPERLINK("http://www.worldcat.org/oclc/295719","WorldCat Record")</f>
        <v/>
      </c>
      <c r="AW2741" t="inlineStr">
        <is>
          <t>500676:eng</t>
        </is>
      </c>
      <c r="AX2741" t="inlineStr">
        <is>
          <t>295719</t>
        </is>
      </c>
      <c r="AY2741" t="inlineStr">
        <is>
          <t>991002235449702656</t>
        </is>
      </c>
      <c r="AZ2741" t="inlineStr">
        <is>
          <t>991002235449702656</t>
        </is>
      </c>
      <c r="BA2741" t="inlineStr">
        <is>
          <t>2265840500002656</t>
        </is>
      </c>
      <c r="BB2741" t="inlineStr">
        <is>
          <t>BOOK</t>
        </is>
      </c>
      <c r="BE2741" t="inlineStr">
        <is>
          <t>32285002952702</t>
        </is>
      </c>
      <c r="BF2741" t="inlineStr">
        <is>
          <t>893591082</t>
        </is>
      </c>
    </row>
    <row r="2742">
      <c r="A2742" t="inlineStr">
        <is>
          <t>No</t>
        </is>
      </c>
      <c r="B2742" t="inlineStr">
        <is>
          <t>CURAL</t>
        </is>
      </c>
      <c r="C2742" t="inlineStr">
        <is>
          <t>SHELVES</t>
        </is>
      </c>
      <c r="D2742" t="inlineStr">
        <is>
          <t>PR5907 .M4 1979</t>
        </is>
      </c>
      <c r="E2742" t="inlineStr">
        <is>
          <t>0                      PR 5907000M  4           1979</t>
        </is>
      </c>
      <c r="F2742" t="inlineStr">
        <is>
          <t>The whole mystery of art : pattern into poetry in the work of W. B. Yeats / by Giorgio Melchiori.</t>
        </is>
      </c>
      <c r="H2742" t="inlineStr">
        <is>
          <t>No</t>
        </is>
      </c>
      <c r="I2742" t="inlineStr">
        <is>
          <t>1</t>
        </is>
      </c>
      <c r="J2742" t="inlineStr">
        <is>
          <t>No</t>
        </is>
      </c>
      <c r="K2742" t="inlineStr">
        <is>
          <t>Yes</t>
        </is>
      </c>
      <c r="L2742" t="inlineStr">
        <is>
          <t>0</t>
        </is>
      </c>
      <c r="M2742" t="inlineStr">
        <is>
          <t>Melchiori, Giorgio.</t>
        </is>
      </c>
      <c r="N2742" t="inlineStr">
        <is>
          <t>Westport, Conn. : Greenwood Press, 1979, c1960.</t>
        </is>
      </c>
      <c r="O2742" t="inlineStr">
        <is>
          <t>1979</t>
        </is>
      </c>
      <c r="Q2742" t="inlineStr">
        <is>
          <t>eng</t>
        </is>
      </c>
      <c r="R2742" t="inlineStr">
        <is>
          <t>ctu</t>
        </is>
      </c>
      <c r="T2742" t="inlineStr">
        <is>
          <t xml:space="preserve">PR </t>
        </is>
      </c>
      <c r="U2742" t="n">
        <v>3</v>
      </c>
      <c r="V2742" t="n">
        <v>3</v>
      </c>
      <c r="W2742" t="inlineStr">
        <is>
          <t>2000-10-25</t>
        </is>
      </c>
      <c r="X2742" t="inlineStr">
        <is>
          <t>2000-10-25</t>
        </is>
      </c>
      <c r="Y2742" t="inlineStr">
        <is>
          <t>1992-06-23</t>
        </is>
      </c>
      <c r="Z2742" t="inlineStr">
        <is>
          <t>1992-06-23</t>
        </is>
      </c>
      <c r="AA2742" t="n">
        <v>168</v>
      </c>
      <c r="AB2742" t="n">
        <v>124</v>
      </c>
      <c r="AC2742" t="n">
        <v>514</v>
      </c>
      <c r="AD2742" t="n">
        <v>2</v>
      </c>
      <c r="AE2742" t="n">
        <v>4</v>
      </c>
      <c r="AF2742" t="n">
        <v>7</v>
      </c>
      <c r="AG2742" t="n">
        <v>27</v>
      </c>
      <c r="AH2742" t="n">
        <v>3</v>
      </c>
      <c r="AI2742" t="n">
        <v>9</v>
      </c>
      <c r="AJ2742" t="n">
        <v>4</v>
      </c>
      <c r="AK2742" t="n">
        <v>8</v>
      </c>
      <c r="AL2742" t="n">
        <v>1</v>
      </c>
      <c r="AM2742" t="n">
        <v>13</v>
      </c>
      <c r="AN2742" t="n">
        <v>1</v>
      </c>
      <c r="AO2742" t="n">
        <v>3</v>
      </c>
      <c r="AP2742" t="n">
        <v>0</v>
      </c>
      <c r="AQ2742" t="n">
        <v>0</v>
      </c>
      <c r="AR2742" t="inlineStr">
        <is>
          <t>No</t>
        </is>
      </c>
      <c r="AS2742" t="inlineStr">
        <is>
          <t>No</t>
        </is>
      </c>
      <c r="AU2742">
        <f>HYPERLINK("https://creighton-primo.hosted.exlibrisgroup.com/primo-explore/search?tab=default_tab&amp;search_scope=EVERYTHING&amp;vid=01CRU&amp;lang=en_US&amp;offset=0&amp;query=any,contains,991004667549702656","Catalog Record")</f>
        <v/>
      </c>
      <c r="AV2742">
        <f>HYPERLINK("http://www.worldcat.org/oclc/4506010","WorldCat Record")</f>
        <v/>
      </c>
      <c r="AW2742" t="inlineStr">
        <is>
          <t>500676:eng</t>
        </is>
      </c>
      <c r="AX2742" t="inlineStr">
        <is>
          <t>4506010</t>
        </is>
      </c>
      <c r="AY2742" t="inlineStr">
        <is>
          <t>991004667549702656</t>
        </is>
      </c>
      <c r="AZ2742" t="inlineStr">
        <is>
          <t>991004667549702656</t>
        </is>
      </c>
      <c r="BA2742" t="inlineStr">
        <is>
          <t>2266082000002656</t>
        </is>
      </c>
      <c r="BB2742" t="inlineStr">
        <is>
          <t>BOOK</t>
        </is>
      </c>
      <c r="BD2742" t="inlineStr">
        <is>
          <t>9780837167190</t>
        </is>
      </c>
      <c r="BE2742" t="inlineStr">
        <is>
          <t>32285001133551</t>
        </is>
      </c>
      <c r="BF2742" t="inlineStr">
        <is>
          <t>893801205</t>
        </is>
      </c>
    </row>
    <row r="2743">
      <c r="A2743" t="inlineStr">
        <is>
          <t>No</t>
        </is>
      </c>
      <c r="B2743" t="inlineStr">
        <is>
          <t>CURAL</t>
        </is>
      </c>
      <c r="C2743" t="inlineStr">
        <is>
          <t>SHELVES</t>
        </is>
      </c>
      <c r="D2743" t="inlineStr">
        <is>
          <t>PR5907 .N3</t>
        </is>
      </c>
      <c r="E2743" t="inlineStr">
        <is>
          <t>0                      PR 5907000N  3</t>
        </is>
      </c>
      <c r="F2743" t="inlineStr">
        <is>
          <t>The tragic drama of William Butler Yeats; figures in a dance, by Leonard E. Nathan.</t>
        </is>
      </c>
      <c r="H2743" t="inlineStr">
        <is>
          <t>No</t>
        </is>
      </c>
      <c r="I2743" t="inlineStr">
        <is>
          <t>1</t>
        </is>
      </c>
      <c r="J2743" t="inlineStr">
        <is>
          <t>No</t>
        </is>
      </c>
      <c r="K2743" t="inlineStr">
        <is>
          <t>No</t>
        </is>
      </c>
      <c r="L2743" t="inlineStr">
        <is>
          <t>0</t>
        </is>
      </c>
      <c r="M2743" t="inlineStr">
        <is>
          <t>Nathan, Leonard, 1924-2007.</t>
        </is>
      </c>
      <c r="N2743" t="inlineStr">
        <is>
          <t>New York, Columbia University Press, 1965.</t>
        </is>
      </c>
      <c r="O2743" t="inlineStr">
        <is>
          <t>1965</t>
        </is>
      </c>
      <c r="Q2743" t="inlineStr">
        <is>
          <t>eng</t>
        </is>
      </c>
      <c r="R2743" t="inlineStr">
        <is>
          <t>nyu</t>
        </is>
      </c>
      <c r="T2743" t="inlineStr">
        <is>
          <t xml:space="preserve">PR </t>
        </is>
      </c>
      <c r="U2743" t="n">
        <v>1</v>
      </c>
      <c r="V2743" t="n">
        <v>1</v>
      </c>
      <c r="W2743" t="inlineStr">
        <is>
          <t>2006-03-01</t>
        </is>
      </c>
      <c r="X2743" t="inlineStr">
        <is>
          <t>2006-03-01</t>
        </is>
      </c>
      <c r="Y2743" t="inlineStr">
        <is>
          <t>1997-07-23</t>
        </is>
      </c>
      <c r="Z2743" t="inlineStr">
        <is>
          <t>1997-07-23</t>
        </is>
      </c>
      <c r="AA2743" t="n">
        <v>974</v>
      </c>
      <c r="AB2743" t="n">
        <v>828</v>
      </c>
      <c r="AC2743" t="n">
        <v>836</v>
      </c>
      <c r="AD2743" t="n">
        <v>7</v>
      </c>
      <c r="AE2743" t="n">
        <v>7</v>
      </c>
      <c r="AF2743" t="n">
        <v>39</v>
      </c>
      <c r="AG2743" t="n">
        <v>39</v>
      </c>
      <c r="AH2743" t="n">
        <v>15</v>
      </c>
      <c r="AI2743" t="n">
        <v>15</v>
      </c>
      <c r="AJ2743" t="n">
        <v>10</v>
      </c>
      <c r="AK2743" t="n">
        <v>10</v>
      </c>
      <c r="AL2743" t="n">
        <v>20</v>
      </c>
      <c r="AM2743" t="n">
        <v>20</v>
      </c>
      <c r="AN2743" t="n">
        <v>6</v>
      </c>
      <c r="AO2743" t="n">
        <v>6</v>
      </c>
      <c r="AP2743" t="n">
        <v>0</v>
      </c>
      <c r="AQ2743" t="n">
        <v>0</v>
      </c>
      <c r="AR2743" t="inlineStr">
        <is>
          <t>No</t>
        </is>
      </c>
      <c r="AS2743" t="inlineStr">
        <is>
          <t>Yes</t>
        </is>
      </c>
      <c r="AT2743">
        <f>HYPERLINK("http://catalog.hathitrust.org/Record/001025012","HathiTrust Record")</f>
        <v/>
      </c>
      <c r="AU2743">
        <f>HYPERLINK("https://creighton-primo.hosted.exlibrisgroup.com/primo-explore/search?tab=default_tab&amp;search_scope=EVERYTHING&amp;vid=01CRU&amp;lang=en_US&amp;offset=0&amp;query=any,contains,991001946449702656","Catalog Record")</f>
        <v/>
      </c>
      <c r="AV2743">
        <f>HYPERLINK("http://www.worldcat.org/oclc/250953","WorldCat Record")</f>
        <v/>
      </c>
      <c r="AW2743" t="inlineStr">
        <is>
          <t>228972396:eng</t>
        </is>
      </c>
      <c r="AX2743" t="inlineStr">
        <is>
          <t>250953</t>
        </is>
      </c>
      <c r="AY2743" t="inlineStr">
        <is>
          <t>991001946449702656</t>
        </is>
      </c>
      <c r="AZ2743" t="inlineStr">
        <is>
          <t>991001946449702656</t>
        </is>
      </c>
      <c r="BA2743" t="inlineStr">
        <is>
          <t>2268307460002656</t>
        </is>
      </c>
      <c r="BB2743" t="inlineStr">
        <is>
          <t>BOOK</t>
        </is>
      </c>
      <c r="BE2743" t="inlineStr">
        <is>
          <t>32285002952710</t>
        </is>
      </c>
      <c r="BF2743" t="inlineStr">
        <is>
          <t>893596868</t>
        </is>
      </c>
    </row>
    <row r="2744">
      <c r="A2744" t="inlineStr">
        <is>
          <t>No</t>
        </is>
      </c>
      <c r="B2744" t="inlineStr">
        <is>
          <t>CURAL</t>
        </is>
      </c>
      <c r="C2744" t="inlineStr">
        <is>
          <t>SHELVES</t>
        </is>
      </c>
      <c r="D2744" t="inlineStr">
        <is>
          <t>PR5907 .O7</t>
        </is>
      </c>
      <c r="E2744" t="inlineStr">
        <is>
          <t>0                      PR 5907000O  7</t>
        </is>
      </c>
      <c r="F2744" t="inlineStr">
        <is>
          <t>The development of William Butler Yeats: 1885-1900.</t>
        </is>
      </c>
      <c r="H2744" t="inlineStr">
        <is>
          <t>No</t>
        </is>
      </c>
      <c r="I2744" t="inlineStr">
        <is>
          <t>1</t>
        </is>
      </c>
      <c r="J2744" t="inlineStr">
        <is>
          <t>No</t>
        </is>
      </c>
      <c r="K2744" t="inlineStr">
        <is>
          <t>No</t>
        </is>
      </c>
      <c r="L2744" t="inlineStr">
        <is>
          <t>0</t>
        </is>
      </c>
      <c r="M2744" t="inlineStr">
        <is>
          <t>Orel, Harold, 1926-</t>
        </is>
      </c>
      <c r="O2744" t="inlineStr">
        <is>
          <t>1968</t>
        </is>
      </c>
      <c r="Q2744" t="inlineStr">
        <is>
          <t>eng</t>
        </is>
      </c>
      <c r="R2744" t="inlineStr">
        <is>
          <t>ksu</t>
        </is>
      </c>
      <c r="S2744" t="inlineStr">
        <is>
          <t>University of Kansas publications. Humanistic studies no. 39</t>
        </is>
      </c>
      <c r="T2744" t="inlineStr">
        <is>
          <t xml:space="preserve">PR </t>
        </is>
      </c>
      <c r="U2744" t="n">
        <v>2</v>
      </c>
      <c r="V2744" t="n">
        <v>2</v>
      </c>
      <c r="W2744" t="inlineStr">
        <is>
          <t>2000-12-11</t>
        </is>
      </c>
      <c r="X2744" t="inlineStr">
        <is>
          <t>2000-12-11</t>
        </is>
      </c>
      <c r="Y2744" t="inlineStr">
        <is>
          <t>1997-07-23</t>
        </is>
      </c>
      <c r="Z2744" t="inlineStr">
        <is>
          <t>1997-07-23</t>
        </is>
      </c>
      <c r="AA2744" t="n">
        <v>277</v>
      </c>
      <c r="AB2744" t="n">
        <v>225</v>
      </c>
      <c r="AC2744" t="n">
        <v>312</v>
      </c>
      <c r="AD2744" t="n">
        <v>2</v>
      </c>
      <c r="AE2744" t="n">
        <v>2</v>
      </c>
      <c r="AF2744" t="n">
        <v>12</v>
      </c>
      <c r="AG2744" t="n">
        <v>16</v>
      </c>
      <c r="AH2744" t="n">
        <v>3</v>
      </c>
      <c r="AI2744" t="n">
        <v>4</v>
      </c>
      <c r="AJ2744" t="n">
        <v>3</v>
      </c>
      <c r="AK2744" t="n">
        <v>4</v>
      </c>
      <c r="AL2744" t="n">
        <v>8</v>
      </c>
      <c r="AM2744" t="n">
        <v>11</v>
      </c>
      <c r="AN2744" t="n">
        <v>1</v>
      </c>
      <c r="AO2744" t="n">
        <v>1</v>
      </c>
      <c r="AP2744" t="n">
        <v>0</v>
      </c>
      <c r="AQ2744" t="n">
        <v>0</v>
      </c>
      <c r="AR2744" t="inlineStr">
        <is>
          <t>No</t>
        </is>
      </c>
      <c r="AS2744" t="inlineStr">
        <is>
          <t>No</t>
        </is>
      </c>
      <c r="AU2744">
        <f>HYPERLINK("https://creighton-primo.hosted.exlibrisgroup.com/primo-explore/search?tab=default_tab&amp;search_scope=EVERYTHING&amp;vid=01CRU&amp;lang=en_US&amp;offset=0&amp;query=any,contains,991005435499702656","Catalog Record")</f>
        <v/>
      </c>
      <c r="AV2744">
        <f>HYPERLINK("http://www.worldcat.org/oclc/3468","WorldCat Record")</f>
        <v/>
      </c>
      <c r="AW2744" t="inlineStr">
        <is>
          <t>344710845:eng</t>
        </is>
      </c>
      <c r="AX2744" t="inlineStr">
        <is>
          <t>3468</t>
        </is>
      </c>
      <c r="AY2744" t="inlineStr">
        <is>
          <t>991005435499702656</t>
        </is>
      </c>
      <c r="AZ2744" t="inlineStr">
        <is>
          <t>991005435499702656</t>
        </is>
      </c>
      <c r="BA2744" t="inlineStr">
        <is>
          <t>2265858230002656</t>
        </is>
      </c>
      <c r="BB2744" t="inlineStr">
        <is>
          <t>BOOK</t>
        </is>
      </c>
      <c r="BE2744" t="inlineStr">
        <is>
          <t>32285002952728</t>
        </is>
      </c>
      <c r="BF2744" t="inlineStr">
        <is>
          <t>893255007</t>
        </is>
      </c>
    </row>
    <row r="2745">
      <c r="A2745" t="inlineStr">
        <is>
          <t>No</t>
        </is>
      </c>
      <c r="B2745" t="inlineStr">
        <is>
          <t>CURAL</t>
        </is>
      </c>
      <c r="C2745" t="inlineStr">
        <is>
          <t>SHELVES</t>
        </is>
      </c>
      <c r="D2745" t="inlineStr">
        <is>
          <t>PR5907 .P28</t>
        </is>
      </c>
      <c r="E2745" t="inlineStr">
        <is>
          <t>0                      PR 5907000P  28</t>
        </is>
      </c>
      <c r="F2745" t="inlineStr">
        <is>
          <t>The dramatic imagination of W. B. Yeats / Andrew Parkin.</t>
        </is>
      </c>
      <c r="H2745" t="inlineStr">
        <is>
          <t>No</t>
        </is>
      </c>
      <c r="I2745" t="inlineStr">
        <is>
          <t>1</t>
        </is>
      </c>
      <c r="J2745" t="inlineStr">
        <is>
          <t>No</t>
        </is>
      </c>
      <c r="K2745" t="inlineStr">
        <is>
          <t>No</t>
        </is>
      </c>
      <c r="L2745" t="inlineStr">
        <is>
          <t>0</t>
        </is>
      </c>
      <c r="M2745" t="inlineStr">
        <is>
          <t>Parkin, Andrew, 1937-</t>
        </is>
      </c>
      <c r="N2745" t="inlineStr">
        <is>
          <t>New York : Barnes &amp; Noble Books, 1978.</t>
        </is>
      </c>
      <c r="O2745" t="inlineStr">
        <is>
          <t>1978</t>
        </is>
      </c>
      <c r="Q2745" t="inlineStr">
        <is>
          <t>eng</t>
        </is>
      </c>
      <c r="R2745" t="inlineStr">
        <is>
          <t>nyu</t>
        </is>
      </c>
      <c r="T2745" t="inlineStr">
        <is>
          <t xml:space="preserve">PR </t>
        </is>
      </c>
      <c r="U2745" t="n">
        <v>6</v>
      </c>
      <c r="V2745" t="n">
        <v>6</v>
      </c>
      <c r="W2745" t="inlineStr">
        <is>
          <t>2000-12-11</t>
        </is>
      </c>
      <c r="X2745" t="inlineStr">
        <is>
          <t>2000-12-11</t>
        </is>
      </c>
      <c r="Y2745" t="inlineStr">
        <is>
          <t>1992-06-23</t>
        </is>
      </c>
      <c r="Z2745" t="inlineStr">
        <is>
          <t>1992-06-23</t>
        </is>
      </c>
      <c r="AA2745" t="n">
        <v>552</v>
      </c>
      <c r="AB2745" t="n">
        <v>381</v>
      </c>
      <c r="AC2745" t="n">
        <v>389</v>
      </c>
      <c r="AD2745" t="n">
        <v>4</v>
      </c>
      <c r="AE2745" t="n">
        <v>4</v>
      </c>
      <c r="AF2745" t="n">
        <v>26</v>
      </c>
      <c r="AG2745" t="n">
        <v>26</v>
      </c>
      <c r="AH2745" t="n">
        <v>12</v>
      </c>
      <c r="AI2745" t="n">
        <v>12</v>
      </c>
      <c r="AJ2745" t="n">
        <v>6</v>
      </c>
      <c r="AK2745" t="n">
        <v>6</v>
      </c>
      <c r="AL2745" t="n">
        <v>11</v>
      </c>
      <c r="AM2745" t="n">
        <v>11</v>
      </c>
      <c r="AN2745" t="n">
        <v>3</v>
      </c>
      <c r="AO2745" t="n">
        <v>3</v>
      </c>
      <c r="AP2745" t="n">
        <v>0</v>
      </c>
      <c r="AQ2745" t="n">
        <v>0</v>
      </c>
      <c r="AR2745" t="inlineStr">
        <is>
          <t>No</t>
        </is>
      </c>
      <c r="AS2745" t="inlineStr">
        <is>
          <t>Yes</t>
        </is>
      </c>
      <c r="AT2745">
        <f>HYPERLINK("http://catalog.hathitrust.org/Record/000176792","HathiTrust Record")</f>
        <v/>
      </c>
      <c r="AU2745">
        <f>HYPERLINK("https://creighton-primo.hosted.exlibrisgroup.com/primo-explore/search?tab=default_tab&amp;search_scope=EVERYTHING&amp;vid=01CRU&amp;lang=en_US&amp;offset=0&amp;query=any,contains,991004567219702656","Catalog Record")</f>
        <v/>
      </c>
      <c r="AV2745">
        <f>HYPERLINK("http://www.worldcat.org/oclc/4004829","WorldCat Record")</f>
        <v/>
      </c>
      <c r="AW2745" t="inlineStr">
        <is>
          <t>118196569:eng</t>
        </is>
      </c>
      <c r="AX2745" t="inlineStr">
        <is>
          <t>4004829</t>
        </is>
      </c>
      <c r="AY2745" t="inlineStr">
        <is>
          <t>991004567219702656</t>
        </is>
      </c>
      <c r="AZ2745" t="inlineStr">
        <is>
          <t>991004567219702656</t>
        </is>
      </c>
      <c r="BA2745" t="inlineStr">
        <is>
          <t>2265072120002656</t>
        </is>
      </c>
      <c r="BB2745" t="inlineStr">
        <is>
          <t>BOOK</t>
        </is>
      </c>
      <c r="BD2745" t="inlineStr">
        <is>
          <t>9780064953962</t>
        </is>
      </c>
      <c r="BE2745" t="inlineStr">
        <is>
          <t>32285001133577</t>
        </is>
      </c>
      <c r="BF2745" t="inlineStr">
        <is>
          <t>893593859</t>
        </is>
      </c>
    </row>
    <row r="2746">
      <c r="A2746" t="inlineStr">
        <is>
          <t>No</t>
        </is>
      </c>
      <c r="B2746" t="inlineStr">
        <is>
          <t>CURAL</t>
        </is>
      </c>
      <c r="C2746" t="inlineStr">
        <is>
          <t>SHELVES</t>
        </is>
      </c>
      <c r="D2746" t="inlineStr">
        <is>
          <t>PR5907 .P29</t>
        </is>
      </c>
      <c r="E2746" t="inlineStr">
        <is>
          <t>0                      PR 5907000P  29</t>
        </is>
      </c>
      <c r="F2746" t="inlineStr">
        <is>
          <t>W.B. Yeats, the later poetry.</t>
        </is>
      </c>
      <c r="H2746" t="inlineStr">
        <is>
          <t>No</t>
        </is>
      </c>
      <c r="I2746" t="inlineStr">
        <is>
          <t>1</t>
        </is>
      </c>
      <c r="J2746" t="inlineStr">
        <is>
          <t>No</t>
        </is>
      </c>
      <c r="K2746" t="inlineStr">
        <is>
          <t>No</t>
        </is>
      </c>
      <c r="L2746" t="inlineStr">
        <is>
          <t>0</t>
        </is>
      </c>
      <c r="M2746" t="inlineStr">
        <is>
          <t>Parkinson, Thomas Francis, 1920-1992.</t>
        </is>
      </c>
      <c r="N2746" t="inlineStr">
        <is>
          <t>Berkeley, University of California Press, 1964.</t>
        </is>
      </c>
      <c r="O2746" t="inlineStr">
        <is>
          <t>1964</t>
        </is>
      </c>
      <c r="Q2746" t="inlineStr">
        <is>
          <t>eng</t>
        </is>
      </c>
      <c r="R2746" t="inlineStr">
        <is>
          <t>cau</t>
        </is>
      </c>
      <c r="T2746" t="inlineStr">
        <is>
          <t xml:space="preserve">PR </t>
        </is>
      </c>
      <c r="U2746" t="n">
        <v>8</v>
      </c>
      <c r="V2746" t="n">
        <v>8</v>
      </c>
      <c r="W2746" t="inlineStr">
        <is>
          <t>2007-11-26</t>
        </is>
      </c>
      <c r="X2746" t="inlineStr">
        <is>
          <t>2007-11-26</t>
        </is>
      </c>
      <c r="Y2746" t="inlineStr">
        <is>
          <t>1999-01-23</t>
        </is>
      </c>
      <c r="Z2746" t="inlineStr">
        <is>
          <t>1999-01-23</t>
        </is>
      </c>
      <c r="AA2746" t="n">
        <v>891</v>
      </c>
      <c r="AB2746" t="n">
        <v>769</v>
      </c>
      <c r="AC2746" t="n">
        <v>794</v>
      </c>
      <c r="AD2746" t="n">
        <v>5</v>
      </c>
      <c r="AE2746" t="n">
        <v>5</v>
      </c>
      <c r="AF2746" t="n">
        <v>40</v>
      </c>
      <c r="AG2746" t="n">
        <v>40</v>
      </c>
      <c r="AH2746" t="n">
        <v>16</v>
      </c>
      <c r="AI2746" t="n">
        <v>16</v>
      </c>
      <c r="AJ2746" t="n">
        <v>7</v>
      </c>
      <c r="AK2746" t="n">
        <v>7</v>
      </c>
      <c r="AL2746" t="n">
        <v>22</v>
      </c>
      <c r="AM2746" t="n">
        <v>22</v>
      </c>
      <c r="AN2746" t="n">
        <v>4</v>
      </c>
      <c r="AO2746" t="n">
        <v>4</v>
      </c>
      <c r="AP2746" t="n">
        <v>0</v>
      </c>
      <c r="AQ2746" t="n">
        <v>0</v>
      </c>
      <c r="AR2746" t="inlineStr">
        <is>
          <t>No</t>
        </is>
      </c>
      <c r="AS2746" t="inlineStr">
        <is>
          <t>Yes</t>
        </is>
      </c>
      <c r="AT2746">
        <f>HYPERLINK("http://catalog.hathitrust.org/Record/001428326","HathiTrust Record")</f>
        <v/>
      </c>
      <c r="AU2746">
        <f>HYPERLINK("https://creighton-primo.hosted.exlibrisgroup.com/primo-explore/search?tab=default_tab&amp;search_scope=EVERYTHING&amp;vid=01CRU&amp;lang=en_US&amp;offset=0&amp;query=any,contains,991004291669702656","Catalog Record")</f>
        <v/>
      </c>
      <c r="AV2746">
        <f>HYPERLINK("http://www.worldcat.org/oclc/2947737","WorldCat Record")</f>
        <v/>
      </c>
      <c r="AW2746" t="inlineStr">
        <is>
          <t>197417107:eng</t>
        </is>
      </c>
      <c r="AX2746" t="inlineStr">
        <is>
          <t>2947737</t>
        </is>
      </c>
      <c r="AY2746" t="inlineStr">
        <is>
          <t>991004291669702656</t>
        </is>
      </c>
      <c r="AZ2746" t="inlineStr">
        <is>
          <t>991004291669702656</t>
        </is>
      </c>
      <c r="BA2746" t="inlineStr">
        <is>
          <t>2265222630002656</t>
        </is>
      </c>
      <c r="BB2746" t="inlineStr">
        <is>
          <t>BOOK</t>
        </is>
      </c>
      <c r="BE2746" t="inlineStr">
        <is>
          <t>32285003515623</t>
        </is>
      </c>
      <c r="BF2746" t="inlineStr">
        <is>
          <t>893319030</t>
        </is>
      </c>
    </row>
    <row r="2747">
      <c r="A2747" t="inlineStr">
        <is>
          <t>No</t>
        </is>
      </c>
      <c r="B2747" t="inlineStr">
        <is>
          <t>CURAL</t>
        </is>
      </c>
      <c r="C2747" t="inlineStr">
        <is>
          <t>SHELVES</t>
        </is>
      </c>
      <c r="D2747" t="inlineStr">
        <is>
          <t>PR5907 .P3 1971</t>
        </is>
      </c>
      <c r="E2747" t="inlineStr">
        <is>
          <t>0                      PR 5907000P  3           1971</t>
        </is>
      </c>
      <c r="F2747" t="inlineStr">
        <is>
          <t>W. B. Yeats, self-critic; a study of his early verse, and The later poetry [by] Thomas Parkinson.</t>
        </is>
      </c>
      <c r="H2747" t="inlineStr">
        <is>
          <t>No</t>
        </is>
      </c>
      <c r="I2747" t="inlineStr">
        <is>
          <t>1</t>
        </is>
      </c>
      <c r="J2747" t="inlineStr">
        <is>
          <t>No</t>
        </is>
      </c>
      <c r="K2747" t="inlineStr">
        <is>
          <t>No</t>
        </is>
      </c>
      <c r="L2747" t="inlineStr">
        <is>
          <t>0</t>
        </is>
      </c>
      <c r="M2747" t="inlineStr">
        <is>
          <t>Parkinson, Thomas Francis, 1920-1992.</t>
        </is>
      </c>
      <c r="N2747" t="inlineStr">
        <is>
          <t>Berkeley, University of California Press, 1971.</t>
        </is>
      </c>
      <c r="O2747" t="inlineStr">
        <is>
          <t>1971</t>
        </is>
      </c>
      <c r="Q2747" t="inlineStr">
        <is>
          <t>eng</t>
        </is>
      </c>
      <c r="R2747" t="inlineStr">
        <is>
          <t>cau</t>
        </is>
      </c>
      <c r="S2747" t="inlineStr">
        <is>
          <t>Campus 54</t>
        </is>
      </c>
      <c r="T2747" t="inlineStr">
        <is>
          <t xml:space="preserve">PR </t>
        </is>
      </c>
      <c r="U2747" t="n">
        <v>4</v>
      </c>
      <c r="V2747" t="n">
        <v>4</v>
      </c>
      <c r="W2747" t="inlineStr">
        <is>
          <t>2000-10-29</t>
        </is>
      </c>
      <c r="X2747" t="inlineStr">
        <is>
          <t>2000-10-29</t>
        </is>
      </c>
      <c r="Y2747" t="inlineStr">
        <is>
          <t>1997-07-23</t>
        </is>
      </c>
      <c r="Z2747" t="inlineStr">
        <is>
          <t>1997-07-23</t>
        </is>
      </c>
      <c r="AA2747" t="n">
        <v>564</v>
      </c>
      <c r="AB2747" t="n">
        <v>460</v>
      </c>
      <c r="AC2747" t="n">
        <v>470</v>
      </c>
      <c r="AD2747" t="n">
        <v>4</v>
      </c>
      <c r="AE2747" t="n">
        <v>4</v>
      </c>
      <c r="AF2747" t="n">
        <v>23</v>
      </c>
      <c r="AG2747" t="n">
        <v>23</v>
      </c>
      <c r="AH2747" t="n">
        <v>9</v>
      </c>
      <c r="AI2747" t="n">
        <v>9</v>
      </c>
      <c r="AJ2747" t="n">
        <v>9</v>
      </c>
      <c r="AK2747" t="n">
        <v>9</v>
      </c>
      <c r="AL2747" t="n">
        <v>10</v>
      </c>
      <c r="AM2747" t="n">
        <v>10</v>
      </c>
      <c r="AN2747" t="n">
        <v>3</v>
      </c>
      <c r="AO2747" t="n">
        <v>3</v>
      </c>
      <c r="AP2747" t="n">
        <v>0</v>
      </c>
      <c r="AQ2747" t="n">
        <v>0</v>
      </c>
      <c r="AR2747" t="inlineStr">
        <is>
          <t>No</t>
        </is>
      </c>
      <c r="AS2747" t="inlineStr">
        <is>
          <t>Yes</t>
        </is>
      </c>
      <c r="AT2747">
        <f>HYPERLINK("http://catalog.hathitrust.org/Record/000167775","HathiTrust Record")</f>
        <v/>
      </c>
      <c r="AU2747">
        <f>HYPERLINK("https://creighton-primo.hosted.exlibrisgroup.com/primo-explore/search?tab=default_tab&amp;search_scope=EVERYTHING&amp;vid=01CRU&amp;lang=en_US&amp;offset=0&amp;query=any,contains,991002207909702656","Catalog Record")</f>
        <v/>
      </c>
      <c r="AV2747">
        <f>HYPERLINK("http://www.worldcat.org/oclc/286846","WorldCat Record")</f>
        <v/>
      </c>
      <c r="AW2747" t="inlineStr">
        <is>
          <t>3857294597:eng</t>
        </is>
      </c>
      <c r="AX2747" t="inlineStr">
        <is>
          <t>286846</t>
        </is>
      </c>
      <c r="AY2747" t="inlineStr">
        <is>
          <t>991002207909702656</t>
        </is>
      </c>
      <c r="AZ2747" t="inlineStr">
        <is>
          <t>991002207909702656</t>
        </is>
      </c>
      <c r="BA2747" t="inlineStr">
        <is>
          <t>2260870480002656</t>
        </is>
      </c>
      <c r="BB2747" t="inlineStr">
        <is>
          <t>BOOK</t>
        </is>
      </c>
      <c r="BD2747" t="inlineStr">
        <is>
          <t>9780520019331</t>
        </is>
      </c>
      <c r="BE2747" t="inlineStr">
        <is>
          <t>32285002952736</t>
        </is>
      </c>
      <c r="BF2747" t="inlineStr">
        <is>
          <t>893504129</t>
        </is>
      </c>
    </row>
    <row r="2748">
      <c r="A2748" t="inlineStr">
        <is>
          <t>No</t>
        </is>
      </c>
      <c r="B2748" t="inlineStr">
        <is>
          <t>CURAL</t>
        </is>
      </c>
      <c r="C2748" t="inlineStr">
        <is>
          <t>SHELVES</t>
        </is>
      </c>
      <c r="D2748" t="inlineStr">
        <is>
          <t>PR5907 .P47</t>
        </is>
      </c>
      <c r="E2748" t="inlineStr">
        <is>
          <t>0                      PR 5907000P  47</t>
        </is>
      </c>
      <c r="F2748" t="inlineStr">
        <is>
          <t>William Butler Yeats / by Richard F. Peterson.</t>
        </is>
      </c>
      <c r="H2748" t="inlineStr">
        <is>
          <t>No</t>
        </is>
      </c>
      <c r="I2748" t="inlineStr">
        <is>
          <t>1</t>
        </is>
      </c>
      <c r="J2748" t="inlineStr">
        <is>
          <t>No</t>
        </is>
      </c>
      <c r="K2748" t="inlineStr">
        <is>
          <t>No</t>
        </is>
      </c>
      <c r="L2748" t="inlineStr">
        <is>
          <t>0</t>
        </is>
      </c>
      <c r="M2748" t="inlineStr">
        <is>
          <t>Peterson, Richard F.</t>
        </is>
      </c>
      <c r="N2748" t="inlineStr">
        <is>
          <t>Boston : Twayne Publishers, c1982.</t>
        </is>
      </c>
      <c r="O2748" t="inlineStr">
        <is>
          <t>1982</t>
        </is>
      </c>
      <c r="Q2748" t="inlineStr">
        <is>
          <t>eng</t>
        </is>
      </c>
      <c r="R2748" t="inlineStr">
        <is>
          <t>mau</t>
        </is>
      </c>
      <c r="S2748" t="inlineStr">
        <is>
          <t>Twayne's English authors series ; TEAS 32</t>
        </is>
      </c>
      <c r="T2748" t="inlineStr">
        <is>
          <t xml:space="preserve">PR </t>
        </is>
      </c>
      <c r="U2748" t="n">
        <v>5</v>
      </c>
      <c r="V2748" t="n">
        <v>5</v>
      </c>
      <c r="W2748" t="inlineStr">
        <is>
          <t>2003-04-11</t>
        </is>
      </c>
      <c r="X2748" t="inlineStr">
        <is>
          <t>2003-04-11</t>
        </is>
      </c>
      <c r="Y2748" t="inlineStr">
        <is>
          <t>1990-02-13</t>
        </is>
      </c>
      <c r="Z2748" t="inlineStr">
        <is>
          <t>1990-02-13</t>
        </is>
      </c>
      <c r="AA2748" t="n">
        <v>1313</v>
      </c>
      <c r="AB2748" t="n">
        <v>1187</v>
      </c>
      <c r="AC2748" t="n">
        <v>1266</v>
      </c>
      <c r="AD2748" t="n">
        <v>8</v>
      </c>
      <c r="AE2748" t="n">
        <v>8</v>
      </c>
      <c r="AF2748" t="n">
        <v>38</v>
      </c>
      <c r="AG2748" t="n">
        <v>38</v>
      </c>
      <c r="AH2748" t="n">
        <v>15</v>
      </c>
      <c r="AI2748" t="n">
        <v>15</v>
      </c>
      <c r="AJ2748" t="n">
        <v>9</v>
      </c>
      <c r="AK2748" t="n">
        <v>9</v>
      </c>
      <c r="AL2748" t="n">
        <v>19</v>
      </c>
      <c r="AM2748" t="n">
        <v>19</v>
      </c>
      <c r="AN2748" t="n">
        <v>6</v>
      </c>
      <c r="AO2748" t="n">
        <v>6</v>
      </c>
      <c r="AP2748" t="n">
        <v>0</v>
      </c>
      <c r="AQ2748" t="n">
        <v>0</v>
      </c>
      <c r="AR2748" t="inlineStr">
        <is>
          <t>No</t>
        </is>
      </c>
      <c r="AS2748" t="inlineStr">
        <is>
          <t>No</t>
        </is>
      </c>
      <c r="AU2748">
        <f>HYPERLINK("https://creighton-primo.hosted.exlibrisgroup.com/primo-explore/search?tab=default_tab&amp;search_scope=EVERYTHING&amp;vid=01CRU&amp;lang=en_US&amp;offset=0&amp;query=any,contains,991005161729702656","Catalog Record")</f>
        <v/>
      </c>
      <c r="AV2748">
        <f>HYPERLINK("http://www.worldcat.org/oclc/7795534","WorldCat Record")</f>
        <v/>
      </c>
      <c r="AW2748" t="inlineStr">
        <is>
          <t>4928502942:eng</t>
        </is>
      </c>
      <c r="AX2748" t="inlineStr">
        <is>
          <t>7795534</t>
        </is>
      </c>
      <c r="AY2748" t="inlineStr">
        <is>
          <t>991005161729702656</t>
        </is>
      </c>
      <c r="AZ2748" t="inlineStr">
        <is>
          <t>991005161729702656</t>
        </is>
      </c>
      <c r="BA2748" t="inlineStr">
        <is>
          <t>2267961710002656</t>
        </is>
      </c>
      <c r="BB2748" t="inlineStr">
        <is>
          <t>BOOK</t>
        </is>
      </c>
      <c r="BD2748" t="inlineStr">
        <is>
          <t>9780805768152</t>
        </is>
      </c>
      <c r="BE2748" t="inlineStr">
        <is>
          <t>32285000051598</t>
        </is>
      </c>
      <c r="BF2748" t="inlineStr">
        <is>
          <t>893260648</t>
        </is>
      </c>
    </row>
    <row r="2749">
      <c r="A2749" t="inlineStr">
        <is>
          <t>No</t>
        </is>
      </c>
      <c r="B2749" t="inlineStr">
        <is>
          <t>CURAL</t>
        </is>
      </c>
      <c r="C2749" t="inlineStr">
        <is>
          <t>SHELVES</t>
        </is>
      </c>
      <c r="D2749" t="inlineStr">
        <is>
          <t>PR5907 .R285 1986b</t>
        </is>
      </c>
      <c r="E2749" t="inlineStr">
        <is>
          <t>0                      PR 5907000R  285         1986b</t>
        </is>
      </c>
      <c r="F2749" t="inlineStr">
        <is>
          <t>Yeats the initiate : essays on certain themes in the work of W.B. Yeats / by Kathleen Raine.</t>
        </is>
      </c>
      <c r="H2749" t="inlineStr">
        <is>
          <t>No</t>
        </is>
      </c>
      <c r="I2749" t="inlineStr">
        <is>
          <t>1</t>
        </is>
      </c>
      <c r="J2749" t="inlineStr">
        <is>
          <t>No</t>
        </is>
      </c>
      <c r="K2749" t="inlineStr">
        <is>
          <t>No</t>
        </is>
      </c>
      <c r="L2749" t="inlineStr">
        <is>
          <t>0</t>
        </is>
      </c>
      <c r="M2749" t="inlineStr">
        <is>
          <t>Raine, Kathleen, 1908-2003.</t>
        </is>
      </c>
      <c r="N2749" t="inlineStr">
        <is>
          <t>Mountrath, Ireland : Dolmen Press ; London : G. Allen &amp; Unwin, 1986.</t>
        </is>
      </c>
      <c r="O2749" t="inlineStr">
        <is>
          <t>1986</t>
        </is>
      </c>
      <c r="Q2749" t="inlineStr">
        <is>
          <t>eng</t>
        </is>
      </c>
      <c r="R2749" t="inlineStr">
        <is>
          <t xml:space="preserve">ie </t>
        </is>
      </c>
      <c r="T2749" t="inlineStr">
        <is>
          <t xml:space="preserve">PR </t>
        </is>
      </c>
      <c r="U2749" t="n">
        <v>2</v>
      </c>
      <c r="V2749" t="n">
        <v>2</v>
      </c>
      <c r="W2749" t="inlineStr">
        <is>
          <t>1992-12-22</t>
        </is>
      </c>
      <c r="X2749" t="inlineStr">
        <is>
          <t>1992-12-22</t>
        </is>
      </c>
      <c r="Y2749" t="inlineStr">
        <is>
          <t>1992-06-23</t>
        </is>
      </c>
      <c r="Z2749" t="inlineStr">
        <is>
          <t>1992-06-23</t>
        </is>
      </c>
      <c r="AA2749" t="n">
        <v>199</v>
      </c>
      <c r="AB2749" t="n">
        <v>101</v>
      </c>
      <c r="AC2749" t="n">
        <v>206</v>
      </c>
      <c r="AD2749" t="n">
        <v>3</v>
      </c>
      <c r="AE2749" t="n">
        <v>3</v>
      </c>
      <c r="AF2749" t="n">
        <v>5</v>
      </c>
      <c r="AG2749" t="n">
        <v>10</v>
      </c>
      <c r="AH2749" t="n">
        <v>0</v>
      </c>
      <c r="AI2749" t="n">
        <v>1</v>
      </c>
      <c r="AJ2749" t="n">
        <v>1</v>
      </c>
      <c r="AK2749" t="n">
        <v>3</v>
      </c>
      <c r="AL2749" t="n">
        <v>3</v>
      </c>
      <c r="AM2749" t="n">
        <v>6</v>
      </c>
      <c r="AN2749" t="n">
        <v>2</v>
      </c>
      <c r="AO2749" t="n">
        <v>2</v>
      </c>
      <c r="AP2749" t="n">
        <v>0</v>
      </c>
      <c r="AQ2749" t="n">
        <v>0</v>
      </c>
      <c r="AR2749" t="inlineStr">
        <is>
          <t>No</t>
        </is>
      </c>
      <c r="AS2749" t="inlineStr">
        <is>
          <t>Yes</t>
        </is>
      </c>
      <c r="AT2749">
        <f>HYPERLINK("http://catalog.hathitrust.org/Record/000628809","HathiTrust Record")</f>
        <v/>
      </c>
      <c r="AU2749">
        <f>HYPERLINK("https://creighton-primo.hosted.exlibrisgroup.com/primo-explore/search?tab=default_tab&amp;search_scope=EVERYTHING&amp;vid=01CRU&amp;lang=en_US&amp;offset=0&amp;query=any,contains,991000955389702656","Catalog Record")</f>
        <v/>
      </c>
      <c r="AV2749">
        <f>HYPERLINK("http://www.worldcat.org/oclc/14717134","WorldCat Record")</f>
        <v/>
      </c>
      <c r="AW2749" t="inlineStr">
        <is>
          <t>201462243:eng</t>
        </is>
      </c>
      <c r="AX2749" t="inlineStr">
        <is>
          <t>14717134</t>
        </is>
      </c>
      <c r="AY2749" t="inlineStr">
        <is>
          <t>991000955389702656</t>
        </is>
      </c>
      <c r="AZ2749" t="inlineStr">
        <is>
          <t>991000955389702656</t>
        </is>
      </c>
      <c r="BA2749" t="inlineStr">
        <is>
          <t>2256872060002656</t>
        </is>
      </c>
      <c r="BB2749" t="inlineStr">
        <is>
          <t>BOOK</t>
        </is>
      </c>
      <c r="BD2749" t="inlineStr">
        <is>
          <t>9780851053981</t>
        </is>
      </c>
      <c r="BE2749" t="inlineStr">
        <is>
          <t>32285001133585</t>
        </is>
      </c>
      <c r="BF2749" t="inlineStr">
        <is>
          <t>893602191</t>
        </is>
      </c>
    </row>
    <row r="2750">
      <c r="A2750" t="inlineStr">
        <is>
          <t>No</t>
        </is>
      </c>
      <c r="B2750" t="inlineStr">
        <is>
          <t>CURAL</t>
        </is>
      </c>
      <c r="C2750" t="inlineStr">
        <is>
          <t>SHELVES</t>
        </is>
      </c>
      <c r="D2750" t="inlineStr">
        <is>
          <t>PR5907 .R36</t>
        </is>
      </c>
      <c r="E2750" t="inlineStr">
        <is>
          <t>0                      PR 5907000R  36</t>
        </is>
      </c>
      <c r="F2750" t="inlineStr">
        <is>
          <t>William Butler Yeats : the lyric of tragedy.</t>
        </is>
      </c>
      <c r="H2750" t="inlineStr">
        <is>
          <t>No</t>
        </is>
      </c>
      <c r="I2750" t="inlineStr">
        <is>
          <t>1</t>
        </is>
      </c>
      <c r="J2750" t="inlineStr">
        <is>
          <t>No</t>
        </is>
      </c>
      <c r="K2750" t="inlineStr">
        <is>
          <t>No</t>
        </is>
      </c>
      <c r="L2750" t="inlineStr">
        <is>
          <t>0</t>
        </is>
      </c>
      <c r="M2750" t="inlineStr">
        <is>
          <t>Reid, B. L. (Benjamin Lawrence), 1918-1990.</t>
        </is>
      </c>
      <c r="N2750" t="inlineStr">
        <is>
          <t>Norman : University of Oklahoma Press, [1961]</t>
        </is>
      </c>
      <c r="O2750" t="inlineStr">
        <is>
          <t>1961</t>
        </is>
      </c>
      <c r="P2750" t="inlineStr">
        <is>
          <t>[1st ed.]</t>
        </is>
      </c>
      <c r="Q2750" t="inlineStr">
        <is>
          <t>eng</t>
        </is>
      </c>
      <c r="R2750" t="inlineStr">
        <is>
          <t xml:space="preserve">xx </t>
        </is>
      </c>
      <c r="T2750" t="inlineStr">
        <is>
          <t xml:space="preserve">PR </t>
        </is>
      </c>
      <c r="U2750" t="n">
        <v>3</v>
      </c>
      <c r="V2750" t="n">
        <v>3</v>
      </c>
      <c r="W2750" t="inlineStr">
        <is>
          <t>2005-03-17</t>
        </is>
      </c>
      <c r="X2750" t="inlineStr">
        <is>
          <t>2005-03-17</t>
        </is>
      </c>
      <c r="Y2750" t="inlineStr">
        <is>
          <t>1994-04-18</t>
        </is>
      </c>
      <c r="Z2750" t="inlineStr">
        <is>
          <t>1994-04-18</t>
        </is>
      </c>
      <c r="AA2750" t="n">
        <v>694</v>
      </c>
      <c r="AB2750" t="n">
        <v>609</v>
      </c>
      <c r="AC2750" t="n">
        <v>678</v>
      </c>
      <c r="AD2750" t="n">
        <v>4</v>
      </c>
      <c r="AE2750" t="n">
        <v>4</v>
      </c>
      <c r="AF2750" t="n">
        <v>29</v>
      </c>
      <c r="AG2750" t="n">
        <v>30</v>
      </c>
      <c r="AH2750" t="n">
        <v>10</v>
      </c>
      <c r="AI2750" t="n">
        <v>10</v>
      </c>
      <c r="AJ2750" t="n">
        <v>6</v>
      </c>
      <c r="AK2750" t="n">
        <v>7</v>
      </c>
      <c r="AL2750" t="n">
        <v>17</v>
      </c>
      <c r="AM2750" t="n">
        <v>18</v>
      </c>
      <c r="AN2750" t="n">
        <v>3</v>
      </c>
      <c r="AO2750" t="n">
        <v>3</v>
      </c>
      <c r="AP2750" t="n">
        <v>0</v>
      </c>
      <c r="AQ2750" t="n">
        <v>0</v>
      </c>
      <c r="AR2750" t="inlineStr">
        <is>
          <t>No</t>
        </is>
      </c>
      <c r="AS2750" t="inlineStr">
        <is>
          <t>Yes</t>
        </is>
      </c>
      <c r="AT2750">
        <f>HYPERLINK("http://catalog.hathitrust.org/Record/001025014","HathiTrust Record")</f>
        <v/>
      </c>
      <c r="AU2750">
        <f>HYPERLINK("https://creighton-primo.hosted.exlibrisgroup.com/primo-explore/search?tab=default_tab&amp;search_scope=EVERYTHING&amp;vid=01CRU&amp;lang=en_US&amp;offset=0&amp;query=any,contains,991002231969702656","Catalog Record")</f>
        <v/>
      </c>
      <c r="AV2750">
        <f>HYPERLINK("http://www.worldcat.org/oclc/294410","WorldCat Record")</f>
        <v/>
      </c>
      <c r="AW2750" t="inlineStr">
        <is>
          <t>151045337:eng</t>
        </is>
      </c>
      <c r="AX2750" t="inlineStr">
        <is>
          <t>294410</t>
        </is>
      </c>
      <c r="AY2750" t="inlineStr">
        <is>
          <t>991002231969702656</t>
        </is>
      </c>
      <c r="AZ2750" t="inlineStr">
        <is>
          <t>991002231969702656</t>
        </is>
      </c>
      <c r="BA2750" t="inlineStr">
        <is>
          <t>2268272390002656</t>
        </is>
      </c>
      <c r="BB2750" t="inlineStr">
        <is>
          <t>BOOK</t>
        </is>
      </c>
      <c r="BE2750" t="inlineStr">
        <is>
          <t>32285001890010</t>
        </is>
      </c>
      <c r="BF2750" t="inlineStr">
        <is>
          <t>893523355</t>
        </is>
      </c>
    </row>
    <row r="2751">
      <c r="A2751" t="inlineStr">
        <is>
          <t>No</t>
        </is>
      </c>
      <c r="B2751" t="inlineStr">
        <is>
          <t>CURAL</t>
        </is>
      </c>
      <c r="C2751" t="inlineStr">
        <is>
          <t>SHELVES</t>
        </is>
      </c>
      <c r="D2751" t="inlineStr">
        <is>
          <t>PR5907 .S32</t>
        </is>
      </c>
      <c r="E2751" t="inlineStr">
        <is>
          <t>0                      PR 5907000S  32</t>
        </is>
      </c>
      <c r="F2751" t="inlineStr">
        <is>
          <t>A new species of man : the poetic persona of W.B. Yeats / Gale C. Schricker.</t>
        </is>
      </c>
      <c r="H2751" t="inlineStr">
        <is>
          <t>No</t>
        </is>
      </c>
      <c r="I2751" t="inlineStr">
        <is>
          <t>1</t>
        </is>
      </c>
      <c r="J2751" t="inlineStr">
        <is>
          <t>No</t>
        </is>
      </c>
      <c r="K2751" t="inlineStr">
        <is>
          <t>No</t>
        </is>
      </c>
      <c r="L2751" t="inlineStr">
        <is>
          <t>0</t>
        </is>
      </c>
      <c r="M2751" t="inlineStr">
        <is>
          <t>Schricker, Gale C., 1950-</t>
        </is>
      </c>
      <c r="N2751" t="inlineStr">
        <is>
          <t>Lewisburg, [Pa.] : Bucknell University Press, c1982.</t>
        </is>
      </c>
      <c r="O2751" t="inlineStr">
        <is>
          <t>1982</t>
        </is>
      </c>
      <c r="Q2751" t="inlineStr">
        <is>
          <t>eng</t>
        </is>
      </c>
      <c r="R2751" t="inlineStr">
        <is>
          <t>pau</t>
        </is>
      </c>
      <c r="T2751" t="inlineStr">
        <is>
          <t xml:space="preserve">PR </t>
        </is>
      </c>
      <c r="U2751" t="n">
        <v>1</v>
      </c>
      <c r="V2751" t="n">
        <v>1</v>
      </c>
      <c r="W2751" t="inlineStr">
        <is>
          <t>2000-10-29</t>
        </is>
      </c>
      <c r="X2751" t="inlineStr">
        <is>
          <t>2000-10-29</t>
        </is>
      </c>
      <c r="Y2751" t="inlineStr">
        <is>
          <t>1992-06-23</t>
        </is>
      </c>
      <c r="Z2751" t="inlineStr">
        <is>
          <t>1992-06-23</t>
        </is>
      </c>
      <c r="AA2751" t="n">
        <v>307</v>
      </c>
      <c r="AB2751" t="n">
        <v>240</v>
      </c>
      <c r="AC2751" t="n">
        <v>247</v>
      </c>
      <c r="AD2751" t="n">
        <v>3</v>
      </c>
      <c r="AE2751" t="n">
        <v>3</v>
      </c>
      <c r="AF2751" t="n">
        <v>15</v>
      </c>
      <c r="AG2751" t="n">
        <v>15</v>
      </c>
      <c r="AH2751" t="n">
        <v>4</v>
      </c>
      <c r="AI2751" t="n">
        <v>4</v>
      </c>
      <c r="AJ2751" t="n">
        <v>5</v>
      </c>
      <c r="AK2751" t="n">
        <v>5</v>
      </c>
      <c r="AL2751" t="n">
        <v>10</v>
      </c>
      <c r="AM2751" t="n">
        <v>10</v>
      </c>
      <c r="AN2751" t="n">
        <v>2</v>
      </c>
      <c r="AO2751" t="n">
        <v>2</v>
      </c>
      <c r="AP2751" t="n">
        <v>0</v>
      </c>
      <c r="AQ2751" t="n">
        <v>0</v>
      </c>
      <c r="AR2751" t="inlineStr">
        <is>
          <t>No</t>
        </is>
      </c>
      <c r="AS2751" t="inlineStr">
        <is>
          <t>Yes</t>
        </is>
      </c>
      <c r="AT2751">
        <f>HYPERLINK("http://catalog.hathitrust.org/Record/000271452","HathiTrust Record")</f>
        <v/>
      </c>
      <c r="AU2751">
        <f>HYPERLINK("https://creighton-primo.hosted.exlibrisgroup.com/primo-explore/search?tab=default_tab&amp;search_scope=EVERYTHING&amp;vid=01CRU&amp;lang=en_US&amp;offset=0&amp;query=any,contains,991005220559702656","Catalog Record")</f>
        <v/>
      </c>
      <c r="AV2751">
        <f>HYPERLINK("http://www.worldcat.org/oclc/8221890","WorldCat Record")</f>
        <v/>
      </c>
      <c r="AW2751" t="inlineStr">
        <is>
          <t>375444629:eng</t>
        </is>
      </c>
      <c r="AX2751" t="inlineStr">
        <is>
          <t>8221890</t>
        </is>
      </c>
      <c r="AY2751" t="inlineStr">
        <is>
          <t>991005220559702656</t>
        </is>
      </c>
      <c r="AZ2751" t="inlineStr">
        <is>
          <t>991005220559702656</t>
        </is>
      </c>
      <c r="BA2751" t="inlineStr">
        <is>
          <t>2266707720002656</t>
        </is>
      </c>
      <c r="BB2751" t="inlineStr">
        <is>
          <t>BOOK</t>
        </is>
      </c>
      <c r="BD2751" t="inlineStr">
        <is>
          <t>9780838750339</t>
        </is>
      </c>
      <c r="BE2751" t="inlineStr">
        <is>
          <t>32285001133593</t>
        </is>
      </c>
      <c r="BF2751" t="inlineStr">
        <is>
          <t>893320265</t>
        </is>
      </c>
    </row>
    <row r="2752">
      <c r="A2752" t="inlineStr">
        <is>
          <t>No</t>
        </is>
      </c>
      <c r="B2752" t="inlineStr">
        <is>
          <t>CURAL</t>
        </is>
      </c>
      <c r="C2752" t="inlineStr">
        <is>
          <t>SHELVES</t>
        </is>
      </c>
      <c r="D2752" t="inlineStr">
        <is>
          <t>PR5907 .S4 1967</t>
        </is>
      </c>
      <c r="E2752" t="inlineStr">
        <is>
          <t>0                      PR 5907000S  4           1967</t>
        </is>
      </c>
      <c r="F2752" t="inlineStr">
        <is>
          <t>The world of W. B. Yeats, edited by Robin Skelton and Ann Saddlemyer.</t>
        </is>
      </c>
      <c r="H2752" t="inlineStr">
        <is>
          <t>No</t>
        </is>
      </c>
      <c r="I2752" t="inlineStr">
        <is>
          <t>1</t>
        </is>
      </c>
      <c r="J2752" t="inlineStr">
        <is>
          <t>No</t>
        </is>
      </c>
      <c r="K2752" t="inlineStr">
        <is>
          <t>No</t>
        </is>
      </c>
      <c r="L2752" t="inlineStr">
        <is>
          <t>0</t>
        </is>
      </c>
      <c r="M2752" t="inlineStr">
        <is>
          <t>Skelton, Robin editor.</t>
        </is>
      </c>
      <c r="N2752" t="inlineStr">
        <is>
          <t>Seattle, University of Washington Press [1967, c1965]</t>
        </is>
      </c>
      <c r="O2752" t="inlineStr">
        <is>
          <t>1967</t>
        </is>
      </c>
      <c r="P2752" t="inlineStr">
        <is>
          <t>Rev. ed.</t>
        </is>
      </c>
      <c r="Q2752" t="inlineStr">
        <is>
          <t>eng</t>
        </is>
      </c>
      <c r="R2752" t="inlineStr">
        <is>
          <t>wau</t>
        </is>
      </c>
      <c r="T2752" t="inlineStr">
        <is>
          <t xml:space="preserve">PR </t>
        </is>
      </c>
      <c r="U2752" t="n">
        <v>1</v>
      </c>
      <c r="V2752" t="n">
        <v>1</v>
      </c>
      <c r="W2752" t="inlineStr">
        <is>
          <t>2003-11-21</t>
        </is>
      </c>
      <c r="X2752" t="inlineStr">
        <is>
          <t>2003-11-21</t>
        </is>
      </c>
      <c r="Y2752" t="inlineStr">
        <is>
          <t>1997-07-23</t>
        </is>
      </c>
      <c r="Z2752" t="inlineStr">
        <is>
          <t>1997-07-23</t>
        </is>
      </c>
      <c r="AA2752" t="n">
        <v>613</v>
      </c>
      <c r="AB2752" t="n">
        <v>550</v>
      </c>
      <c r="AC2752" t="n">
        <v>559</v>
      </c>
      <c r="AD2752" t="n">
        <v>5</v>
      </c>
      <c r="AE2752" t="n">
        <v>5</v>
      </c>
      <c r="AF2752" t="n">
        <v>26</v>
      </c>
      <c r="AG2752" t="n">
        <v>26</v>
      </c>
      <c r="AH2752" t="n">
        <v>10</v>
      </c>
      <c r="AI2752" t="n">
        <v>10</v>
      </c>
      <c r="AJ2752" t="n">
        <v>8</v>
      </c>
      <c r="AK2752" t="n">
        <v>8</v>
      </c>
      <c r="AL2752" t="n">
        <v>12</v>
      </c>
      <c r="AM2752" t="n">
        <v>12</v>
      </c>
      <c r="AN2752" t="n">
        <v>4</v>
      </c>
      <c r="AO2752" t="n">
        <v>4</v>
      </c>
      <c r="AP2752" t="n">
        <v>0</v>
      </c>
      <c r="AQ2752" t="n">
        <v>0</v>
      </c>
      <c r="AR2752" t="inlineStr">
        <is>
          <t>No</t>
        </is>
      </c>
      <c r="AS2752" t="inlineStr">
        <is>
          <t>No</t>
        </is>
      </c>
      <c r="AU2752">
        <f>HYPERLINK("https://creighton-primo.hosted.exlibrisgroup.com/primo-explore/search?tab=default_tab&amp;search_scope=EVERYTHING&amp;vid=01CRU&amp;lang=en_US&amp;offset=0&amp;query=any,contains,991002493969702656","Catalog Record")</f>
        <v/>
      </c>
      <c r="AV2752">
        <f>HYPERLINK("http://www.worldcat.org/oclc/363253","WorldCat Record")</f>
        <v/>
      </c>
      <c r="AW2752" t="inlineStr">
        <is>
          <t>2070201270:eng</t>
        </is>
      </c>
      <c r="AX2752" t="inlineStr">
        <is>
          <t>363253</t>
        </is>
      </c>
      <c r="AY2752" t="inlineStr">
        <is>
          <t>991002493969702656</t>
        </is>
      </c>
      <c r="AZ2752" t="inlineStr">
        <is>
          <t>991002493969702656</t>
        </is>
      </c>
      <c r="BA2752" t="inlineStr">
        <is>
          <t>2264078930002656</t>
        </is>
      </c>
      <c r="BB2752" t="inlineStr">
        <is>
          <t>BOOK</t>
        </is>
      </c>
      <c r="BE2752" t="inlineStr">
        <is>
          <t>32285002952744</t>
        </is>
      </c>
      <c r="BF2752" t="inlineStr">
        <is>
          <t>893873596</t>
        </is>
      </c>
    </row>
    <row r="2753">
      <c r="A2753" t="inlineStr">
        <is>
          <t>No</t>
        </is>
      </c>
      <c r="B2753" t="inlineStr">
        <is>
          <t>CURAL</t>
        </is>
      </c>
      <c r="C2753" t="inlineStr">
        <is>
          <t>SHELVES</t>
        </is>
      </c>
      <c r="D2753" t="inlineStr">
        <is>
          <t>PR5907 .S6 1990a</t>
        </is>
      </c>
      <c r="E2753" t="inlineStr">
        <is>
          <t>0                      PR 5907000S  6           1990a</t>
        </is>
      </c>
      <c r="F2753" t="inlineStr">
        <is>
          <t>W.B. Yeats : a critical introduction / Stan Smith.</t>
        </is>
      </c>
      <c r="H2753" t="inlineStr">
        <is>
          <t>No</t>
        </is>
      </c>
      <c r="I2753" t="inlineStr">
        <is>
          <t>1</t>
        </is>
      </c>
      <c r="J2753" t="inlineStr">
        <is>
          <t>No</t>
        </is>
      </c>
      <c r="K2753" t="inlineStr">
        <is>
          <t>Yes</t>
        </is>
      </c>
      <c r="L2753" t="inlineStr">
        <is>
          <t>0</t>
        </is>
      </c>
      <c r="M2753" t="inlineStr">
        <is>
          <t>Smith, Stan, 1943-</t>
        </is>
      </c>
      <c r="N2753" t="inlineStr">
        <is>
          <t>Savage, Md. : Barnes &amp; Noble Books, 1990.</t>
        </is>
      </c>
      <c r="O2753" t="inlineStr">
        <is>
          <t>1990</t>
        </is>
      </c>
      <c r="Q2753" t="inlineStr">
        <is>
          <t>eng</t>
        </is>
      </c>
      <c r="R2753" t="inlineStr">
        <is>
          <t>mdu</t>
        </is>
      </c>
      <c r="T2753" t="inlineStr">
        <is>
          <t xml:space="preserve">PR </t>
        </is>
      </c>
      <c r="U2753" t="n">
        <v>7</v>
      </c>
      <c r="V2753" t="n">
        <v>7</v>
      </c>
      <c r="W2753" t="inlineStr">
        <is>
          <t>2004-11-29</t>
        </is>
      </c>
      <c r="X2753" t="inlineStr">
        <is>
          <t>2004-11-29</t>
        </is>
      </c>
      <c r="Y2753" t="inlineStr">
        <is>
          <t>1992-04-02</t>
        </is>
      </c>
      <c r="Z2753" t="inlineStr">
        <is>
          <t>1992-04-02</t>
        </is>
      </c>
      <c r="AA2753" t="n">
        <v>240</v>
      </c>
      <c r="AB2753" t="n">
        <v>198</v>
      </c>
      <c r="AC2753" t="n">
        <v>274</v>
      </c>
      <c r="AD2753" t="n">
        <v>3</v>
      </c>
      <c r="AE2753" t="n">
        <v>4</v>
      </c>
      <c r="AF2753" t="n">
        <v>14</v>
      </c>
      <c r="AG2753" t="n">
        <v>19</v>
      </c>
      <c r="AH2753" t="n">
        <v>5</v>
      </c>
      <c r="AI2753" t="n">
        <v>6</v>
      </c>
      <c r="AJ2753" t="n">
        <v>3</v>
      </c>
      <c r="AK2753" t="n">
        <v>5</v>
      </c>
      <c r="AL2753" t="n">
        <v>9</v>
      </c>
      <c r="AM2753" t="n">
        <v>12</v>
      </c>
      <c r="AN2753" t="n">
        <v>2</v>
      </c>
      <c r="AO2753" t="n">
        <v>3</v>
      </c>
      <c r="AP2753" t="n">
        <v>0</v>
      </c>
      <c r="AQ2753" t="n">
        <v>0</v>
      </c>
      <c r="AR2753" t="inlineStr">
        <is>
          <t>No</t>
        </is>
      </c>
      <c r="AS2753" t="inlineStr">
        <is>
          <t>Yes</t>
        </is>
      </c>
      <c r="AT2753">
        <f>HYPERLINK("http://catalog.hathitrust.org/Record/002456566","HathiTrust Record")</f>
        <v/>
      </c>
      <c r="AU2753">
        <f>HYPERLINK("https://creighton-primo.hosted.exlibrisgroup.com/primo-explore/search?tab=default_tab&amp;search_scope=EVERYTHING&amp;vid=01CRU&amp;lang=en_US&amp;offset=0&amp;query=any,contains,991001662259702656","Catalog Record")</f>
        <v/>
      </c>
      <c r="AV2753">
        <f>HYPERLINK("http://www.worldcat.org/oclc/21194871","WorldCat Record")</f>
        <v/>
      </c>
      <c r="AW2753" t="inlineStr">
        <is>
          <t>22034063:eng</t>
        </is>
      </c>
      <c r="AX2753" t="inlineStr">
        <is>
          <t>21194871</t>
        </is>
      </c>
      <c r="AY2753" t="inlineStr">
        <is>
          <t>991001662259702656</t>
        </is>
      </c>
      <c r="AZ2753" t="inlineStr">
        <is>
          <t>991001662259702656</t>
        </is>
      </c>
      <c r="BA2753" t="inlineStr">
        <is>
          <t>2269684380002656</t>
        </is>
      </c>
      <c r="BB2753" t="inlineStr">
        <is>
          <t>BOOK</t>
        </is>
      </c>
      <c r="BD2753" t="inlineStr">
        <is>
          <t>9780389209034</t>
        </is>
      </c>
      <c r="BE2753" t="inlineStr">
        <is>
          <t>32285001007797</t>
        </is>
      </c>
      <c r="BF2753" t="inlineStr">
        <is>
          <t>893785291</t>
        </is>
      </c>
    </row>
    <row r="2754">
      <c r="A2754" t="inlineStr">
        <is>
          <t>No</t>
        </is>
      </c>
      <c r="B2754" t="inlineStr">
        <is>
          <t>CURAL</t>
        </is>
      </c>
      <c r="C2754" t="inlineStr">
        <is>
          <t>SHELVES</t>
        </is>
      </c>
      <c r="D2754" t="inlineStr">
        <is>
          <t>PR5907 .S75</t>
        </is>
      </c>
      <c r="E2754" t="inlineStr">
        <is>
          <t>0                      PR 5907000S  75</t>
        </is>
      </c>
      <c r="F2754" t="inlineStr">
        <is>
          <t>Between the lines : Yeats's poetry in the making.</t>
        </is>
      </c>
      <c r="H2754" t="inlineStr">
        <is>
          <t>No</t>
        </is>
      </c>
      <c r="I2754" t="inlineStr">
        <is>
          <t>1</t>
        </is>
      </c>
      <c r="J2754" t="inlineStr">
        <is>
          <t>No</t>
        </is>
      </c>
      <c r="K2754" t="inlineStr">
        <is>
          <t>No</t>
        </is>
      </c>
      <c r="L2754" t="inlineStr">
        <is>
          <t>0</t>
        </is>
      </c>
      <c r="M2754" t="inlineStr">
        <is>
          <t>Stallworthy, Jon.</t>
        </is>
      </c>
      <c r="N2754" t="inlineStr">
        <is>
          <t>Oxford : Clarendon Press, 1963.</t>
        </is>
      </c>
      <c r="O2754" t="inlineStr">
        <is>
          <t>1963</t>
        </is>
      </c>
      <c r="Q2754" t="inlineStr">
        <is>
          <t>eng</t>
        </is>
      </c>
      <c r="R2754" t="inlineStr">
        <is>
          <t>enk</t>
        </is>
      </c>
      <c r="T2754" t="inlineStr">
        <is>
          <t xml:space="preserve">PR </t>
        </is>
      </c>
      <c r="U2754" t="n">
        <v>6</v>
      </c>
      <c r="V2754" t="n">
        <v>6</v>
      </c>
      <c r="W2754" t="inlineStr">
        <is>
          <t>1996-09-25</t>
        </is>
      </c>
      <c r="X2754" t="inlineStr">
        <is>
          <t>1996-09-25</t>
        </is>
      </c>
      <c r="Y2754" t="inlineStr">
        <is>
          <t>1993-03-24</t>
        </is>
      </c>
      <c r="Z2754" t="inlineStr">
        <is>
          <t>1993-03-24</t>
        </is>
      </c>
      <c r="AA2754" t="n">
        <v>764</v>
      </c>
      <c r="AB2754" t="n">
        <v>620</v>
      </c>
      <c r="AC2754" t="n">
        <v>715</v>
      </c>
      <c r="AD2754" t="n">
        <v>8</v>
      </c>
      <c r="AE2754" t="n">
        <v>8</v>
      </c>
      <c r="AF2754" t="n">
        <v>34</v>
      </c>
      <c r="AG2754" t="n">
        <v>38</v>
      </c>
      <c r="AH2754" t="n">
        <v>10</v>
      </c>
      <c r="AI2754" t="n">
        <v>13</v>
      </c>
      <c r="AJ2754" t="n">
        <v>7</v>
      </c>
      <c r="AK2754" t="n">
        <v>8</v>
      </c>
      <c r="AL2754" t="n">
        <v>18</v>
      </c>
      <c r="AM2754" t="n">
        <v>19</v>
      </c>
      <c r="AN2754" t="n">
        <v>7</v>
      </c>
      <c r="AO2754" t="n">
        <v>7</v>
      </c>
      <c r="AP2754" t="n">
        <v>0</v>
      </c>
      <c r="AQ2754" t="n">
        <v>0</v>
      </c>
      <c r="AR2754" t="inlineStr">
        <is>
          <t>No</t>
        </is>
      </c>
      <c r="AS2754" t="inlineStr">
        <is>
          <t>Yes</t>
        </is>
      </c>
      <c r="AT2754">
        <f>HYPERLINK("http://catalog.hathitrust.org/Record/001195044","HathiTrust Record")</f>
        <v/>
      </c>
      <c r="AU2754">
        <f>HYPERLINK("https://creighton-primo.hosted.exlibrisgroup.com/primo-explore/search?tab=default_tab&amp;search_scope=EVERYTHING&amp;vid=01CRU&amp;lang=en_US&amp;offset=0&amp;query=any,contains,991002258679702656","Catalog Record")</f>
        <v/>
      </c>
      <c r="AV2754">
        <f>HYPERLINK("http://www.worldcat.org/oclc/303078","WorldCat Record")</f>
        <v/>
      </c>
      <c r="AW2754" t="inlineStr">
        <is>
          <t>1348823:eng</t>
        </is>
      </c>
      <c r="AX2754" t="inlineStr">
        <is>
          <t>303078</t>
        </is>
      </c>
      <c r="AY2754" t="inlineStr">
        <is>
          <t>991002258679702656</t>
        </is>
      </c>
      <c r="AZ2754" t="inlineStr">
        <is>
          <t>991002258679702656</t>
        </is>
      </c>
      <c r="BA2754" t="inlineStr">
        <is>
          <t>2272652600002656</t>
        </is>
      </c>
      <c r="BB2754" t="inlineStr">
        <is>
          <t>BOOK</t>
        </is>
      </c>
      <c r="BE2754" t="inlineStr">
        <is>
          <t>32285001578441</t>
        </is>
      </c>
      <c r="BF2754" t="inlineStr">
        <is>
          <t>893879670</t>
        </is>
      </c>
    </row>
    <row r="2755">
      <c r="A2755" t="inlineStr">
        <is>
          <t>No</t>
        </is>
      </c>
      <c r="B2755" t="inlineStr">
        <is>
          <t>CURAL</t>
        </is>
      </c>
      <c r="C2755" t="inlineStr">
        <is>
          <t>SHELVES</t>
        </is>
      </c>
      <c r="D2755" t="inlineStr">
        <is>
          <t>PR5907 .S758</t>
        </is>
      </c>
      <c r="E2755" t="inlineStr">
        <is>
          <t>0                      PR 5907000S  758</t>
        </is>
      </c>
      <c r="F2755" t="inlineStr">
        <is>
          <t>Vision and revision in Yeats's Last poems.</t>
        </is>
      </c>
      <c r="H2755" t="inlineStr">
        <is>
          <t>No</t>
        </is>
      </c>
      <c r="I2755" t="inlineStr">
        <is>
          <t>1</t>
        </is>
      </c>
      <c r="J2755" t="inlineStr">
        <is>
          <t>No</t>
        </is>
      </c>
      <c r="K2755" t="inlineStr">
        <is>
          <t>No</t>
        </is>
      </c>
      <c r="L2755" t="inlineStr">
        <is>
          <t>0</t>
        </is>
      </c>
      <c r="M2755" t="inlineStr">
        <is>
          <t>Stallworthy, Jon.</t>
        </is>
      </c>
      <c r="N2755" t="inlineStr">
        <is>
          <t>Oxford, Clarendon P., 1969.</t>
        </is>
      </c>
      <c r="O2755" t="inlineStr">
        <is>
          <t>1969</t>
        </is>
      </c>
      <c r="Q2755" t="inlineStr">
        <is>
          <t>eng</t>
        </is>
      </c>
      <c r="R2755" t="inlineStr">
        <is>
          <t>enk</t>
        </is>
      </c>
      <c r="T2755" t="inlineStr">
        <is>
          <t xml:space="preserve">PR </t>
        </is>
      </c>
      <c r="U2755" t="n">
        <v>1</v>
      </c>
      <c r="V2755" t="n">
        <v>1</v>
      </c>
      <c r="W2755" t="inlineStr">
        <is>
          <t>2001-09-16</t>
        </is>
      </c>
      <c r="X2755" t="inlineStr">
        <is>
          <t>2001-09-16</t>
        </is>
      </c>
      <c r="Y2755" t="inlineStr">
        <is>
          <t>1997-07-23</t>
        </is>
      </c>
      <c r="Z2755" t="inlineStr">
        <is>
          <t>1997-07-23</t>
        </is>
      </c>
      <c r="AA2755" t="n">
        <v>804</v>
      </c>
      <c r="AB2755" t="n">
        <v>612</v>
      </c>
      <c r="AC2755" t="n">
        <v>619</v>
      </c>
      <c r="AD2755" t="n">
        <v>6</v>
      </c>
      <c r="AE2755" t="n">
        <v>6</v>
      </c>
      <c r="AF2755" t="n">
        <v>37</v>
      </c>
      <c r="AG2755" t="n">
        <v>37</v>
      </c>
      <c r="AH2755" t="n">
        <v>14</v>
      </c>
      <c r="AI2755" t="n">
        <v>14</v>
      </c>
      <c r="AJ2755" t="n">
        <v>9</v>
      </c>
      <c r="AK2755" t="n">
        <v>9</v>
      </c>
      <c r="AL2755" t="n">
        <v>20</v>
      </c>
      <c r="AM2755" t="n">
        <v>20</v>
      </c>
      <c r="AN2755" t="n">
        <v>5</v>
      </c>
      <c r="AO2755" t="n">
        <v>5</v>
      </c>
      <c r="AP2755" t="n">
        <v>0</v>
      </c>
      <c r="AQ2755" t="n">
        <v>0</v>
      </c>
      <c r="AR2755" t="inlineStr">
        <is>
          <t>No</t>
        </is>
      </c>
      <c r="AS2755" t="inlineStr">
        <is>
          <t>Yes</t>
        </is>
      </c>
      <c r="AT2755">
        <f>HYPERLINK("http://catalog.hathitrust.org/Record/001189138","HathiTrust Record")</f>
        <v/>
      </c>
      <c r="AU2755">
        <f>HYPERLINK("https://creighton-primo.hosted.exlibrisgroup.com/primo-explore/search?tab=default_tab&amp;search_scope=EVERYTHING&amp;vid=01CRU&amp;lang=en_US&amp;offset=0&amp;query=any,contains,991000009489702656","Catalog Record")</f>
        <v/>
      </c>
      <c r="AV2755">
        <f>HYPERLINK("http://www.worldcat.org/oclc/13985","WorldCat Record")</f>
        <v/>
      </c>
      <c r="AW2755" t="inlineStr">
        <is>
          <t>1136724:eng</t>
        </is>
      </c>
      <c r="AX2755" t="inlineStr">
        <is>
          <t>13985</t>
        </is>
      </c>
      <c r="AY2755" t="inlineStr">
        <is>
          <t>991000009489702656</t>
        </is>
      </c>
      <c r="AZ2755" t="inlineStr">
        <is>
          <t>991000009489702656</t>
        </is>
      </c>
      <c r="BA2755" t="inlineStr">
        <is>
          <t>2264305480002656</t>
        </is>
      </c>
      <c r="BB2755" t="inlineStr">
        <is>
          <t>BOOK</t>
        </is>
      </c>
      <c r="BD2755" t="inlineStr">
        <is>
          <t>9780198116691</t>
        </is>
      </c>
      <c r="BE2755" t="inlineStr">
        <is>
          <t>32285002952751</t>
        </is>
      </c>
      <c r="BF2755" t="inlineStr">
        <is>
          <t>893613794</t>
        </is>
      </c>
    </row>
    <row r="2756">
      <c r="A2756" t="inlineStr">
        <is>
          <t>No</t>
        </is>
      </c>
      <c r="B2756" t="inlineStr">
        <is>
          <t>CURAL</t>
        </is>
      </c>
      <c r="C2756" t="inlineStr">
        <is>
          <t>SHELVES</t>
        </is>
      </c>
      <c r="D2756" t="inlineStr">
        <is>
          <t>PR5907 .T3</t>
        </is>
      </c>
      <c r="E2756" t="inlineStr">
        <is>
          <t>0                      PR 5907000T  3</t>
        </is>
      </c>
      <c r="F2756" t="inlineStr">
        <is>
          <t>The drama of W. B. Yeats : Irish myth and the Japanese Nō / Richard Taylor.</t>
        </is>
      </c>
      <c r="H2756" t="inlineStr">
        <is>
          <t>No</t>
        </is>
      </c>
      <c r="I2756" t="inlineStr">
        <is>
          <t>1</t>
        </is>
      </c>
      <c r="J2756" t="inlineStr">
        <is>
          <t>No</t>
        </is>
      </c>
      <c r="K2756" t="inlineStr">
        <is>
          <t>No</t>
        </is>
      </c>
      <c r="L2756" t="inlineStr">
        <is>
          <t>0</t>
        </is>
      </c>
      <c r="M2756" t="inlineStr">
        <is>
          <t>Taylor, Richard, 1935-</t>
        </is>
      </c>
      <c r="N2756" t="inlineStr">
        <is>
          <t>New Haven : Yale University Press, 1976.</t>
        </is>
      </c>
      <c r="O2756" t="inlineStr">
        <is>
          <t>1976</t>
        </is>
      </c>
      <c r="Q2756" t="inlineStr">
        <is>
          <t>eng</t>
        </is>
      </c>
      <c r="R2756" t="inlineStr">
        <is>
          <t>ctu</t>
        </is>
      </c>
      <c r="T2756" t="inlineStr">
        <is>
          <t xml:space="preserve">PR </t>
        </is>
      </c>
      <c r="U2756" t="n">
        <v>1</v>
      </c>
      <c r="V2756" t="n">
        <v>1</v>
      </c>
      <c r="W2756" t="inlineStr">
        <is>
          <t>2000-12-10</t>
        </is>
      </c>
      <c r="X2756" t="inlineStr">
        <is>
          <t>2000-12-10</t>
        </is>
      </c>
      <c r="Y2756" t="inlineStr">
        <is>
          <t>1997-07-23</t>
        </is>
      </c>
      <c r="Z2756" t="inlineStr">
        <is>
          <t>1997-07-23</t>
        </is>
      </c>
      <c r="AA2756" t="n">
        <v>880</v>
      </c>
      <c r="AB2756" t="n">
        <v>711</v>
      </c>
      <c r="AC2756" t="n">
        <v>711</v>
      </c>
      <c r="AD2756" t="n">
        <v>5</v>
      </c>
      <c r="AE2756" t="n">
        <v>5</v>
      </c>
      <c r="AF2756" t="n">
        <v>37</v>
      </c>
      <c r="AG2756" t="n">
        <v>37</v>
      </c>
      <c r="AH2756" t="n">
        <v>17</v>
      </c>
      <c r="AI2756" t="n">
        <v>17</v>
      </c>
      <c r="AJ2756" t="n">
        <v>9</v>
      </c>
      <c r="AK2756" t="n">
        <v>9</v>
      </c>
      <c r="AL2756" t="n">
        <v>19</v>
      </c>
      <c r="AM2756" t="n">
        <v>19</v>
      </c>
      <c r="AN2756" t="n">
        <v>4</v>
      </c>
      <c r="AO2756" t="n">
        <v>4</v>
      </c>
      <c r="AP2756" t="n">
        <v>0</v>
      </c>
      <c r="AQ2756" t="n">
        <v>0</v>
      </c>
      <c r="AR2756" t="inlineStr">
        <is>
          <t>No</t>
        </is>
      </c>
      <c r="AS2756" t="inlineStr">
        <is>
          <t>No</t>
        </is>
      </c>
      <c r="AU2756">
        <f>HYPERLINK("https://creighton-primo.hosted.exlibrisgroup.com/primo-explore/search?tab=default_tab&amp;search_scope=EVERYTHING&amp;vid=01CRU&amp;lang=en_US&amp;offset=0&amp;query=any,contains,991004136629702656","Catalog Record")</f>
        <v/>
      </c>
      <c r="AV2756">
        <f>HYPERLINK("http://www.worldcat.org/oclc/2488451","WorldCat Record")</f>
        <v/>
      </c>
      <c r="AW2756" t="inlineStr">
        <is>
          <t>472029626:eng</t>
        </is>
      </c>
      <c r="AX2756" t="inlineStr">
        <is>
          <t>2488451</t>
        </is>
      </c>
      <c r="AY2756" t="inlineStr">
        <is>
          <t>991004136629702656</t>
        </is>
      </c>
      <c r="AZ2756" t="inlineStr">
        <is>
          <t>991004136629702656</t>
        </is>
      </c>
      <c r="BA2756" t="inlineStr">
        <is>
          <t>2259955160002656</t>
        </is>
      </c>
      <c r="BB2756" t="inlineStr">
        <is>
          <t>BOOK</t>
        </is>
      </c>
      <c r="BD2756" t="inlineStr">
        <is>
          <t>9780300019049</t>
        </is>
      </c>
      <c r="BE2756" t="inlineStr">
        <is>
          <t>32285002952785</t>
        </is>
      </c>
      <c r="BF2756" t="inlineStr">
        <is>
          <t>893810376</t>
        </is>
      </c>
    </row>
    <row r="2757">
      <c r="A2757" t="inlineStr">
        <is>
          <t>No</t>
        </is>
      </c>
      <c r="B2757" t="inlineStr">
        <is>
          <t>CURAL</t>
        </is>
      </c>
      <c r="C2757" t="inlineStr">
        <is>
          <t>SHELVES</t>
        </is>
      </c>
      <c r="D2757" t="inlineStr">
        <is>
          <t>PR5907 .T5613 1990</t>
        </is>
      </c>
      <c r="E2757" t="inlineStr">
        <is>
          <t>0                      PR 5907000T  5613        1990</t>
        </is>
      </c>
      <c r="F2757" t="inlineStr">
        <is>
          <t>W.B. Yeats : a century of criticism / Eitel Timm ; translated by Eric Wredenhagen.</t>
        </is>
      </c>
      <c r="H2757" t="inlineStr">
        <is>
          <t>No</t>
        </is>
      </c>
      <c r="I2757" t="inlineStr">
        <is>
          <t>1</t>
        </is>
      </c>
      <c r="J2757" t="inlineStr">
        <is>
          <t>No</t>
        </is>
      </c>
      <c r="K2757" t="inlineStr">
        <is>
          <t>No</t>
        </is>
      </c>
      <c r="L2757" t="inlineStr">
        <is>
          <t>0</t>
        </is>
      </c>
      <c r="M2757" t="inlineStr">
        <is>
          <t>Timm, Eitel Friedrich.</t>
        </is>
      </c>
      <c r="N2757" t="inlineStr">
        <is>
          <t>Columbia, SC : Camden House, 1990.</t>
        </is>
      </c>
      <c r="O2757" t="inlineStr">
        <is>
          <t>1990</t>
        </is>
      </c>
      <c r="Q2757" t="inlineStr">
        <is>
          <t>eng</t>
        </is>
      </c>
      <c r="R2757" t="inlineStr">
        <is>
          <t>scu</t>
        </is>
      </c>
      <c r="S2757" t="inlineStr">
        <is>
          <t>Studies in English and American literature, linguistics, and culture ; v. 6</t>
        </is>
      </c>
      <c r="T2757" t="inlineStr">
        <is>
          <t xml:space="preserve">PR </t>
        </is>
      </c>
      <c r="U2757" t="n">
        <v>6</v>
      </c>
      <c r="V2757" t="n">
        <v>6</v>
      </c>
      <c r="W2757" t="inlineStr">
        <is>
          <t>2001-11-30</t>
        </is>
      </c>
      <c r="X2757" t="inlineStr">
        <is>
          <t>2001-11-30</t>
        </is>
      </c>
      <c r="Y2757" t="inlineStr">
        <is>
          <t>1990-08-01</t>
        </is>
      </c>
      <c r="Z2757" t="inlineStr">
        <is>
          <t>1990-08-01</t>
        </is>
      </c>
      <c r="AA2757" t="n">
        <v>169</v>
      </c>
      <c r="AB2757" t="n">
        <v>144</v>
      </c>
      <c r="AC2757" t="n">
        <v>148</v>
      </c>
      <c r="AD2757" t="n">
        <v>3</v>
      </c>
      <c r="AE2757" t="n">
        <v>3</v>
      </c>
      <c r="AF2757" t="n">
        <v>9</v>
      </c>
      <c r="AG2757" t="n">
        <v>9</v>
      </c>
      <c r="AH2757" t="n">
        <v>3</v>
      </c>
      <c r="AI2757" t="n">
        <v>3</v>
      </c>
      <c r="AJ2757" t="n">
        <v>2</v>
      </c>
      <c r="AK2757" t="n">
        <v>2</v>
      </c>
      <c r="AL2757" t="n">
        <v>6</v>
      </c>
      <c r="AM2757" t="n">
        <v>6</v>
      </c>
      <c r="AN2757" t="n">
        <v>2</v>
      </c>
      <c r="AO2757" t="n">
        <v>2</v>
      </c>
      <c r="AP2757" t="n">
        <v>0</v>
      </c>
      <c r="AQ2757" t="n">
        <v>0</v>
      </c>
      <c r="AR2757" t="inlineStr">
        <is>
          <t>No</t>
        </is>
      </c>
      <c r="AS2757" t="inlineStr">
        <is>
          <t>No</t>
        </is>
      </c>
      <c r="AU2757">
        <f>HYPERLINK("https://creighton-primo.hosted.exlibrisgroup.com/primo-explore/search?tab=default_tab&amp;search_scope=EVERYTHING&amp;vid=01CRU&amp;lang=en_US&amp;offset=0&amp;query=any,contains,991001557899702656","Catalog Record")</f>
        <v/>
      </c>
      <c r="AV2757">
        <f>HYPERLINK("http://www.worldcat.org/oclc/20294802","WorldCat Record")</f>
        <v/>
      </c>
      <c r="AW2757" t="inlineStr">
        <is>
          <t>22104304:eng</t>
        </is>
      </c>
      <c r="AX2757" t="inlineStr">
        <is>
          <t>20294802</t>
        </is>
      </c>
      <c r="AY2757" t="inlineStr">
        <is>
          <t>991001557899702656</t>
        </is>
      </c>
      <c r="AZ2757" t="inlineStr">
        <is>
          <t>991001557899702656</t>
        </is>
      </c>
      <c r="BA2757" t="inlineStr">
        <is>
          <t>2260138480002656</t>
        </is>
      </c>
      <c r="BB2757" t="inlineStr">
        <is>
          <t>BOOK</t>
        </is>
      </c>
      <c r="BE2757" t="inlineStr">
        <is>
          <t>32285000241215</t>
        </is>
      </c>
      <c r="BF2757" t="inlineStr">
        <is>
          <t>893866312</t>
        </is>
      </c>
    </row>
    <row r="2758">
      <c r="A2758" t="inlineStr">
        <is>
          <t>No</t>
        </is>
      </c>
      <c r="B2758" t="inlineStr">
        <is>
          <t>CURAL</t>
        </is>
      </c>
      <c r="C2758" t="inlineStr">
        <is>
          <t>SHELVES</t>
        </is>
      </c>
      <c r="D2758" t="inlineStr">
        <is>
          <t>PR5907 .U5</t>
        </is>
      </c>
      <c r="E2758" t="inlineStr">
        <is>
          <t>0                      PR 5907000U  5</t>
        </is>
      </c>
      <c r="F2758" t="inlineStr">
        <is>
          <t>A reader's guide to William Butler Yeats.</t>
        </is>
      </c>
      <c r="H2758" t="inlineStr">
        <is>
          <t>No</t>
        </is>
      </c>
      <c r="I2758" t="inlineStr">
        <is>
          <t>1</t>
        </is>
      </c>
      <c r="J2758" t="inlineStr">
        <is>
          <t>No</t>
        </is>
      </c>
      <c r="K2758" t="inlineStr">
        <is>
          <t>No</t>
        </is>
      </c>
      <c r="L2758" t="inlineStr">
        <is>
          <t>0</t>
        </is>
      </c>
      <c r="M2758" t="inlineStr">
        <is>
          <t>Unterecker, John, 1922-1989.</t>
        </is>
      </c>
      <c r="N2758" t="inlineStr">
        <is>
          <t>New York : Noonday Press, [1959]</t>
        </is>
      </c>
      <c r="O2758" t="inlineStr">
        <is>
          <t>1959</t>
        </is>
      </c>
      <c r="Q2758" t="inlineStr">
        <is>
          <t>eng</t>
        </is>
      </c>
      <c r="R2758" t="inlineStr">
        <is>
          <t>nyu</t>
        </is>
      </c>
      <c r="T2758" t="inlineStr">
        <is>
          <t xml:space="preserve">PR </t>
        </is>
      </c>
      <c r="U2758" t="n">
        <v>15</v>
      </c>
      <c r="V2758" t="n">
        <v>15</v>
      </c>
      <c r="W2758" t="inlineStr">
        <is>
          <t>2004-11-29</t>
        </is>
      </c>
      <c r="X2758" t="inlineStr">
        <is>
          <t>2004-11-29</t>
        </is>
      </c>
      <c r="Y2758" t="inlineStr">
        <is>
          <t>1990-02-21</t>
        </is>
      </c>
      <c r="Z2758" t="inlineStr">
        <is>
          <t>1990-02-21</t>
        </is>
      </c>
      <c r="AA2758" t="n">
        <v>996</v>
      </c>
      <c r="AB2758" t="n">
        <v>903</v>
      </c>
      <c r="AC2758" t="n">
        <v>1415</v>
      </c>
      <c r="AD2758" t="n">
        <v>8</v>
      </c>
      <c r="AE2758" t="n">
        <v>12</v>
      </c>
      <c r="AF2758" t="n">
        <v>39</v>
      </c>
      <c r="AG2758" t="n">
        <v>57</v>
      </c>
      <c r="AH2758" t="n">
        <v>18</v>
      </c>
      <c r="AI2758" t="n">
        <v>26</v>
      </c>
      <c r="AJ2758" t="n">
        <v>7</v>
      </c>
      <c r="AK2758" t="n">
        <v>9</v>
      </c>
      <c r="AL2758" t="n">
        <v>14</v>
      </c>
      <c r="AM2758" t="n">
        <v>23</v>
      </c>
      <c r="AN2758" t="n">
        <v>7</v>
      </c>
      <c r="AO2758" t="n">
        <v>10</v>
      </c>
      <c r="AP2758" t="n">
        <v>0</v>
      </c>
      <c r="AQ2758" t="n">
        <v>0</v>
      </c>
      <c r="AR2758" t="inlineStr">
        <is>
          <t>No</t>
        </is>
      </c>
      <c r="AS2758" t="inlineStr">
        <is>
          <t>No</t>
        </is>
      </c>
      <c r="AT2758">
        <f>HYPERLINK("http://catalog.hathitrust.org/Record/001112419","HathiTrust Record")</f>
        <v/>
      </c>
      <c r="AU2758">
        <f>HYPERLINK("https://creighton-primo.hosted.exlibrisgroup.com/primo-explore/search?tab=default_tab&amp;search_scope=EVERYTHING&amp;vid=01CRU&amp;lang=en_US&amp;offset=0&amp;query=any,contains,991003193889702656","Catalog Record")</f>
        <v/>
      </c>
      <c r="AV2758">
        <f>HYPERLINK("http://www.worldcat.org/oclc/718605","WorldCat Record")</f>
        <v/>
      </c>
      <c r="AW2758" t="inlineStr">
        <is>
          <t>505124227:eng</t>
        </is>
      </c>
      <c r="AX2758" t="inlineStr">
        <is>
          <t>718605</t>
        </is>
      </c>
      <c r="AY2758" t="inlineStr">
        <is>
          <t>991003193889702656</t>
        </is>
      </c>
      <c r="AZ2758" t="inlineStr">
        <is>
          <t>991003193889702656</t>
        </is>
      </c>
      <c r="BA2758" t="inlineStr">
        <is>
          <t>2256287140002656</t>
        </is>
      </c>
      <c r="BB2758" t="inlineStr">
        <is>
          <t>BOOK</t>
        </is>
      </c>
      <c r="BE2758" t="inlineStr">
        <is>
          <t>32285000048750</t>
        </is>
      </c>
      <c r="BF2758" t="inlineStr">
        <is>
          <t>893511655</t>
        </is>
      </c>
    </row>
    <row r="2759">
      <c r="A2759" t="inlineStr">
        <is>
          <t>No</t>
        </is>
      </c>
      <c r="B2759" t="inlineStr">
        <is>
          <t>CURAL</t>
        </is>
      </c>
      <c r="C2759" t="inlineStr">
        <is>
          <t>SHELVES</t>
        </is>
      </c>
      <c r="D2759" t="inlineStr">
        <is>
          <t>PR5907 .U53</t>
        </is>
      </c>
      <c r="E2759" t="inlineStr">
        <is>
          <t>0                      PR 5907000U  53</t>
        </is>
      </c>
      <c r="F2759" t="inlineStr">
        <is>
          <t>Yeats: a collection of critical essays.</t>
        </is>
      </c>
      <c r="H2759" t="inlineStr">
        <is>
          <t>No</t>
        </is>
      </c>
      <c r="I2759" t="inlineStr">
        <is>
          <t>1</t>
        </is>
      </c>
      <c r="J2759" t="inlineStr">
        <is>
          <t>No</t>
        </is>
      </c>
      <c r="K2759" t="inlineStr">
        <is>
          <t>No</t>
        </is>
      </c>
      <c r="L2759" t="inlineStr">
        <is>
          <t>0</t>
        </is>
      </c>
      <c r="M2759" t="inlineStr">
        <is>
          <t>Unterecker, John, 1922-1989, editor.</t>
        </is>
      </c>
      <c r="N2759" t="inlineStr">
        <is>
          <t>Englewood Cliffs, N.J., Prentice-Hall [1963]</t>
        </is>
      </c>
      <c r="O2759" t="inlineStr">
        <is>
          <t>1963</t>
        </is>
      </c>
      <c r="Q2759" t="inlineStr">
        <is>
          <t>eng</t>
        </is>
      </c>
      <c r="R2759" t="inlineStr">
        <is>
          <t>nju</t>
        </is>
      </c>
      <c r="S2759" t="inlineStr">
        <is>
          <t>A Spectrum book, S-TC-23.</t>
        </is>
      </c>
      <c r="T2759" t="inlineStr">
        <is>
          <t xml:space="preserve">PR </t>
        </is>
      </c>
      <c r="U2759" t="n">
        <v>2</v>
      </c>
      <c r="V2759" t="n">
        <v>2</v>
      </c>
      <c r="W2759" t="inlineStr">
        <is>
          <t>2004-11-29</t>
        </is>
      </c>
      <c r="X2759" t="inlineStr">
        <is>
          <t>2004-11-29</t>
        </is>
      </c>
      <c r="Y2759" t="inlineStr">
        <is>
          <t>1997-07-23</t>
        </is>
      </c>
      <c r="Z2759" t="inlineStr">
        <is>
          <t>1997-07-23</t>
        </is>
      </c>
      <c r="AA2759" t="n">
        <v>2219</v>
      </c>
      <c r="AB2759" t="n">
        <v>1970</v>
      </c>
      <c r="AC2759" t="n">
        <v>1982</v>
      </c>
      <c r="AD2759" t="n">
        <v>14</v>
      </c>
      <c r="AE2759" t="n">
        <v>14</v>
      </c>
      <c r="AF2759" t="n">
        <v>59</v>
      </c>
      <c r="AG2759" t="n">
        <v>59</v>
      </c>
      <c r="AH2759" t="n">
        <v>26</v>
      </c>
      <c r="AI2759" t="n">
        <v>26</v>
      </c>
      <c r="AJ2759" t="n">
        <v>10</v>
      </c>
      <c r="AK2759" t="n">
        <v>10</v>
      </c>
      <c r="AL2759" t="n">
        <v>25</v>
      </c>
      <c r="AM2759" t="n">
        <v>25</v>
      </c>
      <c r="AN2759" t="n">
        <v>11</v>
      </c>
      <c r="AO2759" t="n">
        <v>11</v>
      </c>
      <c r="AP2759" t="n">
        <v>0</v>
      </c>
      <c r="AQ2759" t="n">
        <v>0</v>
      </c>
      <c r="AR2759" t="inlineStr">
        <is>
          <t>No</t>
        </is>
      </c>
      <c r="AS2759" t="inlineStr">
        <is>
          <t>No</t>
        </is>
      </c>
      <c r="AT2759">
        <f>HYPERLINK("http://catalog.hathitrust.org/Record/001025016","HathiTrust Record")</f>
        <v/>
      </c>
      <c r="AU2759">
        <f>HYPERLINK("https://creighton-primo.hosted.exlibrisgroup.com/primo-explore/search?tab=default_tab&amp;search_scope=EVERYTHING&amp;vid=01CRU&amp;lang=en_US&amp;offset=0&amp;query=any,contains,991002286989702656","Catalog Record")</f>
        <v/>
      </c>
      <c r="AV2759">
        <f>HYPERLINK("http://www.worldcat.org/oclc/311733","WorldCat Record")</f>
        <v/>
      </c>
      <c r="AW2759" t="inlineStr">
        <is>
          <t>10673765641:eng</t>
        </is>
      </c>
      <c r="AX2759" t="inlineStr">
        <is>
          <t>311733</t>
        </is>
      </c>
      <c r="AY2759" t="inlineStr">
        <is>
          <t>991002286989702656</t>
        </is>
      </c>
      <c r="AZ2759" t="inlineStr">
        <is>
          <t>991002286989702656</t>
        </is>
      </c>
      <c r="BA2759" t="inlineStr">
        <is>
          <t>2272571680002656</t>
        </is>
      </c>
      <c r="BB2759" t="inlineStr">
        <is>
          <t>BOOK</t>
        </is>
      </c>
      <c r="BE2759" t="inlineStr">
        <is>
          <t>32285002952793</t>
        </is>
      </c>
      <c r="BF2759" t="inlineStr">
        <is>
          <t>893226665</t>
        </is>
      </c>
    </row>
    <row r="2760">
      <c r="A2760" t="inlineStr">
        <is>
          <t>No</t>
        </is>
      </c>
      <c r="B2760" t="inlineStr">
        <is>
          <t>CURAL</t>
        </is>
      </c>
      <c r="C2760" t="inlineStr">
        <is>
          <t>SHELVES</t>
        </is>
      </c>
      <c r="D2760" t="inlineStr">
        <is>
          <t>PR5907 .U69 1974b</t>
        </is>
      </c>
      <c r="E2760" t="inlineStr">
        <is>
          <t>0                      PR 5907000U  69          1974b</t>
        </is>
      </c>
      <c r="F2760" t="inlineStr">
        <is>
          <t>Yeats and Anglo-Irish literature : critical essays / by Peter Ure ; edited by C. J. Rawson ; with a memoir by Frank Kermode.</t>
        </is>
      </c>
      <c r="H2760" t="inlineStr">
        <is>
          <t>No</t>
        </is>
      </c>
      <c r="I2760" t="inlineStr">
        <is>
          <t>1</t>
        </is>
      </c>
      <c r="J2760" t="inlineStr">
        <is>
          <t>No</t>
        </is>
      </c>
      <c r="K2760" t="inlineStr">
        <is>
          <t>No</t>
        </is>
      </c>
      <c r="L2760" t="inlineStr">
        <is>
          <t>0</t>
        </is>
      </c>
      <c r="M2760" t="inlineStr">
        <is>
          <t>Ure, Peter.</t>
        </is>
      </c>
      <c r="N2760" t="inlineStr">
        <is>
          <t>Liverpool : Liverpool University Press, 1974.</t>
        </is>
      </c>
      <c r="O2760" t="inlineStr">
        <is>
          <t>1974</t>
        </is>
      </c>
      <c r="Q2760" t="inlineStr">
        <is>
          <t>eng</t>
        </is>
      </c>
      <c r="R2760" t="inlineStr">
        <is>
          <t>enk</t>
        </is>
      </c>
      <c r="S2760" t="inlineStr">
        <is>
          <t>Liverpool English texts and studies</t>
        </is>
      </c>
      <c r="T2760" t="inlineStr">
        <is>
          <t xml:space="preserve">PR </t>
        </is>
      </c>
      <c r="U2760" t="n">
        <v>1</v>
      </c>
      <c r="V2760" t="n">
        <v>1</v>
      </c>
      <c r="W2760" t="inlineStr">
        <is>
          <t>2009-09-30</t>
        </is>
      </c>
      <c r="X2760" t="inlineStr">
        <is>
          <t>2009-09-30</t>
        </is>
      </c>
      <c r="Y2760" t="inlineStr">
        <is>
          <t>1993-03-17</t>
        </is>
      </c>
      <c r="Z2760" t="inlineStr">
        <is>
          <t>1993-03-17</t>
        </is>
      </c>
      <c r="AA2760" t="n">
        <v>419</v>
      </c>
      <c r="AB2760" t="n">
        <v>238</v>
      </c>
      <c r="AC2760" t="n">
        <v>492</v>
      </c>
      <c r="AD2760" t="n">
        <v>3</v>
      </c>
      <c r="AE2760" t="n">
        <v>4</v>
      </c>
      <c r="AF2760" t="n">
        <v>13</v>
      </c>
      <c r="AG2760" t="n">
        <v>32</v>
      </c>
      <c r="AH2760" t="n">
        <v>4</v>
      </c>
      <c r="AI2760" t="n">
        <v>12</v>
      </c>
      <c r="AJ2760" t="n">
        <v>4</v>
      </c>
      <c r="AK2760" t="n">
        <v>9</v>
      </c>
      <c r="AL2760" t="n">
        <v>7</v>
      </c>
      <c r="AM2760" t="n">
        <v>16</v>
      </c>
      <c r="AN2760" t="n">
        <v>2</v>
      </c>
      <c r="AO2760" t="n">
        <v>3</v>
      </c>
      <c r="AP2760" t="n">
        <v>0</v>
      </c>
      <c r="AQ2760" t="n">
        <v>0</v>
      </c>
      <c r="AR2760" t="inlineStr">
        <is>
          <t>No</t>
        </is>
      </c>
      <c r="AS2760" t="inlineStr">
        <is>
          <t>No</t>
        </is>
      </c>
      <c r="AU2760">
        <f>HYPERLINK("https://creighton-primo.hosted.exlibrisgroup.com/primo-explore/search?tab=default_tab&amp;search_scope=EVERYTHING&amp;vid=01CRU&amp;lang=en_US&amp;offset=0&amp;query=any,contains,991003582019702656","Catalog Record")</f>
        <v/>
      </c>
      <c r="AV2760">
        <f>HYPERLINK("http://www.worldcat.org/oclc/1163701","WorldCat Record")</f>
        <v/>
      </c>
      <c r="AW2760" t="inlineStr">
        <is>
          <t>2047184:eng</t>
        </is>
      </c>
      <c r="AX2760" t="inlineStr">
        <is>
          <t>1163701</t>
        </is>
      </c>
      <c r="AY2760" t="inlineStr">
        <is>
          <t>991003582019702656</t>
        </is>
      </c>
      <c r="AZ2760" t="inlineStr">
        <is>
          <t>991003582019702656</t>
        </is>
      </c>
      <c r="BA2760" t="inlineStr">
        <is>
          <t>2265870170002656</t>
        </is>
      </c>
      <c r="BB2760" t="inlineStr">
        <is>
          <t>BOOK</t>
        </is>
      </c>
      <c r="BD2760" t="inlineStr">
        <is>
          <t>9780853233220</t>
        </is>
      </c>
      <c r="BE2760" t="inlineStr">
        <is>
          <t>32285001574010</t>
        </is>
      </c>
      <c r="BF2760" t="inlineStr">
        <is>
          <t>893531330</t>
        </is>
      </c>
    </row>
    <row r="2761">
      <c r="A2761" t="inlineStr">
        <is>
          <t>No</t>
        </is>
      </c>
      <c r="B2761" t="inlineStr">
        <is>
          <t>CURAL</t>
        </is>
      </c>
      <c r="C2761" t="inlineStr">
        <is>
          <t>SHELVES</t>
        </is>
      </c>
      <c r="D2761" t="inlineStr">
        <is>
          <t>PR5907 .W2</t>
        </is>
      </c>
      <c r="E2761" t="inlineStr">
        <is>
          <t>0                      PR 5907000W  2</t>
        </is>
      </c>
      <c r="F2761" t="inlineStr">
        <is>
          <t>W. B. Yeats : the critical heritage / edited by A. Norman Jeffares.</t>
        </is>
      </c>
      <c r="H2761" t="inlineStr">
        <is>
          <t>No</t>
        </is>
      </c>
      <c r="I2761" t="inlineStr">
        <is>
          <t>1</t>
        </is>
      </c>
      <c r="J2761" t="inlineStr">
        <is>
          <t>No</t>
        </is>
      </c>
      <c r="K2761" t="inlineStr">
        <is>
          <t>No</t>
        </is>
      </c>
      <c r="L2761" t="inlineStr">
        <is>
          <t>0</t>
        </is>
      </c>
      <c r="N2761" t="inlineStr">
        <is>
          <t>London ; Boston : Routledge and Kegan Paul, 1977.</t>
        </is>
      </c>
      <c r="O2761" t="inlineStr">
        <is>
          <t>1977</t>
        </is>
      </c>
      <c r="Q2761" t="inlineStr">
        <is>
          <t>eng</t>
        </is>
      </c>
      <c r="R2761" t="inlineStr">
        <is>
          <t>enk</t>
        </is>
      </c>
      <c r="S2761" t="inlineStr">
        <is>
          <t>The Critical heritage series</t>
        </is>
      </c>
      <c r="T2761" t="inlineStr">
        <is>
          <t xml:space="preserve">PR </t>
        </is>
      </c>
      <c r="U2761" t="n">
        <v>2</v>
      </c>
      <c r="V2761" t="n">
        <v>2</v>
      </c>
      <c r="W2761" t="inlineStr">
        <is>
          <t>2001-11-30</t>
        </is>
      </c>
      <c r="X2761" t="inlineStr">
        <is>
          <t>2001-11-30</t>
        </is>
      </c>
      <c r="Y2761" t="inlineStr">
        <is>
          <t>1997-07-23</t>
        </is>
      </c>
      <c r="Z2761" t="inlineStr">
        <is>
          <t>1997-07-23</t>
        </is>
      </c>
      <c r="AA2761" t="n">
        <v>971</v>
      </c>
      <c r="AB2761" t="n">
        <v>701</v>
      </c>
      <c r="AC2761" t="n">
        <v>722</v>
      </c>
      <c r="AD2761" t="n">
        <v>7</v>
      </c>
      <c r="AE2761" t="n">
        <v>7</v>
      </c>
      <c r="AF2761" t="n">
        <v>34</v>
      </c>
      <c r="AG2761" t="n">
        <v>34</v>
      </c>
      <c r="AH2761" t="n">
        <v>14</v>
      </c>
      <c r="AI2761" t="n">
        <v>14</v>
      </c>
      <c r="AJ2761" t="n">
        <v>8</v>
      </c>
      <c r="AK2761" t="n">
        <v>8</v>
      </c>
      <c r="AL2761" t="n">
        <v>14</v>
      </c>
      <c r="AM2761" t="n">
        <v>14</v>
      </c>
      <c r="AN2761" t="n">
        <v>6</v>
      </c>
      <c r="AO2761" t="n">
        <v>6</v>
      </c>
      <c r="AP2761" t="n">
        <v>0</v>
      </c>
      <c r="AQ2761" t="n">
        <v>0</v>
      </c>
      <c r="AR2761" t="inlineStr">
        <is>
          <t>No</t>
        </is>
      </c>
      <c r="AS2761" t="inlineStr">
        <is>
          <t>Yes</t>
        </is>
      </c>
      <c r="AT2761">
        <f>HYPERLINK("http://catalog.hathitrust.org/Record/000695840","HathiTrust Record")</f>
        <v/>
      </c>
      <c r="AU2761">
        <f>HYPERLINK("https://creighton-primo.hosted.exlibrisgroup.com/primo-explore/search?tab=default_tab&amp;search_scope=EVERYTHING&amp;vid=01CRU&amp;lang=en_US&amp;offset=0&amp;query=any,contains,991004442319702656","Catalog Record")</f>
        <v/>
      </c>
      <c r="AV2761">
        <f>HYPERLINK("http://www.worldcat.org/oclc/3469618","WorldCat Record")</f>
        <v/>
      </c>
      <c r="AW2761" t="inlineStr">
        <is>
          <t>2287151083:eng</t>
        </is>
      </c>
      <c r="AX2761" t="inlineStr">
        <is>
          <t>3469618</t>
        </is>
      </c>
      <c r="AY2761" t="inlineStr">
        <is>
          <t>991004442319702656</t>
        </is>
      </c>
      <c r="AZ2761" t="inlineStr">
        <is>
          <t>991004442319702656</t>
        </is>
      </c>
      <c r="BA2761" t="inlineStr">
        <is>
          <t>2256435100002656</t>
        </is>
      </c>
      <c r="BB2761" t="inlineStr">
        <is>
          <t>BOOK</t>
        </is>
      </c>
      <c r="BD2761" t="inlineStr">
        <is>
          <t>9780710084804</t>
        </is>
      </c>
      <c r="BE2761" t="inlineStr">
        <is>
          <t>32285002952819</t>
        </is>
      </c>
      <c r="BF2761" t="inlineStr">
        <is>
          <t>893337737</t>
        </is>
      </c>
    </row>
    <row r="2762">
      <c r="A2762" t="inlineStr">
        <is>
          <t>No</t>
        </is>
      </c>
      <c r="B2762" t="inlineStr">
        <is>
          <t>CURAL</t>
        </is>
      </c>
      <c r="C2762" t="inlineStr">
        <is>
          <t>SHELVES</t>
        </is>
      </c>
      <c r="D2762" t="inlineStr">
        <is>
          <t>PR5907 .W5 1958a</t>
        </is>
      </c>
      <c r="E2762" t="inlineStr">
        <is>
          <t>0                      PR 5907000W  5           1958a</t>
        </is>
      </c>
      <c r="F2762" t="inlineStr">
        <is>
          <t>W. B. Yeats and tradition / by F. A. C. Wilson.</t>
        </is>
      </c>
      <c r="H2762" t="inlineStr">
        <is>
          <t>No</t>
        </is>
      </c>
      <c r="I2762" t="inlineStr">
        <is>
          <t>1</t>
        </is>
      </c>
      <c r="J2762" t="inlineStr">
        <is>
          <t>No</t>
        </is>
      </c>
      <c r="K2762" t="inlineStr">
        <is>
          <t>No</t>
        </is>
      </c>
      <c r="L2762" t="inlineStr">
        <is>
          <t>0</t>
        </is>
      </c>
      <c r="M2762" t="inlineStr">
        <is>
          <t>Wilson, Francis Alexander Charles Cauvin, 1921-1963.</t>
        </is>
      </c>
      <c r="N2762" t="inlineStr">
        <is>
          <t>New York : Macmillan, 1958.</t>
        </is>
      </c>
      <c r="O2762" t="inlineStr">
        <is>
          <t>1958</t>
        </is>
      </c>
      <c r="Q2762" t="inlineStr">
        <is>
          <t>eng</t>
        </is>
      </c>
      <c r="R2762" t="inlineStr">
        <is>
          <t>nyu</t>
        </is>
      </c>
      <c r="T2762" t="inlineStr">
        <is>
          <t xml:space="preserve">PR </t>
        </is>
      </c>
      <c r="U2762" t="n">
        <v>2</v>
      </c>
      <c r="V2762" t="n">
        <v>2</v>
      </c>
      <c r="W2762" t="inlineStr">
        <is>
          <t>1992-10-24</t>
        </is>
      </c>
      <c r="X2762" t="inlineStr">
        <is>
          <t>1992-10-24</t>
        </is>
      </c>
      <c r="Y2762" t="inlineStr">
        <is>
          <t>1992-06-23</t>
        </is>
      </c>
      <c r="Z2762" t="inlineStr">
        <is>
          <t>1992-06-23</t>
        </is>
      </c>
      <c r="AA2762" t="n">
        <v>531</v>
      </c>
      <c r="AB2762" t="n">
        <v>509</v>
      </c>
      <c r="AC2762" t="n">
        <v>692</v>
      </c>
      <c r="AD2762" t="n">
        <v>3</v>
      </c>
      <c r="AE2762" t="n">
        <v>5</v>
      </c>
      <c r="AF2762" t="n">
        <v>23</v>
      </c>
      <c r="AG2762" t="n">
        <v>36</v>
      </c>
      <c r="AH2762" t="n">
        <v>11</v>
      </c>
      <c r="AI2762" t="n">
        <v>14</v>
      </c>
      <c r="AJ2762" t="n">
        <v>4</v>
      </c>
      <c r="AK2762" t="n">
        <v>6</v>
      </c>
      <c r="AL2762" t="n">
        <v>12</v>
      </c>
      <c r="AM2762" t="n">
        <v>19</v>
      </c>
      <c r="AN2762" t="n">
        <v>2</v>
      </c>
      <c r="AO2762" t="n">
        <v>4</v>
      </c>
      <c r="AP2762" t="n">
        <v>0</v>
      </c>
      <c r="AQ2762" t="n">
        <v>0</v>
      </c>
      <c r="AR2762" t="inlineStr">
        <is>
          <t>No</t>
        </is>
      </c>
      <c r="AS2762" t="inlineStr">
        <is>
          <t>No</t>
        </is>
      </c>
      <c r="AT2762">
        <f>HYPERLINK("http://catalog.hathitrust.org/Record/006155846","HathiTrust Record")</f>
        <v/>
      </c>
      <c r="AU2762">
        <f>HYPERLINK("https://creighton-primo.hosted.exlibrisgroup.com/primo-explore/search?tab=default_tab&amp;search_scope=EVERYTHING&amp;vid=01CRU&amp;lang=en_US&amp;offset=0&amp;query=any,contains,991004208609702656","Catalog Record")</f>
        <v/>
      </c>
      <c r="AV2762">
        <f>HYPERLINK("http://www.worldcat.org/oclc/2674983","WorldCat Record")</f>
        <v/>
      </c>
      <c r="AW2762" t="inlineStr">
        <is>
          <t>1619788:eng</t>
        </is>
      </c>
      <c r="AX2762" t="inlineStr">
        <is>
          <t>2674983</t>
        </is>
      </c>
      <c r="AY2762" t="inlineStr">
        <is>
          <t>991004208609702656</t>
        </is>
      </c>
      <c r="AZ2762" t="inlineStr">
        <is>
          <t>991004208609702656</t>
        </is>
      </c>
      <c r="BA2762" t="inlineStr">
        <is>
          <t>2261800010002656</t>
        </is>
      </c>
      <c r="BB2762" t="inlineStr">
        <is>
          <t>BOOK</t>
        </is>
      </c>
      <c r="BE2762" t="inlineStr">
        <is>
          <t>32285001133601</t>
        </is>
      </c>
      <c r="BF2762" t="inlineStr">
        <is>
          <t>893247293</t>
        </is>
      </c>
    </row>
    <row r="2763">
      <c r="A2763" t="inlineStr">
        <is>
          <t>No</t>
        </is>
      </c>
      <c r="B2763" t="inlineStr">
        <is>
          <t>CURAL</t>
        </is>
      </c>
      <c r="C2763" t="inlineStr">
        <is>
          <t>SHELVES</t>
        </is>
      </c>
      <c r="D2763" t="inlineStr">
        <is>
          <t>PR5908.A35 L6 1986</t>
        </is>
      </c>
      <c r="E2763" t="inlineStr">
        <is>
          <t>0                      PR 5908000A  35                 L  6           1986</t>
        </is>
      </c>
      <c r="F2763" t="inlineStr">
        <is>
          <t>Yeats and the visual arts / Elizabeth Bergmann Loizeaux.</t>
        </is>
      </c>
      <c r="H2763" t="inlineStr">
        <is>
          <t>No</t>
        </is>
      </c>
      <c r="I2763" t="inlineStr">
        <is>
          <t>1</t>
        </is>
      </c>
      <c r="J2763" t="inlineStr">
        <is>
          <t>No</t>
        </is>
      </c>
      <c r="K2763" t="inlineStr">
        <is>
          <t>No</t>
        </is>
      </c>
      <c r="L2763" t="inlineStr">
        <is>
          <t>0</t>
        </is>
      </c>
      <c r="M2763" t="inlineStr">
        <is>
          <t>Loizeaux, Elizabeth Bergmann.</t>
        </is>
      </c>
      <c r="N2763" t="inlineStr">
        <is>
          <t>New Brunswick : Rutgers University Press, c1986.</t>
        </is>
      </c>
      <c r="O2763" t="inlineStr">
        <is>
          <t>1986</t>
        </is>
      </c>
      <c r="Q2763" t="inlineStr">
        <is>
          <t>eng</t>
        </is>
      </c>
      <c r="R2763" t="inlineStr">
        <is>
          <t>nju</t>
        </is>
      </c>
      <c r="T2763" t="inlineStr">
        <is>
          <t xml:space="preserve">PR </t>
        </is>
      </c>
      <c r="U2763" t="n">
        <v>4</v>
      </c>
      <c r="V2763" t="n">
        <v>4</v>
      </c>
      <c r="W2763" t="inlineStr">
        <is>
          <t>1995-02-20</t>
        </is>
      </c>
      <c r="X2763" t="inlineStr">
        <is>
          <t>1995-02-20</t>
        </is>
      </c>
      <c r="Y2763" t="inlineStr">
        <is>
          <t>1992-06-23</t>
        </is>
      </c>
      <c r="Z2763" t="inlineStr">
        <is>
          <t>1992-06-23</t>
        </is>
      </c>
      <c r="AA2763" t="n">
        <v>545</v>
      </c>
      <c r="AB2763" t="n">
        <v>446</v>
      </c>
      <c r="AC2763" t="n">
        <v>488</v>
      </c>
      <c r="AD2763" t="n">
        <v>5</v>
      </c>
      <c r="AE2763" t="n">
        <v>5</v>
      </c>
      <c r="AF2763" t="n">
        <v>20</v>
      </c>
      <c r="AG2763" t="n">
        <v>27</v>
      </c>
      <c r="AH2763" t="n">
        <v>6</v>
      </c>
      <c r="AI2763" t="n">
        <v>10</v>
      </c>
      <c r="AJ2763" t="n">
        <v>5</v>
      </c>
      <c r="AK2763" t="n">
        <v>8</v>
      </c>
      <c r="AL2763" t="n">
        <v>9</v>
      </c>
      <c r="AM2763" t="n">
        <v>11</v>
      </c>
      <c r="AN2763" t="n">
        <v>4</v>
      </c>
      <c r="AO2763" t="n">
        <v>4</v>
      </c>
      <c r="AP2763" t="n">
        <v>0</v>
      </c>
      <c r="AQ2763" t="n">
        <v>0</v>
      </c>
      <c r="AR2763" t="inlineStr">
        <is>
          <t>No</t>
        </is>
      </c>
      <c r="AS2763" t="inlineStr">
        <is>
          <t>Yes</t>
        </is>
      </c>
      <c r="AT2763">
        <f>HYPERLINK("http://catalog.hathitrust.org/Record/000596101","HathiTrust Record")</f>
        <v/>
      </c>
      <c r="AU2763">
        <f>HYPERLINK("https://creighton-primo.hosted.exlibrisgroup.com/primo-explore/search?tab=default_tab&amp;search_scope=EVERYTHING&amp;vid=01CRU&amp;lang=en_US&amp;offset=0&amp;query=any,contains,991000759849702656","Catalog Record")</f>
        <v/>
      </c>
      <c r="AV2763">
        <f>HYPERLINK("http://www.worldcat.org/oclc/12972244","WorldCat Record")</f>
        <v/>
      </c>
      <c r="AW2763" t="inlineStr">
        <is>
          <t>708472:eng</t>
        </is>
      </c>
      <c r="AX2763" t="inlineStr">
        <is>
          <t>12972244</t>
        </is>
      </c>
      <c r="AY2763" t="inlineStr">
        <is>
          <t>991000759849702656</t>
        </is>
      </c>
      <c r="AZ2763" t="inlineStr">
        <is>
          <t>991000759849702656</t>
        </is>
      </c>
      <c r="BA2763" t="inlineStr">
        <is>
          <t>2263818480002656</t>
        </is>
      </c>
      <c r="BB2763" t="inlineStr">
        <is>
          <t>BOOK</t>
        </is>
      </c>
      <c r="BD2763" t="inlineStr">
        <is>
          <t>9780813511757</t>
        </is>
      </c>
      <c r="BE2763" t="inlineStr">
        <is>
          <t>32285001133627</t>
        </is>
      </c>
      <c r="BF2763" t="inlineStr">
        <is>
          <t>893225282</t>
        </is>
      </c>
    </row>
    <row r="2764">
      <c r="A2764" t="inlineStr">
        <is>
          <t>No</t>
        </is>
      </c>
      <c r="B2764" t="inlineStr">
        <is>
          <t>CURAL</t>
        </is>
      </c>
      <c r="C2764" t="inlineStr">
        <is>
          <t>SHELVES</t>
        </is>
      </c>
      <c r="D2764" t="inlineStr">
        <is>
          <t>PR5908.A35 M37 1992b</t>
        </is>
      </c>
      <c r="E2764" t="inlineStr">
        <is>
          <t>0                      PR 5908000A  35                 M  37          1992b</t>
        </is>
      </c>
      <c r="F2764" t="inlineStr">
        <is>
          <t>Yeats and artistic power / Phillip L. Marcus.</t>
        </is>
      </c>
      <c r="H2764" t="inlineStr">
        <is>
          <t>No</t>
        </is>
      </c>
      <c r="I2764" t="inlineStr">
        <is>
          <t>1</t>
        </is>
      </c>
      <c r="J2764" t="inlineStr">
        <is>
          <t>No</t>
        </is>
      </c>
      <c r="K2764" t="inlineStr">
        <is>
          <t>No</t>
        </is>
      </c>
      <c r="L2764" t="inlineStr">
        <is>
          <t>0</t>
        </is>
      </c>
      <c r="M2764" t="inlineStr">
        <is>
          <t>Marcus, Phillip L., 1941-2015.</t>
        </is>
      </c>
      <c r="N2764" t="inlineStr">
        <is>
          <t>Basingstoke : Macmillan, 1992.</t>
        </is>
      </c>
      <c r="O2764" t="inlineStr">
        <is>
          <t>1992</t>
        </is>
      </c>
      <c r="Q2764" t="inlineStr">
        <is>
          <t>eng</t>
        </is>
      </c>
      <c r="R2764" t="inlineStr">
        <is>
          <t>enk</t>
        </is>
      </c>
      <c r="S2764" t="inlineStr">
        <is>
          <t>Macmillan studies in Anglo-Irish literature</t>
        </is>
      </c>
      <c r="T2764" t="inlineStr">
        <is>
          <t xml:space="preserve">PR </t>
        </is>
      </c>
      <c r="U2764" t="n">
        <v>3</v>
      </c>
      <c r="V2764" t="n">
        <v>3</v>
      </c>
      <c r="W2764" t="inlineStr">
        <is>
          <t>1993-04-22</t>
        </is>
      </c>
      <c r="X2764" t="inlineStr">
        <is>
          <t>1993-04-22</t>
        </is>
      </c>
      <c r="Y2764" t="inlineStr">
        <is>
          <t>1993-03-16</t>
        </is>
      </c>
      <c r="Z2764" t="inlineStr">
        <is>
          <t>1993-03-16</t>
        </is>
      </c>
      <c r="AA2764" t="n">
        <v>58</v>
      </c>
      <c r="AB2764" t="n">
        <v>16</v>
      </c>
      <c r="AC2764" t="n">
        <v>296</v>
      </c>
      <c r="AD2764" t="n">
        <v>1</v>
      </c>
      <c r="AE2764" t="n">
        <v>3</v>
      </c>
      <c r="AF2764" t="n">
        <v>1</v>
      </c>
      <c r="AG2764" t="n">
        <v>25</v>
      </c>
      <c r="AH2764" t="n">
        <v>0</v>
      </c>
      <c r="AI2764" t="n">
        <v>10</v>
      </c>
      <c r="AJ2764" t="n">
        <v>0</v>
      </c>
      <c r="AK2764" t="n">
        <v>7</v>
      </c>
      <c r="AL2764" t="n">
        <v>1</v>
      </c>
      <c r="AM2764" t="n">
        <v>14</v>
      </c>
      <c r="AN2764" t="n">
        <v>0</v>
      </c>
      <c r="AO2764" t="n">
        <v>2</v>
      </c>
      <c r="AP2764" t="n">
        <v>0</v>
      </c>
      <c r="AQ2764" t="n">
        <v>0</v>
      </c>
      <c r="AR2764" t="inlineStr">
        <is>
          <t>No</t>
        </is>
      </c>
      <c r="AS2764" t="inlineStr">
        <is>
          <t>No</t>
        </is>
      </c>
      <c r="AU2764">
        <f>HYPERLINK("https://creighton-primo.hosted.exlibrisgroup.com/primo-explore/search?tab=default_tab&amp;search_scope=EVERYTHING&amp;vid=01CRU&amp;lang=en_US&amp;offset=0&amp;query=any,contains,991002100289702656","Catalog Record")</f>
        <v/>
      </c>
      <c r="AV2764">
        <f>HYPERLINK("http://www.worldcat.org/oclc/26945548","WorldCat Record")</f>
        <v/>
      </c>
      <c r="AW2764" t="inlineStr">
        <is>
          <t>29939425:eng</t>
        </is>
      </c>
      <c r="AX2764" t="inlineStr">
        <is>
          <t>26945548</t>
        </is>
      </c>
      <c r="AY2764" t="inlineStr">
        <is>
          <t>991002100289702656</t>
        </is>
      </c>
      <c r="AZ2764" t="inlineStr">
        <is>
          <t>991002100289702656</t>
        </is>
      </c>
      <c r="BA2764" t="inlineStr">
        <is>
          <t>2261345080002656</t>
        </is>
      </c>
      <c r="BB2764" t="inlineStr">
        <is>
          <t>BOOK</t>
        </is>
      </c>
      <c r="BD2764" t="inlineStr">
        <is>
          <t>9780333524893</t>
        </is>
      </c>
      <c r="BE2764" t="inlineStr">
        <is>
          <t>32285001497907</t>
        </is>
      </c>
      <c r="BF2764" t="inlineStr">
        <is>
          <t>893885844</t>
        </is>
      </c>
    </row>
    <row r="2765">
      <c r="A2765" t="inlineStr">
        <is>
          <t>No</t>
        </is>
      </c>
      <c r="B2765" t="inlineStr">
        <is>
          <t>CURAL</t>
        </is>
      </c>
      <c r="C2765" t="inlineStr">
        <is>
          <t>SHELVES</t>
        </is>
      </c>
      <c r="D2765" t="inlineStr">
        <is>
          <t>PR5908.C8 B7</t>
        </is>
      </c>
      <c r="E2765" t="inlineStr">
        <is>
          <t>0                      PR 5908000C  8                  B  7</t>
        </is>
      </c>
      <c r="F2765" t="inlineStr">
        <is>
          <t>The interpretation of the Cuchulain legend in the works of W. B. Yeats.</t>
        </is>
      </c>
      <c r="H2765" t="inlineStr">
        <is>
          <t>No</t>
        </is>
      </c>
      <c r="I2765" t="inlineStr">
        <is>
          <t>1</t>
        </is>
      </c>
      <c r="J2765" t="inlineStr">
        <is>
          <t>No</t>
        </is>
      </c>
      <c r="K2765" t="inlineStr">
        <is>
          <t>No</t>
        </is>
      </c>
      <c r="L2765" t="inlineStr">
        <is>
          <t>0</t>
        </is>
      </c>
      <c r="M2765" t="inlineStr">
        <is>
          <t>Bramsbäck, Birgit, 1921-</t>
        </is>
      </c>
      <c r="N2765" t="inlineStr">
        <is>
          <t>Upsala, Lundequist [1950]</t>
        </is>
      </c>
      <c r="O2765" t="inlineStr">
        <is>
          <t>1950</t>
        </is>
      </c>
      <c r="Q2765" t="inlineStr">
        <is>
          <t>eng</t>
        </is>
      </c>
      <c r="R2765" t="inlineStr">
        <is>
          <t xml:space="preserve">sw </t>
        </is>
      </c>
      <c r="S2765" t="inlineStr">
        <is>
          <t>Upsala Irish studies ; 1</t>
        </is>
      </c>
      <c r="T2765" t="inlineStr">
        <is>
          <t xml:space="preserve">PR </t>
        </is>
      </c>
      <c r="U2765" t="n">
        <v>1</v>
      </c>
      <c r="V2765" t="n">
        <v>1</v>
      </c>
      <c r="W2765" t="inlineStr">
        <is>
          <t>2000-12-10</t>
        </is>
      </c>
      <c r="X2765" t="inlineStr">
        <is>
          <t>2000-12-10</t>
        </is>
      </c>
      <c r="Y2765" t="inlineStr">
        <is>
          <t>1997-07-23</t>
        </is>
      </c>
      <c r="Z2765" t="inlineStr">
        <is>
          <t>1997-07-23</t>
        </is>
      </c>
      <c r="AA2765" t="n">
        <v>152</v>
      </c>
      <c r="AB2765" t="n">
        <v>125</v>
      </c>
      <c r="AC2765" t="n">
        <v>227</v>
      </c>
      <c r="AD2765" t="n">
        <v>2</v>
      </c>
      <c r="AE2765" t="n">
        <v>2</v>
      </c>
      <c r="AF2765" t="n">
        <v>10</v>
      </c>
      <c r="AG2765" t="n">
        <v>13</v>
      </c>
      <c r="AH2765" t="n">
        <v>2</v>
      </c>
      <c r="AI2765" t="n">
        <v>3</v>
      </c>
      <c r="AJ2765" t="n">
        <v>4</v>
      </c>
      <c r="AK2765" t="n">
        <v>5</v>
      </c>
      <c r="AL2765" t="n">
        <v>5</v>
      </c>
      <c r="AM2765" t="n">
        <v>6</v>
      </c>
      <c r="AN2765" t="n">
        <v>1</v>
      </c>
      <c r="AO2765" t="n">
        <v>1</v>
      </c>
      <c r="AP2765" t="n">
        <v>0</v>
      </c>
      <c r="AQ2765" t="n">
        <v>0</v>
      </c>
      <c r="AR2765" t="inlineStr">
        <is>
          <t>No</t>
        </is>
      </c>
      <c r="AS2765" t="inlineStr">
        <is>
          <t>Yes</t>
        </is>
      </c>
      <c r="AT2765">
        <f>HYPERLINK("http://catalog.hathitrust.org/Record/001189146","HathiTrust Record")</f>
        <v/>
      </c>
      <c r="AU2765">
        <f>HYPERLINK("https://creighton-primo.hosted.exlibrisgroup.com/primo-explore/search?tab=default_tab&amp;search_scope=EVERYTHING&amp;vid=01CRU&amp;lang=en_US&amp;offset=0&amp;query=any,contains,991004612519702656","Catalog Record")</f>
        <v/>
      </c>
      <c r="AV2765">
        <f>HYPERLINK("http://www.worldcat.org/oclc/4224071","WorldCat Record")</f>
        <v/>
      </c>
      <c r="AW2765" t="inlineStr">
        <is>
          <t>5090546124:eng</t>
        </is>
      </c>
      <c r="AX2765" t="inlineStr">
        <is>
          <t>4224071</t>
        </is>
      </c>
      <c r="AY2765" t="inlineStr">
        <is>
          <t>991004612519702656</t>
        </is>
      </c>
      <c r="AZ2765" t="inlineStr">
        <is>
          <t>991004612519702656</t>
        </is>
      </c>
      <c r="BA2765" t="inlineStr">
        <is>
          <t>2260820480002656</t>
        </is>
      </c>
      <c r="BB2765" t="inlineStr">
        <is>
          <t>BOOK</t>
        </is>
      </c>
      <c r="BE2765" t="inlineStr">
        <is>
          <t>32285002952868</t>
        </is>
      </c>
      <c r="BF2765" t="inlineStr">
        <is>
          <t>893876316</t>
        </is>
      </c>
    </row>
    <row r="2766">
      <c r="A2766" t="inlineStr">
        <is>
          <t>No</t>
        </is>
      </c>
      <c r="B2766" t="inlineStr">
        <is>
          <t>CURAL</t>
        </is>
      </c>
      <c r="C2766" t="inlineStr">
        <is>
          <t>SHELVES</t>
        </is>
      </c>
      <c r="D2766" t="inlineStr">
        <is>
          <t>PR5908.C8 S55</t>
        </is>
      </c>
      <c r="E2766" t="inlineStr">
        <is>
          <t>0                      PR 5908000C  8                  S  55</t>
        </is>
      </c>
      <c r="F2766" t="inlineStr">
        <is>
          <t>The Cuchulain plays of W. B. Yeats: a study.</t>
        </is>
      </c>
      <c r="H2766" t="inlineStr">
        <is>
          <t>No</t>
        </is>
      </c>
      <c r="I2766" t="inlineStr">
        <is>
          <t>1</t>
        </is>
      </c>
      <c r="J2766" t="inlineStr">
        <is>
          <t>No</t>
        </is>
      </c>
      <c r="K2766" t="inlineStr">
        <is>
          <t>No</t>
        </is>
      </c>
      <c r="L2766" t="inlineStr">
        <is>
          <t>0</t>
        </is>
      </c>
      <c r="M2766" t="inlineStr">
        <is>
          <t>Skene, Reg.</t>
        </is>
      </c>
      <c r="N2766" t="inlineStr">
        <is>
          <t>New York, Columbia University Press, 1974.</t>
        </is>
      </c>
      <c r="O2766" t="inlineStr">
        <is>
          <t>1974</t>
        </is>
      </c>
      <c r="Q2766" t="inlineStr">
        <is>
          <t>eng</t>
        </is>
      </c>
      <c r="R2766" t="inlineStr">
        <is>
          <t>nyu</t>
        </is>
      </c>
      <c r="T2766" t="inlineStr">
        <is>
          <t xml:space="preserve">PR </t>
        </is>
      </c>
      <c r="U2766" t="n">
        <v>3</v>
      </c>
      <c r="V2766" t="n">
        <v>3</v>
      </c>
      <c r="W2766" t="inlineStr">
        <is>
          <t>2003-03-27</t>
        </is>
      </c>
      <c r="X2766" t="inlineStr">
        <is>
          <t>2003-03-27</t>
        </is>
      </c>
      <c r="Y2766" t="inlineStr">
        <is>
          <t>1997-07-23</t>
        </is>
      </c>
      <c r="Z2766" t="inlineStr">
        <is>
          <t>1997-07-23</t>
        </is>
      </c>
      <c r="AA2766" t="n">
        <v>641</v>
      </c>
      <c r="AB2766" t="n">
        <v>588</v>
      </c>
      <c r="AC2766" t="n">
        <v>629</v>
      </c>
      <c r="AD2766" t="n">
        <v>4</v>
      </c>
      <c r="AE2766" t="n">
        <v>4</v>
      </c>
      <c r="AF2766" t="n">
        <v>33</v>
      </c>
      <c r="AG2766" t="n">
        <v>34</v>
      </c>
      <c r="AH2766" t="n">
        <v>13</v>
      </c>
      <c r="AI2766" t="n">
        <v>14</v>
      </c>
      <c r="AJ2766" t="n">
        <v>10</v>
      </c>
      <c r="AK2766" t="n">
        <v>10</v>
      </c>
      <c r="AL2766" t="n">
        <v>18</v>
      </c>
      <c r="AM2766" t="n">
        <v>19</v>
      </c>
      <c r="AN2766" t="n">
        <v>3</v>
      </c>
      <c r="AO2766" t="n">
        <v>3</v>
      </c>
      <c r="AP2766" t="n">
        <v>0</v>
      </c>
      <c r="AQ2766" t="n">
        <v>0</v>
      </c>
      <c r="AR2766" t="inlineStr">
        <is>
          <t>No</t>
        </is>
      </c>
      <c r="AS2766" t="inlineStr">
        <is>
          <t>No</t>
        </is>
      </c>
      <c r="AU2766">
        <f>HYPERLINK("https://creighton-primo.hosted.exlibrisgroup.com/primo-explore/search?tab=default_tab&amp;search_scope=EVERYTHING&amp;vid=01CRU&amp;lang=en_US&amp;offset=0&amp;query=any,contains,991003401519702656","Catalog Record")</f>
        <v/>
      </c>
      <c r="AV2766">
        <f>HYPERLINK("http://www.worldcat.org/oclc/940657","WorldCat Record")</f>
        <v/>
      </c>
      <c r="AW2766" t="inlineStr">
        <is>
          <t>1899722:eng</t>
        </is>
      </c>
      <c r="AX2766" t="inlineStr">
        <is>
          <t>940657</t>
        </is>
      </c>
      <c r="AY2766" t="inlineStr">
        <is>
          <t>991003401519702656</t>
        </is>
      </c>
      <c r="AZ2766" t="inlineStr">
        <is>
          <t>991003401519702656</t>
        </is>
      </c>
      <c r="BA2766" t="inlineStr">
        <is>
          <t>2261318750002656</t>
        </is>
      </c>
      <c r="BB2766" t="inlineStr">
        <is>
          <t>BOOK</t>
        </is>
      </c>
      <c r="BD2766" t="inlineStr">
        <is>
          <t>9780231039307</t>
        </is>
      </c>
      <c r="BE2766" t="inlineStr">
        <is>
          <t>32285002952876</t>
        </is>
      </c>
      <c r="BF2766" t="inlineStr">
        <is>
          <t>893774690</t>
        </is>
      </c>
    </row>
    <row r="2767">
      <c r="A2767" t="inlineStr">
        <is>
          <t>No</t>
        </is>
      </c>
      <c r="B2767" t="inlineStr">
        <is>
          <t>CURAL</t>
        </is>
      </c>
      <c r="C2767" t="inlineStr">
        <is>
          <t>SHELVES</t>
        </is>
      </c>
      <c r="D2767" t="inlineStr">
        <is>
          <t>PR5908.D4 R36 1990</t>
        </is>
      </c>
      <c r="E2767" t="inlineStr">
        <is>
          <t>0                      PR 5908000D  4                  R  36          1990</t>
        </is>
      </c>
      <c r="F2767" t="inlineStr">
        <is>
          <t>Yeats &amp; the poetry of death : elegy, self-elegy, and the sublime / Jahan Ramazani.</t>
        </is>
      </c>
      <c r="H2767" t="inlineStr">
        <is>
          <t>No</t>
        </is>
      </c>
      <c r="I2767" t="inlineStr">
        <is>
          <t>1</t>
        </is>
      </c>
      <c r="J2767" t="inlineStr">
        <is>
          <t>No</t>
        </is>
      </c>
      <c r="K2767" t="inlineStr">
        <is>
          <t>No</t>
        </is>
      </c>
      <c r="L2767" t="inlineStr">
        <is>
          <t>0</t>
        </is>
      </c>
      <c r="M2767" t="inlineStr">
        <is>
          <t>Ramazani, Jahan, 1960-</t>
        </is>
      </c>
      <c r="N2767" t="inlineStr">
        <is>
          <t>New Haven : Yale University Press, c1990.</t>
        </is>
      </c>
      <c r="O2767" t="inlineStr">
        <is>
          <t>1990</t>
        </is>
      </c>
      <c r="Q2767" t="inlineStr">
        <is>
          <t>eng</t>
        </is>
      </c>
      <c r="R2767" t="inlineStr">
        <is>
          <t>ctu</t>
        </is>
      </c>
      <c r="T2767" t="inlineStr">
        <is>
          <t xml:space="preserve">PR </t>
        </is>
      </c>
      <c r="U2767" t="n">
        <v>7</v>
      </c>
      <c r="V2767" t="n">
        <v>7</v>
      </c>
      <c r="W2767" t="inlineStr">
        <is>
          <t>2003-11-23</t>
        </is>
      </c>
      <c r="X2767" t="inlineStr">
        <is>
          <t>2003-11-23</t>
        </is>
      </c>
      <c r="Y2767" t="inlineStr">
        <is>
          <t>1991-04-24</t>
        </is>
      </c>
      <c r="Z2767" t="inlineStr">
        <is>
          <t>1991-04-24</t>
        </is>
      </c>
      <c r="AA2767" t="n">
        <v>556</v>
      </c>
      <c r="AB2767" t="n">
        <v>435</v>
      </c>
      <c r="AC2767" t="n">
        <v>612</v>
      </c>
      <c r="AD2767" t="n">
        <v>5</v>
      </c>
      <c r="AE2767" t="n">
        <v>5</v>
      </c>
      <c r="AF2767" t="n">
        <v>31</v>
      </c>
      <c r="AG2767" t="n">
        <v>37</v>
      </c>
      <c r="AH2767" t="n">
        <v>12</v>
      </c>
      <c r="AI2767" t="n">
        <v>16</v>
      </c>
      <c r="AJ2767" t="n">
        <v>6</v>
      </c>
      <c r="AK2767" t="n">
        <v>9</v>
      </c>
      <c r="AL2767" t="n">
        <v>18</v>
      </c>
      <c r="AM2767" t="n">
        <v>19</v>
      </c>
      <c r="AN2767" t="n">
        <v>4</v>
      </c>
      <c r="AO2767" t="n">
        <v>4</v>
      </c>
      <c r="AP2767" t="n">
        <v>0</v>
      </c>
      <c r="AQ2767" t="n">
        <v>0</v>
      </c>
      <c r="AR2767" t="inlineStr">
        <is>
          <t>No</t>
        </is>
      </c>
      <c r="AS2767" t="inlineStr">
        <is>
          <t>No</t>
        </is>
      </c>
      <c r="AU2767">
        <f>HYPERLINK("https://creighton-primo.hosted.exlibrisgroup.com/primo-explore/search?tab=default_tab&amp;search_scope=EVERYTHING&amp;vid=01CRU&amp;lang=en_US&amp;offset=0&amp;query=any,contains,991001680699702656","Catalog Record")</f>
        <v/>
      </c>
      <c r="AV2767">
        <f>HYPERLINK("http://www.worldcat.org/oclc/21338829","WorldCat Record")</f>
        <v/>
      </c>
      <c r="AW2767" t="inlineStr">
        <is>
          <t>836887549:eng</t>
        </is>
      </c>
      <c r="AX2767" t="inlineStr">
        <is>
          <t>21338829</t>
        </is>
      </c>
      <c r="AY2767" t="inlineStr">
        <is>
          <t>991001680699702656</t>
        </is>
      </c>
      <c r="AZ2767" t="inlineStr">
        <is>
          <t>991001680699702656</t>
        </is>
      </c>
      <c r="BA2767" t="inlineStr">
        <is>
          <t>2264398630002656</t>
        </is>
      </c>
      <c r="BB2767" t="inlineStr">
        <is>
          <t>BOOK</t>
        </is>
      </c>
      <c r="BD2767" t="inlineStr">
        <is>
          <t>9780300048049</t>
        </is>
      </c>
      <c r="BE2767" t="inlineStr">
        <is>
          <t>32285000569292</t>
        </is>
      </c>
      <c r="BF2767" t="inlineStr">
        <is>
          <t>893439320</t>
        </is>
      </c>
    </row>
    <row r="2768">
      <c r="A2768" t="inlineStr">
        <is>
          <t>No</t>
        </is>
      </c>
      <c r="B2768" t="inlineStr">
        <is>
          <t>CURAL</t>
        </is>
      </c>
      <c r="C2768" t="inlineStr">
        <is>
          <t>SHELVES</t>
        </is>
      </c>
      <c r="D2768" t="inlineStr">
        <is>
          <t>PR5908.D7 F54</t>
        </is>
      </c>
      <c r="E2768" t="inlineStr">
        <is>
          <t>0                      PR 5908000D  7                  F  54</t>
        </is>
      </c>
      <c r="F2768" t="inlineStr">
        <is>
          <t>W. B. Yeats and the idea of a theatre : the early Abbey Theatre in theory and practice / James W. Flannery.</t>
        </is>
      </c>
      <c r="H2768" t="inlineStr">
        <is>
          <t>No</t>
        </is>
      </c>
      <c r="I2768" t="inlineStr">
        <is>
          <t>1</t>
        </is>
      </c>
      <c r="J2768" t="inlineStr">
        <is>
          <t>No</t>
        </is>
      </c>
      <c r="K2768" t="inlineStr">
        <is>
          <t>No</t>
        </is>
      </c>
      <c r="L2768" t="inlineStr">
        <is>
          <t>0</t>
        </is>
      </c>
      <c r="M2768" t="inlineStr">
        <is>
          <t>Flannery, James W.</t>
        </is>
      </c>
      <c r="N2768" t="inlineStr">
        <is>
          <t>New Haven : Yale University Press, 1976.</t>
        </is>
      </c>
      <c r="O2768" t="inlineStr">
        <is>
          <t>1976</t>
        </is>
      </c>
      <c r="Q2768" t="inlineStr">
        <is>
          <t>eng</t>
        </is>
      </c>
      <c r="R2768" t="inlineStr">
        <is>
          <t>ctu</t>
        </is>
      </c>
      <c r="T2768" t="inlineStr">
        <is>
          <t xml:space="preserve">PR </t>
        </is>
      </c>
      <c r="U2768" t="n">
        <v>4</v>
      </c>
      <c r="V2768" t="n">
        <v>4</v>
      </c>
      <c r="W2768" t="inlineStr">
        <is>
          <t>2004-04-18</t>
        </is>
      </c>
      <c r="X2768" t="inlineStr">
        <is>
          <t>2004-04-18</t>
        </is>
      </c>
      <c r="Y2768" t="inlineStr">
        <is>
          <t>1992-02-20</t>
        </is>
      </c>
      <c r="Z2768" t="inlineStr">
        <is>
          <t>1992-02-20</t>
        </is>
      </c>
      <c r="AA2768" t="n">
        <v>779</v>
      </c>
      <c r="AB2768" t="n">
        <v>637</v>
      </c>
      <c r="AC2768" t="n">
        <v>672</v>
      </c>
      <c r="AD2768" t="n">
        <v>8</v>
      </c>
      <c r="AE2768" t="n">
        <v>8</v>
      </c>
      <c r="AF2768" t="n">
        <v>40</v>
      </c>
      <c r="AG2768" t="n">
        <v>43</v>
      </c>
      <c r="AH2768" t="n">
        <v>16</v>
      </c>
      <c r="AI2768" t="n">
        <v>17</v>
      </c>
      <c r="AJ2768" t="n">
        <v>9</v>
      </c>
      <c r="AK2768" t="n">
        <v>11</v>
      </c>
      <c r="AL2768" t="n">
        <v>19</v>
      </c>
      <c r="AM2768" t="n">
        <v>20</v>
      </c>
      <c r="AN2768" t="n">
        <v>7</v>
      </c>
      <c r="AO2768" t="n">
        <v>7</v>
      </c>
      <c r="AP2768" t="n">
        <v>0</v>
      </c>
      <c r="AQ2768" t="n">
        <v>0</v>
      </c>
      <c r="AR2768" t="inlineStr">
        <is>
          <t>No</t>
        </is>
      </c>
      <c r="AS2768" t="inlineStr">
        <is>
          <t>No</t>
        </is>
      </c>
      <c r="AU2768">
        <f>HYPERLINK("https://creighton-primo.hosted.exlibrisgroup.com/primo-explore/search?tab=default_tab&amp;search_scope=EVERYTHING&amp;vid=01CRU&amp;lang=en_US&amp;offset=0&amp;query=any,contains,991004168519702656","Catalog Record")</f>
        <v/>
      </c>
      <c r="AV2768">
        <f>HYPERLINK("http://www.worldcat.org/oclc/2572667","WorldCat Record")</f>
        <v/>
      </c>
      <c r="AW2768" t="inlineStr">
        <is>
          <t>5402771:eng</t>
        </is>
      </c>
      <c r="AX2768" t="inlineStr">
        <is>
          <t>2572667</t>
        </is>
      </c>
      <c r="AY2768" t="inlineStr">
        <is>
          <t>991004168519702656</t>
        </is>
      </c>
      <c r="AZ2768" t="inlineStr">
        <is>
          <t>991004168519702656</t>
        </is>
      </c>
      <c r="BA2768" t="inlineStr">
        <is>
          <t>2263900980002656</t>
        </is>
      </c>
      <c r="BB2768" t="inlineStr">
        <is>
          <t>BOOK</t>
        </is>
      </c>
      <c r="BD2768" t="inlineStr">
        <is>
          <t>9780300017731</t>
        </is>
      </c>
      <c r="BE2768" t="inlineStr">
        <is>
          <t>32285000972140</t>
        </is>
      </c>
      <c r="BF2768" t="inlineStr">
        <is>
          <t>893618333</t>
        </is>
      </c>
    </row>
    <row r="2769">
      <c r="A2769" t="inlineStr">
        <is>
          <t>No</t>
        </is>
      </c>
      <c r="B2769" t="inlineStr">
        <is>
          <t>CURAL</t>
        </is>
      </c>
      <c r="C2769" t="inlineStr">
        <is>
          <t>SHELVES</t>
        </is>
      </c>
      <c r="D2769" t="inlineStr">
        <is>
          <t>PR5908.D7 G66 1987</t>
        </is>
      </c>
      <c r="E2769" t="inlineStr">
        <is>
          <t>0                      PR 5908000D  7                  G  66          1987</t>
        </is>
      </c>
      <c r="F2769" t="inlineStr">
        <is>
          <t>W.B. Yeats and the creation of a tragic universe / Maeve Good.</t>
        </is>
      </c>
      <c r="H2769" t="inlineStr">
        <is>
          <t>No</t>
        </is>
      </c>
      <c r="I2769" t="inlineStr">
        <is>
          <t>1</t>
        </is>
      </c>
      <c r="J2769" t="inlineStr">
        <is>
          <t>No</t>
        </is>
      </c>
      <c r="K2769" t="inlineStr">
        <is>
          <t>No</t>
        </is>
      </c>
      <c r="L2769" t="inlineStr">
        <is>
          <t>0</t>
        </is>
      </c>
      <c r="M2769" t="inlineStr">
        <is>
          <t>Good, Maeve.</t>
        </is>
      </c>
      <c r="N2769" t="inlineStr">
        <is>
          <t>Totowa, N.J. : Barnes &amp; Noble Books, 1987.</t>
        </is>
      </c>
      <c r="O2769" t="inlineStr">
        <is>
          <t>1987</t>
        </is>
      </c>
      <c r="Q2769" t="inlineStr">
        <is>
          <t>eng</t>
        </is>
      </c>
      <c r="R2769" t="inlineStr">
        <is>
          <t>nju</t>
        </is>
      </c>
      <c r="T2769" t="inlineStr">
        <is>
          <t xml:space="preserve">PR </t>
        </is>
      </c>
      <c r="U2769" t="n">
        <v>5</v>
      </c>
      <c r="V2769" t="n">
        <v>5</v>
      </c>
      <c r="W2769" t="inlineStr">
        <is>
          <t>1999-01-28</t>
        </is>
      </c>
      <c r="X2769" t="inlineStr">
        <is>
          <t>1999-01-28</t>
        </is>
      </c>
      <c r="Y2769" t="inlineStr">
        <is>
          <t>1992-06-23</t>
        </is>
      </c>
      <c r="Z2769" t="inlineStr">
        <is>
          <t>1992-06-23</t>
        </is>
      </c>
      <c r="AA2769" t="n">
        <v>296</v>
      </c>
      <c r="AB2769" t="n">
        <v>267</v>
      </c>
      <c r="AC2769" t="n">
        <v>342</v>
      </c>
      <c r="AD2769" t="n">
        <v>1</v>
      </c>
      <c r="AE2769" t="n">
        <v>3</v>
      </c>
      <c r="AF2769" t="n">
        <v>14</v>
      </c>
      <c r="AG2769" t="n">
        <v>18</v>
      </c>
      <c r="AH2769" t="n">
        <v>8</v>
      </c>
      <c r="AI2769" t="n">
        <v>8</v>
      </c>
      <c r="AJ2769" t="n">
        <v>5</v>
      </c>
      <c r="AK2769" t="n">
        <v>6</v>
      </c>
      <c r="AL2769" t="n">
        <v>8</v>
      </c>
      <c r="AM2769" t="n">
        <v>10</v>
      </c>
      <c r="AN2769" t="n">
        <v>0</v>
      </c>
      <c r="AO2769" t="n">
        <v>2</v>
      </c>
      <c r="AP2769" t="n">
        <v>0</v>
      </c>
      <c r="AQ2769" t="n">
        <v>0</v>
      </c>
      <c r="AR2769" t="inlineStr">
        <is>
          <t>No</t>
        </is>
      </c>
      <c r="AS2769" t="inlineStr">
        <is>
          <t>No</t>
        </is>
      </c>
      <c r="AU2769">
        <f>HYPERLINK("https://creighton-primo.hosted.exlibrisgroup.com/primo-explore/search?tab=default_tab&amp;search_scope=EVERYTHING&amp;vid=01CRU&amp;lang=en_US&amp;offset=0&amp;query=any,contains,991000845709702656","Catalog Record")</f>
        <v/>
      </c>
      <c r="AV2769">
        <f>HYPERLINK("http://www.worldcat.org/oclc/13560196","WorldCat Record")</f>
        <v/>
      </c>
      <c r="AW2769" t="inlineStr">
        <is>
          <t>6950031:eng</t>
        </is>
      </c>
      <c r="AX2769" t="inlineStr">
        <is>
          <t>13560196</t>
        </is>
      </c>
      <c r="AY2769" t="inlineStr">
        <is>
          <t>991000845709702656</t>
        </is>
      </c>
      <c r="AZ2769" t="inlineStr">
        <is>
          <t>991000845709702656</t>
        </is>
      </c>
      <c r="BA2769" t="inlineStr">
        <is>
          <t>2263591470002656</t>
        </is>
      </c>
      <c r="BB2769" t="inlineStr">
        <is>
          <t>BOOK</t>
        </is>
      </c>
      <c r="BD2769" t="inlineStr">
        <is>
          <t>9780389206422</t>
        </is>
      </c>
      <c r="BE2769" t="inlineStr">
        <is>
          <t>32285001133635</t>
        </is>
      </c>
      <c r="BF2769" t="inlineStr">
        <is>
          <t>893778294</t>
        </is>
      </c>
    </row>
    <row r="2770">
      <c r="A2770" t="inlineStr">
        <is>
          <t>No</t>
        </is>
      </c>
      <c r="B2770" t="inlineStr">
        <is>
          <t>CURAL</t>
        </is>
      </c>
      <c r="C2770" t="inlineStr">
        <is>
          <t>SHELVES</t>
        </is>
      </c>
      <c r="D2770" t="inlineStr">
        <is>
          <t>PR5908.D7 T38 1984</t>
        </is>
      </c>
      <c r="E2770" t="inlineStr">
        <is>
          <t>0                      PR 5908000D  7                  T  38          1984</t>
        </is>
      </c>
      <c r="F2770" t="inlineStr">
        <is>
          <t>A reader's guide to the plays of W.B. Yeats / by Richard Taylor.</t>
        </is>
      </c>
      <c r="H2770" t="inlineStr">
        <is>
          <t>No</t>
        </is>
      </c>
      <c r="I2770" t="inlineStr">
        <is>
          <t>1</t>
        </is>
      </c>
      <c r="J2770" t="inlineStr">
        <is>
          <t>No</t>
        </is>
      </c>
      <c r="K2770" t="inlineStr">
        <is>
          <t>No</t>
        </is>
      </c>
      <c r="L2770" t="inlineStr">
        <is>
          <t>0</t>
        </is>
      </c>
      <c r="M2770" t="inlineStr">
        <is>
          <t>Taylor, Richard, 1935-</t>
        </is>
      </c>
      <c r="N2770" t="inlineStr">
        <is>
          <t>New York : St. Martin's Press, 1984.</t>
        </is>
      </c>
      <c r="O2770" t="inlineStr">
        <is>
          <t>1983</t>
        </is>
      </c>
      <c r="Q2770" t="inlineStr">
        <is>
          <t>eng</t>
        </is>
      </c>
      <c r="R2770" t="inlineStr">
        <is>
          <t>nyu</t>
        </is>
      </c>
      <c r="T2770" t="inlineStr">
        <is>
          <t xml:space="preserve">PR </t>
        </is>
      </c>
      <c r="U2770" t="n">
        <v>1</v>
      </c>
      <c r="V2770" t="n">
        <v>1</v>
      </c>
      <c r="W2770" t="inlineStr">
        <is>
          <t>2000-10-11</t>
        </is>
      </c>
      <c r="X2770" t="inlineStr">
        <is>
          <t>2000-10-11</t>
        </is>
      </c>
      <c r="Y2770" t="inlineStr">
        <is>
          <t>1992-02-07</t>
        </is>
      </c>
      <c r="Z2770" t="inlineStr">
        <is>
          <t>1992-02-07</t>
        </is>
      </c>
      <c r="AA2770" t="n">
        <v>525</v>
      </c>
      <c r="AB2770" t="n">
        <v>485</v>
      </c>
      <c r="AC2770" t="n">
        <v>539</v>
      </c>
      <c r="AD2770" t="n">
        <v>1</v>
      </c>
      <c r="AE2770" t="n">
        <v>3</v>
      </c>
      <c r="AF2770" t="n">
        <v>26</v>
      </c>
      <c r="AG2770" t="n">
        <v>29</v>
      </c>
      <c r="AH2770" t="n">
        <v>13</v>
      </c>
      <c r="AI2770" t="n">
        <v>14</v>
      </c>
      <c r="AJ2770" t="n">
        <v>9</v>
      </c>
      <c r="AK2770" t="n">
        <v>9</v>
      </c>
      <c r="AL2770" t="n">
        <v>12</v>
      </c>
      <c r="AM2770" t="n">
        <v>13</v>
      </c>
      <c r="AN2770" t="n">
        <v>0</v>
      </c>
      <c r="AO2770" t="n">
        <v>2</v>
      </c>
      <c r="AP2770" t="n">
        <v>0</v>
      </c>
      <c r="AQ2770" t="n">
        <v>0</v>
      </c>
      <c r="AR2770" t="inlineStr">
        <is>
          <t>No</t>
        </is>
      </c>
      <c r="AS2770" t="inlineStr">
        <is>
          <t>No</t>
        </is>
      </c>
      <c r="AU2770">
        <f>HYPERLINK("https://creighton-primo.hosted.exlibrisgroup.com/primo-explore/search?tab=default_tab&amp;search_scope=EVERYTHING&amp;vid=01CRU&amp;lang=en_US&amp;offset=0&amp;query=any,contains,991005194839702656","Catalog Record")</f>
        <v/>
      </c>
      <c r="AV2770">
        <f>HYPERLINK("http://www.worldcat.org/oclc/8034510","WorldCat Record")</f>
        <v/>
      </c>
      <c r="AW2770" t="inlineStr">
        <is>
          <t>19792328:eng</t>
        </is>
      </c>
      <c r="AX2770" t="inlineStr">
        <is>
          <t>8034510</t>
        </is>
      </c>
      <c r="AY2770" t="inlineStr">
        <is>
          <t>991005194839702656</t>
        </is>
      </c>
      <c r="AZ2770" t="inlineStr">
        <is>
          <t>991005194839702656</t>
        </is>
      </c>
      <c r="BA2770" t="inlineStr">
        <is>
          <t>2267037090002656</t>
        </is>
      </c>
      <c r="BB2770" t="inlineStr">
        <is>
          <t>BOOK</t>
        </is>
      </c>
      <c r="BD2770" t="inlineStr">
        <is>
          <t>9780312664565</t>
        </is>
      </c>
      <c r="BE2770" t="inlineStr">
        <is>
          <t>32285000942945</t>
        </is>
      </c>
      <c r="BF2770" t="inlineStr">
        <is>
          <t>893889833</t>
        </is>
      </c>
    </row>
    <row r="2771">
      <c r="A2771" t="inlineStr">
        <is>
          <t>No</t>
        </is>
      </c>
      <c r="B2771" t="inlineStr">
        <is>
          <t>CURAL</t>
        </is>
      </c>
      <c r="C2771" t="inlineStr">
        <is>
          <t>SHELVES</t>
        </is>
      </c>
      <c r="D2771" t="inlineStr">
        <is>
          <t>PR5908.F5 O36 1983</t>
        </is>
      </c>
      <c r="E2771" t="inlineStr">
        <is>
          <t>0                      PR 5908000F  5                  O  36          1983</t>
        </is>
      </c>
      <c r="F2771" t="inlineStr">
        <is>
          <t>A guide to the prose fiction of W.B. Yeats / by William H. O'Donnell.</t>
        </is>
      </c>
      <c r="H2771" t="inlineStr">
        <is>
          <t>No</t>
        </is>
      </c>
      <c r="I2771" t="inlineStr">
        <is>
          <t>1</t>
        </is>
      </c>
      <c r="J2771" t="inlineStr">
        <is>
          <t>No</t>
        </is>
      </c>
      <c r="K2771" t="inlineStr">
        <is>
          <t>No</t>
        </is>
      </c>
      <c r="L2771" t="inlineStr">
        <is>
          <t>0</t>
        </is>
      </c>
      <c r="M2771" t="inlineStr">
        <is>
          <t>O'Donnell, William H., 1940-</t>
        </is>
      </c>
      <c r="N2771" t="inlineStr">
        <is>
          <t>Ann Arbor, Mich. : UMI Research Press, c1983.</t>
        </is>
      </c>
      <c r="O2771" t="inlineStr">
        <is>
          <t>1983</t>
        </is>
      </c>
      <c r="Q2771" t="inlineStr">
        <is>
          <t>eng</t>
        </is>
      </c>
      <c r="R2771" t="inlineStr">
        <is>
          <t>miu</t>
        </is>
      </c>
      <c r="S2771" t="inlineStr">
        <is>
          <t>Studies in modern literature ; no. 12</t>
        </is>
      </c>
      <c r="T2771" t="inlineStr">
        <is>
          <t xml:space="preserve">PR </t>
        </is>
      </c>
      <c r="U2771" t="n">
        <v>3</v>
      </c>
      <c r="V2771" t="n">
        <v>3</v>
      </c>
      <c r="W2771" t="inlineStr">
        <is>
          <t>1992-12-10</t>
        </is>
      </c>
      <c r="X2771" t="inlineStr">
        <is>
          <t>1992-12-10</t>
        </is>
      </c>
      <c r="Y2771" t="inlineStr">
        <is>
          <t>1992-06-23</t>
        </is>
      </c>
      <c r="Z2771" t="inlineStr">
        <is>
          <t>1992-06-23</t>
        </is>
      </c>
      <c r="AA2771" t="n">
        <v>385</v>
      </c>
      <c r="AB2771" t="n">
        <v>298</v>
      </c>
      <c r="AC2771" t="n">
        <v>305</v>
      </c>
      <c r="AD2771" t="n">
        <v>4</v>
      </c>
      <c r="AE2771" t="n">
        <v>4</v>
      </c>
      <c r="AF2771" t="n">
        <v>20</v>
      </c>
      <c r="AG2771" t="n">
        <v>20</v>
      </c>
      <c r="AH2771" t="n">
        <v>7</v>
      </c>
      <c r="AI2771" t="n">
        <v>7</v>
      </c>
      <c r="AJ2771" t="n">
        <v>6</v>
      </c>
      <c r="AK2771" t="n">
        <v>6</v>
      </c>
      <c r="AL2771" t="n">
        <v>8</v>
      </c>
      <c r="AM2771" t="n">
        <v>8</v>
      </c>
      <c r="AN2771" t="n">
        <v>3</v>
      </c>
      <c r="AO2771" t="n">
        <v>3</v>
      </c>
      <c r="AP2771" t="n">
        <v>0</v>
      </c>
      <c r="AQ2771" t="n">
        <v>0</v>
      </c>
      <c r="AR2771" t="inlineStr">
        <is>
          <t>No</t>
        </is>
      </c>
      <c r="AS2771" t="inlineStr">
        <is>
          <t>Yes</t>
        </is>
      </c>
      <c r="AT2771">
        <f>HYPERLINK("http://catalog.hathitrust.org/Record/000204438","HathiTrust Record")</f>
        <v/>
      </c>
      <c r="AU2771">
        <f>HYPERLINK("https://creighton-primo.hosted.exlibrisgroup.com/primo-explore/search?tab=default_tab&amp;search_scope=EVERYTHING&amp;vid=01CRU&amp;lang=en_US&amp;offset=0&amp;query=any,contains,991000171449702656","Catalog Record")</f>
        <v/>
      </c>
      <c r="AV2771">
        <f>HYPERLINK("http://www.worldcat.org/oclc/9324556","WorldCat Record")</f>
        <v/>
      </c>
      <c r="AW2771" t="inlineStr">
        <is>
          <t>19995062:eng</t>
        </is>
      </c>
      <c r="AX2771" t="inlineStr">
        <is>
          <t>9324556</t>
        </is>
      </c>
      <c r="AY2771" t="inlineStr">
        <is>
          <t>991000171449702656</t>
        </is>
      </c>
      <c r="AZ2771" t="inlineStr">
        <is>
          <t>991000171449702656</t>
        </is>
      </c>
      <c r="BA2771" t="inlineStr">
        <is>
          <t>2257233600002656</t>
        </is>
      </c>
      <c r="BB2771" t="inlineStr">
        <is>
          <t>BOOK</t>
        </is>
      </c>
      <c r="BD2771" t="inlineStr">
        <is>
          <t>9780835714211</t>
        </is>
      </c>
      <c r="BE2771" t="inlineStr">
        <is>
          <t>32285001133643</t>
        </is>
      </c>
      <c r="BF2771" t="inlineStr">
        <is>
          <t>893626231</t>
        </is>
      </c>
    </row>
    <row r="2772">
      <c r="A2772" t="inlineStr">
        <is>
          <t>No</t>
        </is>
      </c>
      <c r="B2772" t="inlineStr">
        <is>
          <t>CURAL</t>
        </is>
      </c>
      <c r="C2772" t="inlineStr">
        <is>
          <t>SHELVES</t>
        </is>
      </c>
      <c r="D2772" t="inlineStr">
        <is>
          <t>PR5908.F64 B7 1984</t>
        </is>
      </c>
      <c r="E2772" t="inlineStr">
        <is>
          <t>0                      PR 5908000F  64                 B  7           1984</t>
        </is>
      </c>
      <c r="F2772" t="inlineStr">
        <is>
          <t>Folklore and W.B. Yeats : the function of folklore elements in three early plays / Birgit Bramsbäck.</t>
        </is>
      </c>
      <c r="H2772" t="inlineStr">
        <is>
          <t>No</t>
        </is>
      </c>
      <c r="I2772" t="inlineStr">
        <is>
          <t>1</t>
        </is>
      </c>
      <c r="J2772" t="inlineStr">
        <is>
          <t>No</t>
        </is>
      </c>
      <c r="K2772" t="inlineStr">
        <is>
          <t>No</t>
        </is>
      </c>
      <c r="L2772" t="inlineStr">
        <is>
          <t>0</t>
        </is>
      </c>
      <c r="M2772" t="inlineStr">
        <is>
          <t>Bramsbäck, Birgit, 1921-</t>
        </is>
      </c>
      <c r="N2772" t="inlineStr">
        <is>
          <t>Uppsala : Academiae Ubsaliensis ; Stockholm : Distributor, Almqvist &amp; Wiksell International ; Atlantic Highlands, N.J. : dist. in the U.S.A. by Humanities Press, 1984.</t>
        </is>
      </c>
      <c r="O2772" t="inlineStr">
        <is>
          <t>1984</t>
        </is>
      </c>
      <c r="Q2772" t="inlineStr">
        <is>
          <t>eng</t>
        </is>
      </c>
      <c r="R2772" t="inlineStr">
        <is>
          <t xml:space="preserve">sw </t>
        </is>
      </c>
      <c r="S2772" t="inlineStr">
        <is>
          <t>Acta Universitatis Upsaliensis. Studia Anglistica Upsaliensia, 0562-2719 ; 51</t>
        </is>
      </c>
      <c r="T2772" t="inlineStr">
        <is>
          <t xml:space="preserve">PR </t>
        </is>
      </c>
      <c r="U2772" t="n">
        <v>2</v>
      </c>
      <c r="V2772" t="n">
        <v>2</v>
      </c>
      <c r="W2772" t="inlineStr">
        <is>
          <t>2003-04-17</t>
        </is>
      </c>
      <c r="X2772" t="inlineStr">
        <is>
          <t>2003-04-17</t>
        </is>
      </c>
      <c r="Y2772" t="inlineStr">
        <is>
          <t>1992-06-23</t>
        </is>
      </c>
      <c r="Z2772" t="inlineStr">
        <is>
          <t>1992-06-23</t>
        </is>
      </c>
      <c r="AA2772" t="n">
        <v>268</v>
      </c>
      <c r="AB2772" t="n">
        <v>187</v>
      </c>
      <c r="AC2772" t="n">
        <v>192</v>
      </c>
      <c r="AD2772" t="n">
        <v>2</v>
      </c>
      <c r="AE2772" t="n">
        <v>2</v>
      </c>
      <c r="AF2772" t="n">
        <v>13</v>
      </c>
      <c r="AG2772" t="n">
        <v>13</v>
      </c>
      <c r="AH2772" t="n">
        <v>2</v>
      </c>
      <c r="AI2772" t="n">
        <v>2</v>
      </c>
      <c r="AJ2772" t="n">
        <v>5</v>
      </c>
      <c r="AK2772" t="n">
        <v>5</v>
      </c>
      <c r="AL2772" t="n">
        <v>8</v>
      </c>
      <c r="AM2772" t="n">
        <v>8</v>
      </c>
      <c r="AN2772" t="n">
        <v>1</v>
      </c>
      <c r="AO2772" t="n">
        <v>1</v>
      </c>
      <c r="AP2772" t="n">
        <v>0</v>
      </c>
      <c r="AQ2772" t="n">
        <v>0</v>
      </c>
      <c r="AR2772" t="inlineStr">
        <is>
          <t>No</t>
        </is>
      </c>
      <c r="AS2772" t="inlineStr">
        <is>
          <t>No</t>
        </is>
      </c>
      <c r="AU2772">
        <f>HYPERLINK("https://creighton-primo.hosted.exlibrisgroup.com/primo-explore/search?tab=default_tab&amp;search_scope=EVERYTHING&amp;vid=01CRU&amp;lang=en_US&amp;offset=0&amp;query=any,contains,991000622979702656","Catalog Record")</f>
        <v/>
      </c>
      <c r="AV2772">
        <f>HYPERLINK("http://www.worldcat.org/oclc/11973320","WorldCat Record")</f>
        <v/>
      </c>
      <c r="AW2772" t="inlineStr">
        <is>
          <t>807098832:eng</t>
        </is>
      </c>
      <c r="AX2772" t="inlineStr">
        <is>
          <t>11973320</t>
        </is>
      </c>
      <c r="AY2772" t="inlineStr">
        <is>
          <t>991000622979702656</t>
        </is>
      </c>
      <c r="AZ2772" t="inlineStr">
        <is>
          <t>991000622979702656</t>
        </is>
      </c>
      <c r="BA2772" t="inlineStr">
        <is>
          <t>2256471520002656</t>
        </is>
      </c>
      <c r="BB2772" t="inlineStr">
        <is>
          <t>BOOK</t>
        </is>
      </c>
      <c r="BD2772" t="inlineStr">
        <is>
          <t>9789155415020</t>
        </is>
      </c>
      <c r="BE2772" t="inlineStr">
        <is>
          <t>32285001133650</t>
        </is>
      </c>
      <c r="BF2772" t="inlineStr">
        <is>
          <t>893683597</t>
        </is>
      </c>
    </row>
    <row r="2773">
      <c r="A2773" t="inlineStr">
        <is>
          <t>No</t>
        </is>
      </c>
      <c r="B2773" t="inlineStr">
        <is>
          <t>CURAL</t>
        </is>
      </c>
      <c r="C2773" t="inlineStr">
        <is>
          <t>SHELVES</t>
        </is>
      </c>
      <c r="D2773" t="inlineStr">
        <is>
          <t>PR5908.F64 T5 1981</t>
        </is>
      </c>
      <c r="E2773" t="inlineStr">
        <is>
          <t>0                      PR 5908000F  64                 T  5           1981</t>
        </is>
      </c>
      <c r="F2773" t="inlineStr">
        <is>
          <t>W.B. Yeats and Irish folklore / Mary Helen Thuente.</t>
        </is>
      </c>
      <c r="H2773" t="inlineStr">
        <is>
          <t>No</t>
        </is>
      </c>
      <c r="I2773" t="inlineStr">
        <is>
          <t>1</t>
        </is>
      </c>
      <c r="J2773" t="inlineStr">
        <is>
          <t>No</t>
        </is>
      </c>
      <c r="K2773" t="inlineStr">
        <is>
          <t>No</t>
        </is>
      </c>
      <c r="L2773" t="inlineStr">
        <is>
          <t>0</t>
        </is>
      </c>
      <c r="M2773" t="inlineStr">
        <is>
          <t>Thuente, Mary Helen.</t>
        </is>
      </c>
      <c r="N2773" t="inlineStr">
        <is>
          <t>Totowa, N.J. : Barnes &amp; Noble, 1981.</t>
        </is>
      </c>
      <c r="O2773" t="inlineStr">
        <is>
          <t>1981</t>
        </is>
      </c>
      <c r="Q2773" t="inlineStr">
        <is>
          <t>eng</t>
        </is>
      </c>
      <c r="R2773" t="inlineStr">
        <is>
          <t>nju</t>
        </is>
      </c>
      <c r="T2773" t="inlineStr">
        <is>
          <t xml:space="preserve">PR </t>
        </is>
      </c>
      <c r="U2773" t="n">
        <v>9</v>
      </c>
      <c r="V2773" t="n">
        <v>9</v>
      </c>
      <c r="W2773" t="inlineStr">
        <is>
          <t>2003-05-20</t>
        </is>
      </c>
      <c r="X2773" t="inlineStr">
        <is>
          <t>2003-05-20</t>
        </is>
      </c>
      <c r="Y2773" t="inlineStr">
        <is>
          <t>1992-06-23</t>
        </is>
      </c>
      <c r="Z2773" t="inlineStr">
        <is>
          <t>1992-06-23</t>
        </is>
      </c>
      <c r="AA2773" t="n">
        <v>364</v>
      </c>
      <c r="AB2773" t="n">
        <v>327</v>
      </c>
      <c r="AC2773" t="n">
        <v>359</v>
      </c>
      <c r="AD2773" t="n">
        <v>3</v>
      </c>
      <c r="AE2773" t="n">
        <v>3</v>
      </c>
      <c r="AF2773" t="n">
        <v>19</v>
      </c>
      <c r="AG2773" t="n">
        <v>20</v>
      </c>
      <c r="AH2773" t="n">
        <v>6</v>
      </c>
      <c r="AI2773" t="n">
        <v>7</v>
      </c>
      <c r="AJ2773" t="n">
        <v>8</v>
      </c>
      <c r="AK2773" t="n">
        <v>8</v>
      </c>
      <c r="AL2773" t="n">
        <v>9</v>
      </c>
      <c r="AM2773" t="n">
        <v>9</v>
      </c>
      <c r="AN2773" t="n">
        <v>2</v>
      </c>
      <c r="AO2773" t="n">
        <v>2</v>
      </c>
      <c r="AP2773" t="n">
        <v>0</v>
      </c>
      <c r="AQ2773" t="n">
        <v>0</v>
      </c>
      <c r="AR2773" t="inlineStr">
        <is>
          <t>No</t>
        </is>
      </c>
      <c r="AS2773" t="inlineStr">
        <is>
          <t>No</t>
        </is>
      </c>
      <c r="AU2773">
        <f>HYPERLINK("https://creighton-primo.hosted.exlibrisgroup.com/primo-explore/search?tab=default_tab&amp;search_scope=EVERYTHING&amp;vid=01CRU&amp;lang=en_US&amp;offset=0&amp;query=any,contains,991005104489702656","Catalog Record")</f>
        <v/>
      </c>
      <c r="AV2773">
        <f>HYPERLINK("http://www.worldcat.org/oclc/7323177","WorldCat Record")</f>
        <v/>
      </c>
      <c r="AW2773" t="inlineStr">
        <is>
          <t>458679:eng</t>
        </is>
      </c>
      <c r="AX2773" t="inlineStr">
        <is>
          <t>7323177</t>
        </is>
      </c>
      <c r="AY2773" t="inlineStr">
        <is>
          <t>991005104489702656</t>
        </is>
      </c>
      <c r="AZ2773" t="inlineStr">
        <is>
          <t>991005104489702656</t>
        </is>
      </c>
      <c r="BA2773" t="inlineStr">
        <is>
          <t>2266026510002656</t>
        </is>
      </c>
      <c r="BB2773" t="inlineStr">
        <is>
          <t>BOOK</t>
        </is>
      </c>
      <c r="BD2773" t="inlineStr">
        <is>
          <t>9780389201618</t>
        </is>
      </c>
      <c r="BE2773" t="inlineStr">
        <is>
          <t>32285001133676</t>
        </is>
      </c>
      <c r="BF2773" t="inlineStr">
        <is>
          <t>893600617</t>
        </is>
      </c>
    </row>
    <row r="2774">
      <c r="A2774" t="inlineStr">
        <is>
          <t>No</t>
        </is>
      </c>
      <c r="B2774" t="inlineStr">
        <is>
          <t>CURAL</t>
        </is>
      </c>
      <c r="C2774" t="inlineStr">
        <is>
          <t>SHELVES</t>
        </is>
      </c>
      <c r="D2774" t="inlineStr">
        <is>
          <t>PR5908.H34 H37 1986</t>
        </is>
      </c>
      <c r="E2774" t="inlineStr">
        <is>
          <t>0                      PR 5908000H  34                 H  37          1986</t>
        </is>
      </c>
      <c r="F2774" t="inlineStr">
        <is>
          <t>Yeats and the poetics of hate / Joseph M. Hassett.</t>
        </is>
      </c>
      <c r="H2774" t="inlineStr">
        <is>
          <t>No</t>
        </is>
      </c>
      <c r="I2774" t="inlineStr">
        <is>
          <t>1</t>
        </is>
      </c>
      <c r="J2774" t="inlineStr">
        <is>
          <t>No</t>
        </is>
      </c>
      <c r="K2774" t="inlineStr">
        <is>
          <t>No</t>
        </is>
      </c>
      <c r="L2774" t="inlineStr">
        <is>
          <t>0</t>
        </is>
      </c>
      <c r="M2774" t="inlineStr">
        <is>
          <t>Hassett, Joseph M.</t>
        </is>
      </c>
      <c r="N2774" t="inlineStr">
        <is>
          <t>Dublin : Gill and Macmillan ; New York : St. Martin's Press, c1986.</t>
        </is>
      </c>
      <c r="O2774" t="inlineStr">
        <is>
          <t>1986</t>
        </is>
      </c>
      <c r="Q2774" t="inlineStr">
        <is>
          <t>eng</t>
        </is>
      </c>
      <c r="R2774" t="inlineStr">
        <is>
          <t xml:space="preserve">ie </t>
        </is>
      </c>
      <c r="T2774" t="inlineStr">
        <is>
          <t xml:space="preserve">PR </t>
        </is>
      </c>
      <c r="U2774" t="n">
        <v>5</v>
      </c>
      <c r="V2774" t="n">
        <v>5</v>
      </c>
      <c r="W2774" t="inlineStr">
        <is>
          <t>2000-12-12</t>
        </is>
      </c>
      <c r="X2774" t="inlineStr">
        <is>
          <t>2000-12-12</t>
        </is>
      </c>
      <c r="Y2774" t="inlineStr">
        <is>
          <t>1992-06-23</t>
        </is>
      </c>
      <c r="Z2774" t="inlineStr">
        <is>
          <t>1992-06-23</t>
        </is>
      </c>
      <c r="AA2774" t="n">
        <v>302</v>
      </c>
      <c r="AB2774" t="n">
        <v>216</v>
      </c>
      <c r="AC2774" t="n">
        <v>217</v>
      </c>
      <c r="AD2774" t="n">
        <v>3</v>
      </c>
      <c r="AE2774" t="n">
        <v>3</v>
      </c>
      <c r="AF2774" t="n">
        <v>15</v>
      </c>
      <c r="AG2774" t="n">
        <v>15</v>
      </c>
      <c r="AH2774" t="n">
        <v>6</v>
      </c>
      <c r="AI2774" t="n">
        <v>6</v>
      </c>
      <c r="AJ2774" t="n">
        <v>3</v>
      </c>
      <c r="AK2774" t="n">
        <v>3</v>
      </c>
      <c r="AL2774" t="n">
        <v>8</v>
      </c>
      <c r="AM2774" t="n">
        <v>8</v>
      </c>
      <c r="AN2774" t="n">
        <v>2</v>
      </c>
      <c r="AO2774" t="n">
        <v>2</v>
      </c>
      <c r="AP2774" t="n">
        <v>0</v>
      </c>
      <c r="AQ2774" t="n">
        <v>0</v>
      </c>
      <c r="AR2774" t="inlineStr">
        <is>
          <t>No</t>
        </is>
      </c>
      <c r="AS2774" t="inlineStr">
        <is>
          <t>Yes</t>
        </is>
      </c>
      <c r="AT2774">
        <f>HYPERLINK("http://catalog.hathitrust.org/Record/000389247","HathiTrust Record")</f>
        <v/>
      </c>
      <c r="AU2774">
        <f>HYPERLINK("https://creighton-primo.hosted.exlibrisgroup.com/primo-explore/search?tab=default_tab&amp;search_scope=EVERYTHING&amp;vid=01CRU&amp;lang=en_US&amp;offset=0&amp;query=any,contains,991000783649702656","Catalog Record")</f>
        <v/>
      </c>
      <c r="AV2774">
        <f>HYPERLINK("http://www.worldcat.org/oclc/13121547","WorldCat Record")</f>
        <v/>
      </c>
      <c r="AW2774" t="inlineStr">
        <is>
          <t>5645805:eng</t>
        </is>
      </c>
      <c r="AX2774" t="inlineStr">
        <is>
          <t>13121547</t>
        </is>
      </c>
      <c r="AY2774" t="inlineStr">
        <is>
          <t>991000783649702656</t>
        </is>
      </c>
      <c r="AZ2774" t="inlineStr">
        <is>
          <t>991000783649702656</t>
        </is>
      </c>
      <c r="BA2774" t="inlineStr">
        <is>
          <t>2256017200002656</t>
        </is>
      </c>
      <c r="BB2774" t="inlineStr">
        <is>
          <t>BOOK</t>
        </is>
      </c>
      <c r="BD2774" t="inlineStr">
        <is>
          <t>9780312896317</t>
        </is>
      </c>
      <c r="BE2774" t="inlineStr">
        <is>
          <t>32285001133684</t>
        </is>
      </c>
      <c r="BF2774" t="inlineStr">
        <is>
          <t>893872001</t>
        </is>
      </c>
    </row>
    <row r="2775">
      <c r="A2775" t="inlineStr">
        <is>
          <t>No</t>
        </is>
      </c>
      <c r="B2775" t="inlineStr">
        <is>
          <t>CURAL</t>
        </is>
      </c>
      <c r="C2775" t="inlineStr">
        <is>
          <t>SHELVES</t>
        </is>
      </c>
      <c r="D2775" t="inlineStr">
        <is>
          <t>PR5908.L33 A32 1984</t>
        </is>
      </c>
      <c r="E2775" t="inlineStr">
        <is>
          <t>0                      PR 5908000L  33                 A  32          1984</t>
        </is>
      </c>
      <c r="F2775" t="inlineStr">
        <is>
          <t>Yeats and the masks of syntax / Joseph Adams.</t>
        </is>
      </c>
      <c r="H2775" t="inlineStr">
        <is>
          <t>No</t>
        </is>
      </c>
      <c r="I2775" t="inlineStr">
        <is>
          <t>1</t>
        </is>
      </c>
      <c r="J2775" t="inlineStr">
        <is>
          <t>No</t>
        </is>
      </c>
      <c r="K2775" t="inlineStr">
        <is>
          <t>No</t>
        </is>
      </c>
      <c r="L2775" t="inlineStr">
        <is>
          <t>0</t>
        </is>
      </c>
      <c r="M2775" t="inlineStr">
        <is>
          <t>Adams, Joseph, 1940-</t>
        </is>
      </c>
      <c r="N2775" t="inlineStr">
        <is>
          <t>New York : Columbia University Press, 1984.</t>
        </is>
      </c>
      <c r="O2775" t="inlineStr">
        <is>
          <t>1984</t>
        </is>
      </c>
      <c r="Q2775" t="inlineStr">
        <is>
          <t>eng</t>
        </is>
      </c>
      <c r="R2775" t="inlineStr">
        <is>
          <t>nyu</t>
        </is>
      </c>
      <c r="T2775" t="inlineStr">
        <is>
          <t xml:space="preserve">PR </t>
        </is>
      </c>
      <c r="U2775" t="n">
        <v>2</v>
      </c>
      <c r="V2775" t="n">
        <v>2</v>
      </c>
      <c r="W2775" t="inlineStr">
        <is>
          <t>2003-04-17</t>
        </is>
      </c>
      <c r="X2775" t="inlineStr">
        <is>
          <t>2003-04-17</t>
        </is>
      </c>
      <c r="Y2775" t="inlineStr">
        <is>
          <t>1992-06-24</t>
        </is>
      </c>
      <c r="Z2775" t="inlineStr">
        <is>
          <t>1992-06-24</t>
        </is>
      </c>
      <c r="AA2775" t="n">
        <v>361</v>
      </c>
      <c r="AB2775" t="n">
        <v>309</v>
      </c>
      <c r="AC2775" t="n">
        <v>319</v>
      </c>
      <c r="AD2775" t="n">
        <v>4</v>
      </c>
      <c r="AE2775" t="n">
        <v>4</v>
      </c>
      <c r="AF2775" t="n">
        <v>20</v>
      </c>
      <c r="AG2775" t="n">
        <v>20</v>
      </c>
      <c r="AH2775" t="n">
        <v>4</v>
      </c>
      <c r="AI2775" t="n">
        <v>4</v>
      </c>
      <c r="AJ2775" t="n">
        <v>6</v>
      </c>
      <c r="AK2775" t="n">
        <v>6</v>
      </c>
      <c r="AL2775" t="n">
        <v>14</v>
      </c>
      <c r="AM2775" t="n">
        <v>14</v>
      </c>
      <c r="AN2775" t="n">
        <v>3</v>
      </c>
      <c r="AO2775" t="n">
        <v>3</v>
      </c>
      <c r="AP2775" t="n">
        <v>0</v>
      </c>
      <c r="AQ2775" t="n">
        <v>0</v>
      </c>
      <c r="AR2775" t="inlineStr">
        <is>
          <t>No</t>
        </is>
      </c>
      <c r="AS2775" t="inlineStr">
        <is>
          <t>No</t>
        </is>
      </c>
      <c r="AU2775">
        <f>HYPERLINK("https://creighton-primo.hosted.exlibrisgroup.com/primo-explore/search?tab=default_tab&amp;search_scope=EVERYTHING&amp;vid=01CRU&amp;lang=en_US&amp;offset=0&amp;query=any,contains,991000294269702656","Catalog Record")</f>
        <v/>
      </c>
      <c r="AV2775">
        <f>HYPERLINK("http://www.worldcat.org/oclc/9971619","WorldCat Record")</f>
        <v/>
      </c>
      <c r="AW2775" t="inlineStr">
        <is>
          <t>1061015:eng</t>
        </is>
      </c>
      <c r="AX2775" t="inlineStr">
        <is>
          <t>9971619</t>
        </is>
      </c>
      <c r="AY2775" t="inlineStr">
        <is>
          <t>991000294269702656</t>
        </is>
      </c>
      <c r="AZ2775" t="inlineStr">
        <is>
          <t>991000294269702656</t>
        </is>
      </c>
      <c r="BA2775" t="inlineStr">
        <is>
          <t>2257962220002656</t>
        </is>
      </c>
      <c r="BB2775" t="inlineStr">
        <is>
          <t>BOOK</t>
        </is>
      </c>
      <c r="BD2775" t="inlineStr">
        <is>
          <t>9780231048187</t>
        </is>
      </c>
      <c r="BE2775" t="inlineStr">
        <is>
          <t>32285001134153</t>
        </is>
      </c>
      <c r="BF2775" t="inlineStr">
        <is>
          <t>893802665</t>
        </is>
      </c>
    </row>
    <row r="2776">
      <c r="A2776" t="inlineStr">
        <is>
          <t>No</t>
        </is>
      </c>
      <c r="B2776" t="inlineStr">
        <is>
          <t>CURAL</t>
        </is>
      </c>
      <c r="C2776" t="inlineStr">
        <is>
          <t>SHELVES</t>
        </is>
      </c>
      <c r="D2776" t="inlineStr">
        <is>
          <t>PR5908.L65 C38 1986</t>
        </is>
      </c>
      <c r="E2776" t="inlineStr">
        <is>
          <t>0                      PR 5908000L  65                 C  38          1986</t>
        </is>
      </c>
      <c r="F2776" t="inlineStr">
        <is>
          <t>Love and forgiveness in Yeats's poetry / by Catherine Cavanaugh.</t>
        </is>
      </c>
      <c r="H2776" t="inlineStr">
        <is>
          <t>No</t>
        </is>
      </c>
      <c r="I2776" t="inlineStr">
        <is>
          <t>1</t>
        </is>
      </c>
      <c r="J2776" t="inlineStr">
        <is>
          <t>No</t>
        </is>
      </c>
      <c r="K2776" t="inlineStr">
        <is>
          <t>No</t>
        </is>
      </c>
      <c r="L2776" t="inlineStr">
        <is>
          <t>0</t>
        </is>
      </c>
      <c r="M2776" t="inlineStr">
        <is>
          <t>Cavanaugh, Catherine, 1945-</t>
        </is>
      </c>
      <c r="N2776" t="inlineStr">
        <is>
          <t>Ann Arbor, Mich. : UMI Research Press, c1986.</t>
        </is>
      </c>
      <c r="O2776" t="inlineStr">
        <is>
          <t>1986</t>
        </is>
      </c>
      <c r="Q2776" t="inlineStr">
        <is>
          <t>eng</t>
        </is>
      </c>
      <c r="R2776" t="inlineStr">
        <is>
          <t>miu</t>
        </is>
      </c>
      <c r="S2776" t="inlineStr">
        <is>
          <t>Studies in modern literature ; no. 57</t>
        </is>
      </c>
      <c r="T2776" t="inlineStr">
        <is>
          <t xml:space="preserve">PR </t>
        </is>
      </c>
      <c r="U2776" t="n">
        <v>4</v>
      </c>
      <c r="V2776" t="n">
        <v>4</v>
      </c>
      <c r="W2776" t="inlineStr">
        <is>
          <t>1999-03-28</t>
        </is>
      </c>
      <c r="X2776" t="inlineStr">
        <is>
          <t>1999-03-28</t>
        </is>
      </c>
      <c r="Y2776" t="inlineStr">
        <is>
          <t>1992-06-24</t>
        </is>
      </c>
      <c r="Z2776" t="inlineStr">
        <is>
          <t>1992-06-24</t>
        </is>
      </c>
      <c r="AA2776" t="n">
        <v>280</v>
      </c>
      <c r="AB2776" t="n">
        <v>221</v>
      </c>
      <c r="AC2776" t="n">
        <v>228</v>
      </c>
      <c r="AD2776" t="n">
        <v>3</v>
      </c>
      <c r="AE2776" t="n">
        <v>3</v>
      </c>
      <c r="AF2776" t="n">
        <v>18</v>
      </c>
      <c r="AG2776" t="n">
        <v>18</v>
      </c>
      <c r="AH2776" t="n">
        <v>6</v>
      </c>
      <c r="AI2776" t="n">
        <v>6</v>
      </c>
      <c r="AJ2776" t="n">
        <v>6</v>
      </c>
      <c r="AK2776" t="n">
        <v>6</v>
      </c>
      <c r="AL2776" t="n">
        <v>11</v>
      </c>
      <c r="AM2776" t="n">
        <v>11</v>
      </c>
      <c r="AN2776" t="n">
        <v>2</v>
      </c>
      <c r="AO2776" t="n">
        <v>2</v>
      </c>
      <c r="AP2776" t="n">
        <v>0</v>
      </c>
      <c r="AQ2776" t="n">
        <v>0</v>
      </c>
      <c r="AR2776" t="inlineStr">
        <is>
          <t>No</t>
        </is>
      </c>
      <c r="AS2776" t="inlineStr">
        <is>
          <t>Yes</t>
        </is>
      </c>
      <c r="AT2776">
        <f>HYPERLINK("http://catalog.hathitrust.org/Record/000665039","HathiTrust Record")</f>
        <v/>
      </c>
      <c r="AU2776">
        <f>HYPERLINK("https://creighton-primo.hosted.exlibrisgroup.com/primo-explore/search?tab=default_tab&amp;search_scope=EVERYTHING&amp;vid=01CRU&amp;lang=en_US&amp;offset=0&amp;query=any,contains,991000714769702656","Catalog Record")</f>
        <v/>
      </c>
      <c r="AV2776">
        <f>HYPERLINK("http://www.worldcat.org/oclc/12614651","WorldCat Record")</f>
        <v/>
      </c>
      <c r="AW2776" t="inlineStr">
        <is>
          <t>5082825:eng</t>
        </is>
      </c>
      <c r="AX2776" t="inlineStr">
        <is>
          <t>12614651</t>
        </is>
      </c>
      <c r="AY2776" t="inlineStr">
        <is>
          <t>991000714769702656</t>
        </is>
      </c>
      <c r="AZ2776" t="inlineStr">
        <is>
          <t>991000714769702656</t>
        </is>
      </c>
      <c r="BA2776" t="inlineStr">
        <is>
          <t>2259951530002656</t>
        </is>
      </c>
      <c r="BB2776" t="inlineStr">
        <is>
          <t>BOOK</t>
        </is>
      </c>
      <c r="BD2776" t="inlineStr">
        <is>
          <t>9780835717281</t>
        </is>
      </c>
      <c r="BE2776" t="inlineStr">
        <is>
          <t>32285001134161</t>
        </is>
      </c>
      <c r="BF2776" t="inlineStr">
        <is>
          <t>893720765</t>
        </is>
      </c>
    </row>
    <row r="2777">
      <c r="A2777" t="inlineStr">
        <is>
          <t>No</t>
        </is>
      </c>
      <c r="B2777" t="inlineStr">
        <is>
          <t>CURAL</t>
        </is>
      </c>
      <c r="C2777" t="inlineStr">
        <is>
          <t>SHELVES</t>
        </is>
      </c>
      <c r="D2777" t="inlineStr">
        <is>
          <t>PR5908.M8 S4</t>
        </is>
      </c>
      <c r="E2777" t="inlineStr">
        <is>
          <t>0                      PR 5908000M  8                  S  4</t>
        </is>
      </c>
      <c r="F2777" t="inlineStr">
        <is>
          <t>William Butler Yeats: the poet as a mythmaker, 1865--1939.</t>
        </is>
      </c>
      <c r="H2777" t="inlineStr">
        <is>
          <t>No</t>
        </is>
      </c>
      <c r="I2777" t="inlineStr">
        <is>
          <t>1</t>
        </is>
      </c>
      <c r="J2777" t="inlineStr">
        <is>
          <t>No</t>
        </is>
      </c>
      <c r="K2777" t="inlineStr">
        <is>
          <t>No</t>
        </is>
      </c>
      <c r="L2777" t="inlineStr">
        <is>
          <t>0</t>
        </is>
      </c>
      <c r="M2777" t="inlineStr">
        <is>
          <t>Seiden, Morton Irving, 1921-2000.</t>
        </is>
      </c>
      <c r="N2777" t="inlineStr">
        <is>
          <t>[East Lansing] Michigan State University Press, 1962.</t>
        </is>
      </c>
      <c r="O2777" t="inlineStr">
        <is>
          <t>1962</t>
        </is>
      </c>
      <c r="Q2777" t="inlineStr">
        <is>
          <t>eng</t>
        </is>
      </c>
      <c r="R2777" t="inlineStr">
        <is>
          <t>miu</t>
        </is>
      </c>
      <c r="T2777" t="inlineStr">
        <is>
          <t xml:space="preserve">PR </t>
        </is>
      </c>
      <c r="U2777" t="n">
        <v>5</v>
      </c>
      <c r="V2777" t="n">
        <v>5</v>
      </c>
      <c r="W2777" t="inlineStr">
        <is>
          <t>2004-12-06</t>
        </is>
      </c>
      <c r="X2777" t="inlineStr">
        <is>
          <t>2004-12-06</t>
        </is>
      </c>
      <c r="Y2777" t="inlineStr">
        <is>
          <t>1997-07-23</t>
        </is>
      </c>
      <c r="Z2777" t="inlineStr">
        <is>
          <t>1997-07-23</t>
        </is>
      </c>
      <c r="AA2777" t="n">
        <v>586</v>
      </c>
      <c r="AB2777" t="n">
        <v>511</v>
      </c>
      <c r="AC2777" t="n">
        <v>666</v>
      </c>
      <c r="AD2777" t="n">
        <v>7</v>
      </c>
      <c r="AE2777" t="n">
        <v>9</v>
      </c>
      <c r="AF2777" t="n">
        <v>30</v>
      </c>
      <c r="AG2777" t="n">
        <v>37</v>
      </c>
      <c r="AH2777" t="n">
        <v>9</v>
      </c>
      <c r="AI2777" t="n">
        <v>13</v>
      </c>
      <c r="AJ2777" t="n">
        <v>9</v>
      </c>
      <c r="AK2777" t="n">
        <v>10</v>
      </c>
      <c r="AL2777" t="n">
        <v>13</v>
      </c>
      <c r="AM2777" t="n">
        <v>15</v>
      </c>
      <c r="AN2777" t="n">
        <v>6</v>
      </c>
      <c r="AO2777" t="n">
        <v>7</v>
      </c>
      <c r="AP2777" t="n">
        <v>0</v>
      </c>
      <c r="AQ2777" t="n">
        <v>0</v>
      </c>
      <c r="AR2777" t="inlineStr">
        <is>
          <t>Yes</t>
        </is>
      </c>
      <c r="AS2777" t="inlineStr">
        <is>
          <t>No</t>
        </is>
      </c>
      <c r="AT2777">
        <f>HYPERLINK("http://catalog.hathitrust.org/Record/001189194","HathiTrust Record")</f>
        <v/>
      </c>
      <c r="AU2777">
        <f>HYPERLINK("https://creighton-primo.hosted.exlibrisgroup.com/primo-explore/search?tab=default_tab&amp;search_scope=EVERYTHING&amp;vid=01CRU&amp;lang=en_US&amp;offset=0&amp;query=any,contains,991002257349702656","Catalog Record")</f>
        <v/>
      </c>
      <c r="AV2777">
        <f>HYPERLINK("http://www.worldcat.org/oclc/302270","WorldCat Record")</f>
        <v/>
      </c>
      <c r="AW2777" t="inlineStr">
        <is>
          <t>4417320587:eng</t>
        </is>
      </c>
      <c r="AX2777" t="inlineStr">
        <is>
          <t>302270</t>
        </is>
      </c>
      <c r="AY2777" t="inlineStr">
        <is>
          <t>991002257349702656</t>
        </is>
      </c>
      <c r="AZ2777" t="inlineStr">
        <is>
          <t>991002257349702656</t>
        </is>
      </c>
      <c r="BA2777" t="inlineStr">
        <is>
          <t>2272136730002656</t>
        </is>
      </c>
      <c r="BB2777" t="inlineStr">
        <is>
          <t>BOOK</t>
        </is>
      </c>
      <c r="BE2777" t="inlineStr">
        <is>
          <t>32285002952892</t>
        </is>
      </c>
      <c r="BF2777" t="inlineStr">
        <is>
          <t>893873292</t>
        </is>
      </c>
    </row>
    <row r="2778">
      <c r="A2778" t="inlineStr">
        <is>
          <t>No</t>
        </is>
      </c>
      <c r="B2778" t="inlineStr">
        <is>
          <t>CURAL</t>
        </is>
      </c>
      <c r="C2778" t="inlineStr">
        <is>
          <t>SHELVES</t>
        </is>
      </c>
      <c r="D2778" t="inlineStr">
        <is>
          <t>PR5908.O25 H37 1974b</t>
        </is>
      </c>
      <c r="E2778" t="inlineStr">
        <is>
          <t>0                      PR 5908000O  25                 H  37          1974b</t>
        </is>
      </c>
      <c r="F2778" t="inlineStr">
        <is>
          <t>Yeats's Golden Dawn / George Mills Harper.</t>
        </is>
      </c>
      <c r="H2778" t="inlineStr">
        <is>
          <t>No</t>
        </is>
      </c>
      <c r="I2778" t="inlineStr">
        <is>
          <t>1</t>
        </is>
      </c>
      <c r="J2778" t="inlineStr">
        <is>
          <t>No</t>
        </is>
      </c>
      <c r="K2778" t="inlineStr">
        <is>
          <t>No</t>
        </is>
      </c>
      <c r="L2778" t="inlineStr">
        <is>
          <t>0</t>
        </is>
      </c>
      <c r="M2778" t="inlineStr">
        <is>
          <t>Harper, George Mills.</t>
        </is>
      </c>
      <c r="N2778" t="inlineStr">
        <is>
          <t>New York : Barnes &amp; Noble, 1974.</t>
        </is>
      </c>
      <c r="O2778" t="inlineStr">
        <is>
          <t>1974</t>
        </is>
      </c>
      <c r="Q2778" t="inlineStr">
        <is>
          <t>eng</t>
        </is>
      </c>
      <c r="R2778" t="inlineStr">
        <is>
          <t>nyu</t>
        </is>
      </c>
      <c r="T2778" t="inlineStr">
        <is>
          <t xml:space="preserve">PR </t>
        </is>
      </c>
      <c r="U2778" t="n">
        <v>3</v>
      </c>
      <c r="V2778" t="n">
        <v>3</v>
      </c>
      <c r="W2778" t="inlineStr">
        <is>
          <t>2007-12-04</t>
        </is>
      </c>
      <c r="X2778" t="inlineStr">
        <is>
          <t>2007-12-04</t>
        </is>
      </c>
      <c r="Y2778" t="inlineStr">
        <is>
          <t>1993-01-05</t>
        </is>
      </c>
      <c r="Z2778" t="inlineStr">
        <is>
          <t>1993-01-05</t>
        </is>
      </c>
      <c r="AA2778" t="n">
        <v>454</v>
      </c>
      <c r="AB2778" t="n">
        <v>430</v>
      </c>
      <c r="AC2778" t="n">
        <v>532</v>
      </c>
      <c r="AD2778" t="n">
        <v>5</v>
      </c>
      <c r="AE2778" t="n">
        <v>5</v>
      </c>
      <c r="AF2778" t="n">
        <v>25</v>
      </c>
      <c r="AG2778" t="n">
        <v>28</v>
      </c>
      <c r="AH2778" t="n">
        <v>10</v>
      </c>
      <c r="AI2778" t="n">
        <v>10</v>
      </c>
      <c r="AJ2778" t="n">
        <v>4</v>
      </c>
      <c r="AK2778" t="n">
        <v>6</v>
      </c>
      <c r="AL2778" t="n">
        <v>13</v>
      </c>
      <c r="AM2778" t="n">
        <v>15</v>
      </c>
      <c r="AN2778" t="n">
        <v>4</v>
      </c>
      <c r="AO2778" t="n">
        <v>4</v>
      </c>
      <c r="AP2778" t="n">
        <v>0</v>
      </c>
      <c r="AQ2778" t="n">
        <v>0</v>
      </c>
      <c r="AR2778" t="inlineStr">
        <is>
          <t>No</t>
        </is>
      </c>
      <c r="AS2778" t="inlineStr">
        <is>
          <t>No</t>
        </is>
      </c>
      <c r="AU2778">
        <f>HYPERLINK("https://creighton-primo.hosted.exlibrisgroup.com/primo-explore/search?tab=default_tab&amp;search_scope=EVERYTHING&amp;vid=01CRU&amp;lang=en_US&amp;offset=0&amp;query=any,contains,991003564609702656","Catalog Record")</f>
        <v/>
      </c>
      <c r="AV2778">
        <f>HYPERLINK("http://www.worldcat.org/oclc/1137056","WorldCat Record")</f>
        <v/>
      </c>
      <c r="AW2778" t="inlineStr">
        <is>
          <t>2055380:eng</t>
        </is>
      </c>
      <c r="AX2778" t="inlineStr">
        <is>
          <t>1137056</t>
        </is>
      </c>
      <c r="AY2778" t="inlineStr">
        <is>
          <t>991003564609702656</t>
        </is>
      </c>
      <c r="AZ2778" t="inlineStr">
        <is>
          <t>991003564609702656</t>
        </is>
      </c>
      <c r="BA2778" t="inlineStr">
        <is>
          <t>2268384470002656</t>
        </is>
      </c>
      <c r="BB2778" t="inlineStr">
        <is>
          <t>BOOK</t>
        </is>
      </c>
      <c r="BD2778" t="inlineStr">
        <is>
          <t>9780064927185</t>
        </is>
      </c>
      <c r="BE2778" t="inlineStr">
        <is>
          <t>32285001471944</t>
        </is>
      </c>
      <c r="BF2778" t="inlineStr">
        <is>
          <t>893705363</t>
        </is>
      </c>
    </row>
    <row r="2779">
      <c r="A2779" t="inlineStr">
        <is>
          <t>No</t>
        </is>
      </c>
      <c r="B2779" t="inlineStr">
        <is>
          <t>CURAL</t>
        </is>
      </c>
      <c r="C2779" t="inlineStr">
        <is>
          <t>SHELVES</t>
        </is>
      </c>
      <c r="D2779" t="inlineStr">
        <is>
          <t>PR5908.O25 H68 1984</t>
        </is>
      </c>
      <c r="E2779" t="inlineStr">
        <is>
          <t>0                      PR 5908000O  25                 H  68          1984</t>
        </is>
      </c>
      <c r="F2779" t="inlineStr">
        <is>
          <t>The mystery religion of W.B. Yeats / Graham Hough.</t>
        </is>
      </c>
      <c r="H2779" t="inlineStr">
        <is>
          <t>No</t>
        </is>
      </c>
      <c r="I2779" t="inlineStr">
        <is>
          <t>1</t>
        </is>
      </c>
      <c r="J2779" t="inlineStr">
        <is>
          <t>No</t>
        </is>
      </c>
      <c r="K2779" t="inlineStr">
        <is>
          <t>No</t>
        </is>
      </c>
      <c r="L2779" t="inlineStr">
        <is>
          <t>0</t>
        </is>
      </c>
      <c r="M2779" t="inlineStr">
        <is>
          <t>Hough, Graham, 1908-1990.</t>
        </is>
      </c>
      <c r="N2779" t="inlineStr">
        <is>
          <t>Brighton, Sussex : Harvester Press ; Totowa, N.J. : Barnes &amp; Noble, 1984.</t>
        </is>
      </c>
      <c r="O2779" t="inlineStr">
        <is>
          <t>1984</t>
        </is>
      </c>
      <c r="Q2779" t="inlineStr">
        <is>
          <t>eng</t>
        </is>
      </c>
      <c r="R2779" t="inlineStr">
        <is>
          <t>enk</t>
        </is>
      </c>
      <c r="T2779" t="inlineStr">
        <is>
          <t xml:space="preserve">PR </t>
        </is>
      </c>
      <c r="U2779" t="n">
        <v>5</v>
      </c>
      <c r="V2779" t="n">
        <v>5</v>
      </c>
      <c r="W2779" t="inlineStr">
        <is>
          <t>2001-09-21</t>
        </is>
      </c>
      <c r="X2779" t="inlineStr">
        <is>
          <t>2001-09-21</t>
        </is>
      </c>
      <c r="Y2779" t="inlineStr">
        <is>
          <t>1992-06-24</t>
        </is>
      </c>
      <c r="Z2779" t="inlineStr">
        <is>
          <t>1992-06-24</t>
        </is>
      </c>
      <c r="AA2779" t="n">
        <v>577</v>
      </c>
      <c r="AB2779" t="n">
        <v>423</v>
      </c>
      <c r="AC2779" t="n">
        <v>425</v>
      </c>
      <c r="AD2779" t="n">
        <v>4</v>
      </c>
      <c r="AE2779" t="n">
        <v>4</v>
      </c>
      <c r="AF2779" t="n">
        <v>23</v>
      </c>
      <c r="AG2779" t="n">
        <v>23</v>
      </c>
      <c r="AH2779" t="n">
        <v>9</v>
      </c>
      <c r="AI2779" t="n">
        <v>9</v>
      </c>
      <c r="AJ2779" t="n">
        <v>7</v>
      </c>
      <c r="AK2779" t="n">
        <v>7</v>
      </c>
      <c r="AL2779" t="n">
        <v>10</v>
      </c>
      <c r="AM2779" t="n">
        <v>10</v>
      </c>
      <c r="AN2779" t="n">
        <v>3</v>
      </c>
      <c r="AO2779" t="n">
        <v>3</v>
      </c>
      <c r="AP2779" t="n">
        <v>0</v>
      </c>
      <c r="AQ2779" t="n">
        <v>0</v>
      </c>
      <c r="AR2779" t="inlineStr">
        <is>
          <t>No</t>
        </is>
      </c>
      <c r="AS2779" t="inlineStr">
        <is>
          <t>Yes</t>
        </is>
      </c>
      <c r="AT2779">
        <f>HYPERLINK("http://catalog.hathitrust.org/Record/000288415","HathiTrust Record")</f>
        <v/>
      </c>
      <c r="AU2779">
        <f>HYPERLINK("https://creighton-primo.hosted.exlibrisgroup.com/primo-explore/search?tab=default_tab&amp;search_scope=EVERYTHING&amp;vid=01CRU&amp;lang=en_US&amp;offset=0&amp;query=any,contains,991000353099702656","Catalog Record")</f>
        <v/>
      </c>
      <c r="AV2779">
        <f>HYPERLINK("http://www.worldcat.org/oclc/10322408","WorldCat Record")</f>
        <v/>
      </c>
      <c r="AW2779" t="inlineStr">
        <is>
          <t>3239031:eng</t>
        </is>
      </c>
      <c r="AX2779" t="inlineStr">
        <is>
          <t>10322408</t>
        </is>
      </c>
      <c r="AY2779" t="inlineStr">
        <is>
          <t>991000353099702656</t>
        </is>
      </c>
      <c r="AZ2779" t="inlineStr">
        <is>
          <t>991000353099702656</t>
        </is>
      </c>
      <c r="BA2779" t="inlineStr">
        <is>
          <t>2266738410002656</t>
        </is>
      </c>
      <c r="BB2779" t="inlineStr">
        <is>
          <t>BOOK</t>
        </is>
      </c>
      <c r="BD2779" t="inlineStr">
        <is>
          <t>9780389204640</t>
        </is>
      </c>
      <c r="BE2779" t="inlineStr">
        <is>
          <t>32285001134179</t>
        </is>
      </c>
      <c r="BF2779" t="inlineStr">
        <is>
          <t>893884306</t>
        </is>
      </c>
    </row>
    <row r="2780">
      <c r="A2780" t="inlineStr">
        <is>
          <t>No</t>
        </is>
      </c>
      <c r="B2780" t="inlineStr">
        <is>
          <t>CURAL</t>
        </is>
      </c>
      <c r="C2780" t="inlineStr">
        <is>
          <t>SHELVES</t>
        </is>
      </c>
      <c r="D2780" t="inlineStr">
        <is>
          <t>PR5908.P5 S6</t>
        </is>
      </c>
      <c r="E2780" t="inlineStr">
        <is>
          <t>0                      PR 5908000P  5                  S  6</t>
        </is>
      </c>
      <c r="F2780" t="inlineStr">
        <is>
          <t>High talk; the philosophical poetry of W. B. Yeats.</t>
        </is>
      </c>
      <c r="H2780" t="inlineStr">
        <is>
          <t>No</t>
        </is>
      </c>
      <c r="I2780" t="inlineStr">
        <is>
          <t>1</t>
        </is>
      </c>
      <c r="J2780" t="inlineStr">
        <is>
          <t>No</t>
        </is>
      </c>
      <c r="K2780" t="inlineStr">
        <is>
          <t>No</t>
        </is>
      </c>
      <c r="L2780" t="inlineStr">
        <is>
          <t>0</t>
        </is>
      </c>
      <c r="M2780" t="inlineStr">
        <is>
          <t>Snukal, Robert.</t>
        </is>
      </c>
      <c r="N2780" t="inlineStr">
        <is>
          <t>Cambridge [Eng.] University Press, 1973.</t>
        </is>
      </c>
      <c r="O2780" t="inlineStr">
        <is>
          <t>1973</t>
        </is>
      </c>
      <c r="Q2780" t="inlineStr">
        <is>
          <t>eng</t>
        </is>
      </c>
      <c r="R2780" t="inlineStr">
        <is>
          <t>enk</t>
        </is>
      </c>
      <c r="T2780" t="inlineStr">
        <is>
          <t xml:space="preserve">PR </t>
        </is>
      </c>
      <c r="U2780" t="n">
        <v>2</v>
      </c>
      <c r="V2780" t="n">
        <v>2</v>
      </c>
      <c r="W2780" t="inlineStr">
        <is>
          <t>2006-03-25</t>
        </is>
      </c>
      <c r="X2780" t="inlineStr">
        <is>
          <t>2006-03-25</t>
        </is>
      </c>
      <c r="Y2780" t="inlineStr">
        <is>
          <t>1997-07-23</t>
        </is>
      </c>
      <c r="Z2780" t="inlineStr">
        <is>
          <t>1997-07-23</t>
        </is>
      </c>
      <c r="AA2780" t="n">
        <v>646</v>
      </c>
      <c r="AB2780" t="n">
        <v>478</v>
      </c>
      <c r="AC2780" t="n">
        <v>485</v>
      </c>
      <c r="AD2780" t="n">
        <v>5</v>
      </c>
      <c r="AE2780" t="n">
        <v>5</v>
      </c>
      <c r="AF2780" t="n">
        <v>23</v>
      </c>
      <c r="AG2780" t="n">
        <v>23</v>
      </c>
      <c r="AH2780" t="n">
        <v>5</v>
      </c>
      <c r="AI2780" t="n">
        <v>5</v>
      </c>
      <c r="AJ2780" t="n">
        <v>7</v>
      </c>
      <c r="AK2780" t="n">
        <v>7</v>
      </c>
      <c r="AL2780" t="n">
        <v>12</v>
      </c>
      <c r="AM2780" t="n">
        <v>12</v>
      </c>
      <c r="AN2780" t="n">
        <v>4</v>
      </c>
      <c r="AO2780" t="n">
        <v>4</v>
      </c>
      <c r="AP2780" t="n">
        <v>0</v>
      </c>
      <c r="AQ2780" t="n">
        <v>0</v>
      </c>
      <c r="AR2780" t="inlineStr">
        <is>
          <t>No</t>
        </is>
      </c>
      <c r="AS2780" t="inlineStr">
        <is>
          <t>No</t>
        </is>
      </c>
      <c r="AU2780">
        <f>HYPERLINK("https://creighton-primo.hosted.exlibrisgroup.com/primo-explore/search?tab=default_tab&amp;search_scope=EVERYTHING&amp;vid=01CRU&amp;lang=en_US&amp;offset=0&amp;query=any,contains,991003162869702656","Catalog Record")</f>
        <v/>
      </c>
      <c r="AV2780">
        <f>HYPERLINK("http://www.worldcat.org/oclc/701433","WorldCat Record")</f>
        <v/>
      </c>
      <c r="AW2780" t="inlineStr">
        <is>
          <t>795009323:eng</t>
        </is>
      </c>
      <c r="AX2780" t="inlineStr">
        <is>
          <t>701433</t>
        </is>
      </c>
      <c r="AY2780" t="inlineStr">
        <is>
          <t>991003162869702656</t>
        </is>
      </c>
      <c r="AZ2780" t="inlineStr">
        <is>
          <t>991003162869702656</t>
        </is>
      </c>
      <c r="BA2780" t="inlineStr">
        <is>
          <t>2254742160002656</t>
        </is>
      </c>
      <c r="BB2780" t="inlineStr">
        <is>
          <t>BOOK</t>
        </is>
      </c>
      <c r="BD2780" t="inlineStr">
        <is>
          <t>9780521200578</t>
        </is>
      </c>
      <c r="BE2780" t="inlineStr">
        <is>
          <t>32285002952900</t>
        </is>
      </c>
      <c r="BF2780" t="inlineStr">
        <is>
          <t>893704971</t>
        </is>
      </c>
    </row>
    <row r="2781">
      <c r="A2781" t="inlineStr">
        <is>
          <t>No</t>
        </is>
      </c>
      <c r="B2781" t="inlineStr">
        <is>
          <t>CURAL</t>
        </is>
      </c>
      <c r="C2781" t="inlineStr">
        <is>
          <t>SHELVES</t>
        </is>
      </c>
      <c r="D2781" t="inlineStr">
        <is>
          <t>PR5908.P6 C8 1981</t>
        </is>
      </c>
      <c r="E2781" t="inlineStr">
        <is>
          <t>0                      PR 5908000P  6                  C  8           1981</t>
        </is>
      </c>
      <c r="F2781" t="inlineStr">
        <is>
          <t>Yeats, Ireland and fascism / Elizabeth Cullingford.</t>
        </is>
      </c>
      <c r="H2781" t="inlineStr">
        <is>
          <t>No</t>
        </is>
      </c>
      <c r="I2781" t="inlineStr">
        <is>
          <t>1</t>
        </is>
      </c>
      <c r="J2781" t="inlineStr">
        <is>
          <t>No</t>
        </is>
      </c>
      <c r="K2781" t="inlineStr">
        <is>
          <t>No</t>
        </is>
      </c>
      <c r="L2781" t="inlineStr">
        <is>
          <t>0</t>
        </is>
      </c>
      <c r="M2781" t="inlineStr">
        <is>
          <t>Cullingford, Elizabeth.</t>
        </is>
      </c>
      <c r="N2781" t="inlineStr">
        <is>
          <t>New York : New York University Press, 1981.</t>
        </is>
      </c>
      <c r="O2781" t="inlineStr">
        <is>
          <t>1981</t>
        </is>
      </c>
      <c r="Q2781" t="inlineStr">
        <is>
          <t>eng</t>
        </is>
      </c>
      <c r="R2781" t="inlineStr">
        <is>
          <t>nyu</t>
        </is>
      </c>
      <c r="S2781" t="inlineStr">
        <is>
          <t>The Gotham library of the New York University Press</t>
        </is>
      </c>
      <c r="T2781" t="inlineStr">
        <is>
          <t xml:space="preserve">PR </t>
        </is>
      </c>
      <c r="U2781" t="n">
        <v>1</v>
      </c>
      <c r="V2781" t="n">
        <v>1</v>
      </c>
      <c r="W2781" t="inlineStr">
        <is>
          <t>2003-11-24</t>
        </is>
      </c>
      <c r="X2781" t="inlineStr">
        <is>
          <t>2003-11-24</t>
        </is>
      </c>
      <c r="Y2781" t="inlineStr">
        <is>
          <t>1992-06-24</t>
        </is>
      </c>
      <c r="Z2781" t="inlineStr">
        <is>
          <t>1992-06-24</t>
        </is>
      </c>
      <c r="AA2781" t="n">
        <v>499</v>
      </c>
      <c r="AB2781" t="n">
        <v>445</v>
      </c>
      <c r="AC2781" t="n">
        <v>476</v>
      </c>
      <c r="AD2781" t="n">
        <v>3</v>
      </c>
      <c r="AE2781" t="n">
        <v>3</v>
      </c>
      <c r="AF2781" t="n">
        <v>28</v>
      </c>
      <c r="AG2781" t="n">
        <v>28</v>
      </c>
      <c r="AH2781" t="n">
        <v>13</v>
      </c>
      <c r="AI2781" t="n">
        <v>13</v>
      </c>
      <c r="AJ2781" t="n">
        <v>8</v>
      </c>
      <c r="AK2781" t="n">
        <v>8</v>
      </c>
      <c r="AL2781" t="n">
        <v>14</v>
      </c>
      <c r="AM2781" t="n">
        <v>14</v>
      </c>
      <c r="AN2781" t="n">
        <v>2</v>
      </c>
      <c r="AO2781" t="n">
        <v>2</v>
      </c>
      <c r="AP2781" t="n">
        <v>0</v>
      </c>
      <c r="AQ2781" t="n">
        <v>0</v>
      </c>
      <c r="AR2781" t="inlineStr">
        <is>
          <t>No</t>
        </is>
      </c>
      <c r="AS2781" t="inlineStr">
        <is>
          <t>No</t>
        </is>
      </c>
      <c r="AU2781">
        <f>HYPERLINK("https://creighton-primo.hosted.exlibrisgroup.com/primo-explore/search?tab=default_tab&amp;search_scope=EVERYTHING&amp;vid=01CRU&amp;lang=en_US&amp;offset=0&amp;query=any,contains,991004937279702656","Catalog Record")</f>
        <v/>
      </c>
      <c r="AV2781">
        <f>HYPERLINK("http://www.worldcat.org/oclc/6143974","WorldCat Record")</f>
        <v/>
      </c>
      <c r="AW2781" t="inlineStr">
        <is>
          <t>476561:eng</t>
        </is>
      </c>
      <c r="AX2781" t="inlineStr">
        <is>
          <t>6143974</t>
        </is>
      </c>
      <c r="AY2781" t="inlineStr">
        <is>
          <t>991004937279702656</t>
        </is>
      </c>
      <c r="AZ2781" t="inlineStr">
        <is>
          <t>991004937279702656</t>
        </is>
      </c>
      <c r="BA2781" t="inlineStr">
        <is>
          <t>2260074320002656</t>
        </is>
      </c>
      <c r="BB2781" t="inlineStr">
        <is>
          <t>BOOK</t>
        </is>
      </c>
      <c r="BD2781" t="inlineStr">
        <is>
          <t>9780814713808</t>
        </is>
      </c>
      <c r="BE2781" t="inlineStr">
        <is>
          <t>32285001134195</t>
        </is>
      </c>
      <c r="BF2781" t="inlineStr">
        <is>
          <t>893719573</t>
        </is>
      </c>
    </row>
    <row r="2782">
      <c r="A2782" t="inlineStr">
        <is>
          <t>No</t>
        </is>
      </c>
      <c r="B2782" t="inlineStr">
        <is>
          <t>CURAL</t>
        </is>
      </c>
      <c r="C2782" t="inlineStr">
        <is>
          <t>SHELVES</t>
        </is>
      </c>
      <c r="D2782" t="inlineStr">
        <is>
          <t>PR5908.P6 F73</t>
        </is>
      </c>
      <c r="E2782" t="inlineStr">
        <is>
          <t>0                      PR 5908000P  6                  F  73</t>
        </is>
      </c>
      <c r="F2782" t="inlineStr">
        <is>
          <t>W.B. Yeats and the anti-democratic tradition / Grattan Freyer.</t>
        </is>
      </c>
      <c r="H2782" t="inlineStr">
        <is>
          <t>No</t>
        </is>
      </c>
      <c r="I2782" t="inlineStr">
        <is>
          <t>1</t>
        </is>
      </c>
      <c r="J2782" t="inlineStr">
        <is>
          <t>No</t>
        </is>
      </c>
      <c r="K2782" t="inlineStr">
        <is>
          <t>No</t>
        </is>
      </c>
      <c r="L2782" t="inlineStr">
        <is>
          <t>0</t>
        </is>
      </c>
      <c r="M2782" t="inlineStr">
        <is>
          <t>Freyer, Grattan.</t>
        </is>
      </c>
      <c r="N2782" t="inlineStr">
        <is>
          <t>Dublin : Gill and Macmillan ; Totowa, N.J. : Barnes &amp; Noble, 1981.</t>
        </is>
      </c>
      <c r="O2782" t="inlineStr">
        <is>
          <t>1981</t>
        </is>
      </c>
      <c r="Q2782" t="inlineStr">
        <is>
          <t>eng</t>
        </is>
      </c>
      <c r="R2782" t="inlineStr">
        <is>
          <t xml:space="preserve">ie </t>
        </is>
      </c>
      <c r="T2782" t="inlineStr">
        <is>
          <t xml:space="preserve">PR </t>
        </is>
      </c>
      <c r="U2782" t="n">
        <v>4</v>
      </c>
      <c r="V2782" t="n">
        <v>4</v>
      </c>
      <c r="W2782" t="inlineStr">
        <is>
          <t>2005-11-06</t>
        </is>
      </c>
      <c r="X2782" t="inlineStr">
        <is>
          <t>2005-11-06</t>
        </is>
      </c>
      <c r="Y2782" t="inlineStr">
        <is>
          <t>1990-06-07</t>
        </is>
      </c>
      <c r="Z2782" t="inlineStr">
        <is>
          <t>1990-06-07</t>
        </is>
      </c>
      <c r="AA2782" t="n">
        <v>460</v>
      </c>
      <c r="AB2782" t="n">
        <v>330</v>
      </c>
      <c r="AC2782" t="n">
        <v>332</v>
      </c>
      <c r="AD2782" t="n">
        <v>5</v>
      </c>
      <c r="AE2782" t="n">
        <v>5</v>
      </c>
      <c r="AF2782" t="n">
        <v>23</v>
      </c>
      <c r="AG2782" t="n">
        <v>23</v>
      </c>
      <c r="AH2782" t="n">
        <v>10</v>
      </c>
      <c r="AI2782" t="n">
        <v>10</v>
      </c>
      <c r="AJ2782" t="n">
        <v>6</v>
      </c>
      <c r="AK2782" t="n">
        <v>6</v>
      </c>
      <c r="AL2782" t="n">
        <v>12</v>
      </c>
      <c r="AM2782" t="n">
        <v>12</v>
      </c>
      <c r="AN2782" t="n">
        <v>4</v>
      </c>
      <c r="AO2782" t="n">
        <v>4</v>
      </c>
      <c r="AP2782" t="n">
        <v>0</v>
      </c>
      <c r="AQ2782" t="n">
        <v>0</v>
      </c>
      <c r="AR2782" t="inlineStr">
        <is>
          <t>No</t>
        </is>
      </c>
      <c r="AS2782" t="inlineStr">
        <is>
          <t>Yes</t>
        </is>
      </c>
      <c r="AT2782">
        <f>HYPERLINK("http://catalog.hathitrust.org/Record/000265740","HathiTrust Record")</f>
        <v/>
      </c>
      <c r="AU2782">
        <f>HYPERLINK("https://creighton-primo.hosted.exlibrisgroup.com/primo-explore/search?tab=default_tab&amp;search_scope=EVERYTHING&amp;vid=01CRU&amp;lang=en_US&amp;offset=0&amp;query=any,contains,991005200019702656","Catalog Record")</f>
        <v/>
      </c>
      <c r="AV2782">
        <f>HYPERLINK("http://www.worldcat.org/oclc/10849609","WorldCat Record")</f>
        <v/>
      </c>
      <c r="AW2782" t="inlineStr">
        <is>
          <t>3681169:eng</t>
        </is>
      </c>
      <c r="AX2782" t="inlineStr">
        <is>
          <t>10849609</t>
        </is>
      </c>
      <c r="AY2782" t="inlineStr">
        <is>
          <t>991005200019702656</t>
        </is>
      </c>
      <c r="AZ2782" t="inlineStr">
        <is>
          <t>991005200019702656</t>
        </is>
      </c>
      <c r="BA2782" t="inlineStr">
        <is>
          <t>2261475560002656</t>
        </is>
      </c>
      <c r="BB2782" t="inlineStr">
        <is>
          <t>BOOK</t>
        </is>
      </c>
      <c r="BD2782" t="inlineStr">
        <is>
          <t>9780389201663</t>
        </is>
      </c>
      <c r="BE2782" t="inlineStr">
        <is>
          <t>32285000184027</t>
        </is>
      </c>
      <c r="BF2782" t="inlineStr">
        <is>
          <t>893807984</t>
        </is>
      </c>
    </row>
    <row r="2783">
      <c r="A2783" t="inlineStr">
        <is>
          <t>No</t>
        </is>
      </c>
      <c r="B2783" t="inlineStr">
        <is>
          <t>CURAL</t>
        </is>
      </c>
      <c r="C2783" t="inlineStr">
        <is>
          <t>SHELVES</t>
        </is>
      </c>
      <c r="D2783" t="inlineStr">
        <is>
          <t>PR5908.P6 K92</t>
        </is>
      </c>
      <c r="E2783" t="inlineStr">
        <is>
          <t>0                      PR 5908000P  6                  K  92</t>
        </is>
      </c>
      <c r="F2783" t="inlineStr">
        <is>
          <t>W.B. Yeats and the emergence of the Irish Free State 1918-1939 : living in the explosion / by Bernard G. Krimm.</t>
        </is>
      </c>
      <c r="H2783" t="inlineStr">
        <is>
          <t>No</t>
        </is>
      </c>
      <c r="I2783" t="inlineStr">
        <is>
          <t>1</t>
        </is>
      </c>
      <c r="J2783" t="inlineStr">
        <is>
          <t>No</t>
        </is>
      </c>
      <c r="K2783" t="inlineStr">
        <is>
          <t>No</t>
        </is>
      </c>
      <c r="L2783" t="inlineStr">
        <is>
          <t>0</t>
        </is>
      </c>
      <c r="M2783" t="inlineStr">
        <is>
          <t>Krimm, Bernard G.</t>
        </is>
      </c>
      <c r="N2783" t="inlineStr">
        <is>
          <t>Troy, N.Y. : Whitston Pub. Co., 1981.</t>
        </is>
      </c>
      <c r="O2783" t="inlineStr">
        <is>
          <t>1981</t>
        </is>
      </c>
      <c r="Q2783" t="inlineStr">
        <is>
          <t>eng</t>
        </is>
      </c>
      <c r="R2783" t="inlineStr">
        <is>
          <t>nyu</t>
        </is>
      </c>
      <c r="T2783" t="inlineStr">
        <is>
          <t xml:space="preserve">PR </t>
        </is>
      </c>
      <c r="U2783" t="n">
        <v>6</v>
      </c>
      <c r="V2783" t="n">
        <v>6</v>
      </c>
      <c r="W2783" t="inlineStr">
        <is>
          <t>2003-11-22</t>
        </is>
      </c>
      <c r="X2783" t="inlineStr">
        <is>
          <t>2003-11-22</t>
        </is>
      </c>
      <c r="Y2783" t="inlineStr">
        <is>
          <t>1992-06-24</t>
        </is>
      </c>
      <c r="Z2783" t="inlineStr">
        <is>
          <t>1992-06-24</t>
        </is>
      </c>
      <c r="AA2783" t="n">
        <v>286</v>
      </c>
      <c r="AB2783" t="n">
        <v>223</v>
      </c>
      <c r="AC2783" t="n">
        <v>312</v>
      </c>
      <c r="AD2783" t="n">
        <v>3</v>
      </c>
      <c r="AE2783" t="n">
        <v>3</v>
      </c>
      <c r="AF2783" t="n">
        <v>13</v>
      </c>
      <c r="AG2783" t="n">
        <v>20</v>
      </c>
      <c r="AH2783" t="n">
        <v>3</v>
      </c>
      <c r="AI2783" t="n">
        <v>9</v>
      </c>
      <c r="AJ2783" t="n">
        <v>4</v>
      </c>
      <c r="AK2783" t="n">
        <v>6</v>
      </c>
      <c r="AL2783" t="n">
        <v>7</v>
      </c>
      <c r="AM2783" t="n">
        <v>8</v>
      </c>
      <c r="AN2783" t="n">
        <v>2</v>
      </c>
      <c r="AO2783" t="n">
        <v>2</v>
      </c>
      <c r="AP2783" t="n">
        <v>0</v>
      </c>
      <c r="AQ2783" t="n">
        <v>0</v>
      </c>
      <c r="AR2783" t="inlineStr">
        <is>
          <t>No</t>
        </is>
      </c>
      <c r="AS2783" t="inlineStr">
        <is>
          <t>Yes</t>
        </is>
      </c>
      <c r="AT2783">
        <f>HYPERLINK("http://catalog.hathitrust.org/Record/000157019","HathiTrust Record")</f>
        <v/>
      </c>
      <c r="AU2783">
        <f>HYPERLINK("https://creighton-primo.hosted.exlibrisgroup.com/primo-explore/search?tab=default_tab&amp;search_scope=EVERYTHING&amp;vid=01CRU&amp;lang=en_US&amp;offset=0&amp;query=any,contains,991005092199702656","Catalog Record")</f>
        <v/>
      </c>
      <c r="AV2783">
        <f>HYPERLINK("http://www.worldcat.org/oclc/7238936","WorldCat Record")</f>
        <v/>
      </c>
      <c r="AW2783" t="inlineStr">
        <is>
          <t>538848:eng</t>
        </is>
      </c>
      <c r="AX2783" t="inlineStr">
        <is>
          <t>7238936</t>
        </is>
      </c>
      <c r="AY2783" t="inlineStr">
        <is>
          <t>991005092199702656</t>
        </is>
      </c>
      <c r="AZ2783" t="inlineStr">
        <is>
          <t>991005092199702656</t>
        </is>
      </c>
      <c r="BA2783" t="inlineStr">
        <is>
          <t>2268536530002656</t>
        </is>
      </c>
      <c r="BB2783" t="inlineStr">
        <is>
          <t>BOOK</t>
        </is>
      </c>
      <c r="BD2783" t="inlineStr">
        <is>
          <t>9780878752003</t>
        </is>
      </c>
      <c r="BE2783" t="inlineStr">
        <is>
          <t>32285001134203</t>
        </is>
      </c>
      <c r="BF2783" t="inlineStr">
        <is>
          <t>893719748</t>
        </is>
      </c>
    </row>
    <row r="2784">
      <c r="A2784" t="inlineStr">
        <is>
          <t>No</t>
        </is>
      </c>
      <c r="B2784" t="inlineStr">
        <is>
          <t>CURAL</t>
        </is>
      </c>
      <c r="C2784" t="inlineStr">
        <is>
          <t>SHELVES</t>
        </is>
      </c>
      <c r="D2784" t="inlineStr">
        <is>
          <t>PR5908.P6 S73 1988</t>
        </is>
      </c>
      <c r="E2784" t="inlineStr">
        <is>
          <t>0                      PR 5908000P  6                  S  73          1988</t>
        </is>
      </c>
      <c r="F2784" t="inlineStr">
        <is>
          <t>Yeats and politics in the 1930s / Paul Scott Stanfield.</t>
        </is>
      </c>
      <c r="H2784" t="inlineStr">
        <is>
          <t>No</t>
        </is>
      </c>
      <c r="I2784" t="inlineStr">
        <is>
          <t>1</t>
        </is>
      </c>
      <c r="J2784" t="inlineStr">
        <is>
          <t>No</t>
        </is>
      </c>
      <c r="K2784" t="inlineStr">
        <is>
          <t>No</t>
        </is>
      </c>
      <c r="L2784" t="inlineStr">
        <is>
          <t>0</t>
        </is>
      </c>
      <c r="M2784" t="inlineStr">
        <is>
          <t>Stanfield, Paul Scott, 1954-</t>
        </is>
      </c>
      <c r="N2784" t="inlineStr">
        <is>
          <t>Basingstoke : Macmillan, 1988.</t>
        </is>
      </c>
      <c r="O2784" t="inlineStr">
        <is>
          <t>1988</t>
        </is>
      </c>
      <c r="Q2784" t="inlineStr">
        <is>
          <t>eng</t>
        </is>
      </c>
      <c r="R2784" t="inlineStr">
        <is>
          <t>enk</t>
        </is>
      </c>
      <c r="S2784" t="inlineStr">
        <is>
          <t>Macmillan studies in Anglo-Irish literature</t>
        </is>
      </c>
      <c r="T2784" t="inlineStr">
        <is>
          <t xml:space="preserve">PR </t>
        </is>
      </c>
      <c r="U2784" t="n">
        <v>5</v>
      </c>
      <c r="V2784" t="n">
        <v>5</v>
      </c>
      <c r="W2784" t="inlineStr">
        <is>
          <t>2003-11-22</t>
        </is>
      </c>
      <c r="X2784" t="inlineStr">
        <is>
          <t>2003-11-22</t>
        </is>
      </c>
      <c r="Y2784" t="inlineStr">
        <is>
          <t>1992-06-24</t>
        </is>
      </c>
      <c r="Z2784" t="inlineStr">
        <is>
          <t>1992-06-24</t>
        </is>
      </c>
      <c r="AA2784" t="n">
        <v>148</v>
      </c>
      <c r="AB2784" t="n">
        <v>64</v>
      </c>
      <c r="AC2784" t="n">
        <v>219</v>
      </c>
      <c r="AD2784" t="n">
        <v>3</v>
      </c>
      <c r="AE2784" t="n">
        <v>4</v>
      </c>
      <c r="AF2784" t="n">
        <v>4</v>
      </c>
      <c r="AG2784" t="n">
        <v>15</v>
      </c>
      <c r="AH2784" t="n">
        <v>0</v>
      </c>
      <c r="AI2784" t="n">
        <v>5</v>
      </c>
      <c r="AJ2784" t="n">
        <v>1</v>
      </c>
      <c r="AK2784" t="n">
        <v>4</v>
      </c>
      <c r="AL2784" t="n">
        <v>2</v>
      </c>
      <c r="AM2784" t="n">
        <v>8</v>
      </c>
      <c r="AN2784" t="n">
        <v>2</v>
      </c>
      <c r="AO2784" t="n">
        <v>3</v>
      </c>
      <c r="AP2784" t="n">
        <v>0</v>
      </c>
      <c r="AQ2784" t="n">
        <v>0</v>
      </c>
      <c r="AR2784" t="inlineStr">
        <is>
          <t>No</t>
        </is>
      </c>
      <c r="AS2784" t="inlineStr">
        <is>
          <t>Yes</t>
        </is>
      </c>
      <c r="AT2784">
        <f>HYPERLINK("http://catalog.hathitrust.org/Record/000906323","HathiTrust Record")</f>
        <v/>
      </c>
      <c r="AU2784">
        <f>HYPERLINK("https://creighton-primo.hosted.exlibrisgroup.com/primo-explore/search?tab=default_tab&amp;search_scope=EVERYTHING&amp;vid=01CRU&amp;lang=en_US&amp;offset=0&amp;query=any,contains,991000911219702656","Catalog Record")</f>
        <v/>
      </c>
      <c r="AV2784">
        <f>HYPERLINK("http://www.worldcat.org/oclc/14134098","WorldCat Record")</f>
        <v/>
      </c>
      <c r="AW2784" t="inlineStr">
        <is>
          <t>7628027:eng</t>
        </is>
      </c>
      <c r="AX2784" t="inlineStr">
        <is>
          <t>14134098</t>
        </is>
      </c>
      <c r="AY2784" t="inlineStr">
        <is>
          <t>991000911219702656</t>
        </is>
      </c>
      <c r="AZ2784" t="inlineStr">
        <is>
          <t>991000911219702656</t>
        </is>
      </c>
      <c r="BA2784" t="inlineStr">
        <is>
          <t>2265922320002656</t>
        </is>
      </c>
      <c r="BB2784" t="inlineStr">
        <is>
          <t>BOOK</t>
        </is>
      </c>
      <c r="BD2784" t="inlineStr">
        <is>
          <t>9780333417560</t>
        </is>
      </c>
      <c r="BE2784" t="inlineStr">
        <is>
          <t>32285001134211</t>
        </is>
      </c>
      <c r="BF2784" t="inlineStr">
        <is>
          <t>893502926</t>
        </is>
      </c>
    </row>
    <row r="2785">
      <c r="A2785" t="inlineStr">
        <is>
          <t>No</t>
        </is>
      </c>
      <c r="B2785" t="inlineStr">
        <is>
          <t>CURAL</t>
        </is>
      </c>
      <c r="C2785" t="inlineStr">
        <is>
          <t>SHELVES</t>
        </is>
      </c>
      <c r="D2785" t="inlineStr">
        <is>
          <t>PR5908.S95 O3</t>
        </is>
      </c>
      <c r="E2785" t="inlineStr">
        <is>
          <t>0                      PR 5908000S  95                 O  3</t>
        </is>
      </c>
      <c r="F2785" t="inlineStr">
        <is>
          <t>Symbolism and some implications of the symbolic approach : W. B. Yeats during the eighteen-nineties / Robert O'Driscoll.</t>
        </is>
      </c>
      <c r="H2785" t="inlineStr">
        <is>
          <t>No</t>
        </is>
      </c>
      <c r="I2785" t="inlineStr">
        <is>
          <t>1</t>
        </is>
      </c>
      <c r="J2785" t="inlineStr">
        <is>
          <t>No</t>
        </is>
      </c>
      <c r="K2785" t="inlineStr">
        <is>
          <t>No</t>
        </is>
      </c>
      <c r="L2785" t="inlineStr">
        <is>
          <t>0</t>
        </is>
      </c>
      <c r="M2785" t="inlineStr">
        <is>
          <t>O'Driscoll, Robert.</t>
        </is>
      </c>
      <c r="N2785" t="inlineStr">
        <is>
          <t>Dublin : Dolmen Press ; New York : distributed in the U.S.A. and in Canada by Humanities Press, 1975.</t>
        </is>
      </c>
      <c r="O2785" t="inlineStr">
        <is>
          <t>1975</t>
        </is>
      </c>
      <c r="Q2785" t="inlineStr">
        <is>
          <t>eng</t>
        </is>
      </c>
      <c r="R2785" t="inlineStr">
        <is>
          <t xml:space="preserve">ie </t>
        </is>
      </c>
      <c r="S2785" t="inlineStr">
        <is>
          <t>New Yeats papers ; 9</t>
        </is>
      </c>
      <c r="T2785" t="inlineStr">
        <is>
          <t xml:space="preserve">PR </t>
        </is>
      </c>
      <c r="U2785" t="n">
        <v>3</v>
      </c>
      <c r="V2785" t="n">
        <v>3</v>
      </c>
      <c r="W2785" t="inlineStr">
        <is>
          <t>2006-03-25</t>
        </is>
      </c>
      <c r="X2785" t="inlineStr">
        <is>
          <t>2006-03-25</t>
        </is>
      </c>
      <c r="Y2785" t="inlineStr">
        <is>
          <t>1997-07-23</t>
        </is>
      </c>
      <c r="Z2785" t="inlineStr">
        <is>
          <t>1997-07-23</t>
        </is>
      </c>
      <c r="AA2785" t="n">
        <v>452</v>
      </c>
      <c r="AB2785" t="n">
        <v>338</v>
      </c>
      <c r="AC2785" t="n">
        <v>345</v>
      </c>
      <c r="AD2785" t="n">
        <v>4</v>
      </c>
      <c r="AE2785" t="n">
        <v>4</v>
      </c>
      <c r="AF2785" t="n">
        <v>28</v>
      </c>
      <c r="AG2785" t="n">
        <v>28</v>
      </c>
      <c r="AH2785" t="n">
        <v>11</v>
      </c>
      <c r="AI2785" t="n">
        <v>11</v>
      </c>
      <c r="AJ2785" t="n">
        <v>7</v>
      </c>
      <c r="AK2785" t="n">
        <v>7</v>
      </c>
      <c r="AL2785" t="n">
        <v>16</v>
      </c>
      <c r="AM2785" t="n">
        <v>16</v>
      </c>
      <c r="AN2785" t="n">
        <v>3</v>
      </c>
      <c r="AO2785" t="n">
        <v>3</v>
      </c>
      <c r="AP2785" t="n">
        <v>0</v>
      </c>
      <c r="AQ2785" t="n">
        <v>0</v>
      </c>
      <c r="AR2785" t="inlineStr">
        <is>
          <t>No</t>
        </is>
      </c>
      <c r="AS2785" t="inlineStr">
        <is>
          <t>No</t>
        </is>
      </c>
      <c r="AU2785">
        <f>HYPERLINK("https://creighton-primo.hosted.exlibrisgroup.com/primo-explore/search?tab=default_tab&amp;search_scope=EVERYTHING&amp;vid=01CRU&amp;lang=en_US&amp;offset=0&amp;query=any,contains,991004011959702656","Catalog Record")</f>
        <v/>
      </c>
      <c r="AV2785">
        <f>HYPERLINK("http://www.worldcat.org/oclc/2091825","WorldCat Record")</f>
        <v/>
      </c>
      <c r="AW2785" t="inlineStr">
        <is>
          <t>346797822:eng</t>
        </is>
      </c>
      <c r="AX2785" t="inlineStr">
        <is>
          <t>2091825</t>
        </is>
      </c>
      <c r="AY2785" t="inlineStr">
        <is>
          <t>991004011959702656</t>
        </is>
      </c>
      <c r="AZ2785" t="inlineStr">
        <is>
          <t>991004011959702656</t>
        </is>
      </c>
      <c r="BA2785" t="inlineStr">
        <is>
          <t>2269216810002656</t>
        </is>
      </c>
      <c r="BB2785" t="inlineStr">
        <is>
          <t>BOOK</t>
        </is>
      </c>
      <c r="BD2785" t="inlineStr">
        <is>
          <t>9780851052700</t>
        </is>
      </c>
      <c r="BE2785" t="inlineStr">
        <is>
          <t>32285002952918</t>
        </is>
      </c>
      <c r="BF2785" t="inlineStr">
        <is>
          <t>893535764</t>
        </is>
      </c>
    </row>
    <row r="2786">
      <c r="A2786" t="inlineStr">
        <is>
          <t>No</t>
        </is>
      </c>
      <c r="B2786" t="inlineStr">
        <is>
          <t>CURAL</t>
        </is>
      </c>
      <c r="C2786" t="inlineStr">
        <is>
          <t>SHELVES</t>
        </is>
      </c>
      <c r="D2786" t="inlineStr">
        <is>
          <t>PR5908.S95 P87 1986</t>
        </is>
      </c>
      <c r="E2786" t="inlineStr">
        <is>
          <t>0                      PR 5908000S  95                 P  87          1986</t>
        </is>
      </c>
      <c r="F2786" t="inlineStr">
        <is>
          <t>Reconstructing Yeats : The secret rose and The wind among the reeds / Steven Putzel.</t>
        </is>
      </c>
      <c r="H2786" t="inlineStr">
        <is>
          <t>No</t>
        </is>
      </c>
      <c r="I2786" t="inlineStr">
        <is>
          <t>1</t>
        </is>
      </c>
      <c r="J2786" t="inlineStr">
        <is>
          <t>No</t>
        </is>
      </c>
      <c r="K2786" t="inlineStr">
        <is>
          <t>No</t>
        </is>
      </c>
      <c r="L2786" t="inlineStr">
        <is>
          <t>0</t>
        </is>
      </c>
      <c r="M2786" t="inlineStr">
        <is>
          <t>Putzel, Steven.</t>
        </is>
      </c>
      <c r="N2786" t="inlineStr">
        <is>
          <t>Dublin : Gill and Macmillan ; Totowa, N.J. : Barnes &amp; Noble Books, 1986.</t>
        </is>
      </c>
      <c r="O2786" t="inlineStr">
        <is>
          <t>1986</t>
        </is>
      </c>
      <c r="Q2786" t="inlineStr">
        <is>
          <t>eng</t>
        </is>
      </c>
      <c r="R2786" t="inlineStr">
        <is>
          <t xml:space="preserve">ie </t>
        </is>
      </c>
      <c r="T2786" t="inlineStr">
        <is>
          <t xml:space="preserve">PR </t>
        </is>
      </c>
      <c r="U2786" t="n">
        <v>4</v>
      </c>
      <c r="V2786" t="n">
        <v>4</v>
      </c>
      <c r="W2786" t="inlineStr">
        <is>
          <t>2000-12-12</t>
        </is>
      </c>
      <c r="X2786" t="inlineStr">
        <is>
          <t>2000-12-12</t>
        </is>
      </c>
      <c r="Y2786" t="inlineStr">
        <is>
          <t>1992-06-24</t>
        </is>
      </c>
      <c r="Z2786" t="inlineStr">
        <is>
          <t>1992-06-24</t>
        </is>
      </c>
      <c r="AA2786" t="n">
        <v>337</v>
      </c>
      <c r="AB2786" t="n">
        <v>250</v>
      </c>
      <c r="AC2786" t="n">
        <v>257</v>
      </c>
      <c r="AD2786" t="n">
        <v>3</v>
      </c>
      <c r="AE2786" t="n">
        <v>3</v>
      </c>
      <c r="AF2786" t="n">
        <v>17</v>
      </c>
      <c r="AG2786" t="n">
        <v>17</v>
      </c>
      <c r="AH2786" t="n">
        <v>5</v>
      </c>
      <c r="AI2786" t="n">
        <v>5</v>
      </c>
      <c r="AJ2786" t="n">
        <v>5</v>
      </c>
      <c r="AK2786" t="n">
        <v>5</v>
      </c>
      <c r="AL2786" t="n">
        <v>8</v>
      </c>
      <c r="AM2786" t="n">
        <v>8</v>
      </c>
      <c r="AN2786" t="n">
        <v>2</v>
      </c>
      <c r="AO2786" t="n">
        <v>2</v>
      </c>
      <c r="AP2786" t="n">
        <v>0</v>
      </c>
      <c r="AQ2786" t="n">
        <v>0</v>
      </c>
      <c r="AR2786" t="inlineStr">
        <is>
          <t>No</t>
        </is>
      </c>
      <c r="AS2786" t="inlineStr">
        <is>
          <t>Yes</t>
        </is>
      </c>
      <c r="AT2786">
        <f>HYPERLINK("http://catalog.hathitrust.org/Record/000434322","HathiTrust Record")</f>
        <v/>
      </c>
      <c r="AU2786">
        <f>HYPERLINK("https://creighton-primo.hosted.exlibrisgroup.com/primo-explore/search?tab=default_tab&amp;search_scope=EVERYTHING&amp;vid=01CRU&amp;lang=en_US&amp;offset=0&amp;query=any,contains,991000729359702656","Catalog Record")</f>
        <v/>
      </c>
      <c r="AV2786">
        <f>HYPERLINK("http://www.worldcat.org/oclc/12722093","WorldCat Record")</f>
        <v/>
      </c>
      <c r="AW2786" t="inlineStr">
        <is>
          <t>290288291:eng</t>
        </is>
      </c>
      <c r="AX2786" t="inlineStr">
        <is>
          <t>12722093</t>
        </is>
      </c>
      <c r="AY2786" t="inlineStr">
        <is>
          <t>991000729359702656</t>
        </is>
      </c>
      <c r="AZ2786" t="inlineStr">
        <is>
          <t>991000729359702656</t>
        </is>
      </c>
      <c r="BA2786" t="inlineStr">
        <is>
          <t>2259885270002656</t>
        </is>
      </c>
      <c r="BB2786" t="inlineStr">
        <is>
          <t>BOOK</t>
        </is>
      </c>
      <c r="BD2786" t="inlineStr">
        <is>
          <t>9780389206002</t>
        </is>
      </c>
      <c r="BE2786" t="inlineStr">
        <is>
          <t>32285001134245</t>
        </is>
      </c>
      <c r="BF2786" t="inlineStr">
        <is>
          <t>893321292</t>
        </is>
      </c>
    </row>
    <row r="2787">
      <c r="A2787" t="inlineStr">
        <is>
          <t>No</t>
        </is>
      </c>
      <c r="B2787" t="inlineStr">
        <is>
          <t>CURAL</t>
        </is>
      </c>
      <c r="C2787" t="inlineStr">
        <is>
          <t>SHELVES</t>
        </is>
      </c>
      <c r="D2787" t="inlineStr">
        <is>
          <t>PR5908.V4 B4</t>
        </is>
      </c>
      <c r="E2787" t="inlineStr">
        <is>
          <t>0                      PR 5908000V  4                  B  4</t>
        </is>
      </c>
      <c r="F2787" t="inlineStr">
        <is>
          <t>The poetic art of William Butler Yeats / [by] Robert Beum.</t>
        </is>
      </c>
      <c r="H2787" t="inlineStr">
        <is>
          <t>No</t>
        </is>
      </c>
      <c r="I2787" t="inlineStr">
        <is>
          <t>1</t>
        </is>
      </c>
      <c r="J2787" t="inlineStr">
        <is>
          <t>No</t>
        </is>
      </c>
      <c r="K2787" t="inlineStr">
        <is>
          <t>No</t>
        </is>
      </c>
      <c r="L2787" t="inlineStr">
        <is>
          <t>0</t>
        </is>
      </c>
      <c r="M2787" t="inlineStr">
        <is>
          <t>Beum, Robert Lawrence.</t>
        </is>
      </c>
      <c r="N2787" t="inlineStr">
        <is>
          <t>New York : F. Ungar Pub. Co., [1969]</t>
        </is>
      </c>
      <c r="O2787" t="inlineStr">
        <is>
          <t>1969</t>
        </is>
      </c>
      <c r="Q2787" t="inlineStr">
        <is>
          <t>eng</t>
        </is>
      </c>
      <c r="R2787" t="inlineStr">
        <is>
          <t>nyu</t>
        </is>
      </c>
      <c r="T2787" t="inlineStr">
        <is>
          <t xml:space="preserve">PR </t>
        </is>
      </c>
      <c r="U2787" t="n">
        <v>5</v>
      </c>
      <c r="V2787" t="n">
        <v>5</v>
      </c>
      <c r="W2787" t="inlineStr">
        <is>
          <t>1999-04-01</t>
        </is>
      </c>
      <c r="X2787" t="inlineStr">
        <is>
          <t>1999-04-01</t>
        </is>
      </c>
      <c r="Y2787" t="inlineStr">
        <is>
          <t>1990-03-22</t>
        </is>
      </c>
      <c r="Z2787" t="inlineStr">
        <is>
          <t>1990-03-22</t>
        </is>
      </c>
      <c r="AA2787" t="n">
        <v>669</v>
      </c>
      <c r="AB2787" t="n">
        <v>581</v>
      </c>
      <c r="AC2787" t="n">
        <v>587</v>
      </c>
      <c r="AD2787" t="n">
        <v>6</v>
      </c>
      <c r="AE2787" t="n">
        <v>6</v>
      </c>
      <c r="AF2787" t="n">
        <v>30</v>
      </c>
      <c r="AG2787" t="n">
        <v>30</v>
      </c>
      <c r="AH2787" t="n">
        <v>8</v>
      </c>
      <c r="AI2787" t="n">
        <v>8</v>
      </c>
      <c r="AJ2787" t="n">
        <v>7</v>
      </c>
      <c r="AK2787" t="n">
        <v>7</v>
      </c>
      <c r="AL2787" t="n">
        <v>15</v>
      </c>
      <c r="AM2787" t="n">
        <v>15</v>
      </c>
      <c r="AN2787" t="n">
        <v>5</v>
      </c>
      <c r="AO2787" t="n">
        <v>5</v>
      </c>
      <c r="AP2787" t="n">
        <v>0</v>
      </c>
      <c r="AQ2787" t="n">
        <v>0</v>
      </c>
      <c r="AR2787" t="inlineStr">
        <is>
          <t>No</t>
        </is>
      </c>
      <c r="AS2787" t="inlineStr">
        <is>
          <t>No</t>
        </is>
      </c>
      <c r="AU2787">
        <f>HYPERLINK("https://creighton-primo.hosted.exlibrisgroup.com/primo-explore/search?tab=default_tab&amp;search_scope=EVERYTHING&amp;vid=01CRU&amp;lang=en_US&amp;offset=0&amp;query=any,contains,991000001449702656","Catalog Record")</f>
        <v/>
      </c>
      <c r="AV2787">
        <f>HYPERLINK("http://www.worldcat.org/oclc/10387","WorldCat Record")</f>
        <v/>
      </c>
      <c r="AW2787" t="inlineStr">
        <is>
          <t>111629438:eng</t>
        </is>
      </c>
      <c r="AX2787" t="inlineStr">
        <is>
          <t>10387</t>
        </is>
      </c>
      <c r="AY2787" t="inlineStr">
        <is>
          <t>991000001449702656</t>
        </is>
      </c>
      <c r="AZ2787" t="inlineStr">
        <is>
          <t>991000001449702656</t>
        </is>
      </c>
      <c r="BA2787" t="inlineStr">
        <is>
          <t>2268311830002656</t>
        </is>
      </c>
      <c r="BB2787" t="inlineStr">
        <is>
          <t>BOOK</t>
        </is>
      </c>
      <c r="BE2787" t="inlineStr">
        <is>
          <t>32285000092089</t>
        </is>
      </c>
      <c r="BF2787" t="inlineStr">
        <is>
          <t>893595172</t>
        </is>
      </c>
    </row>
    <row r="2788">
      <c r="A2788" t="inlineStr">
        <is>
          <t>No</t>
        </is>
      </c>
      <c r="B2788" t="inlineStr">
        <is>
          <t>CURAL</t>
        </is>
      </c>
      <c r="C2788" t="inlineStr">
        <is>
          <t>SHELVES</t>
        </is>
      </c>
      <c r="D2788" t="inlineStr">
        <is>
          <t>PR5908.W6 K55 1983</t>
        </is>
      </c>
      <c r="E2788" t="inlineStr">
        <is>
          <t>0                      PR 5908000W  6                  K  55          1983</t>
        </is>
      </c>
      <c r="F2788" t="inlineStr">
        <is>
          <t>The last courtly lover : Yeats and the idea of woman / by Gloria C. Kline.</t>
        </is>
      </c>
      <c r="H2788" t="inlineStr">
        <is>
          <t>No</t>
        </is>
      </c>
      <c r="I2788" t="inlineStr">
        <is>
          <t>1</t>
        </is>
      </c>
      <c r="J2788" t="inlineStr">
        <is>
          <t>No</t>
        </is>
      </c>
      <c r="K2788" t="inlineStr">
        <is>
          <t>No</t>
        </is>
      </c>
      <c r="L2788" t="inlineStr">
        <is>
          <t>0</t>
        </is>
      </c>
      <c r="M2788" t="inlineStr">
        <is>
          <t>Kline, Gloria C. (Gloria Cornelia)</t>
        </is>
      </c>
      <c r="N2788" t="inlineStr">
        <is>
          <t>Ann Arbor, Mich. : UMI Research Press, c1983.</t>
        </is>
      </c>
      <c r="O2788" t="inlineStr">
        <is>
          <t>1983</t>
        </is>
      </c>
      <c r="Q2788" t="inlineStr">
        <is>
          <t>eng</t>
        </is>
      </c>
      <c r="R2788" t="inlineStr">
        <is>
          <t>miu</t>
        </is>
      </c>
      <c r="S2788" t="inlineStr">
        <is>
          <t>Studies in modern literature ; no. 6</t>
        </is>
      </c>
      <c r="T2788" t="inlineStr">
        <is>
          <t xml:space="preserve">PR </t>
        </is>
      </c>
      <c r="U2788" t="n">
        <v>6</v>
      </c>
      <c r="V2788" t="n">
        <v>6</v>
      </c>
      <c r="W2788" t="inlineStr">
        <is>
          <t>2000-12-05</t>
        </is>
      </c>
      <c r="X2788" t="inlineStr">
        <is>
          <t>2000-12-05</t>
        </is>
      </c>
      <c r="Y2788" t="inlineStr">
        <is>
          <t>1992-02-06</t>
        </is>
      </c>
      <c r="Z2788" t="inlineStr">
        <is>
          <t>1992-02-06</t>
        </is>
      </c>
      <c r="AA2788" t="n">
        <v>484</v>
      </c>
      <c r="AB2788" t="n">
        <v>385</v>
      </c>
      <c r="AC2788" t="n">
        <v>392</v>
      </c>
      <c r="AD2788" t="n">
        <v>4</v>
      </c>
      <c r="AE2788" t="n">
        <v>4</v>
      </c>
      <c r="AF2788" t="n">
        <v>23</v>
      </c>
      <c r="AG2788" t="n">
        <v>23</v>
      </c>
      <c r="AH2788" t="n">
        <v>7</v>
      </c>
      <c r="AI2788" t="n">
        <v>7</v>
      </c>
      <c r="AJ2788" t="n">
        <v>6</v>
      </c>
      <c r="AK2788" t="n">
        <v>6</v>
      </c>
      <c r="AL2788" t="n">
        <v>15</v>
      </c>
      <c r="AM2788" t="n">
        <v>15</v>
      </c>
      <c r="AN2788" t="n">
        <v>3</v>
      </c>
      <c r="AO2788" t="n">
        <v>3</v>
      </c>
      <c r="AP2788" t="n">
        <v>0</v>
      </c>
      <c r="AQ2788" t="n">
        <v>0</v>
      </c>
      <c r="AR2788" t="inlineStr">
        <is>
          <t>No</t>
        </is>
      </c>
      <c r="AS2788" t="inlineStr">
        <is>
          <t>Yes</t>
        </is>
      </c>
      <c r="AT2788">
        <f>HYPERLINK("http://catalog.hathitrust.org/Record/000159063","HathiTrust Record")</f>
        <v/>
      </c>
      <c r="AU2788">
        <f>HYPERLINK("https://creighton-primo.hosted.exlibrisgroup.com/primo-explore/search?tab=default_tab&amp;search_scope=EVERYTHING&amp;vid=01CRU&amp;lang=en_US&amp;offset=0&amp;query=any,contains,991000191009702656","Catalog Record")</f>
        <v/>
      </c>
      <c r="AV2788">
        <f>HYPERLINK("http://www.worldcat.org/oclc/9412956","WorldCat Record")</f>
        <v/>
      </c>
      <c r="AW2788" t="inlineStr">
        <is>
          <t>21007720:eng</t>
        </is>
      </c>
      <c r="AX2788" t="inlineStr">
        <is>
          <t>9412956</t>
        </is>
      </c>
      <c r="AY2788" t="inlineStr">
        <is>
          <t>991000191009702656</t>
        </is>
      </c>
      <c r="AZ2788" t="inlineStr">
        <is>
          <t>991000191009702656</t>
        </is>
      </c>
      <c r="BA2788" t="inlineStr">
        <is>
          <t>2261501580002656</t>
        </is>
      </c>
      <c r="BB2788" t="inlineStr">
        <is>
          <t>BOOK</t>
        </is>
      </c>
      <c r="BD2788" t="inlineStr">
        <is>
          <t>9780835714099</t>
        </is>
      </c>
      <c r="BE2788" t="inlineStr">
        <is>
          <t>32285000942697</t>
        </is>
      </c>
      <c r="BF2788" t="inlineStr">
        <is>
          <t>893314760</t>
        </is>
      </c>
    </row>
    <row r="2789">
      <c r="A2789" t="inlineStr">
        <is>
          <t>No</t>
        </is>
      </c>
      <c r="B2789" t="inlineStr">
        <is>
          <t>CURAL</t>
        </is>
      </c>
      <c r="C2789" t="inlineStr">
        <is>
          <t>SHELVES</t>
        </is>
      </c>
      <c r="D2789" t="inlineStr">
        <is>
          <t>PR591 .E8 1966</t>
        </is>
      </c>
      <c r="E2789" t="inlineStr">
        <is>
          <t>0                      PR 0591000E  8           1966</t>
        </is>
      </c>
      <c r="F2789" t="inlineStr">
        <is>
          <t>English poetry in the later nineteenth century / [by] Ifor Evans.</t>
        </is>
      </c>
      <c r="H2789" t="inlineStr">
        <is>
          <t>No</t>
        </is>
      </c>
      <c r="I2789" t="inlineStr">
        <is>
          <t>1</t>
        </is>
      </c>
      <c r="J2789" t="inlineStr">
        <is>
          <t>No</t>
        </is>
      </c>
      <c r="K2789" t="inlineStr">
        <is>
          <t>No</t>
        </is>
      </c>
      <c r="L2789" t="inlineStr">
        <is>
          <t>0</t>
        </is>
      </c>
      <c r="M2789" t="inlineStr">
        <is>
          <t>Evans, B. Ifor (Benjamin Ifor), 1899-1982.</t>
        </is>
      </c>
      <c r="N2789" t="inlineStr">
        <is>
          <t>New York : Barnes &amp; Noble, [1966]</t>
        </is>
      </c>
      <c r="O2789" t="inlineStr">
        <is>
          <t>1966</t>
        </is>
      </c>
      <c r="P2789" t="inlineStr">
        <is>
          <t>[2d ed., rev.]</t>
        </is>
      </c>
      <c r="Q2789" t="inlineStr">
        <is>
          <t>eng</t>
        </is>
      </c>
      <c r="R2789" t="inlineStr">
        <is>
          <t>nyu</t>
        </is>
      </c>
      <c r="T2789" t="inlineStr">
        <is>
          <t xml:space="preserve">PR </t>
        </is>
      </c>
      <c r="U2789" t="n">
        <v>1</v>
      </c>
      <c r="V2789" t="n">
        <v>1</v>
      </c>
      <c r="W2789" t="inlineStr">
        <is>
          <t>2005-03-16</t>
        </is>
      </c>
      <c r="X2789" t="inlineStr">
        <is>
          <t>2005-03-16</t>
        </is>
      </c>
      <c r="Y2789" t="inlineStr">
        <is>
          <t>1993-06-10</t>
        </is>
      </c>
      <c r="Z2789" t="inlineStr">
        <is>
          <t>1993-06-10</t>
        </is>
      </c>
      <c r="AA2789" t="n">
        <v>426</v>
      </c>
      <c r="AB2789" t="n">
        <v>400</v>
      </c>
      <c r="AC2789" t="n">
        <v>771</v>
      </c>
      <c r="AD2789" t="n">
        <v>3</v>
      </c>
      <c r="AE2789" t="n">
        <v>7</v>
      </c>
      <c r="AF2789" t="n">
        <v>17</v>
      </c>
      <c r="AG2789" t="n">
        <v>33</v>
      </c>
      <c r="AH2789" t="n">
        <v>5</v>
      </c>
      <c r="AI2789" t="n">
        <v>12</v>
      </c>
      <c r="AJ2789" t="n">
        <v>4</v>
      </c>
      <c r="AK2789" t="n">
        <v>5</v>
      </c>
      <c r="AL2789" t="n">
        <v>10</v>
      </c>
      <c r="AM2789" t="n">
        <v>19</v>
      </c>
      <c r="AN2789" t="n">
        <v>2</v>
      </c>
      <c r="AO2789" t="n">
        <v>6</v>
      </c>
      <c r="AP2789" t="n">
        <v>0</v>
      </c>
      <c r="AQ2789" t="n">
        <v>0</v>
      </c>
      <c r="AR2789" t="inlineStr">
        <is>
          <t>No</t>
        </is>
      </c>
      <c r="AS2789" t="inlineStr">
        <is>
          <t>Yes</t>
        </is>
      </c>
      <c r="AT2789">
        <f>HYPERLINK("http://catalog.hathitrust.org/Record/001397767","HathiTrust Record")</f>
        <v/>
      </c>
      <c r="AU2789">
        <f>HYPERLINK("https://creighton-primo.hosted.exlibrisgroup.com/primo-explore/search?tab=default_tab&amp;search_scope=EVERYTHING&amp;vid=01CRU&amp;lang=en_US&amp;offset=0&amp;query=any,contains,991002226679702656","Catalog Record")</f>
        <v/>
      </c>
      <c r="AV2789">
        <f>HYPERLINK("http://www.worldcat.org/oclc/291882","WorldCat Record")</f>
        <v/>
      </c>
      <c r="AW2789" t="inlineStr">
        <is>
          <t>1476262:eng</t>
        </is>
      </c>
      <c r="AX2789" t="inlineStr">
        <is>
          <t>291882</t>
        </is>
      </c>
      <c r="AY2789" t="inlineStr">
        <is>
          <t>991002226679702656</t>
        </is>
      </c>
      <c r="AZ2789" t="inlineStr">
        <is>
          <t>991002226679702656</t>
        </is>
      </c>
      <c r="BA2789" t="inlineStr">
        <is>
          <t>2268071660002656</t>
        </is>
      </c>
      <c r="BB2789" t="inlineStr">
        <is>
          <t>BOOK</t>
        </is>
      </c>
      <c r="BE2789" t="inlineStr">
        <is>
          <t>32285001695153</t>
        </is>
      </c>
      <c r="BF2789" t="inlineStr">
        <is>
          <t>893529691</t>
        </is>
      </c>
    </row>
    <row r="2790">
      <c r="A2790" t="inlineStr">
        <is>
          <t>No</t>
        </is>
      </c>
      <c r="B2790" t="inlineStr">
        <is>
          <t>CURAL</t>
        </is>
      </c>
      <c r="C2790" t="inlineStr">
        <is>
          <t>SHELVES</t>
        </is>
      </c>
      <c r="D2790" t="inlineStr">
        <is>
          <t>PR591 .R5 1988</t>
        </is>
      </c>
      <c r="E2790" t="inlineStr">
        <is>
          <t>0                      PR 0591000R  5           1988</t>
        </is>
      </c>
      <c r="F2790" t="inlineStr">
        <is>
          <t>English poetry of the Victorian period, 1830-1890 / Bernard Richards.</t>
        </is>
      </c>
      <c r="H2790" t="inlineStr">
        <is>
          <t>No</t>
        </is>
      </c>
      <c r="I2790" t="inlineStr">
        <is>
          <t>1</t>
        </is>
      </c>
      <c r="J2790" t="inlineStr">
        <is>
          <t>No</t>
        </is>
      </c>
      <c r="K2790" t="inlineStr">
        <is>
          <t>No</t>
        </is>
      </c>
      <c r="L2790" t="inlineStr">
        <is>
          <t>0</t>
        </is>
      </c>
      <c r="M2790" t="inlineStr">
        <is>
          <t>Richards, Bernard Arthur.</t>
        </is>
      </c>
      <c r="N2790" t="inlineStr">
        <is>
          <t>London ; New York : Longman, 1988.</t>
        </is>
      </c>
      <c r="O2790" t="inlineStr">
        <is>
          <t>1988</t>
        </is>
      </c>
      <c r="Q2790" t="inlineStr">
        <is>
          <t>eng</t>
        </is>
      </c>
      <c r="R2790" t="inlineStr">
        <is>
          <t>enk</t>
        </is>
      </c>
      <c r="S2790" t="inlineStr">
        <is>
          <t>Longman literature in English series</t>
        </is>
      </c>
      <c r="T2790" t="inlineStr">
        <is>
          <t xml:space="preserve">PR </t>
        </is>
      </c>
      <c r="U2790" t="n">
        <v>2</v>
      </c>
      <c r="V2790" t="n">
        <v>2</v>
      </c>
      <c r="W2790" t="inlineStr">
        <is>
          <t>1993-05-19</t>
        </is>
      </c>
      <c r="X2790" t="inlineStr">
        <is>
          <t>1993-05-19</t>
        </is>
      </c>
      <c r="Y2790" t="inlineStr">
        <is>
          <t>1991-09-09</t>
        </is>
      </c>
      <c r="Z2790" t="inlineStr">
        <is>
          <t>1991-09-09</t>
        </is>
      </c>
      <c r="AA2790" t="n">
        <v>795</v>
      </c>
      <c r="AB2790" t="n">
        <v>598</v>
      </c>
      <c r="AC2790" t="n">
        <v>653</v>
      </c>
      <c r="AD2790" t="n">
        <v>4</v>
      </c>
      <c r="AE2790" t="n">
        <v>4</v>
      </c>
      <c r="AF2790" t="n">
        <v>27</v>
      </c>
      <c r="AG2790" t="n">
        <v>30</v>
      </c>
      <c r="AH2790" t="n">
        <v>11</v>
      </c>
      <c r="AI2790" t="n">
        <v>13</v>
      </c>
      <c r="AJ2790" t="n">
        <v>8</v>
      </c>
      <c r="AK2790" t="n">
        <v>8</v>
      </c>
      <c r="AL2790" t="n">
        <v>13</v>
      </c>
      <c r="AM2790" t="n">
        <v>16</v>
      </c>
      <c r="AN2790" t="n">
        <v>3</v>
      </c>
      <c r="AO2790" t="n">
        <v>3</v>
      </c>
      <c r="AP2790" t="n">
        <v>0</v>
      </c>
      <c r="AQ2790" t="n">
        <v>0</v>
      </c>
      <c r="AR2790" t="inlineStr">
        <is>
          <t>No</t>
        </is>
      </c>
      <c r="AS2790" t="inlineStr">
        <is>
          <t>Yes</t>
        </is>
      </c>
      <c r="AT2790">
        <f>HYPERLINK("http://catalog.hathitrust.org/Record/000927312","HathiTrust Record")</f>
        <v/>
      </c>
      <c r="AU2790">
        <f>HYPERLINK("https://creighton-primo.hosted.exlibrisgroup.com/primo-explore/search?tab=default_tab&amp;search_scope=EVERYTHING&amp;vid=01CRU&amp;lang=en_US&amp;offset=0&amp;query=any,contains,991001003669702656","Catalog Record")</f>
        <v/>
      </c>
      <c r="AV2790">
        <f>HYPERLINK("http://www.worldcat.org/oclc/15222457","WorldCat Record")</f>
        <v/>
      </c>
      <c r="AW2790" t="inlineStr">
        <is>
          <t>10224239:eng</t>
        </is>
      </c>
      <c r="AX2790" t="inlineStr">
        <is>
          <t>15222457</t>
        </is>
      </c>
      <c r="AY2790" t="inlineStr">
        <is>
          <t>991001003669702656</t>
        </is>
      </c>
      <c r="AZ2790" t="inlineStr">
        <is>
          <t>991001003669702656</t>
        </is>
      </c>
      <c r="BA2790" t="inlineStr">
        <is>
          <t>2266889760002656</t>
        </is>
      </c>
      <c r="BB2790" t="inlineStr">
        <is>
          <t>BOOK</t>
        </is>
      </c>
      <c r="BD2790" t="inlineStr">
        <is>
          <t>9780582493452</t>
        </is>
      </c>
      <c r="BE2790" t="inlineStr">
        <is>
          <t>32285000738293</t>
        </is>
      </c>
      <c r="BF2790" t="inlineStr">
        <is>
          <t>893696375</t>
        </is>
      </c>
    </row>
    <row r="2791">
      <c r="A2791" t="inlineStr">
        <is>
          <t>No</t>
        </is>
      </c>
      <c r="B2791" t="inlineStr">
        <is>
          <t>CURAL</t>
        </is>
      </c>
      <c r="C2791" t="inlineStr">
        <is>
          <t>SHELVES</t>
        </is>
      </c>
      <c r="D2791" t="inlineStr">
        <is>
          <t>PR592 .V527 1987</t>
        </is>
      </c>
      <c r="E2791" t="inlineStr">
        <is>
          <t>0                      PR 0592000V  527         1987</t>
        </is>
      </c>
      <c r="F2791" t="inlineStr">
        <is>
          <t>The Victorian poet : poetics and persona / edited by Joseph Bristow.</t>
        </is>
      </c>
      <c r="H2791" t="inlineStr">
        <is>
          <t>No</t>
        </is>
      </c>
      <c r="I2791" t="inlineStr">
        <is>
          <t>1</t>
        </is>
      </c>
      <c r="J2791" t="inlineStr">
        <is>
          <t>No</t>
        </is>
      </c>
      <c r="K2791" t="inlineStr">
        <is>
          <t>No</t>
        </is>
      </c>
      <c r="L2791" t="inlineStr">
        <is>
          <t>0</t>
        </is>
      </c>
      <c r="N2791" t="inlineStr">
        <is>
          <t>London ; New York : Croom Helm, c1987.</t>
        </is>
      </c>
      <c r="O2791" t="inlineStr">
        <is>
          <t>1987</t>
        </is>
      </c>
      <c r="Q2791" t="inlineStr">
        <is>
          <t>eng</t>
        </is>
      </c>
      <c r="R2791" t="inlineStr">
        <is>
          <t>enk</t>
        </is>
      </c>
      <c r="S2791" t="inlineStr">
        <is>
          <t>World and word series</t>
        </is>
      </c>
      <c r="T2791" t="inlineStr">
        <is>
          <t xml:space="preserve">PR </t>
        </is>
      </c>
      <c r="U2791" t="n">
        <v>1</v>
      </c>
      <c r="V2791" t="n">
        <v>1</v>
      </c>
      <c r="W2791" t="inlineStr">
        <is>
          <t>1993-02-08</t>
        </is>
      </c>
      <c r="X2791" t="inlineStr">
        <is>
          <t>1993-02-08</t>
        </is>
      </c>
      <c r="Y2791" t="inlineStr">
        <is>
          <t>1991-09-09</t>
        </is>
      </c>
      <c r="Z2791" t="inlineStr">
        <is>
          <t>1991-09-09</t>
        </is>
      </c>
      <c r="AA2791" t="n">
        <v>243</v>
      </c>
      <c r="AB2791" t="n">
        <v>125</v>
      </c>
      <c r="AC2791" t="n">
        <v>149</v>
      </c>
      <c r="AD2791" t="n">
        <v>2</v>
      </c>
      <c r="AE2791" t="n">
        <v>2</v>
      </c>
      <c r="AF2791" t="n">
        <v>5</v>
      </c>
      <c r="AG2791" t="n">
        <v>5</v>
      </c>
      <c r="AH2791" t="n">
        <v>1</v>
      </c>
      <c r="AI2791" t="n">
        <v>1</v>
      </c>
      <c r="AJ2791" t="n">
        <v>1</v>
      </c>
      <c r="AK2791" t="n">
        <v>1</v>
      </c>
      <c r="AL2791" t="n">
        <v>4</v>
      </c>
      <c r="AM2791" t="n">
        <v>4</v>
      </c>
      <c r="AN2791" t="n">
        <v>1</v>
      </c>
      <c r="AO2791" t="n">
        <v>1</v>
      </c>
      <c r="AP2791" t="n">
        <v>0</v>
      </c>
      <c r="AQ2791" t="n">
        <v>0</v>
      </c>
      <c r="AR2791" t="inlineStr">
        <is>
          <t>No</t>
        </is>
      </c>
      <c r="AS2791" t="inlineStr">
        <is>
          <t>No</t>
        </is>
      </c>
      <c r="AU2791">
        <f>HYPERLINK("https://creighton-primo.hosted.exlibrisgroup.com/primo-explore/search?tab=default_tab&amp;search_scope=EVERYTHING&amp;vid=01CRU&amp;lang=en_US&amp;offset=0&amp;query=any,contains,991001120609702656","Catalog Record")</f>
        <v/>
      </c>
      <c r="AV2791">
        <f>HYPERLINK("http://www.worldcat.org/oclc/16580270","WorldCat Record")</f>
        <v/>
      </c>
      <c r="AW2791" t="inlineStr">
        <is>
          <t>3748241442:eng</t>
        </is>
      </c>
      <c r="AX2791" t="inlineStr">
        <is>
          <t>16580270</t>
        </is>
      </c>
      <c r="AY2791" t="inlineStr">
        <is>
          <t>991001120609702656</t>
        </is>
      </c>
      <c r="AZ2791" t="inlineStr">
        <is>
          <t>991001120609702656</t>
        </is>
      </c>
      <c r="BA2791" t="inlineStr">
        <is>
          <t>2260396380002656</t>
        </is>
      </c>
      <c r="BB2791" t="inlineStr">
        <is>
          <t>BOOK</t>
        </is>
      </c>
      <c r="BD2791" t="inlineStr">
        <is>
          <t>9780709939771</t>
        </is>
      </c>
      <c r="BE2791" t="inlineStr">
        <is>
          <t>32285000738301</t>
        </is>
      </c>
      <c r="BF2791" t="inlineStr">
        <is>
          <t>893590033</t>
        </is>
      </c>
    </row>
    <row r="2792">
      <c r="A2792" t="inlineStr">
        <is>
          <t>No</t>
        </is>
      </c>
      <c r="B2792" t="inlineStr">
        <is>
          <t>CURAL</t>
        </is>
      </c>
      <c r="C2792" t="inlineStr">
        <is>
          <t>SHELVES</t>
        </is>
      </c>
      <c r="D2792" t="inlineStr">
        <is>
          <t>PR593 .J6 1963</t>
        </is>
      </c>
      <c r="E2792" t="inlineStr">
        <is>
          <t>0                      PR 0593000J  6           1963</t>
        </is>
      </c>
      <c r="F2792" t="inlineStr">
        <is>
          <t>The alien vision of Victorian poetry : sources of the poetic imagination in Tennyson, Browning, and Arnold.</t>
        </is>
      </c>
      <c r="H2792" t="inlineStr">
        <is>
          <t>No</t>
        </is>
      </c>
      <c r="I2792" t="inlineStr">
        <is>
          <t>1</t>
        </is>
      </c>
      <c r="J2792" t="inlineStr">
        <is>
          <t>No</t>
        </is>
      </c>
      <c r="K2792" t="inlineStr">
        <is>
          <t>No</t>
        </is>
      </c>
      <c r="L2792" t="inlineStr">
        <is>
          <t>0</t>
        </is>
      </c>
      <c r="M2792" t="inlineStr">
        <is>
          <t>Johnson, E. D. H. (Edward Dudley Hume)</t>
        </is>
      </c>
      <c r="N2792" t="inlineStr">
        <is>
          <t>Hamden, Cn. : Archon Books, 1963 [c1952]</t>
        </is>
      </c>
      <c r="O2792" t="inlineStr">
        <is>
          <t>1963</t>
        </is>
      </c>
      <c r="Q2792" t="inlineStr">
        <is>
          <t>eng</t>
        </is>
      </c>
      <c r="R2792" t="inlineStr">
        <is>
          <t>ctu</t>
        </is>
      </c>
      <c r="S2792" t="inlineStr">
        <is>
          <t>Princeton studies in English ; no. 34</t>
        </is>
      </c>
      <c r="T2792" t="inlineStr">
        <is>
          <t xml:space="preserve">PR </t>
        </is>
      </c>
      <c r="U2792" t="n">
        <v>4</v>
      </c>
      <c r="V2792" t="n">
        <v>4</v>
      </c>
      <c r="W2792" t="inlineStr">
        <is>
          <t>1996-04-17</t>
        </is>
      </c>
      <c r="X2792" t="inlineStr">
        <is>
          <t>1996-04-17</t>
        </is>
      </c>
      <c r="Y2792" t="inlineStr">
        <is>
          <t>1993-02-24</t>
        </is>
      </c>
      <c r="Z2792" t="inlineStr">
        <is>
          <t>1993-02-24</t>
        </is>
      </c>
      <c r="AA2792" t="n">
        <v>685</v>
      </c>
      <c r="AB2792" t="n">
        <v>618</v>
      </c>
      <c r="AC2792" t="n">
        <v>1107</v>
      </c>
      <c r="AD2792" t="n">
        <v>5</v>
      </c>
      <c r="AE2792" t="n">
        <v>11</v>
      </c>
      <c r="AF2792" t="n">
        <v>22</v>
      </c>
      <c r="AG2792" t="n">
        <v>56</v>
      </c>
      <c r="AH2792" t="n">
        <v>10</v>
      </c>
      <c r="AI2792" t="n">
        <v>24</v>
      </c>
      <c r="AJ2792" t="n">
        <v>6</v>
      </c>
      <c r="AK2792" t="n">
        <v>10</v>
      </c>
      <c r="AL2792" t="n">
        <v>9</v>
      </c>
      <c r="AM2792" t="n">
        <v>25</v>
      </c>
      <c r="AN2792" t="n">
        <v>3</v>
      </c>
      <c r="AO2792" t="n">
        <v>9</v>
      </c>
      <c r="AP2792" t="n">
        <v>0</v>
      </c>
      <c r="AQ2792" t="n">
        <v>0</v>
      </c>
      <c r="AR2792" t="inlineStr">
        <is>
          <t>No</t>
        </is>
      </c>
      <c r="AS2792" t="inlineStr">
        <is>
          <t>Yes</t>
        </is>
      </c>
      <c r="AT2792">
        <f>HYPERLINK("http://catalog.hathitrust.org/Record/001111867","HathiTrust Record")</f>
        <v/>
      </c>
      <c r="AU2792">
        <f>HYPERLINK("https://creighton-primo.hosted.exlibrisgroup.com/primo-explore/search?tab=default_tab&amp;search_scope=EVERYTHING&amp;vid=01CRU&amp;lang=en_US&amp;offset=0&amp;query=any,contains,991002276259702656","Catalog Record")</f>
        <v/>
      </c>
      <c r="AV2792">
        <f>HYPERLINK("http://www.worldcat.org/oclc/310306","WorldCat Record")</f>
        <v/>
      </c>
      <c r="AW2792" t="inlineStr">
        <is>
          <t>1369833:eng</t>
        </is>
      </c>
      <c r="AX2792" t="inlineStr">
        <is>
          <t>310306</t>
        </is>
      </c>
      <c r="AY2792" t="inlineStr">
        <is>
          <t>991002276259702656</t>
        </is>
      </c>
      <c r="AZ2792" t="inlineStr">
        <is>
          <t>991002276259702656</t>
        </is>
      </c>
      <c r="BA2792" t="inlineStr">
        <is>
          <t>2259586300002656</t>
        </is>
      </c>
      <c r="BB2792" t="inlineStr">
        <is>
          <t>BOOK</t>
        </is>
      </c>
      <c r="BE2792" t="inlineStr">
        <is>
          <t>32285001536829</t>
        </is>
      </c>
      <c r="BF2792" t="inlineStr">
        <is>
          <t>893433701</t>
        </is>
      </c>
    </row>
    <row r="2793">
      <c r="A2793" t="inlineStr">
        <is>
          <t>No</t>
        </is>
      </c>
      <c r="B2793" t="inlineStr">
        <is>
          <t>CURAL</t>
        </is>
      </c>
      <c r="C2793" t="inlineStr">
        <is>
          <t>SHELVES</t>
        </is>
      </c>
      <c r="D2793" t="inlineStr">
        <is>
          <t>PR593 .L4 1971</t>
        </is>
      </c>
      <c r="E2793" t="inlineStr">
        <is>
          <t>0                      PR 0593000L  4           1971</t>
        </is>
      </c>
      <c r="F2793" t="inlineStr">
        <is>
          <t>Perplexed prophets : six nineteenth-century British authors / by Gaylord C. LeRoy.</t>
        </is>
      </c>
      <c r="H2793" t="inlineStr">
        <is>
          <t>No</t>
        </is>
      </c>
      <c r="I2793" t="inlineStr">
        <is>
          <t>1</t>
        </is>
      </c>
      <c r="J2793" t="inlineStr">
        <is>
          <t>No</t>
        </is>
      </c>
      <c r="K2793" t="inlineStr">
        <is>
          <t>No</t>
        </is>
      </c>
      <c r="L2793" t="inlineStr">
        <is>
          <t>0</t>
        </is>
      </c>
      <c r="M2793" t="inlineStr">
        <is>
          <t>LeRoy, Gaylord C.</t>
        </is>
      </c>
      <c r="N2793" t="inlineStr">
        <is>
          <t>Westport, Conn. : Greenwood Press, [1971, c1953]</t>
        </is>
      </c>
      <c r="O2793" t="inlineStr">
        <is>
          <t>1971</t>
        </is>
      </c>
      <c r="Q2793" t="inlineStr">
        <is>
          <t>eng</t>
        </is>
      </c>
      <c r="R2793" t="inlineStr">
        <is>
          <t>ctu</t>
        </is>
      </c>
      <c r="T2793" t="inlineStr">
        <is>
          <t xml:space="preserve">PR </t>
        </is>
      </c>
      <c r="U2793" t="n">
        <v>6</v>
      </c>
      <c r="V2793" t="n">
        <v>6</v>
      </c>
      <c r="W2793" t="inlineStr">
        <is>
          <t>2005-03-16</t>
        </is>
      </c>
      <c r="X2793" t="inlineStr">
        <is>
          <t>2005-03-16</t>
        </is>
      </c>
      <c r="Y2793" t="inlineStr">
        <is>
          <t>1991-09-10</t>
        </is>
      </c>
      <c r="Z2793" t="inlineStr">
        <is>
          <t>1991-09-10</t>
        </is>
      </c>
      <c r="AA2793" t="n">
        <v>141</v>
      </c>
      <c r="AB2793" t="n">
        <v>122</v>
      </c>
      <c r="AC2793" t="n">
        <v>650</v>
      </c>
      <c r="AD2793" t="n">
        <v>2</v>
      </c>
      <c r="AE2793" t="n">
        <v>4</v>
      </c>
      <c r="AF2793" t="n">
        <v>6</v>
      </c>
      <c r="AG2793" t="n">
        <v>34</v>
      </c>
      <c r="AH2793" t="n">
        <v>2</v>
      </c>
      <c r="AI2793" t="n">
        <v>15</v>
      </c>
      <c r="AJ2793" t="n">
        <v>1</v>
      </c>
      <c r="AK2793" t="n">
        <v>7</v>
      </c>
      <c r="AL2793" t="n">
        <v>2</v>
      </c>
      <c r="AM2793" t="n">
        <v>18</v>
      </c>
      <c r="AN2793" t="n">
        <v>1</v>
      </c>
      <c r="AO2793" t="n">
        <v>3</v>
      </c>
      <c r="AP2793" t="n">
        <v>0</v>
      </c>
      <c r="AQ2793" t="n">
        <v>0</v>
      </c>
      <c r="AR2793" t="inlineStr">
        <is>
          <t>No</t>
        </is>
      </c>
      <c r="AS2793" t="inlineStr">
        <is>
          <t>No</t>
        </is>
      </c>
      <c r="AU2793">
        <f>HYPERLINK("https://creighton-primo.hosted.exlibrisgroup.com/primo-explore/search?tab=default_tab&amp;search_scope=EVERYTHING&amp;vid=01CRU&amp;lang=en_US&amp;offset=0&amp;query=any,contains,991001227299702656","Catalog Record")</f>
        <v/>
      </c>
      <c r="AV2793">
        <f>HYPERLINK("http://www.worldcat.org/oclc/200379","WorldCat Record")</f>
        <v/>
      </c>
      <c r="AW2793" t="inlineStr">
        <is>
          <t>254943988:eng</t>
        </is>
      </c>
      <c r="AX2793" t="inlineStr">
        <is>
          <t>200379</t>
        </is>
      </c>
      <c r="AY2793" t="inlineStr">
        <is>
          <t>991001227299702656</t>
        </is>
      </c>
      <c r="AZ2793" t="inlineStr">
        <is>
          <t>991001227299702656</t>
        </is>
      </c>
      <c r="BA2793" t="inlineStr">
        <is>
          <t>2257558460002656</t>
        </is>
      </c>
      <c r="BB2793" t="inlineStr">
        <is>
          <t>BOOK</t>
        </is>
      </c>
      <c r="BD2793" t="inlineStr">
        <is>
          <t>9780837159850</t>
        </is>
      </c>
      <c r="BE2793" t="inlineStr">
        <is>
          <t>32285000738319</t>
        </is>
      </c>
      <c r="BF2793" t="inlineStr">
        <is>
          <t>893803460</t>
        </is>
      </c>
    </row>
    <row r="2794">
      <c r="A2794" t="inlineStr">
        <is>
          <t>No</t>
        </is>
      </c>
      <c r="B2794" t="inlineStr">
        <is>
          <t>CURAL</t>
        </is>
      </c>
      <c r="C2794" t="inlineStr">
        <is>
          <t>SHELVES</t>
        </is>
      </c>
      <c r="D2794" t="inlineStr">
        <is>
          <t>PR593 .M3 1969b</t>
        </is>
      </c>
      <c r="E2794" t="inlineStr">
        <is>
          <t>0                      PR 0593000M  3           1969b</t>
        </is>
      </c>
      <c r="F2794" t="inlineStr">
        <is>
          <t>The Major Victorian poets : reconsiderations / edited by Isobel Armstrong.</t>
        </is>
      </c>
      <c r="H2794" t="inlineStr">
        <is>
          <t>No</t>
        </is>
      </c>
      <c r="I2794" t="inlineStr">
        <is>
          <t>1</t>
        </is>
      </c>
      <c r="J2794" t="inlineStr">
        <is>
          <t>No</t>
        </is>
      </c>
      <c r="K2794" t="inlineStr">
        <is>
          <t>No</t>
        </is>
      </c>
      <c r="L2794" t="inlineStr">
        <is>
          <t>0</t>
        </is>
      </c>
      <c r="N2794" t="inlineStr">
        <is>
          <t>[Lincoln] : University of Nebraska Press, [1969]</t>
        </is>
      </c>
      <c r="O2794" t="inlineStr">
        <is>
          <t>1969</t>
        </is>
      </c>
      <c r="Q2794" t="inlineStr">
        <is>
          <t>eng</t>
        </is>
      </c>
      <c r="R2794" t="inlineStr">
        <is>
          <t>nbu</t>
        </is>
      </c>
      <c r="T2794" t="inlineStr">
        <is>
          <t xml:space="preserve">PR </t>
        </is>
      </c>
      <c r="U2794" t="n">
        <v>1</v>
      </c>
      <c r="V2794" t="n">
        <v>1</v>
      </c>
      <c r="W2794" t="inlineStr">
        <is>
          <t>1993-01-26</t>
        </is>
      </c>
      <c r="X2794" t="inlineStr">
        <is>
          <t>1993-01-26</t>
        </is>
      </c>
      <c r="Y2794" t="inlineStr">
        <is>
          <t>1991-09-10</t>
        </is>
      </c>
      <c r="Z2794" t="inlineStr">
        <is>
          <t>1991-09-10</t>
        </is>
      </c>
      <c r="AA2794" t="n">
        <v>786</v>
      </c>
      <c r="AB2794" t="n">
        <v>762</v>
      </c>
      <c r="AC2794" t="n">
        <v>936</v>
      </c>
      <c r="AD2794" t="n">
        <v>8</v>
      </c>
      <c r="AE2794" t="n">
        <v>8</v>
      </c>
      <c r="AF2794" t="n">
        <v>38</v>
      </c>
      <c r="AG2794" t="n">
        <v>48</v>
      </c>
      <c r="AH2794" t="n">
        <v>15</v>
      </c>
      <c r="AI2794" t="n">
        <v>20</v>
      </c>
      <c r="AJ2794" t="n">
        <v>9</v>
      </c>
      <c r="AK2794" t="n">
        <v>10</v>
      </c>
      <c r="AL2794" t="n">
        <v>16</v>
      </c>
      <c r="AM2794" t="n">
        <v>23</v>
      </c>
      <c r="AN2794" t="n">
        <v>7</v>
      </c>
      <c r="AO2794" t="n">
        <v>7</v>
      </c>
      <c r="AP2794" t="n">
        <v>0</v>
      </c>
      <c r="AQ2794" t="n">
        <v>0</v>
      </c>
      <c r="AR2794" t="inlineStr">
        <is>
          <t>No</t>
        </is>
      </c>
      <c r="AS2794" t="inlineStr">
        <is>
          <t>Yes</t>
        </is>
      </c>
      <c r="AT2794">
        <f>HYPERLINK("http://catalog.hathitrust.org/Record/001370078","HathiTrust Record")</f>
        <v/>
      </c>
      <c r="AU2794">
        <f>HYPERLINK("https://creighton-primo.hosted.exlibrisgroup.com/primo-explore/search?tab=default_tab&amp;search_scope=EVERYTHING&amp;vid=01CRU&amp;lang=en_US&amp;offset=0&amp;query=any,contains,991000082549702656","Catalog Record")</f>
        <v/>
      </c>
      <c r="AV2794">
        <f>HYPERLINK("http://www.worldcat.org/oclc/32332","WorldCat Record")</f>
        <v/>
      </c>
      <c r="AW2794" t="inlineStr">
        <is>
          <t>1185780:eng</t>
        </is>
      </c>
      <c r="AX2794" t="inlineStr">
        <is>
          <t>32332</t>
        </is>
      </c>
      <c r="AY2794" t="inlineStr">
        <is>
          <t>991000082549702656</t>
        </is>
      </c>
      <c r="AZ2794" t="inlineStr">
        <is>
          <t>991000082549702656</t>
        </is>
      </c>
      <c r="BA2794" t="inlineStr">
        <is>
          <t>2258278670002656</t>
        </is>
      </c>
      <c r="BB2794" t="inlineStr">
        <is>
          <t>BOOK</t>
        </is>
      </c>
      <c r="BE2794" t="inlineStr">
        <is>
          <t>32285000738327</t>
        </is>
      </c>
      <c r="BF2794" t="inlineStr">
        <is>
          <t>893333190</t>
        </is>
      </c>
    </row>
    <row r="2795">
      <c r="A2795" t="inlineStr">
        <is>
          <t>No</t>
        </is>
      </c>
      <c r="B2795" t="inlineStr">
        <is>
          <t>CURAL</t>
        </is>
      </c>
      <c r="C2795" t="inlineStr">
        <is>
          <t>SHELVES</t>
        </is>
      </c>
      <c r="D2795" t="inlineStr">
        <is>
          <t>PR593 .V5</t>
        </is>
      </c>
      <c r="E2795" t="inlineStr">
        <is>
          <t>0                      PR 0593000V  5</t>
        </is>
      </c>
      <c r="F2795" t="inlineStr">
        <is>
          <t>Victorian poetry.</t>
        </is>
      </c>
      <c r="H2795" t="inlineStr">
        <is>
          <t>No</t>
        </is>
      </c>
      <c r="I2795" t="inlineStr">
        <is>
          <t>1</t>
        </is>
      </c>
      <c r="J2795" t="inlineStr">
        <is>
          <t>No</t>
        </is>
      </c>
      <c r="K2795" t="inlineStr">
        <is>
          <t>No</t>
        </is>
      </c>
      <c r="L2795" t="inlineStr">
        <is>
          <t>0</t>
        </is>
      </c>
      <c r="N2795" t="inlineStr">
        <is>
          <t>[London] : Edward Arnold, [1972]</t>
        </is>
      </c>
      <c r="O2795" t="inlineStr">
        <is>
          <t>1972</t>
        </is>
      </c>
      <c r="Q2795" t="inlineStr">
        <is>
          <t>eng</t>
        </is>
      </c>
      <c r="R2795" t="inlineStr">
        <is>
          <t>enk</t>
        </is>
      </c>
      <c r="S2795" t="inlineStr">
        <is>
          <t>Stratford-upon-Avon studies ; 15</t>
        </is>
      </c>
      <c r="T2795" t="inlineStr">
        <is>
          <t xml:space="preserve">PR </t>
        </is>
      </c>
      <c r="U2795" t="n">
        <v>2</v>
      </c>
      <c r="V2795" t="n">
        <v>2</v>
      </c>
      <c r="W2795" t="inlineStr">
        <is>
          <t>1993-06-08</t>
        </is>
      </c>
      <c r="X2795" t="inlineStr">
        <is>
          <t>1993-06-08</t>
        </is>
      </c>
      <c r="Y2795" t="inlineStr">
        <is>
          <t>1991-09-10</t>
        </is>
      </c>
      <c r="Z2795" t="inlineStr">
        <is>
          <t>1991-09-10</t>
        </is>
      </c>
      <c r="AA2795" t="n">
        <v>576</v>
      </c>
      <c r="AB2795" t="n">
        <v>369</v>
      </c>
      <c r="AC2795" t="n">
        <v>371</v>
      </c>
      <c r="AD2795" t="n">
        <v>3</v>
      </c>
      <c r="AE2795" t="n">
        <v>3</v>
      </c>
      <c r="AF2795" t="n">
        <v>21</v>
      </c>
      <c r="AG2795" t="n">
        <v>21</v>
      </c>
      <c r="AH2795" t="n">
        <v>6</v>
      </c>
      <c r="AI2795" t="n">
        <v>6</v>
      </c>
      <c r="AJ2795" t="n">
        <v>5</v>
      </c>
      <c r="AK2795" t="n">
        <v>5</v>
      </c>
      <c r="AL2795" t="n">
        <v>13</v>
      </c>
      <c r="AM2795" t="n">
        <v>13</v>
      </c>
      <c r="AN2795" t="n">
        <v>2</v>
      </c>
      <c r="AO2795" t="n">
        <v>2</v>
      </c>
      <c r="AP2795" t="n">
        <v>0</v>
      </c>
      <c r="AQ2795" t="n">
        <v>0</v>
      </c>
      <c r="AR2795" t="inlineStr">
        <is>
          <t>No</t>
        </is>
      </c>
      <c r="AS2795" t="inlineStr">
        <is>
          <t>Yes</t>
        </is>
      </c>
      <c r="AT2795">
        <f>HYPERLINK("http://catalog.hathitrust.org/Record/001679120","HathiTrust Record")</f>
        <v/>
      </c>
      <c r="AU2795">
        <f>HYPERLINK("https://creighton-primo.hosted.exlibrisgroup.com/primo-explore/search?tab=default_tab&amp;search_scope=EVERYTHING&amp;vid=01CRU&amp;lang=en_US&amp;offset=0&amp;query=any,contains,991003252489702656","Catalog Record")</f>
        <v/>
      </c>
      <c r="AV2795">
        <f>HYPERLINK("http://www.worldcat.org/oclc/777227","WorldCat Record")</f>
        <v/>
      </c>
      <c r="AW2795" t="inlineStr">
        <is>
          <t>3770333229:eng</t>
        </is>
      </c>
      <c r="AX2795" t="inlineStr">
        <is>
          <t>777227</t>
        </is>
      </c>
      <c r="AY2795" t="inlineStr">
        <is>
          <t>991003252489702656</t>
        </is>
      </c>
      <c r="AZ2795" t="inlineStr">
        <is>
          <t>991003252489702656</t>
        </is>
      </c>
      <c r="BA2795" t="inlineStr">
        <is>
          <t>2267989220002656</t>
        </is>
      </c>
      <c r="BB2795" t="inlineStr">
        <is>
          <t>BOOK</t>
        </is>
      </c>
      <c r="BD2795" t="inlineStr">
        <is>
          <t>9780713156614</t>
        </is>
      </c>
      <c r="BE2795" t="inlineStr">
        <is>
          <t>32285000738343</t>
        </is>
      </c>
      <c r="BF2795" t="inlineStr">
        <is>
          <t>893524601</t>
        </is>
      </c>
    </row>
    <row r="2796">
      <c r="A2796" t="inlineStr">
        <is>
          <t>No</t>
        </is>
      </c>
      <c r="B2796" t="inlineStr">
        <is>
          <t>CURAL</t>
        </is>
      </c>
      <c r="C2796" t="inlineStr">
        <is>
          <t>SHELVES</t>
        </is>
      </c>
      <c r="D2796" t="inlineStr">
        <is>
          <t>PR595.B37 D4 1989</t>
        </is>
      </c>
      <c r="E2796" t="inlineStr">
        <is>
          <t>0                      PR 0595000B  37                 D  4           1989</t>
        </is>
      </c>
      <c r="F2796" t="inlineStr">
        <is>
          <t>Bardic style in the poetry of Gerard Manley Hopkins, W.B. Yeats &amp; Dylan Thomas / by Sheila Deane.</t>
        </is>
      </c>
      <c r="H2796" t="inlineStr">
        <is>
          <t>No</t>
        </is>
      </c>
      <c r="I2796" t="inlineStr">
        <is>
          <t>1</t>
        </is>
      </c>
      <c r="J2796" t="inlineStr">
        <is>
          <t>No</t>
        </is>
      </c>
      <c r="K2796" t="inlineStr">
        <is>
          <t>No</t>
        </is>
      </c>
      <c r="L2796" t="inlineStr">
        <is>
          <t>0</t>
        </is>
      </c>
      <c r="M2796" t="inlineStr">
        <is>
          <t>Deane, Sheila, 1953-</t>
        </is>
      </c>
      <c r="N2796" t="inlineStr">
        <is>
          <t>Ann Arbor, MI : UMI Research Press, c1989.</t>
        </is>
      </c>
      <c r="O2796" t="inlineStr">
        <is>
          <t>1989</t>
        </is>
      </c>
      <c r="Q2796" t="inlineStr">
        <is>
          <t>eng</t>
        </is>
      </c>
      <c r="R2796" t="inlineStr">
        <is>
          <t>miu</t>
        </is>
      </c>
      <c r="S2796" t="inlineStr">
        <is>
          <t>Studies in modern literature ; no. 98</t>
        </is>
      </c>
      <c r="T2796" t="inlineStr">
        <is>
          <t xml:space="preserve">PR </t>
        </is>
      </c>
      <c r="U2796" t="n">
        <v>4</v>
      </c>
      <c r="V2796" t="n">
        <v>4</v>
      </c>
      <c r="W2796" t="inlineStr">
        <is>
          <t>1993-05-19</t>
        </is>
      </c>
      <c r="X2796" t="inlineStr">
        <is>
          <t>1993-05-19</t>
        </is>
      </c>
      <c r="Y2796" t="inlineStr">
        <is>
          <t>1991-09-09</t>
        </is>
      </c>
      <c r="Z2796" t="inlineStr">
        <is>
          <t>1991-09-09</t>
        </is>
      </c>
      <c r="AA2796" t="n">
        <v>300</v>
      </c>
      <c r="AB2796" t="n">
        <v>243</v>
      </c>
      <c r="AC2796" t="n">
        <v>245</v>
      </c>
      <c r="AD2796" t="n">
        <v>4</v>
      </c>
      <c r="AE2796" t="n">
        <v>4</v>
      </c>
      <c r="AF2796" t="n">
        <v>17</v>
      </c>
      <c r="AG2796" t="n">
        <v>18</v>
      </c>
      <c r="AH2796" t="n">
        <v>3</v>
      </c>
      <c r="AI2796" t="n">
        <v>3</v>
      </c>
      <c r="AJ2796" t="n">
        <v>6</v>
      </c>
      <c r="AK2796" t="n">
        <v>7</v>
      </c>
      <c r="AL2796" t="n">
        <v>11</v>
      </c>
      <c r="AM2796" t="n">
        <v>11</v>
      </c>
      <c r="AN2796" t="n">
        <v>3</v>
      </c>
      <c r="AO2796" t="n">
        <v>3</v>
      </c>
      <c r="AP2796" t="n">
        <v>0</v>
      </c>
      <c r="AQ2796" t="n">
        <v>0</v>
      </c>
      <c r="AR2796" t="inlineStr">
        <is>
          <t>No</t>
        </is>
      </c>
      <c r="AS2796" t="inlineStr">
        <is>
          <t>No</t>
        </is>
      </c>
      <c r="AU2796">
        <f>HYPERLINK("https://creighton-primo.hosted.exlibrisgroup.com/primo-explore/search?tab=default_tab&amp;search_scope=EVERYTHING&amp;vid=01CRU&amp;lang=en_US&amp;offset=0&amp;query=any,contains,991001490129702656","Catalog Record")</f>
        <v/>
      </c>
      <c r="AV2796">
        <f>HYPERLINK("http://www.worldcat.org/oclc/19722165","WorldCat Record")</f>
        <v/>
      </c>
      <c r="AW2796" t="inlineStr">
        <is>
          <t>21464671:eng</t>
        </is>
      </c>
      <c r="AX2796" t="inlineStr">
        <is>
          <t>19722165</t>
        </is>
      </c>
      <c r="AY2796" t="inlineStr">
        <is>
          <t>991001490129702656</t>
        </is>
      </c>
      <c r="AZ2796" t="inlineStr">
        <is>
          <t>991001490129702656</t>
        </is>
      </c>
      <c r="BA2796" t="inlineStr">
        <is>
          <t>2258529470002656</t>
        </is>
      </c>
      <c r="BB2796" t="inlineStr">
        <is>
          <t>BOOK</t>
        </is>
      </c>
      <c r="BD2796" t="inlineStr">
        <is>
          <t>9780835719506</t>
        </is>
      </c>
      <c r="BE2796" t="inlineStr">
        <is>
          <t>32285000738350</t>
        </is>
      </c>
      <c r="BF2796" t="inlineStr">
        <is>
          <t>893534566</t>
        </is>
      </c>
    </row>
    <row r="2797">
      <c r="A2797" t="inlineStr">
        <is>
          <t>No</t>
        </is>
      </c>
      <c r="B2797" t="inlineStr">
        <is>
          <t>CURAL</t>
        </is>
      </c>
      <c r="C2797" t="inlineStr">
        <is>
          <t>SHELVES</t>
        </is>
      </c>
      <c r="D2797" t="inlineStr">
        <is>
          <t>PR595.L27 F56 1983</t>
        </is>
      </c>
      <c r="E2797" t="inlineStr">
        <is>
          <t>0                      PR 0595000L  27                 F  56          1983</t>
        </is>
      </c>
      <c r="F2797" t="inlineStr">
        <is>
          <t>Gardens and grim ravines : the language of landscape in Victorian poetry / by Pauline Fletcher.</t>
        </is>
      </c>
      <c r="H2797" t="inlineStr">
        <is>
          <t>No</t>
        </is>
      </c>
      <c r="I2797" t="inlineStr">
        <is>
          <t>1</t>
        </is>
      </c>
      <c r="J2797" t="inlineStr">
        <is>
          <t>No</t>
        </is>
      </c>
      <c r="K2797" t="inlineStr">
        <is>
          <t>No</t>
        </is>
      </c>
      <c r="L2797" t="inlineStr">
        <is>
          <t>0</t>
        </is>
      </c>
      <c r="M2797" t="inlineStr">
        <is>
          <t>Fletcher, Pauline, 1938-</t>
        </is>
      </c>
      <c r="N2797" t="inlineStr">
        <is>
          <t>Princeton, N.J. : Princeton University Press, c1983.</t>
        </is>
      </c>
      <c r="O2797" t="inlineStr">
        <is>
          <t>1983</t>
        </is>
      </c>
      <c r="Q2797" t="inlineStr">
        <is>
          <t>eng</t>
        </is>
      </c>
      <c r="R2797" t="inlineStr">
        <is>
          <t>nju</t>
        </is>
      </c>
      <c r="T2797" t="inlineStr">
        <is>
          <t xml:space="preserve">PR </t>
        </is>
      </c>
      <c r="U2797" t="n">
        <v>5</v>
      </c>
      <c r="V2797" t="n">
        <v>5</v>
      </c>
      <c r="W2797" t="inlineStr">
        <is>
          <t>2009-04-01</t>
        </is>
      </c>
      <c r="X2797" t="inlineStr">
        <is>
          <t>2009-04-01</t>
        </is>
      </c>
      <c r="Y2797" t="inlineStr">
        <is>
          <t>1991-09-09</t>
        </is>
      </c>
      <c r="Z2797" t="inlineStr">
        <is>
          <t>1991-09-09</t>
        </is>
      </c>
      <c r="AA2797" t="n">
        <v>667</v>
      </c>
      <c r="AB2797" t="n">
        <v>543</v>
      </c>
      <c r="AC2797" t="n">
        <v>708</v>
      </c>
      <c r="AD2797" t="n">
        <v>4</v>
      </c>
      <c r="AE2797" t="n">
        <v>4</v>
      </c>
      <c r="AF2797" t="n">
        <v>30</v>
      </c>
      <c r="AG2797" t="n">
        <v>35</v>
      </c>
      <c r="AH2797" t="n">
        <v>14</v>
      </c>
      <c r="AI2797" t="n">
        <v>17</v>
      </c>
      <c r="AJ2797" t="n">
        <v>8</v>
      </c>
      <c r="AK2797" t="n">
        <v>9</v>
      </c>
      <c r="AL2797" t="n">
        <v>17</v>
      </c>
      <c r="AM2797" t="n">
        <v>19</v>
      </c>
      <c r="AN2797" t="n">
        <v>3</v>
      </c>
      <c r="AO2797" t="n">
        <v>3</v>
      </c>
      <c r="AP2797" t="n">
        <v>0</v>
      </c>
      <c r="AQ2797" t="n">
        <v>0</v>
      </c>
      <c r="AR2797" t="inlineStr">
        <is>
          <t>No</t>
        </is>
      </c>
      <c r="AS2797" t="inlineStr">
        <is>
          <t>No</t>
        </is>
      </c>
      <c r="AU2797">
        <f>HYPERLINK("https://creighton-primo.hosted.exlibrisgroup.com/primo-explore/search?tab=default_tab&amp;search_scope=EVERYTHING&amp;vid=01CRU&amp;lang=en_US&amp;offset=0&amp;query=any,contains,991000130849702656","Catalog Record")</f>
        <v/>
      </c>
      <c r="AV2797">
        <f>HYPERLINK("http://www.worldcat.org/oclc/9111304","WorldCat Record")</f>
        <v/>
      </c>
      <c r="AW2797" t="inlineStr">
        <is>
          <t>863095045:eng</t>
        </is>
      </c>
      <c r="AX2797" t="inlineStr">
        <is>
          <t>9111304</t>
        </is>
      </c>
      <c r="AY2797" t="inlineStr">
        <is>
          <t>991000130849702656</t>
        </is>
      </c>
      <c r="AZ2797" t="inlineStr">
        <is>
          <t>991000130849702656</t>
        </is>
      </c>
      <c r="BA2797" t="inlineStr">
        <is>
          <t>2266637010002656</t>
        </is>
      </c>
      <c r="BB2797" t="inlineStr">
        <is>
          <t>BOOK</t>
        </is>
      </c>
      <c r="BD2797" t="inlineStr">
        <is>
          <t>9780691065564</t>
        </is>
      </c>
      <c r="BE2797" t="inlineStr">
        <is>
          <t>32285000738376</t>
        </is>
      </c>
      <c r="BF2797" t="inlineStr">
        <is>
          <t>893620204</t>
        </is>
      </c>
    </row>
    <row r="2798">
      <c r="A2798" t="inlineStr">
        <is>
          <t>No</t>
        </is>
      </c>
      <c r="B2798" t="inlineStr">
        <is>
          <t>CURAL</t>
        </is>
      </c>
      <c r="C2798" t="inlineStr">
        <is>
          <t>SHELVES</t>
        </is>
      </c>
      <c r="D2798" t="inlineStr">
        <is>
          <t>PR595.P33 C5</t>
        </is>
      </c>
      <c r="E2798" t="inlineStr">
        <is>
          <t>0                      PR 0595000P  33                 C  5</t>
        </is>
      </c>
      <c r="F2798" t="inlineStr">
        <is>
          <t>The finer optic : the aesthetic of particularity in Victorian poetry / Carol T. Christ.</t>
        </is>
      </c>
      <c r="H2798" t="inlineStr">
        <is>
          <t>No</t>
        </is>
      </c>
      <c r="I2798" t="inlineStr">
        <is>
          <t>1</t>
        </is>
      </c>
      <c r="J2798" t="inlineStr">
        <is>
          <t>No</t>
        </is>
      </c>
      <c r="K2798" t="inlineStr">
        <is>
          <t>No</t>
        </is>
      </c>
      <c r="L2798" t="inlineStr">
        <is>
          <t>0</t>
        </is>
      </c>
      <c r="M2798" t="inlineStr">
        <is>
          <t>Christ, Carol T.</t>
        </is>
      </c>
      <c r="N2798" t="inlineStr">
        <is>
          <t>New Haven : Yale University Press, 1975.</t>
        </is>
      </c>
      <c r="O2798" t="inlineStr">
        <is>
          <t>1975</t>
        </is>
      </c>
      <c r="Q2798" t="inlineStr">
        <is>
          <t>eng</t>
        </is>
      </c>
      <c r="R2798" t="inlineStr">
        <is>
          <t>ctu</t>
        </is>
      </c>
      <c r="T2798" t="inlineStr">
        <is>
          <t xml:space="preserve">PR </t>
        </is>
      </c>
      <c r="U2798" t="n">
        <v>1</v>
      </c>
      <c r="V2798" t="n">
        <v>1</v>
      </c>
      <c r="W2798" t="inlineStr">
        <is>
          <t>1993-06-08</t>
        </is>
      </c>
      <c r="X2798" t="inlineStr">
        <is>
          <t>1993-06-08</t>
        </is>
      </c>
      <c r="Y2798" t="inlineStr">
        <is>
          <t>1991-09-10</t>
        </is>
      </c>
      <c r="Z2798" t="inlineStr">
        <is>
          <t>1991-09-10</t>
        </is>
      </c>
      <c r="AA2798" t="n">
        <v>759</v>
      </c>
      <c r="AB2798" t="n">
        <v>609</v>
      </c>
      <c r="AC2798" t="n">
        <v>610</v>
      </c>
      <c r="AD2798" t="n">
        <v>5</v>
      </c>
      <c r="AE2798" t="n">
        <v>5</v>
      </c>
      <c r="AF2798" t="n">
        <v>38</v>
      </c>
      <c r="AG2798" t="n">
        <v>38</v>
      </c>
      <c r="AH2798" t="n">
        <v>16</v>
      </c>
      <c r="AI2798" t="n">
        <v>16</v>
      </c>
      <c r="AJ2798" t="n">
        <v>10</v>
      </c>
      <c r="AK2798" t="n">
        <v>10</v>
      </c>
      <c r="AL2798" t="n">
        <v>19</v>
      </c>
      <c r="AM2798" t="n">
        <v>19</v>
      </c>
      <c r="AN2798" t="n">
        <v>4</v>
      </c>
      <c r="AO2798" t="n">
        <v>4</v>
      </c>
      <c r="AP2798" t="n">
        <v>0</v>
      </c>
      <c r="AQ2798" t="n">
        <v>0</v>
      </c>
      <c r="AR2798" t="inlineStr">
        <is>
          <t>No</t>
        </is>
      </c>
      <c r="AS2798" t="inlineStr">
        <is>
          <t>No</t>
        </is>
      </c>
      <c r="AU2798">
        <f>HYPERLINK("https://creighton-primo.hosted.exlibrisgroup.com/primo-explore/search?tab=default_tab&amp;search_scope=EVERYTHING&amp;vid=01CRU&amp;lang=en_US&amp;offset=0&amp;query=any,contains,991003665279702656","Catalog Record")</f>
        <v/>
      </c>
      <c r="AV2798">
        <f>HYPERLINK("http://www.worldcat.org/oclc/1278230","WorldCat Record")</f>
        <v/>
      </c>
      <c r="AW2798" t="inlineStr">
        <is>
          <t>867393953:eng</t>
        </is>
      </c>
      <c r="AX2798" t="inlineStr">
        <is>
          <t>1278230</t>
        </is>
      </c>
      <c r="AY2798" t="inlineStr">
        <is>
          <t>991003665279702656</t>
        </is>
      </c>
      <c r="AZ2798" t="inlineStr">
        <is>
          <t>991003665279702656</t>
        </is>
      </c>
      <c r="BA2798" t="inlineStr">
        <is>
          <t>2261534020002656</t>
        </is>
      </c>
      <c r="BB2798" t="inlineStr">
        <is>
          <t>BOOK</t>
        </is>
      </c>
      <c r="BD2798" t="inlineStr">
        <is>
          <t>9780300017755</t>
        </is>
      </c>
      <c r="BE2798" t="inlineStr">
        <is>
          <t>32285000738392</t>
        </is>
      </c>
      <c r="BF2798" t="inlineStr">
        <is>
          <t>893240455</t>
        </is>
      </c>
    </row>
    <row r="2799">
      <c r="A2799" t="inlineStr">
        <is>
          <t>No</t>
        </is>
      </c>
      <c r="B2799" t="inlineStr">
        <is>
          <t>CURAL</t>
        </is>
      </c>
      <c r="C2799" t="inlineStr">
        <is>
          <t>SHELVES</t>
        </is>
      </c>
      <c r="D2799" t="inlineStr">
        <is>
          <t>PR595.R4 E34 1996</t>
        </is>
      </c>
      <c r="E2799" t="inlineStr">
        <is>
          <t>0                      PR 0595000R  4                  E  34          1996</t>
        </is>
      </c>
      <c r="F2799" t="inlineStr">
        <is>
          <t>Two poets of the Oxford Movement : John Keble and John Henry Newman / Rodney Stenning Edgecombe.</t>
        </is>
      </c>
      <c r="H2799" t="inlineStr">
        <is>
          <t>No</t>
        </is>
      </c>
      <c r="I2799" t="inlineStr">
        <is>
          <t>1</t>
        </is>
      </c>
      <c r="J2799" t="inlineStr">
        <is>
          <t>No</t>
        </is>
      </c>
      <c r="K2799" t="inlineStr">
        <is>
          <t>No</t>
        </is>
      </c>
      <c r="L2799" t="inlineStr">
        <is>
          <t>0</t>
        </is>
      </c>
      <c r="M2799" t="inlineStr">
        <is>
          <t>Edgecombe, Rodney Stenning.</t>
        </is>
      </c>
      <c r="N2799" t="inlineStr">
        <is>
          <t>Madison [N.J.] : Fairleigh Dickinson University Press, c1996.</t>
        </is>
      </c>
      <c r="O2799" t="inlineStr">
        <is>
          <t>1996</t>
        </is>
      </c>
      <c r="Q2799" t="inlineStr">
        <is>
          <t>eng</t>
        </is>
      </c>
      <c r="R2799" t="inlineStr">
        <is>
          <t>nju</t>
        </is>
      </c>
      <c r="T2799" t="inlineStr">
        <is>
          <t xml:space="preserve">PR </t>
        </is>
      </c>
      <c r="U2799" t="n">
        <v>1</v>
      </c>
      <c r="V2799" t="n">
        <v>1</v>
      </c>
      <c r="W2799" t="inlineStr">
        <is>
          <t>2010-03-02</t>
        </is>
      </c>
      <c r="X2799" t="inlineStr">
        <is>
          <t>2010-03-02</t>
        </is>
      </c>
      <c r="Y2799" t="inlineStr">
        <is>
          <t>1996-10-07</t>
        </is>
      </c>
      <c r="Z2799" t="inlineStr">
        <is>
          <t>1996-10-07</t>
        </is>
      </c>
      <c r="AA2799" t="n">
        <v>247</v>
      </c>
      <c r="AB2799" t="n">
        <v>208</v>
      </c>
      <c r="AC2799" t="n">
        <v>219</v>
      </c>
      <c r="AD2799" t="n">
        <v>3</v>
      </c>
      <c r="AE2799" t="n">
        <v>3</v>
      </c>
      <c r="AF2799" t="n">
        <v>17</v>
      </c>
      <c r="AG2799" t="n">
        <v>17</v>
      </c>
      <c r="AH2799" t="n">
        <v>4</v>
      </c>
      <c r="AI2799" t="n">
        <v>4</v>
      </c>
      <c r="AJ2799" t="n">
        <v>5</v>
      </c>
      <c r="AK2799" t="n">
        <v>5</v>
      </c>
      <c r="AL2799" t="n">
        <v>10</v>
      </c>
      <c r="AM2799" t="n">
        <v>10</v>
      </c>
      <c r="AN2799" t="n">
        <v>2</v>
      </c>
      <c r="AO2799" t="n">
        <v>2</v>
      </c>
      <c r="AP2799" t="n">
        <v>0</v>
      </c>
      <c r="AQ2799" t="n">
        <v>0</v>
      </c>
      <c r="AR2799" t="inlineStr">
        <is>
          <t>No</t>
        </is>
      </c>
      <c r="AS2799" t="inlineStr">
        <is>
          <t>Yes</t>
        </is>
      </c>
      <c r="AT2799">
        <f>HYPERLINK("http://catalog.hathitrust.org/Record/003045262","HathiTrust Record")</f>
        <v/>
      </c>
      <c r="AU2799">
        <f>HYPERLINK("https://creighton-primo.hosted.exlibrisgroup.com/primo-explore/search?tab=default_tab&amp;search_scope=EVERYTHING&amp;vid=01CRU&amp;lang=en_US&amp;offset=0&amp;query=any,contains,991002512009702656","Catalog Record")</f>
        <v/>
      </c>
      <c r="AV2799">
        <f>HYPERLINK("http://www.worldcat.org/oclc/32665706","WorldCat Record")</f>
        <v/>
      </c>
      <c r="AW2799" t="inlineStr">
        <is>
          <t>255553835:eng</t>
        </is>
      </c>
      <c r="AX2799" t="inlineStr">
        <is>
          <t>32665706</t>
        </is>
      </c>
      <c r="AY2799" t="inlineStr">
        <is>
          <t>991002512009702656</t>
        </is>
      </c>
      <c r="AZ2799" t="inlineStr">
        <is>
          <t>991002512009702656</t>
        </is>
      </c>
      <c r="BA2799" t="inlineStr">
        <is>
          <t>2264391780002656</t>
        </is>
      </c>
      <c r="BB2799" t="inlineStr">
        <is>
          <t>BOOK</t>
        </is>
      </c>
      <c r="BD2799" t="inlineStr">
        <is>
          <t>9780838636695</t>
        </is>
      </c>
      <c r="BE2799" t="inlineStr">
        <is>
          <t>32285002323482</t>
        </is>
      </c>
      <c r="BF2799" t="inlineStr">
        <is>
          <t>893329185</t>
        </is>
      </c>
    </row>
    <row r="2800">
      <c r="A2800" t="inlineStr">
        <is>
          <t>No</t>
        </is>
      </c>
      <c r="B2800" t="inlineStr">
        <is>
          <t>CURAL</t>
        </is>
      </c>
      <c r="C2800" t="inlineStr">
        <is>
          <t>SHELVES</t>
        </is>
      </c>
      <c r="D2800" t="inlineStr">
        <is>
          <t>PR595.R6 H6 1961</t>
        </is>
      </c>
      <c r="E2800" t="inlineStr">
        <is>
          <t>0                      PR 0595000R  6                  H  6           1961</t>
        </is>
      </c>
      <c r="F2800" t="inlineStr">
        <is>
          <t>The last romantics / Graham Hough.</t>
        </is>
      </c>
      <c r="H2800" t="inlineStr">
        <is>
          <t>No</t>
        </is>
      </c>
      <c r="I2800" t="inlineStr">
        <is>
          <t>1</t>
        </is>
      </c>
      <c r="J2800" t="inlineStr">
        <is>
          <t>No</t>
        </is>
      </c>
      <c r="K2800" t="inlineStr">
        <is>
          <t>No</t>
        </is>
      </c>
      <c r="L2800" t="inlineStr">
        <is>
          <t>0</t>
        </is>
      </c>
      <c r="M2800" t="inlineStr">
        <is>
          <t>Hough, Graham, 1908-1990.</t>
        </is>
      </c>
      <c r="N2800" t="inlineStr">
        <is>
          <t>London : Methuen ; New York : Barnes &amp; Noble, 1961.</t>
        </is>
      </c>
      <c r="O2800" t="inlineStr">
        <is>
          <t>1961</t>
        </is>
      </c>
      <c r="Q2800" t="inlineStr">
        <is>
          <t>eng</t>
        </is>
      </c>
      <c r="R2800" t="inlineStr">
        <is>
          <t>enk</t>
        </is>
      </c>
      <c r="S2800" t="inlineStr">
        <is>
          <t>University paperbacks</t>
        </is>
      </c>
      <c r="T2800" t="inlineStr">
        <is>
          <t xml:space="preserve">PR </t>
        </is>
      </c>
      <c r="U2800" t="n">
        <v>2</v>
      </c>
      <c r="V2800" t="n">
        <v>2</v>
      </c>
      <c r="W2800" t="inlineStr">
        <is>
          <t>2000-04-01</t>
        </is>
      </c>
      <c r="X2800" t="inlineStr">
        <is>
          <t>2000-04-01</t>
        </is>
      </c>
      <c r="Y2800" t="inlineStr">
        <is>
          <t>1997-09-04</t>
        </is>
      </c>
      <c r="Z2800" t="inlineStr">
        <is>
          <t>1997-09-04</t>
        </is>
      </c>
      <c r="AA2800" t="n">
        <v>740</v>
      </c>
      <c r="AB2800" t="n">
        <v>605</v>
      </c>
      <c r="AC2800" t="n">
        <v>1036</v>
      </c>
      <c r="AD2800" t="n">
        <v>3</v>
      </c>
      <c r="AE2800" t="n">
        <v>7</v>
      </c>
      <c r="AF2800" t="n">
        <v>25</v>
      </c>
      <c r="AG2800" t="n">
        <v>45</v>
      </c>
      <c r="AH2800" t="n">
        <v>9</v>
      </c>
      <c r="AI2800" t="n">
        <v>19</v>
      </c>
      <c r="AJ2800" t="n">
        <v>6</v>
      </c>
      <c r="AK2800" t="n">
        <v>10</v>
      </c>
      <c r="AL2800" t="n">
        <v>11</v>
      </c>
      <c r="AM2800" t="n">
        <v>19</v>
      </c>
      <c r="AN2800" t="n">
        <v>2</v>
      </c>
      <c r="AO2800" t="n">
        <v>6</v>
      </c>
      <c r="AP2800" t="n">
        <v>0</v>
      </c>
      <c r="AQ2800" t="n">
        <v>0</v>
      </c>
      <c r="AR2800" t="inlineStr">
        <is>
          <t>No</t>
        </is>
      </c>
      <c r="AS2800" t="inlineStr">
        <is>
          <t>Yes</t>
        </is>
      </c>
      <c r="AT2800">
        <f>HYPERLINK("http://catalog.hathitrust.org/Record/001907331","HathiTrust Record")</f>
        <v/>
      </c>
      <c r="AU2800">
        <f>HYPERLINK("https://creighton-primo.hosted.exlibrisgroup.com/primo-explore/search?tab=default_tab&amp;search_scope=EVERYTHING&amp;vid=01CRU&amp;lang=en_US&amp;offset=0&amp;query=any,contains,991003256509702656","Catalog Record")</f>
        <v/>
      </c>
      <c r="AV2800">
        <f>HYPERLINK("http://www.worldcat.org/oclc/781810","WorldCat Record")</f>
        <v/>
      </c>
      <c r="AW2800" t="inlineStr">
        <is>
          <t>475214:eng</t>
        </is>
      </c>
      <c r="AX2800" t="inlineStr">
        <is>
          <t>781810</t>
        </is>
      </c>
      <c r="AY2800" t="inlineStr">
        <is>
          <t>991003256509702656</t>
        </is>
      </c>
      <c r="AZ2800" t="inlineStr">
        <is>
          <t>991003256509702656</t>
        </is>
      </c>
      <c r="BA2800" t="inlineStr">
        <is>
          <t>2263055330002656</t>
        </is>
      </c>
      <c r="BB2800" t="inlineStr">
        <is>
          <t>BOOK</t>
        </is>
      </c>
      <c r="BE2800" t="inlineStr">
        <is>
          <t>32285003154746</t>
        </is>
      </c>
      <c r="BF2800" t="inlineStr">
        <is>
          <t>893434809</t>
        </is>
      </c>
    </row>
    <row r="2801">
      <c r="A2801" t="inlineStr">
        <is>
          <t>No</t>
        </is>
      </c>
      <c r="B2801" t="inlineStr">
        <is>
          <t>CURAL</t>
        </is>
      </c>
      <c r="C2801" t="inlineStr">
        <is>
          <t>SHELVES</t>
        </is>
      </c>
      <c r="D2801" t="inlineStr">
        <is>
          <t>PR599.N3 E35 1988</t>
        </is>
      </c>
      <c r="E2801" t="inlineStr">
        <is>
          <t>0                      PR 0599000N  3                  E  35          1988</t>
        </is>
      </c>
      <c r="F2801" t="inlineStr">
        <is>
          <t>Affairs of the hearth : Victorian poetry and domestic narrative / Rod Edmond.</t>
        </is>
      </c>
      <c r="H2801" t="inlineStr">
        <is>
          <t>No</t>
        </is>
      </c>
      <c r="I2801" t="inlineStr">
        <is>
          <t>1</t>
        </is>
      </c>
      <c r="J2801" t="inlineStr">
        <is>
          <t>No</t>
        </is>
      </c>
      <c r="K2801" t="inlineStr">
        <is>
          <t>No</t>
        </is>
      </c>
      <c r="L2801" t="inlineStr">
        <is>
          <t>0</t>
        </is>
      </c>
      <c r="M2801" t="inlineStr">
        <is>
          <t>Edmond, Rod.</t>
        </is>
      </c>
      <c r="N2801" t="inlineStr">
        <is>
          <t>London ; New York : Routledge, 1988.</t>
        </is>
      </c>
      <c r="O2801" t="inlineStr">
        <is>
          <t>1988</t>
        </is>
      </c>
      <c r="Q2801" t="inlineStr">
        <is>
          <t>eng</t>
        </is>
      </c>
      <c r="R2801" t="inlineStr">
        <is>
          <t>enk</t>
        </is>
      </c>
      <c r="T2801" t="inlineStr">
        <is>
          <t xml:space="preserve">PR </t>
        </is>
      </c>
      <c r="U2801" t="n">
        <v>3</v>
      </c>
      <c r="V2801" t="n">
        <v>3</v>
      </c>
      <c r="W2801" t="inlineStr">
        <is>
          <t>2008-04-23</t>
        </is>
      </c>
      <c r="X2801" t="inlineStr">
        <is>
          <t>2008-04-23</t>
        </is>
      </c>
      <c r="Y2801" t="inlineStr">
        <is>
          <t>1989-12-18</t>
        </is>
      </c>
      <c r="Z2801" t="inlineStr">
        <is>
          <t>1989-12-18</t>
        </is>
      </c>
      <c r="AA2801" t="n">
        <v>317</v>
      </c>
      <c r="AB2801" t="n">
        <v>200</v>
      </c>
      <c r="AC2801" t="n">
        <v>204</v>
      </c>
      <c r="AD2801" t="n">
        <v>2</v>
      </c>
      <c r="AE2801" t="n">
        <v>2</v>
      </c>
      <c r="AF2801" t="n">
        <v>6</v>
      </c>
      <c r="AG2801" t="n">
        <v>7</v>
      </c>
      <c r="AH2801" t="n">
        <v>2</v>
      </c>
      <c r="AI2801" t="n">
        <v>2</v>
      </c>
      <c r="AJ2801" t="n">
        <v>1</v>
      </c>
      <c r="AK2801" t="n">
        <v>2</v>
      </c>
      <c r="AL2801" t="n">
        <v>4</v>
      </c>
      <c r="AM2801" t="n">
        <v>5</v>
      </c>
      <c r="AN2801" t="n">
        <v>1</v>
      </c>
      <c r="AO2801" t="n">
        <v>1</v>
      </c>
      <c r="AP2801" t="n">
        <v>0</v>
      </c>
      <c r="AQ2801" t="n">
        <v>0</v>
      </c>
      <c r="AR2801" t="inlineStr">
        <is>
          <t>No</t>
        </is>
      </c>
      <c r="AS2801" t="inlineStr">
        <is>
          <t>No</t>
        </is>
      </c>
      <c r="AU2801">
        <f>HYPERLINK("https://creighton-primo.hosted.exlibrisgroup.com/primo-explore/search?tab=default_tab&amp;search_scope=EVERYTHING&amp;vid=01CRU&amp;lang=en_US&amp;offset=0&amp;query=any,contains,991001206349702656","Catalog Record")</f>
        <v/>
      </c>
      <c r="AV2801">
        <f>HYPERLINK("http://www.worldcat.org/oclc/17353839","WorldCat Record")</f>
        <v/>
      </c>
      <c r="AW2801" t="inlineStr">
        <is>
          <t>235573391:eng</t>
        </is>
      </c>
      <c r="AX2801" t="inlineStr">
        <is>
          <t>17353839</t>
        </is>
      </c>
      <c r="AY2801" t="inlineStr">
        <is>
          <t>991001206349702656</t>
        </is>
      </c>
      <c r="AZ2801" t="inlineStr">
        <is>
          <t>991001206349702656</t>
        </is>
      </c>
      <c r="BA2801" t="inlineStr">
        <is>
          <t>2267917330002656</t>
        </is>
      </c>
      <c r="BB2801" t="inlineStr">
        <is>
          <t>BOOK</t>
        </is>
      </c>
      <c r="BD2801" t="inlineStr">
        <is>
          <t>9780415006569</t>
        </is>
      </c>
      <c r="BE2801" t="inlineStr">
        <is>
          <t>32285000018167</t>
        </is>
      </c>
      <c r="BF2801" t="inlineStr">
        <is>
          <t>893590107</t>
        </is>
      </c>
    </row>
    <row r="2802">
      <c r="A2802" t="inlineStr">
        <is>
          <t>No</t>
        </is>
      </c>
      <c r="B2802" t="inlineStr">
        <is>
          <t>CURAL</t>
        </is>
      </c>
      <c r="C2802" t="inlineStr">
        <is>
          <t>SHELVES</t>
        </is>
      </c>
      <c r="D2802" t="inlineStr">
        <is>
          <t>PR6001.U4 Z59</t>
        </is>
      </c>
      <c r="E2802" t="inlineStr">
        <is>
          <t>0                      PR 6001000U  4                  Z  59</t>
        </is>
      </c>
      <c r="F2802" t="inlineStr">
        <is>
          <t>The poetic art of W. H. Auden / by John G. Blair.</t>
        </is>
      </c>
      <c r="H2802" t="inlineStr">
        <is>
          <t>No</t>
        </is>
      </c>
      <c r="I2802" t="inlineStr">
        <is>
          <t>1</t>
        </is>
      </c>
      <c r="J2802" t="inlineStr">
        <is>
          <t>No</t>
        </is>
      </c>
      <c r="K2802" t="inlineStr">
        <is>
          <t>No</t>
        </is>
      </c>
      <c r="L2802" t="inlineStr">
        <is>
          <t>0</t>
        </is>
      </c>
      <c r="M2802" t="inlineStr">
        <is>
          <t>Blair, John G.</t>
        </is>
      </c>
      <c r="N2802" t="inlineStr">
        <is>
          <t>Princeton, N.J. : Princeton University Press, 1965.</t>
        </is>
      </c>
      <c r="O2802" t="inlineStr">
        <is>
          <t>1965</t>
        </is>
      </c>
      <c r="Q2802" t="inlineStr">
        <is>
          <t>eng</t>
        </is>
      </c>
      <c r="R2802" t="inlineStr">
        <is>
          <t>nju</t>
        </is>
      </c>
      <c r="T2802" t="inlineStr">
        <is>
          <t xml:space="preserve">PR </t>
        </is>
      </c>
      <c r="U2802" t="n">
        <v>4</v>
      </c>
      <c r="V2802" t="n">
        <v>4</v>
      </c>
      <c r="W2802" t="inlineStr">
        <is>
          <t>2003-10-02</t>
        </is>
      </c>
      <c r="X2802" t="inlineStr">
        <is>
          <t>2003-10-02</t>
        </is>
      </c>
      <c r="Y2802" t="inlineStr">
        <is>
          <t>1991-10-07</t>
        </is>
      </c>
      <c r="Z2802" t="inlineStr">
        <is>
          <t>1991-10-07</t>
        </is>
      </c>
      <c r="AA2802" t="n">
        <v>1224</v>
      </c>
      <c r="AB2802" t="n">
        <v>1039</v>
      </c>
      <c r="AC2802" t="n">
        <v>1169</v>
      </c>
      <c r="AD2802" t="n">
        <v>10</v>
      </c>
      <c r="AE2802" t="n">
        <v>10</v>
      </c>
      <c r="AF2802" t="n">
        <v>49</v>
      </c>
      <c r="AG2802" t="n">
        <v>51</v>
      </c>
      <c r="AH2802" t="n">
        <v>19</v>
      </c>
      <c r="AI2802" t="n">
        <v>21</v>
      </c>
      <c r="AJ2802" t="n">
        <v>11</v>
      </c>
      <c r="AK2802" t="n">
        <v>11</v>
      </c>
      <c r="AL2802" t="n">
        <v>23</v>
      </c>
      <c r="AM2802" t="n">
        <v>23</v>
      </c>
      <c r="AN2802" t="n">
        <v>9</v>
      </c>
      <c r="AO2802" t="n">
        <v>9</v>
      </c>
      <c r="AP2802" t="n">
        <v>0</v>
      </c>
      <c r="AQ2802" t="n">
        <v>0</v>
      </c>
      <c r="AR2802" t="inlineStr">
        <is>
          <t>No</t>
        </is>
      </c>
      <c r="AS2802" t="inlineStr">
        <is>
          <t>No</t>
        </is>
      </c>
      <c r="AU2802">
        <f>HYPERLINK("https://creighton-primo.hosted.exlibrisgroup.com/primo-explore/search?tab=default_tab&amp;search_scope=EVERYTHING&amp;vid=01CRU&amp;lang=en_US&amp;offset=0&amp;query=any,contains,991002227289702656","Catalog Record")</f>
        <v/>
      </c>
      <c r="AV2802">
        <f>HYPERLINK("http://www.worldcat.org/oclc/292121","WorldCat Record")</f>
        <v/>
      </c>
      <c r="AW2802" t="inlineStr">
        <is>
          <t>1477172:eng</t>
        </is>
      </c>
      <c r="AX2802" t="inlineStr">
        <is>
          <t>292121</t>
        </is>
      </c>
      <c r="AY2802" t="inlineStr">
        <is>
          <t>991002227289702656</t>
        </is>
      </c>
      <c r="AZ2802" t="inlineStr">
        <is>
          <t>991002227289702656</t>
        </is>
      </c>
      <c r="BA2802" t="inlineStr">
        <is>
          <t>2265276540002656</t>
        </is>
      </c>
      <c r="BB2802" t="inlineStr">
        <is>
          <t>BOOK</t>
        </is>
      </c>
      <c r="BE2802" t="inlineStr">
        <is>
          <t>32285000763614</t>
        </is>
      </c>
      <c r="BF2802" t="inlineStr">
        <is>
          <t>893785879</t>
        </is>
      </c>
    </row>
    <row r="2803">
      <c r="A2803" t="inlineStr">
        <is>
          <t>No</t>
        </is>
      </c>
      <c r="B2803" t="inlineStr">
        <is>
          <t>CURAL</t>
        </is>
      </c>
      <c r="C2803" t="inlineStr">
        <is>
          <t>SHELVES</t>
        </is>
      </c>
      <c r="D2803" t="inlineStr">
        <is>
          <t>PR6001.U4 Z628</t>
        </is>
      </c>
      <c r="E2803" t="inlineStr">
        <is>
          <t>0                      PR 6001000U  4                  Z  628</t>
        </is>
      </c>
      <c r="F2803" t="inlineStr">
        <is>
          <t>W. H. Auden as a social poet.</t>
        </is>
      </c>
      <c r="H2803" t="inlineStr">
        <is>
          <t>No</t>
        </is>
      </c>
      <c r="I2803" t="inlineStr">
        <is>
          <t>1</t>
        </is>
      </c>
      <c r="J2803" t="inlineStr">
        <is>
          <t>No</t>
        </is>
      </c>
      <c r="K2803" t="inlineStr">
        <is>
          <t>No</t>
        </is>
      </c>
      <c r="L2803" t="inlineStr">
        <is>
          <t>0</t>
        </is>
      </c>
      <c r="M2803" t="inlineStr">
        <is>
          <t>Buell, Frederick, 1942-</t>
        </is>
      </c>
      <c r="N2803" t="inlineStr">
        <is>
          <t>Ithaca, [N.Y.] : Cornell University Press, [1973]</t>
        </is>
      </c>
      <c r="O2803" t="inlineStr">
        <is>
          <t>1973</t>
        </is>
      </c>
      <c r="Q2803" t="inlineStr">
        <is>
          <t>eng</t>
        </is>
      </c>
      <c r="R2803" t="inlineStr">
        <is>
          <t>nyu</t>
        </is>
      </c>
      <c r="T2803" t="inlineStr">
        <is>
          <t xml:space="preserve">PR </t>
        </is>
      </c>
      <c r="U2803" t="n">
        <v>1</v>
      </c>
      <c r="V2803" t="n">
        <v>1</v>
      </c>
      <c r="W2803" t="inlineStr">
        <is>
          <t>1995-06-15</t>
        </is>
      </c>
      <c r="X2803" t="inlineStr">
        <is>
          <t>1995-06-15</t>
        </is>
      </c>
      <c r="Y2803" t="inlineStr">
        <is>
          <t>1990-05-22</t>
        </is>
      </c>
      <c r="Z2803" t="inlineStr">
        <is>
          <t>1990-05-22</t>
        </is>
      </c>
      <c r="AA2803" t="n">
        <v>885</v>
      </c>
      <c r="AB2803" t="n">
        <v>738</v>
      </c>
      <c r="AC2803" t="n">
        <v>784</v>
      </c>
      <c r="AD2803" t="n">
        <v>7</v>
      </c>
      <c r="AE2803" t="n">
        <v>8</v>
      </c>
      <c r="AF2803" t="n">
        <v>34</v>
      </c>
      <c r="AG2803" t="n">
        <v>36</v>
      </c>
      <c r="AH2803" t="n">
        <v>13</v>
      </c>
      <c r="AI2803" t="n">
        <v>13</v>
      </c>
      <c r="AJ2803" t="n">
        <v>7</v>
      </c>
      <c r="AK2803" t="n">
        <v>8</v>
      </c>
      <c r="AL2803" t="n">
        <v>17</v>
      </c>
      <c r="AM2803" t="n">
        <v>19</v>
      </c>
      <c r="AN2803" t="n">
        <v>6</v>
      </c>
      <c r="AO2803" t="n">
        <v>6</v>
      </c>
      <c r="AP2803" t="n">
        <v>0</v>
      </c>
      <c r="AQ2803" t="n">
        <v>0</v>
      </c>
      <c r="AR2803" t="inlineStr">
        <is>
          <t>No</t>
        </is>
      </c>
      <c r="AS2803" t="inlineStr">
        <is>
          <t>Yes</t>
        </is>
      </c>
      <c r="AT2803">
        <f>HYPERLINK("http://catalog.hathitrust.org/Record/000662844","HathiTrust Record")</f>
        <v/>
      </c>
      <c r="AU2803">
        <f>HYPERLINK("https://creighton-primo.hosted.exlibrisgroup.com/primo-explore/search?tab=default_tab&amp;search_scope=EVERYTHING&amp;vid=01CRU&amp;lang=en_US&amp;offset=0&amp;query=any,contains,991003004429702656","Catalog Record")</f>
        <v/>
      </c>
      <c r="AV2803">
        <f>HYPERLINK("http://www.worldcat.org/oclc/572025","WorldCat Record")</f>
        <v/>
      </c>
      <c r="AW2803" t="inlineStr">
        <is>
          <t>1682824:eng</t>
        </is>
      </c>
      <c r="AX2803" t="inlineStr">
        <is>
          <t>572025</t>
        </is>
      </c>
      <c r="AY2803" t="inlineStr">
        <is>
          <t>991003004429702656</t>
        </is>
      </c>
      <c r="AZ2803" t="inlineStr">
        <is>
          <t>991003004429702656</t>
        </is>
      </c>
      <c r="BA2803" t="inlineStr">
        <is>
          <t>2272451930002656</t>
        </is>
      </c>
      <c r="BB2803" t="inlineStr">
        <is>
          <t>BOOK</t>
        </is>
      </c>
      <c r="BD2803" t="inlineStr">
        <is>
          <t>9780801407628</t>
        </is>
      </c>
      <c r="BE2803" t="inlineStr">
        <is>
          <t>32285000157403</t>
        </is>
      </c>
      <c r="BF2803" t="inlineStr">
        <is>
          <t>893623031</t>
        </is>
      </c>
    </row>
    <row r="2804">
      <c r="A2804" t="inlineStr">
        <is>
          <t>No</t>
        </is>
      </c>
      <c r="B2804" t="inlineStr">
        <is>
          <t>CURAL</t>
        </is>
      </c>
      <c r="C2804" t="inlineStr">
        <is>
          <t>SHELVES</t>
        </is>
      </c>
      <c r="D2804" t="inlineStr">
        <is>
          <t>PR6001.U4 Z64</t>
        </is>
      </c>
      <c r="E2804" t="inlineStr">
        <is>
          <t>0                      PR 6001000U  4                  Z  64</t>
        </is>
      </c>
      <c r="F2804" t="inlineStr">
        <is>
          <t>W. H. Auden.</t>
        </is>
      </c>
      <c r="H2804" t="inlineStr">
        <is>
          <t>No</t>
        </is>
      </c>
      <c r="I2804" t="inlineStr">
        <is>
          <t>1</t>
        </is>
      </c>
      <c r="J2804" t="inlineStr">
        <is>
          <t>No</t>
        </is>
      </c>
      <c r="K2804" t="inlineStr">
        <is>
          <t>No</t>
        </is>
      </c>
      <c r="L2804" t="inlineStr">
        <is>
          <t>0</t>
        </is>
      </c>
      <c r="M2804" t="inlineStr">
        <is>
          <t>Davison, Dennis.</t>
        </is>
      </c>
      <c r="N2804" t="inlineStr">
        <is>
          <t>London : Evans Bros, 1970.</t>
        </is>
      </c>
      <c r="O2804" t="inlineStr">
        <is>
          <t>1970</t>
        </is>
      </c>
      <c r="Q2804" t="inlineStr">
        <is>
          <t>eng</t>
        </is>
      </c>
      <c r="R2804" t="inlineStr">
        <is>
          <t>enk</t>
        </is>
      </c>
      <c r="S2804" t="inlineStr">
        <is>
          <t>Literature in perspective</t>
        </is>
      </c>
      <c r="T2804" t="inlineStr">
        <is>
          <t xml:space="preserve">PR </t>
        </is>
      </c>
      <c r="U2804" t="n">
        <v>3</v>
      </c>
      <c r="V2804" t="n">
        <v>3</v>
      </c>
      <c r="W2804" t="inlineStr">
        <is>
          <t>2003-10-09</t>
        </is>
      </c>
      <c r="X2804" t="inlineStr">
        <is>
          <t>2003-10-09</t>
        </is>
      </c>
      <c r="Y2804" t="inlineStr">
        <is>
          <t>1990-03-14</t>
        </is>
      </c>
      <c r="Z2804" t="inlineStr">
        <is>
          <t>1990-03-14</t>
        </is>
      </c>
      <c r="AA2804" t="n">
        <v>511</v>
      </c>
      <c r="AB2804" t="n">
        <v>357</v>
      </c>
      <c r="AC2804" t="n">
        <v>361</v>
      </c>
      <c r="AD2804" t="n">
        <v>3</v>
      </c>
      <c r="AE2804" t="n">
        <v>3</v>
      </c>
      <c r="AF2804" t="n">
        <v>26</v>
      </c>
      <c r="AG2804" t="n">
        <v>26</v>
      </c>
      <c r="AH2804" t="n">
        <v>11</v>
      </c>
      <c r="AI2804" t="n">
        <v>11</v>
      </c>
      <c r="AJ2804" t="n">
        <v>8</v>
      </c>
      <c r="AK2804" t="n">
        <v>8</v>
      </c>
      <c r="AL2804" t="n">
        <v>12</v>
      </c>
      <c r="AM2804" t="n">
        <v>12</v>
      </c>
      <c r="AN2804" t="n">
        <v>2</v>
      </c>
      <c r="AO2804" t="n">
        <v>2</v>
      </c>
      <c r="AP2804" t="n">
        <v>0</v>
      </c>
      <c r="AQ2804" t="n">
        <v>0</v>
      </c>
      <c r="AR2804" t="inlineStr">
        <is>
          <t>No</t>
        </is>
      </c>
      <c r="AS2804" t="inlineStr">
        <is>
          <t>Yes</t>
        </is>
      </c>
      <c r="AT2804">
        <f>HYPERLINK("http://catalog.hathitrust.org/Record/000355285","HathiTrust Record")</f>
        <v/>
      </c>
      <c r="AU2804">
        <f>HYPERLINK("https://creighton-primo.hosted.exlibrisgroup.com/primo-explore/search?tab=default_tab&amp;search_scope=EVERYTHING&amp;vid=01CRU&amp;lang=en_US&amp;offset=0&amp;query=any,contains,991000673289702656","Catalog Record")</f>
        <v/>
      </c>
      <c r="AV2804">
        <f>HYPERLINK("http://www.worldcat.org/oclc/119570","WorldCat Record")</f>
        <v/>
      </c>
      <c r="AW2804" t="inlineStr">
        <is>
          <t>1360025:eng</t>
        </is>
      </c>
      <c r="AX2804" t="inlineStr">
        <is>
          <t>119570</t>
        </is>
      </c>
      <c r="AY2804" t="inlineStr">
        <is>
          <t>991000673289702656</t>
        </is>
      </c>
      <c r="AZ2804" t="inlineStr">
        <is>
          <t>991000673289702656</t>
        </is>
      </c>
      <c r="BA2804" t="inlineStr">
        <is>
          <t>2264224000002656</t>
        </is>
      </c>
      <c r="BB2804" t="inlineStr">
        <is>
          <t>BOOK</t>
        </is>
      </c>
      <c r="BD2804" t="inlineStr">
        <is>
          <t>9780237351502</t>
        </is>
      </c>
      <c r="BE2804" t="inlineStr">
        <is>
          <t>32285000083112</t>
        </is>
      </c>
      <c r="BF2804" t="inlineStr">
        <is>
          <t>893890923</t>
        </is>
      </c>
    </row>
    <row r="2805">
      <c r="A2805" t="inlineStr">
        <is>
          <t>No</t>
        </is>
      </c>
      <c r="B2805" t="inlineStr">
        <is>
          <t>CURAL</t>
        </is>
      </c>
      <c r="C2805" t="inlineStr">
        <is>
          <t>SHELVES</t>
        </is>
      </c>
      <c r="D2805" t="inlineStr">
        <is>
          <t>PR6001.U4 Z685 1984</t>
        </is>
      </c>
      <c r="E2805" t="inlineStr">
        <is>
          <t>0                      PR 6001000U  4                  Z  685         1984</t>
        </is>
      </c>
      <c r="F2805" t="inlineStr">
        <is>
          <t>Auden in love / by Dorothy J. Farnan.</t>
        </is>
      </c>
      <c r="H2805" t="inlineStr">
        <is>
          <t>No</t>
        </is>
      </c>
      <c r="I2805" t="inlineStr">
        <is>
          <t>1</t>
        </is>
      </c>
      <c r="J2805" t="inlineStr">
        <is>
          <t>No</t>
        </is>
      </c>
      <c r="K2805" t="inlineStr">
        <is>
          <t>No</t>
        </is>
      </c>
      <c r="L2805" t="inlineStr">
        <is>
          <t>0</t>
        </is>
      </c>
      <c r="M2805" t="inlineStr">
        <is>
          <t>Farnan, Dorothy J. (Dorothy Jeanne)</t>
        </is>
      </c>
      <c r="N2805" t="inlineStr">
        <is>
          <t>New York : Simon and Schuster, c1984.</t>
        </is>
      </c>
      <c r="O2805" t="inlineStr">
        <is>
          <t>1984</t>
        </is>
      </c>
      <c r="Q2805" t="inlineStr">
        <is>
          <t>eng</t>
        </is>
      </c>
      <c r="R2805" t="inlineStr">
        <is>
          <t>nyu</t>
        </is>
      </c>
      <c r="T2805" t="inlineStr">
        <is>
          <t xml:space="preserve">PR </t>
        </is>
      </c>
      <c r="U2805" t="n">
        <v>2</v>
      </c>
      <c r="V2805" t="n">
        <v>2</v>
      </c>
      <c r="W2805" t="inlineStr">
        <is>
          <t>2003-12-19</t>
        </is>
      </c>
      <c r="X2805" t="inlineStr">
        <is>
          <t>2003-12-19</t>
        </is>
      </c>
      <c r="Y2805" t="inlineStr">
        <is>
          <t>1992-05-20</t>
        </is>
      </c>
      <c r="Z2805" t="inlineStr">
        <is>
          <t>1992-05-20</t>
        </is>
      </c>
      <c r="AA2805" t="n">
        <v>658</v>
      </c>
      <c r="AB2805" t="n">
        <v>586</v>
      </c>
      <c r="AC2805" t="n">
        <v>625</v>
      </c>
      <c r="AD2805" t="n">
        <v>2</v>
      </c>
      <c r="AE2805" t="n">
        <v>3</v>
      </c>
      <c r="AF2805" t="n">
        <v>22</v>
      </c>
      <c r="AG2805" t="n">
        <v>24</v>
      </c>
      <c r="AH2805" t="n">
        <v>10</v>
      </c>
      <c r="AI2805" t="n">
        <v>10</v>
      </c>
      <c r="AJ2805" t="n">
        <v>6</v>
      </c>
      <c r="AK2805" t="n">
        <v>6</v>
      </c>
      <c r="AL2805" t="n">
        <v>14</v>
      </c>
      <c r="AM2805" t="n">
        <v>15</v>
      </c>
      <c r="AN2805" t="n">
        <v>1</v>
      </c>
      <c r="AO2805" t="n">
        <v>2</v>
      </c>
      <c r="AP2805" t="n">
        <v>0</v>
      </c>
      <c r="AQ2805" t="n">
        <v>0</v>
      </c>
      <c r="AR2805" t="inlineStr">
        <is>
          <t>No</t>
        </is>
      </c>
      <c r="AS2805" t="inlineStr">
        <is>
          <t>Yes</t>
        </is>
      </c>
      <c r="AT2805">
        <f>HYPERLINK("http://catalog.hathitrust.org/Record/000209631","HathiTrust Record")</f>
        <v/>
      </c>
      <c r="AU2805">
        <f>HYPERLINK("https://creighton-primo.hosted.exlibrisgroup.com/primo-explore/search?tab=default_tab&amp;search_scope=EVERYTHING&amp;vid=01CRU&amp;lang=en_US&amp;offset=0&amp;query=any,contains,991000418569702656","Catalog Record")</f>
        <v/>
      </c>
      <c r="AV2805">
        <f>HYPERLINK("http://www.worldcat.org/oclc/10726769","WorldCat Record")</f>
        <v/>
      </c>
      <c r="AW2805" t="inlineStr">
        <is>
          <t>3512531:eng</t>
        </is>
      </c>
      <c r="AX2805" t="inlineStr">
        <is>
          <t>10726769</t>
        </is>
      </c>
      <c r="AY2805" t="inlineStr">
        <is>
          <t>991000418569702656</t>
        </is>
      </c>
      <c r="AZ2805" t="inlineStr">
        <is>
          <t>991000418569702656</t>
        </is>
      </c>
      <c r="BA2805" t="inlineStr">
        <is>
          <t>2264257760002656</t>
        </is>
      </c>
      <c r="BB2805" t="inlineStr">
        <is>
          <t>BOOK</t>
        </is>
      </c>
      <c r="BD2805" t="inlineStr">
        <is>
          <t>9780671504182</t>
        </is>
      </c>
      <c r="BE2805" t="inlineStr">
        <is>
          <t>32285001112316</t>
        </is>
      </c>
      <c r="BF2805" t="inlineStr">
        <is>
          <t>893508753</t>
        </is>
      </c>
    </row>
    <row r="2806">
      <c r="A2806" t="inlineStr">
        <is>
          <t>No</t>
        </is>
      </c>
      <c r="B2806" t="inlineStr">
        <is>
          <t>CURAL</t>
        </is>
      </c>
      <c r="C2806" t="inlineStr">
        <is>
          <t>SHELVES</t>
        </is>
      </c>
      <c r="D2806" t="inlineStr">
        <is>
          <t>PR6001.U4 Z69 1970</t>
        </is>
      </c>
      <c r="E2806" t="inlineStr">
        <is>
          <t>0                      PR 6001000U  4                  Z  69          1970</t>
        </is>
      </c>
      <c r="F2806" t="inlineStr">
        <is>
          <t>A reader's guide to W. H. Auden.</t>
        </is>
      </c>
      <c r="H2806" t="inlineStr">
        <is>
          <t>No</t>
        </is>
      </c>
      <c r="I2806" t="inlineStr">
        <is>
          <t>1</t>
        </is>
      </c>
      <c r="J2806" t="inlineStr">
        <is>
          <t>No</t>
        </is>
      </c>
      <c r="K2806" t="inlineStr">
        <is>
          <t>No</t>
        </is>
      </c>
      <c r="L2806" t="inlineStr">
        <is>
          <t>0</t>
        </is>
      </c>
      <c r="M2806" t="inlineStr">
        <is>
          <t>Fuller, John, 1937 January 1-</t>
        </is>
      </c>
      <c r="N2806" t="inlineStr">
        <is>
          <t>New York : Farrar, Straus &amp; Giroux, [1970]</t>
        </is>
      </c>
      <c r="O2806" t="inlineStr">
        <is>
          <t>1970</t>
        </is>
      </c>
      <c r="P2806" t="inlineStr">
        <is>
          <t>[1st U.S. ed.]</t>
        </is>
      </c>
      <c r="Q2806" t="inlineStr">
        <is>
          <t>eng</t>
        </is>
      </c>
      <c r="R2806" t="inlineStr">
        <is>
          <t>nyu</t>
        </is>
      </c>
      <c r="S2806" t="inlineStr">
        <is>
          <t>[The Reader's guide series]</t>
        </is>
      </c>
      <c r="T2806" t="inlineStr">
        <is>
          <t xml:space="preserve">PR </t>
        </is>
      </c>
      <c r="U2806" t="n">
        <v>3</v>
      </c>
      <c r="V2806" t="n">
        <v>3</v>
      </c>
      <c r="W2806" t="inlineStr">
        <is>
          <t>2003-10-02</t>
        </is>
      </c>
      <c r="X2806" t="inlineStr">
        <is>
          <t>2003-10-02</t>
        </is>
      </c>
      <c r="Y2806" t="inlineStr">
        <is>
          <t>1990-03-14</t>
        </is>
      </c>
      <c r="Z2806" t="inlineStr">
        <is>
          <t>1990-03-14</t>
        </is>
      </c>
      <c r="AA2806" t="n">
        <v>1044</v>
      </c>
      <c r="AB2806" t="n">
        <v>987</v>
      </c>
      <c r="AC2806" t="n">
        <v>1058</v>
      </c>
      <c r="AD2806" t="n">
        <v>9</v>
      </c>
      <c r="AE2806" t="n">
        <v>9</v>
      </c>
      <c r="AF2806" t="n">
        <v>40</v>
      </c>
      <c r="AG2806" t="n">
        <v>44</v>
      </c>
      <c r="AH2806" t="n">
        <v>17</v>
      </c>
      <c r="AI2806" t="n">
        <v>17</v>
      </c>
      <c r="AJ2806" t="n">
        <v>8</v>
      </c>
      <c r="AK2806" t="n">
        <v>9</v>
      </c>
      <c r="AL2806" t="n">
        <v>18</v>
      </c>
      <c r="AM2806" t="n">
        <v>22</v>
      </c>
      <c r="AN2806" t="n">
        <v>7</v>
      </c>
      <c r="AO2806" t="n">
        <v>7</v>
      </c>
      <c r="AP2806" t="n">
        <v>0</v>
      </c>
      <c r="AQ2806" t="n">
        <v>0</v>
      </c>
      <c r="AR2806" t="inlineStr">
        <is>
          <t>No</t>
        </is>
      </c>
      <c r="AS2806" t="inlineStr">
        <is>
          <t>No</t>
        </is>
      </c>
      <c r="AU2806">
        <f>HYPERLINK("https://creighton-primo.hosted.exlibrisgroup.com/primo-explore/search?tab=default_tab&amp;search_scope=EVERYTHING&amp;vid=01CRU&amp;lang=en_US&amp;offset=0&amp;query=any,contains,991000185749702656","Catalog Record")</f>
        <v/>
      </c>
      <c r="AV2806">
        <f>HYPERLINK("http://www.worldcat.org/oclc/62718","WorldCat Record")</f>
        <v/>
      </c>
      <c r="AW2806" t="inlineStr">
        <is>
          <t>1225411:eng</t>
        </is>
      </c>
      <c r="AX2806" t="inlineStr">
        <is>
          <t>62718</t>
        </is>
      </c>
      <c r="AY2806" t="inlineStr">
        <is>
          <t>991000185749702656</t>
        </is>
      </c>
      <c r="AZ2806" t="inlineStr">
        <is>
          <t>991000185749702656</t>
        </is>
      </c>
      <c r="BA2806" t="inlineStr">
        <is>
          <t>2254775650002656</t>
        </is>
      </c>
      <c r="BB2806" t="inlineStr">
        <is>
          <t>BOOK</t>
        </is>
      </c>
      <c r="BE2806" t="inlineStr">
        <is>
          <t>32285000083104</t>
        </is>
      </c>
      <c r="BF2806" t="inlineStr">
        <is>
          <t>893790323</t>
        </is>
      </c>
    </row>
    <row r="2807">
      <c r="A2807" t="inlineStr">
        <is>
          <t>No</t>
        </is>
      </c>
      <c r="B2807" t="inlineStr">
        <is>
          <t>CURAL</t>
        </is>
      </c>
      <c r="C2807" t="inlineStr">
        <is>
          <t>SHELVES</t>
        </is>
      </c>
      <c r="D2807" t="inlineStr">
        <is>
          <t>PR6001.U4 Z74 1951</t>
        </is>
      </c>
      <c r="E2807" t="inlineStr">
        <is>
          <t>0                      PR 6001000U  4                  Z  74          1951</t>
        </is>
      </c>
      <c r="F2807" t="inlineStr">
        <is>
          <t>Auden : an introductory essay.</t>
        </is>
      </c>
      <c r="H2807" t="inlineStr">
        <is>
          <t>No</t>
        </is>
      </c>
      <c r="I2807" t="inlineStr">
        <is>
          <t>1</t>
        </is>
      </c>
      <c r="J2807" t="inlineStr">
        <is>
          <t>No</t>
        </is>
      </c>
      <c r="K2807" t="inlineStr">
        <is>
          <t>No</t>
        </is>
      </c>
      <c r="L2807" t="inlineStr">
        <is>
          <t>0</t>
        </is>
      </c>
      <c r="M2807" t="inlineStr">
        <is>
          <t>Hoggart, Richard, 1918-2014.</t>
        </is>
      </c>
      <c r="N2807" t="inlineStr">
        <is>
          <t>London : Chatto &amp; Windus, 1951.</t>
        </is>
      </c>
      <c r="O2807" t="inlineStr">
        <is>
          <t>1951</t>
        </is>
      </c>
      <c r="Q2807" t="inlineStr">
        <is>
          <t>eng</t>
        </is>
      </c>
      <c r="R2807" t="inlineStr">
        <is>
          <t>enk</t>
        </is>
      </c>
      <c r="T2807" t="inlineStr">
        <is>
          <t xml:space="preserve">PR </t>
        </is>
      </c>
      <c r="U2807" t="n">
        <v>4</v>
      </c>
      <c r="V2807" t="n">
        <v>4</v>
      </c>
      <c r="W2807" t="inlineStr">
        <is>
          <t>1999-07-26</t>
        </is>
      </c>
      <c r="X2807" t="inlineStr">
        <is>
          <t>1999-07-26</t>
        </is>
      </c>
      <c r="Y2807" t="inlineStr">
        <is>
          <t>1990-05-22</t>
        </is>
      </c>
      <c r="Z2807" t="inlineStr">
        <is>
          <t>1990-05-22</t>
        </is>
      </c>
      <c r="AA2807" t="n">
        <v>496</v>
      </c>
      <c r="AB2807" t="n">
        <v>352</v>
      </c>
      <c r="AC2807" t="n">
        <v>799</v>
      </c>
      <c r="AD2807" t="n">
        <v>5</v>
      </c>
      <c r="AE2807" t="n">
        <v>6</v>
      </c>
      <c r="AF2807" t="n">
        <v>20</v>
      </c>
      <c r="AG2807" t="n">
        <v>45</v>
      </c>
      <c r="AH2807" t="n">
        <v>4</v>
      </c>
      <c r="AI2807" t="n">
        <v>22</v>
      </c>
      <c r="AJ2807" t="n">
        <v>5</v>
      </c>
      <c r="AK2807" t="n">
        <v>9</v>
      </c>
      <c r="AL2807" t="n">
        <v>10</v>
      </c>
      <c r="AM2807" t="n">
        <v>22</v>
      </c>
      <c r="AN2807" t="n">
        <v>4</v>
      </c>
      <c r="AO2807" t="n">
        <v>5</v>
      </c>
      <c r="AP2807" t="n">
        <v>0</v>
      </c>
      <c r="AQ2807" t="n">
        <v>0</v>
      </c>
      <c r="AR2807" t="inlineStr">
        <is>
          <t>No</t>
        </is>
      </c>
      <c r="AS2807" t="inlineStr">
        <is>
          <t>Yes</t>
        </is>
      </c>
      <c r="AT2807">
        <f>HYPERLINK("http://catalog.hathitrust.org/Record/000354229","HathiTrust Record")</f>
        <v/>
      </c>
      <c r="AU2807">
        <f>HYPERLINK("https://creighton-primo.hosted.exlibrisgroup.com/primo-explore/search?tab=default_tab&amp;search_scope=EVERYTHING&amp;vid=01CRU&amp;lang=en_US&amp;offset=0&amp;query=any,contains,991004391379702656","Catalog Record")</f>
        <v/>
      </c>
      <c r="AV2807">
        <f>HYPERLINK("http://www.worldcat.org/oclc/3266361","WorldCat Record")</f>
        <v/>
      </c>
      <c r="AW2807" t="inlineStr">
        <is>
          <t>1392894:eng</t>
        </is>
      </c>
      <c r="AX2807" t="inlineStr">
        <is>
          <t>3266361</t>
        </is>
      </c>
      <c r="AY2807" t="inlineStr">
        <is>
          <t>991004391379702656</t>
        </is>
      </c>
      <c r="AZ2807" t="inlineStr">
        <is>
          <t>991004391379702656</t>
        </is>
      </c>
      <c r="BA2807" t="inlineStr">
        <is>
          <t>2256364670002656</t>
        </is>
      </c>
      <c r="BB2807" t="inlineStr">
        <is>
          <t>BOOK</t>
        </is>
      </c>
      <c r="BE2807" t="inlineStr">
        <is>
          <t>32285000157395</t>
        </is>
      </c>
      <c r="BF2807" t="inlineStr">
        <is>
          <t>893337672</t>
        </is>
      </c>
    </row>
    <row r="2808">
      <c r="A2808" t="inlineStr">
        <is>
          <t>No</t>
        </is>
      </c>
      <c r="B2808" t="inlineStr">
        <is>
          <t>CURAL</t>
        </is>
      </c>
      <c r="C2808" t="inlineStr">
        <is>
          <t>SHELVES</t>
        </is>
      </c>
      <c r="D2808" t="inlineStr">
        <is>
          <t>PR6001.U4 Z754</t>
        </is>
      </c>
      <c r="E2808" t="inlineStr">
        <is>
          <t>0                      PR 6001000U  4                  Z  754</t>
        </is>
      </c>
      <c r="F2808" t="inlineStr">
        <is>
          <t>Man's place : an essay on Auden.</t>
        </is>
      </c>
      <c r="H2808" t="inlineStr">
        <is>
          <t>No</t>
        </is>
      </c>
      <c r="I2808" t="inlineStr">
        <is>
          <t>1</t>
        </is>
      </c>
      <c r="J2808" t="inlineStr">
        <is>
          <t>No</t>
        </is>
      </c>
      <c r="K2808" t="inlineStr">
        <is>
          <t>No</t>
        </is>
      </c>
      <c r="L2808" t="inlineStr">
        <is>
          <t>0</t>
        </is>
      </c>
      <c r="M2808" t="inlineStr">
        <is>
          <t>Johnson, Richard, 1937-</t>
        </is>
      </c>
      <c r="N2808" t="inlineStr">
        <is>
          <t>Ithaca, [N.Y.] : Cornell University Press, [1973]</t>
        </is>
      </c>
      <c r="O2808" t="inlineStr">
        <is>
          <t>1973</t>
        </is>
      </c>
      <c r="Q2808" t="inlineStr">
        <is>
          <t>eng</t>
        </is>
      </c>
      <c r="R2808" t="inlineStr">
        <is>
          <t>nyu</t>
        </is>
      </c>
      <c r="T2808" t="inlineStr">
        <is>
          <t xml:space="preserve">PR </t>
        </is>
      </c>
      <c r="U2808" t="n">
        <v>1</v>
      </c>
      <c r="V2808" t="n">
        <v>1</v>
      </c>
      <c r="W2808" t="inlineStr">
        <is>
          <t>2003-10-02</t>
        </is>
      </c>
      <c r="X2808" t="inlineStr">
        <is>
          <t>2003-10-02</t>
        </is>
      </c>
      <c r="Y2808" t="inlineStr">
        <is>
          <t>1993-06-14</t>
        </is>
      </c>
      <c r="Z2808" t="inlineStr">
        <is>
          <t>1993-06-14</t>
        </is>
      </c>
      <c r="AA2808" t="n">
        <v>835</v>
      </c>
      <c r="AB2808" t="n">
        <v>671</v>
      </c>
      <c r="AC2808" t="n">
        <v>678</v>
      </c>
      <c r="AD2808" t="n">
        <v>7</v>
      </c>
      <c r="AE2808" t="n">
        <v>7</v>
      </c>
      <c r="AF2808" t="n">
        <v>35</v>
      </c>
      <c r="AG2808" t="n">
        <v>35</v>
      </c>
      <c r="AH2808" t="n">
        <v>11</v>
      </c>
      <c r="AI2808" t="n">
        <v>11</v>
      </c>
      <c r="AJ2808" t="n">
        <v>8</v>
      </c>
      <c r="AK2808" t="n">
        <v>8</v>
      </c>
      <c r="AL2808" t="n">
        <v>20</v>
      </c>
      <c r="AM2808" t="n">
        <v>20</v>
      </c>
      <c r="AN2808" t="n">
        <v>6</v>
      </c>
      <c r="AO2808" t="n">
        <v>6</v>
      </c>
      <c r="AP2808" t="n">
        <v>0</v>
      </c>
      <c r="AQ2808" t="n">
        <v>0</v>
      </c>
      <c r="AR2808" t="inlineStr">
        <is>
          <t>No</t>
        </is>
      </c>
      <c r="AS2808" t="inlineStr">
        <is>
          <t>Yes</t>
        </is>
      </c>
      <c r="AT2808">
        <f>HYPERLINK("http://catalog.hathitrust.org/Record/000354223","HathiTrust Record")</f>
        <v/>
      </c>
      <c r="AU2808">
        <f>HYPERLINK("https://creighton-primo.hosted.exlibrisgroup.com/primo-explore/search?tab=default_tab&amp;search_scope=EVERYTHING&amp;vid=01CRU&amp;lang=en_US&amp;offset=0&amp;query=any,contains,991003048959702656","Catalog Record")</f>
        <v/>
      </c>
      <c r="AV2808">
        <f>HYPERLINK("http://www.worldcat.org/oclc/609235","WorldCat Record")</f>
        <v/>
      </c>
      <c r="AW2808" t="inlineStr">
        <is>
          <t>308927968:eng</t>
        </is>
      </c>
      <c r="AX2808" t="inlineStr">
        <is>
          <t>609235</t>
        </is>
      </c>
      <c r="AY2808" t="inlineStr">
        <is>
          <t>991003048959702656</t>
        </is>
      </c>
      <c r="AZ2808" t="inlineStr">
        <is>
          <t>991003048959702656</t>
        </is>
      </c>
      <c r="BA2808" t="inlineStr">
        <is>
          <t>2254819740002656</t>
        </is>
      </c>
      <c r="BB2808" t="inlineStr">
        <is>
          <t>BOOK</t>
        </is>
      </c>
      <c r="BD2808" t="inlineStr">
        <is>
          <t>9780801407642</t>
        </is>
      </c>
      <c r="BE2808" t="inlineStr">
        <is>
          <t>32285001701092</t>
        </is>
      </c>
      <c r="BF2808" t="inlineStr">
        <is>
          <t>893610670</t>
        </is>
      </c>
    </row>
    <row r="2809">
      <c r="A2809" t="inlineStr">
        <is>
          <t>No</t>
        </is>
      </c>
      <c r="B2809" t="inlineStr">
        <is>
          <t>CURAL</t>
        </is>
      </c>
      <c r="C2809" t="inlineStr">
        <is>
          <t>SHELVES</t>
        </is>
      </c>
      <c r="D2809" t="inlineStr">
        <is>
          <t>PR6001.U4 Z7585 1999</t>
        </is>
      </c>
      <c r="E2809" t="inlineStr">
        <is>
          <t>0                      PR 6001000U  4                  Z  7585        1999</t>
        </is>
      </c>
      <c r="F2809" t="inlineStr">
        <is>
          <t>Later Auden / Edward Mendelson.</t>
        </is>
      </c>
      <c r="H2809" t="inlineStr">
        <is>
          <t>No</t>
        </is>
      </c>
      <c r="I2809" t="inlineStr">
        <is>
          <t>1</t>
        </is>
      </c>
      <c r="J2809" t="inlineStr">
        <is>
          <t>No</t>
        </is>
      </c>
      <c r="K2809" t="inlineStr">
        <is>
          <t>No</t>
        </is>
      </c>
      <c r="L2809" t="inlineStr">
        <is>
          <t>0</t>
        </is>
      </c>
      <c r="M2809" t="inlineStr">
        <is>
          <t>Mendelson, Edward.</t>
        </is>
      </c>
      <c r="N2809" t="inlineStr">
        <is>
          <t>New York : Farrar, Strauss and Giroux, 1999.</t>
        </is>
      </c>
      <c r="O2809" t="inlineStr">
        <is>
          <t>1999</t>
        </is>
      </c>
      <c r="P2809" t="inlineStr">
        <is>
          <t>1st ed.</t>
        </is>
      </c>
      <c r="Q2809" t="inlineStr">
        <is>
          <t>eng</t>
        </is>
      </c>
      <c r="R2809" t="inlineStr">
        <is>
          <t>nyu</t>
        </is>
      </c>
      <c r="T2809" t="inlineStr">
        <is>
          <t xml:space="preserve">PR </t>
        </is>
      </c>
      <c r="U2809" t="n">
        <v>2</v>
      </c>
      <c r="V2809" t="n">
        <v>2</v>
      </c>
      <c r="W2809" t="inlineStr">
        <is>
          <t>2003-10-09</t>
        </is>
      </c>
      <c r="X2809" t="inlineStr">
        <is>
          <t>2003-10-09</t>
        </is>
      </c>
      <c r="Y2809" t="inlineStr">
        <is>
          <t>1999-04-22</t>
        </is>
      </c>
      <c r="Z2809" t="inlineStr">
        <is>
          <t>1999-04-22</t>
        </is>
      </c>
      <c r="AA2809" t="n">
        <v>911</v>
      </c>
      <c r="AB2809" t="n">
        <v>825</v>
      </c>
      <c r="AC2809" t="n">
        <v>882</v>
      </c>
      <c r="AD2809" t="n">
        <v>6</v>
      </c>
      <c r="AE2809" t="n">
        <v>6</v>
      </c>
      <c r="AF2809" t="n">
        <v>45</v>
      </c>
      <c r="AG2809" t="n">
        <v>46</v>
      </c>
      <c r="AH2809" t="n">
        <v>23</v>
      </c>
      <c r="AI2809" t="n">
        <v>24</v>
      </c>
      <c r="AJ2809" t="n">
        <v>9</v>
      </c>
      <c r="AK2809" t="n">
        <v>9</v>
      </c>
      <c r="AL2809" t="n">
        <v>20</v>
      </c>
      <c r="AM2809" t="n">
        <v>20</v>
      </c>
      <c r="AN2809" t="n">
        <v>4</v>
      </c>
      <c r="AO2809" t="n">
        <v>4</v>
      </c>
      <c r="AP2809" t="n">
        <v>0</v>
      </c>
      <c r="AQ2809" t="n">
        <v>0</v>
      </c>
      <c r="AR2809" t="inlineStr">
        <is>
          <t>No</t>
        </is>
      </c>
      <c r="AS2809" t="inlineStr">
        <is>
          <t>No</t>
        </is>
      </c>
      <c r="AU2809">
        <f>HYPERLINK("https://creighton-primo.hosted.exlibrisgroup.com/primo-explore/search?tab=default_tab&amp;search_scope=EVERYTHING&amp;vid=01CRU&amp;lang=en_US&amp;offset=0&amp;query=any,contains,991002945899702656","Catalog Record")</f>
        <v/>
      </c>
      <c r="AV2809">
        <f>HYPERLINK("http://www.worldcat.org/oclc/39223718","WorldCat Record")</f>
        <v/>
      </c>
      <c r="AW2809" t="inlineStr">
        <is>
          <t>23687612:eng</t>
        </is>
      </c>
      <c r="AX2809" t="inlineStr">
        <is>
          <t>39223718</t>
        </is>
      </c>
      <c r="AY2809" t="inlineStr">
        <is>
          <t>991002945899702656</t>
        </is>
      </c>
      <c r="AZ2809" t="inlineStr">
        <is>
          <t>991002945899702656</t>
        </is>
      </c>
      <c r="BA2809" t="inlineStr">
        <is>
          <t>2270620980002656</t>
        </is>
      </c>
      <c r="BB2809" t="inlineStr">
        <is>
          <t>BOOK</t>
        </is>
      </c>
      <c r="BD2809" t="inlineStr">
        <is>
          <t>9780374184087</t>
        </is>
      </c>
      <c r="BE2809" t="inlineStr">
        <is>
          <t>32285003554671</t>
        </is>
      </c>
      <c r="BF2809" t="inlineStr">
        <is>
          <t>893329749</t>
        </is>
      </c>
    </row>
    <row r="2810">
      <c r="A2810" t="inlineStr">
        <is>
          <t>No</t>
        </is>
      </c>
      <c r="B2810" t="inlineStr">
        <is>
          <t>CURAL</t>
        </is>
      </c>
      <c r="C2810" t="inlineStr">
        <is>
          <t>SHELVES</t>
        </is>
      </c>
      <c r="D2810" t="inlineStr">
        <is>
          <t>PR6001.U4 Z79 1984</t>
        </is>
      </c>
      <c r="E2810" t="inlineStr">
        <is>
          <t>0                      PR 6001000U  4                  Z  79          1984</t>
        </is>
      </c>
      <c r="F2810" t="inlineStr">
        <is>
          <t>A preface to Auden / Allan Rodway.</t>
        </is>
      </c>
      <c r="H2810" t="inlineStr">
        <is>
          <t>No</t>
        </is>
      </c>
      <c r="I2810" t="inlineStr">
        <is>
          <t>1</t>
        </is>
      </c>
      <c r="J2810" t="inlineStr">
        <is>
          <t>No</t>
        </is>
      </c>
      <c r="K2810" t="inlineStr">
        <is>
          <t>No</t>
        </is>
      </c>
      <c r="L2810" t="inlineStr">
        <is>
          <t>0</t>
        </is>
      </c>
      <c r="M2810" t="inlineStr">
        <is>
          <t>Rodway, Allan Edwin.</t>
        </is>
      </c>
      <c r="N2810" t="inlineStr">
        <is>
          <t>London ; New York : Longman, 1984.</t>
        </is>
      </c>
      <c r="O2810" t="inlineStr">
        <is>
          <t>1984</t>
        </is>
      </c>
      <c r="Q2810" t="inlineStr">
        <is>
          <t>eng</t>
        </is>
      </c>
      <c r="R2810" t="inlineStr">
        <is>
          <t>enk</t>
        </is>
      </c>
      <c r="S2810" t="inlineStr">
        <is>
          <t>Preface books</t>
        </is>
      </c>
      <c r="T2810" t="inlineStr">
        <is>
          <t xml:space="preserve">PR </t>
        </is>
      </c>
      <c r="U2810" t="n">
        <v>2</v>
      </c>
      <c r="V2810" t="n">
        <v>2</v>
      </c>
      <c r="W2810" t="inlineStr">
        <is>
          <t>2003-10-02</t>
        </is>
      </c>
      <c r="X2810" t="inlineStr">
        <is>
          <t>2003-10-02</t>
        </is>
      </c>
      <c r="Y2810" t="inlineStr">
        <is>
          <t>1992-06-24</t>
        </is>
      </c>
      <c r="Z2810" t="inlineStr">
        <is>
          <t>1992-06-24</t>
        </is>
      </c>
      <c r="AA2810" t="n">
        <v>393</v>
      </c>
      <c r="AB2810" t="n">
        <v>212</v>
      </c>
      <c r="AC2810" t="n">
        <v>214</v>
      </c>
      <c r="AD2810" t="n">
        <v>4</v>
      </c>
      <c r="AE2810" t="n">
        <v>4</v>
      </c>
      <c r="AF2810" t="n">
        <v>14</v>
      </c>
      <c r="AG2810" t="n">
        <v>14</v>
      </c>
      <c r="AH2810" t="n">
        <v>5</v>
      </c>
      <c r="AI2810" t="n">
        <v>5</v>
      </c>
      <c r="AJ2810" t="n">
        <v>5</v>
      </c>
      <c r="AK2810" t="n">
        <v>5</v>
      </c>
      <c r="AL2810" t="n">
        <v>7</v>
      </c>
      <c r="AM2810" t="n">
        <v>7</v>
      </c>
      <c r="AN2810" t="n">
        <v>3</v>
      </c>
      <c r="AO2810" t="n">
        <v>3</v>
      </c>
      <c r="AP2810" t="n">
        <v>0</v>
      </c>
      <c r="AQ2810" t="n">
        <v>0</v>
      </c>
      <c r="AR2810" t="inlineStr">
        <is>
          <t>No</t>
        </is>
      </c>
      <c r="AS2810" t="inlineStr">
        <is>
          <t>Yes</t>
        </is>
      </c>
      <c r="AT2810">
        <f>HYPERLINK("http://catalog.hathitrust.org/Record/000363592","HathiTrust Record")</f>
        <v/>
      </c>
      <c r="AU2810">
        <f>HYPERLINK("https://creighton-primo.hosted.exlibrisgroup.com/primo-explore/search?tab=default_tab&amp;search_scope=EVERYTHING&amp;vid=01CRU&amp;lang=en_US&amp;offset=0&amp;query=any,contains,991005233149702656","Catalog Record")</f>
        <v/>
      </c>
      <c r="AV2810">
        <f>HYPERLINK("http://www.worldcat.org/oclc/8346174","WorldCat Record")</f>
        <v/>
      </c>
      <c r="AW2810" t="inlineStr">
        <is>
          <t>32056588:eng</t>
        </is>
      </c>
      <c r="AX2810" t="inlineStr">
        <is>
          <t>8346174</t>
        </is>
      </c>
      <c r="AY2810" t="inlineStr">
        <is>
          <t>991005233149702656</t>
        </is>
      </c>
      <c r="AZ2810" t="inlineStr">
        <is>
          <t>991005233149702656</t>
        </is>
      </c>
      <c r="BA2810" t="inlineStr">
        <is>
          <t>2263409240002656</t>
        </is>
      </c>
      <c r="BB2810" t="inlineStr">
        <is>
          <t>BOOK</t>
        </is>
      </c>
      <c r="BD2810" t="inlineStr">
        <is>
          <t>9780582353251</t>
        </is>
      </c>
      <c r="BE2810" t="inlineStr">
        <is>
          <t>32285001134476</t>
        </is>
      </c>
      <c r="BF2810" t="inlineStr">
        <is>
          <t>893431094</t>
        </is>
      </c>
    </row>
    <row r="2811">
      <c r="A2811" t="inlineStr">
        <is>
          <t>No</t>
        </is>
      </c>
      <c r="B2811" t="inlineStr">
        <is>
          <t>CURAL</t>
        </is>
      </c>
      <c r="C2811" t="inlineStr">
        <is>
          <t>SHELVES</t>
        </is>
      </c>
      <c r="D2811" t="inlineStr">
        <is>
          <t>PR6001.U4 Z826 1985</t>
        </is>
      </c>
      <c r="E2811" t="inlineStr">
        <is>
          <t>0                      PR 6001000U  4                  Z  826         1985</t>
        </is>
      </c>
      <c r="F2811" t="inlineStr">
        <is>
          <t>W.H. Auden / Stan Smith.</t>
        </is>
      </c>
      <c r="H2811" t="inlineStr">
        <is>
          <t>No</t>
        </is>
      </c>
      <c r="I2811" t="inlineStr">
        <is>
          <t>1</t>
        </is>
      </c>
      <c r="J2811" t="inlineStr">
        <is>
          <t>No</t>
        </is>
      </c>
      <c r="K2811" t="inlineStr">
        <is>
          <t>No</t>
        </is>
      </c>
      <c r="L2811" t="inlineStr">
        <is>
          <t>0</t>
        </is>
      </c>
      <c r="M2811" t="inlineStr">
        <is>
          <t>Smith, Stan, 1943-</t>
        </is>
      </c>
      <c r="N2811" t="inlineStr">
        <is>
          <t>Oxford [Oxfordshire] ; New York, NY : Blackwell, 1985.</t>
        </is>
      </c>
      <c r="O2811" t="inlineStr">
        <is>
          <t>1985</t>
        </is>
      </c>
      <c r="Q2811" t="inlineStr">
        <is>
          <t>eng</t>
        </is>
      </c>
      <c r="R2811" t="inlineStr">
        <is>
          <t>enk</t>
        </is>
      </c>
      <c r="S2811" t="inlineStr">
        <is>
          <t>Rereading literature</t>
        </is>
      </c>
      <c r="T2811" t="inlineStr">
        <is>
          <t xml:space="preserve">PR </t>
        </is>
      </c>
      <c r="U2811" t="n">
        <v>1</v>
      </c>
      <c r="V2811" t="n">
        <v>1</v>
      </c>
      <c r="W2811" t="inlineStr">
        <is>
          <t>1993-08-08</t>
        </is>
      </c>
      <c r="X2811" t="inlineStr">
        <is>
          <t>1993-08-08</t>
        </is>
      </c>
      <c r="Y2811" t="inlineStr">
        <is>
          <t>1992-06-24</t>
        </is>
      </c>
      <c r="Z2811" t="inlineStr">
        <is>
          <t>1992-06-24</t>
        </is>
      </c>
      <c r="AA2811" t="n">
        <v>651</v>
      </c>
      <c r="AB2811" t="n">
        <v>453</v>
      </c>
      <c r="AC2811" t="n">
        <v>654</v>
      </c>
      <c r="AD2811" t="n">
        <v>4</v>
      </c>
      <c r="AE2811" t="n">
        <v>5</v>
      </c>
      <c r="AF2811" t="n">
        <v>24</v>
      </c>
      <c r="AG2811" t="n">
        <v>32</v>
      </c>
      <c r="AH2811" t="n">
        <v>8</v>
      </c>
      <c r="AI2811" t="n">
        <v>13</v>
      </c>
      <c r="AJ2811" t="n">
        <v>6</v>
      </c>
      <c r="AK2811" t="n">
        <v>9</v>
      </c>
      <c r="AL2811" t="n">
        <v>13</v>
      </c>
      <c r="AM2811" t="n">
        <v>15</v>
      </c>
      <c r="AN2811" t="n">
        <v>3</v>
      </c>
      <c r="AO2811" t="n">
        <v>4</v>
      </c>
      <c r="AP2811" t="n">
        <v>0</v>
      </c>
      <c r="AQ2811" t="n">
        <v>0</v>
      </c>
      <c r="AR2811" t="inlineStr">
        <is>
          <t>No</t>
        </is>
      </c>
      <c r="AS2811" t="inlineStr">
        <is>
          <t>No</t>
        </is>
      </c>
      <c r="AU2811">
        <f>HYPERLINK("https://creighton-primo.hosted.exlibrisgroup.com/primo-explore/search?tab=default_tab&amp;search_scope=EVERYTHING&amp;vid=01CRU&amp;lang=en_US&amp;offset=0&amp;query=any,contains,991000596429702656","Catalog Record")</f>
        <v/>
      </c>
      <c r="AV2811">
        <f>HYPERLINK("http://www.worldcat.org/oclc/11812988","WorldCat Record")</f>
        <v/>
      </c>
      <c r="AW2811" t="inlineStr">
        <is>
          <t>583912:eng</t>
        </is>
      </c>
      <c r="AX2811" t="inlineStr">
        <is>
          <t>11812988</t>
        </is>
      </c>
      <c r="AY2811" t="inlineStr">
        <is>
          <t>991000596429702656</t>
        </is>
      </c>
      <c r="AZ2811" t="inlineStr">
        <is>
          <t>991000596429702656</t>
        </is>
      </c>
      <c r="BA2811" t="inlineStr">
        <is>
          <t>2260383250002656</t>
        </is>
      </c>
      <c r="BB2811" t="inlineStr">
        <is>
          <t>BOOK</t>
        </is>
      </c>
      <c r="BD2811" t="inlineStr">
        <is>
          <t>9780631135159</t>
        </is>
      </c>
      <c r="BE2811" t="inlineStr">
        <is>
          <t>32285001134484</t>
        </is>
      </c>
      <c r="BF2811" t="inlineStr">
        <is>
          <t>893249492</t>
        </is>
      </c>
    </row>
    <row r="2812">
      <c r="A2812" t="inlineStr">
        <is>
          <t>No</t>
        </is>
      </c>
      <c r="B2812" t="inlineStr">
        <is>
          <t>CURAL</t>
        </is>
      </c>
      <c r="C2812" t="inlineStr">
        <is>
          <t>SHELVES</t>
        </is>
      </c>
      <c r="D2812" t="inlineStr">
        <is>
          <t>PR6001.U4 Z83</t>
        </is>
      </c>
      <c r="E2812" t="inlineStr">
        <is>
          <t>0                      PR 6001000U  4                  Z  83</t>
        </is>
      </c>
      <c r="F2812" t="inlineStr">
        <is>
          <t>The poetry of W. H. Auden : the disenchanted island.</t>
        </is>
      </c>
      <c r="H2812" t="inlineStr">
        <is>
          <t>No</t>
        </is>
      </c>
      <c r="I2812" t="inlineStr">
        <is>
          <t>1</t>
        </is>
      </c>
      <c r="J2812" t="inlineStr">
        <is>
          <t>No</t>
        </is>
      </c>
      <c r="K2812" t="inlineStr">
        <is>
          <t>No</t>
        </is>
      </c>
      <c r="L2812" t="inlineStr">
        <is>
          <t>0</t>
        </is>
      </c>
      <c r="M2812" t="inlineStr">
        <is>
          <t>Spears, Monroe K., 1916-1998.</t>
        </is>
      </c>
      <c r="N2812" t="inlineStr">
        <is>
          <t>New York : Oxford University Press, 1963.</t>
        </is>
      </c>
      <c r="O2812" t="inlineStr">
        <is>
          <t>1963</t>
        </is>
      </c>
      <c r="Q2812" t="inlineStr">
        <is>
          <t>eng</t>
        </is>
      </c>
      <c r="R2812" t="inlineStr">
        <is>
          <t>nyu</t>
        </is>
      </c>
      <c r="T2812" t="inlineStr">
        <is>
          <t xml:space="preserve">PR </t>
        </is>
      </c>
      <c r="U2812" t="n">
        <v>3</v>
      </c>
      <c r="V2812" t="n">
        <v>3</v>
      </c>
      <c r="W2812" t="inlineStr">
        <is>
          <t>2003-10-07</t>
        </is>
      </c>
      <c r="X2812" t="inlineStr">
        <is>
          <t>2003-10-07</t>
        </is>
      </c>
      <c r="Y2812" t="inlineStr">
        <is>
          <t>1990-03-14</t>
        </is>
      </c>
      <c r="Z2812" t="inlineStr">
        <is>
          <t>1990-03-14</t>
        </is>
      </c>
      <c r="AA2812" t="n">
        <v>1410</v>
      </c>
      <c r="AB2812" t="n">
        <v>1213</v>
      </c>
      <c r="AC2812" t="n">
        <v>1268</v>
      </c>
      <c r="AD2812" t="n">
        <v>12</v>
      </c>
      <c r="AE2812" t="n">
        <v>14</v>
      </c>
      <c r="AF2812" t="n">
        <v>52</v>
      </c>
      <c r="AG2812" t="n">
        <v>55</v>
      </c>
      <c r="AH2812" t="n">
        <v>19</v>
      </c>
      <c r="AI2812" t="n">
        <v>20</v>
      </c>
      <c r="AJ2812" t="n">
        <v>9</v>
      </c>
      <c r="AK2812" t="n">
        <v>9</v>
      </c>
      <c r="AL2812" t="n">
        <v>24</v>
      </c>
      <c r="AM2812" t="n">
        <v>24</v>
      </c>
      <c r="AN2812" t="n">
        <v>10</v>
      </c>
      <c r="AO2812" t="n">
        <v>12</v>
      </c>
      <c r="AP2812" t="n">
        <v>0</v>
      </c>
      <c r="AQ2812" t="n">
        <v>0</v>
      </c>
      <c r="AR2812" t="inlineStr">
        <is>
          <t>Yes</t>
        </is>
      </c>
      <c r="AS2812" t="inlineStr">
        <is>
          <t>No</t>
        </is>
      </c>
      <c r="AT2812">
        <f>HYPERLINK("http://catalog.hathitrust.org/Record/000354403","HathiTrust Record")</f>
        <v/>
      </c>
      <c r="AU2812">
        <f>HYPERLINK("https://creighton-primo.hosted.exlibrisgroup.com/primo-explore/search?tab=default_tab&amp;search_scope=EVERYTHING&amp;vid=01CRU&amp;lang=en_US&amp;offset=0&amp;query=any,contains,991003176729702656","Catalog Record")</f>
        <v/>
      </c>
      <c r="AV2812">
        <f>HYPERLINK("http://www.worldcat.org/oclc/710933","WorldCat Record")</f>
        <v/>
      </c>
      <c r="AW2812" t="inlineStr">
        <is>
          <t>292454851:eng</t>
        </is>
      </c>
      <c r="AX2812" t="inlineStr">
        <is>
          <t>710933</t>
        </is>
      </c>
      <c r="AY2812" t="inlineStr">
        <is>
          <t>991003176729702656</t>
        </is>
      </c>
      <c r="AZ2812" t="inlineStr">
        <is>
          <t>991003176729702656</t>
        </is>
      </c>
      <c r="BA2812" t="inlineStr">
        <is>
          <t>2262468210002656</t>
        </is>
      </c>
      <c r="BB2812" t="inlineStr">
        <is>
          <t>BOOK</t>
        </is>
      </c>
      <c r="BE2812" t="inlineStr">
        <is>
          <t>32285000083096</t>
        </is>
      </c>
      <c r="BF2812" t="inlineStr">
        <is>
          <t>893887211</t>
        </is>
      </c>
    </row>
    <row r="2813">
      <c r="A2813" t="inlineStr">
        <is>
          <t>No</t>
        </is>
      </c>
      <c r="B2813" t="inlineStr">
        <is>
          <t>CURAL</t>
        </is>
      </c>
      <c r="C2813" t="inlineStr">
        <is>
          <t>SHELVES</t>
        </is>
      </c>
      <c r="D2813" t="inlineStr">
        <is>
          <t>PR6001.U4 Z9</t>
        </is>
      </c>
      <c r="E2813" t="inlineStr">
        <is>
          <t>0                      PR 6001000U  4                  Z  9</t>
        </is>
      </c>
      <c r="F2813" t="inlineStr">
        <is>
          <t>W. H. Auden / by George T. Wright.</t>
        </is>
      </c>
      <c r="H2813" t="inlineStr">
        <is>
          <t>No</t>
        </is>
      </c>
      <c r="I2813" t="inlineStr">
        <is>
          <t>1</t>
        </is>
      </c>
      <c r="J2813" t="inlineStr">
        <is>
          <t>No</t>
        </is>
      </c>
      <c r="K2813" t="inlineStr">
        <is>
          <t>Yes</t>
        </is>
      </c>
      <c r="L2813" t="inlineStr">
        <is>
          <t>0</t>
        </is>
      </c>
      <c r="M2813" t="inlineStr">
        <is>
          <t>Wright, George T. (George Thaddeus)</t>
        </is>
      </c>
      <c r="N2813" t="inlineStr">
        <is>
          <t>New York : Twayne Publishers, [1969]</t>
        </is>
      </c>
      <c r="O2813" t="inlineStr">
        <is>
          <t>1969</t>
        </is>
      </c>
      <c r="Q2813" t="inlineStr">
        <is>
          <t>eng</t>
        </is>
      </c>
      <c r="R2813" t="inlineStr">
        <is>
          <t>nyu</t>
        </is>
      </c>
      <c r="S2813" t="inlineStr">
        <is>
          <t>Twayne's United States authors series ; 144</t>
        </is>
      </c>
      <c r="T2813" t="inlineStr">
        <is>
          <t xml:space="preserve">PR </t>
        </is>
      </c>
      <c r="U2813" t="n">
        <v>1</v>
      </c>
      <c r="V2813" t="n">
        <v>1</v>
      </c>
      <c r="W2813" t="inlineStr">
        <is>
          <t>2003-10-02</t>
        </is>
      </c>
      <c r="X2813" t="inlineStr">
        <is>
          <t>2003-10-02</t>
        </is>
      </c>
      <c r="Y2813" t="inlineStr">
        <is>
          <t>1991-02-28</t>
        </is>
      </c>
      <c r="Z2813" t="inlineStr">
        <is>
          <t>1991-02-28</t>
        </is>
      </c>
      <c r="AA2813" t="n">
        <v>1049</v>
      </c>
      <c r="AB2813" t="n">
        <v>946</v>
      </c>
      <c r="AC2813" t="n">
        <v>1515</v>
      </c>
      <c r="AD2813" t="n">
        <v>8</v>
      </c>
      <c r="AE2813" t="n">
        <v>11</v>
      </c>
      <c r="AF2813" t="n">
        <v>38</v>
      </c>
      <c r="AG2813" t="n">
        <v>48</v>
      </c>
      <c r="AH2813" t="n">
        <v>15</v>
      </c>
      <c r="AI2813" t="n">
        <v>19</v>
      </c>
      <c r="AJ2813" t="n">
        <v>6</v>
      </c>
      <c r="AK2813" t="n">
        <v>8</v>
      </c>
      <c r="AL2813" t="n">
        <v>20</v>
      </c>
      <c r="AM2813" t="n">
        <v>23</v>
      </c>
      <c r="AN2813" t="n">
        <v>7</v>
      </c>
      <c r="AO2813" t="n">
        <v>9</v>
      </c>
      <c r="AP2813" t="n">
        <v>0</v>
      </c>
      <c r="AQ2813" t="n">
        <v>0</v>
      </c>
      <c r="AR2813" t="inlineStr">
        <is>
          <t>No</t>
        </is>
      </c>
      <c r="AS2813" t="inlineStr">
        <is>
          <t>Yes</t>
        </is>
      </c>
      <c r="AT2813">
        <f>HYPERLINK("http://catalog.hathitrust.org/Record/000354238","HathiTrust Record")</f>
        <v/>
      </c>
      <c r="AU2813">
        <f>HYPERLINK("https://creighton-primo.hosted.exlibrisgroup.com/primo-explore/search?tab=default_tab&amp;search_scope=EVERYTHING&amp;vid=01CRU&amp;lang=en_US&amp;offset=0&amp;query=any,contains,991003287139702656","Catalog Record")</f>
        <v/>
      </c>
      <c r="AV2813">
        <f>HYPERLINK("http://www.worldcat.org/oclc/22594162","WorldCat Record")</f>
        <v/>
      </c>
      <c r="AW2813" t="inlineStr">
        <is>
          <t>461690:eng</t>
        </is>
      </c>
      <c r="AX2813" t="inlineStr">
        <is>
          <t>22594162</t>
        </is>
      </c>
      <c r="AY2813" t="inlineStr">
        <is>
          <t>991003287139702656</t>
        </is>
      </c>
      <c r="AZ2813" t="inlineStr">
        <is>
          <t>991003287139702656</t>
        </is>
      </c>
      <c r="BA2813" t="inlineStr">
        <is>
          <t>2265566980002656</t>
        </is>
      </c>
      <c r="BB2813" t="inlineStr">
        <is>
          <t>BOOK</t>
        </is>
      </c>
      <c r="BD2813" t="inlineStr">
        <is>
          <t>9780805700282</t>
        </is>
      </c>
      <c r="BE2813" t="inlineStr">
        <is>
          <t>32285000510825</t>
        </is>
      </c>
      <c r="BF2813" t="inlineStr">
        <is>
          <t>893505432</t>
        </is>
      </c>
    </row>
    <row r="2814">
      <c r="A2814" t="inlineStr">
        <is>
          <t>No</t>
        </is>
      </c>
      <c r="B2814" t="inlineStr">
        <is>
          <t>CURAL</t>
        </is>
      </c>
      <c r="C2814" t="inlineStr">
        <is>
          <t>SHELVES</t>
        </is>
      </c>
      <c r="D2814" t="inlineStr">
        <is>
          <t>PR6003.E282 A5 1989</t>
        </is>
      </c>
      <c r="E2814" t="inlineStr">
        <is>
          <t>0                      PR 6003000E  282                A  5           1989</t>
        </is>
      </c>
      <c r="F2814" t="inlineStr">
        <is>
          <t>Samuel Beckett : a reference guide / Cathleen Culotta Andonian.</t>
        </is>
      </c>
      <c r="H2814" t="inlineStr">
        <is>
          <t>No</t>
        </is>
      </c>
      <c r="I2814" t="inlineStr">
        <is>
          <t>1</t>
        </is>
      </c>
      <c r="J2814" t="inlineStr">
        <is>
          <t>No</t>
        </is>
      </c>
      <c r="K2814" t="inlineStr">
        <is>
          <t>No</t>
        </is>
      </c>
      <c r="L2814" t="inlineStr">
        <is>
          <t>0</t>
        </is>
      </c>
      <c r="M2814" t="inlineStr">
        <is>
          <t>Andonian, Cathleen Culotta.</t>
        </is>
      </c>
      <c r="N2814" t="inlineStr">
        <is>
          <t>Boston, MA : G.K. Hall, 1989.</t>
        </is>
      </c>
      <c r="O2814" t="inlineStr">
        <is>
          <t>1989</t>
        </is>
      </c>
      <c r="Q2814" t="inlineStr">
        <is>
          <t>eng</t>
        </is>
      </c>
      <c r="R2814" t="inlineStr">
        <is>
          <t>mau</t>
        </is>
      </c>
      <c r="S2814" t="inlineStr">
        <is>
          <t>A Reference guide to literature</t>
        </is>
      </c>
      <c r="T2814" t="inlineStr">
        <is>
          <t xml:space="preserve">PR </t>
        </is>
      </c>
      <c r="U2814" t="n">
        <v>3</v>
      </c>
      <c r="V2814" t="n">
        <v>3</v>
      </c>
      <c r="W2814" t="inlineStr">
        <is>
          <t>2007-02-11</t>
        </is>
      </c>
      <c r="X2814" t="inlineStr">
        <is>
          <t>2007-02-11</t>
        </is>
      </c>
      <c r="Y2814" t="inlineStr">
        <is>
          <t>1992-06-24</t>
        </is>
      </c>
      <c r="Z2814" t="inlineStr">
        <is>
          <t>1992-06-24</t>
        </is>
      </c>
      <c r="AA2814" t="n">
        <v>379</v>
      </c>
      <c r="AB2814" t="n">
        <v>298</v>
      </c>
      <c r="AC2814" t="n">
        <v>301</v>
      </c>
      <c r="AD2814" t="n">
        <v>3</v>
      </c>
      <c r="AE2814" t="n">
        <v>3</v>
      </c>
      <c r="AF2814" t="n">
        <v>15</v>
      </c>
      <c r="AG2814" t="n">
        <v>15</v>
      </c>
      <c r="AH2814" t="n">
        <v>4</v>
      </c>
      <c r="AI2814" t="n">
        <v>4</v>
      </c>
      <c r="AJ2814" t="n">
        <v>6</v>
      </c>
      <c r="AK2814" t="n">
        <v>6</v>
      </c>
      <c r="AL2814" t="n">
        <v>8</v>
      </c>
      <c r="AM2814" t="n">
        <v>8</v>
      </c>
      <c r="AN2814" t="n">
        <v>2</v>
      </c>
      <c r="AO2814" t="n">
        <v>2</v>
      </c>
      <c r="AP2814" t="n">
        <v>0</v>
      </c>
      <c r="AQ2814" t="n">
        <v>0</v>
      </c>
      <c r="AR2814" t="inlineStr">
        <is>
          <t>No</t>
        </is>
      </c>
      <c r="AS2814" t="inlineStr">
        <is>
          <t>Yes</t>
        </is>
      </c>
      <c r="AT2814">
        <f>HYPERLINK("http://catalog.hathitrust.org/Record/001818365","HathiTrust Record")</f>
        <v/>
      </c>
      <c r="AU2814">
        <f>HYPERLINK("https://creighton-primo.hosted.exlibrisgroup.com/primo-explore/search?tab=default_tab&amp;search_scope=EVERYTHING&amp;vid=01CRU&amp;lang=en_US&amp;offset=0&amp;query=any,contains,991001343839702656","Catalog Record")</f>
        <v/>
      </c>
      <c r="AV2814">
        <f>HYPERLINK("http://www.worldcat.org/oclc/18411391","WorldCat Record")</f>
        <v/>
      </c>
      <c r="AW2814" t="inlineStr">
        <is>
          <t>889995578:eng</t>
        </is>
      </c>
      <c r="AX2814" t="inlineStr">
        <is>
          <t>18411391</t>
        </is>
      </c>
      <c r="AY2814" t="inlineStr">
        <is>
          <t>991001343839702656</t>
        </is>
      </c>
      <c r="AZ2814" t="inlineStr">
        <is>
          <t>991001343839702656</t>
        </is>
      </c>
      <c r="BA2814" t="inlineStr">
        <is>
          <t>2255315110002656</t>
        </is>
      </c>
      <c r="BB2814" t="inlineStr">
        <is>
          <t>BOOK</t>
        </is>
      </c>
      <c r="BD2814" t="inlineStr">
        <is>
          <t>9780816185702</t>
        </is>
      </c>
      <c r="BE2814" t="inlineStr">
        <is>
          <t>32285001134609</t>
        </is>
      </c>
      <c r="BF2814" t="inlineStr">
        <is>
          <t>893509560</t>
        </is>
      </c>
    </row>
    <row r="2815">
      <c r="A2815" t="inlineStr">
        <is>
          <t>No</t>
        </is>
      </c>
      <c r="B2815" t="inlineStr">
        <is>
          <t>CURAL</t>
        </is>
      </c>
      <c r="C2815" t="inlineStr">
        <is>
          <t>SHELVES</t>
        </is>
      </c>
      <c r="D2815" t="inlineStr">
        <is>
          <t>PR6003.E282 M636</t>
        </is>
      </c>
      <c r="E2815" t="inlineStr">
        <is>
          <t>0                      PR 6003000E  282                M  636</t>
        </is>
      </c>
      <c r="F2815" t="inlineStr">
        <is>
          <t>Twentieth century interpretations of Molloy, Malone dies, The unnamable : a collection of critical essays / edited by J. D. O'Hara.</t>
        </is>
      </c>
      <c r="H2815" t="inlineStr">
        <is>
          <t>No</t>
        </is>
      </c>
      <c r="I2815" t="inlineStr">
        <is>
          <t>1</t>
        </is>
      </c>
      <c r="J2815" t="inlineStr">
        <is>
          <t>No</t>
        </is>
      </c>
      <c r="K2815" t="inlineStr">
        <is>
          <t>No</t>
        </is>
      </c>
      <c r="L2815" t="inlineStr">
        <is>
          <t>0</t>
        </is>
      </c>
      <c r="M2815" t="inlineStr">
        <is>
          <t>O'Hara, J. D. (James Donald), compiler.</t>
        </is>
      </c>
      <c r="N2815" t="inlineStr">
        <is>
          <t>Englewood Cliffs, N.J. : Prentice-Hall, [1970]</t>
        </is>
      </c>
      <c r="O2815" t="inlineStr">
        <is>
          <t>1970</t>
        </is>
      </c>
      <c r="Q2815" t="inlineStr">
        <is>
          <t>eng</t>
        </is>
      </c>
      <c r="R2815" t="inlineStr">
        <is>
          <t>nju</t>
        </is>
      </c>
      <c r="S2815" t="inlineStr">
        <is>
          <t>A Spectrum book</t>
        </is>
      </c>
      <c r="T2815" t="inlineStr">
        <is>
          <t xml:space="preserve">PR </t>
        </is>
      </c>
      <c r="U2815" t="n">
        <v>1</v>
      </c>
      <c r="V2815" t="n">
        <v>1</v>
      </c>
      <c r="W2815" t="inlineStr">
        <is>
          <t>2006-04-11</t>
        </is>
      </c>
      <c r="X2815" t="inlineStr">
        <is>
          <t>2006-04-11</t>
        </is>
      </c>
      <c r="Y2815" t="inlineStr">
        <is>
          <t>1993-05-13</t>
        </is>
      </c>
      <c r="Z2815" t="inlineStr">
        <is>
          <t>1993-05-13</t>
        </is>
      </c>
      <c r="AA2815" t="n">
        <v>1369</v>
      </c>
      <c r="AB2815" t="n">
        <v>1244</v>
      </c>
      <c r="AC2815" t="n">
        <v>1249</v>
      </c>
      <c r="AD2815" t="n">
        <v>14</v>
      </c>
      <c r="AE2815" t="n">
        <v>14</v>
      </c>
      <c r="AF2815" t="n">
        <v>49</v>
      </c>
      <c r="AG2815" t="n">
        <v>49</v>
      </c>
      <c r="AH2815" t="n">
        <v>19</v>
      </c>
      <c r="AI2815" t="n">
        <v>19</v>
      </c>
      <c r="AJ2815" t="n">
        <v>7</v>
      </c>
      <c r="AK2815" t="n">
        <v>7</v>
      </c>
      <c r="AL2815" t="n">
        <v>19</v>
      </c>
      <c r="AM2815" t="n">
        <v>19</v>
      </c>
      <c r="AN2815" t="n">
        <v>11</v>
      </c>
      <c r="AO2815" t="n">
        <v>11</v>
      </c>
      <c r="AP2815" t="n">
        <v>0</v>
      </c>
      <c r="AQ2815" t="n">
        <v>0</v>
      </c>
      <c r="AR2815" t="inlineStr">
        <is>
          <t>No</t>
        </is>
      </c>
      <c r="AS2815" t="inlineStr">
        <is>
          <t>Yes</t>
        </is>
      </c>
      <c r="AT2815">
        <f>HYPERLINK("http://catalog.hathitrust.org/Record/001003928","HathiTrust Record")</f>
        <v/>
      </c>
      <c r="AU2815">
        <f>HYPERLINK("https://creighton-primo.hosted.exlibrisgroup.com/primo-explore/search?tab=default_tab&amp;search_scope=EVERYTHING&amp;vid=01CRU&amp;lang=en_US&amp;offset=0&amp;query=any,contains,991000606099702656","Catalog Record")</f>
        <v/>
      </c>
      <c r="AV2815">
        <f>HYPERLINK("http://www.worldcat.org/oclc/99145","WorldCat Record")</f>
        <v/>
      </c>
      <c r="AW2815" t="inlineStr">
        <is>
          <t>479638242:eng</t>
        </is>
      </c>
      <c r="AX2815" t="inlineStr">
        <is>
          <t>99145</t>
        </is>
      </c>
      <c r="AY2815" t="inlineStr">
        <is>
          <t>991000606099702656</t>
        </is>
      </c>
      <c r="AZ2815" t="inlineStr">
        <is>
          <t>991000606099702656</t>
        </is>
      </c>
      <c r="BA2815" t="inlineStr">
        <is>
          <t>2268889150002656</t>
        </is>
      </c>
      <c r="BB2815" t="inlineStr">
        <is>
          <t>BOOK</t>
        </is>
      </c>
      <c r="BD2815" t="inlineStr">
        <is>
          <t>9780135995556</t>
        </is>
      </c>
      <c r="BE2815" t="inlineStr">
        <is>
          <t>32285001653947</t>
        </is>
      </c>
      <c r="BF2815" t="inlineStr">
        <is>
          <t>893608094</t>
        </is>
      </c>
    </row>
    <row r="2816">
      <c r="A2816" t="inlineStr">
        <is>
          <t>No</t>
        </is>
      </c>
      <c r="B2816" t="inlineStr">
        <is>
          <t>CURAL</t>
        </is>
      </c>
      <c r="C2816" t="inlineStr">
        <is>
          <t>SHELVES</t>
        </is>
      </c>
      <c r="D2816" t="inlineStr">
        <is>
          <t>PR6003.E282 W43213 1984</t>
        </is>
      </c>
      <c r="E2816" t="inlineStr">
        <is>
          <t>0                      PR 6003000E  282                W  43213       1984</t>
        </is>
      </c>
      <c r="F2816" t="inlineStr">
        <is>
          <t>Samuel Beckett's novel Watt / Gottfried Büttner ; foreword by Deirdre Bair ; translated by Joseph P. Dolan.</t>
        </is>
      </c>
      <c r="H2816" t="inlineStr">
        <is>
          <t>No</t>
        </is>
      </c>
      <c r="I2816" t="inlineStr">
        <is>
          <t>1</t>
        </is>
      </c>
      <c r="J2816" t="inlineStr">
        <is>
          <t>No</t>
        </is>
      </c>
      <c r="K2816" t="inlineStr">
        <is>
          <t>No</t>
        </is>
      </c>
      <c r="L2816" t="inlineStr">
        <is>
          <t>0</t>
        </is>
      </c>
      <c r="M2816" t="inlineStr">
        <is>
          <t>Büttner, Gottfried, 1926-</t>
        </is>
      </c>
      <c r="N2816" t="inlineStr">
        <is>
          <t>Philadelphia : University of Pennsylvania Press, c1984.</t>
        </is>
      </c>
      <c r="O2816" t="inlineStr">
        <is>
          <t>1984</t>
        </is>
      </c>
      <c r="Q2816" t="inlineStr">
        <is>
          <t>eng</t>
        </is>
      </c>
      <c r="R2816" t="inlineStr">
        <is>
          <t>pau</t>
        </is>
      </c>
      <c r="T2816" t="inlineStr">
        <is>
          <t xml:space="preserve">PR </t>
        </is>
      </c>
      <c r="U2816" t="n">
        <v>3</v>
      </c>
      <c r="V2816" t="n">
        <v>3</v>
      </c>
      <c r="W2816" t="inlineStr">
        <is>
          <t>1996-09-04</t>
        </is>
      </c>
      <c r="X2816" t="inlineStr">
        <is>
          <t>1996-09-04</t>
        </is>
      </c>
      <c r="Y2816" t="inlineStr">
        <is>
          <t>1992-06-24</t>
        </is>
      </c>
      <c r="Z2816" t="inlineStr">
        <is>
          <t>1992-06-24</t>
        </is>
      </c>
      <c r="AA2816" t="n">
        <v>317</v>
      </c>
      <c r="AB2816" t="n">
        <v>266</v>
      </c>
      <c r="AC2816" t="n">
        <v>468</v>
      </c>
      <c r="AD2816" t="n">
        <v>3</v>
      </c>
      <c r="AE2816" t="n">
        <v>3</v>
      </c>
      <c r="AF2816" t="n">
        <v>15</v>
      </c>
      <c r="AG2816" t="n">
        <v>26</v>
      </c>
      <c r="AH2816" t="n">
        <v>2</v>
      </c>
      <c r="AI2816" t="n">
        <v>9</v>
      </c>
      <c r="AJ2816" t="n">
        <v>6</v>
      </c>
      <c r="AK2816" t="n">
        <v>8</v>
      </c>
      <c r="AL2816" t="n">
        <v>8</v>
      </c>
      <c r="AM2816" t="n">
        <v>14</v>
      </c>
      <c r="AN2816" t="n">
        <v>2</v>
      </c>
      <c r="AO2816" t="n">
        <v>2</v>
      </c>
      <c r="AP2816" t="n">
        <v>0</v>
      </c>
      <c r="AQ2816" t="n">
        <v>0</v>
      </c>
      <c r="AR2816" t="inlineStr">
        <is>
          <t>No</t>
        </is>
      </c>
      <c r="AS2816" t="inlineStr">
        <is>
          <t>Yes</t>
        </is>
      </c>
      <c r="AT2816">
        <f>HYPERLINK("http://catalog.hathitrust.org/Record/000454233","HathiTrust Record")</f>
        <v/>
      </c>
      <c r="AU2816">
        <f>HYPERLINK("https://creighton-primo.hosted.exlibrisgroup.com/primo-explore/search?tab=default_tab&amp;search_scope=EVERYTHING&amp;vid=01CRU&amp;lang=en_US&amp;offset=0&amp;query=any,contains,991000407039702656","Catalog Record")</f>
        <v/>
      </c>
      <c r="AV2816">
        <f>HYPERLINK("http://www.worldcat.org/oclc/10695053","WorldCat Record")</f>
        <v/>
      </c>
      <c r="AW2816" t="inlineStr">
        <is>
          <t>4820484677:eng</t>
        </is>
      </c>
      <c r="AX2816" t="inlineStr">
        <is>
          <t>10695053</t>
        </is>
      </c>
      <c r="AY2816" t="inlineStr">
        <is>
          <t>991000407039702656</t>
        </is>
      </c>
      <c r="AZ2816" t="inlineStr">
        <is>
          <t>991000407039702656</t>
        </is>
      </c>
      <c r="BA2816" t="inlineStr">
        <is>
          <t>2266995090002656</t>
        </is>
      </c>
      <c r="BB2816" t="inlineStr">
        <is>
          <t>BOOK</t>
        </is>
      </c>
      <c r="BD2816" t="inlineStr">
        <is>
          <t>9780812279320</t>
        </is>
      </c>
      <c r="BE2816" t="inlineStr">
        <is>
          <t>32285001134708</t>
        </is>
      </c>
      <c r="BF2816" t="inlineStr">
        <is>
          <t>893528019</t>
        </is>
      </c>
    </row>
    <row r="2817">
      <c r="A2817" t="inlineStr">
        <is>
          <t>No</t>
        </is>
      </c>
      <c r="B2817" t="inlineStr">
        <is>
          <t>CURAL</t>
        </is>
      </c>
      <c r="C2817" t="inlineStr">
        <is>
          <t>SHELVES</t>
        </is>
      </c>
      <c r="D2817" t="inlineStr">
        <is>
          <t>PR6003.E282 Z437 1986</t>
        </is>
      </c>
      <c r="E2817" t="inlineStr">
        <is>
          <t>0                      PR 6003000E  282                Z  437         1986</t>
        </is>
      </c>
      <c r="F2817" t="inlineStr">
        <is>
          <t>Language and structure in Beckett's plays : a lecture given at the Princess Grace Irish Library on Wednesday 17 September 1986 / Clive Hart ; with A Beckett synopsis compiled by C. George Sandulescu.</t>
        </is>
      </c>
      <c r="H2817" t="inlineStr">
        <is>
          <t>No</t>
        </is>
      </c>
      <c r="I2817" t="inlineStr">
        <is>
          <t>1</t>
        </is>
      </c>
      <c r="J2817" t="inlineStr">
        <is>
          <t>No</t>
        </is>
      </c>
      <c r="K2817" t="inlineStr">
        <is>
          <t>No</t>
        </is>
      </c>
      <c r="L2817" t="inlineStr">
        <is>
          <t>0</t>
        </is>
      </c>
      <c r="M2817" t="inlineStr">
        <is>
          <t>Hart, Clive.</t>
        </is>
      </c>
      <c r="N2817" t="inlineStr">
        <is>
          <t>Gerrards Cross : Smythe ; U.S. dist. Dufour Editions, Chester Springs, PA, 1986.</t>
        </is>
      </c>
      <c r="O2817" t="inlineStr">
        <is>
          <t>1986</t>
        </is>
      </c>
      <c r="Q2817" t="inlineStr">
        <is>
          <t>eng</t>
        </is>
      </c>
      <c r="R2817" t="inlineStr">
        <is>
          <t>enk</t>
        </is>
      </c>
      <c r="S2817" t="inlineStr">
        <is>
          <t>The Princess Grace Irish Library lectures ; 2</t>
        </is>
      </c>
      <c r="T2817" t="inlineStr">
        <is>
          <t xml:space="preserve">PR </t>
        </is>
      </c>
      <c r="U2817" t="n">
        <v>6</v>
      </c>
      <c r="V2817" t="n">
        <v>6</v>
      </c>
      <c r="W2817" t="inlineStr">
        <is>
          <t>2006-04-29</t>
        </is>
      </c>
      <c r="X2817" t="inlineStr">
        <is>
          <t>2006-04-29</t>
        </is>
      </c>
      <c r="Y2817" t="inlineStr">
        <is>
          <t>1994-03-11</t>
        </is>
      </c>
      <c r="Z2817" t="inlineStr">
        <is>
          <t>1994-03-11</t>
        </is>
      </c>
      <c r="AA2817" t="n">
        <v>142</v>
      </c>
      <c r="AB2817" t="n">
        <v>100</v>
      </c>
      <c r="AC2817" t="n">
        <v>103</v>
      </c>
      <c r="AD2817" t="n">
        <v>3</v>
      </c>
      <c r="AE2817" t="n">
        <v>3</v>
      </c>
      <c r="AF2817" t="n">
        <v>5</v>
      </c>
      <c r="AG2817" t="n">
        <v>6</v>
      </c>
      <c r="AH2817" t="n">
        <v>0</v>
      </c>
      <c r="AI2817" t="n">
        <v>0</v>
      </c>
      <c r="AJ2817" t="n">
        <v>1</v>
      </c>
      <c r="AK2817" t="n">
        <v>2</v>
      </c>
      <c r="AL2817" t="n">
        <v>2</v>
      </c>
      <c r="AM2817" t="n">
        <v>3</v>
      </c>
      <c r="AN2817" t="n">
        <v>2</v>
      </c>
      <c r="AO2817" t="n">
        <v>2</v>
      </c>
      <c r="AP2817" t="n">
        <v>0</v>
      </c>
      <c r="AQ2817" t="n">
        <v>0</v>
      </c>
      <c r="AR2817" t="inlineStr">
        <is>
          <t>No</t>
        </is>
      </c>
      <c r="AS2817" t="inlineStr">
        <is>
          <t>Yes</t>
        </is>
      </c>
      <c r="AT2817">
        <f>HYPERLINK("http://catalog.hathitrust.org/Record/000836525","HathiTrust Record")</f>
        <v/>
      </c>
      <c r="AU2817">
        <f>HYPERLINK("https://creighton-primo.hosted.exlibrisgroup.com/primo-explore/search?tab=default_tab&amp;search_scope=EVERYTHING&amp;vid=01CRU&amp;lang=en_US&amp;offset=0&amp;query=any,contains,991000941859702656","Catalog Record")</f>
        <v/>
      </c>
      <c r="AV2817">
        <f>HYPERLINK("http://www.worldcat.org/oclc/14413291","WorldCat Record")</f>
        <v/>
      </c>
      <c r="AW2817" t="inlineStr">
        <is>
          <t>836676834:eng</t>
        </is>
      </c>
      <c r="AX2817" t="inlineStr">
        <is>
          <t>14413291</t>
        </is>
      </c>
      <c r="AY2817" t="inlineStr">
        <is>
          <t>991000941859702656</t>
        </is>
      </c>
      <c r="AZ2817" t="inlineStr">
        <is>
          <t>991000941859702656</t>
        </is>
      </c>
      <c r="BA2817" t="inlineStr">
        <is>
          <t>2266423290002656</t>
        </is>
      </c>
      <c r="BB2817" t="inlineStr">
        <is>
          <t>BOOK</t>
        </is>
      </c>
      <c r="BD2817" t="inlineStr">
        <is>
          <t>9780861402632</t>
        </is>
      </c>
      <c r="BE2817" t="inlineStr">
        <is>
          <t>32285001855237</t>
        </is>
      </c>
      <c r="BF2817" t="inlineStr">
        <is>
          <t>893778410</t>
        </is>
      </c>
    </row>
    <row r="2818">
      <c r="A2818" t="inlineStr">
        <is>
          <t>No</t>
        </is>
      </c>
      <c r="B2818" t="inlineStr">
        <is>
          <t>CURAL</t>
        </is>
      </c>
      <c r="C2818" t="inlineStr">
        <is>
          <t>SHELVES</t>
        </is>
      </c>
      <c r="D2818" t="inlineStr">
        <is>
          <t>PR6003.E282 Z459 1969</t>
        </is>
      </c>
      <c r="E2818" t="inlineStr">
        <is>
          <t>0                      PR 6003000E  282                Z  459         1969</t>
        </is>
      </c>
      <c r="F2818" t="inlineStr">
        <is>
          <t>Samuel Beckett; a checklist of criticism, by James T. F. Tanner and J. Don Vann.</t>
        </is>
      </c>
      <c r="H2818" t="inlineStr">
        <is>
          <t>No</t>
        </is>
      </c>
      <c r="I2818" t="inlineStr">
        <is>
          <t>1</t>
        </is>
      </c>
      <c r="J2818" t="inlineStr">
        <is>
          <t>No</t>
        </is>
      </c>
      <c r="K2818" t="inlineStr">
        <is>
          <t>No</t>
        </is>
      </c>
      <c r="L2818" t="inlineStr">
        <is>
          <t>0</t>
        </is>
      </c>
      <c r="M2818" t="inlineStr">
        <is>
          <t>Tanner, James T. F., 1937-</t>
        </is>
      </c>
      <c r="N2818" t="inlineStr">
        <is>
          <t>Kent, Ohio] Kent State University Press [1969]</t>
        </is>
      </c>
      <c r="O2818" t="inlineStr">
        <is>
          <t>1969</t>
        </is>
      </c>
      <c r="P2818" t="inlineStr">
        <is>
          <t>[1st ed.</t>
        </is>
      </c>
      <c r="Q2818" t="inlineStr">
        <is>
          <t>eng</t>
        </is>
      </c>
      <c r="R2818" t="inlineStr">
        <is>
          <t>ohu</t>
        </is>
      </c>
      <c r="S2818" t="inlineStr">
        <is>
          <t>The Serif series: bibliographies and checklists, no. 8</t>
        </is>
      </c>
      <c r="T2818" t="inlineStr">
        <is>
          <t xml:space="preserve">PR </t>
        </is>
      </c>
      <c r="U2818" t="n">
        <v>5</v>
      </c>
      <c r="V2818" t="n">
        <v>5</v>
      </c>
      <c r="W2818" t="inlineStr">
        <is>
          <t>2006-05-03</t>
        </is>
      </c>
      <c r="X2818" t="inlineStr">
        <is>
          <t>2006-05-03</t>
        </is>
      </c>
      <c r="Y2818" t="inlineStr">
        <is>
          <t>1997-07-23</t>
        </is>
      </c>
      <c r="Z2818" t="inlineStr">
        <is>
          <t>1997-07-23</t>
        </is>
      </c>
      <c r="AA2818" t="n">
        <v>683</v>
      </c>
      <c r="AB2818" t="n">
        <v>574</v>
      </c>
      <c r="AC2818" t="n">
        <v>579</v>
      </c>
      <c r="AD2818" t="n">
        <v>6</v>
      </c>
      <c r="AE2818" t="n">
        <v>6</v>
      </c>
      <c r="AF2818" t="n">
        <v>34</v>
      </c>
      <c r="AG2818" t="n">
        <v>34</v>
      </c>
      <c r="AH2818" t="n">
        <v>15</v>
      </c>
      <c r="AI2818" t="n">
        <v>15</v>
      </c>
      <c r="AJ2818" t="n">
        <v>7</v>
      </c>
      <c r="AK2818" t="n">
        <v>7</v>
      </c>
      <c r="AL2818" t="n">
        <v>15</v>
      </c>
      <c r="AM2818" t="n">
        <v>15</v>
      </c>
      <c r="AN2818" t="n">
        <v>5</v>
      </c>
      <c r="AO2818" t="n">
        <v>5</v>
      </c>
      <c r="AP2818" t="n">
        <v>0</v>
      </c>
      <c r="AQ2818" t="n">
        <v>0</v>
      </c>
      <c r="AR2818" t="inlineStr">
        <is>
          <t>No</t>
        </is>
      </c>
      <c r="AS2818" t="inlineStr">
        <is>
          <t>Yes</t>
        </is>
      </c>
      <c r="AT2818">
        <f>HYPERLINK("http://catalog.hathitrust.org/Record/000225584","HathiTrust Record")</f>
        <v/>
      </c>
      <c r="AU2818">
        <f>HYPERLINK("https://creighton-primo.hosted.exlibrisgroup.com/primo-explore/search?tab=default_tab&amp;search_scope=EVERYTHING&amp;vid=01CRU&amp;lang=en_US&amp;offset=0&amp;query=any,contains,991000436009702656","Catalog Record")</f>
        <v/>
      </c>
      <c r="AV2818">
        <f>HYPERLINK("http://www.worldcat.org/oclc/76025","WorldCat Record")</f>
        <v/>
      </c>
      <c r="AW2818" t="inlineStr">
        <is>
          <t>1249359:eng</t>
        </is>
      </c>
      <c r="AX2818" t="inlineStr">
        <is>
          <t>76025</t>
        </is>
      </c>
      <c r="AY2818" t="inlineStr">
        <is>
          <t>991000436009702656</t>
        </is>
      </c>
      <c r="AZ2818" t="inlineStr">
        <is>
          <t>991000436009702656</t>
        </is>
      </c>
      <c r="BA2818" t="inlineStr">
        <is>
          <t>2255451210002656</t>
        </is>
      </c>
      <c r="BB2818" t="inlineStr">
        <is>
          <t>BOOK</t>
        </is>
      </c>
      <c r="BD2818" t="inlineStr">
        <is>
          <t>9780873380515</t>
        </is>
      </c>
      <c r="BE2818" t="inlineStr">
        <is>
          <t>32285002953601</t>
        </is>
      </c>
      <c r="BF2818" t="inlineStr">
        <is>
          <t>893771625</t>
        </is>
      </c>
    </row>
    <row r="2819">
      <c r="A2819" t="inlineStr">
        <is>
          <t>No</t>
        </is>
      </c>
      <c r="B2819" t="inlineStr">
        <is>
          <t>CURAL</t>
        </is>
      </c>
      <c r="C2819" t="inlineStr">
        <is>
          <t>SHELVES</t>
        </is>
      </c>
      <c r="D2819" t="inlineStr">
        <is>
          <t>PR6003.E282 Z56</t>
        </is>
      </c>
      <c r="E2819" t="inlineStr">
        <is>
          <t>0                      PR 6003000E  282                Z  56</t>
        </is>
      </c>
      <c r="F2819" t="inlineStr">
        <is>
          <t>The fiction of Samuel Beckett : form and effect / [by] H. Porter Abbott.</t>
        </is>
      </c>
      <c r="H2819" t="inlineStr">
        <is>
          <t>No</t>
        </is>
      </c>
      <c r="I2819" t="inlineStr">
        <is>
          <t>1</t>
        </is>
      </c>
      <c r="J2819" t="inlineStr">
        <is>
          <t>No</t>
        </is>
      </c>
      <c r="K2819" t="inlineStr">
        <is>
          <t>No</t>
        </is>
      </c>
      <c r="L2819" t="inlineStr">
        <is>
          <t>0</t>
        </is>
      </c>
      <c r="M2819" t="inlineStr">
        <is>
          <t>Abbott, H. Porter.</t>
        </is>
      </c>
      <c r="N2819" t="inlineStr">
        <is>
          <t>Berkeley : University of California Press, 1973.</t>
        </is>
      </c>
      <c r="O2819" t="inlineStr">
        <is>
          <t>1973</t>
        </is>
      </c>
      <c r="Q2819" t="inlineStr">
        <is>
          <t>eng</t>
        </is>
      </c>
      <c r="R2819" t="inlineStr">
        <is>
          <t>cau</t>
        </is>
      </c>
      <c r="S2819" t="inlineStr">
        <is>
          <t>Perspectives in criticism ; 22</t>
        </is>
      </c>
      <c r="T2819" t="inlineStr">
        <is>
          <t xml:space="preserve">PR </t>
        </is>
      </c>
      <c r="U2819" t="n">
        <v>3</v>
      </c>
      <c r="V2819" t="n">
        <v>3</v>
      </c>
      <c r="W2819" t="inlineStr">
        <is>
          <t>2004-12-09</t>
        </is>
      </c>
      <c r="X2819" t="inlineStr">
        <is>
          <t>2004-12-09</t>
        </is>
      </c>
      <c r="Y2819" t="inlineStr">
        <is>
          <t>1995-05-04</t>
        </is>
      </c>
      <c r="Z2819" t="inlineStr">
        <is>
          <t>1995-05-04</t>
        </is>
      </c>
      <c r="AA2819" t="n">
        <v>908</v>
      </c>
      <c r="AB2819" t="n">
        <v>709</v>
      </c>
      <c r="AC2819" t="n">
        <v>712</v>
      </c>
      <c r="AD2819" t="n">
        <v>8</v>
      </c>
      <c r="AE2819" t="n">
        <v>8</v>
      </c>
      <c r="AF2819" t="n">
        <v>38</v>
      </c>
      <c r="AG2819" t="n">
        <v>38</v>
      </c>
      <c r="AH2819" t="n">
        <v>16</v>
      </c>
      <c r="AI2819" t="n">
        <v>16</v>
      </c>
      <c r="AJ2819" t="n">
        <v>9</v>
      </c>
      <c r="AK2819" t="n">
        <v>9</v>
      </c>
      <c r="AL2819" t="n">
        <v>19</v>
      </c>
      <c r="AM2819" t="n">
        <v>19</v>
      </c>
      <c r="AN2819" t="n">
        <v>6</v>
      </c>
      <c r="AO2819" t="n">
        <v>6</v>
      </c>
      <c r="AP2819" t="n">
        <v>0</v>
      </c>
      <c r="AQ2819" t="n">
        <v>0</v>
      </c>
      <c r="AR2819" t="inlineStr">
        <is>
          <t>No</t>
        </is>
      </c>
      <c r="AS2819" t="inlineStr">
        <is>
          <t>No</t>
        </is>
      </c>
      <c r="AU2819">
        <f>HYPERLINK("https://creighton-primo.hosted.exlibrisgroup.com/primo-explore/search?tab=default_tab&amp;search_scope=EVERYTHING&amp;vid=01CRU&amp;lang=en_US&amp;offset=0&amp;query=any,contains,991004239869702656","Catalog Record")</f>
        <v/>
      </c>
      <c r="AV2819">
        <f>HYPERLINK("http://www.worldcat.org/oclc/2780646","WorldCat Record")</f>
        <v/>
      </c>
      <c r="AW2819" t="inlineStr">
        <is>
          <t>500666:eng</t>
        </is>
      </c>
      <c r="AX2819" t="inlineStr">
        <is>
          <t>2780646</t>
        </is>
      </c>
      <c r="AY2819" t="inlineStr">
        <is>
          <t>991004239869702656</t>
        </is>
      </c>
      <c r="AZ2819" t="inlineStr">
        <is>
          <t>991004239869702656</t>
        </is>
      </c>
      <c r="BA2819" t="inlineStr">
        <is>
          <t>2263042610002656</t>
        </is>
      </c>
      <c r="BB2819" t="inlineStr">
        <is>
          <t>BOOK</t>
        </is>
      </c>
      <c r="BD2819" t="inlineStr">
        <is>
          <t>9780520022027</t>
        </is>
      </c>
      <c r="BE2819" t="inlineStr">
        <is>
          <t>32285002031887</t>
        </is>
      </c>
      <c r="BF2819" t="inlineStr">
        <is>
          <t>893882233</t>
        </is>
      </c>
    </row>
    <row r="2820">
      <c r="A2820" t="inlineStr">
        <is>
          <t>No</t>
        </is>
      </c>
      <c r="B2820" t="inlineStr">
        <is>
          <t>CURAL</t>
        </is>
      </c>
      <c r="C2820" t="inlineStr">
        <is>
          <t>SHELVES</t>
        </is>
      </c>
      <c r="D2820" t="inlineStr">
        <is>
          <t>PR6003.E282 Z5634 1990</t>
        </is>
      </c>
      <c r="E2820" t="inlineStr">
        <is>
          <t>0                      PR 6003000E  282                Z  5634        1990</t>
        </is>
      </c>
      <c r="F2820" t="inlineStr">
        <is>
          <t>Samuel Beckett, W.B. Yeats, and Jack Yeats : images and words / Gordon S. Armstrong.</t>
        </is>
      </c>
      <c r="H2820" t="inlineStr">
        <is>
          <t>No</t>
        </is>
      </c>
      <c r="I2820" t="inlineStr">
        <is>
          <t>1</t>
        </is>
      </c>
      <c r="J2820" t="inlineStr">
        <is>
          <t>No</t>
        </is>
      </c>
      <c r="K2820" t="inlineStr">
        <is>
          <t>No</t>
        </is>
      </c>
      <c r="L2820" t="inlineStr">
        <is>
          <t>0</t>
        </is>
      </c>
      <c r="M2820" t="inlineStr">
        <is>
          <t>Armstrong, Gordon S., 1935-</t>
        </is>
      </c>
      <c r="N2820" t="inlineStr">
        <is>
          <t>Lewisburg [Pa.] : Bucknell University Press ; London : Associated University Presses, c1990.</t>
        </is>
      </c>
      <c r="O2820" t="inlineStr">
        <is>
          <t>1990</t>
        </is>
      </c>
      <c r="Q2820" t="inlineStr">
        <is>
          <t>eng</t>
        </is>
      </c>
      <c r="R2820" t="inlineStr">
        <is>
          <t>pau</t>
        </is>
      </c>
      <c r="T2820" t="inlineStr">
        <is>
          <t xml:space="preserve">PR </t>
        </is>
      </c>
      <c r="U2820" t="n">
        <v>2</v>
      </c>
      <c r="V2820" t="n">
        <v>2</v>
      </c>
      <c r="W2820" t="inlineStr">
        <is>
          <t>2004-03-23</t>
        </is>
      </c>
      <c r="X2820" t="inlineStr">
        <is>
          <t>2004-03-23</t>
        </is>
      </c>
      <c r="Y2820" t="inlineStr">
        <is>
          <t>1990-11-27</t>
        </is>
      </c>
      <c r="Z2820" t="inlineStr">
        <is>
          <t>1990-11-27</t>
        </is>
      </c>
      <c r="AA2820" t="n">
        <v>376</v>
      </c>
      <c r="AB2820" t="n">
        <v>288</v>
      </c>
      <c r="AC2820" t="n">
        <v>291</v>
      </c>
      <c r="AD2820" t="n">
        <v>3</v>
      </c>
      <c r="AE2820" t="n">
        <v>3</v>
      </c>
      <c r="AF2820" t="n">
        <v>13</v>
      </c>
      <c r="AG2820" t="n">
        <v>13</v>
      </c>
      <c r="AH2820" t="n">
        <v>3</v>
      </c>
      <c r="AI2820" t="n">
        <v>3</v>
      </c>
      <c r="AJ2820" t="n">
        <v>4</v>
      </c>
      <c r="AK2820" t="n">
        <v>4</v>
      </c>
      <c r="AL2820" t="n">
        <v>8</v>
      </c>
      <c r="AM2820" t="n">
        <v>8</v>
      </c>
      <c r="AN2820" t="n">
        <v>2</v>
      </c>
      <c r="AO2820" t="n">
        <v>2</v>
      </c>
      <c r="AP2820" t="n">
        <v>0</v>
      </c>
      <c r="AQ2820" t="n">
        <v>0</v>
      </c>
      <c r="AR2820" t="inlineStr">
        <is>
          <t>No</t>
        </is>
      </c>
      <c r="AS2820" t="inlineStr">
        <is>
          <t>Yes</t>
        </is>
      </c>
      <c r="AT2820">
        <f>HYPERLINK("http://catalog.hathitrust.org/Record/001955028","HathiTrust Record")</f>
        <v/>
      </c>
      <c r="AU2820">
        <f>HYPERLINK("https://creighton-primo.hosted.exlibrisgroup.com/primo-explore/search?tab=default_tab&amp;search_scope=EVERYTHING&amp;vid=01CRU&amp;lang=en_US&amp;offset=0&amp;query=any,contains,991001348429702656","Catalog Record")</f>
        <v/>
      </c>
      <c r="AV2820">
        <f>HYPERLINK("http://www.worldcat.org/oclc/18417701","WorldCat Record")</f>
        <v/>
      </c>
      <c r="AW2820" t="inlineStr">
        <is>
          <t>364740523:eng</t>
        </is>
      </c>
      <c r="AX2820" t="inlineStr">
        <is>
          <t>18417701</t>
        </is>
      </c>
      <c r="AY2820" t="inlineStr">
        <is>
          <t>991001348429702656</t>
        </is>
      </c>
      <c r="AZ2820" t="inlineStr">
        <is>
          <t>991001348429702656</t>
        </is>
      </c>
      <c r="BA2820" t="inlineStr">
        <is>
          <t>2257502000002656</t>
        </is>
      </c>
      <c r="BB2820" t="inlineStr">
        <is>
          <t>BOOK</t>
        </is>
      </c>
      <c r="BD2820" t="inlineStr">
        <is>
          <t>9780838751411</t>
        </is>
      </c>
      <c r="BE2820" t="inlineStr">
        <is>
          <t>32285000357029</t>
        </is>
      </c>
      <c r="BF2820" t="inlineStr">
        <is>
          <t>893420258</t>
        </is>
      </c>
    </row>
    <row r="2821">
      <c r="A2821" t="inlineStr">
        <is>
          <t>No</t>
        </is>
      </c>
      <c r="B2821" t="inlineStr">
        <is>
          <t>CURAL</t>
        </is>
      </c>
      <c r="C2821" t="inlineStr">
        <is>
          <t>SHELVES</t>
        </is>
      </c>
      <c r="D2821" t="inlineStr">
        <is>
          <t>PR6003.E282 Z57184 1992</t>
        </is>
      </c>
      <c r="E2821" t="inlineStr">
        <is>
          <t>0                      PR 6003000E  282                Z  57184       1992</t>
        </is>
      </c>
      <c r="F2821" t="inlineStr">
        <is>
          <t>Beckett in Dublin / edited &amp; introduced by S.E. Wilmer.</t>
        </is>
      </c>
      <c r="H2821" t="inlineStr">
        <is>
          <t>No</t>
        </is>
      </c>
      <c r="I2821" t="inlineStr">
        <is>
          <t>1</t>
        </is>
      </c>
      <c r="J2821" t="inlineStr">
        <is>
          <t>No</t>
        </is>
      </c>
      <c r="K2821" t="inlineStr">
        <is>
          <t>No</t>
        </is>
      </c>
      <c r="L2821" t="inlineStr">
        <is>
          <t>0</t>
        </is>
      </c>
      <c r="N2821" t="inlineStr">
        <is>
          <t>Dublin, Ireland : Lilliput Press, 1992.</t>
        </is>
      </c>
      <c r="O2821" t="inlineStr">
        <is>
          <t>1992</t>
        </is>
      </c>
      <c r="Q2821" t="inlineStr">
        <is>
          <t>eng</t>
        </is>
      </c>
      <c r="R2821" t="inlineStr">
        <is>
          <t xml:space="preserve">ie </t>
        </is>
      </c>
      <c r="T2821" t="inlineStr">
        <is>
          <t xml:space="preserve">PR </t>
        </is>
      </c>
      <c r="U2821" t="n">
        <v>3</v>
      </c>
      <c r="V2821" t="n">
        <v>3</v>
      </c>
      <c r="W2821" t="inlineStr">
        <is>
          <t>1997-09-12</t>
        </is>
      </c>
      <c r="X2821" t="inlineStr">
        <is>
          <t>1997-09-12</t>
        </is>
      </c>
      <c r="Y2821" t="inlineStr">
        <is>
          <t>1993-12-10</t>
        </is>
      </c>
      <c r="Z2821" t="inlineStr">
        <is>
          <t>1993-12-10</t>
        </is>
      </c>
      <c r="AA2821" t="n">
        <v>171</v>
      </c>
      <c r="AB2821" t="n">
        <v>97</v>
      </c>
      <c r="AC2821" t="n">
        <v>114</v>
      </c>
      <c r="AD2821" t="n">
        <v>1</v>
      </c>
      <c r="AE2821" t="n">
        <v>2</v>
      </c>
      <c r="AF2821" t="n">
        <v>6</v>
      </c>
      <c r="AG2821" t="n">
        <v>8</v>
      </c>
      <c r="AH2821" t="n">
        <v>1</v>
      </c>
      <c r="AI2821" t="n">
        <v>2</v>
      </c>
      <c r="AJ2821" t="n">
        <v>4</v>
      </c>
      <c r="AK2821" t="n">
        <v>5</v>
      </c>
      <c r="AL2821" t="n">
        <v>4</v>
      </c>
      <c r="AM2821" t="n">
        <v>4</v>
      </c>
      <c r="AN2821" t="n">
        <v>0</v>
      </c>
      <c r="AO2821" t="n">
        <v>1</v>
      </c>
      <c r="AP2821" t="n">
        <v>0</v>
      </c>
      <c r="AQ2821" t="n">
        <v>0</v>
      </c>
      <c r="AR2821" t="inlineStr">
        <is>
          <t>No</t>
        </is>
      </c>
      <c r="AS2821" t="inlineStr">
        <is>
          <t>Yes</t>
        </is>
      </c>
      <c r="AT2821">
        <f>HYPERLINK("http://catalog.hathitrust.org/Record/002612432","HathiTrust Record")</f>
        <v/>
      </c>
      <c r="AU2821">
        <f>HYPERLINK("https://creighton-primo.hosted.exlibrisgroup.com/primo-explore/search?tab=default_tab&amp;search_scope=EVERYTHING&amp;vid=01CRU&amp;lang=en_US&amp;offset=0&amp;query=any,contains,991002181099702656","Catalog Record")</f>
        <v/>
      </c>
      <c r="AV2821">
        <f>HYPERLINK("http://www.worldcat.org/oclc/28067531","WorldCat Record")</f>
        <v/>
      </c>
      <c r="AW2821" t="inlineStr">
        <is>
          <t>352004045:eng</t>
        </is>
      </c>
      <c r="AX2821" t="inlineStr">
        <is>
          <t>28067531</t>
        </is>
      </c>
      <c r="AY2821" t="inlineStr">
        <is>
          <t>991002181099702656</t>
        </is>
      </c>
      <c r="AZ2821" t="inlineStr">
        <is>
          <t>991002181099702656</t>
        </is>
      </c>
      <c r="BA2821" t="inlineStr">
        <is>
          <t>2259314940002656</t>
        </is>
      </c>
      <c r="BB2821" t="inlineStr">
        <is>
          <t>BOOK</t>
        </is>
      </c>
      <c r="BD2821" t="inlineStr">
        <is>
          <t>9780946640904</t>
        </is>
      </c>
      <c r="BE2821" t="inlineStr">
        <is>
          <t>32285001815637</t>
        </is>
      </c>
      <c r="BF2821" t="inlineStr">
        <is>
          <t>893427294</t>
        </is>
      </c>
    </row>
    <row r="2822">
      <c r="A2822" t="inlineStr">
        <is>
          <t>No</t>
        </is>
      </c>
      <c r="B2822" t="inlineStr">
        <is>
          <t>CURAL</t>
        </is>
      </c>
      <c r="C2822" t="inlineStr">
        <is>
          <t>SHELVES</t>
        </is>
      </c>
      <c r="D2822" t="inlineStr">
        <is>
          <t>PR6003.E282 Z594 1991</t>
        </is>
      </c>
      <c r="E2822" t="inlineStr">
        <is>
          <t>0                      PR 6003000E  282                Z  594         1991</t>
        </is>
      </c>
      <c r="F2822" t="inlineStr">
        <is>
          <t>Samuel Beckett : a study of the short fiction / Robert Cochran.</t>
        </is>
      </c>
      <c r="H2822" t="inlineStr">
        <is>
          <t>No</t>
        </is>
      </c>
      <c r="I2822" t="inlineStr">
        <is>
          <t>1</t>
        </is>
      </c>
      <c r="J2822" t="inlineStr">
        <is>
          <t>No</t>
        </is>
      </c>
      <c r="K2822" t="inlineStr">
        <is>
          <t>No</t>
        </is>
      </c>
      <c r="L2822" t="inlineStr">
        <is>
          <t>0</t>
        </is>
      </c>
      <c r="M2822" t="inlineStr">
        <is>
          <t>Cochran, Robert, 1943-</t>
        </is>
      </c>
      <c r="N2822" t="inlineStr">
        <is>
          <t>New York : Twayne, c1991.</t>
        </is>
      </c>
      <c r="O2822" t="inlineStr">
        <is>
          <t>1991</t>
        </is>
      </c>
      <c r="Q2822" t="inlineStr">
        <is>
          <t>eng</t>
        </is>
      </c>
      <c r="R2822" t="inlineStr">
        <is>
          <t>nyu</t>
        </is>
      </c>
      <c r="S2822" t="inlineStr">
        <is>
          <t>Twayne's studies in short fiction ; no. 29</t>
        </is>
      </c>
      <c r="T2822" t="inlineStr">
        <is>
          <t xml:space="preserve">PR </t>
        </is>
      </c>
      <c r="U2822" t="n">
        <v>6</v>
      </c>
      <c r="V2822" t="n">
        <v>6</v>
      </c>
      <c r="W2822" t="inlineStr">
        <is>
          <t>2004-04-27</t>
        </is>
      </c>
      <c r="X2822" t="inlineStr">
        <is>
          <t>2004-04-27</t>
        </is>
      </c>
      <c r="Y2822" t="inlineStr">
        <is>
          <t>1992-06-23</t>
        </is>
      </c>
      <c r="Z2822" t="inlineStr">
        <is>
          <t>1992-06-23</t>
        </is>
      </c>
      <c r="AA2822" t="n">
        <v>647</v>
      </c>
      <c r="AB2822" t="n">
        <v>560</v>
      </c>
      <c r="AC2822" t="n">
        <v>658</v>
      </c>
      <c r="AD2822" t="n">
        <v>4</v>
      </c>
      <c r="AE2822" t="n">
        <v>5</v>
      </c>
      <c r="AF2822" t="n">
        <v>28</v>
      </c>
      <c r="AG2822" t="n">
        <v>31</v>
      </c>
      <c r="AH2822" t="n">
        <v>12</v>
      </c>
      <c r="AI2822" t="n">
        <v>13</v>
      </c>
      <c r="AJ2822" t="n">
        <v>5</v>
      </c>
      <c r="AK2822" t="n">
        <v>5</v>
      </c>
      <c r="AL2822" t="n">
        <v>17</v>
      </c>
      <c r="AM2822" t="n">
        <v>18</v>
      </c>
      <c r="AN2822" t="n">
        <v>3</v>
      </c>
      <c r="AO2822" t="n">
        <v>4</v>
      </c>
      <c r="AP2822" t="n">
        <v>0</v>
      </c>
      <c r="AQ2822" t="n">
        <v>0</v>
      </c>
      <c r="AR2822" t="inlineStr">
        <is>
          <t>No</t>
        </is>
      </c>
      <c r="AS2822" t="inlineStr">
        <is>
          <t>Yes</t>
        </is>
      </c>
      <c r="AT2822">
        <f>HYPERLINK("http://catalog.hathitrust.org/Record/004519795","HathiTrust Record")</f>
        <v/>
      </c>
      <c r="AU2822">
        <f>HYPERLINK("https://creighton-primo.hosted.exlibrisgroup.com/primo-explore/search?tab=default_tab&amp;search_scope=EVERYTHING&amp;vid=01CRU&amp;lang=en_US&amp;offset=0&amp;query=any,contains,991001921679702656","Catalog Record")</f>
        <v/>
      </c>
      <c r="AV2822">
        <f>HYPERLINK("http://www.worldcat.org/oclc/24247456","WorldCat Record")</f>
        <v/>
      </c>
      <c r="AW2822" t="inlineStr">
        <is>
          <t>810095170:eng</t>
        </is>
      </c>
      <c r="AX2822" t="inlineStr">
        <is>
          <t>24247456</t>
        </is>
      </c>
      <c r="AY2822" t="inlineStr">
        <is>
          <t>991001921679702656</t>
        </is>
      </c>
      <c r="AZ2822" t="inlineStr">
        <is>
          <t>991001921679702656</t>
        </is>
      </c>
      <c r="BA2822" t="inlineStr">
        <is>
          <t>2262086280002656</t>
        </is>
      </c>
      <c r="BB2822" t="inlineStr">
        <is>
          <t>BOOK</t>
        </is>
      </c>
      <c r="BD2822" t="inlineStr">
        <is>
          <t>9780805783209</t>
        </is>
      </c>
      <c r="BE2822" t="inlineStr">
        <is>
          <t>32285001156008</t>
        </is>
      </c>
      <c r="BF2822" t="inlineStr">
        <is>
          <t>893715832</t>
        </is>
      </c>
    </row>
    <row r="2823">
      <c r="A2823" t="inlineStr">
        <is>
          <t>No</t>
        </is>
      </c>
      <c r="B2823" t="inlineStr">
        <is>
          <t>CURAL</t>
        </is>
      </c>
      <c r="C2823" t="inlineStr">
        <is>
          <t>SHELVES</t>
        </is>
      </c>
      <c r="D2823" t="inlineStr">
        <is>
          <t>PR6003.E282 Z62116 1988</t>
        </is>
      </c>
      <c r="E2823" t="inlineStr">
        <is>
          <t>0                      PR 6003000E  282                Z  62116       1988</t>
        </is>
      </c>
      <c r="F2823" t="inlineStr">
        <is>
          <t>Samuel Beckett : repetition, theory and text / Steven Connor.</t>
        </is>
      </c>
      <c r="H2823" t="inlineStr">
        <is>
          <t>No</t>
        </is>
      </c>
      <c r="I2823" t="inlineStr">
        <is>
          <t>1</t>
        </is>
      </c>
      <c r="J2823" t="inlineStr">
        <is>
          <t>No</t>
        </is>
      </c>
      <c r="K2823" t="inlineStr">
        <is>
          <t>No</t>
        </is>
      </c>
      <c r="L2823" t="inlineStr">
        <is>
          <t>0</t>
        </is>
      </c>
      <c r="M2823" t="inlineStr">
        <is>
          <t>Connor, Steven.</t>
        </is>
      </c>
      <c r="N2823" t="inlineStr">
        <is>
          <t>New York, NY : B. Blackwell, 1988.</t>
        </is>
      </c>
      <c r="O2823" t="inlineStr">
        <is>
          <t>1988</t>
        </is>
      </c>
      <c r="Q2823" t="inlineStr">
        <is>
          <t>eng</t>
        </is>
      </c>
      <c r="R2823" t="inlineStr">
        <is>
          <t>nyu</t>
        </is>
      </c>
      <c r="T2823" t="inlineStr">
        <is>
          <t xml:space="preserve">PR </t>
        </is>
      </c>
      <c r="U2823" t="n">
        <v>6</v>
      </c>
      <c r="V2823" t="n">
        <v>6</v>
      </c>
      <c r="W2823" t="inlineStr">
        <is>
          <t>2006-04-29</t>
        </is>
      </c>
      <c r="X2823" t="inlineStr">
        <is>
          <t>2006-04-29</t>
        </is>
      </c>
      <c r="Y2823" t="inlineStr">
        <is>
          <t>1992-06-24</t>
        </is>
      </c>
      <c r="Z2823" t="inlineStr">
        <is>
          <t>1992-06-24</t>
        </is>
      </c>
      <c r="AA2823" t="n">
        <v>403</v>
      </c>
      <c r="AB2823" t="n">
        <v>229</v>
      </c>
      <c r="AC2823" t="n">
        <v>586</v>
      </c>
      <c r="AD2823" t="n">
        <v>3</v>
      </c>
      <c r="AE2823" t="n">
        <v>6</v>
      </c>
      <c r="AF2823" t="n">
        <v>14</v>
      </c>
      <c r="AG2823" t="n">
        <v>29</v>
      </c>
      <c r="AH2823" t="n">
        <v>3</v>
      </c>
      <c r="AI2823" t="n">
        <v>9</v>
      </c>
      <c r="AJ2823" t="n">
        <v>5</v>
      </c>
      <c r="AK2823" t="n">
        <v>8</v>
      </c>
      <c r="AL2823" t="n">
        <v>9</v>
      </c>
      <c r="AM2823" t="n">
        <v>12</v>
      </c>
      <c r="AN2823" t="n">
        <v>2</v>
      </c>
      <c r="AO2823" t="n">
        <v>5</v>
      </c>
      <c r="AP2823" t="n">
        <v>0</v>
      </c>
      <c r="AQ2823" t="n">
        <v>1</v>
      </c>
      <c r="AR2823" t="inlineStr">
        <is>
          <t>No</t>
        </is>
      </c>
      <c r="AS2823" t="inlineStr">
        <is>
          <t>No</t>
        </is>
      </c>
      <c r="AU2823">
        <f>HYPERLINK("https://creighton-primo.hosted.exlibrisgroup.com/primo-explore/search?tab=default_tab&amp;search_scope=EVERYTHING&amp;vid=01CRU&amp;lang=en_US&amp;offset=0&amp;query=any,contains,991001193359702656","Catalog Record")</f>
        <v/>
      </c>
      <c r="AV2823">
        <f>HYPERLINK("http://www.worldcat.org/oclc/17263103","WorldCat Record")</f>
        <v/>
      </c>
      <c r="AW2823" t="inlineStr">
        <is>
          <t>20717781:eng</t>
        </is>
      </c>
      <c r="AX2823" t="inlineStr">
        <is>
          <t>17263103</t>
        </is>
      </c>
      <c r="AY2823" t="inlineStr">
        <is>
          <t>991001193359702656</t>
        </is>
      </c>
      <c r="AZ2823" t="inlineStr">
        <is>
          <t>991001193359702656</t>
        </is>
      </c>
      <c r="BA2823" t="inlineStr">
        <is>
          <t>2266585910002656</t>
        </is>
      </c>
      <c r="BB2823" t="inlineStr">
        <is>
          <t>BOOK</t>
        </is>
      </c>
      <c r="BD2823" t="inlineStr">
        <is>
          <t>9780631161035</t>
        </is>
      </c>
      <c r="BE2823" t="inlineStr">
        <is>
          <t>32285001134732</t>
        </is>
      </c>
      <c r="BF2823" t="inlineStr">
        <is>
          <t>893438956</t>
        </is>
      </c>
    </row>
    <row r="2824">
      <c r="A2824" t="inlineStr">
        <is>
          <t>No</t>
        </is>
      </c>
      <c r="B2824" t="inlineStr">
        <is>
          <t>CURAL</t>
        </is>
      </c>
      <c r="C2824" t="inlineStr">
        <is>
          <t>SHELVES</t>
        </is>
      </c>
      <c r="D2824" t="inlineStr">
        <is>
          <t>PR6003.E282 Z6213</t>
        </is>
      </c>
      <c r="E2824" t="inlineStr">
        <is>
          <t>0                      PR 6003000E  282                Z  6213</t>
        </is>
      </c>
      <c r="F2824" t="inlineStr">
        <is>
          <t>Art and the artist in the works of Samuel Beckett / by Hannah Case Copeland.</t>
        </is>
      </c>
      <c r="H2824" t="inlineStr">
        <is>
          <t>No</t>
        </is>
      </c>
      <c r="I2824" t="inlineStr">
        <is>
          <t>1</t>
        </is>
      </c>
      <c r="J2824" t="inlineStr">
        <is>
          <t>No</t>
        </is>
      </c>
      <c r="K2824" t="inlineStr">
        <is>
          <t>No</t>
        </is>
      </c>
      <c r="L2824" t="inlineStr">
        <is>
          <t>0</t>
        </is>
      </c>
      <c r="M2824" t="inlineStr">
        <is>
          <t>Copeland, Hannah Case.</t>
        </is>
      </c>
      <c r="N2824" t="inlineStr">
        <is>
          <t>The Hague : Mouton, 1975.</t>
        </is>
      </c>
      <c r="O2824" t="inlineStr">
        <is>
          <t>1975</t>
        </is>
      </c>
      <c r="Q2824" t="inlineStr">
        <is>
          <t>eng</t>
        </is>
      </c>
      <c r="R2824" t="inlineStr">
        <is>
          <t xml:space="preserve">ne </t>
        </is>
      </c>
      <c r="S2824" t="inlineStr">
        <is>
          <t>De proprietatibus litterarum. Series practica ; 96</t>
        </is>
      </c>
      <c r="T2824" t="inlineStr">
        <is>
          <t xml:space="preserve">PR </t>
        </is>
      </c>
      <c r="U2824" t="n">
        <v>6</v>
      </c>
      <c r="V2824" t="n">
        <v>6</v>
      </c>
      <c r="W2824" t="inlineStr">
        <is>
          <t>2006-05-03</t>
        </is>
      </c>
      <c r="X2824" t="inlineStr">
        <is>
          <t>2006-05-03</t>
        </is>
      </c>
      <c r="Y2824" t="inlineStr">
        <is>
          <t>1992-01-02</t>
        </is>
      </c>
      <c r="Z2824" t="inlineStr">
        <is>
          <t>1992-01-02</t>
        </is>
      </c>
      <c r="AA2824" t="n">
        <v>364</v>
      </c>
      <c r="AB2824" t="n">
        <v>279</v>
      </c>
      <c r="AC2824" t="n">
        <v>286</v>
      </c>
      <c r="AD2824" t="n">
        <v>3</v>
      </c>
      <c r="AE2824" t="n">
        <v>3</v>
      </c>
      <c r="AF2824" t="n">
        <v>17</v>
      </c>
      <c r="AG2824" t="n">
        <v>17</v>
      </c>
      <c r="AH2824" t="n">
        <v>6</v>
      </c>
      <c r="AI2824" t="n">
        <v>6</v>
      </c>
      <c r="AJ2824" t="n">
        <v>3</v>
      </c>
      <c r="AK2824" t="n">
        <v>3</v>
      </c>
      <c r="AL2824" t="n">
        <v>9</v>
      </c>
      <c r="AM2824" t="n">
        <v>9</v>
      </c>
      <c r="AN2824" t="n">
        <v>2</v>
      </c>
      <c r="AO2824" t="n">
        <v>2</v>
      </c>
      <c r="AP2824" t="n">
        <v>0</v>
      </c>
      <c r="AQ2824" t="n">
        <v>0</v>
      </c>
      <c r="AR2824" t="inlineStr">
        <is>
          <t>No</t>
        </is>
      </c>
      <c r="AS2824" t="inlineStr">
        <is>
          <t>Yes</t>
        </is>
      </c>
      <c r="AT2824">
        <f>HYPERLINK("http://catalog.hathitrust.org/Record/000719214","HathiTrust Record")</f>
        <v/>
      </c>
      <c r="AU2824">
        <f>HYPERLINK("https://creighton-primo.hosted.exlibrisgroup.com/primo-explore/search?tab=default_tab&amp;search_scope=EVERYTHING&amp;vid=01CRU&amp;lang=en_US&amp;offset=0&amp;query=any,contains,991003903859702656","Catalog Record")</f>
        <v/>
      </c>
      <c r="AV2824">
        <f>HYPERLINK("http://www.worldcat.org/oclc/1832641","WorldCat Record")</f>
        <v/>
      </c>
      <c r="AW2824" t="inlineStr">
        <is>
          <t>2727718:eng</t>
        </is>
      </c>
      <c r="AX2824" t="inlineStr">
        <is>
          <t>1832641</t>
        </is>
      </c>
      <c r="AY2824" t="inlineStr">
        <is>
          <t>991003903859702656</t>
        </is>
      </c>
      <c r="AZ2824" t="inlineStr">
        <is>
          <t>991003903859702656</t>
        </is>
      </c>
      <c r="BA2824" t="inlineStr">
        <is>
          <t>2259852910002656</t>
        </is>
      </c>
      <c r="BB2824" t="inlineStr">
        <is>
          <t>BOOK</t>
        </is>
      </c>
      <c r="BD2824" t="inlineStr">
        <is>
          <t>9789027933317</t>
        </is>
      </c>
      <c r="BE2824" t="inlineStr">
        <is>
          <t>32285000881721</t>
        </is>
      </c>
      <c r="BF2824" t="inlineStr">
        <is>
          <t>893441936</t>
        </is>
      </c>
    </row>
    <row r="2825">
      <c r="A2825" t="inlineStr">
        <is>
          <t>No</t>
        </is>
      </c>
      <c r="B2825" t="inlineStr">
        <is>
          <t>CURAL</t>
        </is>
      </c>
      <c r="C2825" t="inlineStr">
        <is>
          <t>SHELVES</t>
        </is>
      </c>
      <c r="D2825" t="inlineStr">
        <is>
          <t>PR6003.E282 Z6248 1982</t>
        </is>
      </c>
      <c r="E2825" t="inlineStr">
        <is>
          <t>0                      PR 6003000E  282                Z  6248        1982</t>
        </is>
      </c>
      <c r="F2825" t="inlineStr">
        <is>
          <t>Accommodating the chaos : Samuel Beckett's nonrelational art / J.E. Dearlove.</t>
        </is>
      </c>
      <c r="H2825" t="inlineStr">
        <is>
          <t>No</t>
        </is>
      </c>
      <c r="I2825" t="inlineStr">
        <is>
          <t>1</t>
        </is>
      </c>
      <c r="J2825" t="inlineStr">
        <is>
          <t>No</t>
        </is>
      </c>
      <c r="K2825" t="inlineStr">
        <is>
          <t>No</t>
        </is>
      </c>
      <c r="L2825" t="inlineStr">
        <is>
          <t>0</t>
        </is>
      </c>
      <c r="M2825" t="inlineStr">
        <is>
          <t>Dearlove, J. E., 1949-</t>
        </is>
      </c>
      <c r="N2825" t="inlineStr">
        <is>
          <t>Durham, N.C. : Duke University Press, 1982.</t>
        </is>
      </c>
      <c r="O2825" t="inlineStr">
        <is>
          <t>1982</t>
        </is>
      </c>
      <c r="Q2825" t="inlineStr">
        <is>
          <t>eng</t>
        </is>
      </c>
      <c r="R2825" t="inlineStr">
        <is>
          <t>ncu</t>
        </is>
      </c>
      <c r="T2825" t="inlineStr">
        <is>
          <t xml:space="preserve">PR </t>
        </is>
      </c>
      <c r="U2825" t="n">
        <v>5</v>
      </c>
      <c r="V2825" t="n">
        <v>5</v>
      </c>
      <c r="W2825" t="inlineStr">
        <is>
          <t>2004-04-21</t>
        </is>
      </c>
      <c r="X2825" t="inlineStr">
        <is>
          <t>2004-04-21</t>
        </is>
      </c>
      <c r="Y2825" t="inlineStr">
        <is>
          <t>1992-06-24</t>
        </is>
      </c>
      <c r="Z2825" t="inlineStr">
        <is>
          <t>1992-06-24</t>
        </is>
      </c>
      <c r="AA2825" t="n">
        <v>428</v>
      </c>
      <c r="AB2825" t="n">
        <v>337</v>
      </c>
      <c r="AC2825" t="n">
        <v>346</v>
      </c>
      <c r="AD2825" t="n">
        <v>3</v>
      </c>
      <c r="AE2825" t="n">
        <v>3</v>
      </c>
      <c r="AF2825" t="n">
        <v>23</v>
      </c>
      <c r="AG2825" t="n">
        <v>23</v>
      </c>
      <c r="AH2825" t="n">
        <v>8</v>
      </c>
      <c r="AI2825" t="n">
        <v>8</v>
      </c>
      <c r="AJ2825" t="n">
        <v>8</v>
      </c>
      <c r="AK2825" t="n">
        <v>8</v>
      </c>
      <c r="AL2825" t="n">
        <v>10</v>
      </c>
      <c r="AM2825" t="n">
        <v>10</v>
      </c>
      <c r="AN2825" t="n">
        <v>2</v>
      </c>
      <c r="AO2825" t="n">
        <v>2</v>
      </c>
      <c r="AP2825" t="n">
        <v>0</v>
      </c>
      <c r="AQ2825" t="n">
        <v>0</v>
      </c>
      <c r="AR2825" t="inlineStr">
        <is>
          <t>No</t>
        </is>
      </c>
      <c r="AS2825" t="inlineStr">
        <is>
          <t>Yes</t>
        </is>
      </c>
      <c r="AT2825">
        <f>HYPERLINK("http://catalog.hathitrust.org/Record/000766078","HathiTrust Record")</f>
        <v/>
      </c>
      <c r="AU2825">
        <f>HYPERLINK("https://creighton-primo.hosted.exlibrisgroup.com/primo-explore/search?tab=default_tab&amp;search_scope=EVERYTHING&amp;vid=01CRU&amp;lang=en_US&amp;offset=0&amp;query=any,contains,991005152339702656","Catalog Record")</f>
        <v/>
      </c>
      <c r="AV2825">
        <f>HYPERLINK("http://www.worldcat.org/oclc/7734010","WorldCat Record")</f>
        <v/>
      </c>
      <c r="AW2825" t="inlineStr">
        <is>
          <t>141224970:eng</t>
        </is>
      </c>
      <c r="AX2825" t="inlineStr">
        <is>
          <t>7734010</t>
        </is>
      </c>
      <c r="AY2825" t="inlineStr">
        <is>
          <t>991005152339702656</t>
        </is>
      </c>
      <c r="AZ2825" t="inlineStr">
        <is>
          <t>991005152339702656</t>
        </is>
      </c>
      <c r="BA2825" t="inlineStr">
        <is>
          <t>2255727010002656</t>
        </is>
      </c>
      <c r="BB2825" t="inlineStr">
        <is>
          <t>BOOK</t>
        </is>
      </c>
      <c r="BD2825" t="inlineStr">
        <is>
          <t>9780822304623</t>
        </is>
      </c>
      <c r="BE2825" t="inlineStr">
        <is>
          <t>32285001134740</t>
        </is>
      </c>
      <c r="BF2825" t="inlineStr">
        <is>
          <t>893776928</t>
        </is>
      </c>
    </row>
    <row r="2826">
      <c r="A2826" t="inlineStr">
        <is>
          <t>No</t>
        </is>
      </c>
      <c r="B2826" t="inlineStr">
        <is>
          <t>CURAL</t>
        </is>
      </c>
      <c r="C2826" t="inlineStr">
        <is>
          <t>SHELVES</t>
        </is>
      </c>
      <c r="D2826" t="inlineStr">
        <is>
          <t>PR6003.E282 Z627 1972b</t>
        </is>
      </c>
      <c r="E2826" t="inlineStr">
        <is>
          <t>0                      PR 6003000E  282                Z  627         1972b</t>
        </is>
      </c>
      <c r="F2826" t="inlineStr">
        <is>
          <t>Angels of darkness : dramatic effect in Samuel Beckett with special reference to Eugène Ionesco.</t>
        </is>
      </c>
      <c r="H2826" t="inlineStr">
        <is>
          <t>No</t>
        </is>
      </c>
      <c r="I2826" t="inlineStr">
        <is>
          <t>1</t>
        </is>
      </c>
      <c r="J2826" t="inlineStr">
        <is>
          <t>No</t>
        </is>
      </c>
      <c r="K2826" t="inlineStr">
        <is>
          <t>No</t>
        </is>
      </c>
      <c r="L2826" t="inlineStr">
        <is>
          <t>0</t>
        </is>
      </c>
      <c r="M2826" t="inlineStr">
        <is>
          <t>Duckworth, Colin.</t>
        </is>
      </c>
      <c r="N2826" t="inlineStr">
        <is>
          <t>New York : Barnes &amp; Noble Books, [1972]</t>
        </is>
      </c>
      <c r="O2826" t="inlineStr">
        <is>
          <t>1972</t>
        </is>
      </c>
      <c r="Q2826" t="inlineStr">
        <is>
          <t>eng</t>
        </is>
      </c>
      <c r="R2826" t="inlineStr">
        <is>
          <t>nyu</t>
        </is>
      </c>
      <c r="T2826" t="inlineStr">
        <is>
          <t xml:space="preserve">PR </t>
        </is>
      </c>
      <c r="U2826" t="n">
        <v>3</v>
      </c>
      <c r="V2826" t="n">
        <v>3</v>
      </c>
      <c r="W2826" t="inlineStr">
        <is>
          <t>1993-04-10</t>
        </is>
      </c>
      <c r="X2826" t="inlineStr">
        <is>
          <t>1993-04-10</t>
        </is>
      </c>
      <c r="Y2826" t="inlineStr">
        <is>
          <t>1991-04-09</t>
        </is>
      </c>
      <c r="Z2826" t="inlineStr">
        <is>
          <t>1991-04-09</t>
        </is>
      </c>
      <c r="AA2826" t="n">
        <v>634</v>
      </c>
      <c r="AB2826" t="n">
        <v>605</v>
      </c>
      <c r="AC2826" t="n">
        <v>758</v>
      </c>
      <c r="AD2826" t="n">
        <v>5</v>
      </c>
      <c r="AE2826" t="n">
        <v>5</v>
      </c>
      <c r="AF2826" t="n">
        <v>29</v>
      </c>
      <c r="AG2826" t="n">
        <v>33</v>
      </c>
      <c r="AH2826" t="n">
        <v>12</v>
      </c>
      <c r="AI2826" t="n">
        <v>13</v>
      </c>
      <c r="AJ2826" t="n">
        <v>6</v>
      </c>
      <c r="AK2826" t="n">
        <v>8</v>
      </c>
      <c r="AL2826" t="n">
        <v>15</v>
      </c>
      <c r="AM2826" t="n">
        <v>18</v>
      </c>
      <c r="AN2826" t="n">
        <v>4</v>
      </c>
      <c r="AO2826" t="n">
        <v>4</v>
      </c>
      <c r="AP2826" t="n">
        <v>0</v>
      </c>
      <c r="AQ2826" t="n">
        <v>0</v>
      </c>
      <c r="AR2826" t="inlineStr">
        <is>
          <t>No</t>
        </is>
      </c>
      <c r="AS2826" t="inlineStr">
        <is>
          <t>Yes</t>
        </is>
      </c>
      <c r="AT2826">
        <f>HYPERLINK("http://catalog.hathitrust.org/Record/004459064","HathiTrust Record")</f>
        <v/>
      </c>
      <c r="AU2826">
        <f>HYPERLINK("https://creighton-primo.hosted.exlibrisgroup.com/primo-explore/search?tab=default_tab&amp;search_scope=EVERYTHING&amp;vid=01CRU&amp;lang=en_US&amp;offset=0&amp;query=any,contains,991003141299702656","Catalog Record")</f>
        <v/>
      </c>
      <c r="AV2826">
        <f>HYPERLINK("http://www.worldcat.org/oclc/682707","WorldCat Record")</f>
        <v/>
      </c>
      <c r="AW2826" t="inlineStr">
        <is>
          <t>146703910:eng</t>
        </is>
      </c>
      <c r="AX2826" t="inlineStr">
        <is>
          <t>682707</t>
        </is>
      </c>
      <c r="AY2826" t="inlineStr">
        <is>
          <t>991003141299702656</t>
        </is>
      </c>
      <c r="AZ2826" t="inlineStr">
        <is>
          <t>991003141299702656</t>
        </is>
      </c>
      <c r="BA2826" t="inlineStr">
        <is>
          <t>2262509690002656</t>
        </is>
      </c>
      <c r="BB2826" t="inlineStr">
        <is>
          <t>BOOK</t>
        </is>
      </c>
      <c r="BD2826" t="inlineStr">
        <is>
          <t>9780064917872</t>
        </is>
      </c>
      <c r="BE2826" t="inlineStr">
        <is>
          <t>32285000550771</t>
        </is>
      </c>
      <c r="BF2826" t="inlineStr">
        <is>
          <t>893252073</t>
        </is>
      </c>
    </row>
    <row r="2827">
      <c r="A2827" t="inlineStr">
        <is>
          <t>No</t>
        </is>
      </c>
      <c r="B2827" t="inlineStr">
        <is>
          <t>CURAL</t>
        </is>
      </c>
      <c r="C2827" t="inlineStr">
        <is>
          <t>SHELVES</t>
        </is>
      </c>
      <c r="D2827" t="inlineStr">
        <is>
          <t>PR6003.E282 Z64</t>
        </is>
      </c>
      <c r="E2827" t="inlineStr">
        <is>
          <t>0                      PR 6003000E  282                Z  64</t>
        </is>
      </c>
      <c r="F2827" t="inlineStr">
        <is>
          <t>Samuel Beckett: a collection of critical essays.</t>
        </is>
      </c>
      <c r="H2827" t="inlineStr">
        <is>
          <t>No</t>
        </is>
      </c>
      <c r="I2827" t="inlineStr">
        <is>
          <t>1</t>
        </is>
      </c>
      <c r="J2827" t="inlineStr">
        <is>
          <t>No</t>
        </is>
      </c>
      <c r="K2827" t="inlineStr">
        <is>
          <t>No</t>
        </is>
      </c>
      <c r="L2827" t="inlineStr">
        <is>
          <t>0</t>
        </is>
      </c>
      <c r="M2827" t="inlineStr">
        <is>
          <t>Esslin, Martin, 1918-2002, editor.</t>
        </is>
      </c>
      <c r="N2827" t="inlineStr">
        <is>
          <t>Englewood Cliffs, N.J., Prentice-Hall [1965]</t>
        </is>
      </c>
      <c r="O2827" t="inlineStr">
        <is>
          <t>1965</t>
        </is>
      </c>
      <c r="Q2827" t="inlineStr">
        <is>
          <t>eng</t>
        </is>
      </c>
      <c r="R2827" t="inlineStr">
        <is>
          <t>nju</t>
        </is>
      </c>
      <c r="S2827" t="inlineStr">
        <is>
          <t>A Spectrum book: Twentieth century views</t>
        </is>
      </c>
      <c r="T2827" t="inlineStr">
        <is>
          <t xml:space="preserve">PR </t>
        </is>
      </c>
      <c r="U2827" t="n">
        <v>14</v>
      </c>
      <c r="V2827" t="n">
        <v>14</v>
      </c>
      <c r="W2827" t="inlineStr">
        <is>
          <t>2008-08-20</t>
        </is>
      </c>
      <c r="X2827" t="inlineStr">
        <is>
          <t>2008-08-20</t>
        </is>
      </c>
      <c r="Y2827" t="inlineStr">
        <is>
          <t>1992-11-06</t>
        </is>
      </c>
      <c r="Z2827" t="inlineStr">
        <is>
          <t>1992-11-06</t>
        </is>
      </c>
      <c r="AA2827" t="n">
        <v>2251</v>
      </c>
      <c r="AB2827" t="n">
        <v>1929</v>
      </c>
      <c r="AC2827" t="n">
        <v>1937</v>
      </c>
      <c r="AD2827" t="n">
        <v>15</v>
      </c>
      <c r="AE2827" t="n">
        <v>15</v>
      </c>
      <c r="AF2827" t="n">
        <v>56</v>
      </c>
      <c r="AG2827" t="n">
        <v>56</v>
      </c>
      <c r="AH2827" t="n">
        <v>25</v>
      </c>
      <c r="AI2827" t="n">
        <v>25</v>
      </c>
      <c r="AJ2827" t="n">
        <v>8</v>
      </c>
      <c r="AK2827" t="n">
        <v>8</v>
      </c>
      <c r="AL2827" t="n">
        <v>23</v>
      </c>
      <c r="AM2827" t="n">
        <v>23</v>
      </c>
      <c r="AN2827" t="n">
        <v>12</v>
      </c>
      <c r="AO2827" t="n">
        <v>12</v>
      </c>
      <c r="AP2827" t="n">
        <v>0</v>
      </c>
      <c r="AQ2827" t="n">
        <v>0</v>
      </c>
      <c r="AR2827" t="inlineStr">
        <is>
          <t>No</t>
        </is>
      </c>
      <c r="AS2827" t="inlineStr">
        <is>
          <t>Yes</t>
        </is>
      </c>
      <c r="AT2827">
        <f>HYPERLINK("http://catalog.hathitrust.org/Record/001003926","HathiTrust Record")</f>
        <v/>
      </c>
      <c r="AU2827">
        <f>HYPERLINK("https://creighton-primo.hosted.exlibrisgroup.com/primo-explore/search?tab=default_tab&amp;search_scope=EVERYTHING&amp;vid=01CRU&amp;lang=en_US&amp;offset=0&amp;query=any,contains,991002266359702656","Catalog Record")</f>
        <v/>
      </c>
      <c r="AV2827">
        <f>HYPERLINK("http://www.worldcat.org/oclc/307098","WorldCat Record")</f>
        <v/>
      </c>
      <c r="AW2827" t="inlineStr">
        <is>
          <t>908333828:eng</t>
        </is>
      </c>
      <c r="AX2827" t="inlineStr">
        <is>
          <t>307098</t>
        </is>
      </c>
      <c r="AY2827" t="inlineStr">
        <is>
          <t>991002266359702656</t>
        </is>
      </c>
      <c r="AZ2827" t="inlineStr">
        <is>
          <t>991002266359702656</t>
        </is>
      </c>
      <c r="BA2827" t="inlineStr">
        <is>
          <t>2265653620002656</t>
        </is>
      </c>
      <c r="BB2827" t="inlineStr">
        <is>
          <t>BOOK</t>
        </is>
      </c>
      <c r="BE2827" t="inlineStr">
        <is>
          <t>32285001387744</t>
        </is>
      </c>
      <c r="BF2827" t="inlineStr">
        <is>
          <t>893433692</t>
        </is>
      </c>
    </row>
    <row r="2828">
      <c r="A2828" t="inlineStr">
        <is>
          <t>No</t>
        </is>
      </c>
      <c r="B2828" t="inlineStr">
        <is>
          <t>CURAL</t>
        </is>
      </c>
      <c r="C2828" t="inlineStr">
        <is>
          <t>SHELVES</t>
        </is>
      </c>
      <c r="D2828" t="inlineStr">
        <is>
          <t>PR6003.E282 Z658</t>
        </is>
      </c>
      <c r="E2828" t="inlineStr">
        <is>
          <t>0                      PR 6003000E  282                Z  658</t>
        </is>
      </c>
      <c r="F2828" t="inlineStr">
        <is>
          <t>Beckett : a study of his plays / by John Fletcher and John Spurling.</t>
        </is>
      </c>
      <c r="H2828" t="inlineStr">
        <is>
          <t>No</t>
        </is>
      </c>
      <c r="I2828" t="inlineStr">
        <is>
          <t>1</t>
        </is>
      </c>
      <c r="J2828" t="inlineStr">
        <is>
          <t>No</t>
        </is>
      </c>
      <c r="K2828" t="inlineStr">
        <is>
          <t>Yes</t>
        </is>
      </c>
      <c r="L2828" t="inlineStr">
        <is>
          <t>0</t>
        </is>
      </c>
      <c r="M2828" t="inlineStr">
        <is>
          <t>Fletcher, John, 1937-</t>
        </is>
      </c>
      <c r="N2828" t="inlineStr">
        <is>
          <t>London : Eyre Methuen, [1972]</t>
        </is>
      </c>
      <c r="O2828" t="inlineStr">
        <is>
          <t>1972</t>
        </is>
      </c>
      <c r="Q2828" t="inlineStr">
        <is>
          <t>eng</t>
        </is>
      </c>
      <c r="R2828" t="inlineStr">
        <is>
          <t>enk</t>
        </is>
      </c>
      <c r="T2828" t="inlineStr">
        <is>
          <t xml:space="preserve">PR </t>
        </is>
      </c>
      <c r="U2828" t="n">
        <v>7</v>
      </c>
      <c r="V2828" t="n">
        <v>7</v>
      </c>
      <c r="W2828" t="inlineStr">
        <is>
          <t>2006-04-09</t>
        </is>
      </c>
      <c r="X2828" t="inlineStr">
        <is>
          <t>2006-04-09</t>
        </is>
      </c>
      <c r="Y2828" t="inlineStr">
        <is>
          <t>1991-05-17</t>
        </is>
      </c>
      <c r="Z2828" t="inlineStr">
        <is>
          <t>1991-05-17</t>
        </is>
      </c>
      <c r="AA2828" t="n">
        <v>277</v>
      </c>
      <c r="AB2828" t="n">
        <v>83</v>
      </c>
      <c r="AC2828" t="n">
        <v>814</v>
      </c>
      <c r="AD2828" t="n">
        <v>1</v>
      </c>
      <c r="AE2828" t="n">
        <v>5</v>
      </c>
      <c r="AF2828" t="n">
        <v>6</v>
      </c>
      <c r="AG2828" t="n">
        <v>30</v>
      </c>
      <c r="AH2828" t="n">
        <v>2</v>
      </c>
      <c r="AI2828" t="n">
        <v>11</v>
      </c>
      <c r="AJ2828" t="n">
        <v>2</v>
      </c>
      <c r="AK2828" t="n">
        <v>7</v>
      </c>
      <c r="AL2828" t="n">
        <v>6</v>
      </c>
      <c r="AM2828" t="n">
        <v>17</v>
      </c>
      <c r="AN2828" t="n">
        <v>0</v>
      </c>
      <c r="AO2828" t="n">
        <v>4</v>
      </c>
      <c r="AP2828" t="n">
        <v>0</v>
      </c>
      <c r="AQ2828" t="n">
        <v>0</v>
      </c>
      <c r="AR2828" t="inlineStr">
        <is>
          <t>No</t>
        </is>
      </c>
      <c r="AS2828" t="inlineStr">
        <is>
          <t>No</t>
        </is>
      </c>
      <c r="AU2828">
        <f>HYPERLINK("https://creighton-primo.hosted.exlibrisgroup.com/primo-explore/search?tab=default_tab&amp;search_scope=EVERYTHING&amp;vid=01CRU&amp;lang=en_US&amp;offset=0&amp;query=any,contains,991003583729702656","Catalog Record")</f>
        <v/>
      </c>
      <c r="AV2828">
        <f>HYPERLINK("http://www.worldcat.org/oclc/1164798","WorldCat Record")</f>
        <v/>
      </c>
      <c r="AW2828" t="inlineStr">
        <is>
          <t>3855354652:eng</t>
        </is>
      </c>
      <c r="AX2828" t="inlineStr">
        <is>
          <t>1164798</t>
        </is>
      </c>
      <c r="AY2828" t="inlineStr">
        <is>
          <t>991003583729702656</t>
        </is>
      </c>
      <c r="AZ2828" t="inlineStr">
        <is>
          <t>991003583729702656</t>
        </is>
      </c>
      <c r="BA2828" t="inlineStr">
        <is>
          <t>2262927540002656</t>
        </is>
      </c>
      <c r="BB2828" t="inlineStr">
        <is>
          <t>BOOK</t>
        </is>
      </c>
      <c r="BD2828" t="inlineStr">
        <is>
          <t>9780413290304</t>
        </is>
      </c>
      <c r="BE2828" t="inlineStr">
        <is>
          <t>32285000596238</t>
        </is>
      </c>
      <c r="BF2828" t="inlineStr">
        <is>
          <t>893781149</t>
        </is>
      </c>
    </row>
    <row r="2829">
      <c r="A2829" t="inlineStr">
        <is>
          <t>No</t>
        </is>
      </c>
      <c r="B2829" t="inlineStr">
        <is>
          <t>CURAL</t>
        </is>
      </c>
      <c r="C2829" t="inlineStr">
        <is>
          <t>SHELVES</t>
        </is>
      </c>
      <c r="D2829" t="inlineStr">
        <is>
          <t>PR6003.E282 Z658 1978</t>
        </is>
      </c>
      <c r="E2829" t="inlineStr">
        <is>
          <t>0                      PR 6003000E  282                Z  658         1978</t>
        </is>
      </c>
      <c r="F2829" t="inlineStr">
        <is>
          <t>Beckett : a study of his plays / by John Fletcher and John Spurling.</t>
        </is>
      </c>
      <c r="H2829" t="inlineStr">
        <is>
          <t>No</t>
        </is>
      </c>
      <c r="I2829" t="inlineStr">
        <is>
          <t>1</t>
        </is>
      </c>
      <c r="J2829" t="inlineStr">
        <is>
          <t>No</t>
        </is>
      </c>
      <c r="K2829" t="inlineStr">
        <is>
          <t>Yes</t>
        </is>
      </c>
      <c r="L2829" t="inlineStr">
        <is>
          <t>0</t>
        </is>
      </c>
      <c r="M2829" t="inlineStr">
        <is>
          <t>Fletcher, John, 1937-</t>
        </is>
      </c>
      <c r="N2829" t="inlineStr">
        <is>
          <t>London : Methuen, 1978.</t>
        </is>
      </c>
      <c r="O2829" t="inlineStr">
        <is>
          <t>1978</t>
        </is>
      </c>
      <c r="P2829" t="inlineStr">
        <is>
          <t>2nd ed., rev. &amp; enl. --</t>
        </is>
      </c>
      <c r="Q2829" t="inlineStr">
        <is>
          <t>eng</t>
        </is>
      </c>
      <c r="R2829" t="inlineStr">
        <is>
          <t>enk</t>
        </is>
      </c>
      <c r="T2829" t="inlineStr">
        <is>
          <t xml:space="preserve">PR </t>
        </is>
      </c>
      <c r="U2829" t="n">
        <v>11</v>
      </c>
      <c r="V2829" t="n">
        <v>11</v>
      </c>
      <c r="W2829" t="inlineStr">
        <is>
          <t>2007-02-27</t>
        </is>
      </c>
      <c r="X2829" t="inlineStr">
        <is>
          <t>2007-02-27</t>
        </is>
      </c>
      <c r="Y2829" t="inlineStr">
        <is>
          <t>1992-06-24</t>
        </is>
      </c>
      <c r="Z2829" t="inlineStr">
        <is>
          <t>1992-06-24</t>
        </is>
      </c>
      <c r="AA2829" t="n">
        <v>169</v>
      </c>
      <c r="AB2829" t="n">
        <v>68</v>
      </c>
      <c r="AC2829" t="n">
        <v>814</v>
      </c>
      <c r="AD2829" t="n">
        <v>2</v>
      </c>
      <c r="AE2829" t="n">
        <v>5</v>
      </c>
      <c r="AF2829" t="n">
        <v>4</v>
      </c>
      <c r="AG2829" t="n">
        <v>30</v>
      </c>
      <c r="AH2829" t="n">
        <v>2</v>
      </c>
      <c r="AI2829" t="n">
        <v>11</v>
      </c>
      <c r="AJ2829" t="n">
        <v>1</v>
      </c>
      <c r="AK2829" t="n">
        <v>7</v>
      </c>
      <c r="AL2829" t="n">
        <v>1</v>
      </c>
      <c r="AM2829" t="n">
        <v>17</v>
      </c>
      <c r="AN2829" t="n">
        <v>1</v>
      </c>
      <c r="AO2829" t="n">
        <v>4</v>
      </c>
      <c r="AP2829" t="n">
        <v>0</v>
      </c>
      <c r="AQ2829" t="n">
        <v>0</v>
      </c>
      <c r="AR2829" t="inlineStr">
        <is>
          <t>No</t>
        </is>
      </c>
      <c r="AS2829" t="inlineStr">
        <is>
          <t>No</t>
        </is>
      </c>
      <c r="AU2829">
        <f>HYPERLINK("https://creighton-primo.hosted.exlibrisgroup.com/primo-explore/search?tab=default_tab&amp;search_scope=EVERYTHING&amp;vid=01CRU&amp;lang=en_US&amp;offset=0&amp;query=any,contains,991004616559702656","Catalog Record")</f>
        <v/>
      </c>
      <c r="AV2829">
        <f>HYPERLINK("http://www.worldcat.org/oclc/4261951","WorldCat Record")</f>
        <v/>
      </c>
      <c r="AW2829" t="inlineStr">
        <is>
          <t>3855354652:eng</t>
        </is>
      </c>
      <c r="AX2829" t="inlineStr">
        <is>
          <t>4261951</t>
        </is>
      </c>
      <c r="AY2829" t="inlineStr">
        <is>
          <t>991004616559702656</t>
        </is>
      </c>
      <c r="AZ2829" t="inlineStr">
        <is>
          <t>991004616559702656</t>
        </is>
      </c>
      <c r="BA2829" t="inlineStr">
        <is>
          <t>2257166390002656</t>
        </is>
      </c>
      <c r="BB2829" t="inlineStr">
        <is>
          <t>BOOK</t>
        </is>
      </c>
      <c r="BD2829" t="inlineStr">
        <is>
          <t>9780413453402</t>
        </is>
      </c>
      <c r="BE2829" t="inlineStr">
        <is>
          <t>32285001134757</t>
        </is>
      </c>
      <c r="BF2829" t="inlineStr">
        <is>
          <t>893430281</t>
        </is>
      </c>
    </row>
    <row r="2830">
      <c r="A2830" t="inlineStr">
        <is>
          <t>No</t>
        </is>
      </c>
      <c r="B2830" t="inlineStr">
        <is>
          <t>CURAL</t>
        </is>
      </c>
      <c r="C2830" t="inlineStr">
        <is>
          <t>SHELVES</t>
        </is>
      </c>
      <c r="D2830" t="inlineStr">
        <is>
          <t>PR6003.E282 Z66 1970</t>
        </is>
      </c>
      <c r="E2830" t="inlineStr">
        <is>
          <t>0                      PR 6003000E  282                Z  66          1970</t>
        </is>
      </c>
      <c r="F2830" t="inlineStr">
        <is>
          <t>The novels of Samuel Beckett.</t>
        </is>
      </c>
      <c r="H2830" t="inlineStr">
        <is>
          <t>No</t>
        </is>
      </c>
      <c r="I2830" t="inlineStr">
        <is>
          <t>1</t>
        </is>
      </c>
      <c r="J2830" t="inlineStr">
        <is>
          <t>No</t>
        </is>
      </c>
      <c r="K2830" t="inlineStr">
        <is>
          <t>No</t>
        </is>
      </c>
      <c r="L2830" t="inlineStr">
        <is>
          <t>0</t>
        </is>
      </c>
      <c r="M2830" t="inlineStr">
        <is>
          <t>Fletcher, John, 1937-</t>
        </is>
      </c>
      <c r="N2830" t="inlineStr">
        <is>
          <t>New York : Barnes &amp; Noble, [1970]</t>
        </is>
      </c>
      <c r="O2830" t="inlineStr">
        <is>
          <t>1970</t>
        </is>
      </c>
      <c r="P2830" t="inlineStr">
        <is>
          <t>2d ed.</t>
        </is>
      </c>
      <c r="Q2830" t="inlineStr">
        <is>
          <t>eng</t>
        </is>
      </c>
      <c r="R2830" t="inlineStr">
        <is>
          <t>nyu</t>
        </is>
      </c>
      <c r="T2830" t="inlineStr">
        <is>
          <t xml:space="preserve">PR </t>
        </is>
      </c>
      <c r="U2830" t="n">
        <v>4</v>
      </c>
      <c r="V2830" t="n">
        <v>4</v>
      </c>
      <c r="W2830" t="inlineStr">
        <is>
          <t>2008-03-14</t>
        </is>
      </c>
      <c r="X2830" t="inlineStr">
        <is>
          <t>2008-03-14</t>
        </is>
      </c>
      <c r="Y2830" t="inlineStr">
        <is>
          <t>1993-04-28</t>
        </is>
      </c>
      <c r="Z2830" t="inlineStr">
        <is>
          <t>1993-04-28</t>
        </is>
      </c>
      <c r="AA2830" t="n">
        <v>490</v>
      </c>
      <c r="AB2830" t="n">
        <v>472</v>
      </c>
      <c r="AC2830" t="n">
        <v>938</v>
      </c>
      <c r="AD2830" t="n">
        <v>5</v>
      </c>
      <c r="AE2830" t="n">
        <v>6</v>
      </c>
      <c r="AF2830" t="n">
        <v>20</v>
      </c>
      <c r="AG2830" t="n">
        <v>43</v>
      </c>
      <c r="AH2830" t="n">
        <v>5</v>
      </c>
      <c r="AI2830" t="n">
        <v>18</v>
      </c>
      <c r="AJ2830" t="n">
        <v>3</v>
      </c>
      <c r="AK2830" t="n">
        <v>9</v>
      </c>
      <c r="AL2830" t="n">
        <v>12</v>
      </c>
      <c r="AM2830" t="n">
        <v>23</v>
      </c>
      <c r="AN2830" t="n">
        <v>4</v>
      </c>
      <c r="AO2830" t="n">
        <v>5</v>
      </c>
      <c r="AP2830" t="n">
        <v>0</v>
      </c>
      <c r="AQ2830" t="n">
        <v>0</v>
      </c>
      <c r="AR2830" t="inlineStr">
        <is>
          <t>No</t>
        </is>
      </c>
      <c r="AS2830" t="inlineStr">
        <is>
          <t>No</t>
        </is>
      </c>
      <c r="AU2830">
        <f>HYPERLINK("https://creighton-primo.hosted.exlibrisgroup.com/primo-explore/search?tab=default_tab&amp;search_scope=EVERYTHING&amp;vid=01CRU&amp;lang=en_US&amp;offset=0&amp;query=any,contains,991000682539702656","Catalog Record")</f>
        <v/>
      </c>
      <c r="AV2830">
        <f>HYPERLINK("http://www.worldcat.org/oclc/122378","WorldCat Record")</f>
        <v/>
      </c>
      <c r="AW2830" t="inlineStr">
        <is>
          <t>1244859:eng</t>
        </is>
      </c>
      <c r="AX2830" t="inlineStr">
        <is>
          <t>122378</t>
        </is>
      </c>
      <c r="AY2830" t="inlineStr">
        <is>
          <t>991000682539702656</t>
        </is>
      </c>
      <c r="AZ2830" t="inlineStr">
        <is>
          <t>991000682539702656</t>
        </is>
      </c>
      <c r="BA2830" t="inlineStr">
        <is>
          <t>2260893260002656</t>
        </is>
      </c>
      <c r="BB2830" t="inlineStr">
        <is>
          <t>BOOK</t>
        </is>
      </c>
      <c r="BD2830" t="inlineStr">
        <is>
          <t>9780389021544</t>
        </is>
      </c>
      <c r="BE2830" t="inlineStr">
        <is>
          <t>32285001630580</t>
        </is>
      </c>
      <c r="BF2830" t="inlineStr">
        <is>
          <t>893878266</t>
        </is>
      </c>
    </row>
    <row r="2831">
      <c r="A2831" t="inlineStr">
        <is>
          <t>No</t>
        </is>
      </c>
      <c r="B2831" t="inlineStr">
        <is>
          <t>CURAL</t>
        </is>
      </c>
      <c r="C2831" t="inlineStr">
        <is>
          <t>SHELVES</t>
        </is>
      </c>
      <c r="D2831" t="inlineStr">
        <is>
          <t>PR6003.E282 Z6658</t>
        </is>
      </c>
      <c r="E2831" t="inlineStr">
        <is>
          <t>0                      PR 6003000E  282                Z  6658</t>
        </is>
      </c>
      <c r="F2831" t="inlineStr">
        <is>
          <t>Beckett and Joyce : friendship and fiction / Barbara Reich Gluck.</t>
        </is>
      </c>
      <c r="H2831" t="inlineStr">
        <is>
          <t>No</t>
        </is>
      </c>
      <c r="I2831" t="inlineStr">
        <is>
          <t>1</t>
        </is>
      </c>
      <c r="J2831" t="inlineStr">
        <is>
          <t>No</t>
        </is>
      </c>
      <c r="K2831" t="inlineStr">
        <is>
          <t>No</t>
        </is>
      </c>
      <c r="L2831" t="inlineStr">
        <is>
          <t>0</t>
        </is>
      </c>
      <c r="M2831" t="inlineStr">
        <is>
          <t>Gluck, Barbara Reich.</t>
        </is>
      </c>
      <c r="N2831" t="inlineStr">
        <is>
          <t>Lewisburg [Pa.] : Bucknell University Press, c1979.</t>
        </is>
      </c>
      <c r="O2831" t="inlineStr">
        <is>
          <t>1978</t>
        </is>
      </c>
      <c r="Q2831" t="inlineStr">
        <is>
          <t>eng</t>
        </is>
      </c>
      <c r="R2831" t="inlineStr">
        <is>
          <t>pau</t>
        </is>
      </c>
      <c r="T2831" t="inlineStr">
        <is>
          <t xml:space="preserve">PR </t>
        </is>
      </c>
      <c r="U2831" t="n">
        <v>7</v>
      </c>
      <c r="V2831" t="n">
        <v>7</v>
      </c>
      <c r="W2831" t="inlineStr">
        <is>
          <t>2005-04-26</t>
        </is>
      </c>
      <c r="X2831" t="inlineStr">
        <is>
          <t>2005-04-26</t>
        </is>
      </c>
      <c r="Y2831" t="inlineStr">
        <is>
          <t>1992-06-24</t>
        </is>
      </c>
      <c r="Z2831" t="inlineStr">
        <is>
          <t>1992-06-24</t>
        </is>
      </c>
      <c r="AA2831" t="n">
        <v>496</v>
      </c>
      <c r="AB2831" t="n">
        <v>385</v>
      </c>
      <c r="AC2831" t="n">
        <v>399</v>
      </c>
      <c r="AD2831" t="n">
        <v>4</v>
      </c>
      <c r="AE2831" t="n">
        <v>5</v>
      </c>
      <c r="AF2831" t="n">
        <v>25</v>
      </c>
      <c r="AG2831" t="n">
        <v>27</v>
      </c>
      <c r="AH2831" t="n">
        <v>11</v>
      </c>
      <c r="AI2831" t="n">
        <v>11</v>
      </c>
      <c r="AJ2831" t="n">
        <v>6</v>
      </c>
      <c r="AK2831" t="n">
        <v>7</v>
      </c>
      <c r="AL2831" t="n">
        <v>10</v>
      </c>
      <c r="AM2831" t="n">
        <v>11</v>
      </c>
      <c r="AN2831" t="n">
        <v>3</v>
      </c>
      <c r="AO2831" t="n">
        <v>4</v>
      </c>
      <c r="AP2831" t="n">
        <v>0</v>
      </c>
      <c r="AQ2831" t="n">
        <v>0</v>
      </c>
      <c r="AR2831" t="inlineStr">
        <is>
          <t>No</t>
        </is>
      </c>
      <c r="AS2831" t="inlineStr">
        <is>
          <t>Yes</t>
        </is>
      </c>
      <c r="AT2831">
        <f>HYPERLINK("http://catalog.hathitrust.org/Record/000214747","HathiTrust Record")</f>
        <v/>
      </c>
      <c r="AU2831">
        <f>HYPERLINK("https://creighton-primo.hosted.exlibrisgroup.com/primo-explore/search?tab=default_tab&amp;search_scope=EVERYTHING&amp;vid=01CRU&amp;lang=en_US&amp;offset=0&amp;query=any,contains,991004596119702656","Catalog Record")</f>
        <v/>
      </c>
      <c r="AV2831">
        <f>HYPERLINK("http://www.worldcat.org/oclc/4137413","WorldCat Record")</f>
        <v/>
      </c>
      <c r="AW2831" t="inlineStr">
        <is>
          <t>197723298:eng</t>
        </is>
      </c>
      <c r="AX2831" t="inlineStr">
        <is>
          <t>4137413</t>
        </is>
      </c>
      <c r="AY2831" t="inlineStr">
        <is>
          <t>991004596119702656</t>
        </is>
      </c>
      <c r="AZ2831" t="inlineStr">
        <is>
          <t>991004596119702656</t>
        </is>
      </c>
      <c r="BA2831" t="inlineStr">
        <is>
          <t>2257540140002656</t>
        </is>
      </c>
      <c r="BB2831" t="inlineStr">
        <is>
          <t>BOOK</t>
        </is>
      </c>
      <c r="BD2831" t="inlineStr">
        <is>
          <t>9780838720608</t>
        </is>
      </c>
      <c r="BE2831" t="inlineStr">
        <is>
          <t>32285001134765</t>
        </is>
      </c>
      <c r="BF2831" t="inlineStr">
        <is>
          <t>893513437</t>
        </is>
      </c>
    </row>
    <row r="2832">
      <c r="A2832" t="inlineStr">
        <is>
          <t>No</t>
        </is>
      </c>
      <c r="B2832" t="inlineStr">
        <is>
          <t>CURAL</t>
        </is>
      </c>
      <c r="C2832" t="inlineStr">
        <is>
          <t>SHELVES</t>
        </is>
      </c>
      <c r="D2832" t="inlineStr">
        <is>
          <t>PR6003.E282 Z668</t>
        </is>
      </c>
      <c r="E2832" t="inlineStr">
        <is>
          <t>0                      PR 6003000E  282                Z  668</t>
        </is>
      </c>
      <c r="F2832" t="inlineStr">
        <is>
          <t>Samuel Beckett; poet &amp; critic, by Lawrence E. Harvey.</t>
        </is>
      </c>
      <c r="H2832" t="inlineStr">
        <is>
          <t>No</t>
        </is>
      </c>
      <c r="I2832" t="inlineStr">
        <is>
          <t>1</t>
        </is>
      </c>
      <c r="J2832" t="inlineStr">
        <is>
          <t>No</t>
        </is>
      </c>
      <c r="K2832" t="inlineStr">
        <is>
          <t>No</t>
        </is>
      </c>
      <c r="L2832" t="inlineStr">
        <is>
          <t>0</t>
        </is>
      </c>
      <c r="M2832" t="inlineStr">
        <is>
          <t>Harvey, Lawrence E., 1925-</t>
        </is>
      </c>
      <c r="N2832" t="inlineStr">
        <is>
          <t>Princeton, N.J., Princeton University Press, 1970.</t>
        </is>
      </c>
      <c r="O2832" t="inlineStr">
        <is>
          <t>1970</t>
        </is>
      </c>
      <c r="Q2832" t="inlineStr">
        <is>
          <t>eng</t>
        </is>
      </c>
      <c r="R2832" t="inlineStr">
        <is>
          <t>nju</t>
        </is>
      </c>
      <c r="T2832" t="inlineStr">
        <is>
          <t xml:space="preserve">PR </t>
        </is>
      </c>
      <c r="U2832" t="n">
        <v>5</v>
      </c>
      <c r="V2832" t="n">
        <v>5</v>
      </c>
      <c r="W2832" t="inlineStr">
        <is>
          <t>2006-05-03</t>
        </is>
      </c>
      <c r="X2832" t="inlineStr">
        <is>
          <t>2006-05-03</t>
        </is>
      </c>
      <c r="Y2832" t="inlineStr">
        <is>
          <t>1997-07-23</t>
        </is>
      </c>
      <c r="Z2832" t="inlineStr">
        <is>
          <t>1997-07-23</t>
        </is>
      </c>
      <c r="AA2832" t="n">
        <v>889</v>
      </c>
      <c r="AB2832" t="n">
        <v>750</v>
      </c>
      <c r="AC2832" t="n">
        <v>1016</v>
      </c>
      <c r="AD2832" t="n">
        <v>5</v>
      </c>
      <c r="AE2832" t="n">
        <v>6</v>
      </c>
      <c r="AF2832" t="n">
        <v>36</v>
      </c>
      <c r="AG2832" t="n">
        <v>45</v>
      </c>
      <c r="AH2832" t="n">
        <v>13</v>
      </c>
      <c r="AI2832" t="n">
        <v>18</v>
      </c>
      <c r="AJ2832" t="n">
        <v>8</v>
      </c>
      <c r="AK2832" t="n">
        <v>11</v>
      </c>
      <c r="AL2832" t="n">
        <v>18</v>
      </c>
      <c r="AM2832" t="n">
        <v>21</v>
      </c>
      <c r="AN2832" t="n">
        <v>4</v>
      </c>
      <c r="AO2832" t="n">
        <v>5</v>
      </c>
      <c r="AP2832" t="n">
        <v>0</v>
      </c>
      <c r="AQ2832" t="n">
        <v>0</v>
      </c>
      <c r="AR2832" t="inlineStr">
        <is>
          <t>No</t>
        </is>
      </c>
      <c r="AS2832" t="inlineStr">
        <is>
          <t>Yes</t>
        </is>
      </c>
      <c r="AT2832">
        <f>HYPERLINK("http://catalog.hathitrust.org/Record/001204038","HathiTrust Record")</f>
        <v/>
      </c>
      <c r="AU2832">
        <f>HYPERLINK("https://creighton-primo.hosted.exlibrisgroup.com/primo-explore/search?tab=default_tab&amp;search_scope=EVERYTHING&amp;vid=01CRU&amp;lang=en_US&amp;offset=0&amp;query=any,contains,991000565049702656","Catalog Record")</f>
        <v/>
      </c>
      <c r="AV2832">
        <f>HYPERLINK("http://www.worldcat.org/oclc/93970","WorldCat Record")</f>
        <v/>
      </c>
      <c r="AW2832" t="inlineStr">
        <is>
          <t>1312050:eng</t>
        </is>
      </c>
      <c r="AX2832" t="inlineStr">
        <is>
          <t>93970</t>
        </is>
      </c>
      <c r="AY2832" t="inlineStr">
        <is>
          <t>991000565049702656</t>
        </is>
      </c>
      <c r="AZ2832" t="inlineStr">
        <is>
          <t>991000565049702656</t>
        </is>
      </c>
      <c r="BA2832" t="inlineStr">
        <is>
          <t>2265591400002656</t>
        </is>
      </c>
      <c r="BB2832" t="inlineStr">
        <is>
          <t>BOOK</t>
        </is>
      </c>
      <c r="BD2832" t="inlineStr">
        <is>
          <t>9780691061764</t>
        </is>
      </c>
      <c r="BE2832" t="inlineStr">
        <is>
          <t>32285002953627</t>
        </is>
      </c>
      <c r="BF2832" t="inlineStr">
        <is>
          <t>893339665</t>
        </is>
      </c>
    </row>
    <row r="2833">
      <c r="A2833" t="inlineStr">
        <is>
          <t>No</t>
        </is>
      </c>
      <c r="B2833" t="inlineStr">
        <is>
          <t>CURAL</t>
        </is>
      </c>
      <c r="C2833" t="inlineStr">
        <is>
          <t>SHELVES</t>
        </is>
      </c>
      <c r="D2833" t="inlineStr">
        <is>
          <t>PR6003.E282 Z677 1971</t>
        </is>
      </c>
      <c r="E2833" t="inlineStr">
        <is>
          <t>0                      PR 6003000E  282                Z  677         1971</t>
        </is>
      </c>
      <c r="F2833" t="inlineStr">
        <is>
          <t>The shape of chaos; an interpretation of the art of Samuel Beckett [by] David H. Hesla.</t>
        </is>
      </c>
      <c r="H2833" t="inlineStr">
        <is>
          <t>No</t>
        </is>
      </c>
      <c r="I2833" t="inlineStr">
        <is>
          <t>1</t>
        </is>
      </c>
      <c r="J2833" t="inlineStr">
        <is>
          <t>No</t>
        </is>
      </c>
      <c r="K2833" t="inlineStr">
        <is>
          <t>No</t>
        </is>
      </c>
      <c r="L2833" t="inlineStr">
        <is>
          <t>0</t>
        </is>
      </c>
      <c r="M2833" t="inlineStr">
        <is>
          <t>Hesla, David H., 1929-</t>
        </is>
      </c>
      <c r="N2833" t="inlineStr">
        <is>
          <t>Minneapolis, University of Minnesota Press [1971]</t>
        </is>
      </c>
      <c r="O2833" t="inlineStr">
        <is>
          <t>1971</t>
        </is>
      </c>
      <c r="Q2833" t="inlineStr">
        <is>
          <t>eng</t>
        </is>
      </c>
      <c r="R2833" t="inlineStr">
        <is>
          <t>mnu</t>
        </is>
      </c>
      <c r="T2833" t="inlineStr">
        <is>
          <t xml:space="preserve">PR </t>
        </is>
      </c>
      <c r="U2833" t="n">
        <v>2</v>
      </c>
      <c r="V2833" t="n">
        <v>2</v>
      </c>
      <c r="W2833" t="inlineStr">
        <is>
          <t>2007-02-25</t>
        </is>
      </c>
      <c r="X2833" t="inlineStr">
        <is>
          <t>2007-02-25</t>
        </is>
      </c>
      <c r="Y2833" t="inlineStr">
        <is>
          <t>1997-07-23</t>
        </is>
      </c>
      <c r="Z2833" t="inlineStr">
        <is>
          <t>1997-07-23</t>
        </is>
      </c>
      <c r="AA2833" t="n">
        <v>936</v>
      </c>
      <c r="AB2833" t="n">
        <v>754</v>
      </c>
      <c r="AC2833" t="n">
        <v>755</v>
      </c>
      <c r="AD2833" t="n">
        <v>8</v>
      </c>
      <c r="AE2833" t="n">
        <v>8</v>
      </c>
      <c r="AF2833" t="n">
        <v>38</v>
      </c>
      <c r="AG2833" t="n">
        <v>38</v>
      </c>
      <c r="AH2833" t="n">
        <v>15</v>
      </c>
      <c r="AI2833" t="n">
        <v>15</v>
      </c>
      <c r="AJ2833" t="n">
        <v>9</v>
      </c>
      <c r="AK2833" t="n">
        <v>9</v>
      </c>
      <c r="AL2833" t="n">
        <v>17</v>
      </c>
      <c r="AM2833" t="n">
        <v>17</v>
      </c>
      <c r="AN2833" t="n">
        <v>7</v>
      </c>
      <c r="AO2833" t="n">
        <v>7</v>
      </c>
      <c r="AP2833" t="n">
        <v>0</v>
      </c>
      <c r="AQ2833" t="n">
        <v>0</v>
      </c>
      <c r="AR2833" t="inlineStr">
        <is>
          <t>No</t>
        </is>
      </c>
      <c r="AS2833" t="inlineStr">
        <is>
          <t>No</t>
        </is>
      </c>
      <c r="AU2833">
        <f>HYPERLINK("https://creighton-primo.hosted.exlibrisgroup.com/primo-explore/search?tab=default_tab&amp;search_scope=EVERYTHING&amp;vid=01CRU&amp;lang=en_US&amp;offset=0&amp;query=any,contains,991001057089702656","Catalog Record")</f>
        <v/>
      </c>
      <c r="AV2833">
        <f>HYPERLINK("http://www.worldcat.org/oclc/177496","WorldCat Record")</f>
        <v/>
      </c>
      <c r="AW2833" t="inlineStr">
        <is>
          <t>1314222:eng</t>
        </is>
      </c>
      <c r="AX2833" t="inlineStr">
        <is>
          <t>177496</t>
        </is>
      </c>
      <c r="AY2833" t="inlineStr">
        <is>
          <t>991001057089702656</t>
        </is>
      </c>
      <c r="AZ2833" t="inlineStr">
        <is>
          <t>991001057089702656</t>
        </is>
      </c>
      <c r="BA2833" t="inlineStr">
        <is>
          <t>2268224260002656</t>
        </is>
      </c>
      <c r="BB2833" t="inlineStr">
        <is>
          <t>BOOK</t>
        </is>
      </c>
      <c r="BD2833" t="inlineStr">
        <is>
          <t>9780816606252</t>
        </is>
      </c>
      <c r="BE2833" t="inlineStr">
        <is>
          <t>32285002953635</t>
        </is>
      </c>
      <c r="BF2833" t="inlineStr">
        <is>
          <t>893803297</t>
        </is>
      </c>
    </row>
    <row r="2834">
      <c r="A2834" t="inlineStr">
        <is>
          <t>No</t>
        </is>
      </c>
      <c r="B2834" t="inlineStr">
        <is>
          <t>CURAL</t>
        </is>
      </c>
      <c r="C2834" t="inlineStr">
        <is>
          <t>SHELVES</t>
        </is>
      </c>
      <c r="D2834" t="inlineStr">
        <is>
          <t>PR6003.E282 Z684 1984</t>
        </is>
      </c>
      <c r="E2834" t="inlineStr">
        <is>
          <t>0                      PR 6003000E  282                Z  684         1984</t>
        </is>
      </c>
      <c r="F2834" t="inlineStr">
        <is>
          <t>Beckett's theaters : interpretations for performance / Sidney Homan.</t>
        </is>
      </c>
      <c r="H2834" t="inlineStr">
        <is>
          <t>No</t>
        </is>
      </c>
      <c r="I2834" t="inlineStr">
        <is>
          <t>1</t>
        </is>
      </c>
      <c r="J2834" t="inlineStr">
        <is>
          <t>No</t>
        </is>
      </c>
      <c r="K2834" t="inlineStr">
        <is>
          <t>No</t>
        </is>
      </c>
      <c r="L2834" t="inlineStr">
        <is>
          <t>0</t>
        </is>
      </c>
      <c r="M2834" t="inlineStr">
        <is>
          <t>Homan, Sidney, 1938-</t>
        </is>
      </c>
      <c r="N2834" t="inlineStr">
        <is>
          <t>Lewisburg [Pa.] : Bucknell University Press ; London : Associated University Presses, c1984.</t>
        </is>
      </c>
      <c r="O2834" t="inlineStr">
        <is>
          <t>1984</t>
        </is>
      </c>
      <c r="Q2834" t="inlineStr">
        <is>
          <t>eng</t>
        </is>
      </c>
      <c r="R2834" t="inlineStr">
        <is>
          <t>pau</t>
        </is>
      </c>
      <c r="T2834" t="inlineStr">
        <is>
          <t xml:space="preserve">PR </t>
        </is>
      </c>
      <c r="U2834" t="n">
        <v>13</v>
      </c>
      <c r="V2834" t="n">
        <v>13</v>
      </c>
      <c r="W2834" t="inlineStr">
        <is>
          <t>2007-10-24</t>
        </is>
      </c>
      <c r="X2834" t="inlineStr">
        <is>
          <t>2007-10-24</t>
        </is>
      </c>
      <c r="Y2834" t="inlineStr">
        <is>
          <t>1990-05-17</t>
        </is>
      </c>
      <c r="Z2834" t="inlineStr">
        <is>
          <t>1990-05-17</t>
        </is>
      </c>
      <c r="AA2834" t="n">
        <v>548</v>
      </c>
      <c r="AB2834" t="n">
        <v>432</v>
      </c>
      <c r="AC2834" t="n">
        <v>434</v>
      </c>
      <c r="AD2834" t="n">
        <v>2</v>
      </c>
      <c r="AE2834" t="n">
        <v>2</v>
      </c>
      <c r="AF2834" t="n">
        <v>18</v>
      </c>
      <c r="AG2834" t="n">
        <v>18</v>
      </c>
      <c r="AH2834" t="n">
        <v>7</v>
      </c>
      <c r="AI2834" t="n">
        <v>7</v>
      </c>
      <c r="AJ2834" t="n">
        <v>7</v>
      </c>
      <c r="AK2834" t="n">
        <v>7</v>
      </c>
      <c r="AL2834" t="n">
        <v>10</v>
      </c>
      <c r="AM2834" t="n">
        <v>10</v>
      </c>
      <c r="AN2834" t="n">
        <v>1</v>
      </c>
      <c r="AO2834" t="n">
        <v>1</v>
      </c>
      <c r="AP2834" t="n">
        <v>0</v>
      </c>
      <c r="AQ2834" t="n">
        <v>0</v>
      </c>
      <c r="AR2834" t="inlineStr">
        <is>
          <t>No</t>
        </is>
      </c>
      <c r="AS2834" t="inlineStr">
        <is>
          <t>Yes</t>
        </is>
      </c>
      <c r="AT2834">
        <f>HYPERLINK("http://catalog.hathitrust.org/Record/000291029","HathiTrust Record")</f>
        <v/>
      </c>
      <c r="AU2834">
        <f>HYPERLINK("https://creighton-primo.hosted.exlibrisgroup.com/primo-explore/search?tab=default_tab&amp;search_scope=EVERYTHING&amp;vid=01CRU&amp;lang=en_US&amp;offset=0&amp;query=any,contains,991000336229702656","Catalog Record")</f>
        <v/>
      </c>
      <c r="AV2834">
        <f>HYPERLINK("http://www.worldcat.org/oclc/10229943","WorldCat Record")</f>
        <v/>
      </c>
      <c r="AW2834" t="inlineStr">
        <is>
          <t>141243875:eng</t>
        </is>
      </c>
      <c r="AX2834" t="inlineStr">
        <is>
          <t>10229943</t>
        </is>
      </c>
      <c r="AY2834" t="inlineStr">
        <is>
          <t>991000336229702656</t>
        </is>
      </c>
      <c r="AZ2834" t="inlineStr">
        <is>
          <t>991000336229702656</t>
        </is>
      </c>
      <c r="BA2834" t="inlineStr">
        <is>
          <t>2262245590002656</t>
        </is>
      </c>
      <c r="BB2834" t="inlineStr">
        <is>
          <t>BOOK</t>
        </is>
      </c>
      <c r="BD2834" t="inlineStr">
        <is>
          <t>9780838750643</t>
        </is>
      </c>
      <c r="BE2834" t="inlineStr">
        <is>
          <t>32285000152982</t>
        </is>
      </c>
      <c r="BF2834" t="inlineStr">
        <is>
          <t>893508690</t>
        </is>
      </c>
    </row>
    <row r="2835">
      <c r="A2835" t="inlineStr">
        <is>
          <t>No</t>
        </is>
      </c>
      <c r="B2835" t="inlineStr">
        <is>
          <t>CURAL</t>
        </is>
      </c>
      <c r="C2835" t="inlineStr">
        <is>
          <t>SHELVES</t>
        </is>
      </c>
      <c r="D2835" t="inlineStr">
        <is>
          <t>PR6003.E282 Z75 1990</t>
        </is>
      </c>
      <c r="E2835" t="inlineStr">
        <is>
          <t>0                      PR 6003000E  282                Z  75          1990</t>
        </is>
      </c>
      <c r="F2835" t="inlineStr">
        <is>
          <t>Reconstructing Beckett : language for being in Samuel Beckett's fiction / P.J. Murphy.</t>
        </is>
      </c>
      <c r="H2835" t="inlineStr">
        <is>
          <t>No</t>
        </is>
      </c>
      <c r="I2835" t="inlineStr">
        <is>
          <t>1</t>
        </is>
      </c>
      <c r="J2835" t="inlineStr">
        <is>
          <t>No</t>
        </is>
      </c>
      <c r="K2835" t="inlineStr">
        <is>
          <t>No</t>
        </is>
      </c>
      <c r="L2835" t="inlineStr">
        <is>
          <t>0</t>
        </is>
      </c>
      <c r="M2835" t="inlineStr">
        <is>
          <t>Murphy, P. J. (Peter John), 1946-</t>
        </is>
      </c>
      <c r="N2835" t="inlineStr">
        <is>
          <t>Toronto : University of Toronto Press, 1990.</t>
        </is>
      </c>
      <c r="O2835" t="inlineStr">
        <is>
          <t>1990</t>
        </is>
      </c>
      <c r="Q2835" t="inlineStr">
        <is>
          <t>eng</t>
        </is>
      </c>
      <c r="R2835" t="inlineStr">
        <is>
          <t>onc</t>
        </is>
      </c>
      <c r="S2835" t="inlineStr">
        <is>
          <t>University of Toronto romance series, 0082-5336 ; 62</t>
        </is>
      </c>
      <c r="T2835" t="inlineStr">
        <is>
          <t xml:space="preserve">PR </t>
        </is>
      </c>
      <c r="U2835" t="n">
        <v>3</v>
      </c>
      <c r="V2835" t="n">
        <v>3</v>
      </c>
      <c r="W2835" t="inlineStr">
        <is>
          <t>2004-04-25</t>
        </is>
      </c>
      <c r="X2835" t="inlineStr">
        <is>
          <t>2004-04-25</t>
        </is>
      </c>
      <c r="Y2835" t="inlineStr">
        <is>
          <t>1991-04-29</t>
        </is>
      </c>
      <c r="Z2835" t="inlineStr">
        <is>
          <t>1991-04-29</t>
        </is>
      </c>
      <c r="AA2835" t="n">
        <v>287</v>
      </c>
      <c r="AB2835" t="n">
        <v>197</v>
      </c>
      <c r="AC2835" t="n">
        <v>199</v>
      </c>
      <c r="AD2835" t="n">
        <v>2</v>
      </c>
      <c r="AE2835" t="n">
        <v>2</v>
      </c>
      <c r="AF2835" t="n">
        <v>10</v>
      </c>
      <c r="AG2835" t="n">
        <v>10</v>
      </c>
      <c r="AH2835" t="n">
        <v>1</v>
      </c>
      <c r="AI2835" t="n">
        <v>1</v>
      </c>
      <c r="AJ2835" t="n">
        <v>4</v>
      </c>
      <c r="AK2835" t="n">
        <v>4</v>
      </c>
      <c r="AL2835" t="n">
        <v>7</v>
      </c>
      <c r="AM2835" t="n">
        <v>7</v>
      </c>
      <c r="AN2835" t="n">
        <v>1</v>
      </c>
      <c r="AO2835" t="n">
        <v>1</v>
      </c>
      <c r="AP2835" t="n">
        <v>0</v>
      </c>
      <c r="AQ2835" t="n">
        <v>0</v>
      </c>
      <c r="AR2835" t="inlineStr">
        <is>
          <t>No</t>
        </is>
      </c>
      <c r="AS2835" t="inlineStr">
        <is>
          <t>Yes</t>
        </is>
      </c>
      <c r="AT2835">
        <f>HYPERLINK("http://catalog.hathitrust.org/Record/002475392","HathiTrust Record")</f>
        <v/>
      </c>
      <c r="AU2835">
        <f>HYPERLINK("https://creighton-primo.hosted.exlibrisgroup.com/primo-explore/search?tab=default_tab&amp;search_scope=EVERYTHING&amp;vid=01CRU&amp;lang=en_US&amp;offset=0&amp;query=any,contains,991001761409702656","Catalog Record")</f>
        <v/>
      </c>
      <c r="AV2835">
        <f>HYPERLINK("http://www.worldcat.org/oclc/22275284","WorldCat Record")</f>
        <v/>
      </c>
      <c r="AW2835" t="inlineStr">
        <is>
          <t>219250102:eng</t>
        </is>
      </c>
      <c r="AX2835" t="inlineStr">
        <is>
          <t>22275284</t>
        </is>
      </c>
      <c r="AY2835" t="inlineStr">
        <is>
          <t>991001761409702656</t>
        </is>
      </c>
      <c r="AZ2835" t="inlineStr">
        <is>
          <t>991001761409702656</t>
        </is>
      </c>
      <c r="BA2835" t="inlineStr">
        <is>
          <t>2262392500002656</t>
        </is>
      </c>
      <c r="BB2835" t="inlineStr">
        <is>
          <t>BOOK</t>
        </is>
      </c>
      <c r="BD2835" t="inlineStr">
        <is>
          <t>9780802058683</t>
        </is>
      </c>
      <c r="BE2835" t="inlineStr">
        <is>
          <t>32285000569300</t>
        </is>
      </c>
      <c r="BF2835" t="inlineStr">
        <is>
          <t>893690886</t>
        </is>
      </c>
    </row>
    <row r="2836">
      <c r="A2836" t="inlineStr">
        <is>
          <t>No</t>
        </is>
      </c>
      <c r="B2836" t="inlineStr">
        <is>
          <t>CURAL</t>
        </is>
      </c>
      <c r="C2836" t="inlineStr">
        <is>
          <t>SHELVES</t>
        </is>
      </c>
      <c r="D2836" t="inlineStr">
        <is>
          <t>PR6003.E282 Z7538 1989</t>
        </is>
      </c>
      <c r="E2836" t="inlineStr">
        <is>
          <t>0                      PR 6003000E  282                Z  7538        1989</t>
        </is>
      </c>
      <c r="F2836" t="inlineStr">
        <is>
          <t>Beckett in performance / Jonathan Kalb.</t>
        </is>
      </c>
      <c r="H2836" t="inlineStr">
        <is>
          <t>No</t>
        </is>
      </c>
      <c r="I2836" t="inlineStr">
        <is>
          <t>1</t>
        </is>
      </c>
      <c r="J2836" t="inlineStr">
        <is>
          <t>No</t>
        </is>
      </c>
      <c r="K2836" t="inlineStr">
        <is>
          <t>No</t>
        </is>
      </c>
      <c r="L2836" t="inlineStr">
        <is>
          <t>0</t>
        </is>
      </c>
      <c r="M2836" t="inlineStr">
        <is>
          <t>Kalb, Jonathan.</t>
        </is>
      </c>
      <c r="N2836" t="inlineStr">
        <is>
          <t>Cambridge [England] ; New York : Cambridge University Press, 1989.</t>
        </is>
      </c>
      <c r="O2836" t="inlineStr">
        <is>
          <t>1989</t>
        </is>
      </c>
      <c r="Q2836" t="inlineStr">
        <is>
          <t>eng</t>
        </is>
      </c>
      <c r="R2836" t="inlineStr">
        <is>
          <t>enk</t>
        </is>
      </c>
      <c r="T2836" t="inlineStr">
        <is>
          <t xml:space="preserve">PR </t>
        </is>
      </c>
      <c r="U2836" t="n">
        <v>5</v>
      </c>
      <c r="V2836" t="n">
        <v>5</v>
      </c>
      <c r="W2836" t="inlineStr">
        <is>
          <t>2004-12-12</t>
        </is>
      </c>
      <c r="X2836" t="inlineStr">
        <is>
          <t>2004-12-12</t>
        </is>
      </c>
      <c r="Y2836" t="inlineStr">
        <is>
          <t>1990-01-30</t>
        </is>
      </c>
      <c r="Z2836" t="inlineStr">
        <is>
          <t>1990-01-30</t>
        </is>
      </c>
      <c r="AA2836" t="n">
        <v>684</v>
      </c>
      <c r="AB2836" t="n">
        <v>487</v>
      </c>
      <c r="AC2836" t="n">
        <v>521</v>
      </c>
      <c r="AD2836" t="n">
        <v>4</v>
      </c>
      <c r="AE2836" t="n">
        <v>4</v>
      </c>
      <c r="AF2836" t="n">
        <v>25</v>
      </c>
      <c r="AG2836" t="n">
        <v>28</v>
      </c>
      <c r="AH2836" t="n">
        <v>11</v>
      </c>
      <c r="AI2836" t="n">
        <v>12</v>
      </c>
      <c r="AJ2836" t="n">
        <v>6</v>
      </c>
      <c r="AK2836" t="n">
        <v>8</v>
      </c>
      <c r="AL2836" t="n">
        <v>10</v>
      </c>
      <c r="AM2836" t="n">
        <v>12</v>
      </c>
      <c r="AN2836" t="n">
        <v>3</v>
      </c>
      <c r="AO2836" t="n">
        <v>3</v>
      </c>
      <c r="AP2836" t="n">
        <v>0</v>
      </c>
      <c r="AQ2836" t="n">
        <v>0</v>
      </c>
      <c r="AR2836" t="inlineStr">
        <is>
          <t>No</t>
        </is>
      </c>
      <c r="AS2836" t="inlineStr">
        <is>
          <t>No</t>
        </is>
      </c>
      <c r="AU2836">
        <f>HYPERLINK("https://creighton-primo.hosted.exlibrisgroup.com/primo-explore/search?tab=default_tab&amp;search_scope=EVERYTHING&amp;vid=01CRU&amp;lang=en_US&amp;offset=0&amp;query=any,contains,991001397839702656","Catalog Record")</f>
        <v/>
      </c>
      <c r="AV2836">
        <f>HYPERLINK("http://www.worldcat.org/oclc/18813340","WorldCat Record")</f>
        <v/>
      </c>
      <c r="AW2836" t="inlineStr">
        <is>
          <t>13100503:eng</t>
        </is>
      </c>
      <c r="AX2836" t="inlineStr">
        <is>
          <t>18813340</t>
        </is>
      </c>
      <c r="AY2836" t="inlineStr">
        <is>
          <t>991001397839702656</t>
        </is>
      </c>
      <c r="AZ2836" t="inlineStr">
        <is>
          <t>991001397839702656</t>
        </is>
      </c>
      <c r="BA2836" t="inlineStr">
        <is>
          <t>2264646250002656</t>
        </is>
      </c>
      <c r="BB2836" t="inlineStr">
        <is>
          <t>BOOK</t>
        </is>
      </c>
      <c r="BD2836" t="inlineStr">
        <is>
          <t>9780521365499</t>
        </is>
      </c>
      <c r="BE2836" t="inlineStr">
        <is>
          <t>32285000035518</t>
        </is>
      </c>
      <c r="BF2836" t="inlineStr">
        <is>
          <t>893690593</t>
        </is>
      </c>
    </row>
    <row r="2837">
      <c r="A2837" t="inlineStr">
        <is>
          <t>No</t>
        </is>
      </c>
      <c r="B2837" t="inlineStr">
        <is>
          <t>CURAL</t>
        </is>
      </c>
      <c r="C2837" t="inlineStr">
        <is>
          <t>SHELVES</t>
        </is>
      </c>
      <c r="D2837" t="inlineStr">
        <is>
          <t>PR6003.E282 Z754 1989</t>
        </is>
      </c>
      <c r="E2837" t="inlineStr">
        <is>
          <t>0                      PR 6003000E  282                Z  754         1989</t>
        </is>
      </c>
      <c r="F2837" t="inlineStr">
        <is>
          <t>Samuel Beckett / Andrew K. Kennedy.</t>
        </is>
      </c>
      <c r="H2837" t="inlineStr">
        <is>
          <t>No</t>
        </is>
      </c>
      <c r="I2837" t="inlineStr">
        <is>
          <t>1</t>
        </is>
      </c>
      <c r="J2837" t="inlineStr">
        <is>
          <t>No</t>
        </is>
      </c>
      <c r="K2837" t="inlineStr">
        <is>
          <t>No</t>
        </is>
      </c>
      <c r="L2837" t="inlineStr">
        <is>
          <t>0</t>
        </is>
      </c>
      <c r="M2837" t="inlineStr">
        <is>
          <t>Kennedy, Andrew K.</t>
        </is>
      </c>
      <c r="N2837" t="inlineStr">
        <is>
          <t>Cambridge [England] ; New York : Cambridge University Press, 1989.</t>
        </is>
      </c>
      <c r="O2837" t="inlineStr">
        <is>
          <t>1989</t>
        </is>
      </c>
      <c r="Q2837" t="inlineStr">
        <is>
          <t>eng</t>
        </is>
      </c>
      <c r="R2837" t="inlineStr">
        <is>
          <t>enk</t>
        </is>
      </c>
      <c r="S2837" t="inlineStr">
        <is>
          <t>British and Irish authors</t>
        </is>
      </c>
      <c r="T2837" t="inlineStr">
        <is>
          <t xml:space="preserve">PR </t>
        </is>
      </c>
      <c r="U2837" t="n">
        <v>20</v>
      </c>
      <c r="V2837" t="n">
        <v>20</v>
      </c>
      <c r="W2837" t="inlineStr">
        <is>
          <t>2008-03-14</t>
        </is>
      </c>
      <c r="X2837" t="inlineStr">
        <is>
          <t>2008-03-14</t>
        </is>
      </c>
      <c r="Y2837" t="inlineStr">
        <is>
          <t>1990-01-04</t>
        </is>
      </c>
      <c r="Z2837" t="inlineStr">
        <is>
          <t>1990-01-04</t>
        </is>
      </c>
      <c r="AA2837" t="n">
        <v>823</v>
      </c>
      <c r="AB2837" t="n">
        <v>609</v>
      </c>
      <c r="AC2837" t="n">
        <v>625</v>
      </c>
      <c r="AD2837" t="n">
        <v>7</v>
      </c>
      <c r="AE2837" t="n">
        <v>7</v>
      </c>
      <c r="AF2837" t="n">
        <v>33</v>
      </c>
      <c r="AG2837" t="n">
        <v>34</v>
      </c>
      <c r="AH2837" t="n">
        <v>12</v>
      </c>
      <c r="AI2837" t="n">
        <v>12</v>
      </c>
      <c r="AJ2837" t="n">
        <v>6</v>
      </c>
      <c r="AK2837" t="n">
        <v>7</v>
      </c>
      <c r="AL2837" t="n">
        <v>17</v>
      </c>
      <c r="AM2837" t="n">
        <v>18</v>
      </c>
      <c r="AN2837" t="n">
        <v>6</v>
      </c>
      <c r="AO2837" t="n">
        <v>6</v>
      </c>
      <c r="AP2837" t="n">
        <v>0</v>
      </c>
      <c r="AQ2837" t="n">
        <v>0</v>
      </c>
      <c r="AR2837" t="inlineStr">
        <is>
          <t>No</t>
        </is>
      </c>
      <c r="AS2837" t="inlineStr">
        <is>
          <t>No</t>
        </is>
      </c>
      <c r="AU2837">
        <f>HYPERLINK("https://creighton-primo.hosted.exlibrisgroup.com/primo-explore/search?tab=default_tab&amp;search_scope=EVERYTHING&amp;vid=01CRU&amp;lang=en_US&amp;offset=0&amp;query=any,contains,991001389009702656","Catalog Record")</f>
        <v/>
      </c>
      <c r="AV2837">
        <f>HYPERLINK("http://www.worldcat.org/oclc/18743183","WorldCat Record")</f>
        <v/>
      </c>
      <c r="AW2837" t="inlineStr">
        <is>
          <t>3768888487:eng</t>
        </is>
      </c>
      <c r="AX2837" t="inlineStr">
        <is>
          <t>18743183</t>
        </is>
      </c>
      <c r="AY2837" t="inlineStr">
        <is>
          <t>991001389009702656</t>
        </is>
      </c>
      <c r="AZ2837" t="inlineStr">
        <is>
          <t>991001389009702656</t>
        </is>
      </c>
      <c r="BA2837" t="inlineStr">
        <is>
          <t>2259275550002656</t>
        </is>
      </c>
      <c r="BB2837" t="inlineStr">
        <is>
          <t>BOOK</t>
        </is>
      </c>
      <c r="BD2837" t="inlineStr">
        <is>
          <t>9780521274883</t>
        </is>
      </c>
      <c r="BE2837" t="inlineStr">
        <is>
          <t>32285000025907</t>
        </is>
      </c>
      <c r="BF2837" t="inlineStr">
        <is>
          <t>893778765</t>
        </is>
      </c>
    </row>
    <row r="2838">
      <c r="A2838" t="inlineStr">
        <is>
          <t>No</t>
        </is>
      </c>
      <c r="B2838" t="inlineStr">
        <is>
          <t>CURAL</t>
        </is>
      </c>
      <c r="C2838" t="inlineStr">
        <is>
          <t>SHELVES</t>
        </is>
      </c>
      <c r="D2838" t="inlineStr">
        <is>
          <t>PR6003.E282 Z758 1973b</t>
        </is>
      </c>
      <c r="E2838" t="inlineStr">
        <is>
          <t>0                      PR 6003000E  282                Z  758         1973b</t>
        </is>
      </c>
      <c r="F2838" t="inlineStr">
        <is>
          <t>A reader's guide to Samuel Beckett / [by] Hugh Kenner.</t>
        </is>
      </c>
      <c r="H2838" t="inlineStr">
        <is>
          <t>No</t>
        </is>
      </c>
      <c r="I2838" t="inlineStr">
        <is>
          <t>1</t>
        </is>
      </c>
      <c r="J2838" t="inlineStr">
        <is>
          <t>No</t>
        </is>
      </c>
      <c r="K2838" t="inlineStr">
        <is>
          <t>No</t>
        </is>
      </c>
      <c r="L2838" t="inlineStr">
        <is>
          <t>0</t>
        </is>
      </c>
      <c r="M2838" t="inlineStr">
        <is>
          <t>Kenner, Hugh.</t>
        </is>
      </c>
      <c r="N2838" t="inlineStr">
        <is>
          <t>London : Thames and Hudson, 1973.</t>
        </is>
      </c>
      <c r="O2838" t="inlineStr">
        <is>
          <t>1973</t>
        </is>
      </c>
      <c r="Q2838" t="inlineStr">
        <is>
          <t>eng</t>
        </is>
      </c>
      <c r="R2838" t="inlineStr">
        <is>
          <t>enk</t>
        </is>
      </c>
      <c r="T2838" t="inlineStr">
        <is>
          <t xml:space="preserve">PR </t>
        </is>
      </c>
      <c r="U2838" t="n">
        <v>35</v>
      </c>
      <c r="V2838" t="n">
        <v>35</v>
      </c>
      <c r="W2838" t="inlineStr">
        <is>
          <t>2009-09-16</t>
        </is>
      </c>
      <c r="X2838" t="inlineStr">
        <is>
          <t>2009-09-16</t>
        </is>
      </c>
      <c r="Y2838" t="inlineStr">
        <is>
          <t>1992-12-03</t>
        </is>
      </c>
      <c r="Z2838" t="inlineStr">
        <is>
          <t>1992-12-03</t>
        </is>
      </c>
      <c r="AA2838" t="n">
        <v>354</v>
      </c>
      <c r="AB2838" t="n">
        <v>81</v>
      </c>
      <c r="AC2838" t="n">
        <v>81</v>
      </c>
      <c r="AD2838" t="n">
        <v>2</v>
      </c>
      <c r="AE2838" t="n">
        <v>2</v>
      </c>
      <c r="AF2838" t="n">
        <v>5</v>
      </c>
      <c r="AG2838" t="n">
        <v>5</v>
      </c>
      <c r="AH2838" t="n">
        <v>2</v>
      </c>
      <c r="AI2838" t="n">
        <v>2</v>
      </c>
      <c r="AJ2838" t="n">
        <v>1</v>
      </c>
      <c r="AK2838" t="n">
        <v>1</v>
      </c>
      <c r="AL2838" t="n">
        <v>2</v>
      </c>
      <c r="AM2838" t="n">
        <v>2</v>
      </c>
      <c r="AN2838" t="n">
        <v>1</v>
      </c>
      <c r="AO2838" t="n">
        <v>1</v>
      </c>
      <c r="AP2838" t="n">
        <v>0</v>
      </c>
      <c r="AQ2838" t="n">
        <v>0</v>
      </c>
      <c r="AR2838" t="inlineStr">
        <is>
          <t>No</t>
        </is>
      </c>
      <c r="AS2838" t="inlineStr">
        <is>
          <t>No</t>
        </is>
      </c>
      <c r="AU2838">
        <f>HYPERLINK("https://creighton-primo.hosted.exlibrisgroup.com/primo-explore/search?tab=default_tab&amp;search_scope=EVERYTHING&amp;vid=01CRU&amp;lang=en_US&amp;offset=0&amp;query=any,contains,991003576279702656","Catalog Record")</f>
        <v/>
      </c>
      <c r="AV2838">
        <f>HYPERLINK("http://www.worldcat.org/oclc/1155074","WorldCat Record")</f>
        <v/>
      </c>
      <c r="AW2838" t="inlineStr">
        <is>
          <t>5608798607:eng</t>
        </is>
      </c>
      <c r="AX2838" t="inlineStr">
        <is>
          <t>1155074</t>
        </is>
      </c>
      <c r="AY2838" t="inlineStr">
        <is>
          <t>991003576279702656</t>
        </is>
      </c>
      <c r="AZ2838" t="inlineStr">
        <is>
          <t>991003576279702656</t>
        </is>
      </c>
      <c r="BA2838" t="inlineStr">
        <is>
          <t>2265853440002656</t>
        </is>
      </c>
      <c r="BB2838" t="inlineStr">
        <is>
          <t>BOOK</t>
        </is>
      </c>
      <c r="BD2838" t="inlineStr">
        <is>
          <t>9780500140185</t>
        </is>
      </c>
      <c r="BE2838" t="inlineStr">
        <is>
          <t>32285001412062</t>
        </is>
      </c>
      <c r="BF2838" t="inlineStr">
        <is>
          <t>893505717</t>
        </is>
      </c>
    </row>
    <row r="2839">
      <c r="A2839" t="inlineStr">
        <is>
          <t>No</t>
        </is>
      </c>
      <c r="B2839" t="inlineStr">
        <is>
          <t>CURAL</t>
        </is>
      </c>
      <c r="C2839" t="inlineStr">
        <is>
          <t>SHELVES</t>
        </is>
      </c>
      <c r="D2839" t="inlineStr">
        <is>
          <t>PR6003.E282 Z76 1968</t>
        </is>
      </c>
      <c r="E2839" t="inlineStr">
        <is>
          <t>0                      PR 6003000E  282                Z  76          1968</t>
        </is>
      </c>
      <c r="F2839" t="inlineStr">
        <is>
          <t>Samuel Beckett, a critical study.</t>
        </is>
      </c>
      <c r="H2839" t="inlineStr">
        <is>
          <t>No</t>
        </is>
      </c>
      <c r="I2839" t="inlineStr">
        <is>
          <t>1</t>
        </is>
      </c>
      <c r="J2839" t="inlineStr">
        <is>
          <t>No</t>
        </is>
      </c>
      <c r="K2839" t="inlineStr">
        <is>
          <t>Yes</t>
        </is>
      </c>
      <c r="L2839" t="inlineStr">
        <is>
          <t>0</t>
        </is>
      </c>
      <c r="M2839" t="inlineStr">
        <is>
          <t>Kenner, Hugh.</t>
        </is>
      </c>
      <c r="N2839" t="inlineStr">
        <is>
          <t>Berkeley : University of California Press, 1968.</t>
        </is>
      </c>
      <c r="O2839" t="inlineStr">
        <is>
          <t>1968</t>
        </is>
      </c>
      <c r="P2839" t="inlineStr">
        <is>
          <t>New ed., with a supplementary chapter.</t>
        </is>
      </c>
      <c r="Q2839" t="inlineStr">
        <is>
          <t>eng</t>
        </is>
      </c>
      <c r="R2839" t="inlineStr">
        <is>
          <t>cau</t>
        </is>
      </c>
      <c r="T2839" t="inlineStr">
        <is>
          <t xml:space="preserve">PR </t>
        </is>
      </c>
      <c r="U2839" t="n">
        <v>10</v>
      </c>
      <c r="V2839" t="n">
        <v>10</v>
      </c>
      <c r="W2839" t="inlineStr">
        <is>
          <t>2005-04-25</t>
        </is>
      </c>
      <c r="X2839" t="inlineStr">
        <is>
          <t>2005-04-25</t>
        </is>
      </c>
      <c r="Y2839" t="inlineStr">
        <is>
          <t>1995-10-03</t>
        </is>
      </c>
      <c r="Z2839" t="inlineStr">
        <is>
          <t>1995-10-03</t>
        </is>
      </c>
      <c r="AA2839" t="n">
        <v>772</v>
      </c>
      <c r="AB2839" t="n">
        <v>692</v>
      </c>
      <c r="AC2839" t="n">
        <v>1217</v>
      </c>
      <c r="AD2839" t="n">
        <v>5</v>
      </c>
      <c r="AE2839" t="n">
        <v>10</v>
      </c>
      <c r="AF2839" t="n">
        <v>37</v>
      </c>
      <c r="AG2839" t="n">
        <v>58</v>
      </c>
      <c r="AH2839" t="n">
        <v>16</v>
      </c>
      <c r="AI2839" t="n">
        <v>26</v>
      </c>
      <c r="AJ2839" t="n">
        <v>9</v>
      </c>
      <c r="AK2839" t="n">
        <v>11</v>
      </c>
      <c r="AL2839" t="n">
        <v>18</v>
      </c>
      <c r="AM2839" t="n">
        <v>26</v>
      </c>
      <c r="AN2839" t="n">
        <v>4</v>
      </c>
      <c r="AO2839" t="n">
        <v>9</v>
      </c>
      <c r="AP2839" t="n">
        <v>0</v>
      </c>
      <c r="AQ2839" t="n">
        <v>0</v>
      </c>
      <c r="AR2839" t="inlineStr">
        <is>
          <t>No</t>
        </is>
      </c>
      <c r="AS2839" t="inlineStr">
        <is>
          <t>No</t>
        </is>
      </c>
      <c r="AU2839">
        <f>HYPERLINK("https://creighton-primo.hosted.exlibrisgroup.com/primo-explore/search?tab=default_tab&amp;search_scope=EVERYTHING&amp;vid=01CRU&amp;lang=en_US&amp;offset=0&amp;query=any,contains,991002227319702656","Catalog Record")</f>
        <v/>
      </c>
      <c r="AV2839">
        <f>HYPERLINK("http://www.worldcat.org/oclc/292125","WorldCat Record")</f>
        <v/>
      </c>
      <c r="AW2839" t="inlineStr">
        <is>
          <t>43376294:eng</t>
        </is>
      </c>
      <c r="AX2839" t="inlineStr">
        <is>
          <t>292125</t>
        </is>
      </c>
      <c r="AY2839" t="inlineStr">
        <is>
          <t>991002227319702656</t>
        </is>
      </c>
      <c r="AZ2839" t="inlineStr">
        <is>
          <t>991002227319702656</t>
        </is>
      </c>
      <c r="BA2839" t="inlineStr">
        <is>
          <t>2265274860002656</t>
        </is>
      </c>
      <c r="BB2839" t="inlineStr">
        <is>
          <t>BOOK</t>
        </is>
      </c>
      <c r="BE2839" t="inlineStr">
        <is>
          <t>32285002067436</t>
        </is>
      </c>
      <c r="BF2839" t="inlineStr">
        <is>
          <t>893244912</t>
        </is>
      </c>
    </row>
    <row r="2840">
      <c r="A2840" t="inlineStr">
        <is>
          <t>No</t>
        </is>
      </c>
      <c r="B2840" t="inlineStr">
        <is>
          <t>CURAL</t>
        </is>
      </c>
      <c r="C2840" t="inlineStr">
        <is>
          <t>SHELVES</t>
        </is>
      </c>
      <c r="D2840" t="inlineStr">
        <is>
          <t>PR6003.E282 Z7715 1990</t>
        </is>
      </c>
      <c r="E2840" t="inlineStr">
        <is>
          <t>0                      PR 6003000E  282                Z  7715        1990</t>
        </is>
      </c>
      <c r="F2840" t="inlineStr">
        <is>
          <t>Unwording the world : Samuel Beckett's prose works after the Nobel prize / Carla Locatelli.</t>
        </is>
      </c>
      <c r="H2840" t="inlineStr">
        <is>
          <t>No</t>
        </is>
      </c>
      <c r="I2840" t="inlineStr">
        <is>
          <t>1</t>
        </is>
      </c>
      <c r="J2840" t="inlineStr">
        <is>
          <t>No</t>
        </is>
      </c>
      <c r="K2840" t="inlineStr">
        <is>
          <t>No</t>
        </is>
      </c>
      <c r="L2840" t="inlineStr">
        <is>
          <t>0</t>
        </is>
      </c>
      <c r="M2840" t="inlineStr">
        <is>
          <t>Locatelli, Carla.</t>
        </is>
      </c>
      <c r="N2840" t="inlineStr">
        <is>
          <t>Philadelphia : University of Pennsylvania Press, c1990.</t>
        </is>
      </c>
      <c r="O2840" t="inlineStr">
        <is>
          <t>1990</t>
        </is>
      </c>
      <c r="Q2840" t="inlineStr">
        <is>
          <t>eng</t>
        </is>
      </c>
      <c r="R2840" t="inlineStr">
        <is>
          <t>pau</t>
        </is>
      </c>
      <c r="T2840" t="inlineStr">
        <is>
          <t xml:space="preserve">PR </t>
        </is>
      </c>
      <c r="U2840" t="n">
        <v>5</v>
      </c>
      <c r="V2840" t="n">
        <v>5</v>
      </c>
      <c r="W2840" t="inlineStr">
        <is>
          <t>2004-04-21</t>
        </is>
      </c>
      <c r="X2840" t="inlineStr">
        <is>
          <t>2004-04-21</t>
        </is>
      </c>
      <c r="Y2840" t="inlineStr">
        <is>
          <t>1990-08-10</t>
        </is>
      </c>
      <c r="Z2840" t="inlineStr">
        <is>
          <t>1990-08-10</t>
        </is>
      </c>
      <c r="AA2840" t="n">
        <v>342</v>
      </c>
      <c r="AB2840" t="n">
        <v>258</v>
      </c>
      <c r="AC2840" t="n">
        <v>442</v>
      </c>
      <c r="AD2840" t="n">
        <v>3</v>
      </c>
      <c r="AE2840" t="n">
        <v>3</v>
      </c>
      <c r="AF2840" t="n">
        <v>18</v>
      </c>
      <c r="AG2840" t="n">
        <v>24</v>
      </c>
      <c r="AH2840" t="n">
        <v>6</v>
      </c>
      <c r="AI2840" t="n">
        <v>11</v>
      </c>
      <c r="AJ2840" t="n">
        <v>7</v>
      </c>
      <c r="AK2840" t="n">
        <v>8</v>
      </c>
      <c r="AL2840" t="n">
        <v>9</v>
      </c>
      <c r="AM2840" t="n">
        <v>10</v>
      </c>
      <c r="AN2840" t="n">
        <v>2</v>
      </c>
      <c r="AO2840" t="n">
        <v>2</v>
      </c>
      <c r="AP2840" t="n">
        <v>0</v>
      </c>
      <c r="AQ2840" t="n">
        <v>0</v>
      </c>
      <c r="AR2840" t="inlineStr">
        <is>
          <t>No</t>
        </is>
      </c>
      <c r="AS2840" t="inlineStr">
        <is>
          <t>Yes</t>
        </is>
      </c>
      <c r="AT2840">
        <f>HYPERLINK("http://catalog.hathitrust.org/Record/001956241","HathiTrust Record")</f>
        <v/>
      </c>
      <c r="AU2840">
        <f>HYPERLINK("https://creighton-primo.hosted.exlibrisgroup.com/primo-explore/search?tab=default_tab&amp;search_scope=EVERYTHING&amp;vid=01CRU&amp;lang=en_US&amp;offset=0&amp;query=any,contains,991001587809702656","Catalog Record")</f>
        <v/>
      </c>
      <c r="AV2840">
        <f>HYPERLINK("http://www.worldcat.org/oclc/20560615","WorldCat Record")</f>
        <v/>
      </c>
      <c r="AW2840" t="inlineStr">
        <is>
          <t>347342741:eng</t>
        </is>
      </c>
      <c r="AX2840" t="inlineStr">
        <is>
          <t>20560615</t>
        </is>
      </c>
      <c r="AY2840" t="inlineStr">
        <is>
          <t>991001587809702656</t>
        </is>
      </c>
      <c r="AZ2840" t="inlineStr">
        <is>
          <t>991001587809702656</t>
        </is>
      </c>
      <c r="BA2840" t="inlineStr">
        <is>
          <t>2259425550002656</t>
        </is>
      </c>
      <c r="BB2840" t="inlineStr">
        <is>
          <t>BOOK</t>
        </is>
      </c>
      <c r="BD2840" t="inlineStr">
        <is>
          <t>9780812282320</t>
        </is>
      </c>
      <c r="BE2840" t="inlineStr">
        <is>
          <t>32285000242981</t>
        </is>
      </c>
      <c r="BF2840" t="inlineStr">
        <is>
          <t>893715529</t>
        </is>
      </c>
    </row>
    <row r="2841">
      <c r="A2841" t="inlineStr">
        <is>
          <t>No</t>
        </is>
      </c>
      <c r="B2841" t="inlineStr">
        <is>
          <t>CURAL</t>
        </is>
      </c>
      <c r="C2841" t="inlineStr">
        <is>
          <t>SHELVES</t>
        </is>
      </c>
      <c r="D2841" t="inlineStr">
        <is>
          <t>PR6003.E282 Z7814 1992</t>
        </is>
      </c>
      <c r="E2841" t="inlineStr">
        <is>
          <t>0                      PR 6003000E  282                Z  7814        1992</t>
        </is>
      </c>
      <c r="F2841" t="inlineStr">
        <is>
          <t>Samuel Beckett : the expressive dilemma / Lawrence Miller.</t>
        </is>
      </c>
      <c r="H2841" t="inlineStr">
        <is>
          <t>No</t>
        </is>
      </c>
      <c r="I2841" t="inlineStr">
        <is>
          <t>1</t>
        </is>
      </c>
      <c r="J2841" t="inlineStr">
        <is>
          <t>No</t>
        </is>
      </c>
      <c r="K2841" t="inlineStr">
        <is>
          <t>No</t>
        </is>
      </c>
      <c r="L2841" t="inlineStr">
        <is>
          <t>0</t>
        </is>
      </c>
      <c r="M2841" t="inlineStr">
        <is>
          <t>Miller, Lawrence, 1956-</t>
        </is>
      </c>
      <c r="N2841" t="inlineStr">
        <is>
          <t>New York, N.Y. : St. Martin's Press, 1992.</t>
        </is>
      </c>
      <c r="O2841" t="inlineStr">
        <is>
          <t>1992</t>
        </is>
      </c>
      <c r="Q2841" t="inlineStr">
        <is>
          <t>eng</t>
        </is>
      </c>
      <c r="R2841" t="inlineStr">
        <is>
          <t>nyu</t>
        </is>
      </c>
      <c r="T2841" t="inlineStr">
        <is>
          <t xml:space="preserve">PR </t>
        </is>
      </c>
      <c r="U2841" t="n">
        <v>8</v>
      </c>
      <c r="V2841" t="n">
        <v>8</v>
      </c>
      <c r="W2841" t="inlineStr">
        <is>
          <t>2000-12-02</t>
        </is>
      </c>
      <c r="X2841" t="inlineStr">
        <is>
          <t>2000-12-02</t>
        </is>
      </c>
      <c r="Y2841" t="inlineStr">
        <is>
          <t>1993-01-21</t>
        </is>
      </c>
      <c r="Z2841" t="inlineStr">
        <is>
          <t>1993-01-21</t>
        </is>
      </c>
      <c r="AA2841" t="n">
        <v>264</v>
      </c>
      <c r="AB2841" t="n">
        <v>194</v>
      </c>
      <c r="AC2841" t="n">
        <v>199</v>
      </c>
      <c r="AD2841" t="n">
        <v>3</v>
      </c>
      <c r="AE2841" t="n">
        <v>3</v>
      </c>
      <c r="AF2841" t="n">
        <v>16</v>
      </c>
      <c r="AG2841" t="n">
        <v>16</v>
      </c>
      <c r="AH2841" t="n">
        <v>4</v>
      </c>
      <c r="AI2841" t="n">
        <v>4</v>
      </c>
      <c r="AJ2841" t="n">
        <v>7</v>
      </c>
      <c r="AK2841" t="n">
        <v>7</v>
      </c>
      <c r="AL2841" t="n">
        <v>7</v>
      </c>
      <c r="AM2841" t="n">
        <v>7</v>
      </c>
      <c r="AN2841" t="n">
        <v>2</v>
      </c>
      <c r="AO2841" t="n">
        <v>2</v>
      </c>
      <c r="AP2841" t="n">
        <v>0</v>
      </c>
      <c r="AQ2841" t="n">
        <v>0</v>
      </c>
      <c r="AR2841" t="inlineStr">
        <is>
          <t>No</t>
        </is>
      </c>
      <c r="AS2841" t="inlineStr">
        <is>
          <t>No</t>
        </is>
      </c>
      <c r="AU2841">
        <f>HYPERLINK("https://creighton-primo.hosted.exlibrisgroup.com/primo-explore/search?tab=default_tab&amp;search_scope=EVERYTHING&amp;vid=01CRU&amp;lang=en_US&amp;offset=0&amp;query=any,contains,991001981999702656","Catalog Record")</f>
        <v/>
      </c>
      <c r="AV2841">
        <f>HYPERLINK("http://www.worldcat.org/oclc/25163715","WorldCat Record")</f>
        <v/>
      </c>
      <c r="AW2841" t="inlineStr">
        <is>
          <t>313857344:eng</t>
        </is>
      </c>
      <c r="AX2841" t="inlineStr">
        <is>
          <t>25163715</t>
        </is>
      </c>
      <c r="AY2841" t="inlineStr">
        <is>
          <t>991001981999702656</t>
        </is>
      </c>
      <c r="AZ2841" t="inlineStr">
        <is>
          <t>991001981999702656</t>
        </is>
      </c>
      <c r="BA2841" t="inlineStr">
        <is>
          <t>2263395950002656</t>
        </is>
      </c>
      <c r="BB2841" t="inlineStr">
        <is>
          <t>BOOK</t>
        </is>
      </c>
      <c r="BD2841" t="inlineStr">
        <is>
          <t>9780312079604</t>
        </is>
      </c>
      <c r="BE2841" t="inlineStr">
        <is>
          <t>32285001447381</t>
        </is>
      </c>
      <c r="BF2841" t="inlineStr">
        <is>
          <t>893596898</t>
        </is>
      </c>
    </row>
    <row r="2842">
      <c r="A2842" t="inlineStr">
        <is>
          <t>No</t>
        </is>
      </c>
      <c r="B2842" t="inlineStr">
        <is>
          <t>CURAL</t>
        </is>
      </c>
      <c r="C2842" t="inlineStr">
        <is>
          <t>SHELVES</t>
        </is>
      </c>
      <c r="D2842" t="inlineStr">
        <is>
          <t>PR6003.E282 Z7924 1993</t>
        </is>
      </c>
      <c r="E2842" t="inlineStr">
        <is>
          <t>0                      PR 6003000E  282                Z  7924        1993</t>
        </is>
      </c>
      <c r="F2842" t="inlineStr">
        <is>
          <t>Beckett's dying words : the Clarendon lectures, 1990 / Christopher Ricks.</t>
        </is>
      </c>
      <c r="H2842" t="inlineStr">
        <is>
          <t>No</t>
        </is>
      </c>
      <c r="I2842" t="inlineStr">
        <is>
          <t>1</t>
        </is>
      </c>
      <c r="J2842" t="inlineStr">
        <is>
          <t>No</t>
        </is>
      </c>
      <c r="K2842" t="inlineStr">
        <is>
          <t>No</t>
        </is>
      </c>
      <c r="L2842" t="inlineStr">
        <is>
          <t>0</t>
        </is>
      </c>
      <c r="M2842" t="inlineStr">
        <is>
          <t>Ricks, Christopher, 1933-</t>
        </is>
      </c>
      <c r="N2842" t="inlineStr">
        <is>
          <t>Oxford : Clarendon Press ; New York : Oxford University Press, 1993.</t>
        </is>
      </c>
      <c r="O2842" t="inlineStr">
        <is>
          <t>1993</t>
        </is>
      </c>
      <c r="Q2842" t="inlineStr">
        <is>
          <t>eng</t>
        </is>
      </c>
      <c r="R2842" t="inlineStr">
        <is>
          <t>enk</t>
        </is>
      </c>
      <c r="T2842" t="inlineStr">
        <is>
          <t xml:space="preserve">PR </t>
        </is>
      </c>
      <c r="U2842" t="n">
        <v>6</v>
      </c>
      <c r="V2842" t="n">
        <v>6</v>
      </c>
      <c r="W2842" t="inlineStr">
        <is>
          <t>2008-03-14</t>
        </is>
      </c>
      <c r="X2842" t="inlineStr">
        <is>
          <t>2008-03-14</t>
        </is>
      </c>
      <c r="Y2842" t="inlineStr">
        <is>
          <t>1995-10-19</t>
        </is>
      </c>
      <c r="Z2842" t="inlineStr">
        <is>
          <t>1995-10-19</t>
        </is>
      </c>
      <c r="AA2842" t="n">
        <v>546</v>
      </c>
      <c r="AB2842" t="n">
        <v>408</v>
      </c>
      <c r="AC2842" t="n">
        <v>430</v>
      </c>
      <c r="AD2842" t="n">
        <v>7</v>
      </c>
      <c r="AE2842" t="n">
        <v>7</v>
      </c>
      <c r="AF2842" t="n">
        <v>33</v>
      </c>
      <c r="AG2842" t="n">
        <v>34</v>
      </c>
      <c r="AH2842" t="n">
        <v>12</v>
      </c>
      <c r="AI2842" t="n">
        <v>13</v>
      </c>
      <c r="AJ2842" t="n">
        <v>7</v>
      </c>
      <c r="AK2842" t="n">
        <v>7</v>
      </c>
      <c r="AL2842" t="n">
        <v>19</v>
      </c>
      <c r="AM2842" t="n">
        <v>19</v>
      </c>
      <c r="AN2842" t="n">
        <v>6</v>
      </c>
      <c r="AO2842" t="n">
        <v>6</v>
      </c>
      <c r="AP2842" t="n">
        <v>0</v>
      </c>
      <c r="AQ2842" t="n">
        <v>0</v>
      </c>
      <c r="AR2842" t="inlineStr">
        <is>
          <t>No</t>
        </is>
      </c>
      <c r="AS2842" t="inlineStr">
        <is>
          <t>Yes</t>
        </is>
      </c>
      <c r="AT2842">
        <f>HYPERLINK("http://catalog.hathitrust.org/Record/002726309","HathiTrust Record")</f>
        <v/>
      </c>
      <c r="AU2842">
        <f>HYPERLINK("https://creighton-primo.hosted.exlibrisgroup.com/primo-explore/search?tab=default_tab&amp;search_scope=EVERYTHING&amp;vid=01CRU&amp;lang=en_US&amp;offset=0&amp;query=any,contains,991002128039702656","Catalog Record")</f>
        <v/>
      </c>
      <c r="AV2842">
        <f>HYPERLINK("http://www.worldcat.org/oclc/27265407","WorldCat Record")</f>
        <v/>
      </c>
      <c r="AW2842" t="inlineStr">
        <is>
          <t>807242999:eng</t>
        </is>
      </c>
      <c r="AX2842" t="inlineStr">
        <is>
          <t>27265407</t>
        </is>
      </c>
      <c r="AY2842" t="inlineStr">
        <is>
          <t>991002128039702656</t>
        </is>
      </c>
      <c r="AZ2842" t="inlineStr">
        <is>
          <t>991002128039702656</t>
        </is>
      </c>
      <c r="BA2842" t="inlineStr">
        <is>
          <t>2269527960002656</t>
        </is>
      </c>
      <c r="BB2842" t="inlineStr">
        <is>
          <t>BOOK</t>
        </is>
      </c>
      <c r="BD2842" t="inlineStr">
        <is>
          <t>9780198123583</t>
        </is>
      </c>
      <c r="BE2842" t="inlineStr">
        <is>
          <t>32285002096708</t>
        </is>
      </c>
      <c r="BF2842" t="inlineStr">
        <is>
          <t>893798215</t>
        </is>
      </c>
    </row>
    <row r="2843">
      <c r="A2843" t="inlineStr">
        <is>
          <t>No</t>
        </is>
      </c>
      <c r="B2843" t="inlineStr">
        <is>
          <t>CURAL</t>
        </is>
      </c>
      <c r="C2843" t="inlineStr">
        <is>
          <t>SHELVES</t>
        </is>
      </c>
      <c r="D2843" t="inlineStr">
        <is>
          <t>PR6003.E282 Z793 1970</t>
        </is>
      </c>
      <c r="E2843" t="inlineStr">
        <is>
          <t>0                      PR 6003000E  282                Z  793         1970</t>
        </is>
      </c>
      <c r="F2843" t="inlineStr">
        <is>
          <t>The long sonata of the dead : a study of Samuel Beckett.</t>
        </is>
      </c>
      <c r="H2843" t="inlineStr">
        <is>
          <t>No</t>
        </is>
      </c>
      <c r="I2843" t="inlineStr">
        <is>
          <t>1</t>
        </is>
      </c>
      <c r="J2843" t="inlineStr">
        <is>
          <t>No</t>
        </is>
      </c>
      <c r="K2843" t="inlineStr">
        <is>
          <t>No</t>
        </is>
      </c>
      <c r="L2843" t="inlineStr">
        <is>
          <t>0</t>
        </is>
      </c>
      <c r="M2843" t="inlineStr">
        <is>
          <t>Robinson, Michael, 1944 July 13-</t>
        </is>
      </c>
      <c r="N2843" t="inlineStr">
        <is>
          <t>New York : Grove Press, [1970, c1969]</t>
        </is>
      </c>
      <c r="O2843" t="inlineStr">
        <is>
          <t>1970</t>
        </is>
      </c>
      <c r="Q2843" t="inlineStr">
        <is>
          <t>eng</t>
        </is>
      </c>
      <c r="R2843" t="inlineStr">
        <is>
          <t>nyu</t>
        </is>
      </c>
      <c r="T2843" t="inlineStr">
        <is>
          <t xml:space="preserve">PR </t>
        </is>
      </c>
      <c r="U2843" t="n">
        <v>4</v>
      </c>
      <c r="V2843" t="n">
        <v>4</v>
      </c>
      <c r="W2843" t="inlineStr">
        <is>
          <t>2003-11-09</t>
        </is>
      </c>
      <c r="X2843" t="inlineStr">
        <is>
          <t>2003-11-09</t>
        </is>
      </c>
      <c r="Y2843" t="inlineStr">
        <is>
          <t>1997-09-12</t>
        </is>
      </c>
      <c r="Z2843" t="inlineStr">
        <is>
          <t>1997-09-12</t>
        </is>
      </c>
      <c r="AA2843" t="n">
        <v>733</v>
      </c>
      <c r="AB2843" t="n">
        <v>703</v>
      </c>
      <c r="AC2843" t="n">
        <v>882</v>
      </c>
      <c r="AD2843" t="n">
        <v>6</v>
      </c>
      <c r="AE2843" t="n">
        <v>8</v>
      </c>
      <c r="AF2843" t="n">
        <v>31</v>
      </c>
      <c r="AG2843" t="n">
        <v>43</v>
      </c>
      <c r="AH2843" t="n">
        <v>13</v>
      </c>
      <c r="AI2843" t="n">
        <v>19</v>
      </c>
      <c r="AJ2843" t="n">
        <v>7</v>
      </c>
      <c r="AK2843" t="n">
        <v>8</v>
      </c>
      <c r="AL2843" t="n">
        <v>11</v>
      </c>
      <c r="AM2843" t="n">
        <v>17</v>
      </c>
      <c r="AN2843" t="n">
        <v>5</v>
      </c>
      <c r="AO2843" t="n">
        <v>7</v>
      </c>
      <c r="AP2843" t="n">
        <v>0</v>
      </c>
      <c r="AQ2843" t="n">
        <v>0</v>
      </c>
      <c r="AR2843" t="inlineStr">
        <is>
          <t>No</t>
        </is>
      </c>
      <c r="AS2843" t="inlineStr">
        <is>
          <t>No</t>
        </is>
      </c>
      <c r="AU2843">
        <f>HYPERLINK("https://creighton-primo.hosted.exlibrisgroup.com/primo-explore/search?tab=default_tab&amp;search_scope=EVERYTHING&amp;vid=01CRU&amp;lang=en_US&amp;offset=0&amp;query=any,contains,991000462219702656","Catalog Record")</f>
        <v/>
      </c>
      <c r="AV2843">
        <f>HYPERLINK("http://www.worldcat.org/oclc/78661","WorldCat Record")</f>
        <v/>
      </c>
      <c r="AW2843" t="inlineStr">
        <is>
          <t>199033927:eng</t>
        </is>
      </c>
      <c r="AX2843" t="inlineStr">
        <is>
          <t>78661</t>
        </is>
      </c>
      <c r="AY2843" t="inlineStr">
        <is>
          <t>991000462219702656</t>
        </is>
      </c>
      <c r="AZ2843" t="inlineStr">
        <is>
          <t>991000462219702656</t>
        </is>
      </c>
      <c r="BA2843" t="inlineStr">
        <is>
          <t>2255172170002656</t>
        </is>
      </c>
      <c r="BB2843" t="inlineStr">
        <is>
          <t>BOOK</t>
        </is>
      </c>
      <c r="BE2843" t="inlineStr">
        <is>
          <t>32285003170833</t>
        </is>
      </c>
      <c r="BF2843" t="inlineStr">
        <is>
          <t>893708387</t>
        </is>
      </c>
    </row>
    <row r="2844">
      <c r="A2844" t="inlineStr">
        <is>
          <t>No</t>
        </is>
      </c>
      <c r="B2844" t="inlineStr">
        <is>
          <t>CURAL</t>
        </is>
      </c>
      <c r="C2844" t="inlineStr">
        <is>
          <t>SHELVES</t>
        </is>
      </c>
      <c r="D2844" t="inlineStr">
        <is>
          <t>PR6003.E282 Z82</t>
        </is>
      </c>
      <c r="E2844" t="inlineStr">
        <is>
          <t>0                      PR 6003000E  282                Z  82</t>
        </is>
      </c>
      <c r="F2844" t="inlineStr">
        <is>
          <t>Samuel Beckett now; critical approaches to his novels, poetry, and plays. Edited and with an introd. by Melvin J. Friedman.</t>
        </is>
      </c>
      <c r="H2844" t="inlineStr">
        <is>
          <t>No</t>
        </is>
      </c>
      <c r="I2844" t="inlineStr">
        <is>
          <t>1</t>
        </is>
      </c>
      <c r="J2844" t="inlineStr">
        <is>
          <t>No</t>
        </is>
      </c>
      <c r="K2844" t="inlineStr">
        <is>
          <t>No</t>
        </is>
      </c>
      <c r="L2844" t="inlineStr">
        <is>
          <t>0</t>
        </is>
      </c>
      <c r="N2844" t="inlineStr">
        <is>
          <t>[Chicago] University of Chicago Press [1970]</t>
        </is>
      </c>
      <c r="O2844" t="inlineStr">
        <is>
          <t>1970</t>
        </is>
      </c>
      <c r="Q2844" t="inlineStr">
        <is>
          <t>eng</t>
        </is>
      </c>
      <c r="R2844" t="inlineStr">
        <is>
          <t>ilu</t>
        </is>
      </c>
      <c r="T2844" t="inlineStr">
        <is>
          <t xml:space="preserve">PR </t>
        </is>
      </c>
      <c r="U2844" t="n">
        <v>7</v>
      </c>
      <c r="V2844" t="n">
        <v>7</v>
      </c>
      <c r="W2844" t="inlineStr">
        <is>
          <t>2006-05-03</t>
        </is>
      </c>
      <c r="X2844" t="inlineStr">
        <is>
          <t>2006-05-03</t>
        </is>
      </c>
      <c r="Y2844" t="inlineStr">
        <is>
          <t>1997-07-23</t>
        </is>
      </c>
      <c r="Z2844" t="inlineStr">
        <is>
          <t>1997-07-23</t>
        </is>
      </c>
      <c r="AA2844" t="n">
        <v>1181</v>
      </c>
      <c r="AB2844" t="n">
        <v>999</v>
      </c>
      <c r="AC2844" t="n">
        <v>1061</v>
      </c>
      <c r="AD2844" t="n">
        <v>9</v>
      </c>
      <c r="AE2844" t="n">
        <v>9</v>
      </c>
      <c r="AF2844" t="n">
        <v>44</v>
      </c>
      <c r="AG2844" t="n">
        <v>48</v>
      </c>
      <c r="AH2844" t="n">
        <v>20</v>
      </c>
      <c r="AI2844" t="n">
        <v>22</v>
      </c>
      <c r="AJ2844" t="n">
        <v>7</v>
      </c>
      <c r="AK2844" t="n">
        <v>9</v>
      </c>
      <c r="AL2844" t="n">
        <v>18</v>
      </c>
      <c r="AM2844" t="n">
        <v>19</v>
      </c>
      <c r="AN2844" t="n">
        <v>7</v>
      </c>
      <c r="AO2844" t="n">
        <v>7</v>
      </c>
      <c r="AP2844" t="n">
        <v>0</v>
      </c>
      <c r="AQ2844" t="n">
        <v>0</v>
      </c>
      <c r="AR2844" t="inlineStr">
        <is>
          <t>No</t>
        </is>
      </c>
      <c r="AS2844" t="inlineStr">
        <is>
          <t>No</t>
        </is>
      </c>
      <c r="AU2844">
        <f>HYPERLINK("https://creighton-primo.hosted.exlibrisgroup.com/primo-explore/search?tab=default_tab&amp;search_scope=EVERYTHING&amp;vid=01CRU&amp;lang=en_US&amp;offset=0&amp;query=any,contains,991000656659702656","Catalog Record")</f>
        <v/>
      </c>
      <c r="AV2844">
        <f>HYPERLINK("http://www.worldcat.org/oclc/115802","WorldCat Record")</f>
        <v/>
      </c>
      <c r="AW2844" t="inlineStr">
        <is>
          <t>876216695:eng</t>
        </is>
      </c>
      <c r="AX2844" t="inlineStr">
        <is>
          <t>115802</t>
        </is>
      </c>
      <c r="AY2844" t="inlineStr">
        <is>
          <t>991000656659702656</t>
        </is>
      </c>
      <c r="AZ2844" t="inlineStr">
        <is>
          <t>991000656659702656</t>
        </is>
      </c>
      <c r="BA2844" t="inlineStr">
        <is>
          <t>2260331900002656</t>
        </is>
      </c>
      <c r="BB2844" t="inlineStr">
        <is>
          <t>BOOK</t>
        </is>
      </c>
      <c r="BD2844" t="inlineStr">
        <is>
          <t>9780226263465</t>
        </is>
      </c>
      <c r="BE2844" t="inlineStr">
        <is>
          <t>32285002953643</t>
        </is>
      </c>
      <c r="BF2844" t="inlineStr">
        <is>
          <t>893608145</t>
        </is>
      </c>
    </row>
    <row r="2845">
      <c r="A2845" t="inlineStr">
        <is>
          <t>No</t>
        </is>
      </c>
      <c r="B2845" t="inlineStr">
        <is>
          <t>CURAL</t>
        </is>
      </c>
      <c r="C2845" t="inlineStr">
        <is>
          <t>SHELVES</t>
        </is>
      </c>
      <c r="D2845" t="inlineStr">
        <is>
          <t>PR6003.E282 Z836 1985</t>
        </is>
      </c>
      <c r="E2845" t="inlineStr">
        <is>
          <t>0                      PR 6003000E  282                Z  836         1985</t>
        </is>
      </c>
      <c r="F2845" t="inlineStr">
        <is>
          <t>A student's guide to the plays of Samuel Beckett / by Beryl S. Fletcher and John Fletcher.</t>
        </is>
      </c>
      <c r="H2845" t="inlineStr">
        <is>
          <t>No</t>
        </is>
      </c>
      <c r="I2845" t="inlineStr">
        <is>
          <t>1</t>
        </is>
      </c>
      <c r="J2845" t="inlineStr">
        <is>
          <t>No</t>
        </is>
      </c>
      <c r="K2845" t="inlineStr">
        <is>
          <t>Yes</t>
        </is>
      </c>
      <c r="L2845" t="inlineStr">
        <is>
          <t>0</t>
        </is>
      </c>
      <c r="M2845" t="inlineStr">
        <is>
          <t>Fletcher, Beryl S.</t>
        </is>
      </c>
      <c r="N2845" t="inlineStr">
        <is>
          <t>London ; Boston : Faber and Faber, 1985.</t>
        </is>
      </c>
      <c r="O2845" t="inlineStr">
        <is>
          <t>1985</t>
        </is>
      </c>
      <c r="Q2845" t="inlineStr">
        <is>
          <t>eng</t>
        </is>
      </c>
      <c r="R2845" t="inlineStr">
        <is>
          <t>enk</t>
        </is>
      </c>
      <c r="T2845" t="inlineStr">
        <is>
          <t xml:space="preserve">PR </t>
        </is>
      </c>
      <c r="U2845" t="n">
        <v>26</v>
      </c>
      <c r="V2845" t="n">
        <v>26</v>
      </c>
      <c r="W2845" t="inlineStr">
        <is>
          <t>2009-11-02</t>
        </is>
      </c>
      <c r="X2845" t="inlineStr">
        <is>
          <t>2009-11-02</t>
        </is>
      </c>
      <c r="Y2845" t="inlineStr">
        <is>
          <t>1992-06-24</t>
        </is>
      </c>
      <c r="Z2845" t="inlineStr">
        <is>
          <t>1992-06-24</t>
        </is>
      </c>
      <c r="AA2845" t="n">
        <v>357</v>
      </c>
      <c r="AB2845" t="n">
        <v>224</v>
      </c>
      <c r="AC2845" t="n">
        <v>508</v>
      </c>
      <c r="AD2845" t="n">
        <v>3</v>
      </c>
      <c r="AE2845" t="n">
        <v>3</v>
      </c>
      <c r="AF2845" t="n">
        <v>12</v>
      </c>
      <c r="AG2845" t="n">
        <v>24</v>
      </c>
      <c r="AH2845" t="n">
        <v>5</v>
      </c>
      <c r="AI2845" t="n">
        <v>12</v>
      </c>
      <c r="AJ2845" t="n">
        <v>3</v>
      </c>
      <c r="AK2845" t="n">
        <v>7</v>
      </c>
      <c r="AL2845" t="n">
        <v>7</v>
      </c>
      <c r="AM2845" t="n">
        <v>11</v>
      </c>
      <c r="AN2845" t="n">
        <v>2</v>
      </c>
      <c r="AO2845" t="n">
        <v>2</v>
      </c>
      <c r="AP2845" t="n">
        <v>0</v>
      </c>
      <c r="AQ2845" t="n">
        <v>0</v>
      </c>
      <c r="AR2845" t="inlineStr">
        <is>
          <t>No</t>
        </is>
      </c>
      <c r="AS2845" t="inlineStr">
        <is>
          <t>No</t>
        </is>
      </c>
      <c r="AU2845">
        <f>HYPERLINK("https://creighton-primo.hosted.exlibrisgroup.com/primo-explore/search?tab=default_tab&amp;search_scope=EVERYTHING&amp;vid=01CRU&amp;lang=en_US&amp;offset=0&amp;query=any,contains,991000571589702656","Catalog Record")</f>
        <v/>
      </c>
      <c r="AV2845">
        <f>HYPERLINK("http://www.worldcat.org/oclc/11650616","WorldCat Record")</f>
        <v/>
      </c>
      <c r="AW2845" t="inlineStr">
        <is>
          <t>4237301:eng</t>
        </is>
      </c>
      <c r="AX2845" t="inlineStr">
        <is>
          <t>11650616</t>
        </is>
      </c>
      <c r="AY2845" t="inlineStr">
        <is>
          <t>991000571589702656</t>
        </is>
      </c>
      <c r="AZ2845" t="inlineStr">
        <is>
          <t>991000571589702656</t>
        </is>
      </c>
      <c r="BA2845" t="inlineStr">
        <is>
          <t>2269906780002656</t>
        </is>
      </c>
      <c r="BB2845" t="inlineStr">
        <is>
          <t>BOOK</t>
        </is>
      </c>
      <c r="BD2845" t="inlineStr">
        <is>
          <t>9780571134199</t>
        </is>
      </c>
      <c r="BE2845" t="inlineStr">
        <is>
          <t>32285001134864</t>
        </is>
      </c>
      <c r="BF2845" t="inlineStr">
        <is>
          <t>893683550</t>
        </is>
      </c>
    </row>
    <row r="2846">
      <c r="A2846" t="inlineStr">
        <is>
          <t>No</t>
        </is>
      </c>
      <c r="B2846" t="inlineStr">
        <is>
          <t>CURAL</t>
        </is>
      </c>
      <c r="C2846" t="inlineStr">
        <is>
          <t>SHELVES</t>
        </is>
      </c>
      <c r="D2846" t="inlineStr">
        <is>
          <t>PR6003.E282 Z855 1988</t>
        </is>
      </c>
      <c r="E2846" t="inlineStr">
        <is>
          <t>0                      PR 6003000E  282                Z  855         1988</t>
        </is>
      </c>
      <c r="F2846" t="inlineStr">
        <is>
          <t>The humour of Samuel Beckett / Valerie Topsfield.</t>
        </is>
      </c>
      <c r="H2846" t="inlineStr">
        <is>
          <t>No</t>
        </is>
      </c>
      <c r="I2846" t="inlineStr">
        <is>
          <t>1</t>
        </is>
      </c>
      <c r="J2846" t="inlineStr">
        <is>
          <t>No</t>
        </is>
      </c>
      <c r="K2846" t="inlineStr">
        <is>
          <t>No</t>
        </is>
      </c>
      <c r="L2846" t="inlineStr">
        <is>
          <t>0</t>
        </is>
      </c>
      <c r="M2846" t="inlineStr">
        <is>
          <t>Topsfield, Valerie.</t>
        </is>
      </c>
      <c r="N2846" t="inlineStr">
        <is>
          <t>New York : St. Martin's Press, 1988.</t>
        </is>
      </c>
      <c r="O2846" t="inlineStr">
        <is>
          <t>1988</t>
        </is>
      </c>
      <c r="Q2846" t="inlineStr">
        <is>
          <t>eng</t>
        </is>
      </c>
      <c r="R2846" t="inlineStr">
        <is>
          <t>nyu</t>
        </is>
      </c>
      <c r="T2846" t="inlineStr">
        <is>
          <t xml:space="preserve">PR </t>
        </is>
      </c>
      <c r="U2846" t="n">
        <v>20</v>
      </c>
      <c r="V2846" t="n">
        <v>20</v>
      </c>
      <c r="W2846" t="inlineStr">
        <is>
          <t>2005-10-29</t>
        </is>
      </c>
      <c r="X2846" t="inlineStr">
        <is>
          <t>2005-10-29</t>
        </is>
      </c>
      <c r="Y2846" t="inlineStr">
        <is>
          <t>1990-05-04</t>
        </is>
      </c>
      <c r="Z2846" t="inlineStr">
        <is>
          <t>1990-05-04</t>
        </is>
      </c>
      <c r="AA2846" t="n">
        <v>189</v>
      </c>
      <c r="AB2846" t="n">
        <v>167</v>
      </c>
      <c r="AC2846" t="n">
        <v>209</v>
      </c>
      <c r="AD2846" t="n">
        <v>1</v>
      </c>
      <c r="AE2846" t="n">
        <v>2</v>
      </c>
      <c r="AF2846" t="n">
        <v>8</v>
      </c>
      <c r="AG2846" t="n">
        <v>11</v>
      </c>
      <c r="AH2846" t="n">
        <v>3</v>
      </c>
      <c r="AI2846" t="n">
        <v>3</v>
      </c>
      <c r="AJ2846" t="n">
        <v>2</v>
      </c>
      <c r="AK2846" t="n">
        <v>4</v>
      </c>
      <c r="AL2846" t="n">
        <v>5</v>
      </c>
      <c r="AM2846" t="n">
        <v>7</v>
      </c>
      <c r="AN2846" t="n">
        <v>0</v>
      </c>
      <c r="AO2846" t="n">
        <v>1</v>
      </c>
      <c r="AP2846" t="n">
        <v>0</v>
      </c>
      <c r="AQ2846" t="n">
        <v>0</v>
      </c>
      <c r="AR2846" t="inlineStr">
        <is>
          <t>No</t>
        </is>
      </c>
      <c r="AS2846" t="inlineStr">
        <is>
          <t>No</t>
        </is>
      </c>
      <c r="AU2846">
        <f>HYPERLINK("https://creighton-primo.hosted.exlibrisgroup.com/primo-explore/search?tab=default_tab&amp;search_scope=EVERYTHING&amp;vid=01CRU&amp;lang=en_US&amp;offset=0&amp;query=any,contains,991001169629702656","Catalog Record")</f>
        <v/>
      </c>
      <c r="AV2846">
        <f>HYPERLINK("http://www.worldcat.org/oclc/16950376","WorldCat Record")</f>
        <v/>
      </c>
      <c r="AW2846" t="inlineStr">
        <is>
          <t>13069928:eng</t>
        </is>
      </c>
      <c r="AX2846" t="inlineStr">
        <is>
          <t>16950376</t>
        </is>
      </c>
      <c r="AY2846" t="inlineStr">
        <is>
          <t>991001169629702656</t>
        </is>
      </c>
      <c r="AZ2846" t="inlineStr">
        <is>
          <t>991001169629702656</t>
        </is>
      </c>
      <c r="BA2846" t="inlineStr">
        <is>
          <t>2262885140002656</t>
        </is>
      </c>
      <c r="BB2846" t="inlineStr">
        <is>
          <t>BOOK</t>
        </is>
      </c>
      <c r="BD2846" t="inlineStr">
        <is>
          <t>9780312015718</t>
        </is>
      </c>
      <c r="BE2846" t="inlineStr">
        <is>
          <t>32285000118306</t>
        </is>
      </c>
      <c r="BF2846" t="inlineStr">
        <is>
          <t>893778612</t>
        </is>
      </c>
    </row>
    <row r="2847">
      <c r="A2847" t="inlineStr">
        <is>
          <t>No</t>
        </is>
      </c>
      <c r="B2847" t="inlineStr">
        <is>
          <t>CURAL</t>
        </is>
      </c>
      <c r="C2847" t="inlineStr">
        <is>
          <t>SHELVES</t>
        </is>
      </c>
      <c r="D2847" t="inlineStr">
        <is>
          <t>PR6003.E282 Z98 1988</t>
        </is>
      </c>
      <c r="E2847" t="inlineStr">
        <is>
          <t>0                      PR 6003000E  282                Z  98          1988</t>
        </is>
      </c>
      <c r="F2847" t="inlineStr">
        <is>
          <t>Beckett and Proust / Nicholas Zurbrugg.</t>
        </is>
      </c>
      <c r="H2847" t="inlineStr">
        <is>
          <t>No</t>
        </is>
      </c>
      <c r="I2847" t="inlineStr">
        <is>
          <t>1</t>
        </is>
      </c>
      <c r="J2847" t="inlineStr">
        <is>
          <t>No</t>
        </is>
      </c>
      <c r="K2847" t="inlineStr">
        <is>
          <t>No</t>
        </is>
      </c>
      <c r="L2847" t="inlineStr">
        <is>
          <t>0</t>
        </is>
      </c>
      <c r="M2847" t="inlineStr">
        <is>
          <t>Zurbrugg, Nicholas.</t>
        </is>
      </c>
      <c r="N2847" t="inlineStr">
        <is>
          <t>Gerrards Cross, Bucks. : C. Smythe ; Totowa, N.J. : Barnes and Noble Books, 1988.</t>
        </is>
      </c>
      <c r="O2847" t="inlineStr">
        <is>
          <t>1988</t>
        </is>
      </c>
      <c r="Q2847" t="inlineStr">
        <is>
          <t>eng</t>
        </is>
      </c>
      <c r="R2847" t="inlineStr">
        <is>
          <t>enk</t>
        </is>
      </c>
      <c r="T2847" t="inlineStr">
        <is>
          <t xml:space="preserve">PR </t>
        </is>
      </c>
      <c r="U2847" t="n">
        <v>3</v>
      </c>
      <c r="V2847" t="n">
        <v>3</v>
      </c>
      <c r="W2847" t="inlineStr">
        <is>
          <t>2001-04-01</t>
        </is>
      </c>
      <c r="X2847" t="inlineStr">
        <is>
          <t>2001-04-01</t>
        </is>
      </c>
      <c r="Y2847" t="inlineStr">
        <is>
          <t>1991-12-10</t>
        </is>
      </c>
      <c r="Z2847" t="inlineStr">
        <is>
          <t>1991-12-10</t>
        </is>
      </c>
      <c r="AA2847" t="n">
        <v>394</v>
      </c>
      <c r="AB2847" t="n">
        <v>301</v>
      </c>
      <c r="AC2847" t="n">
        <v>301</v>
      </c>
      <c r="AD2847" t="n">
        <v>3</v>
      </c>
      <c r="AE2847" t="n">
        <v>3</v>
      </c>
      <c r="AF2847" t="n">
        <v>23</v>
      </c>
      <c r="AG2847" t="n">
        <v>23</v>
      </c>
      <c r="AH2847" t="n">
        <v>9</v>
      </c>
      <c r="AI2847" t="n">
        <v>9</v>
      </c>
      <c r="AJ2847" t="n">
        <v>9</v>
      </c>
      <c r="AK2847" t="n">
        <v>9</v>
      </c>
      <c r="AL2847" t="n">
        <v>9</v>
      </c>
      <c r="AM2847" t="n">
        <v>9</v>
      </c>
      <c r="AN2847" t="n">
        <v>2</v>
      </c>
      <c r="AO2847" t="n">
        <v>2</v>
      </c>
      <c r="AP2847" t="n">
        <v>0</v>
      </c>
      <c r="AQ2847" t="n">
        <v>0</v>
      </c>
      <c r="AR2847" t="inlineStr">
        <is>
          <t>No</t>
        </is>
      </c>
      <c r="AS2847" t="inlineStr">
        <is>
          <t>No</t>
        </is>
      </c>
      <c r="AU2847">
        <f>HYPERLINK("https://creighton-primo.hosted.exlibrisgroup.com/primo-explore/search?tab=default_tab&amp;search_scope=EVERYTHING&amp;vid=01CRU&amp;lang=en_US&amp;offset=0&amp;query=any,contains,991001225389702656","Catalog Record")</f>
        <v/>
      </c>
      <c r="AV2847">
        <f>HYPERLINK("http://www.worldcat.org/oclc/17506445","WorldCat Record")</f>
        <v/>
      </c>
      <c r="AW2847" t="inlineStr">
        <is>
          <t>15490274:eng</t>
        </is>
      </c>
      <c r="AX2847" t="inlineStr">
        <is>
          <t>17506445</t>
        </is>
      </c>
      <c r="AY2847" t="inlineStr">
        <is>
          <t>991001225389702656</t>
        </is>
      </c>
      <c r="AZ2847" t="inlineStr">
        <is>
          <t>991001225389702656</t>
        </is>
      </c>
      <c r="BA2847" t="inlineStr">
        <is>
          <t>2271616970002656</t>
        </is>
      </c>
      <c r="BB2847" t="inlineStr">
        <is>
          <t>BOOK</t>
        </is>
      </c>
      <c r="BD2847" t="inlineStr">
        <is>
          <t>9780389207849</t>
        </is>
      </c>
      <c r="BE2847" t="inlineStr">
        <is>
          <t>32285000886704</t>
        </is>
      </c>
      <c r="BF2847" t="inlineStr">
        <is>
          <t>893444626</t>
        </is>
      </c>
    </row>
    <row r="2848">
      <c r="A2848" t="inlineStr">
        <is>
          <t>No</t>
        </is>
      </c>
      <c r="B2848" t="inlineStr">
        <is>
          <t>CURAL</t>
        </is>
      </c>
      <c r="C2848" t="inlineStr">
        <is>
          <t>SHELVES</t>
        </is>
      </c>
      <c r="D2848" t="inlineStr">
        <is>
          <t>PR6003.E417 Z57 1979b</t>
        </is>
      </c>
      <c r="E2848" t="inlineStr">
        <is>
          <t>0                      PR 6003000E  417                Z  57          1979b</t>
        </is>
      </c>
      <c r="F2848" t="inlineStr">
        <is>
          <t>The Art of Brendan Behan / edited by E. H. Mikhail.</t>
        </is>
      </c>
      <c r="H2848" t="inlineStr">
        <is>
          <t>No</t>
        </is>
      </c>
      <c r="I2848" t="inlineStr">
        <is>
          <t>1</t>
        </is>
      </c>
      <c r="J2848" t="inlineStr">
        <is>
          <t>No</t>
        </is>
      </c>
      <c r="K2848" t="inlineStr">
        <is>
          <t>No</t>
        </is>
      </c>
      <c r="L2848" t="inlineStr">
        <is>
          <t>0</t>
        </is>
      </c>
      <c r="N2848" t="inlineStr">
        <is>
          <t>London : Vision Press, c1979.</t>
        </is>
      </c>
      <c r="O2848" t="inlineStr">
        <is>
          <t>1979</t>
        </is>
      </c>
      <c r="Q2848" t="inlineStr">
        <is>
          <t>eng</t>
        </is>
      </c>
      <c r="R2848" t="inlineStr">
        <is>
          <t>enk</t>
        </is>
      </c>
      <c r="S2848" t="inlineStr">
        <is>
          <t>Vision critical studies</t>
        </is>
      </c>
      <c r="T2848" t="inlineStr">
        <is>
          <t xml:space="preserve">PR </t>
        </is>
      </c>
      <c r="U2848" t="n">
        <v>10</v>
      </c>
      <c r="V2848" t="n">
        <v>10</v>
      </c>
      <c r="W2848" t="inlineStr">
        <is>
          <t>2005-12-01</t>
        </is>
      </c>
      <c r="X2848" t="inlineStr">
        <is>
          <t>2005-12-01</t>
        </is>
      </c>
      <c r="Y2848" t="inlineStr">
        <is>
          <t>1992-06-24</t>
        </is>
      </c>
      <c r="Z2848" t="inlineStr">
        <is>
          <t>1992-06-24</t>
        </is>
      </c>
      <c r="AA2848" t="n">
        <v>145</v>
      </c>
      <c r="AB2848" t="n">
        <v>59</v>
      </c>
      <c r="AC2848" t="n">
        <v>328</v>
      </c>
      <c r="AD2848" t="n">
        <v>2</v>
      </c>
      <c r="AE2848" t="n">
        <v>4</v>
      </c>
      <c r="AF2848" t="n">
        <v>2</v>
      </c>
      <c r="AG2848" t="n">
        <v>18</v>
      </c>
      <c r="AH2848" t="n">
        <v>0</v>
      </c>
      <c r="AI2848" t="n">
        <v>6</v>
      </c>
      <c r="AJ2848" t="n">
        <v>0</v>
      </c>
      <c r="AK2848" t="n">
        <v>6</v>
      </c>
      <c r="AL2848" t="n">
        <v>1</v>
      </c>
      <c r="AM2848" t="n">
        <v>8</v>
      </c>
      <c r="AN2848" t="n">
        <v>1</v>
      </c>
      <c r="AO2848" t="n">
        <v>3</v>
      </c>
      <c r="AP2848" t="n">
        <v>0</v>
      </c>
      <c r="AQ2848" t="n">
        <v>0</v>
      </c>
      <c r="AR2848" t="inlineStr">
        <is>
          <t>No</t>
        </is>
      </c>
      <c r="AS2848" t="inlineStr">
        <is>
          <t>Yes</t>
        </is>
      </c>
      <c r="AT2848">
        <f>HYPERLINK("http://catalog.hathitrust.org/Record/007854808","HathiTrust Record")</f>
        <v/>
      </c>
      <c r="AU2848">
        <f>HYPERLINK("https://creighton-primo.hosted.exlibrisgroup.com/primo-explore/search?tab=default_tab&amp;search_scope=EVERYTHING&amp;vid=01CRU&amp;lang=en_US&amp;offset=0&amp;query=any,contains,991005038029702656","Catalog Record")</f>
        <v/>
      </c>
      <c r="AV2848">
        <f>HYPERLINK("http://www.worldcat.org/oclc/6763025","WorldCat Record")</f>
        <v/>
      </c>
      <c r="AW2848" t="inlineStr">
        <is>
          <t>3855769162:eng</t>
        </is>
      </c>
      <c r="AX2848" t="inlineStr">
        <is>
          <t>6763025</t>
        </is>
      </c>
      <c r="AY2848" t="inlineStr">
        <is>
          <t>991005038029702656</t>
        </is>
      </c>
      <c r="AZ2848" t="inlineStr">
        <is>
          <t>991005038029702656</t>
        </is>
      </c>
      <c r="BA2848" t="inlineStr">
        <is>
          <t>2262701300002656</t>
        </is>
      </c>
      <c r="BB2848" t="inlineStr">
        <is>
          <t>BOOK</t>
        </is>
      </c>
      <c r="BD2848" t="inlineStr">
        <is>
          <t>9780854782246</t>
        </is>
      </c>
      <c r="BE2848" t="inlineStr">
        <is>
          <t>32285001134922</t>
        </is>
      </c>
      <c r="BF2848" t="inlineStr">
        <is>
          <t>893332313</t>
        </is>
      </c>
    </row>
    <row r="2849">
      <c r="A2849" t="inlineStr">
        <is>
          <t>No</t>
        </is>
      </c>
      <c r="B2849" t="inlineStr">
        <is>
          <t>CURAL</t>
        </is>
      </c>
      <c r="C2849" t="inlineStr">
        <is>
          <t>SHELVES</t>
        </is>
      </c>
      <c r="D2849" t="inlineStr">
        <is>
          <t>PR6003.E417 Z6</t>
        </is>
      </c>
      <c r="E2849" t="inlineStr">
        <is>
          <t>0                      PR 6003000E  417                Z  6</t>
        </is>
      </c>
      <c r="F2849" t="inlineStr">
        <is>
          <t>Brendan Behan / by Ted E. Boyle.</t>
        </is>
      </c>
      <c r="H2849" t="inlineStr">
        <is>
          <t>No</t>
        </is>
      </c>
      <c r="I2849" t="inlineStr">
        <is>
          <t>1</t>
        </is>
      </c>
      <c r="J2849" t="inlineStr">
        <is>
          <t>No</t>
        </is>
      </c>
      <c r="K2849" t="inlineStr">
        <is>
          <t>No</t>
        </is>
      </c>
      <c r="L2849" t="inlineStr">
        <is>
          <t>0</t>
        </is>
      </c>
      <c r="M2849" t="inlineStr">
        <is>
          <t>Boyle, Ted Eugene.</t>
        </is>
      </c>
      <c r="N2849" t="inlineStr">
        <is>
          <t>New York : Twayne Publishers, [c1969]</t>
        </is>
      </c>
      <c r="O2849" t="inlineStr">
        <is>
          <t>1969</t>
        </is>
      </c>
      <c r="Q2849" t="inlineStr">
        <is>
          <t>eng</t>
        </is>
      </c>
      <c r="R2849" t="inlineStr">
        <is>
          <t>nyu</t>
        </is>
      </c>
      <c r="S2849" t="inlineStr">
        <is>
          <t>Twayne's English authors series, 91</t>
        </is>
      </c>
      <c r="T2849" t="inlineStr">
        <is>
          <t xml:space="preserve">PR </t>
        </is>
      </c>
      <c r="U2849" t="n">
        <v>7</v>
      </c>
      <c r="V2849" t="n">
        <v>7</v>
      </c>
      <c r="W2849" t="inlineStr">
        <is>
          <t>2009-12-13</t>
        </is>
      </c>
      <c r="X2849" t="inlineStr">
        <is>
          <t>2009-12-13</t>
        </is>
      </c>
      <c r="Y2849" t="inlineStr">
        <is>
          <t>1992-12-22</t>
        </is>
      </c>
      <c r="Z2849" t="inlineStr">
        <is>
          <t>1992-12-22</t>
        </is>
      </c>
      <c r="AA2849" t="n">
        <v>933</v>
      </c>
      <c r="AB2849" t="n">
        <v>829</v>
      </c>
      <c r="AC2849" t="n">
        <v>839</v>
      </c>
      <c r="AD2849" t="n">
        <v>8</v>
      </c>
      <c r="AE2849" t="n">
        <v>8</v>
      </c>
      <c r="AF2849" t="n">
        <v>42</v>
      </c>
      <c r="AG2849" t="n">
        <v>42</v>
      </c>
      <c r="AH2849" t="n">
        <v>14</v>
      </c>
      <c r="AI2849" t="n">
        <v>14</v>
      </c>
      <c r="AJ2849" t="n">
        <v>10</v>
      </c>
      <c r="AK2849" t="n">
        <v>10</v>
      </c>
      <c r="AL2849" t="n">
        <v>22</v>
      </c>
      <c r="AM2849" t="n">
        <v>22</v>
      </c>
      <c r="AN2849" t="n">
        <v>7</v>
      </c>
      <c r="AO2849" t="n">
        <v>7</v>
      </c>
      <c r="AP2849" t="n">
        <v>0</v>
      </c>
      <c r="AQ2849" t="n">
        <v>0</v>
      </c>
      <c r="AR2849" t="inlineStr">
        <is>
          <t>No</t>
        </is>
      </c>
      <c r="AS2849" t="inlineStr">
        <is>
          <t>Yes</t>
        </is>
      </c>
      <c r="AT2849">
        <f>HYPERLINK("http://catalog.hathitrust.org/Record/000430492","HathiTrust Record")</f>
        <v/>
      </c>
      <c r="AU2849">
        <f>HYPERLINK("https://creighton-primo.hosted.exlibrisgroup.com/primo-explore/search?tab=default_tab&amp;search_scope=EVERYTHING&amp;vid=01CRU&amp;lang=en_US&amp;offset=0&amp;query=any,contains,991000376559702656","Catalog Record")</f>
        <v/>
      </c>
      <c r="AV2849">
        <f>HYPERLINK("http://www.worldcat.org/oclc/71963","WorldCat Record")</f>
        <v/>
      </c>
      <c r="AW2849" t="inlineStr">
        <is>
          <t>1242061:eng</t>
        </is>
      </c>
      <c r="AX2849" t="inlineStr">
        <is>
          <t>71963</t>
        </is>
      </c>
      <c r="AY2849" t="inlineStr">
        <is>
          <t>991000376559702656</t>
        </is>
      </c>
      <c r="AZ2849" t="inlineStr">
        <is>
          <t>991000376559702656</t>
        </is>
      </c>
      <c r="BA2849" t="inlineStr">
        <is>
          <t>2271076490002656</t>
        </is>
      </c>
      <c r="BB2849" t="inlineStr">
        <is>
          <t>BOOK</t>
        </is>
      </c>
      <c r="BE2849" t="inlineStr">
        <is>
          <t>32285001470417</t>
        </is>
      </c>
      <c r="BF2849" t="inlineStr">
        <is>
          <t>893890612</t>
        </is>
      </c>
    </row>
    <row r="2850">
      <c r="A2850" t="inlineStr">
        <is>
          <t>No</t>
        </is>
      </c>
      <c r="B2850" t="inlineStr">
        <is>
          <t>CURAL</t>
        </is>
      </c>
      <c r="C2850" t="inlineStr">
        <is>
          <t>SHELVES</t>
        </is>
      </c>
      <c r="D2850" t="inlineStr">
        <is>
          <t>PR6003.E417 Z625 2002</t>
        </is>
      </c>
      <c r="E2850" t="inlineStr">
        <is>
          <t>0                      PR 6003000E  417                Z  625         2002</t>
        </is>
      </c>
      <c r="F2850" t="inlineStr">
        <is>
          <t>Brendan Behan : cultural nationalism and the revisionist writer / John Brannigan.</t>
        </is>
      </c>
      <c r="H2850" t="inlineStr">
        <is>
          <t>No</t>
        </is>
      </c>
      <c r="I2850" t="inlineStr">
        <is>
          <t>1</t>
        </is>
      </c>
      <c r="J2850" t="inlineStr">
        <is>
          <t>No</t>
        </is>
      </c>
      <c r="K2850" t="inlineStr">
        <is>
          <t>No</t>
        </is>
      </c>
      <c r="L2850" t="inlineStr">
        <is>
          <t>0</t>
        </is>
      </c>
      <c r="M2850" t="inlineStr">
        <is>
          <t>Brannigan, John.</t>
        </is>
      </c>
      <c r="N2850" t="inlineStr">
        <is>
          <t>Dublin ; Portland, OR : Four Courts, c2002.</t>
        </is>
      </c>
      <c r="O2850" t="inlineStr">
        <is>
          <t>2002</t>
        </is>
      </c>
      <c r="Q2850" t="inlineStr">
        <is>
          <t>eng</t>
        </is>
      </c>
      <c r="R2850" t="inlineStr">
        <is>
          <t xml:space="preserve">ie </t>
        </is>
      </c>
      <c r="T2850" t="inlineStr">
        <is>
          <t xml:space="preserve">PR </t>
        </is>
      </c>
      <c r="U2850" t="n">
        <v>3</v>
      </c>
      <c r="V2850" t="n">
        <v>3</v>
      </c>
      <c r="W2850" t="inlineStr">
        <is>
          <t>2009-12-13</t>
        </is>
      </c>
      <c r="X2850" t="inlineStr">
        <is>
          <t>2009-12-13</t>
        </is>
      </c>
      <c r="Y2850" t="inlineStr">
        <is>
          <t>2004-04-22</t>
        </is>
      </c>
      <c r="Z2850" t="inlineStr">
        <is>
          <t>2004-04-22</t>
        </is>
      </c>
      <c r="AA2850" t="n">
        <v>255</v>
      </c>
      <c r="AB2850" t="n">
        <v>192</v>
      </c>
      <c r="AC2850" t="n">
        <v>196</v>
      </c>
      <c r="AD2850" t="n">
        <v>1</v>
      </c>
      <c r="AE2850" t="n">
        <v>1</v>
      </c>
      <c r="AF2850" t="n">
        <v>14</v>
      </c>
      <c r="AG2850" t="n">
        <v>14</v>
      </c>
      <c r="AH2850" t="n">
        <v>4</v>
      </c>
      <c r="AI2850" t="n">
        <v>4</v>
      </c>
      <c r="AJ2850" t="n">
        <v>5</v>
      </c>
      <c r="AK2850" t="n">
        <v>5</v>
      </c>
      <c r="AL2850" t="n">
        <v>10</v>
      </c>
      <c r="AM2850" t="n">
        <v>10</v>
      </c>
      <c r="AN2850" t="n">
        <v>0</v>
      </c>
      <c r="AO2850" t="n">
        <v>0</v>
      </c>
      <c r="AP2850" t="n">
        <v>0</v>
      </c>
      <c r="AQ2850" t="n">
        <v>0</v>
      </c>
      <c r="AR2850" t="inlineStr">
        <is>
          <t>No</t>
        </is>
      </c>
      <c r="AS2850" t="inlineStr">
        <is>
          <t>Yes</t>
        </is>
      </c>
      <c r="AT2850">
        <f>HYPERLINK("http://catalog.hathitrust.org/Record/004253417","HathiTrust Record")</f>
        <v/>
      </c>
      <c r="AU2850">
        <f>HYPERLINK("https://creighton-primo.hosted.exlibrisgroup.com/primo-explore/search?tab=default_tab&amp;search_scope=EVERYTHING&amp;vid=01CRU&amp;lang=en_US&amp;offset=0&amp;query=any,contains,991004243579702656","Catalog Record")</f>
        <v/>
      </c>
      <c r="AV2850">
        <f>HYPERLINK("http://www.worldcat.org/oclc/48884094","WorldCat Record")</f>
        <v/>
      </c>
      <c r="AW2850" t="inlineStr">
        <is>
          <t>345840574:eng</t>
        </is>
      </c>
      <c r="AX2850" t="inlineStr">
        <is>
          <t>48884094</t>
        </is>
      </c>
      <c r="AY2850" t="inlineStr">
        <is>
          <t>991004243579702656</t>
        </is>
      </c>
      <c r="AZ2850" t="inlineStr">
        <is>
          <t>991004243579702656</t>
        </is>
      </c>
      <c r="BA2850" t="inlineStr">
        <is>
          <t>2271652020002656</t>
        </is>
      </c>
      <c r="BB2850" t="inlineStr">
        <is>
          <t>BOOK</t>
        </is>
      </c>
      <c r="BD2850" t="inlineStr">
        <is>
          <t>9781851826698</t>
        </is>
      </c>
      <c r="BE2850" t="inlineStr">
        <is>
          <t>32285004902325</t>
        </is>
      </c>
      <c r="BF2850" t="inlineStr">
        <is>
          <t>893436054</t>
        </is>
      </c>
    </row>
    <row r="2851">
      <c r="A2851" t="inlineStr">
        <is>
          <t>No</t>
        </is>
      </c>
      <c r="B2851" t="inlineStr">
        <is>
          <t>CURAL</t>
        </is>
      </c>
      <c r="C2851" t="inlineStr">
        <is>
          <t>SHELVES</t>
        </is>
      </c>
      <c r="D2851" t="inlineStr">
        <is>
          <t>PR6003.E417 Z74 1977b</t>
        </is>
      </c>
      <c r="E2851" t="inlineStr">
        <is>
          <t>0                      PR 6003000E  417                Z  74          1977b</t>
        </is>
      </c>
      <c r="F2851" t="inlineStr">
        <is>
          <t>The writings of Brendan Behan / Colbert Kearney.</t>
        </is>
      </c>
      <c r="H2851" t="inlineStr">
        <is>
          <t>No</t>
        </is>
      </c>
      <c r="I2851" t="inlineStr">
        <is>
          <t>1</t>
        </is>
      </c>
      <c r="J2851" t="inlineStr">
        <is>
          <t>No</t>
        </is>
      </c>
      <c r="K2851" t="inlineStr">
        <is>
          <t>No</t>
        </is>
      </c>
      <c r="L2851" t="inlineStr">
        <is>
          <t>0</t>
        </is>
      </c>
      <c r="M2851" t="inlineStr">
        <is>
          <t>Kearney, Colbert.</t>
        </is>
      </c>
      <c r="N2851" t="inlineStr">
        <is>
          <t>New York : St. Martin's Press, 1977.</t>
        </is>
      </c>
      <c r="O2851" t="inlineStr">
        <is>
          <t>1977</t>
        </is>
      </c>
      <c r="Q2851" t="inlineStr">
        <is>
          <t>eng</t>
        </is>
      </c>
      <c r="R2851" t="inlineStr">
        <is>
          <t>nyu</t>
        </is>
      </c>
      <c r="T2851" t="inlineStr">
        <is>
          <t xml:space="preserve">PR </t>
        </is>
      </c>
      <c r="U2851" t="n">
        <v>9</v>
      </c>
      <c r="V2851" t="n">
        <v>9</v>
      </c>
      <c r="W2851" t="inlineStr">
        <is>
          <t>2009-12-13</t>
        </is>
      </c>
      <c r="X2851" t="inlineStr">
        <is>
          <t>2009-12-13</t>
        </is>
      </c>
      <c r="Y2851" t="inlineStr">
        <is>
          <t>1992-06-24</t>
        </is>
      </c>
      <c r="Z2851" t="inlineStr">
        <is>
          <t>1992-06-24</t>
        </is>
      </c>
      <c r="AA2851" t="n">
        <v>446</v>
      </c>
      <c r="AB2851" t="n">
        <v>420</v>
      </c>
      <c r="AC2851" t="n">
        <v>496</v>
      </c>
      <c r="AD2851" t="n">
        <v>4</v>
      </c>
      <c r="AE2851" t="n">
        <v>6</v>
      </c>
      <c r="AF2851" t="n">
        <v>27</v>
      </c>
      <c r="AG2851" t="n">
        <v>31</v>
      </c>
      <c r="AH2851" t="n">
        <v>13</v>
      </c>
      <c r="AI2851" t="n">
        <v>13</v>
      </c>
      <c r="AJ2851" t="n">
        <v>7</v>
      </c>
      <c r="AK2851" t="n">
        <v>8</v>
      </c>
      <c r="AL2851" t="n">
        <v>11</v>
      </c>
      <c r="AM2851" t="n">
        <v>13</v>
      </c>
      <c r="AN2851" t="n">
        <v>3</v>
      </c>
      <c r="AO2851" t="n">
        <v>5</v>
      </c>
      <c r="AP2851" t="n">
        <v>0</v>
      </c>
      <c r="AQ2851" t="n">
        <v>0</v>
      </c>
      <c r="AR2851" t="inlineStr">
        <is>
          <t>No</t>
        </is>
      </c>
      <c r="AS2851" t="inlineStr">
        <is>
          <t>No</t>
        </is>
      </c>
      <c r="AU2851">
        <f>HYPERLINK("https://creighton-primo.hosted.exlibrisgroup.com/primo-explore/search?tab=default_tab&amp;search_scope=EVERYTHING&amp;vid=01CRU&amp;lang=en_US&amp;offset=0&amp;query=any,contains,991004407169702656","Catalog Record")</f>
        <v/>
      </c>
      <c r="AV2851">
        <f>HYPERLINK("http://www.worldcat.org/oclc/3327152","WorldCat Record")</f>
        <v/>
      </c>
      <c r="AW2851" t="inlineStr">
        <is>
          <t>9677680:eng</t>
        </is>
      </c>
      <c r="AX2851" t="inlineStr">
        <is>
          <t>3327152</t>
        </is>
      </c>
      <c r="AY2851" t="inlineStr">
        <is>
          <t>991004407169702656</t>
        </is>
      </c>
      <c r="AZ2851" t="inlineStr">
        <is>
          <t>991004407169702656</t>
        </is>
      </c>
      <c r="BA2851" t="inlineStr">
        <is>
          <t>2267516570002656</t>
        </is>
      </c>
      <c r="BB2851" t="inlineStr">
        <is>
          <t>BOOK</t>
        </is>
      </c>
      <c r="BD2851" t="inlineStr">
        <is>
          <t>9780312894429</t>
        </is>
      </c>
      <c r="BE2851" t="inlineStr">
        <is>
          <t>32285001134955</t>
        </is>
      </c>
      <c r="BF2851" t="inlineStr">
        <is>
          <t>893775991</t>
        </is>
      </c>
    </row>
    <row r="2852">
      <c r="A2852" t="inlineStr">
        <is>
          <t>No</t>
        </is>
      </c>
      <c r="B2852" t="inlineStr">
        <is>
          <t>CURAL</t>
        </is>
      </c>
      <c r="C2852" t="inlineStr">
        <is>
          <t>SHELVES</t>
        </is>
      </c>
      <c r="D2852" t="inlineStr">
        <is>
          <t>PR6003.E417 Z76</t>
        </is>
      </c>
      <c r="E2852" t="inlineStr">
        <is>
          <t>0                      PR 6003000E  417                Z  76</t>
        </is>
      </c>
      <c r="F2852" t="inlineStr">
        <is>
          <t>The world of Brendan Behan / drawings by Liam C. Martin.</t>
        </is>
      </c>
      <c r="H2852" t="inlineStr">
        <is>
          <t>No</t>
        </is>
      </c>
      <c r="I2852" t="inlineStr">
        <is>
          <t>1</t>
        </is>
      </c>
      <c r="J2852" t="inlineStr">
        <is>
          <t>No</t>
        </is>
      </c>
      <c r="K2852" t="inlineStr">
        <is>
          <t>No</t>
        </is>
      </c>
      <c r="L2852" t="inlineStr">
        <is>
          <t>0</t>
        </is>
      </c>
      <c r="M2852" t="inlineStr">
        <is>
          <t>McCann, Sean, editor.</t>
        </is>
      </c>
      <c r="N2852" t="inlineStr">
        <is>
          <t>New York : Twayne Publishers, [1966, c1965]</t>
        </is>
      </c>
      <c r="O2852" t="inlineStr">
        <is>
          <t>1966</t>
        </is>
      </c>
      <c r="Q2852" t="inlineStr">
        <is>
          <t>eng</t>
        </is>
      </c>
      <c r="R2852" t="inlineStr">
        <is>
          <t>nyu</t>
        </is>
      </c>
      <c r="T2852" t="inlineStr">
        <is>
          <t xml:space="preserve">PR </t>
        </is>
      </c>
      <c r="U2852" t="n">
        <v>5</v>
      </c>
      <c r="V2852" t="n">
        <v>5</v>
      </c>
      <c r="W2852" t="inlineStr">
        <is>
          <t>2004-04-20</t>
        </is>
      </c>
      <c r="X2852" t="inlineStr">
        <is>
          <t>2004-04-20</t>
        </is>
      </c>
      <c r="Y2852" t="inlineStr">
        <is>
          <t>1992-12-10</t>
        </is>
      </c>
      <c r="Z2852" t="inlineStr">
        <is>
          <t>1992-12-10</t>
        </is>
      </c>
      <c r="AA2852" t="n">
        <v>450</v>
      </c>
      <c r="AB2852" t="n">
        <v>405</v>
      </c>
      <c r="AC2852" t="n">
        <v>435</v>
      </c>
      <c r="AD2852" t="n">
        <v>5</v>
      </c>
      <c r="AE2852" t="n">
        <v>5</v>
      </c>
      <c r="AF2852" t="n">
        <v>18</v>
      </c>
      <c r="AG2852" t="n">
        <v>18</v>
      </c>
      <c r="AH2852" t="n">
        <v>6</v>
      </c>
      <c r="AI2852" t="n">
        <v>6</v>
      </c>
      <c r="AJ2852" t="n">
        <v>4</v>
      </c>
      <c r="AK2852" t="n">
        <v>4</v>
      </c>
      <c r="AL2852" t="n">
        <v>7</v>
      </c>
      <c r="AM2852" t="n">
        <v>7</v>
      </c>
      <c r="AN2852" t="n">
        <v>4</v>
      </c>
      <c r="AO2852" t="n">
        <v>4</v>
      </c>
      <c r="AP2852" t="n">
        <v>0</v>
      </c>
      <c r="AQ2852" t="n">
        <v>0</v>
      </c>
      <c r="AR2852" t="inlineStr">
        <is>
          <t>No</t>
        </is>
      </c>
      <c r="AS2852" t="inlineStr">
        <is>
          <t>No</t>
        </is>
      </c>
      <c r="AU2852">
        <f>HYPERLINK("https://creighton-primo.hosted.exlibrisgroup.com/primo-explore/search?tab=default_tab&amp;search_scope=EVERYTHING&amp;vid=01CRU&amp;lang=en_US&amp;offset=0&amp;query=any,contains,991003465359702656","Catalog Record")</f>
        <v/>
      </c>
      <c r="AV2852">
        <f>HYPERLINK("http://www.worldcat.org/oclc/1007108","WorldCat Record")</f>
        <v/>
      </c>
      <c r="AW2852" t="inlineStr">
        <is>
          <t>1652820:eng</t>
        </is>
      </c>
      <c r="AX2852" t="inlineStr">
        <is>
          <t>1007108</t>
        </is>
      </c>
      <c r="AY2852" t="inlineStr">
        <is>
          <t>991003465359702656</t>
        </is>
      </c>
      <c r="AZ2852" t="inlineStr">
        <is>
          <t>991003465359702656</t>
        </is>
      </c>
      <c r="BA2852" t="inlineStr">
        <is>
          <t>2262403250002656</t>
        </is>
      </c>
      <c r="BB2852" t="inlineStr">
        <is>
          <t>BOOK</t>
        </is>
      </c>
      <c r="BE2852" t="inlineStr">
        <is>
          <t>32285001414266</t>
        </is>
      </c>
      <c r="BF2852" t="inlineStr">
        <is>
          <t>893435009</t>
        </is>
      </c>
    </row>
    <row r="2853">
      <c r="A2853" t="inlineStr">
        <is>
          <t>No</t>
        </is>
      </c>
      <c r="B2853" t="inlineStr">
        <is>
          <t>CURAL</t>
        </is>
      </c>
      <c r="C2853" t="inlineStr">
        <is>
          <t>SHELVES</t>
        </is>
      </c>
      <c r="D2853" t="inlineStr">
        <is>
          <t>PR6003.E417 Z8 1971</t>
        </is>
      </c>
      <c r="E2853" t="inlineStr">
        <is>
          <t>0                      PR 6003000E  417                Z  8           1971</t>
        </is>
      </c>
      <c r="F2853" t="inlineStr">
        <is>
          <t>Brendan.</t>
        </is>
      </c>
      <c r="H2853" t="inlineStr">
        <is>
          <t>No</t>
        </is>
      </c>
      <c r="I2853" t="inlineStr">
        <is>
          <t>1</t>
        </is>
      </c>
      <c r="J2853" t="inlineStr">
        <is>
          <t>No</t>
        </is>
      </c>
      <c r="K2853" t="inlineStr">
        <is>
          <t>No</t>
        </is>
      </c>
      <c r="L2853" t="inlineStr">
        <is>
          <t>0</t>
        </is>
      </c>
      <c r="M2853" t="inlineStr">
        <is>
          <t>O'Connor, Ulick.</t>
        </is>
      </c>
      <c r="N2853" t="inlineStr">
        <is>
          <t>Englewood Cliffs, N.J. : Prentice-Hall, [1971, c1970]</t>
        </is>
      </c>
      <c r="O2853" t="inlineStr">
        <is>
          <t>1971</t>
        </is>
      </c>
      <c r="P2853" t="inlineStr">
        <is>
          <t>[1st American ed.]</t>
        </is>
      </c>
      <c r="Q2853" t="inlineStr">
        <is>
          <t>eng</t>
        </is>
      </c>
      <c r="R2853" t="inlineStr">
        <is>
          <t>nju</t>
        </is>
      </c>
      <c r="T2853" t="inlineStr">
        <is>
          <t xml:space="preserve">PR </t>
        </is>
      </c>
      <c r="U2853" t="n">
        <v>2</v>
      </c>
      <c r="V2853" t="n">
        <v>2</v>
      </c>
      <c r="W2853" t="inlineStr">
        <is>
          <t>1993-11-23</t>
        </is>
      </c>
      <c r="X2853" t="inlineStr">
        <is>
          <t>1993-11-23</t>
        </is>
      </c>
      <c r="Y2853" t="inlineStr">
        <is>
          <t>1992-12-10</t>
        </is>
      </c>
      <c r="Z2853" t="inlineStr">
        <is>
          <t>1992-12-10</t>
        </is>
      </c>
      <c r="AA2853" t="n">
        <v>554</v>
      </c>
      <c r="AB2853" t="n">
        <v>535</v>
      </c>
      <c r="AC2853" t="n">
        <v>568</v>
      </c>
      <c r="AD2853" t="n">
        <v>6</v>
      </c>
      <c r="AE2853" t="n">
        <v>6</v>
      </c>
      <c r="AF2853" t="n">
        <v>27</v>
      </c>
      <c r="AG2853" t="n">
        <v>30</v>
      </c>
      <c r="AH2853" t="n">
        <v>9</v>
      </c>
      <c r="AI2853" t="n">
        <v>11</v>
      </c>
      <c r="AJ2853" t="n">
        <v>7</v>
      </c>
      <c r="AK2853" t="n">
        <v>9</v>
      </c>
      <c r="AL2853" t="n">
        <v>12</v>
      </c>
      <c r="AM2853" t="n">
        <v>12</v>
      </c>
      <c r="AN2853" t="n">
        <v>5</v>
      </c>
      <c r="AO2853" t="n">
        <v>5</v>
      </c>
      <c r="AP2853" t="n">
        <v>0</v>
      </c>
      <c r="AQ2853" t="n">
        <v>0</v>
      </c>
      <c r="AR2853" t="inlineStr">
        <is>
          <t>No</t>
        </is>
      </c>
      <c r="AS2853" t="inlineStr">
        <is>
          <t>Yes</t>
        </is>
      </c>
      <c r="AT2853">
        <f>HYPERLINK("http://catalog.hathitrust.org/Record/000685451","HathiTrust Record")</f>
        <v/>
      </c>
      <c r="AU2853">
        <f>HYPERLINK("https://creighton-primo.hosted.exlibrisgroup.com/primo-explore/search?tab=default_tab&amp;search_scope=EVERYTHING&amp;vid=01CRU&amp;lang=en_US&amp;offset=0&amp;query=any,contains,991000945469702656","Catalog Record")</f>
        <v/>
      </c>
      <c r="AV2853">
        <f>HYPERLINK("http://www.worldcat.org/oclc/166998","WorldCat Record")</f>
        <v/>
      </c>
      <c r="AW2853" t="inlineStr">
        <is>
          <t>1286377:eng</t>
        </is>
      </c>
      <c r="AX2853" t="inlineStr">
        <is>
          <t>166998</t>
        </is>
      </c>
      <c r="AY2853" t="inlineStr">
        <is>
          <t>991000945469702656</t>
        </is>
      </c>
      <c r="AZ2853" t="inlineStr">
        <is>
          <t>991000945469702656</t>
        </is>
      </c>
      <c r="BA2853" t="inlineStr">
        <is>
          <t>2271307790002656</t>
        </is>
      </c>
      <c r="BB2853" t="inlineStr">
        <is>
          <t>BOOK</t>
        </is>
      </c>
      <c r="BD2853" t="inlineStr">
        <is>
          <t>9780130818515</t>
        </is>
      </c>
      <c r="BE2853" t="inlineStr">
        <is>
          <t>32285001414258</t>
        </is>
      </c>
      <c r="BF2853" t="inlineStr">
        <is>
          <t>893602184</t>
        </is>
      </c>
    </row>
    <row r="2854">
      <c r="A2854" t="inlineStr">
        <is>
          <t>No</t>
        </is>
      </c>
      <c r="B2854" t="inlineStr">
        <is>
          <t>CURAL</t>
        </is>
      </c>
      <c r="C2854" t="inlineStr">
        <is>
          <t>SHELVES</t>
        </is>
      </c>
      <c r="D2854" t="inlineStr">
        <is>
          <t>PR6003.E417 Z83 1999</t>
        </is>
      </c>
      <c r="E2854" t="inlineStr">
        <is>
          <t>0                      PR 6003000E  417                Z  83          1999</t>
        </is>
      </c>
      <c r="F2854" t="inlineStr">
        <is>
          <t>Brendan Behan : a life / Michael O'Sullivan.</t>
        </is>
      </c>
      <c r="H2854" t="inlineStr">
        <is>
          <t>No</t>
        </is>
      </c>
      <c r="I2854" t="inlineStr">
        <is>
          <t>1</t>
        </is>
      </c>
      <c r="J2854" t="inlineStr">
        <is>
          <t>No</t>
        </is>
      </c>
      <c r="K2854" t="inlineStr">
        <is>
          <t>No</t>
        </is>
      </c>
      <c r="L2854" t="inlineStr">
        <is>
          <t>0</t>
        </is>
      </c>
      <c r="M2854" t="inlineStr">
        <is>
          <t>O'Sullivan, Michael, 1974-</t>
        </is>
      </c>
      <c r="N2854" t="inlineStr">
        <is>
          <t>Boulder, CO : Roberts Rinehart, 1999.</t>
        </is>
      </c>
      <c r="O2854" t="inlineStr">
        <is>
          <t>1999</t>
        </is>
      </c>
      <c r="Q2854" t="inlineStr">
        <is>
          <t>eng</t>
        </is>
      </c>
      <c r="R2854" t="inlineStr">
        <is>
          <t>cou</t>
        </is>
      </c>
      <c r="T2854" t="inlineStr">
        <is>
          <t xml:space="preserve">PR </t>
        </is>
      </c>
      <c r="U2854" t="n">
        <v>1</v>
      </c>
      <c r="V2854" t="n">
        <v>1</v>
      </c>
      <c r="W2854" t="inlineStr">
        <is>
          <t>2005-02-01</t>
        </is>
      </c>
      <c r="X2854" t="inlineStr">
        <is>
          <t>2005-02-01</t>
        </is>
      </c>
      <c r="Y2854" t="inlineStr">
        <is>
          <t>2005-02-01</t>
        </is>
      </c>
      <c r="Z2854" t="inlineStr">
        <is>
          <t>2005-02-01</t>
        </is>
      </c>
      <c r="AA2854" t="n">
        <v>295</v>
      </c>
      <c r="AB2854" t="n">
        <v>272</v>
      </c>
      <c r="AC2854" t="n">
        <v>357</v>
      </c>
      <c r="AD2854" t="n">
        <v>1</v>
      </c>
      <c r="AE2854" t="n">
        <v>1</v>
      </c>
      <c r="AF2854" t="n">
        <v>11</v>
      </c>
      <c r="AG2854" t="n">
        <v>17</v>
      </c>
      <c r="AH2854" t="n">
        <v>5</v>
      </c>
      <c r="AI2854" t="n">
        <v>6</v>
      </c>
      <c r="AJ2854" t="n">
        <v>2</v>
      </c>
      <c r="AK2854" t="n">
        <v>7</v>
      </c>
      <c r="AL2854" t="n">
        <v>8</v>
      </c>
      <c r="AM2854" t="n">
        <v>11</v>
      </c>
      <c r="AN2854" t="n">
        <v>0</v>
      </c>
      <c r="AO2854" t="n">
        <v>0</v>
      </c>
      <c r="AP2854" t="n">
        <v>0</v>
      </c>
      <c r="AQ2854" t="n">
        <v>0</v>
      </c>
      <c r="AR2854" t="inlineStr">
        <is>
          <t>No</t>
        </is>
      </c>
      <c r="AS2854" t="inlineStr">
        <is>
          <t>Yes</t>
        </is>
      </c>
      <c r="AT2854">
        <f>HYPERLINK("http://catalog.hathitrust.org/Record/009924972","HathiTrust Record")</f>
        <v/>
      </c>
      <c r="AU2854">
        <f>HYPERLINK("https://creighton-primo.hosted.exlibrisgroup.com/primo-explore/search?tab=default_tab&amp;search_scope=EVERYTHING&amp;vid=01CRU&amp;lang=en_US&amp;offset=0&amp;query=any,contains,991004416689702656","Catalog Record")</f>
        <v/>
      </c>
      <c r="AV2854">
        <f>HYPERLINK("http://www.worldcat.org/oclc/41436376","WorldCat Record")</f>
        <v/>
      </c>
      <c r="AW2854" t="inlineStr">
        <is>
          <t>292565857:eng</t>
        </is>
      </c>
      <c r="AX2854" t="inlineStr">
        <is>
          <t>41436376</t>
        </is>
      </c>
      <c r="AY2854" t="inlineStr">
        <is>
          <t>991004416689702656</t>
        </is>
      </c>
      <c r="AZ2854" t="inlineStr">
        <is>
          <t>991004416689702656</t>
        </is>
      </c>
      <c r="BA2854" t="inlineStr">
        <is>
          <t>2269948690002656</t>
        </is>
      </c>
      <c r="BB2854" t="inlineStr">
        <is>
          <t>BOOK</t>
        </is>
      </c>
      <c r="BD2854" t="inlineStr">
        <is>
          <t>9781570982743</t>
        </is>
      </c>
      <c r="BE2854" t="inlineStr">
        <is>
          <t>32285005024335</t>
        </is>
      </c>
      <c r="BF2854" t="inlineStr">
        <is>
          <t>893331561</t>
        </is>
      </c>
    </row>
    <row r="2855">
      <c r="A2855" t="inlineStr">
        <is>
          <t>No</t>
        </is>
      </c>
      <c r="B2855" t="inlineStr">
        <is>
          <t>CURAL</t>
        </is>
      </c>
      <c r="C2855" t="inlineStr">
        <is>
          <t>SHELVES</t>
        </is>
      </c>
      <c r="D2855" t="inlineStr">
        <is>
          <t>PR6003.E45 Z893 1984</t>
        </is>
      </c>
      <c r="E2855" t="inlineStr">
        <is>
          <t>0                      PR 6003000E  45                 Z  893         1984</t>
        </is>
      </c>
      <c r="F2855" t="inlineStr">
        <is>
          <t>Hilaire Belloc / A.N. Wilson.</t>
        </is>
      </c>
      <c r="H2855" t="inlineStr">
        <is>
          <t>No</t>
        </is>
      </c>
      <c r="I2855" t="inlineStr">
        <is>
          <t>1</t>
        </is>
      </c>
      <c r="J2855" t="inlineStr">
        <is>
          <t>No</t>
        </is>
      </c>
      <c r="K2855" t="inlineStr">
        <is>
          <t>No</t>
        </is>
      </c>
      <c r="L2855" t="inlineStr">
        <is>
          <t>0</t>
        </is>
      </c>
      <c r="M2855" t="inlineStr">
        <is>
          <t>Wilson, A. N., 1950-</t>
        </is>
      </c>
      <c r="N2855" t="inlineStr">
        <is>
          <t>New York : Atheneum, 1984.</t>
        </is>
      </c>
      <c r="O2855" t="inlineStr">
        <is>
          <t>1984</t>
        </is>
      </c>
      <c r="P2855" t="inlineStr">
        <is>
          <t>1st American ed.</t>
        </is>
      </c>
      <c r="Q2855" t="inlineStr">
        <is>
          <t>eng</t>
        </is>
      </c>
      <c r="R2855" t="inlineStr">
        <is>
          <t>nyu</t>
        </is>
      </c>
      <c r="T2855" t="inlineStr">
        <is>
          <t xml:space="preserve">PR </t>
        </is>
      </c>
      <c r="U2855" t="n">
        <v>2</v>
      </c>
      <c r="V2855" t="n">
        <v>2</v>
      </c>
      <c r="W2855" t="inlineStr">
        <is>
          <t>1996-07-07</t>
        </is>
      </c>
      <c r="X2855" t="inlineStr">
        <is>
          <t>1996-07-07</t>
        </is>
      </c>
      <c r="Y2855" t="inlineStr">
        <is>
          <t>1992-06-24</t>
        </is>
      </c>
      <c r="Z2855" t="inlineStr">
        <is>
          <t>1992-06-24</t>
        </is>
      </c>
      <c r="AA2855" t="n">
        <v>639</v>
      </c>
      <c r="AB2855" t="n">
        <v>606</v>
      </c>
      <c r="AC2855" t="n">
        <v>684</v>
      </c>
      <c r="AD2855" t="n">
        <v>3</v>
      </c>
      <c r="AE2855" t="n">
        <v>4</v>
      </c>
      <c r="AF2855" t="n">
        <v>34</v>
      </c>
      <c r="AG2855" t="n">
        <v>37</v>
      </c>
      <c r="AH2855" t="n">
        <v>13</v>
      </c>
      <c r="AI2855" t="n">
        <v>14</v>
      </c>
      <c r="AJ2855" t="n">
        <v>10</v>
      </c>
      <c r="AK2855" t="n">
        <v>10</v>
      </c>
      <c r="AL2855" t="n">
        <v>22</v>
      </c>
      <c r="AM2855" t="n">
        <v>23</v>
      </c>
      <c r="AN2855" t="n">
        <v>1</v>
      </c>
      <c r="AO2855" t="n">
        <v>2</v>
      </c>
      <c r="AP2855" t="n">
        <v>0</v>
      </c>
      <c r="AQ2855" t="n">
        <v>0</v>
      </c>
      <c r="AR2855" t="inlineStr">
        <is>
          <t>No</t>
        </is>
      </c>
      <c r="AS2855" t="inlineStr">
        <is>
          <t>Yes</t>
        </is>
      </c>
      <c r="AT2855">
        <f>HYPERLINK("http://catalog.hathitrust.org/Record/102002931","HathiTrust Record")</f>
        <v/>
      </c>
      <c r="AU2855">
        <f>HYPERLINK("https://creighton-primo.hosted.exlibrisgroup.com/primo-explore/search?tab=default_tab&amp;search_scope=EVERYTHING&amp;vid=01CRU&amp;lang=en_US&amp;offset=0&amp;query=any,contains,991000378689702656","Catalog Record")</f>
        <v/>
      </c>
      <c r="AV2855">
        <f>HYPERLINK("http://www.worldcat.org/oclc/10483433","WorldCat Record")</f>
        <v/>
      </c>
      <c r="AW2855" t="inlineStr">
        <is>
          <t>3335651:eng</t>
        </is>
      </c>
      <c r="AX2855" t="inlineStr">
        <is>
          <t>10483433</t>
        </is>
      </c>
      <c r="AY2855" t="inlineStr">
        <is>
          <t>991000378689702656</t>
        </is>
      </c>
      <c r="AZ2855" t="inlineStr">
        <is>
          <t>991000378689702656</t>
        </is>
      </c>
      <c r="BA2855" t="inlineStr">
        <is>
          <t>2263341030002656</t>
        </is>
      </c>
      <c r="BB2855" t="inlineStr">
        <is>
          <t>BOOK</t>
        </is>
      </c>
      <c r="BD2855" t="inlineStr">
        <is>
          <t>9780689114403</t>
        </is>
      </c>
      <c r="BE2855" t="inlineStr">
        <is>
          <t>32285001135002</t>
        </is>
      </c>
      <c r="BF2855" t="inlineStr">
        <is>
          <t>893890614</t>
        </is>
      </c>
    </row>
    <row r="2856">
      <c r="A2856" t="inlineStr">
        <is>
          <t>No</t>
        </is>
      </c>
      <c r="B2856" t="inlineStr">
        <is>
          <t>CURAL</t>
        </is>
      </c>
      <c r="C2856" t="inlineStr">
        <is>
          <t>SHELVES</t>
        </is>
      </c>
      <c r="D2856" t="inlineStr">
        <is>
          <t>PR6003.E6 Z93</t>
        </is>
      </c>
      <c r="E2856" t="inlineStr">
        <is>
          <t>0                      PR 6003000E  6                  Z  93</t>
        </is>
      </c>
      <c r="F2856" t="inlineStr">
        <is>
          <t>Arnold Bennett: romantic realist [by] Walter F. Wright.</t>
        </is>
      </c>
      <c r="H2856" t="inlineStr">
        <is>
          <t>No</t>
        </is>
      </c>
      <c r="I2856" t="inlineStr">
        <is>
          <t>1</t>
        </is>
      </c>
      <c r="J2856" t="inlineStr">
        <is>
          <t>No</t>
        </is>
      </c>
      <c r="K2856" t="inlineStr">
        <is>
          <t>No</t>
        </is>
      </c>
      <c r="L2856" t="inlineStr">
        <is>
          <t>0</t>
        </is>
      </c>
      <c r="M2856" t="inlineStr">
        <is>
          <t>Wright, Walter Francis, 1912-</t>
        </is>
      </c>
      <c r="N2856" t="inlineStr">
        <is>
          <t>Lincoln, University of Nebraska Press [1971]</t>
        </is>
      </c>
      <c r="O2856" t="inlineStr">
        <is>
          <t>1971</t>
        </is>
      </c>
      <c r="Q2856" t="inlineStr">
        <is>
          <t>eng</t>
        </is>
      </c>
      <c r="R2856" t="inlineStr">
        <is>
          <t>nbu</t>
        </is>
      </c>
      <c r="T2856" t="inlineStr">
        <is>
          <t xml:space="preserve">PR </t>
        </is>
      </c>
      <c r="U2856" t="n">
        <v>1</v>
      </c>
      <c r="V2856" t="n">
        <v>1</v>
      </c>
      <c r="W2856" t="inlineStr">
        <is>
          <t>2000-07-01</t>
        </is>
      </c>
      <c r="X2856" t="inlineStr">
        <is>
          <t>2000-07-01</t>
        </is>
      </c>
      <c r="Y2856" t="inlineStr">
        <is>
          <t>1997-07-23</t>
        </is>
      </c>
      <c r="Z2856" t="inlineStr">
        <is>
          <t>1997-07-23</t>
        </is>
      </c>
      <c r="AA2856" t="n">
        <v>549</v>
      </c>
      <c r="AB2856" t="n">
        <v>455</v>
      </c>
      <c r="AC2856" t="n">
        <v>468</v>
      </c>
      <c r="AD2856" t="n">
        <v>7</v>
      </c>
      <c r="AE2856" t="n">
        <v>7</v>
      </c>
      <c r="AF2856" t="n">
        <v>28</v>
      </c>
      <c r="AG2856" t="n">
        <v>30</v>
      </c>
      <c r="AH2856" t="n">
        <v>9</v>
      </c>
      <c r="AI2856" t="n">
        <v>10</v>
      </c>
      <c r="AJ2856" t="n">
        <v>6</v>
      </c>
      <c r="AK2856" t="n">
        <v>7</v>
      </c>
      <c r="AL2856" t="n">
        <v>16</v>
      </c>
      <c r="AM2856" t="n">
        <v>16</v>
      </c>
      <c r="AN2856" t="n">
        <v>5</v>
      </c>
      <c r="AO2856" t="n">
        <v>5</v>
      </c>
      <c r="AP2856" t="n">
        <v>0</v>
      </c>
      <c r="AQ2856" t="n">
        <v>0</v>
      </c>
      <c r="AR2856" t="inlineStr">
        <is>
          <t>No</t>
        </is>
      </c>
      <c r="AS2856" t="inlineStr">
        <is>
          <t>Yes</t>
        </is>
      </c>
      <c r="AT2856">
        <f>HYPERLINK("http://catalog.hathitrust.org/Record/000427795","HathiTrust Record")</f>
        <v/>
      </c>
      <c r="AU2856">
        <f>HYPERLINK("https://creighton-primo.hosted.exlibrisgroup.com/primo-explore/search?tab=default_tab&amp;search_scope=EVERYTHING&amp;vid=01CRU&amp;lang=en_US&amp;offset=0&amp;query=any,contains,991001100289702656","Catalog Record")</f>
        <v/>
      </c>
      <c r="AV2856">
        <f>HYPERLINK("http://www.worldcat.org/oclc/183483","WorldCat Record")</f>
        <v/>
      </c>
      <c r="AW2856" t="inlineStr">
        <is>
          <t>1329142:eng</t>
        </is>
      </c>
      <c r="AX2856" t="inlineStr">
        <is>
          <t>183483</t>
        </is>
      </c>
      <c r="AY2856" t="inlineStr">
        <is>
          <t>991001100289702656</t>
        </is>
      </c>
      <c r="AZ2856" t="inlineStr">
        <is>
          <t>991001100289702656</t>
        </is>
      </c>
      <c r="BA2856" t="inlineStr">
        <is>
          <t>2267546210002656</t>
        </is>
      </c>
      <c r="BB2856" t="inlineStr">
        <is>
          <t>BOOK</t>
        </is>
      </c>
      <c r="BD2856" t="inlineStr">
        <is>
          <t>9780803207981</t>
        </is>
      </c>
      <c r="BE2856" t="inlineStr">
        <is>
          <t>32285002954542</t>
        </is>
      </c>
      <c r="BF2856" t="inlineStr">
        <is>
          <t>893407848</t>
        </is>
      </c>
    </row>
    <row r="2857">
      <c r="A2857" t="inlineStr">
        <is>
          <t>No</t>
        </is>
      </c>
      <c r="B2857" t="inlineStr">
        <is>
          <t>CURAL</t>
        </is>
      </c>
      <c r="C2857" t="inlineStr">
        <is>
          <t>SHELVES</t>
        </is>
      </c>
      <c r="D2857" t="inlineStr">
        <is>
          <t>PR6003.E77 Z895 2006</t>
        </is>
      </c>
      <c r="E2857" t="inlineStr">
        <is>
          <t>0                      PR 6003000E  77                 Z  895         2006</t>
        </is>
      </c>
      <c r="F2857" t="inlineStr">
        <is>
          <t>Betjeman : a life / by A.N. Wilson.</t>
        </is>
      </c>
      <c r="H2857" t="inlineStr">
        <is>
          <t>No</t>
        </is>
      </c>
      <c r="I2857" t="inlineStr">
        <is>
          <t>1</t>
        </is>
      </c>
      <c r="J2857" t="inlineStr">
        <is>
          <t>No</t>
        </is>
      </c>
      <c r="K2857" t="inlineStr">
        <is>
          <t>No</t>
        </is>
      </c>
      <c r="L2857" t="inlineStr">
        <is>
          <t>0</t>
        </is>
      </c>
      <c r="M2857" t="inlineStr">
        <is>
          <t>Wilson, A. N., 1950-</t>
        </is>
      </c>
      <c r="N2857" t="inlineStr">
        <is>
          <t>New York : Farrar, Straus and Giroux, 2006.</t>
        </is>
      </c>
      <c r="O2857" t="inlineStr">
        <is>
          <t>2006</t>
        </is>
      </c>
      <c r="P2857" t="inlineStr">
        <is>
          <t>1st American ed.</t>
        </is>
      </c>
      <c r="Q2857" t="inlineStr">
        <is>
          <t>eng</t>
        </is>
      </c>
      <c r="R2857" t="inlineStr">
        <is>
          <t>nyu</t>
        </is>
      </c>
      <c r="T2857" t="inlineStr">
        <is>
          <t xml:space="preserve">PR </t>
        </is>
      </c>
      <c r="U2857" t="n">
        <v>2</v>
      </c>
      <c r="V2857" t="n">
        <v>2</v>
      </c>
      <c r="W2857" t="inlineStr">
        <is>
          <t>2007-02-14</t>
        </is>
      </c>
      <c r="X2857" t="inlineStr">
        <is>
          <t>2007-02-14</t>
        </is>
      </c>
      <c r="Y2857" t="inlineStr">
        <is>
          <t>2007-01-16</t>
        </is>
      </c>
      <c r="Z2857" t="inlineStr">
        <is>
          <t>2007-01-16</t>
        </is>
      </c>
      <c r="AA2857" t="n">
        <v>412</v>
      </c>
      <c r="AB2857" t="n">
        <v>387</v>
      </c>
      <c r="AC2857" t="n">
        <v>436</v>
      </c>
      <c r="AD2857" t="n">
        <v>4</v>
      </c>
      <c r="AE2857" t="n">
        <v>4</v>
      </c>
      <c r="AF2857" t="n">
        <v>19</v>
      </c>
      <c r="AG2857" t="n">
        <v>22</v>
      </c>
      <c r="AH2857" t="n">
        <v>8</v>
      </c>
      <c r="AI2857" t="n">
        <v>10</v>
      </c>
      <c r="AJ2857" t="n">
        <v>5</v>
      </c>
      <c r="AK2857" t="n">
        <v>7</v>
      </c>
      <c r="AL2857" t="n">
        <v>7</v>
      </c>
      <c r="AM2857" t="n">
        <v>8</v>
      </c>
      <c r="AN2857" t="n">
        <v>3</v>
      </c>
      <c r="AO2857" t="n">
        <v>3</v>
      </c>
      <c r="AP2857" t="n">
        <v>0</v>
      </c>
      <c r="AQ2857" t="n">
        <v>0</v>
      </c>
      <c r="AR2857" t="inlineStr">
        <is>
          <t>No</t>
        </is>
      </c>
      <c r="AS2857" t="inlineStr">
        <is>
          <t>No</t>
        </is>
      </c>
      <c r="AU2857">
        <f>HYPERLINK("https://creighton-primo.hosted.exlibrisgroup.com/primo-explore/search?tab=default_tab&amp;search_scope=EVERYTHING&amp;vid=01CRU&amp;lang=en_US&amp;offset=0&amp;query=any,contains,991005005959702656","Catalog Record")</f>
        <v/>
      </c>
      <c r="AV2857">
        <f>HYPERLINK("http://www.worldcat.org/oclc/76819883","WorldCat Record")</f>
        <v/>
      </c>
      <c r="AW2857" t="inlineStr">
        <is>
          <t>53877699:eng</t>
        </is>
      </c>
      <c r="AX2857" t="inlineStr">
        <is>
          <t>76819883</t>
        </is>
      </c>
      <c r="AY2857" t="inlineStr">
        <is>
          <t>991005005959702656</t>
        </is>
      </c>
      <c r="AZ2857" t="inlineStr">
        <is>
          <t>991005005959702656</t>
        </is>
      </c>
      <c r="BA2857" t="inlineStr">
        <is>
          <t>2271578220002656</t>
        </is>
      </c>
      <c r="BB2857" t="inlineStr">
        <is>
          <t>BOOK</t>
        </is>
      </c>
      <c r="BD2857" t="inlineStr">
        <is>
          <t>9780374111984</t>
        </is>
      </c>
      <c r="BE2857" t="inlineStr">
        <is>
          <t>32285005270714</t>
        </is>
      </c>
      <c r="BF2857" t="inlineStr">
        <is>
          <t>893688459</t>
        </is>
      </c>
    </row>
    <row r="2858">
      <c r="A2858" t="inlineStr">
        <is>
          <t>No</t>
        </is>
      </c>
      <c r="B2858" t="inlineStr">
        <is>
          <t>CURAL</t>
        </is>
      </c>
      <c r="C2858" t="inlineStr">
        <is>
          <t>SHELVES</t>
        </is>
      </c>
      <c r="D2858" t="inlineStr">
        <is>
          <t>PR6003.L545 A7</t>
        </is>
      </c>
      <c r="E2858" t="inlineStr">
        <is>
          <t>0                      PR 6003000L  545                A  7</t>
        </is>
      </c>
      <c r="F2858" t="inlineStr">
        <is>
          <t>The angelic avengers / Isak Dinesen [i.e. K. Blixen].</t>
        </is>
      </c>
      <c r="H2858" t="inlineStr">
        <is>
          <t>No</t>
        </is>
      </c>
      <c r="I2858" t="inlineStr">
        <is>
          <t>1</t>
        </is>
      </c>
      <c r="J2858" t="inlineStr">
        <is>
          <t>No</t>
        </is>
      </c>
      <c r="K2858" t="inlineStr">
        <is>
          <t>No</t>
        </is>
      </c>
      <c r="L2858" t="inlineStr">
        <is>
          <t>0</t>
        </is>
      </c>
      <c r="M2858" t="inlineStr">
        <is>
          <t>Dinesen, Isak, 1885-1962.</t>
        </is>
      </c>
      <c r="N2858" t="inlineStr">
        <is>
          <t>Chicago : University of Chicago Press, [1975]</t>
        </is>
      </c>
      <c r="O2858" t="inlineStr">
        <is>
          <t>1975</t>
        </is>
      </c>
      <c r="Q2858" t="inlineStr">
        <is>
          <t>eng</t>
        </is>
      </c>
      <c r="R2858" t="inlineStr">
        <is>
          <t>ilu</t>
        </is>
      </c>
      <c r="T2858" t="inlineStr">
        <is>
          <t xml:space="preserve">PR </t>
        </is>
      </c>
      <c r="U2858" t="n">
        <v>1</v>
      </c>
      <c r="V2858" t="n">
        <v>1</v>
      </c>
      <c r="W2858" t="inlineStr">
        <is>
          <t>1997-12-06</t>
        </is>
      </c>
      <c r="X2858" t="inlineStr">
        <is>
          <t>1997-12-06</t>
        </is>
      </c>
      <c r="Y2858" t="inlineStr">
        <is>
          <t>1997-07-23</t>
        </is>
      </c>
      <c r="Z2858" t="inlineStr">
        <is>
          <t>1997-07-23</t>
        </is>
      </c>
      <c r="AA2858" t="n">
        <v>395</v>
      </c>
      <c r="AB2858" t="n">
        <v>335</v>
      </c>
      <c r="AC2858" t="n">
        <v>1044</v>
      </c>
      <c r="AD2858" t="n">
        <v>3</v>
      </c>
      <c r="AE2858" t="n">
        <v>11</v>
      </c>
      <c r="AF2858" t="n">
        <v>10</v>
      </c>
      <c r="AG2858" t="n">
        <v>40</v>
      </c>
      <c r="AH2858" t="n">
        <v>4</v>
      </c>
      <c r="AI2858" t="n">
        <v>12</v>
      </c>
      <c r="AJ2858" t="n">
        <v>3</v>
      </c>
      <c r="AK2858" t="n">
        <v>7</v>
      </c>
      <c r="AL2858" t="n">
        <v>6</v>
      </c>
      <c r="AM2858" t="n">
        <v>21</v>
      </c>
      <c r="AN2858" t="n">
        <v>1</v>
      </c>
      <c r="AO2858" t="n">
        <v>9</v>
      </c>
      <c r="AP2858" t="n">
        <v>0</v>
      </c>
      <c r="AQ2858" t="n">
        <v>0</v>
      </c>
      <c r="AR2858" t="inlineStr">
        <is>
          <t>No</t>
        </is>
      </c>
      <c r="AS2858" t="inlineStr">
        <is>
          <t>No</t>
        </is>
      </c>
      <c r="AU2858">
        <f>HYPERLINK("https://creighton-primo.hosted.exlibrisgroup.com/primo-explore/search?tab=default_tab&amp;search_scope=EVERYTHING&amp;vid=01CRU&amp;lang=en_US&amp;offset=0&amp;query=any,contains,991003932609702656","Catalog Record")</f>
        <v/>
      </c>
      <c r="AV2858">
        <f>HYPERLINK("http://www.worldcat.org/oclc/1903252","WorldCat Record")</f>
        <v/>
      </c>
      <c r="AW2858" t="inlineStr">
        <is>
          <t>2297279382:eng</t>
        </is>
      </c>
      <c r="AX2858" t="inlineStr">
        <is>
          <t>1903252</t>
        </is>
      </c>
      <c r="AY2858" t="inlineStr">
        <is>
          <t>991003932609702656</t>
        </is>
      </c>
      <c r="AZ2858" t="inlineStr">
        <is>
          <t>991003932609702656</t>
        </is>
      </c>
      <c r="BA2858" t="inlineStr">
        <is>
          <t>2259171920002656</t>
        </is>
      </c>
      <c r="BB2858" t="inlineStr">
        <is>
          <t>BOOK</t>
        </is>
      </c>
      <c r="BD2858" t="inlineStr">
        <is>
          <t>9780226152905</t>
        </is>
      </c>
      <c r="BE2858" t="inlineStr">
        <is>
          <t>32285002954906</t>
        </is>
      </c>
      <c r="BF2858" t="inlineStr">
        <is>
          <t>893875478</t>
        </is>
      </c>
    </row>
    <row r="2859">
      <c r="A2859" t="inlineStr">
        <is>
          <t>No</t>
        </is>
      </c>
      <c r="B2859" t="inlineStr">
        <is>
          <t>CURAL</t>
        </is>
      </c>
      <c r="C2859" t="inlineStr">
        <is>
          <t>SHELVES</t>
        </is>
      </c>
      <c r="D2859" t="inlineStr">
        <is>
          <t>PR6003.O6757 Z57 1989</t>
        </is>
      </c>
      <c r="E2859" t="inlineStr">
        <is>
          <t>0                      PR 6003000O  6757               Z  57          1989</t>
        </is>
      </c>
      <c r="F2859" t="inlineStr">
        <is>
          <t>Elizabeth Bowen / by Allan E. Austin.</t>
        </is>
      </c>
      <c r="H2859" t="inlineStr">
        <is>
          <t>No</t>
        </is>
      </c>
      <c r="I2859" t="inlineStr">
        <is>
          <t>1</t>
        </is>
      </c>
      <c r="J2859" t="inlineStr">
        <is>
          <t>No</t>
        </is>
      </c>
      <c r="K2859" t="inlineStr">
        <is>
          <t>Yes</t>
        </is>
      </c>
      <c r="L2859" t="inlineStr">
        <is>
          <t>0</t>
        </is>
      </c>
      <c r="M2859" t="inlineStr">
        <is>
          <t>Austin, Allan E.</t>
        </is>
      </c>
      <c r="N2859" t="inlineStr">
        <is>
          <t>Boston : Twayne Publishers, 1989.</t>
        </is>
      </c>
      <c r="O2859" t="inlineStr">
        <is>
          <t>1989</t>
        </is>
      </c>
      <c r="P2859" t="inlineStr">
        <is>
          <t>Rev. ed.</t>
        </is>
      </c>
      <c r="Q2859" t="inlineStr">
        <is>
          <t>eng</t>
        </is>
      </c>
      <c r="R2859" t="inlineStr">
        <is>
          <t>mau</t>
        </is>
      </c>
      <c r="S2859" t="inlineStr">
        <is>
          <t>Twayne's English authors series ; TEAS 123</t>
        </is>
      </c>
      <c r="T2859" t="inlineStr">
        <is>
          <t xml:space="preserve">PR </t>
        </is>
      </c>
      <c r="U2859" t="n">
        <v>5</v>
      </c>
      <c r="V2859" t="n">
        <v>5</v>
      </c>
      <c r="W2859" t="inlineStr">
        <is>
          <t>2005-02-28</t>
        </is>
      </c>
      <c r="X2859" t="inlineStr">
        <is>
          <t>2005-02-28</t>
        </is>
      </c>
      <c r="Y2859" t="inlineStr">
        <is>
          <t>1992-06-30</t>
        </is>
      </c>
      <c r="Z2859" t="inlineStr">
        <is>
          <t>1992-06-30</t>
        </is>
      </c>
      <c r="AA2859" t="n">
        <v>547</v>
      </c>
      <c r="AB2859" t="n">
        <v>470</v>
      </c>
      <c r="AC2859" t="n">
        <v>1028</v>
      </c>
      <c r="AD2859" t="n">
        <v>6</v>
      </c>
      <c r="AE2859" t="n">
        <v>12</v>
      </c>
      <c r="AF2859" t="n">
        <v>24</v>
      </c>
      <c r="AG2859" t="n">
        <v>44</v>
      </c>
      <c r="AH2859" t="n">
        <v>7</v>
      </c>
      <c r="AI2859" t="n">
        <v>16</v>
      </c>
      <c r="AJ2859" t="n">
        <v>4</v>
      </c>
      <c r="AK2859" t="n">
        <v>7</v>
      </c>
      <c r="AL2859" t="n">
        <v>14</v>
      </c>
      <c r="AM2859" t="n">
        <v>19</v>
      </c>
      <c r="AN2859" t="n">
        <v>5</v>
      </c>
      <c r="AO2859" t="n">
        <v>10</v>
      </c>
      <c r="AP2859" t="n">
        <v>0</v>
      </c>
      <c r="AQ2859" t="n">
        <v>0</v>
      </c>
      <c r="AR2859" t="inlineStr">
        <is>
          <t>No</t>
        </is>
      </c>
      <c r="AS2859" t="inlineStr">
        <is>
          <t>Yes</t>
        </is>
      </c>
      <c r="AT2859">
        <f>HYPERLINK("http://catalog.hathitrust.org/Record/001098667","HathiTrust Record")</f>
        <v/>
      </c>
      <c r="AU2859">
        <f>HYPERLINK("https://creighton-primo.hosted.exlibrisgroup.com/primo-explore/search?tab=default_tab&amp;search_scope=EVERYTHING&amp;vid=01CRU&amp;lang=en_US&amp;offset=0&amp;query=any,contains,991001343909702656","Catalog Record")</f>
        <v/>
      </c>
      <c r="AV2859">
        <f>HYPERLINK("http://www.worldcat.org/oclc/18411399","WorldCat Record")</f>
        <v/>
      </c>
      <c r="AW2859" t="inlineStr">
        <is>
          <t>3856178348:eng</t>
        </is>
      </c>
      <c r="AX2859" t="inlineStr">
        <is>
          <t>18411399</t>
        </is>
      </c>
      <c r="AY2859" t="inlineStr">
        <is>
          <t>991001343909702656</t>
        </is>
      </c>
      <c r="AZ2859" t="inlineStr">
        <is>
          <t>991001343909702656</t>
        </is>
      </c>
      <c r="BA2859" t="inlineStr">
        <is>
          <t>2255317650002656</t>
        </is>
      </c>
      <c r="BB2859" t="inlineStr">
        <is>
          <t>BOOK</t>
        </is>
      </c>
      <c r="BD2859" t="inlineStr">
        <is>
          <t>9780805769722</t>
        </is>
      </c>
      <c r="BE2859" t="inlineStr">
        <is>
          <t>32285001146363</t>
        </is>
      </c>
      <c r="BF2859" t="inlineStr">
        <is>
          <t>893261813</t>
        </is>
      </c>
    </row>
    <row r="2860">
      <c r="A2860" t="inlineStr">
        <is>
          <t>No</t>
        </is>
      </c>
      <c r="B2860" t="inlineStr">
        <is>
          <t>CURAL</t>
        </is>
      </c>
      <c r="C2860" t="inlineStr">
        <is>
          <t>SHELVES</t>
        </is>
      </c>
      <c r="D2860" t="inlineStr">
        <is>
          <t>PR6003.O6757 Z58</t>
        </is>
      </c>
      <c r="E2860" t="inlineStr">
        <is>
          <t>0                      PR 6003000O  6757               Z  58</t>
        </is>
      </c>
      <c r="F2860" t="inlineStr">
        <is>
          <t>Patterns of reality : Elizabeth Bowen's novels / by Harriet Blodgett.</t>
        </is>
      </c>
      <c r="H2860" t="inlineStr">
        <is>
          <t>No</t>
        </is>
      </c>
      <c r="I2860" t="inlineStr">
        <is>
          <t>1</t>
        </is>
      </c>
      <c r="J2860" t="inlineStr">
        <is>
          <t>No</t>
        </is>
      </c>
      <c r="K2860" t="inlineStr">
        <is>
          <t>No</t>
        </is>
      </c>
      <c r="L2860" t="inlineStr">
        <is>
          <t>0</t>
        </is>
      </c>
      <c r="M2860" t="inlineStr">
        <is>
          <t>Blodgett, Harriet.</t>
        </is>
      </c>
      <c r="N2860" t="inlineStr">
        <is>
          <t>The Hague : Mouton, 1975.</t>
        </is>
      </c>
      <c r="O2860" t="inlineStr">
        <is>
          <t>1975</t>
        </is>
      </c>
      <c r="Q2860" t="inlineStr">
        <is>
          <t>eng</t>
        </is>
      </c>
      <c r="R2860" t="inlineStr">
        <is>
          <t xml:space="preserve">ne </t>
        </is>
      </c>
      <c r="S2860" t="inlineStr">
        <is>
          <t>De proprietatibus litterarum. Series practica ; 84</t>
        </is>
      </c>
      <c r="T2860" t="inlineStr">
        <is>
          <t xml:space="preserve">PR </t>
        </is>
      </c>
      <c r="U2860" t="n">
        <v>3</v>
      </c>
      <c r="V2860" t="n">
        <v>3</v>
      </c>
      <c r="W2860" t="inlineStr">
        <is>
          <t>2004-12-15</t>
        </is>
      </c>
      <c r="X2860" t="inlineStr">
        <is>
          <t>2004-12-15</t>
        </is>
      </c>
      <c r="Y2860" t="inlineStr">
        <is>
          <t>1994-03-04</t>
        </is>
      </c>
      <c r="Z2860" t="inlineStr">
        <is>
          <t>1994-03-04</t>
        </is>
      </c>
      <c r="AA2860" t="n">
        <v>365</v>
      </c>
      <c r="AB2860" t="n">
        <v>299</v>
      </c>
      <c r="AC2860" t="n">
        <v>306</v>
      </c>
      <c r="AD2860" t="n">
        <v>5</v>
      </c>
      <c r="AE2860" t="n">
        <v>5</v>
      </c>
      <c r="AF2860" t="n">
        <v>21</v>
      </c>
      <c r="AG2860" t="n">
        <v>21</v>
      </c>
      <c r="AH2860" t="n">
        <v>3</v>
      </c>
      <c r="AI2860" t="n">
        <v>3</v>
      </c>
      <c r="AJ2860" t="n">
        <v>8</v>
      </c>
      <c r="AK2860" t="n">
        <v>8</v>
      </c>
      <c r="AL2860" t="n">
        <v>11</v>
      </c>
      <c r="AM2860" t="n">
        <v>11</v>
      </c>
      <c r="AN2860" t="n">
        <v>4</v>
      </c>
      <c r="AO2860" t="n">
        <v>4</v>
      </c>
      <c r="AP2860" t="n">
        <v>0</v>
      </c>
      <c r="AQ2860" t="n">
        <v>0</v>
      </c>
      <c r="AR2860" t="inlineStr">
        <is>
          <t>No</t>
        </is>
      </c>
      <c r="AS2860" t="inlineStr">
        <is>
          <t>Yes</t>
        </is>
      </c>
      <c r="AT2860">
        <f>HYPERLINK("http://catalog.hathitrust.org/Record/000708700","HathiTrust Record")</f>
        <v/>
      </c>
      <c r="AU2860">
        <f>HYPERLINK("https://creighton-primo.hosted.exlibrisgroup.com/primo-explore/search?tab=default_tab&amp;search_scope=EVERYTHING&amp;vid=01CRU&amp;lang=en_US&amp;offset=0&amp;query=any,contains,991003979879702656","Catalog Record")</f>
        <v/>
      </c>
      <c r="AV2860">
        <f>HYPERLINK("http://www.worldcat.org/oclc/2018759","WorldCat Record")</f>
        <v/>
      </c>
      <c r="AW2860" t="inlineStr">
        <is>
          <t>221997615:eng</t>
        </is>
      </c>
      <c r="AX2860" t="inlineStr">
        <is>
          <t>2018759</t>
        </is>
      </c>
      <c r="AY2860" t="inlineStr">
        <is>
          <t>991003979879702656</t>
        </is>
      </c>
      <c r="AZ2860" t="inlineStr">
        <is>
          <t>991003979879702656</t>
        </is>
      </c>
      <c r="BA2860" t="inlineStr">
        <is>
          <t>2261752170002656</t>
        </is>
      </c>
      <c r="BB2860" t="inlineStr">
        <is>
          <t>BOOK</t>
        </is>
      </c>
      <c r="BD2860" t="inlineStr">
        <is>
          <t>9789027933119</t>
        </is>
      </c>
      <c r="BE2860" t="inlineStr">
        <is>
          <t>32285001851780</t>
        </is>
      </c>
      <c r="BF2860" t="inlineStr">
        <is>
          <t>893624192</t>
        </is>
      </c>
    </row>
    <row r="2861">
      <c r="A2861" t="inlineStr">
        <is>
          <t>No</t>
        </is>
      </c>
      <c r="B2861" t="inlineStr">
        <is>
          <t>CURAL</t>
        </is>
      </c>
      <c r="C2861" t="inlineStr">
        <is>
          <t>SHELVES</t>
        </is>
      </c>
      <c r="D2861" t="inlineStr">
        <is>
          <t>PR6003.O6757 Z78 1990</t>
        </is>
      </c>
      <c r="E2861" t="inlineStr">
        <is>
          <t>0                      PR 6003000O  6757               Z  78          1990</t>
        </is>
      </c>
      <c r="F2861" t="inlineStr">
        <is>
          <t>Elizabeth Bowen / Phyllis Lassner.</t>
        </is>
      </c>
      <c r="H2861" t="inlineStr">
        <is>
          <t>No</t>
        </is>
      </c>
      <c r="I2861" t="inlineStr">
        <is>
          <t>1</t>
        </is>
      </c>
      <c r="J2861" t="inlineStr">
        <is>
          <t>No</t>
        </is>
      </c>
      <c r="K2861" t="inlineStr">
        <is>
          <t>No</t>
        </is>
      </c>
      <c r="L2861" t="inlineStr">
        <is>
          <t>0</t>
        </is>
      </c>
      <c r="M2861" t="inlineStr">
        <is>
          <t>Lassner, Phyllis.</t>
        </is>
      </c>
      <c r="N2861" t="inlineStr">
        <is>
          <t>Basingstoke : Macmillan, 1990.</t>
        </is>
      </c>
      <c r="O2861" t="inlineStr">
        <is>
          <t>1990</t>
        </is>
      </c>
      <c r="Q2861" t="inlineStr">
        <is>
          <t>eng</t>
        </is>
      </c>
      <c r="R2861" t="inlineStr">
        <is>
          <t>enk</t>
        </is>
      </c>
      <c r="S2861" t="inlineStr">
        <is>
          <t>Women writers</t>
        </is>
      </c>
      <c r="T2861" t="inlineStr">
        <is>
          <t xml:space="preserve">PR </t>
        </is>
      </c>
      <c r="U2861" t="n">
        <v>6</v>
      </c>
      <c r="V2861" t="n">
        <v>6</v>
      </c>
      <c r="W2861" t="inlineStr">
        <is>
          <t>2006-04-18</t>
        </is>
      </c>
      <c r="X2861" t="inlineStr">
        <is>
          <t>2006-04-18</t>
        </is>
      </c>
      <c r="Y2861" t="inlineStr">
        <is>
          <t>1990-07-25</t>
        </is>
      </c>
      <c r="Z2861" t="inlineStr">
        <is>
          <t>1990-07-25</t>
        </is>
      </c>
      <c r="AA2861" t="n">
        <v>157</v>
      </c>
      <c r="AB2861" t="n">
        <v>55</v>
      </c>
      <c r="AC2861" t="n">
        <v>257</v>
      </c>
      <c r="AD2861" t="n">
        <v>1</v>
      </c>
      <c r="AE2861" t="n">
        <v>2</v>
      </c>
      <c r="AF2861" t="n">
        <v>2</v>
      </c>
      <c r="AG2861" t="n">
        <v>11</v>
      </c>
      <c r="AH2861" t="n">
        <v>0</v>
      </c>
      <c r="AI2861" t="n">
        <v>2</v>
      </c>
      <c r="AJ2861" t="n">
        <v>1</v>
      </c>
      <c r="AK2861" t="n">
        <v>5</v>
      </c>
      <c r="AL2861" t="n">
        <v>2</v>
      </c>
      <c r="AM2861" t="n">
        <v>7</v>
      </c>
      <c r="AN2861" t="n">
        <v>0</v>
      </c>
      <c r="AO2861" t="n">
        <v>1</v>
      </c>
      <c r="AP2861" t="n">
        <v>0</v>
      </c>
      <c r="AQ2861" t="n">
        <v>0</v>
      </c>
      <c r="AR2861" t="inlineStr">
        <is>
          <t>No</t>
        </is>
      </c>
      <c r="AS2861" t="inlineStr">
        <is>
          <t>No</t>
        </is>
      </c>
      <c r="AU2861">
        <f>HYPERLINK("https://creighton-primo.hosted.exlibrisgroup.com/primo-explore/search?tab=default_tab&amp;search_scope=EVERYTHING&amp;vid=01CRU&amp;lang=en_US&amp;offset=0&amp;query=any,contains,991001455419702656","Catalog Record")</f>
        <v/>
      </c>
      <c r="AV2861">
        <f>HYPERLINK("http://www.worldcat.org/oclc/19354707","WorldCat Record")</f>
        <v/>
      </c>
      <c r="AW2861" t="inlineStr">
        <is>
          <t>21164646:eng</t>
        </is>
      </c>
      <c r="AX2861" t="inlineStr">
        <is>
          <t>19354707</t>
        </is>
      </c>
      <c r="AY2861" t="inlineStr">
        <is>
          <t>991001455419702656</t>
        </is>
      </c>
      <c r="AZ2861" t="inlineStr">
        <is>
          <t>991001455419702656</t>
        </is>
      </c>
      <c r="BA2861" t="inlineStr">
        <is>
          <t>2270401830002656</t>
        </is>
      </c>
      <c r="BB2861" t="inlineStr">
        <is>
          <t>BOOK</t>
        </is>
      </c>
      <c r="BD2861" t="inlineStr">
        <is>
          <t>9780333442548</t>
        </is>
      </c>
      <c r="BE2861" t="inlineStr">
        <is>
          <t>32285000240274</t>
        </is>
      </c>
      <c r="BF2861" t="inlineStr">
        <is>
          <t>893346536</t>
        </is>
      </c>
    </row>
    <row r="2862">
      <c r="A2862" t="inlineStr">
        <is>
          <t>No</t>
        </is>
      </c>
      <c r="B2862" t="inlineStr">
        <is>
          <t>CURAL</t>
        </is>
      </c>
      <c r="C2862" t="inlineStr">
        <is>
          <t>SHELVES</t>
        </is>
      </c>
      <c r="D2862" t="inlineStr">
        <is>
          <t>PR6003.R385 Z479 1994</t>
        </is>
      </c>
      <c r="E2862" t="inlineStr">
        <is>
          <t>0                      PR 6003000R  385                Z  479         1994</t>
        </is>
      </c>
      <c r="F2862" t="inlineStr">
        <is>
          <t>Testament of youth : an autobiographical study of the years 1900-1925 / by Vera Brittain ; with a preface by Shirley Williams.</t>
        </is>
      </c>
      <c r="H2862" t="inlineStr">
        <is>
          <t>No</t>
        </is>
      </c>
      <c r="I2862" t="inlineStr">
        <is>
          <t>1</t>
        </is>
      </c>
      <c r="J2862" t="inlineStr">
        <is>
          <t>No</t>
        </is>
      </c>
      <c r="K2862" t="inlineStr">
        <is>
          <t>No</t>
        </is>
      </c>
      <c r="L2862" t="inlineStr">
        <is>
          <t>0</t>
        </is>
      </c>
      <c r="M2862" t="inlineStr">
        <is>
          <t>Brittain, Vera, 1893-1970.</t>
        </is>
      </c>
      <c r="N2862" t="inlineStr">
        <is>
          <t>New York, N.Y., U.S.A. : Penguin Books, 1994.</t>
        </is>
      </c>
      <c r="O2862" t="inlineStr">
        <is>
          <t>1994</t>
        </is>
      </c>
      <c r="Q2862" t="inlineStr">
        <is>
          <t>eng</t>
        </is>
      </c>
      <c r="R2862" t="inlineStr">
        <is>
          <t>nyu</t>
        </is>
      </c>
      <c r="T2862" t="inlineStr">
        <is>
          <t xml:space="preserve">PR </t>
        </is>
      </c>
      <c r="U2862" t="n">
        <v>3</v>
      </c>
      <c r="V2862" t="n">
        <v>3</v>
      </c>
      <c r="W2862" t="inlineStr">
        <is>
          <t>2010-11-08</t>
        </is>
      </c>
      <c r="X2862" t="inlineStr">
        <is>
          <t>2010-11-08</t>
        </is>
      </c>
      <c r="Y2862" t="inlineStr">
        <is>
          <t>1995-07-23</t>
        </is>
      </c>
      <c r="Z2862" t="inlineStr">
        <is>
          <t>1995-07-23</t>
        </is>
      </c>
      <c r="AA2862" t="n">
        <v>119</v>
      </c>
      <c r="AB2862" t="n">
        <v>105</v>
      </c>
      <c r="AC2862" t="n">
        <v>1494</v>
      </c>
      <c r="AD2862" t="n">
        <v>1</v>
      </c>
      <c r="AE2862" t="n">
        <v>14</v>
      </c>
      <c r="AF2862" t="n">
        <v>2</v>
      </c>
      <c r="AG2862" t="n">
        <v>40</v>
      </c>
      <c r="AH2862" t="n">
        <v>0</v>
      </c>
      <c r="AI2862" t="n">
        <v>17</v>
      </c>
      <c r="AJ2862" t="n">
        <v>1</v>
      </c>
      <c r="AK2862" t="n">
        <v>8</v>
      </c>
      <c r="AL2862" t="n">
        <v>1</v>
      </c>
      <c r="AM2862" t="n">
        <v>15</v>
      </c>
      <c r="AN2862" t="n">
        <v>0</v>
      </c>
      <c r="AO2862" t="n">
        <v>9</v>
      </c>
      <c r="AP2862" t="n">
        <v>0</v>
      </c>
      <c r="AQ2862" t="n">
        <v>0</v>
      </c>
      <c r="AR2862" t="inlineStr">
        <is>
          <t>No</t>
        </is>
      </c>
      <c r="AS2862" t="inlineStr">
        <is>
          <t>No</t>
        </is>
      </c>
      <c r="AU2862">
        <f>HYPERLINK("https://creighton-primo.hosted.exlibrisgroup.com/primo-explore/search?tab=default_tab&amp;search_scope=EVERYTHING&amp;vid=01CRU&amp;lang=en_US&amp;offset=0&amp;query=any,contains,991002457799702656","Catalog Record")</f>
        <v/>
      </c>
      <c r="AV2862">
        <f>HYPERLINK("http://www.worldcat.org/oclc/32028957","WorldCat Record")</f>
        <v/>
      </c>
      <c r="AW2862" t="inlineStr">
        <is>
          <t>837388:eng</t>
        </is>
      </c>
      <c r="AX2862" t="inlineStr">
        <is>
          <t>32028957</t>
        </is>
      </c>
      <c r="AY2862" t="inlineStr">
        <is>
          <t>991002457799702656</t>
        </is>
      </c>
      <c r="AZ2862" t="inlineStr">
        <is>
          <t>991002457799702656</t>
        </is>
      </c>
      <c r="BA2862" t="inlineStr">
        <is>
          <t>2261886860002656</t>
        </is>
      </c>
      <c r="BB2862" t="inlineStr">
        <is>
          <t>BOOK</t>
        </is>
      </c>
      <c r="BD2862" t="inlineStr">
        <is>
          <t>9780140188448</t>
        </is>
      </c>
      <c r="BE2862" t="inlineStr">
        <is>
          <t>32285002075363</t>
        </is>
      </c>
      <c r="BF2862" t="inlineStr">
        <is>
          <t>893597477</t>
        </is>
      </c>
    </row>
    <row r="2863">
      <c r="A2863" t="inlineStr">
        <is>
          <t>No</t>
        </is>
      </c>
      <c r="B2863" t="inlineStr">
        <is>
          <t>CURAL</t>
        </is>
      </c>
      <c r="C2863" t="inlineStr">
        <is>
          <t>SHELVES</t>
        </is>
      </c>
      <c r="D2863" t="inlineStr">
        <is>
          <t>PR6003.R385 Z67 2000</t>
        </is>
      </c>
      <c r="E2863" t="inlineStr">
        <is>
          <t>0                      PR 6003000R  385                Z  67          2000</t>
        </is>
      </c>
      <c r="F2863" t="inlineStr">
        <is>
          <t>Vera Brittain : a feminist life / Deborah Gorham.</t>
        </is>
      </c>
      <c r="H2863" t="inlineStr">
        <is>
          <t>No</t>
        </is>
      </c>
      <c r="I2863" t="inlineStr">
        <is>
          <t>1</t>
        </is>
      </c>
      <c r="J2863" t="inlineStr">
        <is>
          <t>No</t>
        </is>
      </c>
      <c r="K2863" t="inlineStr">
        <is>
          <t>No</t>
        </is>
      </c>
      <c r="L2863" t="inlineStr">
        <is>
          <t>0</t>
        </is>
      </c>
      <c r="M2863" t="inlineStr">
        <is>
          <t>Gorham, Deborah.</t>
        </is>
      </c>
      <c r="N2863" t="inlineStr">
        <is>
          <t>Toronto : University of Toronto Press, c2000.</t>
        </is>
      </c>
      <c r="O2863" t="inlineStr">
        <is>
          <t>2000</t>
        </is>
      </c>
      <c r="Q2863" t="inlineStr">
        <is>
          <t>eng</t>
        </is>
      </c>
      <c r="R2863" t="inlineStr">
        <is>
          <t>onc</t>
        </is>
      </c>
      <c r="S2863" t="inlineStr">
        <is>
          <t>Studies in gender and history series</t>
        </is>
      </c>
      <c r="T2863" t="inlineStr">
        <is>
          <t xml:space="preserve">PR </t>
        </is>
      </c>
      <c r="U2863" t="n">
        <v>4</v>
      </c>
      <c r="V2863" t="n">
        <v>4</v>
      </c>
      <c r="W2863" t="inlineStr">
        <is>
          <t>2008-12-02</t>
        </is>
      </c>
      <c r="X2863" t="inlineStr">
        <is>
          <t>2008-12-02</t>
        </is>
      </c>
      <c r="Y2863" t="inlineStr">
        <is>
          <t>2001-04-09</t>
        </is>
      </c>
      <c r="Z2863" t="inlineStr">
        <is>
          <t>2001-04-09</t>
        </is>
      </c>
      <c r="AA2863" t="n">
        <v>49</v>
      </c>
      <c r="AB2863" t="n">
        <v>25</v>
      </c>
      <c r="AC2863" t="n">
        <v>361</v>
      </c>
      <c r="AD2863" t="n">
        <v>1</v>
      </c>
      <c r="AE2863" t="n">
        <v>1</v>
      </c>
      <c r="AF2863" t="n">
        <v>1</v>
      </c>
      <c r="AG2863" t="n">
        <v>17</v>
      </c>
      <c r="AH2863" t="n">
        <v>1</v>
      </c>
      <c r="AI2863" t="n">
        <v>3</v>
      </c>
      <c r="AJ2863" t="n">
        <v>0</v>
      </c>
      <c r="AK2863" t="n">
        <v>8</v>
      </c>
      <c r="AL2863" t="n">
        <v>0</v>
      </c>
      <c r="AM2863" t="n">
        <v>9</v>
      </c>
      <c r="AN2863" t="n">
        <v>0</v>
      </c>
      <c r="AO2863" t="n">
        <v>0</v>
      </c>
      <c r="AP2863" t="n">
        <v>0</v>
      </c>
      <c r="AQ2863" t="n">
        <v>0</v>
      </c>
      <c r="AR2863" t="inlineStr">
        <is>
          <t>No</t>
        </is>
      </c>
      <c r="AS2863" t="inlineStr">
        <is>
          <t>Yes</t>
        </is>
      </c>
      <c r="AT2863">
        <f>HYPERLINK("http://catalog.hathitrust.org/Record/007061999","HathiTrust Record")</f>
        <v/>
      </c>
      <c r="AU2863">
        <f>HYPERLINK("https://creighton-primo.hosted.exlibrisgroup.com/primo-explore/search?tab=default_tab&amp;search_scope=EVERYTHING&amp;vid=01CRU&amp;lang=en_US&amp;offset=0&amp;query=any,contains,991003519129702656","Catalog Record")</f>
        <v/>
      </c>
      <c r="AV2863">
        <f>HYPERLINK("http://www.worldcat.org/oclc/43283648","WorldCat Record")</f>
        <v/>
      </c>
      <c r="AW2863" t="inlineStr">
        <is>
          <t>34211943:eng</t>
        </is>
      </c>
      <c r="AX2863" t="inlineStr">
        <is>
          <t>43283648</t>
        </is>
      </c>
      <c r="AY2863" t="inlineStr">
        <is>
          <t>991003519129702656</t>
        </is>
      </c>
      <c r="AZ2863" t="inlineStr">
        <is>
          <t>991003519129702656</t>
        </is>
      </c>
      <c r="BA2863" t="inlineStr">
        <is>
          <t>2260127290002656</t>
        </is>
      </c>
      <c r="BB2863" t="inlineStr">
        <is>
          <t>BOOK</t>
        </is>
      </c>
      <c r="BD2863" t="inlineStr">
        <is>
          <t>9780802083395</t>
        </is>
      </c>
      <c r="BE2863" t="inlineStr">
        <is>
          <t>32285004310552</t>
        </is>
      </c>
      <c r="BF2863" t="inlineStr">
        <is>
          <t>893258512</t>
        </is>
      </c>
    </row>
    <row r="2864">
      <c r="A2864" t="inlineStr">
        <is>
          <t>No</t>
        </is>
      </c>
      <c r="B2864" t="inlineStr">
        <is>
          <t>CURAL</t>
        </is>
      </c>
      <c r="C2864" t="inlineStr">
        <is>
          <t>SHELVES</t>
        </is>
      </c>
      <c r="D2864" t="inlineStr">
        <is>
          <t>PR6003.R4 Z63 1987</t>
        </is>
      </c>
      <c r="E2864" t="inlineStr">
        <is>
          <t>0                      PR 6003000R  4                  Z  63          1987</t>
        </is>
      </c>
      <c r="F2864" t="inlineStr">
        <is>
          <t>The Neo-pagans : Rupert Brooke and the ordeal of youth / Paul Delany.</t>
        </is>
      </c>
      <c r="H2864" t="inlineStr">
        <is>
          <t>No</t>
        </is>
      </c>
      <c r="I2864" t="inlineStr">
        <is>
          <t>1</t>
        </is>
      </c>
      <c r="J2864" t="inlineStr">
        <is>
          <t>No</t>
        </is>
      </c>
      <c r="K2864" t="inlineStr">
        <is>
          <t>No</t>
        </is>
      </c>
      <c r="L2864" t="inlineStr">
        <is>
          <t>0</t>
        </is>
      </c>
      <c r="M2864" t="inlineStr">
        <is>
          <t>Delany, Paul.</t>
        </is>
      </c>
      <c r="N2864" t="inlineStr">
        <is>
          <t>New York : Free Press, c1987.</t>
        </is>
      </c>
      <c r="O2864" t="inlineStr">
        <is>
          <t>1987</t>
        </is>
      </c>
      <c r="P2864" t="inlineStr">
        <is>
          <t>1st American ed.</t>
        </is>
      </c>
      <c r="Q2864" t="inlineStr">
        <is>
          <t>eng</t>
        </is>
      </c>
      <c r="R2864" t="inlineStr">
        <is>
          <t>nyu</t>
        </is>
      </c>
      <c r="T2864" t="inlineStr">
        <is>
          <t xml:space="preserve">PR </t>
        </is>
      </c>
      <c r="U2864" t="n">
        <v>1</v>
      </c>
      <c r="V2864" t="n">
        <v>1</v>
      </c>
      <c r="W2864" t="inlineStr">
        <is>
          <t>2001-04-11</t>
        </is>
      </c>
      <c r="X2864" t="inlineStr">
        <is>
          <t>2001-04-11</t>
        </is>
      </c>
      <c r="Y2864" t="inlineStr">
        <is>
          <t>1992-06-30</t>
        </is>
      </c>
      <c r="Z2864" t="inlineStr">
        <is>
          <t>1992-06-30</t>
        </is>
      </c>
      <c r="AA2864" t="n">
        <v>489</v>
      </c>
      <c r="AB2864" t="n">
        <v>433</v>
      </c>
      <c r="AC2864" t="n">
        <v>447</v>
      </c>
      <c r="AD2864" t="n">
        <v>4</v>
      </c>
      <c r="AE2864" t="n">
        <v>4</v>
      </c>
      <c r="AF2864" t="n">
        <v>24</v>
      </c>
      <c r="AG2864" t="n">
        <v>24</v>
      </c>
      <c r="AH2864" t="n">
        <v>9</v>
      </c>
      <c r="AI2864" t="n">
        <v>9</v>
      </c>
      <c r="AJ2864" t="n">
        <v>7</v>
      </c>
      <c r="AK2864" t="n">
        <v>7</v>
      </c>
      <c r="AL2864" t="n">
        <v>14</v>
      </c>
      <c r="AM2864" t="n">
        <v>14</v>
      </c>
      <c r="AN2864" t="n">
        <v>2</v>
      </c>
      <c r="AO2864" t="n">
        <v>2</v>
      </c>
      <c r="AP2864" t="n">
        <v>0</v>
      </c>
      <c r="AQ2864" t="n">
        <v>0</v>
      </c>
      <c r="AR2864" t="inlineStr">
        <is>
          <t>No</t>
        </is>
      </c>
      <c r="AS2864" t="inlineStr">
        <is>
          <t>Yes</t>
        </is>
      </c>
      <c r="AT2864">
        <f>HYPERLINK("http://catalog.hathitrust.org/Record/000859595","HathiTrust Record")</f>
        <v/>
      </c>
      <c r="AU2864">
        <f>HYPERLINK("https://creighton-primo.hosted.exlibrisgroup.com/primo-explore/search?tab=default_tab&amp;search_scope=EVERYTHING&amp;vid=01CRU&amp;lang=en_US&amp;offset=0&amp;query=any,contains,991001065789702656","Catalog Record")</f>
        <v/>
      </c>
      <c r="AV2864">
        <f>HYPERLINK("http://www.worldcat.org/oclc/15793352","WorldCat Record")</f>
        <v/>
      </c>
      <c r="AW2864" t="inlineStr">
        <is>
          <t>5609151088:eng</t>
        </is>
      </c>
      <c r="AX2864" t="inlineStr">
        <is>
          <t>15793352</t>
        </is>
      </c>
      <c r="AY2864" t="inlineStr">
        <is>
          <t>991001065789702656</t>
        </is>
      </c>
      <c r="AZ2864" t="inlineStr">
        <is>
          <t>991001065789702656</t>
        </is>
      </c>
      <c r="BA2864" t="inlineStr">
        <is>
          <t>2261170920002656</t>
        </is>
      </c>
      <c r="BB2864" t="inlineStr">
        <is>
          <t>BOOK</t>
        </is>
      </c>
      <c r="BD2864" t="inlineStr">
        <is>
          <t>9780029082805</t>
        </is>
      </c>
      <c r="BE2864" t="inlineStr">
        <is>
          <t>32285001146405</t>
        </is>
      </c>
      <c r="BF2864" t="inlineStr">
        <is>
          <t>893420029</t>
        </is>
      </c>
    </row>
    <row r="2865">
      <c r="A2865" t="inlineStr">
        <is>
          <t>No</t>
        </is>
      </c>
      <c r="B2865" t="inlineStr">
        <is>
          <t>CURAL</t>
        </is>
      </c>
      <c r="C2865" t="inlineStr">
        <is>
          <t>SHELVES</t>
        </is>
      </c>
      <c r="D2865" t="inlineStr">
        <is>
          <t>PR6003.R4 Z67 1964</t>
        </is>
      </c>
      <c r="E2865" t="inlineStr">
        <is>
          <t>0                      PR 6003000R  4                  Z  67          1964</t>
        </is>
      </c>
      <c r="F2865" t="inlineStr">
        <is>
          <t>Rupert Brooke; a biography.</t>
        </is>
      </c>
      <c r="H2865" t="inlineStr">
        <is>
          <t>No</t>
        </is>
      </c>
      <c r="I2865" t="inlineStr">
        <is>
          <t>1</t>
        </is>
      </c>
      <c r="J2865" t="inlineStr">
        <is>
          <t>No</t>
        </is>
      </c>
      <c r="K2865" t="inlineStr">
        <is>
          <t>No</t>
        </is>
      </c>
      <c r="L2865" t="inlineStr">
        <is>
          <t>0</t>
        </is>
      </c>
      <c r="M2865" t="inlineStr">
        <is>
          <t>Hassall, Christopher, 1912-1963.</t>
        </is>
      </c>
      <c r="N2865" t="inlineStr">
        <is>
          <t>New York, Harcourt, Brace &amp; World [1964]</t>
        </is>
      </c>
      <c r="O2865" t="inlineStr">
        <is>
          <t>1964</t>
        </is>
      </c>
      <c r="P2865" t="inlineStr">
        <is>
          <t>[1st American ed.]</t>
        </is>
      </c>
      <c r="Q2865" t="inlineStr">
        <is>
          <t>eng</t>
        </is>
      </c>
      <c r="R2865" t="inlineStr">
        <is>
          <t>nyu</t>
        </is>
      </c>
      <c r="T2865" t="inlineStr">
        <is>
          <t xml:space="preserve">PR </t>
        </is>
      </c>
      <c r="U2865" t="n">
        <v>1</v>
      </c>
      <c r="V2865" t="n">
        <v>1</v>
      </c>
      <c r="W2865" t="inlineStr">
        <is>
          <t>2001-03-28</t>
        </is>
      </c>
      <c r="X2865" t="inlineStr">
        <is>
          <t>2001-03-28</t>
        </is>
      </c>
      <c r="Y2865" t="inlineStr">
        <is>
          <t>1992-01-22</t>
        </is>
      </c>
      <c r="Z2865" t="inlineStr">
        <is>
          <t>1992-01-22</t>
        </is>
      </c>
      <c r="AA2865" t="n">
        <v>695</v>
      </c>
      <c r="AB2865" t="n">
        <v>678</v>
      </c>
      <c r="AC2865" t="n">
        <v>876</v>
      </c>
      <c r="AD2865" t="n">
        <v>5</v>
      </c>
      <c r="AE2865" t="n">
        <v>7</v>
      </c>
      <c r="AF2865" t="n">
        <v>28</v>
      </c>
      <c r="AG2865" t="n">
        <v>39</v>
      </c>
      <c r="AH2865" t="n">
        <v>11</v>
      </c>
      <c r="AI2865" t="n">
        <v>14</v>
      </c>
      <c r="AJ2865" t="n">
        <v>6</v>
      </c>
      <c r="AK2865" t="n">
        <v>9</v>
      </c>
      <c r="AL2865" t="n">
        <v>17</v>
      </c>
      <c r="AM2865" t="n">
        <v>22</v>
      </c>
      <c r="AN2865" t="n">
        <v>4</v>
      </c>
      <c r="AO2865" t="n">
        <v>6</v>
      </c>
      <c r="AP2865" t="n">
        <v>0</v>
      </c>
      <c r="AQ2865" t="n">
        <v>0</v>
      </c>
      <c r="AR2865" t="inlineStr">
        <is>
          <t>No</t>
        </is>
      </c>
      <c r="AS2865" t="inlineStr">
        <is>
          <t>Yes</t>
        </is>
      </c>
      <c r="AT2865">
        <f>HYPERLINK("http://catalog.hathitrust.org/Record/001020275","HathiTrust Record")</f>
        <v/>
      </c>
      <c r="AU2865">
        <f>HYPERLINK("https://creighton-primo.hosted.exlibrisgroup.com/primo-explore/search?tab=default_tab&amp;search_scope=EVERYTHING&amp;vid=01CRU&amp;lang=en_US&amp;offset=0&amp;query=any,contains,991003087869702656","Catalog Record")</f>
        <v/>
      </c>
      <c r="AV2865">
        <f>HYPERLINK("http://www.worldcat.org/oclc/638034","WorldCat Record")</f>
        <v/>
      </c>
      <c r="AW2865" t="inlineStr">
        <is>
          <t>1872475:eng</t>
        </is>
      </c>
      <c r="AX2865" t="inlineStr">
        <is>
          <t>638034</t>
        </is>
      </c>
      <c r="AY2865" t="inlineStr">
        <is>
          <t>991003087869702656</t>
        </is>
      </c>
      <c r="AZ2865" t="inlineStr">
        <is>
          <t>991003087869702656</t>
        </is>
      </c>
      <c r="BA2865" t="inlineStr">
        <is>
          <t>2259440370002656</t>
        </is>
      </c>
      <c r="BB2865" t="inlineStr">
        <is>
          <t>BOOK</t>
        </is>
      </c>
      <c r="BE2865" t="inlineStr">
        <is>
          <t>32285000897867</t>
        </is>
      </c>
      <c r="BF2865" t="inlineStr">
        <is>
          <t>893434636</t>
        </is>
      </c>
    </row>
    <row r="2866">
      <c r="A2866" t="inlineStr">
        <is>
          <t>No</t>
        </is>
      </c>
      <c r="B2866" t="inlineStr">
        <is>
          <t>CURAL</t>
        </is>
      </c>
      <c r="C2866" t="inlineStr">
        <is>
          <t>SHELVES</t>
        </is>
      </c>
      <c r="D2866" t="inlineStr">
        <is>
          <t>PR6003.R4 Z685 1994</t>
        </is>
      </c>
      <c r="E2866" t="inlineStr">
        <is>
          <t>0                      PR 6003000R  4                  Z  685         1994</t>
        </is>
      </c>
      <c r="F2866" t="inlineStr">
        <is>
          <t>Rupert Brooke / William E. Laskowski.</t>
        </is>
      </c>
      <c r="H2866" t="inlineStr">
        <is>
          <t>No</t>
        </is>
      </c>
      <c r="I2866" t="inlineStr">
        <is>
          <t>1</t>
        </is>
      </c>
      <c r="J2866" t="inlineStr">
        <is>
          <t>No</t>
        </is>
      </c>
      <c r="K2866" t="inlineStr">
        <is>
          <t>No</t>
        </is>
      </c>
      <c r="L2866" t="inlineStr">
        <is>
          <t>0</t>
        </is>
      </c>
      <c r="M2866" t="inlineStr">
        <is>
          <t>Laskowski, William E.</t>
        </is>
      </c>
      <c r="N2866" t="inlineStr">
        <is>
          <t>New York : Twayne ; Toronto : Maxwell Macmillan Canada ; New York : Maxwell Macmillan International, 1994.</t>
        </is>
      </c>
      <c r="O2866" t="inlineStr">
        <is>
          <t>1994</t>
        </is>
      </c>
      <c r="Q2866" t="inlineStr">
        <is>
          <t>eng</t>
        </is>
      </c>
      <c r="R2866" t="inlineStr">
        <is>
          <t>nyu</t>
        </is>
      </c>
      <c r="S2866" t="inlineStr">
        <is>
          <t>Twayne's English authors series ; TEAS 504</t>
        </is>
      </c>
      <c r="T2866" t="inlineStr">
        <is>
          <t xml:space="preserve">PR </t>
        </is>
      </c>
      <c r="U2866" t="n">
        <v>1</v>
      </c>
      <c r="V2866" t="n">
        <v>1</v>
      </c>
      <c r="W2866" t="inlineStr">
        <is>
          <t>2001-03-28</t>
        </is>
      </c>
      <c r="X2866" t="inlineStr">
        <is>
          <t>2001-03-28</t>
        </is>
      </c>
      <c r="Y2866" t="inlineStr">
        <is>
          <t>1994-08-11</t>
        </is>
      </c>
      <c r="Z2866" t="inlineStr">
        <is>
          <t>1994-08-11</t>
        </is>
      </c>
      <c r="AA2866" t="n">
        <v>491</v>
      </c>
      <c r="AB2866" t="n">
        <v>444</v>
      </c>
      <c r="AC2866" t="n">
        <v>545</v>
      </c>
      <c r="AD2866" t="n">
        <v>5</v>
      </c>
      <c r="AE2866" t="n">
        <v>5</v>
      </c>
      <c r="AF2866" t="n">
        <v>27</v>
      </c>
      <c r="AG2866" t="n">
        <v>28</v>
      </c>
      <c r="AH2866" t="n">
        <v>10</v>
      </c>
      <c r="AI2866" t="n">
        <v>10</v>
      </c>
      <c r="AJ2866" t="n">
        <v>5</v>
      </c>
      <c r="AK2866" t="n">
        <v>5</v>
      </c>
      <c r="AL2866" t="n">
        <v>15</v>
      </c>
      <c r="AM2866" t="n">
        <v>16</v>
      </c>
      <c r="AN2866" t="n">
        <v>4</v>
      </c>
      <c r="AO2866" t="n">
        <v>4</v>
      </c>
      <c r="AP2866" t="n">
        <v>0</v>
      </c>
      <c r="AQ2866" t="n">
        <v>0</v>
      </c>
      <c r="AR2866" t="inlineStr">
        <is>
          <t>No</t>
        </is>
      </c>
      <c r="AS2866" t="inlineStr">
        <is>
          <t>Yes</t>
        </is>
      </c>
      <c r="AT2866">
        <f>HYPERLINK("http://catalog.hathitrust.org/Record/002882781","HathiTrust Record")</f>
        <v/>
      </c>
      <c r="AU2866">
        <f>HYPERLINK("https://creighton-primo.hosted.exlibrisgroup.com/primo-explore/search?tab=default_tab&amp;search_scope=EVERYTHING&amp;vid=01CRU&amp;lang=en_US&amp;offset=0&amp;query=any,contains,991002271269702656","Catalog Record")</f>
        <v/>
      </c>
      <c r="AV2866">
        <f>HYPERLINK("http://www.worldcat.org/oclc/29477712","WorldCat Record")</f>
        <v/>
      </c>
      <c r="AW2866" t="inlineStr">
        <is>
          <t>17664077:eng</t>
        </is>
      </c>
      <c r="AX2866" t="inlineStr">
        <is>
          <t>29477712</t>
        </is>
      </c>
      <c r="AY2866" t="inlineStr">
        <is>
          <t>991002271269702656</t>
        </is>
      </c>
      <c r="AZ2866" t="inlineStr">
        <is>
          <t>991002271269702656</t>
        </is>
      </c>
      <c r="BA2866" t="inlineStr">
        <is>
          <t>2270453130002656</t>
        </is>
      </c>
      <c r="BB2866" t="inlineStr">
        <is>
          <t>BOOK</t>
        </is>
      </c>
      <c r="BD2866" t="inlineStr">
        <is>
          <t>9780805770254</t>
        </is>
      </c>
      <c r="BE2866" t="inlineStr">
        <is>
          <t>32285001919587</t>
        </is>
      </c>
      <c r="BF2866" t="inlineStr">
        <is>
          <t>893238855</t>
        </is>
      </c>
    </row>
    <row r="2867">
      <c r="A2867" t="inlineStr">
        <is>
          <t>No</t>
        </is>
      </c>
      <c r="B2867" t="inlineStr">
        <is>
          <t>CURAL</t>
        </is>
      </c>
      <c r="C2867" t="inlineStr">
        <is>
          <t>SHELVES</t>
        </is>
      </c>
      <c r="D2867" t="inlineStr">
        <is>
          <t>PR6003.R4 Z69 1980</t>
        </is>
      </c>
      <c r="E2867" t="inlineStr">
        <is>
          <t>0                      PR 6003000R  4                  Z  69          1980</t>
        </is>
      </c>
      <c r="F2867" t="inlineStr">
        <is>
          <t>The strange destiny of Rupert Brooke / John Lehmann.</t>
        </is>
      </c>
      <c r="H2867" t="inlineStr">
        <is>
          <t>No</t>
        </is>
      </c>
      <c r="I2867" t="inlineStr">
        <is>
          <t>1</t>
        </is>
      </c>
      <c r="J2867" t="inlineStr">
        <is>
          <t>No</t>
        </is>
      </c>
      <c r="K2867" t="inlineStr">
        <is>
          <t>No</t>
        </is>
      </c>
      <c r="L2867" t="inlineStr">
        <is>
          <t>0</t>
        </is>
      </c>
      <c r="M2867" t="inlineStr">
        <is>
          <t>Lehmann, John, 1907-1987.</t>
        </is>
      </c>
      <c r="N2867" t="inlineStr">
        <is>
          <t>New York : Holt, Rinehart, and Winston, c1980.</t>
        </is>
      </c>
      <c r="O2867" t="inlineStr">
        <is>
          <t>1980</t>
        </is>
      </c>
      <c r="P2867" t="inlineStr">
        <is>
          <t>1st American ed.</t>
        </is>
      </c>
      <c r="Q2867" t="inlineStr">
        <is>
          <t>eng</t>
        </is>
      </c>
      <c r="R2867" t="inlineStr">
        <is>
          <t>nyu</t>
        </is>
      </c>
      <c r="T2867" t="inlineStr">
        <is>
          <t xml:space="preserve">PR </t>
        </is>
      </c>
      <c r="U2867" t="n">
        <v>1</v>
      </c>
      <c r="V2867" t="n">
        <v>1</v>
      </c>
      <c r="W2867" t="inlineStr">
        <is>
          <t>2001-04-11</t>
        </is>
      </c>
      <c r="X2867" t="inlineStr">
        <is>
          <t>2001-04-11</t>
        </is>
      </c>
      <c r="Y2867" t="inlineStr">
        <is>
          <t>1992-01-21</t>
        </is>
      </c>
      <c r="Z2867" t="inlineStr">
        <is>
          <t>1992-01-21</t>
        </is>
      </c>
      <c r="AA2867" t="n">
        <v>534</v>
      </c>
      <c r="AB2867" t="n">
        <v>492</v>
      </c>
      <c r="AC2867" t="n">
        <v>498</v>
      </c>
      <c r="AD2867" t="n">
        <v>4</v>
      </c>
      <c r="AE2867" t="n">
        <v>4</v>
      </c>
      <c r="AF2867" t="n">
        <v>16</v>
      </c>
      <c r="AG2867" t="n">
        <v>16</v>
      </c>
      <c r="AH2867" t="n">
        <v>4</v>
      </c>
      <c r="AI2867" t="n">
        <v>4</v>
      </c>
      <c r="AJ2867" t="n">
        <v>4</v>
      </c>
      <c r="AK2867" t="n">
        <v>4</v>
      </c>
      <c r="AL2867" t="n">
        <v>8</v>
      </c>
      <c r="AM2867" t="n">
        <v>8</v>
      </c>
      <c r="AN2867" t="n">
        <v>2</v>
      </c>
      <c r="AO2867" t="n">
        <v>2</v>
      </c>
      <c r="AP2867" t="n">
        <v>0</v>
      </c>
      <c r="AQ2867" t="n">
        <v>0</v>
      </c>
      <c r="AR2867" t="inlineStr">
        <is>
          <t>No</t>
        </is>
      </c>
      <c r="AS2867" t="inlineStr">
        <is>
          <t>No</t>
        </is>
      </c>
      <c r="AU2867">
        <f>HYPERLINK("https://creighton-primo.hosted.exlibrisgroup.com/primo-explore/search?tab=default_tab&amp;search_scope=EVERYTHING&amp;vid=01CRU&amp;lang=en_US&amp;offset=0&amp;query=any,contains,991004981149702656","Catalog Record")</f>
        <v/>
      </c>
      <c r="AV2867">
        <f>HYPERLINK("http://www.worldcat.org/oclc/6422397","WorldCat Record")</f>
        <v/>
      </c>
      <c r="AW2867" t="inlineStr">
        <is>
          <t>2564963223:eng</t>
        </is>
      </c>
      <c r="AX2867" t="inlineStr">
        <is>
          <t>6422397</t>
        </is>
      </c>
      <c r="AY2867" t="inlineStr">
        <is>
          <t>991004981149702656</t>
        </is>
      </c>
      <c r="AZ2867" t="inlineStr">
        <is>
          <t>991004981149702656</t>
        </is>
      </c>
      <c r="BA2867" t="inlineStr">
        <is>
          <t>2268955300002656</t>
        </is>
      </c>
      <c r="BB2867" t="inlineStr">
        <is>
          <t>BOOK</t>
        </is>
      </c>
      <c r="BD2867" t="inlineStr">
        <is>
          <t>9780030574795</t>
        </is>
      </c>
      <c r="BE2867" t="inlineStr">
        <is>
          <t>32285000916972</t>
        </is>
      </c>
      <c r="BF2867" t="inlineStr">
        <is>
          <t>893520247</t>
        </is>
      </c>
    </row>
    <row r="2868">
      <c r="A2868" t="inlineStr">
        <is>
          <t>No</t>
        </is>
      </c>
      <c r="B2868" t="inlineStr">
        <is>
          <t>CURAL</t>
        </is>
      </c>
      <c r="C2868" t="inlineStr">
        <is>
          <t>SHELVES</t>
        </is>
      </c>
      <c r="D2868" t="inlineStr">
        <is>
          <t>PR6003.R4 Z73</t>
        </is>
      </c>
      <c r="E2868" t="inlineStr">
        <is>
          <t>0                      PR 6003000R  4                  Z  73</t>
        </is>
      </c>
      <c r="F2868" t="inlineStr">
        <is>
          <t>Rupert Brooke.</t>
        </is>
      </c>
      <c r="H2868" t="inlineStr">
        <is>
          <t>No</t>
        </is>
      </c>
      <c r="I2868" t="inlineStr">
        <is>
          <t>1</t>
        </is>
      </c>
      <c r="J2868" t="inlineStr">
        <is>
          <t>No</t>
        </is>
      </c>
      <c r="K2868" t="inlineStr">
        <is>
          <t>No</t>
        </is>
      </c>
      <c r="L2868" t="inlineStr">
        <is>
          <t>0</t>
        </is>
      </c>
      <c r="N2868" t="inlineStr">
        <is>
          <t>Port Washington, N.Y., Kennikat Press [1968]</t>
        </is>
      </c>
      <c r="O2868" t="inlineStr">
        <is>
          <t>1968</t>
        </is>
      </c>
      <c r="Q2868" t="inlineStr">
        <is>
          <t>eng</t>
        </is>
      </c>
      <c r="R2868" t="inlineStr">
        <is>
          <t>nyu</t>
        </is>
      </c>
      <c r="T2868" t="inlineStr">
        <is>
          <t xml:space="preserve">PR </t>
        </is>
      </c>
      <c r="U2868" t="n">
        <v>1</v>
      </c>
      <c r="V2868" t="n">
        <v>1</v>
      </c>
      <c r="W2868" t="inlineStr">
        <is>
          <t>2001-04-11</t>
        </is>
      </c>
      <c r="X2868" t="inlineStr">
        <is>
          <t>2001-04-11</t>
        </is>
      </c>
      <c r="Y2868" t="inlineStr">
        <is>
          <t>1997-07-23</t>
        </is>
      </c>
      <c r="Z2868" t="inlineStr">
        <is>
          <t>1997-07-23</t>
        </is>
      </c>
      <c r="AA2868" t="n">
        <v>316</v>
      </c>
      <c r="AB2868" t="n">
        <v>285</v>
      </c>
      <c r="AC2868" t="n">
        <v>285</v>
      </c>
      <c r="AD2868" t="n">
        <v>2</v>
      </c>
      <c r="AE2868" t="n">
        <v>2</v>
      </c>
      <c r="AF2868" t="n">
        <v>11</v>
      </c>
      <c r="AG2868" t="n">
        <v>11</v>
      </c>
      <c r="AH2868" t="n">
        <v>4</v>
      </c>
      <c r="AI2868" t="n">
        <v>4</v>
      </c>
      <c r="AJ2868" t="n">
        <v>4</v>
      </c>
      <c r="AK2868" t="n">
        <v>4</v>
      </c>
      <c r="AL2868" t="n">
        <v>5</v>
      </c>
      <c r="AM2868" t="n">
        <v>5</v>
      </c>
      <c r="AN2868" t="n">
        <v>1</v>
      </c>
      <c r="AO2868" t="n">
        <v>1</v>
      </c>
      <c r="AP2868" t="n">
        <v>0</v>
      </c>
      <c r="AQ2868" t="n">
        <v>0</v>
      </c>
      <c r="AR2868" t="inlineStr">
        <is>
          <t>No</t>
        </is>
      </c>
      <c r="AS2868" t="inlineStr">
        <is>
          <t>No</t>
        </is>
      </c>
      <c r="AU2868">
        <f>HYPERLINK("https://creighton-primo.hosted.exlibrisgroup.com/primo-explore/search?tab=default_tab&amp;search_scope=EVERYTHING&amp;vid=01CRU&amp;lang=en_US&amp;offset=0&amp;query=any,contains,991002490839702656","Catalog Record")</f>
        <v/>
      </c>
      <c r="AV2868">
        <f>HYPERLINK("http://www.worldcat.org/oclc/362623","WorldCat Record")</f>
        <v/>
      </c>
      <c r="AW2868" t="inlineStr">
        <is>
          <t>10792692707:eng</t>
        </is>
      </c>
      <c r="AX2868" t="inlineStr">
        <is>
          <t>362623</t>
        </is>
      </c>
      <c r="AY2868" t="inlineStr">
        <is>
          <t>991002490839702656</t>
        </is>
      </c>
      <c r="AZ2868" t="inlineStr">
        <is>
          <t>991002490839702656</t>
        </is>
      </c>
      <c r="BA2868" t="inlineStr">
        <is>
          <t>2262463280002656</t>
        </is>
      </c>
      <c r="BB2868" t="inlineStr">
        <is>
          <t>BOOK</t>
        </is>
      </c>
      <c r="BE2868" t="inlineStr">
        <is>
          <t>32285002955176</t>
        </is>
      </c>
      <c r="BF2868" t="inlineStr">
        <is>
          <t>893616191</t>
        </is>
      </c>
    </row>
    <row r="2869">
      <c r="A2869" t="inlineStr">
        <is>
          <t>No</t>
        </is>
      </c>
      <c r="B2869" t="inlineStr">
        <is>
          <t>CURAL</t>
        </is>
      </c>
      <c r="C2869" t="inlineStr">
        <is>
          <t>SHELVES</t>
        </is>
      </c>
      <c r="D2869" t="inlineStr">
        <is>
          <t>PR6003.R412 Z99 1995</t>
        </is>
      </c>
      <c r="E2869" t="inlineStr">
        <is>
          <t>0                      PR 6003000R  412                Z  99          1995</t>
        </is>
      </c>
      <c r="F2869" t="inlineStr">
        <is>
          <t>Utterly other discourse : the texts of Christine Brooke-Rose / edited by Ellen J. Friedman and Richard Martin.</t>
        </is>
      </c>
      <c r="H2869" t="inlineStr">
        <is>
          <t>No</t>
        </is>
      </c>
      <c r="I2869" t="inlineStr">
        <is>
          <t>1</t>
        </is>
      </c>
      <c r="J2869" t="inlineStr">
        <is>
          <t>No</t>
        </is>
      </c>
      <c r="K2869" t="inlineStr">
        <is>
          <t>No</t>
        </is>
      </c>
      <c r="L2869" t="inlineStr">
        <is>
          <t>0</t>
        </is>
      </c>
      <c r="N2869" t="inlineStr">
        <is>
          <t>Normal, IL : Dalkey Archive Press, c1995.</t>
        </is>
      </c>
      <c r="O2869" t="inlineStr">
        <is>
          <t>1995</t>
        </is>
      </c>
      <c r="P2869" t="inlineStr">
        <is>
          <t>1st ed.</t>
        </is>
      </c>
      <c r="Q2869" t="inlineStr">
        <is>
          <t>eng</t>
        </is>
      </c>
      <c r="R2869" t="inlineStr">
        <is>
          <t>ilu</t>
        </is>
      </c>
      <c r="T2869" t="inlineStr">
        <is>
          <t xml:space="preserve">PR </t>
        </is>
      </c>
      <c r="U2869" t="n">
        <v>1</v>
      </c>
      <c r="V2869" t="n">
        <v>1</v>
      </c>
      <c r="W2869" t="inlineStr">
        <is>
          <t>2005-04-05</t>
        </is>
      </c>
      <c r="X2869" t="inlineStr">
        <is>
          <t>2005-04-05</t>
        </is>
      </c>
      <c r="Y2869" t="inlineStr">
        <is>
          <t>2005-04-05</t>
        </is>
      </c>
      <c r="Z2869" t="inlineStr">
        <is>
          <t>2005-04-05</t>
        </is>
      </c>
      <c r="AA2869" t="n">
        <v>244</v>
      </c>
      <c r="AB2869" t="n">
        <v>211</v>
      </c>
      <c r="AC2869" t="n">
        <v>212</v>
      </c>
      <c r="AD2869" t="n">
        <v>3</v>
      </c>
      <c r="AE2869" t="n">
        <v>3</v>
      </c>
      <c r="AF2869" t="n">
        <v>12</v>
      </c>
      <c r="AG2869" t="n">
        <v>12</v>
      </c>
      <c r="AH2869" t="n">
        <v>7</v>
      </c>
      <c r="AI2869" t="n">
        <v>7</v>
      </c>
      <c r="AJ2869" t="n">
        <v>2</v>
      </c>
      <c r="AK2869" t="n">
        <v>2</v>
      </c>
      <c r="AL2869" t="n">
        <v>4</v>
      </c>
      <c r="AM2869" t="n">
        <v>4</v>
      </c>
      <c r="AN2869" t="n">
        <v>2</v>
      </c>
      <c r="AO2869" t="n">
        <v>2</v>
      </c>
      <c r="AP2869" t="n">
        <v>0</v>
      </c>
      <c r="AQ2869" t="n">
        <v>0</v>
      </c>
      <c r="AR2869" t="inlineStr">
        <is>
          <t>No</t>
        </is>
      </c>
      <c r="AS2869" t="inlineStr">
        <is>
          <t>No</t>
        </is>
      </c>
      <c r="AU2869">
        <f>HYPERLINK("https://creighton-primo.hosted.exlibrisgroup.com/primo-explore/search?tab=default_tab&amp;search_scope=EVERYTHING&amp;vid=01CRU&amp;lang=en_US&amp;offset=0&amp;query=any,contains,991004506379702656","Catalog Record")</f>
        <v/>
      </c>
      <c r="AV2869">
        <f>HYPERLINK("http://www.worldcat.org/oclc/31376453","WorldCat Record")</f>
        <v/>
      </c>
      <c r="AW2869" t="inlineStr">
        <is>
          <t>33407685:eng</t>
        </is>
      </c>
      <c r="AX2869" t="inlineStr">
        <is>
          <t>31376453</t>
        </is>
      </c>
      <c r="AY2869" t="inlineStr">
        <is>
          <t>991004506379702656</t>
        </is>
      </c>
      <c r="AZ2869" t="inlineStr">
        <is>
          <t>991004506379702656</t>
        </is>
      </c>
      <c r="BA2869" t="inlineStr">
        <is>
          <t>2255212580002656</t>
        </is>
      </c>
      <c r="BB2869" t="inlineStr">
        <is>
          <t>BOOK</t>
        </is>
      </c>
      <c r="BD2869" t="inlineStr">
        <is>
          <t>9781564780799</t>
        </is>
      </c>
      <c r="BE2869" t="inlineStr">
        <is>
          <t>32285005047765</t>
        </is>
      </c>
      <c r="BF2869" t="inlineStr">
        <is>
          <t>893810547</t>
        </is>
      </c>
    </row>
    <row r="2870">
      <c r="A2870" t="inlineStr">
        <is>
          <t>No</t>
        </is>
      </c>
      <c r="B2870" t="inlineStr">
        <is>
          <t>CURAL</t>
        </is>
      </c>
      <c r="C2870" t="inlineStr">
        <is>
          <t>SHELVES</t>
        </is>
      </c>
      <c r="D2870" t="inlineStr">
        <is>
          <t>PR6005.A414 Z738 1988</t>
        </is>
      </c>
      <c r="E2870" t="inlineStr">
        <is>
          <t>0                      PR 6005000A  414                Z  738         1988</t>
        </is>
      </c>
      <c r="F2870" t="inlineStr">
        <is>
          <t>Joseph Campbell, poet &amp; nationalist, 1879-1944 : a critical biography / Norah Saunders &amp; A.A. Kelly.</t>
        </is>
      </c>
      <c r="H2870" t="inlineStr">
        <is>
          <t>No</t>
        </is>
      </c>
      <c r="I2870" t="inlineStr">
        <is>
          <t>1</t>
        </is>
      </c>
      <c r="J2870" t="inlineStr">
        <is>
          <t>No</t>
        </is>
      </c>
      <c r="K2870" t="inlineStr">
        <is>
          <t>No</t>
        </is>
      </c>
      <c r="L2870" t="inlineStr">
        <is>
          <t>0</t>
        </is>
      </c>
      <c r="M2870" t="inlineStr">
        <is>
          <t>Saunders, Norah.</t>
        </is>
      </c>
      <c r="N2870" t="inlineStr">
        <is>
          <t>Dublin : Wolfhound, 1988.</t>
        </is>
      </c>
      <c r="O2870" t="inlineStr">
        <is>
          <t>1988</t>
        </is>
      </c>
      <c r="Q2870" t="inlineStr">
        <is>
          <t>eng</t>
        </is>
      </c>
      <c r="R2870" t="inlineStr">
        <is>
          <t xml:space="preserve">ie </t>
        </is>
      </c>
      <c r="T2870" t="inlineStr">
        <is>
          <t xml:space="preserve">PR </t>
        </is>
      </c>
      <c r="U2870" t="n">
        <v>1</v>
      </c>
      <c r="V2870" t="n">
        <v>1</v>
      </c>
      <c r="W2870" t="inlineStr">
        <is>
          <t>1996-07-05</t>
        </is>
      </c>
      <c r="X2870" t="inlineStr">
        <is>
          <t>1996-07-05</t>
        </is>
      </c>
      <c r="Y2870" t="inlineStr">
        <is>
          <t>1994-03-11</t>
        </is>
      </c>
      <c r="Z2870" t="inlineStr">
        <is>
          <t>1994-03-11</t>
        </is>
      </c>
      <c r="AA2870" t="n">
        <v>140</v>
      </c>
      <c r="AB2870" t="n">
        <v>105</v>
      </c>
      <c r="AC2870" t="n">
        <v>108</v>
      </c>
      <c r="AD2870" t="n">
        <v>2</v>
      </c>
      <c r="AE2870" t="n">
        <v>2</v>
      </c>
      <c r="AF2870" t="n">
        <v>10</v>
      </c>
      <c r="AG2870" t="n">
        <v>10</v>
      </c>
      <c r="AH2870" t="n">
        <v>2</v>
      </c>
      <c r="AI2870" t="n">
        <v>2</v>
      </c>
      <c r="AJ2870" t="n">
        <v>6</v>
      </c>
      <c r="AK2870" t="n">
        <v>6</v>
      </c>
      <c r="AL2870" t="n">
        <v>4</v>
      </c>
      <c r="AM2870" t="n">
        <v>4</v>
      </c>
      <c r="AN2870" t="n">
        <v>1</v>
      </c>
      <c r="AO2870" t="n">
        <v>1</v>
      </c>
      <c r="AP2870" t="n">
        <v>0</v>
      </c>
      <c r="AQ2870" t="n">
        <v>0</v>
      </c>
      <c r="AR2870" t="inlineStr">
        <is>
          <t>No</t>
        </is>
      </c>
      <c r="AS2870" t="inlineStr">
        <is>
          <t>Yes</t>
        </is>
      </c>
      <c r="AT2870">
        <f>HYPERLINK("http://catalog.hathitrust.org/Record/001077403","HathiTrust Record")</f>
        <v/>
      </c>
      <c r="AU2870">
        <f>HYPERLINK("https://creighton-primo.hosted.exlibrisgroup.com/primo-explore/search?tab=default_tab&amp;search_scope=EVERYTHING&amp;vid=01CRU&amp;lang=en_US&amp;offset=0&amp;query=any,contains,991001129679702656","Catalog Record")</f>
        <v/>
      </c>
      <c r="AV2870">
        <f>HYPERLINK("http://www.worldcat.org/oclc/16681503","WorldCat Record")</f>
        <v/>
      </c>
      <c r="AW2870" t="inlineStr">
        <is>
          <t>6776577:eng</t>
        </is>
      </c>
      <c r="AX2870" t="inlineStr">
        <is>
          <t>16681503</t>
        </is>
      </c>
      <c r="AY2870" t="inlineStr">
        <is>
          <t>991001129679702656</t>
        </is>
      </c>
      <c r="AZ2870" t="inlineStr">
        <is>
          <t>991001129679702656</t>
        </is>
      </c>
      <c r="BA2870" t="inlineStr">
        <is>
          <t>2271758210002656</t>
        </is>
      </c>
      <c r="BB2870" t="inlineStr">
        <is>
          <t>BOOK</t>
        </is>
      </c>
      <c r="BD2870" t="inlineStr">
        <is>
          <t>9780863271540</t>
        </is>
      </c>
      <c r="BE2870" t="inlineStr">
        <is>
          <t>32285001855245</t>
        </is>
      </c>
      <c r="BF2870" t="inlineStr">
        <is>
          <t>893784844</t>
        </is>
      </c>
    </row>
    <row r="2871">
      <c r="A2871" t="inlineStr">
        <is>
          <t>No</t>
        </is>
      </c>
      <c r="B2871" t="inlineStr">
        <is>
          <t>CURAL</t>
        </is>
      </c>
      <c r="C2871" t="inlineStr">
        <is>
          <t>SHELVES</t>
        </is>
      </c>
      <c r="D2871" t="inlineStr">
        <is>
          <t>PR6005.H66 Z5</t>
        </is>
      </c>
      <c r="E2871" t="inlineStr">
        <is>
          <t>0                      PR 6005000H  66                 Z  5</t>
        </is>
      </c>
      <c r="F2871" t="inlineStr">
        <is>
          <t>The life and crimes of Agatha Christie / Charles Osborne.</t>
        </is>
      </c>
      <c r="H2871" t="inlineStr">
        <is>
          <t>No</t>
        </is>
      </c>
      <c r="I2871" t="inlineStr">
        <is>
          <t>1</t>
        </is>
      </c>
      <c r="J2871" t="inlineStr">
        <is>
          <t>No</t>
        </is>
      </c>
      <c r="K2871" t="inlineStr">
        <is>
          <t>No</t>
        </is>
      </c>
      <c r="L2871" t="inlineStr">
        <is>
          <t>0</t>
        </is>
      </c>
      <c r="M2871" t="inlineStr">
        <is>
          <t>Osborne, Charles, 1927-2017.</t>
        </is>
      </c>
      <c r="N2871" t="inlineStr">
        <is>
          <t>London : Collins, 1982.</t>
        </is>
      </c>
      <c r="O2871" t="inlineStr">
        <is>
          <t>1982</t>
        </is>
      </c>
      <c r="Q2871" t="inlineStr">
        <is>
          <t>eng</t>
        </is>
      </c>
      <c r="R2871" t="inlineStr">
        <is>
          <t>enk</t>
        </is>
      </c>
      <c r="T2871" t="inlineStr">
        <is>
          <t xml:space="preserve">PR </t>
        </is>
      </c>
      <c r="U2871" t="n">
        <v>3</v>
      </c>
      <c r="V2871" t="n">
        <v>3</v>
      </c>
      <c r="W2871" t="inlineStr">
        <is>
          <t>1997-04-28</t>
        </is>
      </c>
      <c r="X2871" t="inlineStr">
        <is>
          <t>1997-04-28</t>
        </is>
      </c>
      <c r="Y2871" t="inlineStr">
        <is>
          <t>1992-06-30</t>
        </is>
      </c>
      <c r="Z2871" t="inlineStr">
        <is>
          <t>1992-06-30</t>
        </is>
      </c>
      <c r="AA2871" t="n">
        <v>452</v>
      </c>
      <c r="AB2871" t="n">
        <v>310</v>
      </c>
      <c r="AC2871" t="n">
        <v>789</v>
      </c>
      <c r="AD2871" t="n">
        <v>3</v>
      </c>
      <c r="AE2871" t="n">
        <v>6</v>
      </c>
      <c r="AF2871" t="n">
        <v>5</v>
      </c>
      <c r="AG2871" t="n">
        <v>12</v>
      </c>
      <c r="AH2871" t="n">
        <v>1</v>
      </c>
      <c r="AI2871" t="n">
        <v>3</v>
      </c>
      <c r="AJ2871" t="n">
        <v>1</v>
      </c>
      <c r="AK2871" t="n">
        <v>2</v>
      </c>
      <c r="AL2871" t="n">
        <v>3</v>
      </c>
      <c r="AM2871" t="n">
        <v>7</v>
      </c>
      <c r="AN2871" t="n">
        <v>1</v>
      </c>
      <c r="AO2871" t="n">
        <v>2</v>
      </c>
      <c r="AP2871" t="n">
        <v>0</v>
      </c>
      <c r="AQ2871" t="n">
        <v>0</v>
      </c>
      <c r="AR2871" t="inlineStr">
        <is>
          <t>No</t>
        </is>
      </c>
      <c r="AS2871" t="inlineStr">
        <is>
          <t>No</t>
        </is>
      </c>
      <c r="AU2871">
        <f>HYPERLINK("https://creighton-primo.hosted.exlibrisgroup.com/primo-explore/search?tab=default_tab&amp;search_scope=EVERYTHING&amp;vid=01CRU&amp;lang=en_US&amp;offset=0&amp;query=any,contains,991000103229702656","Catalog Record")</f>
        <v/>
      </c>
      <c r="AV2871">
        <f>HYPERLINK("http://www.worldcat.org/oclc/8961367","WorldCat Record")</f>
        <v/>
      </c>
      <c r="AW2871" t="inlineStr">
        <is>
          <t>2979404:eng</t>
        </is>
      </c>
      <c r="AX2871" t="inlineStr">
        <is>
          <t>8961367</t>
        </is>
      </c>
      <c r="AY2871" t="inlineStr">
        <is>
          <t>991000103229702656</t>
        </is>
      </c>
      <c r="AZ2871" t="inlineStr">
        <is>
          <t>991000103229702656</t>
        </is>
      </c>
      <c r="BA2871" t="inlineStr">
        <is>
          <t>2259125880002656</t>
        </is>
      </c>
      <c r="BB2871" t="inlineStr">
        <is>
          <t>BOOK</t>
        </is>
      </c>
      <c r="BD2871" t="inlineStr">
        <is>
          <t>9780002164627</t>
        </is>
      </c>
      <c r="BE2871" t="inlineStr">
        <is>
          <t>32285001146710</t>
        </is>
      </c>
      <c r="BF2871" t="inlineStr">
        <is>
          <t>893495914</t>
        </is>
      </c>
    </row>
    <row r="2872">
      <c r="A2872" t="inlineStr">
        <is>
          <t>No</t>
        </is>
      </c>
      <c r="B2872" t="inlineStr">
        <is>
          <t>CURAL</t>
        </is>
      </c>
      <c r="C2872" t="inlineStr">
        <is>
          <t>SHELVES</t>
        </is>
      </c>
      <c r="D2872" t="inlineStr">
        <is>
          <t>PR6005.H66 Z556 1980</t>
        </is>
      </c>
      <c r="E2872" t="inlineStr">
        <is>
          <t>0                      PR 6005000H  66                 Z  556         1980</t>
        </is>
      </c>
      <c r="F2872" t="inlineStr">
        <is>
          <t>A talent to deceive : an appreciation of Agatha Christie / by Robert Barnard.</t>
        </is>
      </c>
      <c r="H2872" t="inlineStr">
        <is>
          <t>No</t>
        </is>
      </c>
      <c r="I2872" t="inlineStr">
        <is>
          <t>1</t>
        </is>
      </c>
      <c r="J2872" t="inlineStr">
        <is>
          <t>No</t>
        </is>
      </c>
      <c r="K2872" t="inlineStr">
        <is>
          <t>No</t>
        </is>
      </c>
      <c r="L2872" t="inlineStr">
        <is>
          <t>0</t>
        </is>
      </c>
      <c r="M2872" t="inlineStr">
        <is>
          <t>Barnard, Robert.</t>
        </is>
      </c>
      <c r="N2872" t="inlineStr">
        <is>
          <t>London : Collins, c1980.</t>
        </is>
      </c>
      <c r="O2872" t="inlineStr">
        <is>
          <t>1980</t>
        </is>
      </c>
      <c r="Q2872" t="inlineStr">
        <is>
          <t>eng</t>
        </is>
      </c>
      <c r="R2872" t="inlineStr">
        <is>
          <t xml:space="preserve">xx </t>
        </is>
      </c>
      <c r="T2872" t="inlineStr">
        <is>
          <t xml:space="preserve">PR </t>
        </is>
      </c>
      <c r="U2872" t="n">
        <v>4</v>
      </c>
      <c r="V2872" t="n">
        <v>4</v>
      </c>
      <c r="W2872" t="inlineStr">
        <is>
          <t>1999-10-09</t>
        </is>
      </c>
      <c r="X2872" t="inlineStr">
        <is>
          <t>1999-10-09</t>
        </is>
      </c>
      <c r="Y2872" t="inlineStr">
        <is>
          <t>1992-07-01</t>
        </is>
      </c>
      <c r="Z2872" t="inlineStr">
        <is>
          <t>1992-07-01</t>
        </is>
      </c>
      <c r="AA2872" t="n">
        <v>181</v>
      </c>
      <c r="AB2872" t="n">
        <v>46</v>
      </c>
      <c r="AC2872" t="n">
        <v>821</v>
      </c>
      <c r="AD2872" t="n">
        <v>3</v>
      </c>
      <c r="AE2872" t="n">
        <v>3</v>
      </c>
      <c r="AF2872" t="n">
        <v>2</v>
      </c>
      <c r="AG2872" t="n">
        <v>19</v>
      </c>
      <c r="AH2872" t="n">
        <v>0</v>
      </c>
      <c r="AI2872" t="n">
        <v>5</v>
      </c>
      <c r="AJ2872" t="n">
        <v>0</v>
      </c>
      <c r="AK2872" t="n">
        <v>6</v>
      </c>
      <c r="AL2872" t="n">
        <v>0</v>
      </c>
      <c r="AM2872" t="n">
        <v>11</v>
      </c>
      <c r="AN2872" t="n">
        <v>2</v>
      </c>
      <c r="AO2872" t="n">
        <v>2</v>
      </c>
      <c r="AP2872" t="n">
        <v>0</v>
      </c>
      <c r="AQ2872" t="n">
        <v>0</v>
      </c>
      <c r="AR2872" t="inlineStr">
        <is>
          <t>No</t>
        </is>
      </c>
      <c r="AS2872" t="inlineStr">
        <is>
          <t>Yes</t>
        </is>
      </c>
      <c r="AT2872">
        <f>HYPERLINK("http://catalog.hathitrust.org/Record/007115867","HathiTrust Record")</f>
        <v/>
      </c>
      <c r="AU2872">
        <f>HYPERLINK("https://creighton-primo.hosted.exlibrisgroup.com/primo-explore/search?tab=default_tab&amp;search_scope=EVERYTHING&amp;vid=01CRU&amp;lang=en_US&amp;offset=0&amp;query=any,contains,991004968129702656","Catalog Record")</f>
        <v/>
      </c>
      <c r="AV2872">
        <f>HYPERLINK("http://www.worldcat.org/oclc/6352400","WorldCat Record")</f>
        <v/>
      </c>
      <c r="AW2872" t="inlineStr">
        <is>
          <t>10426974:eng</t>
        </is>
      </c>
      <c r="AX2872" t="inlineStr">
        <is>
          <t>6352400</t>
        </is>
      </c>
      <c r="AY2872" t="inlineStr">
        <is>
          <t>991004968129702656</t>
        </is>
      </c>
      <c r="AZ2872" t="inlineStr">
        <is>
          <t>991004968129702656</t>
        </is>
      </c>
      <c r="BA2872" t="inlineStr">
        <is>
          <t>2255840900002656</t>
        </is>
      </c>
      <c r="BB2872" t="inlineStr">
        <is>
          <t>BOOK</t>
        </is>
      </c>
      <c r="BD2872" t="inlineStr">
        <is>
          <t>9780002161909</t>
        </is>
      </c>
      <c r="BE2872" t="inlineStr">
        <is>
          <t>32285001146728</t>
        </is>
      </c>
      <c r="BF2872" t="inlineStr">
        <is>
          <t>893905149</t>
        </is>
      </c>
    </row>
    <row r="2873">
      <c r="A2873" t="inlineStr">
        <is>
          <t>No</t>
        </is>
      </c>
      <c r="B2873" t="inlineStr">
        <is>
          <t>CURAL</t>
        </is>
      </c>
      <c r="C2873" t="inlineStr">
        <is>
          <t>SHELVES</t>
        </is>
      </c>
      <c r="D2873" t="inlineStr">
        <is>
          <t>PR6005.H66 Z758 1984</t>
        </is>
      </c>
      <c r="E2873" t="inlineStr">
        <is>
          <t>0                      PR 6005000H  66                 Z  758         1984</t>
        </is>
      </c>
      <c r="F2873" t="inlineStr">
        <is>
          <t>Agatha Christie, a biography / Janet Morgan.</t>
        </is>
      </c>
      <c r="H2873" t="inlineStr">
        <is>
          <t>No</t>
        </is>
      </c>
      <c r="I2873" t="inlineStr">
        <is>
          <t>1</t>
        </is>
      </c>
      <c r="J2873" t="inlineStr">
        <is>
          <t>No</t>
        </is>
      </c>
      <c r="K2873" t="inlineStr">
        <is>
          <t>No</t>
        </is>
      </c>
      <c r="L2873" t="inlineStr">
        <is>
          <t>0</t>
        </is>
      </c>
      <c r="M2873" t="inlineStr">
        <is>
          <t>Morgan, Janet P.</t>
        </is>
      </c>
      <c r="N2873" t="inlineStr">
        <is>
          <t>London : Collins, 1984.</t>
        </is>
      </c>
      <c r="O2873" t="inlineStr">
        <is>
          <t>1984</t>
        </is>
      </c>
      <c r="Q2873" t="inlineStr">
        <is>
          <t>eng</t>
        </is>
      </c>
      <c r="R2873" t="inlineStr">
        <is>
          <t>enk</t>
        </is>
      </c>
      <c r="T2873" t="inlineStr">
        <is>
          <t xml:space="preserve">PR </t>
        </is>
      </c>
      <c r="U2873" t="n">
        <v>1</v>
      </c>
      <c r="V2873" t="n">
        <v>1</v>
      </c>
      <c r="W2873" t="inlineStr">
        <is>
          <t>1997-04-28</t>
        </is>
      </c>
      <c r="X2873" t="inlineStr">
        <is>
          <t>1997-04-28</t>
        </is>
      </c>
      <c r="Y2873" t="inlineStr">
        <is>
          <t>1992-07-01</t>
        </is>
      </c>
      <c r="Z2873" t="inlineStr">
        <is>
          <t>1992-07-01</t>
        </is>
      </c>
      <c r="AA2873" t="n">
        <v>271</v>
      </c>
      <c r="AB2873" t="n">
        <v>104</v>
      </c>
      <c r="AC2873" t="n">
        <v>1545</v>
      </c>
      <c r="AD2873" t="n">
        <v>3</v>
      </c>
      <c r="AE2873" t="n">
        <v>10</v>
      </c>
      <c r="AF2873" t="n">
        <v>5</v>
      </c>
      <c r="AG2873" t="n">
        <v>31</v>
      </c>
      <c r="AH2873" t="n">
        <v>0</v>
      </c>
      <c r="AI2873" t="n">
        <v>12</v>
      </c>
      <c r="AJ2873" t="n">
        <v>2</v>
      </c>
      <c r="AK2873" t="n">
        <v>6</v>
      </c>
      <c r="AL2873" t="n">
        <v>2</v>
      </c>
      <c r="AM2873" t="n">
        <v>14</v>
      </c>
      <c r="AN2873" t="n">
        <v>2</v>
      </c>
      <c r="AO2873" t="n">
        <v>6</v>
      </c>
      <c r="AP2873" t="n">
        <v>0</v>
      </c>
      <c r="AQ2873" t="n">
        <v>0</v>
      </c>
      <c r="AR2873" t="inlineStr">
        <is>
          <t>No</t>
        </is>
      </c>
      <c r="AS2873" t="inlineStr">
        <is>
          <t>Yes</t>
        </is>
      </c>
      <c r="AT2873">
        <f>HYPERLINK("http://catalog.hathitrust.org/Record/000342555","HathiTrust Record")</f>
        <v/>
      </c>
      <c r="AU2873">
        <f>HYPERLINK("https://creighton-primo.hosted.exlibrisgroup.com/primo-explore/search?tab=default_tab&amp;search_scope=EVERYTHING&amp;vid=01CRU&amp;lang=en_US&amp;offset=0&amp;query=any,contains,991000529559702656","Catalog Record")</f>
        <v/>
      </c>
      <c r="AV2873">
        <f>HYPERLINK("http://www.worldcat.org/oclc/13558934","WorldCat Record")</f>
        <v/>
      </c>
      <c r="AW2873" t="inlineStr">
        <is>
          <t>3896213:eng</t>
        </is>
      </c>
      <c r="AX2873" t="inlineStr">
        <is>
          <t>13558934</t>
        </is>
      </c>
      <c r="AY2873" t="inlineStr">
        <is>
          <t>991000529559702656</t>
        </is>
      </c>
      <c r="AZ2873" t="inlineStr">
        <is>
          <t>991000529559702656</t>
        </is>
      </c>
      <c r="BA2873" t="inlineStr">
        <is>
          <t>2270689340002656</t>
        </is>
      </c>
      <c r="BB2873" t="inlineStr">
        <is>
          <t>BOOK</t>
        </is>
      </c>
      <c r="BD2873" t="inlineStr">
        <is>
          <t>9780002163309</t>
        </is>
      </c>
      <c r="BE2873" t="inlineStr">
        <is>
          <t>32285001146744</t>
        </is>
      </c>
      <c r="BF2873" t="inlineStr">
        <is>
          <t>893626352</t>
        </is>
      </c>
    </row>
    <row r="2874">
      <c r="A2874" t="inlineStr">
        <is>
          <t>No</t>
        </is>
      </c>
      <c r="B2874" t="inlineStr">
        <is>
          <t>CURAL</t>
        </is>
      </c>
      <c r="C2874" t="inlineStr">
        <is>
          <t>SHELVES</t>
        </is>
      </c>
      <c r="D2874" t="inlineStr">
        <is>
          <t>PR6005.H66 Z95 1986</t>
        </is>
      </c>
      <c r="E2874" t="inlineStr">
        <is>
          <t>0                      PR 6005000H  66                 Z  95          1986</t>
        </is>
      </c>
      <c r="F2874" t="inlineStr">
        <is>
          <t>Agatha Christie / by Mary S. Wagoner.</t>
        </is>
      </c>
      <c r="H2874" t="inlineStr">
        <is>
          <t>No</t>
        </is>
      </c>
      <c r="I2874" t="inlineStr">
        <is>
          <t>1</t>
        </is>
      </c>
      <c r="J2874" t="inlineStr">
        <is>
          <t>No</t>
        </is>
      </c>
      <c r="K2874" t="inlineStr">
        <is>
          <t>No</t>
        </is>
      </c>
      <c r="L2874" t="inlineStr">
        <is>
          <t>0</t>
        </is>
      </c>
      <c r="M2874" t="inlineStr">
        <is>
          <t>Wagoner, Mary.</t>
        </is>
      </c>
      <c r="N2874" t="inlineStr">
        <is>
          <t>Boston : Twayne Publishers, c1986.</t>
        </is>
      </c>
      <c r="O2874" t="inlineStr">
        <is>
          <t>1986</t>
        </is>
      </c>
      <c r="Q2874" t="inlineStr">
        <is>
          <t>eng</t>
        </is>
      </c>
      <c r="R2874" t="inlineStr">
        <is>
          <t>mau</t>
        </is>
      </c>
      <c r="S2874" t="inlineStr">
        <is>
          <t>Twayne's English authors series ; TEAS 432</t>
        </is>
      </c>
      <c r="T2874" t="inlineStr">
        <is>
          <t xml:space="preserve">PR </t>
        </is>
      </c>
      <c r="U2874" t="n">
        <v>2</v>
      </c>
      <c r="V2874" t="n">
        <v>2</v>
      </c>
      <c r="W2874" t="inlineStr">
        <is>
          <t>1997-04-28</t>
        </is>
      </c>
      <c r="X2874" t="inlineStr">
        <is>
          <t>1997-04-28</t>
        </is>
      </c>
      <c r="Y2874" t="inlineStr">
        <is>
          <t>1992-07-01</t>
        </is>
      </c>
      <c r="Z2874" t="inlineStr">
        <is>
          <t>1992-07-01</t>
        </is>
      </c>
      <c r="AA2874" t="n">
        <v>1097</v>
      </c>
      <c r="AB2874" t="n">
        <v>999</v>
      </c>
      <c r="AC2874" t="n">
        <v>1089</v>
      </c>
      <c r="AD2874" t="n">
        <v>7</v>
      </c>
      <c r="AE2874" t="n">
        <v>7</v>
      </c>
      <c r="AF2874" t="n">
        <v>29</v>
      </c>
      <c r="AG2874" t="n">
        <v>30</v>
      </c>
      <c r="AH2874" t="n">
        <v>10</v>
      </c>
      <c r="AI2874" t="n">
        <v>10</v>
      </c>
      <c r="AJ2874" t="n">
        <v>7</v>
      </c>
      <c r="AK2874" t="n">
        <v>7</v>
      </c>
      <c r="AL2874" t="n">
        <v>15</v>
      </c>
      <c r="AM2874" t="n">
        <v>16</v>
      </c>
      <c r="AN2874" t="n">
        <v>4</v>
      </c>
      <c r="AO2874" t="n">
        <v>4</v>
      </c>
      <c r="AP2874" t="n">
        <v>0</v>
      </c>
      <c r="AQ2874" t="n">
        <v>0</v>
      </c>
      <c r="AR2874" t="inlineStr">
        <is>
          <t>No</t>
        </is>
      </c>
      <c r="AS2874" t="inlineStr">
        <is>
          <t>Yes</t>
        </is>
      </c>
      <c r="AT2874">
        <f>HYPERLINK("http://catalog.hathitrust.org/Record/000492934","HathiTrust Record")</f>
        <v/>
      </c>
      <c r="AU2874">
        <f>HYPERLINK("https://creighton-primo.hosted.exlibrisgroup.com/primo-explore/search?tab=default_tab&amp;search_scope=EVERYTHING&amp;vid=01CRU&amp;lang=en_US&amp;offset=0&amp;query=any,contains,991000844739702656","Catalog Record")</f>
        <v/>
      </c>
      <c r="AV2874">
        <f>HYPERLINK("http://www.worldcat.org/oclc/13558956","WorldCat Record")</f>
        <v/>
      </c>
      <c r="AW2874" t="inlineStr">
        <is>
          <t>2218775855:eng</t>
        </is>
      </c>
      <c r="AX2874" t="inlineStr">
        <is>
          <t>13558956</t>
        </is>
      </c>
      <c r="AY2874" t="inlineStr">
        <is>
          <t>991000844739702656</t>
        </is>
      </c>
      <c r="AZ2874" t="inlineStr">
        <is>
          <t>991000844739702656</t>
        </is>
      </c>
      <c r="BA2874" t="inlineStr">
        <is>
          <t>2272378180002656</t>
        </is>
      </c>
      <c r="BB2874" t="inlineStr">
        <is>
          <t>BOOK</t>
        </is>
      </c>
      <c r="BD2874" t="inlineStr">
        <is>
          <t>9780805769388</t>
        </is>
      </c>
      <c r="BE2874" t="inlineStr">
        <is>
          <t>32285001146769</t>
        </is>
      </c>
      <c r="BF2874" t="inlineStr">
        <is>
          <t>893884814</t>
        </is>
      </c>
    </row>
    <row r="2875">
      <c r="A2875" t="inlineStr">
        <is>
          <t>No</t>
        </is>
      </c>
      <c r="B2875" t="inlineStr">
        <is>
          <t>CURAL</t>
        </is>
      </c>
      <c r="C2875" t="inlineStr">
        <is>
          <t>SHELVES</t>
        </is>
      </c>
      <c r="D2875" t="inlineStr">
        <is>
          <t>PR6005.H66 Z96 2004</t>
        </is>
      </c>
      <c r="E2875" t="inlineStr">
        <is>
          <t>0                      PR 6005000H  66                 Z  96          2004</t>
        </is>
      </c>
      <c r="F2875" t="inlineStr">
        <is>
          <t>Agatha Christie : a reader's companion / Vanessa Wagstaff &amp; Stephen Poole.</t>
        </is>
      </c>
      <c r="H2875" t="inlineStr">
        <is>
          <t>No</t>
        </is>
      </c>
      <c r="I2875" t="inlineStr">
        <is>
          <t>1</t>
        </is>
      </c>
      <c r="J2875" t="inlineStr">
        <is>
          <t>No</t>
        </is>
      </c>
      <c r="K2875" t="inlineStr">
        <is>
          <t>No</t>
        </is>
      </c>
      <c r="L2875" t="inlineStr">
        <is>
          <t>0</t>
        </is>
      </c>
      <c r="M2875" t="inlineStr">
        <is>
          <t>Wagstaff, Vanessa.</t>
        </is>
      </c>
      <c r="N2875" t="inlineStr">
        <is>
          <t>London : Aurum, 2004.</t>
        </is>
      </c>
      <c r="O2875" t="inlineStr">
        <is>
          <t>2004</t>
        </is>
      </c>
      <c r="Q2875" t="inlineStr">
        <is>
          <t>eng</t>
        </is>
      </c>
      <c r="R2875" t="inlineStr">
        <is>
          <t>enk</t>
        </is>
      </c>
      <c r="T2875" t="inlineStr">
        <is>
          <t xml:space="preserve">PR </t>
        </is>
      </c>
      <c r="U2875" t="n">
        <v>1</v>
      </c>
      <c r="V2875" t="n">
        <v>1</v>
      </c>
      <c r="W2875" t="inlineStr">
        <is>
          <t>2008-12-02</t>
        </is>
      </c>
      <c r="X2875" t="inlineStr">
        <is>
          <t>2008-12-02</t>
        </is>
      </c>
      <c r="Y2875" t="inlineStr">
        <is>
          <t>2008-12-02</t>
        </is>
      </c>
      <c r="Z2875" t="inlineStr">
        <is>
          <t>2008-12-02</t>
        </is>
      </c>
      <c r="AA2875" t="n">
        <v>440</v>
      </c>
      <c r="AB2875" t="n">
        <v>356</v>
      </c>
      <c r="AC2875" t="n">
        <v>395</v>
      </c>
      <c r="AD2875" t="n">
        <v>3</v>
      </c>
      <c r="AE2875" t="n">
        <v>4</v>
      </c>
      <c r="AF2875" t="n">
        <v>10</v>
      </c>
      <c r="AG2875" t="n">
        <v>10</v>
      </c>
      <c r="AH2875" t="n">
        <v>5</v>
      </c>
      <c r="AI2875" t="n">
        <v>5</v>
      </c>
      <c r="AJ2875" t="n">
        <v>1</v>
      </c>
      <c r="AK2875" t="n">
        <v>1</v>
      </c>
      <c r="AL2875" t="n">
        <v>3</v>
      </c>
      <c r="AM2875" t="n">
        <v>3</v>
      </c>
      <c r="AN2875" t="n">
        <v>2</v>
      </c>
      <c r="AO2875" t="n">
        <v>2</v>
      </c>
      <c r="AP2875" t="n">
        <v>0</v>
      </c>
      <c r="AQ2875" t="n">
        <v>0</v>
      </c>
      <c r="AR2875" t="inlineStr">
        <is>
          <t>No</t>
        </is>
      </c>
      <c r="AS2875" t="inlineStr">
        <is>
          <t>No</t>
        </is>
      </c>
      <c r="AU2875">
        <f>HYPERLINK("https://creighton-primo.hosted.exlibrisgroup.com/primo-explore/search?tab=default_tab&amp;search_scope=EVERYTHING&amp;vid=01CRU&amp;lang=en_US&amp;offset=0&amp;query=any,contains,991005279159702656","Catalog Record")</f>
        <v/>
      </c>
      <c r="AV2875">
        <f>HYPERLINK("http://www.worldcat.org/oclc/56651586","WorldCat Record")</f>
        <v/>
      </c>
      <c r="AW2875" t="inlineStr">
        <is>
          <t>905744498:eng</t>
        </is>
      </c>
      <c r="AX2875" t="inlineStr">
        <is>
          <t>56651586</t>
        </is>
      </c>
      <c r="AY2875" t="inlineStr">
        <is>
          <t>991005279159702656</t>
        </is>
      </c>
      <c r="AZ2875" t="inlineStr">
        <is>
          <t>991005279159702656</t>
        </is>
      </c>
      <c r="BA2875" t="inlineStr">
        <is>
          <t>2255964640002656</t>
        </is>
      </c>
      <c r="BB2875" t="inlineStr">
        <is>
          <t>BOOK</t>
        </is>
      </c>
      <c r="BD2875" t="inlineStr">
        <is>
          <t>9781845130152</t>
        </is>
      </c>
      <c r="BE2875" t="inlineStr">
        <is>
          <t>32285005469688</t>
        </is>
      </c>
      <c r="BF2875" t="inlineStr">
        <is>
          <t>893527226</t>
        </is>
      </c>
    </row>
    <row r="2876">
      <c r="A2876" t="inlineStr">
        <is>
          <t>No</t>
        </is>
      </c>
      <c r="B2876" t="inlineStr">
        <is>
          <t>CURAL</t>
        </is>
      </c>
      <c r="C2876" t="inlineStr">
        <is>
          <t>SHELVES</t>
        </is>
      </c>
      <c r="D2876" t="inlineStr">
        <is>
          <t>PR6005.L37 R53 1993</t>
        </is>
      </c>
      <c r="E2876" t="inlineStr">
        <is>
          <t>0                      PR 6005000L  37                 R  53          1993</t>
        </is>
      </c>
      <c r="F2876" t="inlineStr">
        <is>
          <t>Austin Clarke : a reference guide / Lorraine Ricigliano.</t>
        </is>
      </c>
      <c r="H2876" t="inlineStr">
        <is>
          <t>No</t>
        </is>
      </c>
      <c r="I2876" t="inlineStr">
        <is>
          <t>1</t>
        </is>
      </c>
      <c r="J2876" t="inlineStr">
        <is>
          <t>No</t>
        </is>
      </c>
      <c r="K2876" t="inlineStr">
        <is>
          <t>No</t>
        </is>
      </c>
      <c r="L2876" t="inlineStr">
        <is>
          <t>0</t>
        </is>
      </c>
      <c r="M2876" t="inlineStr">
        <is>
          <t>Ricigliano, Lorraine.</t>
        </is>
      </c>
      <c r="N2876" t="inlineStr">
        <is>
          <t>New York : G.K. Hall ; Toronto : Maxwell Macmillan Canada ; New York : Maxwell Macmillan International, c1993.</t>
        </is>
      </c>
      <c r="O2876" t="inlineStr">
        <is>
          <t>1993</t>
        </is>
      </c>
      <c r="Q2876" t="inlineStr">
        <is>
          <t>eng</t>
        </is>
      </c>
      <c r="R2876" t="inlineStr">
        <is>
          <t>nyu</t>
        </is>
      </c>
      <c r="S2876" t="inlineStr">
        <is>
          <t>A Reference publication in literature</t>
        </is>
      </c>
      <c r="T2876" t="inlineStr">
        <is>
          <t xml:space="preserve">PR </t>
        </is>
      </c>
      <c r="U2876" t="n">
        <v>2</v>
      </c>
      <c r="V2876" t="n">
        <v>2</v>
      </c>
      <c r="W2876" t="inlineStr">
        <is>
          <t>1994-11-15</t>
        </is>
      </c>
      <c r="X2876" t="inlineStr">
        <is>
          <t>1994-11-15</t>
        </is>
      </c>
      <c r="Y2876" t="inlineStr">
        <is>
          <t>1994-03-11</t>
        </is>
      </c>
      <c r="Z2876" t="inlineStr">
        <is>
          <t>1994-03-11</t>
        </is>
      </c>
      <c r="AA2876" t="n">
        <v>185</v>
      </c>
      <c r="AB2876" t="n">
        <v>155</v>
      </c>
      <c r="AC2876" t="n">
        <v>172</v>
      </c>
      <c r="AD2876" t="n">
        <v>2</v>
      </c>
      <c r="AE2876" t="n">
        <v>2</v>
      </c>
      <c r="AF2876" t="n">
        <v>10</v>
      </c>
      <c r="AG2876" t="n">
        <v>10</v>
      </c>
      <c r="AH2876" t="n">
        <v>2</v>
      </c>
      <c r="AI2876" t="n">
        <v>2</v>
      </c>
      <c r="AJ2876" t="n">
        <v>5</v>
      </c>
      <c r="AK2876" t="n">
        <v>5</v>
      </c>
      <c r="AL2876" t="n">
        <v>7</v>
      </c>
      <c r="AM2876" t="n">
        <v>7</v>
      </c>
      <c r="AN2876" t="n">
        <v>1</v>
      </c>
      <c r="AO2876" t="n">
        <v>1</v>
      </c>
      <c r="AP2876" t="n">
        <v>0</v>
      </c>
      <c r="AQ2876" t="n">
        <v>0</v>
      </c>
      <c r="AR2876" t="inlineStr">
        <is>
          <t>No</t>
        </is>
      </c>
      <c r="AS2876" t="inlineStr">
        <is>
          <t>Yes</t>
        </is>
      </c>
      <c r="AT2876">
        <f>HYPERLINK("http://catalog.hathitrust.org/Record/002797557","HathiTrust Record")</f>
        <v/>
      </c>
      <c r="AU2876">
        <f>HYPERLINK("https://creighton-primo.hosted.exlibrisgroup.com/primo-explore/search?tab=default_tab&amp;search_scope=EVERYTHING&amp;vid=01CRU&amp;lang=en_US&amp;offset=0&amp;query=any,contains,991002130429702656","Catalog Record")</f>
        <v/>
      </c>
      <c r="AV2876">
        <f>HYPERLINK("http://www.worldcat.org/oclc/27267673","WorldCat Record")</f>
        <v/>
      </c>
      <c r="AW2876" t="inlineStr">
        <is>
          <t>906396684:eng</t>
        </is>
      </c>
      <c r="AX2876" t="inlineStr">
        <is>
          <t>27267673</t>
        </is>
      </c>
      <c r="AY2876" t="inlineStr">
        <is>
          <t>991002130429702656</t>
        </is>
      </c>
      <c r="AZ2876" t="inlineStr">
        <is>
          <t>991002130429702656</t>
        </is>
      </c>
      <c r="BA2876" t="inlineStr">
        <is>
          <t>2270889160002656</t>
        </is>
      </c>
      <c r="BB2876" t="inlineStr">
        <is>
          <t>BOOK</t>
        </is>
      </c>
      <c r="BD2876" t="inlineStr">
        <is>
          <t>9780816173846</t>
        </is>
      </c>
      <c r="BE2876" t="inlineStr">
        <is>
          <t>32285001855070</t>
        </is>
      </c>
      <c r="BF2876" t="inlineStr">
        <is>
          <t>893779457</t>
        </is>
      </c>
    </row>
    <row r="2877">
      <c r="A2877" t="inlineStr">
        <is>
          <t>No</t>
        </is>
      </c>
      <c r="B2877" t="inlineStr">
        <is>
          <t>CURAL</t>
        </is>
      </c>
      <c r="C2877" t="inlineStr">
        <is>
          <t>SHELVES</t>
        </is>
      </c>
      <c r="D2877" t="inlineStr">
        <is>
          <t>PR6005.L37 Z731 1989b</t>
        </is>
      </c>
      <c r="E2877" t="inlineStr">
        <is>
          <t>0                      PR 6005000L  37                 Z  731         1989b</t>
        </is>
      </c>
      <c r="F2877" t="inlineStr">
        <is>
          <t>Austin Clarke, 1896-1974 : a critical introduction / Maurice Harmon.</t>
        </is>
      </c>
      <c r="H2877" t="inlineStr">
        <is>
          <t>No</t>
        </is>
      </c>
      <c r="I2877" t="inlineStr">
        <is>
          <t>1</t>
        </is>
      </c>
      <c r="J2877" t="inlineStr">
        <is>
          <t>No</t>
        </is>
      </c>
      <c r="K2877" t="inlineStr">
        <is>
          <t>No</t>
        </is>
      </c>
      <c r="L2877" t="inlineStr">
        <is>
          <t>0</t>
        </is>
      </c>
      <c r="M2877" t="inlineStr">
        <is>
          <t>Harmon, Maurice.</t>
        </is>
      </c>
      <c r="N2877" t="inlineStr">
        <is>
          <t>Dublin : Wolfhound Press, c1989.</t>
        </is>
      </c>
      <c r="O2877" t="inlineStr">
        <is>
          <t>1989</t>
        </is>
      </c>
      <c r="Q2877" t="inlineStr">
        <is>
          <t>eng</t>
        </is>
      </c>
      <c r="R2877" t="inlineStr">
        <is>
          <t xml:space="preserve">ie </t>
        </is>
      </c>
      <c r="T2877" t="inlineStr">
        <is>
          <t xml:space="preserve">PR </t>
        </is>
      </c>
      <c r="U2877" t="n">
        <v>4</v>
      </c>
      <c r="V2877" t="n">
        <v>4</v>
      </c>
      <c r="W2877" t="inlineStr">
        <is>
          <t>1997-09-25</t>
        </is>
      </c>
      <c r="X2877" t="inlineStr">
        <is>
          <t>1997-09-25</t>
        </is>
      </c>
      <c r="Y2877" t="inlineStr">
        <is>
          <t>1989-11-27</t>
        </is>
      </c>
      <c r="Z2877" t="inlineStr">
        <is>
          <t>1989-11-27</t>
        </is>
      </c>
      <c r="AA2877" t="n">
        <v>94</v>
      </c>
      <c r="AB2877" t="n">
        <v>47</v>
      </c>
      <c r="AC2877" t="n">
        <v>288</v>
      </c>
      <c r="AD2877" t="n">
        <v>1</v>
      </c>
      <c r="AE2877" t="n">
        <v>3</v>
      </c>
      <c r="AF2877" t="n">
        <v>2</v>
      </c>
      <c r="AG2877" t="n">
        <v>16</v>
      </c>
      <c r="AH2877" t="n">
        <v>0</v>
      </c>
      <c r="AI2877" t="n">
        <v>5</v>
      </c>
      <c r="AJ2877" t="n">
        <v>1</v>
      </c>
      <c r="AK2877" t="n">
        <v>4</v>
      </c>
      <c r="AL2877" t="n">
        <v>2</v>
      </c>
      <c r="AM2877" t="n">
        <v>10</v>
      </c>
      <c r="AN2877" t="n">
        <v>0</v>
      </c>
      <c r="AO2877" t="n">
        <v>2</v>
      </c>
      <c r="AP2877" t="n">
        <v>0</v>
      </c>
      <c r="AQ2877" t="n">
        <v>0</v>
      </c>
      <c r="AR2877" t="inlineStr">
        <is>
          <t>No</t>
        </is>
      </c>
      <c r="AS2877" t="inlineStr">
        <is>
          <t>Yes</t>
        </is>
      </c>
      <c r="AT2877">
        <f>HYPERLINK("http://catalog.hathitrust.org/Record/001538874","HathiTrust Record")</f>
        <v/>
      </c>
      <c r="AU2877">
        <f>HYPERLINK("https://creighton-primo.hosted.exlibrisgroup.com/primo-explore/search?tab=default_tab&amp;search_scope=EVERYTHING&amp;vid=01CRU&amp;lang=en_US&amp;offset=0&amp;query=any,contains,991001591239702656","Catalog Record")</f>
        <v/>
      </c>
      <c r="AV2877">
        <f>HYPERLINK("http://www.worldcat.org/oclc/20585906","WorldCat Record")</f>
        <v/>
      </c>
      <c r="AW2877" t="inlineStr">
        <is>
          <t>17555382:eng</t>
        </is>
      </c>
      <c r="AX2877" t="inlineStr">
        <is>
          <t>20585906</t>
        </is>
      </c>
      <c r="AY2877" t="inlineStr">
        <is>
          <t>991001591239702656</t>
        </is>
      </c>
      <c r="AZ2877" t="inlineStr">
        <is>
          <t>991001591239702656</t>
        </is>
      </c>
      <c r="BA2877" t="inlineStr">
        <is>
          <t>2256321870002656</t>
        </is>
      </c>
      <c r="BB2877" t="inlineStr">
        <is>
          <t>BOOK</t>
        </is>
      </c>
      <c r="BD2877" t="inlineStr">
        <is>
          <t>9780863271847</t>
        </is>
      </c>
      <c r="BE2877" t="inlineStr">
        <is>
          <t>32285000015122</t>
        </is>
      </c>
      <c r="BF2877" t="inlineStr">
        <is>
          <t>893244234</t>
        </is>
      </c>
    </row>
    <row r="2878">
      <c r="A2878" t="inlineStr">
        <is>
          <t>No</t>
        </is>
      </c>
      <c r="B2878" t="inlineStr">
        <is>
          <t>CURAL</t>
        </is>
      </c>
      <c r="C2878" t="inlineStr">
        <is>
          <t>SHELVES</t>
        </is>
      </c>
      <c r="D2878" t="inlineStr">
        <is>
          <t>PR6005.L37 Z89 1981</t>
        </is>
      </c>
      <c r="E2878" t="inlineStr">
        <is>
          <t>0                      PR 6005000L  37                 Z  89          1981</t>
        </is>
      </c>
      <c r="F2878" t="inlineStr">
        <is>
          <t>Austin Clarke, a study of his writings / G. Craig Tapping.</t>
        </is>
      </c>
      <c r="H2878" t="inlineStr">
        <is>
          <t>No</t>
        </is>
      </c>
      <c r="I2878" t="inlineStr">
        <is>
          <t>1</t>
        </is>
      </c>
      <c r="J2878" t="inlineStr">
        <is>
          <t>No</t>
        </is>
      </c>
      <c r="K2878" t="inlineStr">
        <is>
          <t>No</t>
        </is>
      </c>
      <c r="L2878" t="inlineStr">
        <is>
          <t>0</t>
        </is>
      </c>
      <c r="M2878" t="inlineStr">
        <is>
          <t>Tapping, G. Craig.</t>
        </is>
      </c>
      <c r="N2878" t="inlineStr">
        <is>
          <t>Dublin : Academy Press, 1981.</t>
        </is>
      </c>
      <c r="O2878" t="inlineStr">
        <is>
          <t>1981</t>
        </is>
      </c>
      <c r="Q2878" t="inlineStr">
        <is>
          <t>eng</t>
        </is>
      </c>
      <c r="R2878" t="inlineStr">
        <is>
          <t xml:space="preserve">ie </t>
        </is>
      </c>
      <c r="T2878" t="inlineStr">
        <is>
          <t xml:space="preserve">PR </t>
        </is>
      </c>
      <c r="U2878" t="n">
        <v>4</v>
      </c>
      <c r="V2878" t="n">
        <v>4</v>
      </c>
      <c r="W2878" t="inlineStr">
        <is>
          <t>1997-09-25</t>
        </is>
      </c>
      <c r="X2878" t="inlineStr">
        <is>
          <t>1997-09-25</t>
        </is>
      </c>
      <c r="Y2878" t="inlineStr">
        <is>
          <t>1992-07-01</t>
        </is>
      </c>
      <c r="Z2878" t="inlineStr">
        <is>
          <t>1992-07-01</t>
        </is>
      </c>
      <c r="AA2878" t="n">
        <v>126</v>
      </c>
      <c r="AB2878" t="n">
        <v>72</v>
      </c>
      <c r="AC2878" t="n">
        <v>299</v>
      </c>
      <c r="AD2878" t="n">
        <v>2</v>
      </c>
      <c r="AE2878" t="n">
        <v>2</v>
      </c>
      <c r="AF2878" t="n">
        <v>8</v>
      </c>
      <c r="AG2878" t="n">
        <v>17</v>
      </c>
      <c r="AH2878" t="n">
        <v>4</v>
      </c>
      <c r="AI2878" t="n">
        <v>9</v>
      </c>
      <c r="AJ2878" t="n">
        <v>3</v>
      </c>
      <c r="AK2878" t="n">
        <v>6</v>
      </c>
      <c r="AL2878" t="n">
        <v>3</v>
      </c>
      <c r="AM2878" t="n">
        <v>8</v>
      </c>
      <c r="AN2878" t="n">
        <v>1</v>
      </c>
      <c r="AO2878" t="n">
        <v>1</v>
      </c>
      <c r="AP2878" t="n">
        <v>0</v>
      </c>
      <c r="AQ2878" t="n">
        <v>0</v>
      </c>
      <c r="AR2878" t="inlineStr">
        <is>
          <t>No</t>
        </is>
      </c>
      <c r="AS2878" t="inlineStr">
        <is>
          <t>Yes</t>
        </is>
      </c>
      <c r="AT2878">
        <f>HYPERLINK("http://catalog.hathitrust.org/Record/000099601","HathiTrust Record")</f>
        <v/>
      </c>
      <c r="AU2878">
        <f>HYPERLINK("https://creighton-primo.hosted.exlibrisgroup.com/primo-explore/search?tab=default_tab&amp;search_scope=EVERYTHING&amp;vid=01CRU&amp;lang=en_US&amp;offset=0&amp;query=any,contains,991005165019702656","Catalog Record")</f>
        <v/>
      </c>
      <c r="AV2878">
        <f>HYPERLINK("http://www.worldcat.org/oclc/7821515","WorldCat Record")</f>
        <v/>
      </c>
      <c r="AW2878" t="inlineStr">
        <is>
          <t>29535058:eng</t>
        </is>
      </c>
      <c r="AX2878" t="inlineStr">
        <is>
          <t>7821515</t>
        </is>
      </c>
      <c r="AY2878" t="inlineStr">
        <is>
          <t>991005165019702656</t>
        </is>
      </c>
      <c r="AZ2878" t="inlineStr">
        <is>
          <t>991005165019702656</t>
        </is>
      </c>
      <c r="BA2878" t="inlineStr">
        <is>
          <t>2256971930002656</t>
        </is>
      </c>
      <c r="BB2878" t="inlineStr">
        <is>
          <t>BOOK</t>
        </is>
      </c>
      <c r="BE2878" t="inlineStr">
        <is>
          <t>32285001146801</t>
        </is>
      </c>
      <c r="BF2878" t="inlineStr">
        <is>
          <t>893902229</t>
        </is>
      </c>
    </row>
    <row r="2879">
      <c r="A2879" t="inlineStr">
        <is>
          <t>No</t>
        </is>
      </c>
      <c r="B2879" t="inlineStr">
        <is>
          <t>CURAL</t>
        </is>
      </c>
      <c r="C2879" t="inlineStr">
        <is>
          <t>SHELVES</t>
        </is>
      </c>
      <c r="D2879" t="inlineStr">
        <is>
          <t>PR6005.O36 Z85 1983</t>
        </is>
      </c>
      <c r="E2879" t="inlineStr">
        <is>
          <t>0                      PR 6005000O  36                 Z  85          1983</t>
        </is>
      </c>
      <c r="F2879" t="inlineStr">
        <is>
          <t>John Collier / by Betty Richardson.</t>
        </is>
      </c>
      <c r="H2879" t="inlineStr">
        <is>
          <t>No</t>
        </is>
      </c>
      <c r="I2879" t="inlineStr">
        <is>
          <t>1</t>
        </is>
      </c>
      <c r="J2879" t="inlineStr">
        <is>
          <t>No</t>
        </is>
      </c>
      <c r="K2879" t="inlineStr">
        <is>
          <t>No</t>
        </is>
      </c>
      <c r="L2879" t="inlineStr">
        <is>
          <t>0</t>
        </is>
      </c>
      <c r="M2879" t="inlineStr">
        <is>
          <t>Richardson, Betty, 1935-</t>
        </is>
      </c>
      <c r="N2879" t="inlineStr">
        <is>
          <t>Boston : Twayne, c1983.</t>
        </is>
      </c>
      <c r="O2879" t="inlineStr">
        <is>
          <t>1983</t>
        </is>
      </c>
      <c r="Q2879" t="inlineStr">
        <is>
          <t>eng</t>
        </is>
      </c>
      <c r="R2879" t="inlineStr">
        <is>
          <t>mau</t>
        </is>
      </c>
      <c r="S2879" t="inlineStr">
        <is>
          <t>Twayne's English authors series ; TEAS 367</t>
        </is>
      </c>
      <c r="T2879" t="inlineStr">
        <is>
          <t xml:space="preserve">PR </t>
        </is>
      </c>
      <c r="U2879" t="n">
        <v>2</v>
      </c>
      <c r="V2879" t="n">
        <v>2</v>
      </c>
      <c r="W2879" t="inlineStr">
        <is>
          <t>2004-11-15</t>
        </is>
      </c>
      <c r="X2879" t="inlineStr">
        <is>
          <t>2004-11-15</t>
        </is>
      </c>
      <c r="Y2879" t="inlineStr">
        <is>
          <t>1992-07-01</t>
        </is>
      </c>
      <c r="Z2879" t="inlineStr">
        <is>
          <t>1992-07-01</t>
        </is>
      </c>
      <c r="AA2879" t="n">
        <v>424</v>
      </c>
      <c r="AB2879" t="n">
        <v>365</v>
      </c>
      <c r="AC2879" t="n">
        <v>371</v>
      </c>
      <c r="AD2879" t="n">
        <v>5</v>
      </c>
      <c r="AE2879" t="n">
        <v>5</v>
      </c>
      <c r="AF2879" t="n">
        <v>18</v>
      </c>
      <c r="AG2879" t="n">
        <v>18</v>
      </c>
      <c r="AH2879" t="n">
        <v>5</v>
      </c>
      <c r="AI2879" t="n">
        <v>5</v>
      </c>
      <c r="AJ2879" t="n">
        <v>3</v>
      </c>
      <c r="AK2879" t="n">
        <v>3</v>
      </c>
      <c r="AL2879" t="n">
        <v>12</v>
      </c>
      <c r="AM2879" t="n">
        <v>12</v>
      </c>
      <c r="AN2879" t="n">
        <v>4</v>
      </c>
      <c r="AO2879" t="n">
        <v>4</v>
      </c>
      <c r="AP2879" t="n">
        <v>0</v>
      </c>
      <c r="AQ2879" t="n">
        <v>0</v>
      </c>
      <c r="AR2879" t="inlineStr">
        <is>
          <t>No</t>
        </is>
      </c>
      <c r="AS2879" t="inlineStr">
        <is>
          <t>Yes</t>
        </is>
      </c>
      <c r="AT2879">
        <f>HYPERLINK("http://catalog.hathitrust.org/Record/000317363","HathiTrust Record")</f>
        <v/>
      </c>
      <c r="AU2879">
        <f>HYPERLINK("https://creighton-primo.hosted.exlibrisgroup.com/primo-explore/search?tab=default_tab&amp;search_scope=EVERYTHING&amp;vid=01CRU&amp;lang=en_US&amp;offset=0&amp;query=any,contains,991000170559702656","Catalog Record")</f>
        <v/>
      </c>
      <c r="AV2879">
        <f>HYPERLINK("http://www.worldcat.org/oclc/9323650","WorldCat Record")</f>
        <v/>
      </c>
      <c r="AW2879" t="inlineStr">
        <is>
          <t>9438473403:eng</t>
        </is>
      </c>
      <c r="AX2879" t="inlineStr">
        <is>
          <t>9323650</t>
        </is>
      </c>
      <c r="AY2879" t="inlineStr">
        <is>
          <t>991000170559702656</t>
        </is>
      </c>
      <c r="AZ2879" t="inlineStr">
        <is>
          <t>991000170559702656</t>
        </is>
      </c>
      <c r="BA2879" t="inlineStr">
        <is>
          <t>2257810880002656</t>
        </is>
      </c>
      <c r="BB2879" t="inlineStr">
        <is>
          <t>BOOK</t>
        </is>
      </c>
      <c r="BD2879" t="inlineStr">
        <is>
          <t>9780805768534</t>
        </is>
      </c>
      <c r="BE2879" t="inlineStr">
        <is>
          <t>32285001146835</t>
        </is>
      </c>
      <c r="BF2879" t="inlineStr">
        <is>
          <t>893802562</t>
        </is>
      </c>
    </row>
    <row r="2880">
      <c r="A2880" t="inlineStr">
        <is>
          <t>No</t>
        </is>
      </c>
      <c r="B2880" t="inlineStr">
        <is>
          <t>CURAL</t>
        </is>
      </c>
      <c r="C2880" t="inlineStr">
        <is>
          <t>SHELVES</t>
        </is>
      </c>
      <c r="D2880" t="inlineStr">
        <is>
          <t>PR6005.O38 Z87 1985</t>
        </is>
      </c>
      <c r="E2880" t="inlineStr">
        <is>
          <t>0                      PR 6005000O  38                 Z  87          1985</t>
        </is>
      </c>
      <c r="F2880" t="inlineStr">
        <is>
          <t>Padraic Colum / Sanford Sternlicht.</t>
        </is>
      </c>
      <c r="H2880" t="inlineStr">
        <is>
          <t>No</t>
        </is>
      </c>
      <c r="I2880" t="inlineStr">
        <is>
          <t>1</t>
        </is>
      </c>
      <c r="J2880" t="inlineStr">
        <is>
          <t>No</t>
        </is>
      </c>
      <c r="K2880" t="inlineStr">
        <is>
          <t>No</t>
        </is>
      </c>
      <c r="L2880" t="inlineStr">
        <is>
          <t>0</t>
        </is>
      </c>
      <c r="M2880" t="inlineStr">
        <is>
          <t>Sternlicht, Sanford, 1931-</t>
        </is>
      </c>
      <c r="N2880" t="inlineStr">
        <is>
          <t>Boston : Twayne Publishers, c1985.</t>
        </is>
      </c>
      <c r="O2880" t="inlineStr">
        <is>
          <t>1985</t>
        </is>
      </c>
      <c r="Q2880" t="inlineStr">
        <is>
          <t>eng</t>
        </is>
      </c>
      <c r="R2880" t="inlineStr">
        <is>
          <t>mau</t>
        </is>
      </c>
      <c r="S2880" t="inlineStr">
        <is>
          <t>Twayne's English authors series ; TEAS 410</t>
        </is>
      </c>
      <c r="T2880" t="inlineStr">
        <is>
          <t xml:space="preserve">PR </t>
        </is>
      </c>
      <c r="U2880" t="n">
        <v>1</v>
      </c>
      <c r="V2880" t="n">
        <v>1</v>
      </c>
      <c r="W2880" t="inlineStr">
        <is>
          <t>1992-12-05</t>
        </is>
      </c>
      <c r="X2880" t="inlineStr">
        <is>
          <t>1992-12-05</t>
        </is>
      </c>
      <c r="Y2880" t="inlineStr">
        <is>
          <t>1992-07-01</t>
        </is>
      </c>
      <c r="Z2880" t="inlineStr">
        <is>
          <t>1992-07-01</t>
        </is>
      </c>
      <c r="AA2880" t="n">
        <v>457</v>
      </c>
      <c r="AB2880" t="n">
        <v>394</v>
      </c>
      <c r="AC2880" t="n">
        <v>397</v>
      </c>
      <c r="AD2880" t="n">
        <v>5</v>
      </c>
      <c r="AE2880" t="n">
        <v>5</v>
      </c>
      <c r="AF2880" t="n">
        <v>22</v>
      </c>
      <c r="AG2880" t="n">
        <v>22</v>
      </c>
      <c r="AH2880" t="n">
        <v>7</v>
      </c>
      <c r="AI2880" t="n">
        <v>7</v>
      </c>
      <c r="AJ2880" t="n">
        <v>3</v>
      </c>
      <c r="AK2880" t="n">
        <v>3</v>
      </c>
      <c r="AL2880" t="n">
        <v>14</v>
      </c>
      <c r="AM2880" t="n">
        <v>14</v>
      </c>
      <c r="AN2880" t="n">
        <v>4</v>
      </c>
      <c r="AO2880" t="n">
        <v>4</v>
      </c>
      <c r="AP2880" t="n">
        <v>0</v>
      </c>
      <c r="AQ2880" t="n">
        <v>0</v>
      </c>
      <c r="AR2880" t="inlineStr">
        <is>
          <t>No</t>
        </is>
      </c>
      <c r="AS2880" t="inlineStr">
        <is>
          <t>Yes</t>
        </is>
      </c>
      <c r="AT2880">
        <f>HYPERLINK("http://catalog.hathitrust.org/Record/000351480","HathiTrust Record")</f>
        <v/>
      </c>
      <c r="AU2880">
        <f>HYPERLINK("https://creighton-primo.hosted.exlibrisgroup.com/primo-explore/search?tab=default_tab&amp;search_scope=EVERYTHING&amp;vid=01CRU&amp;lang=en_US&amp;offset=0&amp;query=any,contains,991000566349702656","Catalog Record")</f>
        <v/>
      </c>
      <c r="AV2880">
        <f>HYPERLINK("http://www.worldcat.org/oclc/11622297","WorldCat Record")</f>
        <v/>
      </c>
      <c r="AW2880" t="inlineStr">
        <is>
          <t>664527098:eng</t>
        </is>
      </c>
      <c r="AX2880" t="inlineStr">
        <is>
          <t>11622297</t>
        </is>
      </c>
      <c r="AY2880" t="inlineStr">
        <is>
          <t>991000566349702656</t>
        </is>
      </c>
      <c r="AZ2880" t="inlineStr">
        <is>
          <t>991000566349702656</t>
        </is>
      </c>
      <c r="BA2880" t="inlineStr">
        <is>
          <t>2262990950002656</t>
        </is>
      </c>
      <c r="BB2880" t="inlineStr">
        <is>
          <t>BOOK</t>
        </is>
      </c>
      <c r="BD2880" t="inlineStr">
        <is>
          <t>9780805769012</t>
        </is>
      </c>
      <c r="BE2880" t="inlineStr">
        <is>
          <t>32285001146876</t>
        </is>
      </c>
      <c r="BF2880" t="inlineStr">
        <is>
          <t>893425837</t>
        </is>
      </c>
    </row>
    <row r="2881">
      <c r="A2881" t="inlineStr">
        <is>
          <t>No</t>
        </is>
      </c>
      <c r="B2881" t="inlineStr">
        <is>
          <t>CURAL</t>
        </is>
      </c>
      <c r="C2881" t="inlineStr">
        <is>
          <t>SHELVES</t>
        </is>
      </c>
      <c r="D2881" t="inlineStr">
        <is>
          <t>PR6005.O4 H43 1962</t>
        </is>
      </c>
      <c r="E2881" t="inlineStr">
        <is>
          <t>0                      PR 6005000O  4                  H  43          1962</t>
        </is>
      </c>
      <c r="F2881" t="inlineStr">
        <is>
          <t>White man in the tropics : two moral tales ; Joseph Conrad: Heart of darkness [and] Robert Louis Stevenson: The beach of Falesá / David Daiches.</t>
        </is>
      </c>
      <c r="H2881" t="inlineStr">
        <is>
          <t>No</t>
        </is>
      </c>
      <c r="I2881" t="inlineStr">
        <is>
          <t>1</t>
        </is>
      </c>
      <c r="J2881" t="inlineStr">
        <is>
          <t>No</t>
        </is>
      </c>
      <c r="K2881" t="inlineStr">
        <is>
          <t>No</t>
        </is>
      </c>
      <c r="L2881" t="inlineStr">
        <is>
          <t>0</t>
        </is>
      </c>
      <c r="M2881" t="inlineStr">
        <is>
          <t>Daiches, David, 1912-2005.</t>
        </is>
      </c>
      <c r="N2881" t="inlineStr">
        <is>
          <t>New York : Harcourt, Brace &amp; World, c1962.</t>
        </is>
      </c>
      <c r="O2881" t="inlineStr">
        <is>
          <t>1962</t>
        </is>
      </c>
      <c r="Q2881" t="inlineStr">
        <is>
          <t>eng</t>
        </is>
      </c>
      <c r="R2881" t="inlineStr">
        <is>
          <t>nyu</t>
        </is>
      </c>
      <c r="S2881" t="inlineStr">
        <is>
          <t>Harbrace sourcebooks</t>
        </is>
      </c>
      <c r="T2881" t="inlineStr">
        <is>
          <t xml:space="preserve">PR </t>
        </is>
      </c>
      <c r="U2881" t="n">
        <v>18</v>
      </c>
      <c r="V2881" t="n">
        <v>18</v>
      </c>
      <c r="W2881" t="inlineStr">
        <is>
          <t>2009-10-05</t>
        </is>
      </c>
      <c r="X2881" t="inlineStr">
        <is>
          <t>2009-10-05</t>
        </is>
      </c>
      <c r="Y2881" t="inlineStr">
        <is>
          <t>1991-05-16</t>
        </is>
      </c>
      <c r="Z2881" t="inlineStr">
        <is>
          <t>1991-05-16</t>
        </is>
      </c>
      <c r="AA2881" t="n">
        <v>16</v>
      </c>
      <c r="AB2881" t="n">
        <v>15</v>
      </c>
      <c r="AC2881" t="n">
        <v>15</v>
      </c>
      <c r="AD2881" t="n">
        <v>1</v>
      </c>
      <c r="AE2881" t="n">
        <v>1</v>
      </c>
      <c r="AF2881" t="n">
        <v>0</v>
      </c>
      <c r="AG2881" t="n">
        <v>0</v>
      </c>
      <c r="AH2881" t="n">
        <v>0</v>
      </c>
      <c r="AI2881" t="n">
        <v>0</v>
      </c>
      <c r="AJ2881" t="n">
        <v>0</v>
      </c>
      <c r="AK2881" t="n">
        <v>0</v>
      </c>
      <c r="AL2881" t="n">
        <v>0</v>
      </c>
      <c r="AM2881" t="n">
        <v>0</v>
      </c>
      <c r="AN2881" t="n">
        <v>0</v>
      </c>
      <c r="AO2881" t="n">
        <v>0</v>
      </c>
      <c r="AP2881" t="n">
        <v>0</v>
      </c>
      <c r="AQ2881" t="n">
        <v>0</v>
      </c>
      <c r="AR2881" t="inlineStr">
        <is>
          <t>No</t>
        </is>
      </c>
      <c r="AS2881" t="inlineStr">
        <is>
          <t>No</t>
        </is>
      </c>
      <c r="AU2881">
        <f>HYPERLINK("https://creighton-primo.hosted.exlibrisgroup.com/primo-explore/search?tab=default_tab&amp;search_scope=EVERYTHING&amp;vid=01CRU&amp;lang=en_US&amp;offset=0&amp;query=any,contains,991001128599702656","Catalog Record")</f>
        <v/>
      </c>
      <c r="AV2881">
        <f>HYPERLINK("http://www.worldcat.org/oclc/16673088","WorldCat Record")</f>
        <v/>
      </c>
      <c r="AW2881" t="inlineStr">
        <is>
          <t>480854851:eng</t>
        </is>
      </c>
      <c r="AX2881" t="inlineStr">
        <is>
          <t>16673088</t>
        </is>
      </c>
      <c r="AY2881" t="inlineStr">
        <is>
          <t>991001128599702656</t>
        </is>
      </c>
      <c r="AZ2881" t="inlineStr">
        <is>
          <t>991001128599702656</t>
        </is>
      </c>
      <c r="BA2881" t="inlineStr">
        <is>
          <t>2271715810002656</t>
        </is>
      </c>
      <c r="BB2881" t="inlineStr">
        <is>
          <t>BOOK</t>
        </is>
      </c>
      <c r="BE2881" t="inlineStr">
        <is>
          <t>32285000539519</t>
        </is>
      </c>
      <c r="BF2881" t="inlineStr">
        <is>
          <t>893250001</t>
        </is>
      </c>
    </row>
    <row r="2882">
      <c r="A2882" t="inlineStr">
        <is>
          <t>No</t>
        </is>
      </c>
      <c r="B2882" t="inlineStr">
        <is>
          <t>CURAL</t>
        </is>
      </c>
      <c r="C2882" t="inlineStr">
        <is>
          <t>SHELVES</t>
        </is>
      </c>
      <c r="D2882" t="inlineStr">
        <is>
          <t>PR6005.O4 L735</t>
        </is>
      </c>
      <c r="E2882" t="inlineStr">
        <is>
          <t>0                      PR 6005000O  4                  L  735</t>
        </is>
      </c>
      <c r="F2882" t="inlineStr">
        <is>
          <t>Twentieth century interpretations of Lord Jim : a collection of critical essays / edited by Robert E. Kuehn.</t>
        </is>
      </c>
      <c r="H2882" t="inlineStr">
        <is>
          <t>No</t>
        </is>
      </c>
      <c r="I2882" t="inlineStr">
        <is>
          <t>1</t>
        </is>
      </c>
      <c r="J2882" t="inlineStr">
        <is>
          <t>No</t>
        </is>
      </c>
      <c r="K2882" t="inlineStr">
        <is>
          <t>No</t>
        </is>
      </c>
      <c r="L2882" t="inlineStr">
        <is>
          <t>0</t>
        </is>
      </c>
      <c r="M2882" t="inlineStr">
        <is>
          <t>Kuehn, Robert E., 1932- compiler.</t>
        </is>
      </c>
      <c r="N2882" t="inlineStr">
        <is>
          <t>Englewood Cliffs, N.J. : Prentice-Hall, [1969]</t>
        </is>
      </c>
      <c r="O2882" t="inlineStr">
        <is>
          <t>1969</t>
        </is>
      </c>
      <c r="Q2882" t="inlineStr">
        <is>
          <t>eng</t>
        </is>
      </c>
      <c r="R2882" t="inlineStr">
        <is>
          <t>nju</t>
        </is>
      </c>
      <c r="S2882" t="inlineStr">
        <is>
          <t>A Spectrum book.</t>
        </is>
      </c>
      <c r="T2882" t="inlineStr">
        <is>
          <t xml:space="preserve">PR </t>
        </is>
      </c>
      <c r="U2882" t="n">
        <v>4</v>
      </c>
      <c r="V2882" t="n">
        <v>4</v>
      </c>
      <c r="W2882" t="inlineStr">
        <is>
          <t>2010-04-08</t>
        </is>
      </c>
      <c r="X2882" t="inlineStr">
        <is>
          <t>2010-04-08</t>
        </is>
      </c>
      <c r="Y2882" t="inlineStr">
        <is>
          <t>1991-12-16</t>
        </is>
      </c>
      <c r="Z2882" t="inlineStr">
        <is>
          <t>1991-12-16</t>
        </is>
      </c>
      <c r="AA2882" t="n">
        <v>1674</v>
      </c>
      <c r="AB2882" t="n">
        <v>1496</v>
      </c>
      <c r="AC2882" t="n">
        <v>1504</v>
      </c>
      <c r="AD2882" t="n">
        <v>13</v>
      </c>
      <c r="AE2882" t="n">
        <v>13</v>
      </c>
      <c r="AF2882" t="n">
        <v>46</v>
      </c>
      <c r="AG2882" t="n">
        <v>46</v>
      </c>
      <c r="AH2882" t="n">
        <v>19</v>
      </c>
      <c r="AI2882" t="n">
        <v>19</v>
      </c>
      <c r="AJ2882" t="n">
        <v>8</v>
      </c>
      <c r="AK2882" t="n">
        <v>8</v>
      </c>
      <c r="AL2882" t="n">
        <v>19</v>
      </c>
      <c r="AM2882" t="n">
        <v>19</v>
      </c>
      <c r="AN2882" t="n">
        <v>11</v>
      </c>
      <c r="AO2882" t="n">
        <v>11</v>
      </c>
      <c r="AP2882" t="n">
        <v>0</v>
      </c>
      <c r="AQ2882" t="n">
        <v>0</v>
      </c>
      <c r="AR2882" t="inlineStr">
        <is>
          <t>No</t>
        </is>
      </c>
      <c r="AS2882" t="inlineStr">
        <is>
          <t>Yes</t>
        </is>
      </c>
      <c r="AT2882">
        <f>HYPERLINK("http://catalog.hathitrust.org/Record/000667827","HathiTrust Record")</f>
        <v/>
      </c>
      <c r="AU2882">
        <f>HYPERLINK("https://creighton-primo.hosted.exlibrisgroup.com/primo-explore/search?tab=default_tab&amp;search_scope=EVERYTHING&amp;vid=01CRU&amp;lang=en_US&amp;offset=0&amp;query=any,contains,991005438139702656","Catalog Record")</f>
        <v/>
      </c>
      <c r="AV2882">
        <f>HYPERLINK("http://www.worldcat.org/oclc/5821","WorldCat Record")</f>
        <v/>
      </c>
      <c r="AW2882" t="inlineStr">
        <is>
          <t>808608352:eng</t>
        </is>
      </c>
      <c r="AX2882" t="inlineStr">
        <is>
          <t>5821</t>
        </is>
      </c>
      <c r="AY2882" t="inlineStr">
        <is>
          <t>991005438139702656</t>
        </is>
      </c>
      <c r="AZ2882" t="inlineStr">
        <is>
          <t>991005438139702656</t>
        </is>
      </c>
      <c r="BA2882" t="inlineStr">
        <is>
          <t>2264693970002656</t>
        </is>
      </c>
      <c r="BB2882" t="inlineStr">
        <is>
          <t>BOOK</t>
        </is>
      </c>
      <c r="BD2882" t="inlineStr">
        <is>
          <t>9780135406748</t>
        </is>
      </c>
      <c r="BE2882" t="inlineStr">
        <is>
          <t>32285000906742</t>
        </is>
      </c>
      <c r="BF2882" t="inlineStr">
        <is>
          <t>893802309</t>
        </is>
      </c>
    </row>
    <row r="2883">
      <c r="A2883" t="inlineStr">
        <is>
          <t>No</t>
        </is>
      </c>
      <c r="B2883" t="inlineStr">
        <is>
          <t>CURAL</t>
        </is>
      </c>
      <c r="C2883" t="inlineStr">
        <is>
          <t>SHELVES</t>
        </is>
      </c>
      <c r="D2883" t="inlineStr">
        <is>
          <t>PR6005.O4 S43 1985</t>
        </is>
      </c>
      <c r="E2883" t="inlineStr">
        <is>
          <t>0                      PR 6005000O  4                  S  43          1985</t>
        </is>
      </c>
      <c r="F2883" t="inlineStr">
        <is>
          <t>Joseph Conrad and American writers : a bibliographical study of affinities, influences, and relations / compiled by Robert Secor and Debra Moddelmog.</t>
        </is>
      </c>
      <c r="H2883" t="inlineStr">
        <is>
          <t>No</t>
        </is>
      </c>
      <c r="I2883" t="inlineStr">
        <is>
          <t>1</t>
        </is>
      </c>
      <c r="J2883" t="inlineStr">
        <is>
          <t>No</t>
        </is>
      </c>
      <c r="K2883" t="inlineStr">
        <is>
          <t>No</t>
        </is>
      </c>
      <c r="L2883" t="inlineStr">
        <is>
          <t>0</t>
        </is>
      </c>
      <c r="M2883" t="inlineStr">
        <is>
          <t>Secor, Robert.</t>
        </is>
      </c>
      <c r="N2883" t="inlineStr">
        <is>
          <t>Westport, Conn. : Greenwood Press, c1985.</t>
        </is>
      </c>
      <c r="O2883" t="inlineStr">
        <is>
          <t>1985</t>
        </is>
      </c>
      <c r="Q2883" t="inlineStr">
        <is>
          <t>eng</t>
        </is>
      </c>
      <c r="R2883" t="inlineStr">
        <is>
          <t>ctu</t>
        </is>
      </c>
      <c r="S2883" t="inlineStr">
        <is>
          <t>Bibliographies and indexes in American literature, 0742-6860 ; no. 5</t>
        </is>
      </c>
      <c r="T2883" t="inlineStr">
        <is>
          <t xml:space="preserve">PR </t>
        </is>
      </c>
      <c r="U2883" t="n">
        <v>3</v>
      </c>
      <c r="V2883" t="n">
        <v>3</v>
      </c>
      <c r="W2883" t="inlineStr">
        <is>
          <t>2002-08-26</t>
        </is>
      </c>
      <c r="X2883" t="inlineStr">
        <is>
          <t>2002-08-26</t>
        </is>
      </c>
      <c r="Y2883" t="inlineStr">
        <is>
          <t>1992-07-01</t>
        </is>
      </c>
      <c r="Z2883" t="inlineStr">
        <is>
          <t>1992-07-01</t>
        </is>
      </c>
      <c r="AA2883" t="n">
        <v>262</v>
      </c>
      <c r="AB2883" t="n">
        <v>210</v>
      </c>
      <c r="AC2883" t="n">
        <v>228</v>
      </c>
      <c r="AD2883" t="n">
        <v>3</v>
      </c>
      <c r="AE2883" t="n">
        <v>3</v>
      </c>
      <c r="AF2883" t="n">
        <v>11</v>
      </c>
      <c r="AG2883" t="n">
        <v>11</v>
      </c>
      <c r="AH2883" t="n">
        <v>1</v>
      </c>
      <c r="AI2883" t="n">
        <v>1</v>
      </c>
      <c r="AJ2883" t="n">
        <v>3</v>
      </c>
      <c r="AK2883" t="n">
        <v>3</v>
      </c>
      <c r="AL2883" t="n">
        <v>8</v>
      </c>
      <c r="AM2883" t="n">
        <v>8</v>
      </c>
      <c r="AN2883" t="n">
        <v>2</v>
      </c>
      <c r="AO2883" t="n">
        <v>2</v>
      </c>
      <c r="AP2883" t="n">
        <v>0</v>
      </c>
      <c r="AQ2883" t="n">
        <v>0</v>
      </c>
      <c r="AR2883" t="inlineStr">
        <is>
          <t>No</t>
        </is>
      </c>
      <c r="AS2883" t="inlineStr">
        <is>
          <t>Yes</t>
        </is>
      </c>
      <c r="AT2883">
        <f>HYPERLINK("http://catalog.hathitrust.org/Record/000441584","HathiTrust Record")</f>
        <v/>
      </c>
      <c r="AU2883">
        <f>HYPERLINK("https://creighton-primo.hosted.exlibrisgroup.com/primo-explore/search?tab=default_tab&amp;search_scope=EVERYTHING&amp;vid=01CRU&amp;lang=en_US&amp;offset=0&amp;query=any,contains,991000588289702656","Catalog Record")</f>
        <v/>
      </c>
      <c r="AV2883">
        <f>HYPERLINK("http://www.worldcat.org/oclc/11783032","WorldCat Record")</f>
        <v/>
      </c>
      <c r="AW2883" t="inlineStr">
        <is>
          <t>796720420:eng</t>
        </is>
      </c>
      <c r="AX2883" t="inlineStr">
        <is>
          <t>11783032</t>
        </is>
      </c>
      <c r="AY2883" t="inlineStr">
        <is>
          <t>991000588289702656</t>
        </is>
      </c>
      <c r="AZ2883" t="inlineStr">
        <is>
          <t>991000588289702656</t>
        </is>
      </c>
      <c r="BA2883" t="inlineStr">
        <is>
          <t>2255208310002656</t>
        </is>
      </c>
      <c r="BB2883" t="inlineStr">
        <is>
          <t>BOOK</t>
        </is>
      </c>
      <c r="BD2883" t="inlineStr">
        <is>
          <t>9780313246012</t>
        </is>
      </c>
      <c r="BE2883" t="inlineStr">
        <is>
          <t>32285001146983</t>
        </is>
      </c>
      <c r="BF2883" t="inlineStr">
        <is>
          <t>893345795</t>
        </is>
      </c>
    </row>
    <row r="2884">
      <c r="A2884" t="inlineStr">
        <is>
          <t>No</t>
        </is>
      </c>
      <c r="B2884" t="inlineStr">
        <is>
          <t>CURAL</t>
        </is>
      </c>
      <c r="C2884" t="inlineStr">
        <is>
          <t>SHELVES</t>
        </is>
      </c>
      <c r="D2884" t="inlineStr">
        <is>
          <t>PR6005.O4 S4539</t>
        </is>
      </c>
      <c r="E2884" t="inlineStr">
        <is>
          <t>0                      PR 6005000O  4                  S  4539</t>
        </is>
      </c>
      <c r="F2884" t="inlineStr">
        <is>
          <t>Conrad: The secret agent; a casebook, edited by Ian Watt.</t>
        </is>
      </c>
      <c r="H2884" t="inlineStr">
        <is>
          <t>No</t>
        </is>
      </c>
      <c r="I2884" t="inlineStr">
        <is>
          <t>1</t>
        </is>
      </c>
      <c r="J2884" t="inlineStr">
        <is>
          <t>No</t>
        </is>
      </c>
      <c r="K2884" t="inlineStr">
        <is>
          <t>No</t>
        </is>
      </c>
      <c r="L2884" t="inlineStr">
        <is>
          <t>0</t>
        </is>
      </c>
      <c r="M2884" t="inlineStr">
        <is>
          <t>Watt, Ian, 1917-1999, compiler.</t>
        </is>
      </c>
      <c r="N2884" t="inlineStr">
        <is>
          <t>[London] Macmillan [1973]</t>
        </is>
      </c>
      <c r="O2884" t="inlineStr">
        <is>
          <t>1973</t>
        </is>
      </c>
      <c r="Q2884" t="inlineStr">
        <is>
          <t>eng</t>
        </is>
      </c>
      <c r="R2884" t="inlineStr">
        <is>
          <t>enk</t>
        </is>
      </c>
      <c r="S2884" t="inlineStr">
        <is>
          <t>Casebook series</t>
        </is>
      </c>
      <c r="T2884" t="inlineStr">
        <is>
          <t xml:space="preserve">PR </t>
        </is>
      </c>
      <c r="U2884" t="n">
        <v>1</v>
      </c>
      <c r="V2884" t="n">
        <v>1</v>
      </c>
      <c r="W2884" t="inlineStr">
        <is>
          <t>2009-04-08</t>
        </is>
      </c>
      <c r="X2884" t="inlineStr">
        <is>
          <t>2009-04-08</t>
        </is>
      </c>
      <c r="Y2884" t="inlineStr">
        <is>
          <t>1997-04-02</t>
        </is>
      </c>
      <c r="Z2884" t="inlineStr">
        <is>
          <t>1997-04-02</t>
        </is>
      </c>
      <c r="AA2884" t="n">
        <v>350</v>
      </c>
      <c r="AB2884" t="n">
        <v>120</v>
      </c>
      <c r="AC2884" t="n">
        <v>127</v>
      </c>
      <c r="AD2884" t="n">
        <v>2</v>
      </c>
      <c r="AE2884" t="n">
        <v>2</v>
      </c>
      <c r="AF2884" t="n">
        <v>7</v>
      </c>
      <c r="AG2884" t="n">
        <v>7</v>
      </c>
      <c r="AH2884" t="n">
        <v>2</v>
      </c>
      <c r="AI2884" t="n">
        <v>2</v>
      </c>
      <c r="AJ2884" t="n">
        <v>3</v>
      </c>
      <c r="AK2884" t="n">
        <v>3</v>
      </c>
      <c r="AL2884" t="n">
        <v>5</v>
      </c>
      <c r="AM2884" t="n">
        <v>5</v>
      </c>
      <c r="AN2884" t="n">
        <v>1</v>
      </c>
      <c r="AO2884" t="n">
        <v>1</v>
      </c>
      <c r="AP2884" t="n">
        <v>0</v>
      </c>
      <c r="AQ2884" t="n">
        <v>0</v>
      </c>
      <c r="AR2884" t="inlineStr">
        <is>
          <t>No</t>
        </is>
      </c>
      <c r="AS2884" t="inlineStr">
        <is>
          <t>Yes</t>
        </is>
      </c>
      <c r="AT2884">
        <f>HYPERLINK("http://catalog.hathitrust.org/Record/000668524","HathiTrust Record")</f>
        <v/>
      </c>
      <c r="AU2884">
        <f>HYPERLINK("https://creighton-primo.hosted.exlibrisgroup.com/primo-explore/search?tab=default_tab&amp;search_scope=EVERYTHING&amp;vid=01CRU&amp;lang=en_US&amp;offset=0&amp;query=any,contains,991003086859702656","Catalog Record")</f>
        <v/>
      </c>
      <c r="AV2884">
        <f>HYPERLINK("http://www.worldcat.org/oclc/637216","WorldCat Record")</f>
        <v/>
      </c>
      <c r="AW2884" t="inlineStr">
        <is>
          <t>151076280:eng</t>
        </is>
      </c>
      <c r="AX2884" t="inlineStr">
        <is>
          <t>637216</t>
        </is>
      </c>
      <c r="AY2884" t="inlineStr">
        <is>
          <t>991003086859702656</t>
        </is>
      </c>
      <c r="AZ2884" t="inlineStr">
        <is>
          <t>991003086859702656</t>
        </is>
      </c>
      <c r="BA2884" t="inlineStr">
        <is>
          <t>2256516870002656</t>
        </is>
      </c>
      <c r="BB2884" t="inlineStr">
        <is>
          <t>BOOK</t>
        </is>
      </c>
      <c r="BD2884" t="inlineStr">
        <is>
          <t>9780333042687</t>
        </is>
      </c>
      <c r="BE2884" t="inlineStr">
        <is>
          <t>32285002123221</t>
        </is>
      </c>
      <c r="BF2884" t="inlineStr">
        <is>
          <t>893868088</t>
        </is>
      </c>
    </row>
    <row r="2885">
      <c r="A2885" t="inlineStr">
        <is>
          <t>No</t>
        </is>
      </c>
      <c r="B2885" t="inlineStr">
        <is>
          <t>CURAL</t>
        </is>
      </c>
      <c r="C2885" t="inlineStr">
        <is>
          <t>SHELVES</t>
        </is>
      </c>
      <c r="D2885" t="inlineStr">
        <is>
          <t>PR6005.O4 W35</t>
        </is>
      </c>
      <c r="E2885" t="inlineStr">
        <is>
          <t>0                      PR 6005000O  4                  W  35</t>
        </is>
      </c>
      <c r="F2885" t="inlineStr">
        <is>
          <t>Conrad in the nineteenth century / Ian Watt.</t>
        </is>
      </c>
      <c r="H2885" t="inlineStr">
        <is>
          <t>No</t>
        </is>
      </c>
      <c r="I2885" t="inlineStr">
        <is>
          <t>1</t>
        </is>
      </c>
      <c r="J2885" t="inlineStr">
        <is>
          <t>No</t>
        </is>
      </c>
      <c r="K2885" t="inlineStr">
        <is>
          <t>No</t>
        </is>
      </c>
      <c r="L2885" t="inlineStr">
        <is>
          <t>0</t>
        </is>
      </c>
      <c r="M2885" t="inlineStr">
        <is>
          <t>Watt, Ian, 1917-1999.</t>
        </is>
      </c>
      <c r="N2885" t="inlineStr">
        <is>
          <t>Berkeley : University of California Press, 1979.</t>
        </is>
      </c>
      <c r="O2885" t="inlineStr">
        <is>
          <t>1979</t>
        </is>
      </c>
      <c r="Q2885" t="inlineStr">
        <is>
          <t>eng</t>
        </is>
      </c>
      <c r="R2885" t="inlineStr">
        <is>
          <t>cau</t>
        </is>
      </c>
      <c r="T2885" t="inlineStr">
        <is>
          <t xml:space="preserve">PR </t>
        </is>
      </c>
      <c r="U2885" t="n">
        <v>3</v>
      </c>
      <c r="V2885" t="n">
        <v>3</v>
      </c>
      <c r="W2885" t="inlineStr">
        <is>
          <t>1994-04-02</t>
        </is>
      </c>
      <c r="X2885" t="inlineStr">
        <is>
          <t>1994-04-02</t>
        </is>
      </c>
      <c r="Y2885" t="inlineStr">
        <is>
          <t>1992-07-02</t>
        </is>
      </c>
      <c r="Z2885" t="inlineStr">
        <is>
          <t>1992-07-02</t>
        </is>
      </c>
      <c r="AA2885" t="n">
        <v>1317</v>
      </c>
      <c r="AB2885" t="n">
        <v>1194</v>
      </c>
      <c r="AC2885" t="n">
        <v>1330</v>
      </c>
      <c r="AD2885" t="n">
        <v>10</v>
      </c>
      <c r="AE2885" t="n">
        <v>11</v>
      </c>
      <c r="AF2885" t="n">
        <v>49</v>
      </c>
      <c r="AG2885" t="n">
        <v>53</v>
      </c>
      <c r="AH2885" t="n">
        <v>18</v>
      </c>
      <c r="AI2885" t="n">
        <v>21</v>
      </c>
      <c r="AJ2885" t="n">
        <v>11</v>
      </c>
      <c r="AK2885" t="n">
        <v>11</v>
      </c>
      <c r="AL2885" t="n">
        <v>22</v>
      </c>
      <c r="AM2885" t="n">
        <v>23</v>
      </c>
      <c r="AN2885" t="n">
        <v>8</v>
      </c>
      <c r="AO2885" t="n">
        <v>9</v>
      </c>
      <c r="AP2885" t="n">
        <v>0</v>
      </c>
      <c r="AQ2885" t="n">
        <v>0</v>
      </c>
      <c r="AR2885" t="inlineStr">
        <is>
          <t>No</t>
        </is>
      </c>
      <c r="AS2885" t="inlineStr">
        <is>
          <t>No</t>
        </is>
      </c>
      <c r="AU2885">
        <f>HYPERLINK("https://creighton-primo.hosted.exlibrisgroup.com/primo-explore/search?tab=default_tab&amp;search_scope=EVERYTHING&amp;vid=01CRU&amp;lang=en_US&amp;offset=0&amp;query=any,contains,991004899789702656","Catalog Record")</f>
        <v/>
      </c>
      <c r="AV2885">
        <f>HYPERLINK("http://www.worldcat.org/oclc/5923775","WorldCat Record")</f>
        <v/>
      </c>
      <c r="AW2885" t="inlineStr">
        <is>
          <t>118172645:eng</t>
        </is>
      </c>
      <c r="AX2885" t="inlineStr">
        <is>
          <t>5923775</t>
        </is>
      </c>
      <c r="AY2885" t="inlineStr">
        <is>
          <t>991004899789702656</t>
        </is>
      </c>
      <c r="AZ2885" t="inlineStr">
        <is>
          <t>991004899789702656</t>
        </is>
      </c>
      <c r="BA2885" t="inlineStr">
        <is>
          <t>2262377150002656</t>
        </is>
      </c>
      <c r="BB2885" t="inlineStr">
        <is>
          <t>BOOK</t>
        </is>
      </c>
      <c r="BD2885" t="inlineStr">
        <is>
          <t>9780520036833</t>
        </is>
      </c>
      <c r="BE2885" t="inlineStr">
        <is>
          <t>32285001147023</t>
        </is>
      </c>
      <c r="BF2885" t="inlineStr">
        <is>
          <t>893694471</t>
        </is>
      </c>
    </row>
    <row r="2886">
      <c r="A2886" t="inlineStr">
        <is>
          <t>No</t>
        </is>
      </c>
      <c r="B2886" t="inlineStr">
        <is>
          <t>CURAL</t>
        </is>
      </c>
      <c r="C2886" t="inlineStr">
        <is>
          <t>SHELVES</t>
        </is>
      </c>
      <c r="D2886" t="inlineStr">
        <is>
          <t>PR6005.O4 Z489 1974</t>
        </is>
      </c>
      <c r="E2886" t="inlineStr">
        <is>
          <t>0                      PR 6005000O  4                  Z  489         1974</t>
        </is>
      </c>
      <c r="F2886" t="inlineStr">
        <is>
          <t>Joseph Conrad : a commemoration : papers from the 1974 International Conference on Conrad / edited by Norman Sherry.</t>
        </is>
      </c>
      <c r="H2886" t="inlineStr">
        <is>
          <t>No</t>
        </is>
      </c>
      <c r="I2886" t="inlineStr">
        <is>
          <t>1</t>
        </is>
      </c>
      <c r="J2886" t="inlineStr">
        <is>
          <t>No</t>
        </is>
      </c>
      <c r="K2886" t="inlineStr">
        <is>
          <t>No</t>
        </is>
      </c>
      <c r="L2886" t="inlineStr">
        <is>
          <t>0</t>
        </is>
      </c>
      <c r="M2886" t="inlineStr">
        <is>
          <t>International Conference on Conrad (1974 : Canterbury, England)</t>
        </is>
      </c>
      <c r="N2886" t="inlineStr">
        <is>
          <t>New York : Barnes &amp; Noble Books, 1976.</t>
        </is>
      </c>
      <c r="O2886" t="inlineStr">
        <is>
          <t>1976</t>
        </is>
      </c>
      <c r="Q2886" t="inlineStr">
        <is>
          <t>eng</t>
        </is>
      </c>
      <c r="R2886" t="inlineStr">
        <is>
          <t>nyu</t>
        </is>
      </c>
      <c r="T2886" t="inlineStr">
        <is>
          <t xml:space="preserve">PR </t>
        </is>
      </c>
      <c r="U2886" t="n">
        <v>4</v>
      </c>
      <c r="V2886" t="n">
        <v>4</v>
      </c>
      <c r="W2886" t="inlineStr">
        <is>
          <t>1997-10-14</t>
        </is>
      </c>
      <c r="X2886" t="inlineStr">
        <is>
          <t>1997-10-14</t>
        </is>
      </c>
      <c r="Y2886" t="inlineStr">
        <is>
          <t>1997-04-02</t>
        </is>
      </c>
      <c r="Z2886" t="inlineStr">
        <is>
          <t>1997-04-02</t>
        </is>
      </c>
      <c r="AA2886" t="n">
        <v>280</v>
      </c>
      <c r="AB2886" t="n">
        <v>271</v>
      </c>
      <c r="AC2886" t="n">
        <v>622</v>
      </c>
      <c r="AD2886" t="n">
        <v>3</v>
      </c>
      <c r="AE2886" t="n">
        <v>6</v>
      </c>
      <c r="AF2886" t="n">
        <v>17</v>
      </c>
      <c r="AG2886" t="n">
        <v>34</v>
      </c>
      <c r="AH2886" t="n">
        <v>8</v>
      </c>
      <c r="AI2886" t="n">
        <v>14</v>
      </c>
      <c r="AJ2886" t="n">
        <v>6</v>
      </c>
      <c r="AK2886" t="n">
        <v>9</v>
      </c>
      <c r="AL2886" t="n">
        <v>5</v>
      </c>
      <c r="AM2886" t="n">
        <v>15</v>
      </c>
      <c r="AN2886" t="n">
        <v>2</v>
      </c>
      <c r="AO2886" t="n">
        <v>5</v>
      </c>
      <c r="AP2886" t="n">
        <v>0</v>
      </c>
      <c r="AQ2886" t="n">
        <v>0</v>
      </c>
      <c r="AR2886" t="inlineStr">
        <is>
          <t>No</t>
        </is>
      </c>
      <c r="AS2886" t="inlineStr">
        <is>
          <t>No</t>
        </is>
      </c>
      <c r="AU2886">
        <f>HYPERLINK("https://creighton-primo.hosted.exlibrisgroup.com/primo-explore/search?tab=default_tab&amp;search_scope=EVERYTHING&amp;vid=01CRU&amp;lang=en_US&amp;offset=0&amp;query=any,contains,991004315599702656","Catalog Record")</f>
        <v/>
      </c>
      <c r="AV2886">
        <f>HYPERLINK("http://www.worldcat.org/oclc/3003690","WorldCat Record")</f>
        <v/>
      </c>
      <c r="AW2886" t="inlineStr">
        <is>
          <t>3768666299:eng</t>
        </is>
      </c>
      <c r="AX2886" t="inlineStr">
        <is>
          <t>3003690</t>
        </is>
      </c>
      <c r="AY2886" t="inlineStr">
        <is>
          <t>991004315599702656</t>
        </is>
      </c>
      <c r="AZ2886" t="inlineStr">
        <is>
          <t>991004315599702656</t>
        </is>
      </c>
      <c r="BA2886" t="inlineStr">
        <is>
          <t>2271029950002656</t>
        </is>
      </c>
      <c r="BB2886" t="inlineStr">
        <is>
          <t>BOOK</t>
        </is>
      </c>
      <c r="BD2886" t="inlineStr">
        <is>
          <t>9780064962339</t>
        </is>
      </c>
      <c r="BE2886" t="inlineStr">
        <is>
          <t>32285002123353</t>
        </is>
      </c>
      <c r="BF2886" t="inlineStr">
        <is>
          <t>893349864</t>
        </is>
      </c>
    </row>
    <row r="2887">
      <c r="A2887" t="inlineStr">
        <is>
          <t>No</t>
        </is>
      </c>
      <c r="B2887" t="inlineStr">
        <is>
          <t>CURAL</t>
        </is>
      </c>
      <c r="C2887" t="inlineStr">
        <is>
          <t>SHELVES</t>
        </is>
      </c>
      <c r="D2887" t="inlineStr">
        <is>
          <t>PR6005.O4 Z548 1969</t>
        </is>
      </c>
      <c r="E2887" t="inlineStr">
        <is>
          <t>0                      PR 6005000O  4                  Z  548         1969</t>
        </is>
      </c>
      <c r="F2887" t="inlineStr">
        <is>
          <t>Joseph Conrad : a study in non-conformity.</t>
        </is>
      </c>
      <c r="H2887" t="inlineStr">
        <is>
          <t>No</t>
        </is>
      </c>
      <c r="I2887" t="inlineStr">
        <is>
          <t>1</t>
        </is>
      </c>
      <c r="J2887" t="inlineStr">
        <is>
          <t>No</t>
        </is>
      </c>
      <c r="K2887" t="inlineStr">
        <is>
          <t>No</t>
        </is>
      </c>
      <c r="L2887" t="inlineStr">
        <is>
          <t>0</t>
        </is>
      </c>
      <c r="M2887" t="inlineStr">
        <is>
          <t>Andreas, Osborn.</t>
        </is>
      </c>
      <c r="N2887" t="inlineStr">
        <is>
          <t>[Hamden, Conn.] : Archon Books, 1969 [c1959]</t>
        </is>
      </c>
      <c r="O2887" t="inlineStr">
        <is>
          <t>1969</t>
        </is>
      </c>
      <c r="Q2887" t="inlineStr">
        <is>
          <t>eng</t>
        </is>
      </c>
      <c r="R2887" t="inlineStr">
        <is>
          <t>ctu</t>
        </is>
      </c>
      <c r="T2887" t="inlineStr">
        <is>
          <t xml:space="preserve">PR </t>
        </is>
      </c>
      <c r="U2887" t="n">
        <v>5</v>
      </c>
      <c r="V2887" t="n">
        <v>5</v>
      </c>
      <c r="W2887" t="inlineStr">
        <is>
          <t>1997-09-25</t>
        </is>
      </c>
      <c r="X2887" t="inlineStr">
        <is>
          <t>1997-09-25</t>
        </is>
      </c>
      <c r="Y2887" t="inlineStr">
        <is>
          <t>1990-10-25</t>
        </is>
      </c>
      <c r="Z2887" t="inlineStr">
        <is>
          <t>1990-10-25</t>
        </is>
      </c>
      <c r="AA2887" t="n">
        <v>380</v>
      </c>
      <c r="AB2887" t="n">
        <v>329</v>
      </c>
      <c r="AC2887" t="n">
        <v>624</v>
      </c>
      <c r="AD2887" t="n">
        <v>3</v>
      </c>
      <c r="AE2887" t="n">
        <v>4</v>
      </c>
      <c r="AF2887" t="n">
        <v>14</v>
      </c>
      <c r="AG2887" t="n">
        <v>27</v>
      </c>
      <c r="AH2887" t="n">
        <v>4</v>
      </c>
      <c r="AI2887" t="n">
        <v>9</v>
      </c>
      <c r="AJ2887" t="n">
        <v>4</v>
      </c>
      <c r="AK2887" t="n">
        <v>6</v>
      </c>
      <c r="AL2887" t="n">
        <v>6</v>
      </c>
      <c r="AM2887" t="n">
        <v>15</v>
      </c>
      <c r="AN2887" t="n">
        <v>2</v>
      </c>
      <c r="AO2887" t="n">
        <v>3</v>
      </c>
      <c r="AP2887" t="n">
        <v>0</v>
      </c>
      <c r="AQ2887" t="n">
        <v>0</v>
      </c>
      <c r="AR2887" t="inlineStr">
        <is>
          <t>No</t>
        </is>
      </c>
      <c r="AS2887" t="inlineStr">
        <is>
          <t>No</t>
        </is>
      </c>
      <c r="AU2887">
        <f>HYPERLINK("https://creighton-primo.hosted.exlibrisgroup.com/primo-explore/search?tab=default_tab&amp;search_scope=EVERYTHING&amp;vid=01CRU&amp;lang=en_US&amp;offset=0&amp;query=any,contains,991000005389702656","Catalog Record")</f>
        <v/>
      </c>
      <c r="AV2887">
        <f>HYPERLINK("http://www.worldcat.org/oclc/13142","WorldCat Record")</f>
        <v/>
      </c>
      <c r="AW2887" t="inlineStr">
        <is>
          <t>1135961:eng</t>
        </is>
      </c>
      <c r="AX2887" t="inlineStr">
        <is>
          <t>13142</t>
        </is>
      </c>
      <c r="AY2887" t="inlineStr">
        <is>
          <t>991000005389702656</t>
        </is>
      </c>
      <c r="AZ2887" t="inlineStr">
        <is>
          <t>991000005389702656</t>
        </is>
      </c>
      <c r="BA2887" t="inlineStr">
        <is>
          <t>2266325890002656</t>
        </is>
      </c>
      <c r="BB2887" t="inlineStr">
        <is>
          <t>BOOK</t>
        </is>
      </c>
      <c r="BD2887" t="inlineStr">
        <is>
          <t>9780208007902</t>
        </is>
      </c>
      <c r="BE2887" t="inlineStr">
        <is>
          <t>32285000353861</t>
        </is>
      </c>
      <c r="BF2887" t="inlineStr">
        <is>
          <t>893777586</t>
        </is>
      </c>
    </row>
    <row r="2888">
      <c r="A2888" t="inlineStr">
        <is>
          <t>No</t>
        </is>
      </c>
      <c r="B2888" t="inlineStr">
        <is>
          <t>CURAL</t>
        </is>
      </c>
      <c r="C2888" t="inlineStr">
        <is>
          <t>SHELVES</t>
        </is>
      </c>
      <c r="D2888" t="inlineStr">
        <is>
          <t>PR6005.O4 Z55245 1999</t>
        </is>
      </c>
      <c r="E2888" t="inlineStr">
        <is>
          <t>0                      PR 6005000O  4                  Z  55245       1999</t>
        </is>
      </c>
      <c r="F2888" t="inlineStr">
        <is>
          <t>Writing in between : modernity and psychosocial dilemma in the novels of Joseph Conrad / Beth Sharon Ash.</t>
        </is>
      </c>
      <c r="H2888" t="inlineStr">
        <is>
          <t>No</t>
        </is>
      </c>
      <c r="I2888" t="inlineStr">
        <is>
          <t>1</t>
        </is>
      </c>
      <c r="J2888" t="inlineStr">
        <is>
          <t>No</t>
        </is>
      </c>
      <c r="K2888" t="inlineStr">
        <is>
          <t>No</t>
        </is>
      </c>
      <c r="L2888" t="inlineStr">
        <is>
          <t>0</t>
        </is>
      </c>
      <c r="M2888" t="inlineStr">
        <is>
          <t>Ash, Beth Sharon, 1953-</t>
        </is>
      </c>
      <c r="N2888" t="inlineStr">
        <is>
          <t>New York : St. Martin's Press, 1999.</t>
        </is>
      </c>
      <c r="O2888" t="inlineStr">
        <is>
          <t>1999</t>
        </is>
      </c>
      <c r="P2888" t="inlineStr">
        <is>
          <t>1st ed.</t>
        </is>
      </c>
      <c r="Q2888" t="inlineStr">
        <is>
          <t>eng</t>
        </is>
      </c>
      <c r="R2888" t="inlineStr">
        <is>
          <t>nyu</t>
        </is>
      </c>
      <c r="T2888" t="inlineStr">
        <is>
          <t xml:space="preserve">PR </t>
        </is>
      </c>
      <c r="U2888" t="n">
        <v>1</v>
      </c>
      <c r="V2888" t="n">
        <v>1</v>
      </c>
      <c r="W2888" t="inlineStr">
        <is>
          <t>2002-09-24</t>
        </is>
      </c>
      <c r="X2888" t="inlineStr">
        <is>
          <t>2002-09-24</t>
        </is>
      </c>
      <c r="Y2888" t="inlineStr">
        <is>
          <t>2000-07-19</t>
        </is>
      </c>
      <c r="Z2888" t="inlineStr">
        <is>
          <t>2000-07-19</t>
        </is>
      </c>
      <c r="AA2888" t="n">
        <v>368</v>
      </c>
      <c r="AB2888" t="n">
        <v>292</v>
      </c>
      <c r="AC2888" t="n">
        <v>297</v>
      </c>
      <c r="AD2888" t="n">
        <v>4</v>
      </c>
      <c r="AE2888" t="n">
        <v>4</v>
      </c>
      <c r="AF2888" t="n">
        <v>13</v>
      </c>
      <c r="AG2888" t="n">
        <v>13</v>
      </c>
      <c r="AH2888" t="n">
        <v>3</v>
      </c>
      <c r="AI2888" t="n">
        <v>3</v>
      </c>
      <c r="AJ2888" t="n">
        <v>3</v>
      </c>
      <c r="AK2888" t="n">
        <v>3</v>
      </c>
      <c r="AL2888" t="n">
        <v>6</v>
      </c>
      <c r="AM2888" t="n">
        <v>6</v>
      </c>
      <c r="AN2888" t="n">
        <v>3</v>
      </c>
      <c r="AO2888" t="n">
        <v>3</v>
      </c>
      <c r="AP2888" t="n">
        <v>0</v>
      </c>
      <c r="AQ2888" t="n">
        <v>0</v>
      </c>
      <c r="AR2888" t="inlineStr">
        <is>
          <t>No</t>
        </is>
      </c>
      <c r="AS2888" t="inlineStr">
        <is>
          <t>No</t>
        </is>
      </c>
      <c r="AU2888">
        <f>HYPERLINK("https://creighton-primo.hosted.exlibrisgroup.com/primo-explore/search?tab=default_tab&amp;search_scope=EVERYTHING&amp;vid=01CRU&amp;lang=en_US&amp;offset=0&amp;query=any,contains,991003207249702656","Catalog Record")</f>
        <v/>
      </c>
      <c r="AV2888">
        <f>HYPERLINK("http://www.worldcat.org/oclc/40683365","WorldCat Record")</f>
        <v/>
      </c>
      <c r="AW2888" t="inlineStr">
        <is>
          <t>229182897:eng</t>
        </is>
      </c>
      <c r="AX2888" t="inlineStr">
        <is>
          <t>40683365</t>
        </is>
      </c>
      <c r="AY2888" t="inlineStr">
        <is>
          <t>991003207249702656</t>
        </is>
      </c>
      <c r="AZ2888" t="inlineStr">
        <is>
          <t>991003207249702656</t>
        </is>
      </c>
      <c r="BA2888" t="inlineStr">
        <is>
          <t>2266097270002656</t>
        </is>
      </c>
      <c r="BB2888" t="inlineStr">
        <is>
          <t>BOOK</t>
        </is>
      </c>
      <c r="BD2888" t="inlineStr">
        <is>
          <t>9780312214838</t>
        </is>
      </c>
      <c r="BE2888" t="inlineStr">
        <is>
          <t>32285003740858</t>
        </is>
      </c>
      <c r="BF2888" t="inlineStr">
        <is>
          <t>893623254</t>
        </is>
      </c>
    </row>
    <row r="2889">
      <c r="A2889" t="inlineStr">
        <is>
          <t>No</t>
        </is>
      </c>
      <c r="B2889" t="inlineStr">
        <is>
          <t>CURAL</t>
        </is>
      </c>
      <c r="C2889" t="inlineStr">
        <is>
          <t>SHELVES</t>
        </is>
      </c>
      <c r="D2889" t="inlineStr">
        <is>
          <t>PR6005.O4 Z554</t>
        </is>
      </c>
      <c r="E2889" t="inlineStr">
        <is>
          <t>0                      PR 6005000O  4                  Z  554</t>
        </is>
      </c>
      <c r="F2889" t="inlineStr">
        <is>
          <t>Joseph Conrad in the Congo / by G. Jean-Aubry.</t>
        </is>
      </c>
      <c r="H2889" t="inlineStr">
        <is>
          <t>No</t>
        </is>
      </c>
      <c r="I2889" t="inlineStr">
        <is>
          <t>1</t>
        </is>
      </c>
      <c r="J2889" t="inlineStr">
        <is>
          <t>No</t>
        </is>
      </c>
      <c r="K2889" t="inlineStr">
        <is>
          <t>No</t>
        </is>
      </c>
      <c r="L2889" t="inlineStr">
        <is>
          <t>0</t>
        </is>
      </c>
      <c r="M2889" t="inlineStr">
        <is>
          <t>Jean-Aubry, G. (Georges), 1882-1950.</t>
        </is>
      </c>
      <c r="N2889" t="inlineStr">
        <is>
          <t>Boston : Little, Brown, 1926.</t>
        </is>
      </c>
      <c r="O2889" t="inlineStr">
        <is>
          <t>1926</t>
        </is>
      </c>
      <c r="Q2889" t="inlineStr">
        <is>
          <t>eng</t>
        </is>
      </c>
      <c r="R2889" t="inlineStr">
        <is>
          <t>mau</t>
        </is>
      </c>
      <c r="T2889" t="inlineStr">
        <is>
          <t xml:space="preserve">PR </t>
        </is>
      </c>
      <c r="U2889" t="n">
        <v>1</v>
      </c>
      <c r="V2889" t="n">
        <v>1</v>
      </c>
      <c r="W2889" t="inlineStr">
        <is>
          <t>1998-08-31</t>
        </is>
      </c>
      <c r="X2889" t="inlineStr">
        <is>
          <t>1998-08-31</t>
        </is>
      </c>
      <c r="Y2889" t="inlineStr">
        <is>
          <t>1997-04-02</t>
        </is>
      </c>
      <c r="Z2889" t="inlineStr">
        <is>
          <t>1997-04-02</t>
        </is>
      </c>
      <c r="AA2889" t="n">
        <v>112</v>
      </c>
      <c r="AB2889" t="n">
        <v>101</v>
      </c>
      <c r="AC2889" t="n">
        <v>229</v>
      </c>
      <c r="AD2889" t="n">
        <v>1</v>
      </c>
      <c r="AE2889" t="n">
        <v>2</v>
      </c>
      <c r="AF2889" t="n">
        <v>3</v>
      </c>
      <c r="AG2889" t="n">
        <v>9</v>
      </c>
      <c r="AH2889" t="n">
        <v>1</v>
      </c>
      <c r="AI2889" t="n">
        <v>2</v>
      </c>
      <c r="AJ2889" t="n">
        <v>1</v>
      </c>
      <c r="AK2889" t="n">
        <v>3</v>
      </c>
      <c r="AL2889" t="n">
        <v>1</v>
      </c>
      <c r="AM2889" t="n">
        <v>6</v>
      </c>
      <c r="AN2889" t="n">
        <v>0</v>
      </c>
      <c r="AO2889" t="n">
        <v>1</v>
      </c>
      <c r="AP2889" t="n">
        <v>0</v>
      </c>
      <c r="AQ2889" t="n">
        <v>0</v>
      </c>
      <c r="AR2889" t="inlineStr">
        <is>
          <t>No</t>
        </is>
      </c>
      <c r="AS2889" t="inlineStr">
        <is>
          <t>Yes</t>
        </is>
      </c>
      <c r="AT2889">
        <f>HYPERLINK("http://catalog.hathitrust.org/Record/006155849","HathiTrust Record")</f>
        <v/>
      </c>
      <c r="AU2889">
        <f>HYPERLINK("https://creighton-primo.hosted.exlibrisgroup.com/primo-explore/search?tab=default_tab&amp;search_scope=EVERYTHING&amp;vid=01CRU&amp;lang=en_US&amp;offset=0&amp;query=any,contains,991003566009702656","Catalog Record")</f>
        <v/>
      </c>
      <c r="AV2889">
        <f>HYPERLINK("http://www.worldcat.org/oclc/1138499","WorldCat Record")</f>
        <v/>
      </c>
      <c r="AW2889" t="inlineStr">
        <is>
          <t>2260818158:eng</t>
        </is>
      </c>
      <c r="AX2889" t="inlineStr">
        <is>
          <t>1138499</t>
        </is>
      </c>
      <c r="AY2889" t="inlineStr">
        <is>
          <t>991003566009702656</t>
        </is>
      </c>
      <c r="AZ2889" t="inlineStr">
        <is>
          <t>991003566009702656</t>
        </is>
      </c>
      <c r="BA2889" t="inlineStr">
        <is>
          <t>2270421540002656</t>
        </is>
      </c>
      <c r="BB2889" t="inlineStr">
        <is>
          <t>BOOK</t>
        </is>
      </c>
      <c r="BE2889" t="inlineStr">
        <is>
          <t>32285002123445</t>
        </is>
      </c>
      <c r="BF2889" t="inlineStr">
        <is>
          <t>893524957</t>
        </is>
      </c>
    </row>
    <row r="2890">
      <c r="A2890" t="inlineStr">
        <is>
          <t>No</t>
        </is>
      </c>
      <c r="B2890" t="inlineStr">
        <is>
          <t>CURAL</t>
        </is>
      </c>
      <c r="C2890" t="inlineStr">
        <is>
          <t>SHELVES</t>
        </is>
      </c>
      <c r="D2890" t="inlineStr">
        <is>
          <t>PR6005.O4 Z5727 1998</t>
        </is>
      </c>
      <c r="E2890" t="inlineStr">
        <is>
          <t>0                      PR 6005000O  4                  Z  5727        1998</t>
        </is>
      </c>
      <c r="F2890" t="inlineStr">
        <is>
          <t>Conrad and theory / edited by Andrew Gibson and Robert Hampson.</t>
        </is>
      </c>
      <c r="H2890" t="inlineStr">
        <is>
          <t>No</t>
        </is>
      </c>
      <c r="I2890" t="inlineStr">
        <is>
          <t>1</t>
        </is>
      </c>
      <c r="J2890" t="inlineStr">
        <is>
          <t>No</t>
        </is>
      </c>
      <c r="K2890" t="inlineStr">
        <is>
          <t>No</t>
        </is>
      </c>
      <c r="L2890" t="inlineStr">
        <is>
          <t>0</t>
        </is>
      </c>
      <c r="N2890" t="inlineStr">
        <is>
          <t>Amsterdam ; Atlanta, GA : Rodopi, 1998.</t>
        </is>
      </c>
      <c r="O2890" t="inlineStr">
        <is>
          <t>1998</t>
        </is>
      </c>
      <c r="Q2890" t="inlineStr">
        <is>
          <t>eng</t>
        </is>
      </c>
      <c r="R2890" t="inlineStr">
        <is>
          <t xml:space="preserve">ne </t>
        </is>
      </c>
      <c r="S2890" t="inlineStr">
        <is>
          <t>The Conradian</t>
        </is>
      </c>
      <c r="T2890" t="inlineStr">
        <is>
          <t xml:space="preserve">PR </t>
        </is>
      </c>
      <c r="U2890" t="n">
        <v>1</v>
      </c>
      <c r="V2890" t="n">
        <v>1</v>
      </c>
      <c r="W2890" t="inlineStr">
        <is>
          <t>2002-09-20</t>
        </is>
      </c>
      <c r="X2890" t="inlineStr">
        <is>
          <t>2002-09-20</t>
        </is>
      </c>
      <c r="Y2890" t="inlineStr">
        <is>
          <t>1998-11-30</t>
        </is>
      </c>
      <c r="Z2890" t="inlineStr">
        <is>
          <t>1998-11-30</t>
        </is>
      </c>
      <c r="AA2890" t="n">
        <v>62</v>
      </c>
      <c r="AB2890" t="n">
        <v>41</v>
      </c>
      <c r="AC2890" t="n">
        <v>59</v>
      </c>
      <c r="AD2890" t="n">
        <v>2</v>
      </c>
      <c r="AE2890" t="n">
        <v>2</v>
      </c>
      <c r="AF2890" t="n">
        <v>2</v>
      </c>
      <c r="AG2890" t="n">
        <v>6</v>
      </c>
      <c r="AH2890" t="n">
        <v>1</v>
      </c>
      <c r="AI2890" t="n">
        <v>2</v>
      </c>
      <c r="AJ2890" t="n">
        <v>0</v>
      </c>
      <c r="AK2890" t="n">
        <v>2</v>
      </c>
      <c r="AL2890" t="n">
        <v>1</v>
      </c>
      <c r="AM2890" t="n">
        <v>3</v>
      </c>
      <c r="AN2890" t="n">
        <v>1</v>
      </c>
      <c r="AO2890" t="n">
        <v>1</v>
      </c>
      <c r="AP2890" t="n">
        <v>0</v>
      </c>
      <c r="AQ2890" t="n">
        <v>0</v>
      </c>
      <c r="AR2890" t="inlineStr">
        <is>
          <t>No</t>
        </is>
      </c>
      <c r="AS2890" t="inlineStr">
        <is>
          <t>No</t>
        </is>
      </c>
      <c r="AU2890">
        <f>HYPERLINK("https://creighton-primo.hosted.exlibrisgroup.com/primo-explore/search?tab=default_tab&amp;search_scope=EVERYTHING&amp;vid=01CRU&amp;lang=en_US&amp;offset=0&amp;query=any,contains,991002976669702656","Catalog Record")</f>
        <v/>
      </c>
      <c r="AV2890">
        <f>HYPERLINK("http://www.worldcat.org/oclc/39914831","WorldCat Record")</f>
        <v/>
      </c>
      <c r="AW2890" t="inlineStr">
        <is>
          <t>366147571:eng</t>
        </is>
      </c>
      <c r="AX2890" t="inlineStr">
        <is>
          <t>39914831</t>
        </is>
      </c>
      <c r="AY2890" t="inlineStr">
        <is>
          <t>991002976669702656</t>
        </is>
      </c>
      <c r="AZ2890" t="inlineStr">
        <is>
          <t>991002976669702656</t>
        </is>
      </c>
      <c r="BA2890" t="inlineStr">
        <is>
          <t>2262796050002656</t>
        </is>
      </c>
      <c r="BB2890" t="inlineStr">
        <is>
          <t>BOOK</t>
        </is>
      </c>
      <c r="BD2890" t="inlineStr">
        <is>
          <t>9789042003699</t>
        </is>
      </c>
      <c r="BE2890" t="inlineStr">
        <is>
          <t>32285003491999</t>
        </is>
      </c>
      <c r="BF2890" t="inlineStr">
        <is>
          <t>893880678</t>
        </is>
      </c>
    </row>
    <row r="2891">
      <c r="A2891" t="inlineStr">
        <is>
          <t>No</t>
        </is>
      </c>
      <c r="B2891" t="inlineStr">
        <is>
          <t>CURAL</t>
        </is>
      </c>
      <c r="C2891" t="inlineStr">
        <is>
          <t>SHELVES</t>
        </is>
      </c>
      <c r="D2891" t="inlineStr">
        <is>
          <t>PR6005.O4 Z653</t>
        </is>
      </c>
      <c r="E2891" t="inlineStr">
        <is>
          <t>0                      PR 6005000O  4                  Z  653</t>
        </is>
      </c>
      <c r="F2891" t="inlineStr">
        <is>
          <t>Joseph Conrad, the way of dispossession / by H. M. Daleski.</t>
        </is>
      </c>
      <c r="H2891" t="inlineStr">
        <is>
          <t>No</t>
        </is>
      </c>
      <c r="I2891" t="inlineStr">
        <is>
          <t>1</t>
        </is>
      </c>
      <c r="J2891" t="inlineStr">
        <is>
          <t>No</t>
        </is>
      </c>
      <c r="K2891" t="inlineStr">
        <is>
          <t>No</t>
        </is>
      </c>
      <c r="L2891" t="inlineStr">
        <is>
          <t>0</t>
        </is>
      </c>
      <c r="M2891" t="inlineStr">
        <is>
          <t>Daleski, H. M. (Hillel Matthew), 1926-</t>
        </is>
      </c>
      <c r="N2891" t="inlineStr">
        <is>
          <t>New York : Holmes &amp; Meier, c1976.</t>
        </is>
      </c>
      <c r="O2891" t="inlineStr">
        <is>
          <t>1976</t>
        </is>
      </c>
      <c r="Q2891" t="inlineStr">
        <is>
          <t>eng</t>
        </is>
      </c>
      <c r="R2891" t="inlineStr">
        <is>
          <t>nyu</t>
        </is>
      </c>
      <c r="T2891" t="inlineStr">
        <is>
          <t xml:space="preserve">PR </t>
        </is>
      </c>
      <c r="U2891" t="n">
        <v>7</v>
      </c>
      <c r="V2891" t="n">
        <v>7</v>
      </c>
      <c r="W2891" t="inlineStr">
        <is>
          <t>2010-04-08</t>
        </is>
      </c>
      <c r="X2891" t="inlineStr">
        <is>
          <t>2010-04-08</t>
        </is>
      </c>
      <c r="Y2891" t="inlineStr">
        <is>
          <t>1990-06-20</t>
        </is>
      </c>
      <c r="Z2891" t="inlineStr">
        <is>
          <t>1990-06-20</t>
        </is>
      </c>
      <c r="AA2891" t="n">
        <v>378</v>
      </c>
      <c r="AB2891" t="n">
        <v>341</v>
      </c>
      <c r="AC2891" t="n">
        <v>449</v>
      </c>
      <c r="AD2891" t="n">
        <v>3</v>
      </c>
      <c r="AE2891" t="n">
        <v>4</v>
      </c>
      <c r="AF2891" t="n">
        <v>14</v>
      </c>
      <c r="AG2891" t="n">
        <v>21</v>
      </c>
      <c r="AH2891" t="n">
        <v>4</v>
      </c>
      <c r="AI2891" t="n">
        <v>6</v>
      </c>
      <c r="AJ2891" t="n">
        <v>5</v>
      </c>
      <c r="AK2891" t="n">
        <v>6</v>
      </c>
      <c r="AL2891" t="n">
        <v>6</v>
      </c>
      <c r="AM2891" t="n">
        <v>12</v>
      </c>
      <c r="AN2891" t="n">
        <v>2</v>
      </c>
      <c r="AO2891" t="n">
        <v>3</v>
      </c>
      <c r="AP2891" t="n">
        <v>0</v>
      </c>
      <c r="AQ2891" t="n">
        <v>0</v>
      </c>
      <c r="AR2891" t="inlineStr">
        <is>
          <t>No</t>
        </is>
      </c>
      <c r="AS2891" t="inlineStr">
        <is>
          <t>No</t>
        </is>
      </c>
      <c r="AU2891">
        <f>HYPERLINK("https://creighton-primo.hosted.exlibrisgroup.com/primo-explore/search?tab=default_tab&amp;search_scope=EVERYTHING&amp;vid=01CRU&amp;lang=en_US&amp;offset=0&amp;query=any,contains,991004051399702656","Catalog Record")</f>
        <v/>
      </c>
      <c r="AV2891">
        <f>HYPERLINK("http://www.worldcat.org/oclc/2213139","WorldCat Record")</f>
        <v/>
      </c>
      <c r="AW2891" t="inlineStr">
        <is>
          <t>3989843:eng</t>
        </is>
      </c>
      <c r="AX2891" t="inlineStr">
        <is>
          <t>2213139</t>
        </is>
      </c>
      <c r="AY2891" t="inlineStr">
        <is>
          <t>991004051399702656</t>
        </is>
      </c>
      <c r="AZ2891" t="inlineStr">
        <is>
          <t>991004051399702656</t>
        </is>
      </c>
      <c r="BA2891" t="inlineStr">
        <is>
          <t>2256116870002656</t>
        </is>
      </c>
      <c r="BB2891" t="inlineStr">
        <is>
          <t>BOOK</t>
        </is>
      </c>
      <c r="BD2891" t="inlineStr">
        <is>
          <t>9780841902107</t>
        </is>
      </c>
      <c r="BE2891" t="inlineStr">
        <is>
          <t>32285000196310</t>
        </is>
      </c>
      <c r="BF2891" t="inlineStr">
        <is>
          <t>893411055</t>
        </is>
      </c>
    </row>
    <row r="2892">
      <c r="A2892" t="inlineStr">
        <is>
          <t>No</t>
        </is>
      </c>
      <c r="B2892" t="inlineStr">
        <is>
          <t>CURAL</t>
        </is>
      </c>
      <c r="C2892" t="inlineStr">
        <is>
          <t>SHELVES</t>
        </is>
      </c>
      <c r="D2892" t="inlineStr">
        <is>
          <t>PR6005.O4 Z657 1984</t>
        </is>
      </c>
      <c r="E2892" t="inlineStr">
        <is>
          <t>0                      PR 6005000O  4                  Z  657         1984</t>
        </is>
      </c>
      <c r="F2892" t="inlineStr">
        <is>
          <t>Conrad's endings : a study of the five major novels / by Arnold E. Davidson.</t>
        </is>
      </c>
      <c r="H2892" t="inlineStr">
        <is>
          <t>No</t>
        </is>
      </c>
      <c r="I2892" t="inlineStr">
        <is>
          <t>1</t>
        </is>
      </c>
      <c r="J2892" t="inlineStr">
        <is>
          <t>No</t>
        </is>
      </c>
      <c r="K2892" t="inlineStr">
        <is>
          <t>No</t>
        </is>
      </c>
      <c r="L2892" t="inlineStr">
        <is>
          <t>0</t>
        </is>
      </c>
      <c r="M2892" t="inlineStr">
        <is>
          <t>Davidson, Arnold E., 1936-</t>
        </is>
      </c>
      <c r="N2892" t="inlineStr">
        <is>
          <t>Ann Arbor, Mich. : UMI Research Press, c1984.</t>
        </is>
      </c>
      <c r="O2892" t="inlineStr">
        <is>
          <t>1984</t>
        </is>
      </c>
      <c r="Q2892" t="inlineStr">
        <is>
          <t>eng</t>
        </is>
      </c>
      <c r="R2892" t="inlineStr">
        <is>
          <t>miu</t>
        </is>
      </c>
      <c r="S2892" t="inlineStr">
        <is>
          <t>Studies in modern literature ; no. 39</t>
        </is>
      </c>
      <c r="T2892" t="inlineStr">
        <is>
          <t xml:space="preserve">PR </t>
        </is>
      </c>
      <c r="U2892" t="n">
        <v>5</v>
      </c>
      <c r="V2892" t="n">
        <v>5</v>
      </c>
      <c r="W2892" t="inlineStr">
        <is>
          <t>1998-02-28</t>
        </is>
      </c>
      <c r="X2892" t="inlineStr">
        <is>
          <t>1998-02-28</t>
        </is>
      </c>
      <c r="Y2892" t="inlineStr">
        <is>
          <t>1991-11-20</t>
        </is>
      </c>
      <c r="Z2892" t="inlineStr">
        <is>
          <t>1991-11-20</t>
        </is>
      </c>
      <c r="AA2892" t="n">
        <v>305</v>
      </c>
      <c r="AB2892" t="n">
        <v>229</v>
      </c>
      <c r="AC2892" t="n">
        <v>236</v>
      </c>
      <c r="AD2892" t="n">
        <v>2</v>
      </c>
      <c r="AE2892" t="n">
        <v>2</v>
      </c>
      <c r="AF2892" t="n">
        <v>13</v>
      </c>
      <c r="AG2892" t="n">
        <v>13</v>
      </c>
      <c r="AH2892" t="n">
        <v>5</v>
      </c>
      <c r="AI2892" t="n">
        <v>5</v>
      </c>
      <c r="AJ2892" t="n">
        <v>4</v>
      </c>
      <c r="AK2892" t="n">
        <v>4</v>
      </c>
      <c r="AL2892" t="n">
        <v>9</v>
      </c>
      <c r="AM2892" t="n">
        <v>9</v>
      </c>
      <c r="AN2892" t="n">
        <v>1</v>
      </c>
      <c r="AO2892" t="n">
        <v>1</v>
      </c>
      <c r="AP2892" t="n">
        <v>0</v>
      </c>
      <c r="AQ2892" t="n">
        <v>0</v>
      </c>
      <c r="AR2892" t="inlineStr">
        <is>
          <t>No</t>
        </is>
      </c>
      <c r="AS2892" t="inlineStr">
        <is>
          <t>Yes</t>
        </is>
      </c>
      <c r="AT2892">
        <f>HYPERLINK("http://catalog.hathitrust.org/Record/000405781","HathiTrust Record")</f>
        <v/>
      </c>
      <c r="AU2892">
        <f>HYPERLINK("https://creighton-primo.hosted.exlibrisgroup.com/primo-explore/search?tab=default_tab&amp;search_scope=EVERYTHING&amp;vid=01CRU&amp;lang=en_US&amp;offset=0&amp;query=any,contains,991000433719702656","Catalog Record")</f>
        <v/>
      </c>
      <c r="AV2892">
        <f>HYPERLINK("http://www.worldcat.org/oclc/10780434","WorldCat Record")</f>
        <v/>
      </c>
      <c r="AW2892" t="inlineStr">
        <is>
          <t>312659032:eng</t>
        </is>
      </c>
      <c r="AX2892" t="inlineStr">
        <is>
          <t>10780434</t>
        </is>
      </c>
      <c r="AY2892" t="inlineStr">
        <is>
          <t>991000433719702656</t>
        </is>
      </c>
      <c r="AZ2892" t="inlineStr">
        <is>
          <t>991000433719702656</t>
        </is>
      </c>
      <c r="BA2892" t="inlineStr">
        <is>
          <t>2255277500002656</t>
        </is>
      </c>
      <c r="BB2892" t="inlineStr">
        <is>
          <t>BOOK</t>
        </is>
      </c>
      <c r="BD2892" t="inlineStr">
        <is>
          <t>9780835715874</t>
        </is>
      </c>
      <c r="BE2892" t="inlineStr">
        <is>
          <t>32285000841675</t>
        </is>
      </c>
      <c r="BF2892" t="inlineStr">
        <is>
          <t>893515274</t>
        </is>
      </c>
    </row>
    <row r="2893">
      <c r="A2893" t="inlineStr">
        <is>
          <t>No</t>
        </is>
      </c>
      <c r="B2893" t="inlineStr">
        <is>
          <t>CURAL</t>
        </is>
      </c>
      <c r="C2893" t="inlineStr">
        <is>
          <t>SHELVES</t>
        </is>
      </c>
      <c r="D2893" t="inlineStr">
        <is>
          <t>PR6005.O4 Z66</t>
        </is>
      </c>
      <c r="E2893" t="inlineStr">
        <is>
          <t>0                      PR 6005000O  4                  Z  66</t>
        </is>
      </c>
      <c r="F2893" t="inlineStr">
        <is>
          <t>Joseph Conrad : the imaged style / [by] Wilfred S. Dowden.</t>
        </is>
      </c>
      <c r="H2893" t="inlineStr">
        <is>
          <t>No</t>
        </is>
      </c>
      <c r="I2893" t="inlineStr">
        <is>
          <t>1</t>
        </is>
      </c>
      <c r="J2893" t="inlineStr">
        <is>
          <t>No</t>
        </is>
      </c>
      <c r="K2893" t="inlineStr">
        <is>
          <t>No</t>
        </is>
      </c>
      <c r="L2893" t="inlineStr">
        <is>
          <t>0</t>
        </is>
      </c>
      <c r="M2893" t="inlineStr">
        <is>
          <t>Dowden, Wilfred S. (Wilfred Sellars), 1917-</t>
        </is>
      </c>
      <c r="N2893" t="inlineStr">
        <is>
          <t>Nashville : Vanderbilt University Press, 1970.</t>
        </is>
      </c>
      <c r="O2893" t="inlineStr">
        <is>
          <t>1970</t>
        </is>
      </c>
      <c r="Q2893" t="inlineStr">
        <is>
          <t>eng</t>
        </is>
      </c>
      <c r="R2893" t="inlineStr">
        <is>
          <t>tnu</t>
        </is>
      </c>
      <c r="T2893" t="inlineStr">
        <is>
          <t xml:space="preserve">PR </t>
        </is>
      </c>
      <c r="U2893" t="n">
        <v>3</v>
      </c>
      <c r="V2893" t="n">
        <v>3</v>
      </c>
      <c r="W2893" t="inlineStr">
        <is>
          <t>1994-04-02</t>
        </is>
      </c>
      <c r="X2893" t="inlineStr">
        <is>
          <t>1994-04-02</t>
        </is>
      </c>
      <c r="Y2893" t="inlineStr">
        <is>
          <t>1990-12-28</t>
        </is>
      </c>
      <c r="Z2893" t="inlineStr">
        <is>
          <t>1990-12-28</t>
        </is>
      </c>
      <c r="AA2893" t="n">
        <v>916</v>
      </c>
      <c r="AB2893" t="n">
        <v>813</v>
      </c>
      <c r="AC2893" t="n">
        <v>1123</v>
      </c>
      <c r="AD2893" t="n">
        <v>8</v>
      </c>
      <c r="AE2893" t="n">
        <v>8</v>
      </c>
      <c r="AF2893" t="n">
        <v>35</v>
      </c>
      <c r="AG2893" t="n">
        <v>38</v>
      </c>
      <c r="AH2893" t="n">
        <v>11</v>
      </c>
      <c r="AI2893" t="n">
        <v>14</v>
      </c>
      <c r="AJ2893" t="n">
        <v>9</v>
      </c>
      <c r="AK2893" t="n">
        <v>9</v>
      </c>
      <c r="AL2893" t="n">
        <v>18</v>
      </c>
      <c r="AM2893" t="n">
        <v>19</v>
      </c>
      <c r="AN2893" t="n">
        <v>7</v>
      </c>
      <c r="AO2893" t="n">
        <v>7</v>
      </c>
      <c r="AP2893" t="n">
        <v>0</v>
      </c>
      <c r="AQ2893" t="n">
        <v>0</v>
      </c>
      <c r="AR2893" t="inlineStr">
        <is>
          <t>No</t>
        </is>
      </c>
      <c r="AS2893" t="inlineStr">
        <is>
          <t>Yes</t>
        </is>
      </c>
      <c r="AT2893">
        <f>HYPERLINK("http://catalog.hathitrust.org/Record/000667944","HathiTrust Record")</f>
        <v/>
      </c>
      <c r="AU2893">
        <f>HYPERLINK("https://creighton-primo.hosted.exlibrisgroup.com/primo-explore/search?tab=default_tab&amp;search_scope=EVERYTHING&amp;vid=01CRU&amp;lang=en_US&amp;offset=0&amp;query=any,contains,991000605499702656","Catalog Record")</f>
        <v/>
      </c>
      <c r="AV2893">
        <f>HYPERLINK("http://www.worldcat.org/oclc/98902","WorldCat Record")</f>
        <v/>
      </c>
      <c r="AW2893" t="inlineStr">
        <is>
          <t>493813:eng</t>
        </is>
      </c>
      <c r="AX2893" t="inlineStr">
        <is>
          <t>98902</t>
        </is>
      </c>
      <c r="AY2893" t="inlineStr">
        <is>
          <t>991000605499702656</t>
        </is>
      </c>
      <c r="AZ2893" t="inlineStr">
        <is>
          <t>991000605499702656</t>
        </is>
      </c>
      <c r="BA2893" t="inlineStr">
        <is>
          <t>2271990380002656</t>
        </is>
      </c>
      <c r="BB2893" t="inlineStr">
        <is>
          <t>BOOK</t>
        </is>
      </c>
      <c r="BD2893" t="inlineStr">
        <is>
          <t>9780826511539</t>
        </is>
      </c>
      <c r="BE2893" t="inlineStr">
        <is>
          <t>32285000426485</t>
        </is>
      </c>
      <c r="BF2893" t="inlineStr">
        <is>
          <t>893413512</t>
        </is>
      </c>
    </row>
    <row r="2894">
      <c r="A2894" t="inlineStr">
        <is>
          <t>No</t>
        </is>
      </c>
      <c r="B2894" t="inlineStr">
        <is>
          <t>CURAL</t>
        </is>
      </c>
      <c r="C2894" t="inlineStr">
        <is>
          <t>SHELVES</t>
        </is>
      </c>
      <c r="D2894" t="inlineStr">
        <is>
          <t>PR6005.O4 Z68</t>
        </is>
      </c>
      <c r="E2894" t="inlineStr">
        <is>
          <t>0                      PR 6005000O  4                  Z  68</t>
        </is>
      </c>
      <c r="F2894" t="inlineStr">
        <is>
          <t>Conrad's politics; community and anarchy in the fiction of Joseph Conrad.</t>
        </is>
      </c>
      <c r="H2894" t="inlineStr">
        <is>
          <t>No</t>
        </is>
      </c>
      <c r="I2894" t="inlineStr">
        <is>
          <t>1</t>
        </is>
      </c>
      <c r="J2894" t="inlineStr">
        <is>
          <t>No</t>
        </is>
      </c>
      <c r="K2894" t="inlineStr">
        <is>
          <t>No</t>
        </is>
      </c>
      <c r="L2894" t="inlineStr">
        <is>
          <t>0</t>
        </is>
      </c>
      <c r="M2894" t="inlineStr">
        <is>
          <t>Fleishman, Avrom.</t>
        </is>
      </c>
      <c r="N2894" t="inlineStr">
        <is>
          <t>Baltimore, Johns Hopkins Press [1967]</t>
        </is>
      </c>
      <c r="O2894" t="inlineStr">
        <is>
          <t>1967</t>
        </is>
      </c>
      <c r="Q2894" t="inlineStr">
        <is>
          <t>eng</t>
        </is>
      </c>
      <c r="R2894" t="inlineStr">
        <is>
          <t>mdu</t>
        </is>
      </c>
      <c r="T2894" t="inlineStr">
        <is>
          <t xml:space="preserve">PR </t>
        </is>
      </c>
      <c r="U2894" t="n">
        <v>1</v>
      </c>
      <c r="V2894" t="n">
        <v>1</v>
      </c>
      <c r="W2894" t="inlineStr">
        <is>
          <t>2010-04-08</t>
        </is>
      </c>
      <c r="X2894" t="inlineStr">
        <is>
          <t>2010-04-08</t>
        </is>
      </c>
      <c r="Y2894" t="inlineStr">
        <is>
          <t>1997-04-02</t>
        </is>
      </c>
      <c r="Z2894" t="inlineStr">
        <is>
          <t>1997-04-02</t>
        </is>
      </c>
      <c r="AA2894" t="n">
        <v>1084</v>
      </c>
      <c r="AB2894" t="n">
        <v>916</v>
      </c>
      <c r="AC2894" t="n">
        <v>936</v>
      </c>
      <c r="AD2894" t="n">
        <v>9</v>
      </c>
      <c r="AE2894" t="n">
        <v>9</v>
      </c>
      <c r="AF2894" t="n">
        <v>46</v>
      </c>
      <c r="AG2894" t="n">
        <v>46</v>
      </c>
      <c r="AH2894" t="n">
        <v>21</v>
      </c>
      <c r="AI2894" t="n">
        <v>21</v>
      </c>
      <c r="AJ2894" t="n">
        <v>9</v>
      </c>
      <c r="AK2894" t="n">
        <v>9</v>
      </c>
      <c r="AL2894" t="n">
        <v>22</v>
      </c>
      <c r="AM2894" t="n">
        <v>22</v>
      </c>
      <c r="AN2894" t="n">
        <v>7</v>
      </c>
      <c r="AO2894" t="n">
        <v>7</v>
      </c>
      <c r="AP2894" t="n">
        <v>0</v>
      </c>
      <c r="AQ2894" t="n">
        <v>0</v>
      </c>
      <c r="AR2894" t="inlineStr">
        <is>
          <t>No</t>
        </is>
      </c>
      <c r="AS2894" t="inlineStr">
        <is>
          <t>Yes</t>
        </is>
      </c>
      <c r="AT2894">
        <f>HYPERLINK("http://catalog.hathitrust.org/Record/000667954","HathiTrust Record")</f>
        <v/>
      </c>
      <c r="AU2894">
        <f>HYPERLINK("https://creighton-primo.hosted.exlibrisgroup.com/primo-explore/search?tab=default_tab&amp;search_scope=EVERYTHING&amp;vid=01CRU&amp;lang=en_US&amp;offset=0&amp;query=any,contains,991003975719702656","Catalog Record")</f>
        <v/>
      </c>
      <c r="AV2894">
        <f>HYPERLINK("http://www.worldcat.org/oclc/2005071","WorldCat Record")</f>
        <v/>
      </c>
      <c r="AW2894" t="inlineStr">
        <is>
          <t>451352:eng</t>
        </is>
      </c>
      <c r="AX2894" t="inlineStr">
        <is>
          <t>2005071</t>
        </is>
      </c>
      <c r="AY2894" t="inlineStr">
        <is>
          <t>991003975719702656</t>
        </is>
      </c>
      <c r="AZ2894" t="inlineStr">
        <is>
          <t>991003975719702656</t>
        </is>
      </c>
      <c r="BA2894" t="inlineStr">
        <is>
          <t>2261039980002656</t>
        </is>
      </c>
      <c r="BB2894" t="inlineStr">
        <is>
          <t>BOOK</t>
        </is>
      </c>
      <c r="BE2894" t="inlineStr">
        <is>
          <t>32285002123502</t>
        </is>
      </c>
      <c r="BF2894" t="inlineStr">
        <is>
          <t>893442024</t>
        </is>
      </c>
    </row>
    <row r="2895">
      <c r="A2895" t="inlineStr">
        <is>
          <t>No</t>
        </is>
      </c>
      <c r="B2895" t="inlineStr">
        <is>
          <t>CURAL</t>
        </is>
      </c>
      <c r="C2895" t="inlineStr">
        <is>
          <t>SHELVES</t>
        </is>
      </c>
      <c r="D2895" t="inlineStr">
        <is>
          <t>PR6005.O4 Z72 1924a</t>
        </is>
      </c>
      <c r="E2895" t="inlineStr">
        <is>
          <t>0                      PR 6005000O  4                  Z  72          1924a</t>
        </is>
      </c>
      <c r="F2895" t="inlineStr">
        <is>
          <t>Joseph Conrad, a personal remembrance / by Ford Madox Ford (Ford Madox Hueffer).</t>
        </is>
      </c>
      <c r="H2895" t="inlineStr">
        <is>
          <t>No</t>
        </is>
      </c>
      <c r="I2895" t="inlineStr">
        <is>
          <t>1</t>
        </is>
      </c>
      <c r="J2895" t="inlineStr">
        <is>
          <t>No</t>
        </is>
      </c>
      <c r="K2895" t="inlineStr">
        <is>
          <t>No</t>
        </is>
      </c>
      <c r="L2895" t="inlineStr">
        <is>
          <t>0</t>
        </is>
      </c>
      <c r="M2895" t="inlineStr">
        <is>
          <t>Ford, Ford Madox, 1873-1939.</t>
        </is>
      </c>
      <c r="N2895" t="inlineStr">
        <is>
          <t>Boston : Little, Brown, and company, 1924.</t>
        </is>
      </c>
      <c r="O2895" t="inlineStr">
        <is>
          <t>1924</t>
        </is>
      </c>
      <c r="Q2895" t="inlineStr">
        <is>
          <t>eng</t>
        </is>
      </c>
      <c r="R2895" t="inlineStr">
        <is>
          <t>mau</t>
        </is>
      </c>
      <c r="T2895" t="inlineStr">
        <is>
          <t xml:space="preserve">PR </t>
        </is>
      </c>
      <c r="U2895" t="n">
        <v>2</v>
      </c>
      <c r="V2895" t="n">
        <v>2</v>
      </c>
      <c r="W2895" t="inlineStr">
        <is>
          <t>2010-04-08</t>
        </is>
      </c>
      <c r="X2895" t="inlineStr">
        <is>
          <t>2010-04-08</t>
        </is>
      </c>
      <c r="Y2895" t="inlineStr">
        <is>
          <t>1991-12-16</t>
        </is>
      </c>
      <c r="Z2895" t="inlineStr">
        <is>
          <t>1991-12-16</t>
        </is>
      </c>
      <c r="AA2895" t="n">
        <v>407</v>
      </c>
      <c r="AB2895" t="n">
        <v>386</v>
      </c>
      <c r="AC2895" t="n">
        <v>980</v>
      </c>
      <c r="AD2895" t="n">
        <v>5</v>
      </c>
      <c r="AE2895" t="n">
        <v>9</v>
      </c>
      <c r="AF2895" t="n">
        <v>20</v>
      </c>
      <c r="AG2895" t="n">
        <v>49</v>
      </c>
      <c r="AH2895" t="n">
        <v>4</v>
      </c>
      <c r="AI2895" t="n">
        <v>21</v>
      </c>
      <c r="AJ2895" t="n">
        <v>4</v>
      </c>
      <c r="AK2895" t="n">
        <v>10</v>
      </c>
      <c r="AL2895" t="n">
        <v>13</v>
      </c>
      <c r="AM2895" t="n">
        <v>23</v>
      </c>
      <c r="AN2895" t="n">
        <v>4</v>
      </c>
      <c r="AO2895" t="n">
        <v>8</v>
      </c>
      <c r="AP2895" t="n">
        <v>0</v>
      </c>
      <c r="AQ2895" t="n">
        <v>0</v>
      </c>
      <c r="AR2895" t="inlineStr">
        <is>
          <t>Yes</t>
        </is>
      </c>
      <c r="AS2895" t="inlineStr">
        <is>
          <t>No</t>
        </is>
      </c>
      <c r="AT2895">
        <f>HYPERLINK("http://catalog.hathitrust.org/Record/000667965","HathiTrust Record")</f>
        <v/>
      </c>
      <c r="AU2895">
        <f>HYPERLINK("https://creighton-primo.hosted.exlibrisgroup.com/primo-explore/search?tab=default_tab&amp;search_scope=EVERYTHING&amp;vid=01CRU&amp;lang=en_US&amp;offset=0&amp;query=any,contains,991002737519702656","Catalog Record")</f>
        <v/>
      </c>
      <c r="AV2895">
        <f>HYPERLINK("http://www.worldcat.org/oclc/419827","WorldCat Record")</f>
        <v/>
      </c>
      <c r="AW2895" t="inlineStr">
        <is>
          <t>1498432:eng</t>
        </is>
      </c>
      <c r="AX2895" t="inlineStr">
        <is>
          <t>419827</t>
        </is>
      </c>
      <c r="AY2895" t="inlineStr">
        <is>
          <t>991002737519702656</t>
        </is>
      </c>
      <c r="AZ2895" t="inlineStr">
        <is>
          <t>991002737519702656</t>
        </is>
      </c>
      <c r="BA2895" t="inlineStr">
        <is>
          <t>2261759410002656</t>
        </is>
      </c>
      <c r="BB2895" t="inlineStr">
        <is>
          <t>BOOK</t>
        </is>
      </c>
      <c r="BE2895" t="inlineStr">
        <is>
          <t>32285000839877</t>
        </is>
      </c>
      <c r="BF2895" t="inlineStr">
        <is>
          <t>893323305</t>
        </is>
      </c>
    </row>
    <row r="2896">
      <c r="A2896" t="inlineStr">
        <is>
          <t>No</t>
        </is>
      </c>
      <c r="B2896" t="inlineStr">
        <is>
          <t>CURAL</t>
        </is>
      </c>
      <c r="C2896" t="inlineStr">
        <is>
          <t>SHELVES</t>
        </is>
      </c>
      <c r="D2896" t="inlineStr">
        <is>
          <t>PR6005.O4 Z7255 1978b</t>
        </is>
      </c>
      <c r="E2896" t="inlineStr">
        <is>
          <t>0                      PR 6005000O  4                  Z  7255        1978b</t>
        </is>
      </c>
      <c r="F2896" t="inlineStr">
        <is>
          <t>Conrad : the moral of world of the novelist / R. A. Gekoski. --</t>
        </is>
      </c>
      <c r="H2896" t="inlineStr">
        <is>
          <t>No</t>
        </is>
      </c>
      <c r="I2896" t="inlineStr">
        <is>
          <t>1</t>
        </is>
      </c>
      <c r="J2896" t="inlineStr">
        <is>
          <t>No</t>
        </is>
      </c>
      <c r="K2896" t="inlineStr">
        <is>
          <t>No</t>
        </is>
      </c>
      <c r="L2896" t="inlineStr">
        <is>
          <t>0</t>
        </is>
      </c>
      <c r="M2896" t="inlineStr">
        <is>
          <t>Gekoski, R. A.</t>
        </is>
      </c>
      <c r="N2896" t="inlineStr">
        <is>
          <t>London : P. Elek, c1978</t>
        </is>
      </c>
      <c r="O2896" t="inlineStr">
        <is>
          <t>1978</t>
        </is>
      </c>
      <c r="Q2896" t="inlineStr">
        <is>
          <t>eng</t>
        </is>
      </c>
      <c r="R2896" t="inlineStr">
        <is>
          <t>enk</t>
        </is>
      </c>
      <c r="S2896" t="inlineStr">
        <is>
          <t>Novelists and their world</t>
        </is>
      </c>
      <c r="T2896" t="inlineStr">
        <is>
          <t xml:space="preserve">PR </t>
        </is>
      </c>
      <c r="U2896" t="n">
        <v>8</v>
      </c>
      <c r="V2896" t="n">
        <v>8</v>
      </c>
      <c r="W2896" t="inlineStr">
        <is>
          <t>1998-10-08</t>
        </is>
      </c>
      <c r="X2896" t="inlineStr">
        <is>
          <t>1998-10-08</t>
        </is>
      </c>
      <c r="Y2896" t="inlineStr">
        <is>
          <t>1990-06-05</t>
        </is>
      </c>
      <c r="Z2896" t="inlineStr">
        <is>
          <t>1990-06-05</t>
        </is>
      </c>
      <c r="AA2896" t="n">
        <v>200</v>
      </c>
      <c r="AB2896" t="n">
        <v>71</v>
      </c>
      <c r="AC2896" t="n">
        <v>451</v>
      </c>
      <c r="AD2896" t="n">
        <v>2</v>
      </c>
      <c r="AE2896" t="n">
        <v>6</v>
      </c>
      <c r="AF2896" t="n">
        <v>5</v>
      </c>
      <c r="AG2896" t="n">
        <v>28</v>
      </c>
      <c r="AH2896" t="n">
        <v>0</v>
      </c>
      <c r="AI2896" t="n">
        <v>9</v>
      </c>
      <c r="AJ2896" t="n">
        <v>1</v>
      </c>
      <c r="AK2896" t="n">
        <v>8</v>
      </c>
      <c r="AL2896" t="n">
        <v>4</v>
      </c>
      <c r="AM2896" t="n">
        <v>14</v>
      </c>
      <c r="AN2896" t="n">
        <v>1</v>
      </c>
      <c r="AO2896" t="n">
        <v>5</v>
      </c>
      <c r="AP2896" t="n">
        <v>0</v>
      </c>
      <c r="AQ2896" t="n">
        <v>0</v>
      </c>
      <c r="AR2896" t="inlineStr">
        <is>
          <t>No</t>
        </is>
      </c>
      <c r="AS2896" t="inlineStr">
        <is>
          <t>No</t>
        </is>
      </c>
      <c r="AU2896">
        <f>HYPERLINK("https://creighton-primo.hosted.exlibrisgroup.com/primo-explore/search?tab=default_tab&amp;search_scope=EVERYTHING&amp;vid=01CRU&amp;lang=en_US&amp;offset=0&amp;query=any,contains,991004598199702656","Catalog Record")</f>
        <v/>
      </c>
      <c r="AV2896">
        <f>HYPERLINK("http://www.worldcat.org/oclc/4157004","WorldCat Record")</f>
        <v/>
      </c>
      <c r="AW2896" t="inlineStr">
        <is>
          <t>13364871:eng</t>
        </is>
      </c>
      <c r="AX2896" t="inlineStr">
        <is>
          <t>4157004</t>
        </is>
      </c>
      <c r="AY2896" t="inlineStr">
        <is>
          <t>991004598199702656</t>
        </is>
      </c>
      <c r="AZ2896" t="inlineStr">
        <is>
          <t>991004598199702656</t>
        </is>
      </c>
      <c r="BA2896" t="inlineStr">
        <is>
          <t>2255926600002656</t>
        </is>
      </c>
      <c r="BB2896" t="inlineStr">
        <is>
          <t>BOOK</t>
        </is>
      </c>
      <c r="BD2896" t="inlineStr">
        <is>
          <t>9780236400928</t>
        </is>
      </c>
      <c r="BE2896" t="inlineStr">
        <is>
          <t>32285000181924</t>
        </is>
      </c>
      <c r="BF2896" t="inlineStr">
        <is>
          <t>893694116</t>
        </is>
      </c>
    </row>
    <row r="2897">
      <c r="A2897" t="inlineStr">
        <is>
          <t>No</t>
        </is>
      </c>
      <c r="B2897" t="inlineStr">
        <is>
          <t>CURAL</t>
        </is>
      </c>
      <c r="C2897" t="inlineStr">
        <is>
          <t>SHELVES</t>
        </is>
      </c>
      <c r="D2897" t="inlineStr">
        <is>
          <t>PR6005.O4 Z727</t>
        </is>
      </c>
      <c r="E2897" t="inlineStr">
        <is>
          <t>0                      PR 6005000O  4                  Z  727</t>
        </is>
      </c>
      <c r="F2897" t="inlineStr">
        <is>
          <t>Language and being : Joseph Conrad and the literature of personality / Peter J. Glassman.</t>
        </is>
      </c>
      <c r="H2897" t="inlineStr">
        <is>
          <t>No</t>
        </is>
      </c>
      <c r="I2897" t="inlineStr">
        <is>
          <t>1</t>
        </is>
      </c>
      <c r="J2897" t="inlineStr">
        <is>
          <t>No</t>
        </is>
      </c>
      <c r="K2897" t="inlineStr">
        <is>
          <t>No</t>
        </is>
      </c>
      <c r="L2897" t="inlineStr">
        <is>
          <t>0</t>
        </is>
      </c>
      <c r="M2897" t="inlineStr">
        <is>
          <t>Glassman, Peter J., 1945-</t>
        </is>
      </c>
      <c r="N2897" t="inlineStr">
        <is>
          <t>New York : Columbia University Press, 1976.</t>
        </is>
      </c>
      <c r="O2897" t="inlineStr">
        <is>
          <t>1976</t>
        </is>
      </c>
      <c r="Q2897" t="inlineStr">
        <is>
          <t>eng</t>
        </is>
      </c>
      <c r="R2897" t="inlineStr">
        <is>
          <t>nyu</t>
        </is>
      </c>
      <c r="T2897" t="inlineStr">
        <is>
          <t xml:space="preserve">PR </t>
        </is>
      </c>
      <c r="U2897" t="n">
        <v>1</v>
      </c>
      <c r="V2897" t="n">
        <v>1</v>
      </c>
      <c r="W2897" t="inlineStr">
        <is>
          <t>1994-04-02</t>
        </is>
      </c>
      <c r="X2897" t="inlineStr">
        <is>
          <t>1994-04-02</t>
        </is>
      </c>
      <c r="Y2897" t="inlineStr">
        <is>
          <t>1992-07-02</t>
        </is>
      </c>
      <c r="Z2897" t="inlineStr">
        <is>
          <t>1992-07-02</t>
        </is>
      </c>
      <c r="AA2897" t="n">
        <v>666</v>
      </c>
      <c r="AB2897" t="n">
        <v>549</v>
      </c>
      <c r="AC2897" t="n">
        <v>573</v>
      </c>
      <c r="AD2897" t="n">
        <v>4</v>
      </c>
      <c r="AE2897" t="n">
        <v>5</v>
      </c>
      <c r="AF2897" t="n">
        <v>33</v>
      </c>
      <c r="AG2897" t="n">
        <v>34</v>
      </c>
      <c r="AH2897" t="n">
        <v>14</v>
      </c>
      <c r="AI2897" t="n">
        <v>14</v>
      </c>
      <c r="AJ2897" t="n">
        <v>8</v>
      </c>
      <c r="AK2897" t="n">
        <v>8</v>
      </c>
      <c r="AL2897" t="n">
        <v>18</v>
      </c>
      <c r="AM2897" t="n">
        <v>18</v>
      </c>
      <c r="AN2897" t="n">
        <v>3</v>
      </c>
      <c r="AO2897" t="n">
        <v>4</v>
      </c>
      <c r="AP2897" t="n">
        <v>0</v>
      </c>
      <c r="AQ2897" t="n">
        <v>0</v>
      </c>
      <c r="AR2897" t="inlineStr">
        <is>
          <t>No</t>
        </is>
      </c>
      <c r="AS2897" t="inlineStr">
        <is>
          <t>No</t>
        </is>
      </c>
      <c r="AU2897">
        <f>HYPERLINK("https://creighton-primo.hosted.exlibrisgroup.com/primo-explore/search?tab=default_tab&amp;search_scope=EVERYTHING&amp;vid=01CRU&amp;lang=en_US&amp;offset=0&amp;query=any,contains,991003858579702656","Catalog Record")</f>
        <v/>
      </c>
      <c r="AV2897">
        <f>HYPERLINK("http://www.worldcat.org/oclc/1659609","WorldCat Record")</f>
        <v/>
      </c>
      <c r="AW2897" t="inlineStr">
        <is>
          <t>198584661:eng</t>
        </is>
      </c>
      <c r="AX2897" t="inlineStr">
        <is>
          <t>1659609</t>
        </is>
      </c>
      <c r="AY2897" t="inlineStr">
        <is>
          <t>991003858579702656</t>
        </is>
      </c>
      <c r="AZ2897" t="inlineStr">
        <is>
          <t>991003858579702656</t>
        </is>
      </c>
      <c r="BA2897" t="inlineStr">
        <is>
          <t>2256789730002656</t>
        </is>
      </c>
      <c r="BB2897" t="inlineStr">
        <is>
          <t>BOOK</t>
        </is>
      </c>
      <c r="BD2897" t="inlineStr">
        <is>
          <t>9780231039994</t>
        </is>
      </c>
      <c r="BE2897" t="inlineStr">
        <is>
          <t>32285001147122</t>
        </is>
      </c>
      <c r="BF2897" t="inlineStr">
        <is>
          <t>893416890</t>
        </is>
      </c>
    </row>
    <row r="2898">
      <c r="A2898" t="inlineStr">
        <is>
          <t>No</t>
        </is>
      </c>
      <c r="B2898" t="inlineStr">
        <is>
          <t>CURAL</t>
        </is>
      </c>
      <c r="C2898" t="inlineStr">
        <is>
          <t>SHELVES</t>
        </is>
      </c>
      <c r="D2898" t="inlineStr">
        <is>
          <t>PR6005.O4 Z7271 1988</t>
        </is>
      </c>
      <c r="E2898" t="inlineStr">
        <is>
          <t>0                      PR 6005000O  4                  Z  7271        1988</t>
        </is>
      </c>
      <c r="F2898" t="inlineStr">
        <is>
          <t>Interweaving patterns in the works of Joseph Conrad / by Gail Fraser.</t>
        </is>
      </c>
      <c r="H2898" t="inlineStr">
        <is>
          <t>No</t>
        </is>
      </c>
      <c r="I2898" t="inlineStr">
        <is>
          <t>1</t>
        </is>
      </c>
      <c r="J2898" t="inlineStr">
        <is>
          <t>No</t>
        </is>
      </c>
      <c r="K2898" t="inlineStr">
        <is>
          <t>No</t>
        </is>
      </c>
      <c r="L2898" t="inlineStr">
        <is>
          <t>0</t>
        </is>
      </c>
      <c r="M2898" t="inlineStr">
        <is>
          <t>Fraser, Gail, 1939-</t>
        </is>
      </c>
      <c r="N2898" t="inlineStr">
        <is>
          <t>Ann Arbor, Mich. : UMI Research Press, c1988.</t>
        </is>
      </c>
      <c r="O2898" t="inlineStr">
        <is>
          <t>1988</t>
        </is>
      </c>
      <c r="Q2898" t="inlineStr">
        <is>
          <t>eng</t>
        </is>
      </c>
      <c r="R2898" t="inlineStr">
        <is>
          <t>miu</t>
        </is>
      </c>
      <c r="S2898" t="inlineStr">
        <is>
          <t>Studies in modern literature ; no. 81</t>
        </is>
      </c>
      <c r="T2898" t="inlineStr">
        <is>
          <t xml:space="preserve">PR </t>
        </is>
      </c>
      <c r="U2898" t="n">
        <v>4</v>
      </c>
      <c r="V2898" t="n">
        <v>4</v>
      </c>
      <c r="W2898" t="inlineStr">
        <is>
          <t>1994-04-26</t>
        </is>
      </c>
      <c r="X2898" t="inlineStr">
        <is>
          <t>1994-04-26</t>
        </is>
      </c>
      <c r="Y2898" t="inlineStr">
        <is>
          <t>1992-07-02</t>
        </is>
      </c>
      <c r="Z2898" t="inlineStr">
        <is>
          <t>1992-07-02</t>
        </is>
      </c>
      <c r="AA2898" t="n">
        <v>408</v>
      </c>
      <c r="AB2898" t="n">
        <v>329</v>
      </c>
      <c r="AC2898" t="n">
        <v>335</v>
      </c>
      <c r="AD2898" t="n">
        <v>2</v>
      </c>
      <c r="AE2898" t="n">
        <v>2</v>
      </c>
      <c r="AF2898" t="n">
        <v>18</v>
      </c>
      <c r="AG2898" t="n">
        <v>19</v>
      </c>
      <c r="AH2898" t="n">
        <v>6</v>
      </c>
      <c r="AI2898" t="n">
        <v>6</v>
      </c>
      <c r="AJ2898" t="n">
        <v>6</v>
      </c>
      <c r="AK2898" t="n">
        <v>6</v>
      </c>
      <c r="AL2898" t="n">
        <v>11</v>
      </c>
      <c r="AM2898" t="n">
        <v>12</v>
      </c>
      <c r="AN2898" t="n">
        <v>1</v>
      </c>
      <c r="AO2898" t="n">
        <v>1</v>
      </c>
      <c r="AP2898" t="n">
        <v>0</v>
      </c>
      <c r="AQ2898" t="n">
        <v>0</v>
      </c>
      <c r="AR2898" t="inlineStr">
        <is>
          <t>No</t>
        </is>
      </c>
      <c r="AS2898" t="inlineStr">
        <is>
          <t>Yes</t>
        </is>
      </c>
      <c r="AT2898">
        <f>HYPERLINK("http://catalog.hathitrust.org/Record/001072961","HathiTrust Record")</f>
        <v/>
      </c>
      <c r="AU2898">
        <f>HYPERLINK("https://creighton-primo.hosted.exlibrisgroup.com/primo-explore/search?tab=default_tab&amp;search_scope=EVERYTHING&amp;vid=01CRU&amp;lang=en_US&amp;offset=0&amp;query=any,contains,991001120789702656","Catalog Record")</f>
        <v/>
      </c>
      <c r="AV2898">
        <f>HYPERLINK("http://www.worldcat.org/oclc/16580515","WorldCat Record")</f>
        <v/>
      </c>
      <c r="AW2898" t="inlineStr">
        <is>
          <t>12457583:eng</t>
        </is>
      </c>
      <c r="AX2898" t="inlineStr">
        <is>
          <t>16580515</t>
        </is>
      </c>
      <c r="AY2898" t="inlineStr">
        <is>
          <t>991001120789702656</t>
        </is>
      </c>
      <c r="AZ2898" t="inlineStr">
        <is>
          <t>991001120789702656</t>
        </is>
      </c>
      <c r="BA2898" t="inlineStr">
        <is>
          <t>2260358360002656</t>
        </is>
      </c>
      <c r="BB2898" t="inlineStr">
        <is>
          <t>BOOK</t>
        </is>
      </c>
      <c r="BD2898" t="inlineStr">
        <is>
          <t>9780835718288</t>
        </is>
      </c>
      <c r="BE2898" t="inlineStr">
        <is>
          <t>32285001147130</t>
        </is>
      </c>
      <c r="BF2898" t="inlineStr">
        <is>
          <t>893496833</t>
        </is>
      </c>
    </row>
    <row r="2899">
      <c r="A2899" t="inlineStr">
        <is>
          <t>No</t>
        </is>
      </c>
      <c r="B2899" t="inlineStr">
        <is>
          <t>CURAL</t>
        </is>
      </c>
      <c r="C2899" t="inlineStr">
        <is>
          <t>SHELVES</t>
        </is>
      </c>
      <c r="D2899" t="inlineStr">
        <is>
          <t>PR6005.O4 Z735</t>
        </is>
      </c>
      <c r="E2899" t="inlineStr">
        <is>
          <t>0                      PR 6005000O  4                  Z  735</t>
        </is>
      </c>
      <c r="F2899" t="inlineStr">
        <is>
          <t>Conrad's short fiction.</t>
        </is>
      </c>
      <c r="H2899" t="inlineStr">
        <is>
          <t>No</t>
        </is>
      </c>
      <c r="I2899" t="inlineStr">
        <is>
          <t>1</t>
        </is>
      </c>
      <c r="J2899" t="inlineStr">
        <is>
          <t>No</t>
        </is>
      </c>
      <c r="K2899" t="inlineStr">
        <is>
          <t>No</t>
        </is>
      </c>
      <c r="L2899" t="inlineStr">
        <is>
          <t>0</t>
        </is>
      </c>
      <c r="M2899" t="inlineStr">
        <is>
          <t>Graver, Lawrence, 1931-</t>
        </is>
      </c>
      <c r="N2899" t="inlineStr">
        <is>
          <t>Berkeley : University of California Press, 1969.</t>
        </is>
      </c>
      <c r="O2899" t="inlineStr">
        <is>
          <t>1969</t>
        </is>
      </c>
      <c r="Q2899" t="inlineStr">
        <is>
          <t>eng</t>
        </is>
      </c>
      <c r="R2899" t="inlineStr">
        <is>
          <t>cau</t>
        </is>
      </c>
      <c r="T2899" t="inlineStr">
        <is>
          <t xml:space="preserve">PR </t>
        </is>
      </c>
      <c r="U2899" t="n">
        <v>4</v>
      </c>
      <c r="V2899" t="n">
        <v>4</v>
      </c>
      <c r="W2899" t="inlineStr">
        <is>
          <t>1998-08-30</t>
        </is>
      </c>
      <c r="X2899" t="inlineStr">
        <is>
          <t>1998-08-30</t>
        </is>
      </c>
      <c r="Y2899" t="inlineStr">
        <is>
          <t>1992-05-04</t>
        </is>
      </c>
      <c r="Z2899" t="inlineStr">
        <is>
          <t>1992-05-04</t>
        </is>
      </c>
      <c r="AA2899" t="n">
        <v>1139</v>
      </c>
      <c r="AB2899" t="n">
        <v>996</v>
      </c>
      <c r="AC2899" t="n">
        <v>1015</v>
      </c>
      <c r="AD2899" t="n">
        <v>9</v>
      </c>
      <c r="AE2899" t="n">
        <v>9</v>
      </c>
      <c r="AF2899" t="n">
        <v>47</v>
      </c>
      <c r="AG2899" t="n">
        <v>47</v>
      </c>
      <c r="AH2899" t="n">
        <v>18</v>
      </c>
      <c r="AI2899" t="n">
        <v>18</v>
      </c>
      <c r="AJ2899" t="n">
        <v>11</v>
      </c>
      <c r="AK2899" t="n">
        <v>11</v>
      </c>
      <c r="AL2899" t="n">
        <v>24</v>
      </c>
      <c r="AM2899" t="n">
        <v>24</v>
      </c>
      <c r="AN2899" t="n">
        <v>7</v>
      </c>
      <c r="AO2899" t="n">
        <v>7</v>
      </c>
      <c r="AP2899" t="n">
        <v>0</v>
      </c>
      <c r="AQ2899" t="n">
        <v>0</v>
      </c>
      <c r="AR2899" t="inlineStr">
        <is>
          <t>No</t>
        </is>
      </c>
      <c r="AS2899" t="inlineStr">
        <is>
          <t>Yes</t>
        </is>
      </c>
      <c r="AT2899">
        <f>HYPERLINK("http://catalog.hathitrust.org/Record/000668242","HathiTrust Record")</f>
        <v/>
      </c>
      <c r="AU2899">
        <f>HYPERLINK("https://creighton-primo.hosted.exlibrisgroup.com/primo-explore/search?tab=default_tab&amp;search_scope=EVERYTHING&amp;vid=01CRU&amp;lang=en_US&amp;offset=0&amp;query=any,contains,991001293469702656","Catalog Record")</f>
        <v/>
      </c>
      <c r="AV2899">
        <f>HYPERLINK("http://www.worldcat.org/oclc/218606","WorldCat Record")</f>
        <v/>
      </c>
      <c r="AW2899" t="inlineStr">
        <is>
          <t>1315101:eng</t>
        </is>
      </c>
      <c r="AX2899" t="inlineStr">
        <is>
          <t>218606</t>
        </is>
      </c>
      <c r="AY2899" t="inlineStr">
        <is>
          <t>991001293469702656</t>
        </is>
      </c>
      <c r="AZ2899" t="inlineStr">
        <is>
          <t>991001293469702656</t>
        </is>
      </c>
      <c r="BA2899" t="inlineStr">
        <is>
          <t>2258754360002656</t>
        </is>
      </c>
      <c r="BB2899" t="inlineStr">
        <is>
          <t>BOOK</t>
        </is>
      </c>
      <c r="BE2899" t="inlineStr">
        <is>
          <t>32285001092195</t>
        </is>
      </c>
      <c r="BF2899" t="inlineStr">
        <is>
          <t>893785011</t>
        </is>
      </c>
    </row>
    <row r="2900">
      <c r="A2900" t="inlineStr">
        <is>
          <t>No</t>
        </is>
      </c>
      <c r="B2900" t="inlineStr">
        <is>
          <t>CURAL</t>
        </is>
      </c>
      <c r="C2900" t="inlineStr">
        <is>
          <t>SHELVES</t>
        </is>
      </c>
      <c r="D2900" t="inlineStr">
        <is>
          <t>PR6005.O4 Z743</t>
        </is>
      </c>
      <c r="E2900" t="inlineStr">
        <is>
          <t>0                      PR 6005000O  4                  Z  743</t>
        </is>
      </c>
      <c r="F2900" t="inlineStr">
        <is>
          <t>The political novels of Joseph Conrad : a critical study.</t>
        </is>
      </c>
      <c r="H2900" t="inlineStr">
        <is>
          <t>No</t>
        </is>
      </c>
      <c r="I2900" t="inlineStr">
        <is>
          <t>1</t>
        </is>
      </c>
      <c r="J2900" t="inlineStr">
        <is>
          <t>No</t>
        </is>
      </c>
      <c r="K2900" t="inlineStr">
        <is>
          <t>No</t>
        </is>
      </c>
      <c r="L2900" t="inlineStr">
        <is>
          <t>0</t>
        </is>
      </c>
      <c r="M2900" t="inlineStr">
        <is>
          <t>Hay, Eloise Knapp.</t>
        </is>
      </c>
      <c r="N2900" t="inlineStr">
        <is>
          <t>Chicago : University of Chicago Press, [1963]</t>
        </is>
      </c>
      <c r="O2900" t="inlineStr">
        <is>
          <t>1963</t>
        </is>
      </c>
      <c r="Q2900" t="inlineStr">
        <is>
          <t>eng</t>
        </is>
      </c>
      <c r="R2900" t="inlineStr">
        <is>
          <t>ilu</t>
        </is>
      </c>
      <c r="T2900" t="inlineStr">
        <is>
          <t xml:space="preserve">PR </t>
        </is>
      </c>
      <c r="U2900" t="n">
        <v>5</v>
      </c>
      <c r="V2900" t="n">
        <v>5</v>
      </c>
      <c r="W2900" t="inlineStr">
        <is>
          <t>1997-02-28</t>
        </is>
      </c>
      <c r="X2900" t="inlineStr">
        <is>
          <t>1997-02-28</t>
        </is>
      </c>
      <c r="Y2900" t="inlineStr">
        <is>
          <t>1992-05-04</t>
        </is>
      </c>
      <c r="Z2900" t="inlineStr">
        <is>
          <t>1992-05-04</t>
        </is>
      </c>
      <c r="AA2900" t="n">
        <v>1043</v>
      </c>
      <c r="AB2900" t="n">
        <v>895</v>
      </c>
      <c r="AC2900" t="n">
        <v>927</v>
      </c>
      <c r="AD2900" t="n">
        <v>9</v>
      </c>
      <c r="AE2900" t="n">
        <v>9</v>
      </c>
      <c r="AF2900" t="n">
        <v>40</v>
      </c>
      <c r="AG2900" t="n">
        <v>42</v>
      </c>
      <c r="AH2900" t="n">
        <v>18</v>
      </c>
      <c r="AI2900" t="n">
        <v>20</v>
      </c>
      <c r="AJ2900" t="n">
        <v>7</v>
      </c>
      <c r="AK2900" t="n">
        <v>7</v>
      </c>
      <c r="AL2900" t="n">
        <v>19</v>
      </c>
      <c r="AM2900" t="n">
        <v>19</v>
      </c>
      <c r="AN2900" t="n">
        <v>8</v>
      </c>
      <c r="AO2900" t="n">
        <v>8</v>
      </c>
      <c r="AP2900" t="n">
        <v>0</v>
      </c>
      <c r="AQ2900" t="n">
        <v>0</v>
      </c>
      <c r="AR2900" t="inlineStr">
        <is>
          <t>No</t>
        </is>
      </c>
      <c r="AS2900" t="inlineStr">
        <is>
          <t>No</t>
        </is>
      </c>
      <c r="AT2900">
        <f>HYPERLINK("http://catalog.hathitrust.org/Record/000668001","HathiTrust Record")</f>
        <v/>
      </c>
      <c r="AU2900">
        <f>HYPERLINK("https://creighton-primo.hosted.exlibrisgroup.com/primo-explore/search?tab=default_tab&amp;search_scope=EVERYTHING&amp;vid=01CRU&amp;lang=en_US&amp;offset=0&amp;query=any,contains,991002492219702656","Catalog Record")</f>
        <v/>
      </c>
      <c r="AV2900">
        <f>HYPERLINK("http://www.worldcat.org/oclc/362878","WorldCat Record")</f>
        <v/>
      </c>
      <c r="AW2900" t="inlineStr">
        <is>
          <t>1417756:eng</t>
        </is>
      </c>
      <c r="AX2900" t="inlineStr">
        <is>
          <t>362878</t>
        </is>
      </c>
      <c r="AY2900" t="inlineStr">
        <is>
          <t>991002492219702656</t>
        </is>
      </c>
      <c r="AZ2900" t="inlineStr">
        <is>
          <t>991002492219702656</t>
        </is>
      </c>
      <c r="BA2900" t="inlineStr">
        <is>
          <t>2262418390002656</t>
        </is>
      </c>
      <c r="BB2900" t="inlineStr">
        <is>
          <t>BOOK</t>
        </is>
      </c>
      <c r="BE2900" t="inlineStr">
        <is>
          <t>32285001092187</t>
        </is>
      </c>
      <c r="BF2900" t="inlineStr">
        <is>
          <t>893341507</t>
        </is>
      </c>
    </row>
    <row r="2901">
      <c r="A2901" t="inlineStr">
        <is>
          <t>No</t>
        </is>
      </c>
      <c r="B2901" t="inlineStr">
        <is>
          <t>CURAL</t>
        </is>
      </c>
      <c r="C2901" t="inlineStr">
        <is>
          <t>SHELVES</t>
        </is>
      </c>
      <c r="D2901" t="inlineStr">
        <is>
          <t>PR6005.O4 Z7447 1984</t>
        </is>
      </c>
      <c r="E2901" t="inlineStr">
        <is>
          <t>0                      PR 6005000O  4                  Z  7447        1984</t>
        </is>
      </c>
      <c r="F2901" t="inlineStr">
        <is>
          <t>Theories of action in Conrad / by Francis A. Hubbard.</t>
        </is>
      </c>
      <c r="H2901" t="inlineStr">
        <is>
          <t>No</t>
        </is>
      </c>
      <c r="I2901" t="inlineStr">
        <is>
          <t>1</t>
        </is>
      </c>
      <c r="J2901" t="inlineStr">
        <is>
          <t>No</t>
        </is>
      </c>
      <c r="K2901" t="inlineStr">
        <is>
          <t>No</t>
        </is>
      </c>
      <c r="L2901" t="inlineStr">
        <is>
          <t>0</t>
        </is>
      </c>
      <c r="M2901" t="inlineStr">
        <is>
          <t>Hubbard, Francis A. (Francis Alley), 1944-</t>
        </is>
      </c>
      <c r="N2901" t="inlineStr">
        <is>
          <t>Ann Arbor, Mich. : UMI Research Press, c1984.</t>
        </is>
      </c>
      <c r="O2901" t="inlineStr">
        <is>
          <t>1984</t>
        </is>
      </c>
      <c r="Q2901" t="inlineStr">
        <is>
          <t>eng</t>
        </is>
      </c>
      <c r="R2901" t="inlineStr">
        <is>
          <t>miu</t>
        </is>
      </c>
      <c r="S2901" t="inlineStr">
        <is>
          <t>Studies in modern literature ; no. 40</t>
        </is>
      </c>
      <c r="T2901" t="inlineStr">
        <is>
          <t xml:space="preserve">PR </t>
        </is>
      </c>
      <c r="U2901" t="n">
        <v>5</v>
      </c>
      <c r="V2901" t="n">
        <v>5</v>
      </c>
      <c r="W2901" t="inlineStr">
        <is>
          <t>2001-04-21</t>
        </is>
      </c>
      <c r="X2901" t="inlineStr">
        <is>
          <t>2001-04-21</t>
        </is>
      </c>
      <c r="Y2901" t="inlineStr">
        <is>
          <t>1992-04-22</t>
        </is>
      </c>
      <c r="Z2901" t="inlineStr">
        <is>
          <t>1992-04-22</t>
        </is>
      </c>
      <c r="AA2901" t="n">
        <v>313</v>
      </c>
      <c r="AB2901" t="n">
        <v>248</v>
      </c>
      <c r="AC2901" t="n">
        <v>250</v>
      </c>
      <c r="AD2901" t="n">
        <v>4</v>
      </c>
      <c r="AE2901" t="n">
        <v>4</v>
      </c>
      <c r="AF2901" t="n">
        <v>15</v>
      </c>
      <c r="AG2901" t="n">
        <v>15</v>
      </c>
      <c r="AH2901" t="n">
        <v>5</v>
      </c>
      <c r="AI2901" t="n">
        <v>5</v>
      </c>
      <c r="AJ2901" t="n">
        <v>3</v>
      </c>
      <c r="AK2901" t="n">
        <v>3</v>
      </c>
      <c r="AL2901" t="n">
        <v>9</v>
      </c>
      <c r="AM2901" t="n">
        <v>9</v>
      </c>
      <c r="AN2901" t="n">
        <v>3</v>
      </c>
      <c r="AO2901" t="n">
        <v>3</v>
      </c>
      <c r="AP2901" t="n">
        <v>0</v>
      </c>
      <c r="AQ2901" t="n">
        <v>0</v>
      </c>
      <c r="AR2901" t="inlineStr">
        <is>
          <t>No</t>
        </is>
      </c>
      <c r="AS2901" t="inlineStr">
        <is>
          <t>Yes</t>
        </is>
      </c>
      <c r="AT2901">
        <f>HYPERLINK("http://catalog.hathitrust.org/Record/000648342","HathiTrust Record")</f>
        <v/>
      </c>
      <c r="AU2901">
        <f>HYPERLINK("https://creighton-primo.hosted.exlibrisgroup.com/primo-explore/search?tab=default_tab&amp;search_scope=EVERYTHING&amp;vid=01CRU&amp;lang=en_US&amp;offset=0&amp;query=any,contains,991000454069702656","Catalog Record")</f>
        <v/>
      </c>
      <c r="AV2901">
        <f>HYPERLINK("http://www.worldcat.org/oclc/10912846","WorldCat Record")</f>
        <v/>
      </c>
      <c r="AW2901" t="inlineStr">
        <is>
          <t>3035929:eng</t>
        </is>
      </c>
      <c r="AX2901" t="inlineStr">
        <is>
          <t>10912846</t>
        </is>
      </c>
      <c r="AY2901" t="inlineStr">
        <is>
          <t>991000454069702656</t>
        </is>
      </c>
      <c r="AZ2901" t="inlineStr">
        <is>
          <t>991000454069702656</t>
        </is>
      </c>
      <c r="BA2901" t="inlineStr">
        <is>
          <t>2259436350002656</t>
        </is>
      </c>
      <c r="BB2901" t="inlineStr">
        <is>
          <t>BOOK</t>
        </is>
      </c>
      <c r="BD2901" t="inlineStr">
        <is>
          <t>9780835715881</t>
        </is>
      </c>
      <c r="BE2901" t="inlineStr">
        <is>
          <t>32285001085181</t>
        </is>
      </c>
      <c r="BF2901" t="inlineStr">
        <is>
          <t>893521676</t>
        </is>
      </c>
    </row>
    <row r="2902">
      <c r="A2902" t="inlineStr">
        <is>
          <t>No</t>
        </is>
      </c>
      <c r="B2902" t="inlineStr">
        <is>
          <t>CURAL</t>
        </is>
      </c>
      <c r="C2902" t="inlineStr">
        <is>
          <t>SHELVES</t>
        </is>
      </c>
      <c r="D2902" t="inlineStr">
        <is>
          <t>PR6005.O4 Z749</t>
        </is>
      </c>
      <c r="E2902" t="inlineStr">
        <is>
          <t>0                      PR 6005000O  4                  Z  749</t>
        </is>
      </c>
      <c r="F2902" t="inlineStr">
        <is>
          <t>Conrad's models of mind.</t>
        </is>
      </c>
      <c r="H2902" t="inlineStr">
        <is>
          <t>No</t>
        </is>
      </c>
      <c r="I2902" t="inlineStr">
        <is>
          <t>1</t>
        </is>
      </c>
      <c r="J2902" t="inlineStr">
        <is>
          <t>No</t>
        </is>
      </c>
      <c r="K2902" t="inlineStr">
        <is>
          <t>No</t>
        </is>
      </c>
      <c r="L2902" t="inlineStr">
        <is>
          <t>0</t>
        </is>
      </c>
      <c r="M2902" t="inlineStr">
        <is>
          <t>Johnson, Bruce, 1933-</t>
        </is>
      </c>
      <c r="N2902" t="inlineStr">
        <is>
          <t>Minneapolis : University of Minnesota Press, [1971]</t>
        </is>
      </c>
      <c r="O2902" t="inlineStr">
        <is>
          <t>1971</t>
        </is>
      </c>
      <c r="Q2902" t="inlineStr">
        <is>
          <t>eng</t>
        </is>
      </c>
      <c r="R2902" t="inlineStr">
        <is>
          <t>mnu</t>
        </is>
      </c>
      <c r="T2902" t="inlineStr">
        <is>
          <t xml:space="preserve">PR </t>
        </is>
      </c>
      <c r="U2902" t="n">
        <v>5</v>
      </c>
      <c r="V2902" t="n">
        <v>5</v>
      </c>
      <c r="W2902" t="inlineStr">
        <is>
          <t>1997-10-14</t>
        </is>
      </c>
      <c r="X2902" t="inlineStr">
        <is>
          <t>1997-10-14</t>
        </is>
      </c>
      <c r="Y2902" t="inlineStr">
        <is>
          <t>1992-04-23</t>
        </is>
      </c>
      <c r="Z2902" t="inlineStr">
        <is>
          <t>1992-04-23</t>
        </is>
      </c>
      <c r="AA2902" t="n">
        <v>687</v>
      </c>
      <c r="AB2902" t="n">
        <v>550</v>
      </c>
      <c r="AC2902" t="n">
        <v>554</v>
      </c>
      <c r="AD2902" t="n">
        <v>5</v>
      </c>
      <c r="AE2902" t="n">
        <v>5</v>
      </c>
      <c r="AF2902" t="n">
        <v>25</v>
      </c>
      <c r="AG2902" t="n">
        <v>25</v>
      </c>
      <c r="AH2902" t="n">
        <v>8</v>
      </c>
      <c r="AI2902" t="n">
        <v>8</v>
      </c>
      <c r="AJ2902" t="n">
        <v>4</v>
      </c>
      <c r="AK2902" t="n">
        <v>4</v>
      </c>
      <c r="AL2902" t="n">
        <v>13</v>
      </c>
      <c r="AM2902" t="n">
        <v>13</v>
      </c>
      <c r="AN2902" t="n">
        <v>4</v>
      </c>
      <c r="AO2902" t="n">
        <v>4</v>
      </c>
      <c r="AP2902" t="n">
        <v>0</v>
      </c>
      <c r="AQ2902" t="n">
        <v>0</v>
      </c>
      <c r="AR2902" t="inlineStr">
        <is>
          <t>No</t>
        </is>
      </c>
      <c r="AS2902" t="inlineStr">
        <is>
          <t>No</t>
        </is>
      </c>
      <c r="AU2902">
        <f>HYPERLINK("https://creighton-primo.hosted.exlibrisgroup.com/primo-explore/search?tab=default_tab&amp;search_scope=EVERYTHING&amp;vid=01CRU&amp;lang=en_US&amp;offset=0&amp;query=any,contains,991000873379702656","Catalog Record")</f>
        <v/>
      </c>
      <c r="AV2902">
        <f>HYPERLINK("http://www.worldcat.org/oclc/151529","WorldCat Record")</f>
        <v/>
      </c>
      <c r="AW2902" t="inlineStr">
        <is>
          <t>1172330:eng</t>
        </is>
      </c>
      <c r="AX2902" t="inlineStr">
        <is>
          <t>151529</t>
        </is>
      </c>
      <c r="AY2902" t="inlineStr">
        <is>
          <t>991000873379702656</t>
        </is>
      </c>
      <c r="AZ2902" t="inlineStr">
        <is>
          <t>991000873379702656</t>
        </is>
      </c>
      <c r="BA2902" t="inlineStr">
        <is>
          <t>2272329090002656</t>
        </is>
      </c>
      <c r="BB2902" t="inlineStr">
        <is>
          <t>BOOK</t>
        </is>
      </c>
      <c r="BD2902" t="inlineStr">
        <is>
          <t>9780816606153</t>
        </is>
      </c>
      <c r="BE2902" t="inlineStr">
        <is>
          <t>32285001085173</t>
        </is>
      </c>
      <c r="BF2902" t="inlineStr">
        <is>
          <t>893321436</t>
        </is>
      </c>
    </row>
    <row r="2903">
      <c r="A2903" t="inlineStr">
        <is>
          <t>No</t>
        </is>
      </c>
      <c r="B2903" t="inlineStr">
        <is>
          <t>CURAL</t>
        </is>
      </c>
      <c r="C2903" t="inlineStr">
        <is>
          <t>SHELVES</t>
        </is>
      </c>
      <c r="D2903" t="inlineStr">
        <is>
          <t>PR6005.O4 Z7493 1985</t>
        </is>
      </c>
      <c r="E2903" t="inlineStr">
        <is>
          <t>0                      PR 6005000O  4                  Z  7493        1985</t>
        </is>
      </c>
      <c r="F2903" t="inlineStr">
        <is>
          <t>Conrad's heroism : a paradise lost / by Michael P. Jones.</t>
        </is>
      </c>
      <c r="H2903" t="inlineStr">
        <is>
          <t>No</t>
        </is>
      </c>
      <c r="I2903" t="inlineStr">
        <is>
          <t>1</t>
        </is>
      </c>
      <c r="J2903" t="inlineStr">
        <is>
          <t>No</t>
        </is>
      </c>
      <c r="K2903" t="inlineStr">
        <is>
          <t>No</t>
        </is>
      </c>
      <c r="L2903" t="inlineStr">
        <is>
          <t>0</t>
        </is>
      </c>
      <c r="M2903" t="inlineStr">
        <is>
          <t>Jones, Michael P. (Michael Pusey), 1948-</t>
        </is>
      </c>
      <c r="N2903" t="inlineStr">
        <is>
          <t>Ann Arbor, Mich. : UMI Research Press, c1985.</t>
        </is>
      </c>
      <c r="O2903" t="inlineStr">
        <is>
          <t>1985</t>
        </is>
      </c>
      <c r="Q2903" t="inlineStr">
        <is>
          <t>eng</t>
        </is>
      </c>
      <c r="R2903" t="inlineStr">
        <is>
          <t>miu</t>
        </is>
      </c>
      <c r="S2903" t="inlineStr">
        <is>
          <t>Studies in modern literature ; no. 43</t>
        </is>
      </c>
      <c r="T2903" t="inlineStr">
        <is>
          <t xml:space="preserve">PR </t>
        </is>
      </c>
      <c r="U2903" t="n">
        <v>1</v>
      </c>
      <c r="V2903" t="n">
        <v>1</v>
      </c>
      <c r="W2903" t="inlineStr">
        <is>
          <t>1992-04-08</t>
        </is>
      </c>
      <c r="X2903" t="inlineStr">
        <is>
          <t>1992-04-08</t>
        </is>
      </c>
      <c r="Y2903" t="inlineStr">
        <is>
          <t>1991-12-13</t>
        </is>
      </c>
      <c r="Z2903" t="inlineStr">
        <is>
          <t>1991-12-13</t>
        </is>
      </c>
      <c r="AA2903" t="n">
        <v>543</v>
      </c>
      <c r="AB2903" t="n">
        <v>452</v>
      </c>
      <c r="AC2903" t="n">
        <v>465</v>
      </c>
      <c r="AD2903" t="n">
        <v>4</v>
      </c>
      <c r="AE2903" t="n">
        <v>4</v>
      </c>
      <c r="AF2903" t="n">
        <v>27</v>
      </c>
      <c r="AG2903" t="n">
        <v>27</v>
      </c>
      <c r="AH2903" t="n">
        <v>8</v>
      </c>
      <c r="AI2903" t="n">
        <v>8</v>
      </c>
      <c r="AJ2903" t="n">
        <v>6</v>
      </c>
      <c r="AK2903" t="n">
        <v>6</v>
      </c>
      <c r="AL2903" t="n">
        <v>16</v>
      </c>
      <c r="AM2903" t="n">
        <v>16</v>
      </c>
      <c r="AN2903" t="n">
        <v>3</v>
      </c>
      <c r="AO2903" t="n">
        <v>3</v>
      </c>
      <c r="AP2903" t="n">
        <v>0</v>
      </c>
      <c r="AQ2903" t="n">
        <v>0</v>
      </c>
      <c r="AR2903" t="inlineStr">
        <is>
          <t>No</t>
        </is>
      </c>
      <c r="AS2903" t="inlineStr">
        <is>
          <t>Yes</t>
        </is>
      </c>
      <c r="AT2903">
        <f>HYPERLINK("http://catalog.hathitrust.org/Record/000574134","HathiTrust Record")</f>
        <v/>
      </c>
      <c r="AU2903">
        <f>HYPERLINK("https://creighton-primo.hosted.exlibrisgroup.com/primo-explore/search?tab=default_tab&amp;search_scope=EVERYTHING&amp;vid=01CRU&amp;lang=en_US&amp;offset=0&amp;query=any,contains,991000454029702656","Catalog Record")</f>
        <v/>
      </c>
      <c r="AV2903">
        <f>HYPERLINK("http://www.worldcat.org/oclc/10912817","WorldCat Record")</f>
        <v/>
      </c>
      <c r="AW2903" t="inlineStr">
        <is>
          <t>365147915:eng</t>
        </is>
      </c>
      <c r="AX2903" t="inlineStr">
        <is>
          <t>10912817</t>
        </is>
      </c>
      <c r="AY2903" t="inlineStr">
        <is>
          <t>991000454029702656</t>
        </is>
      </c>
      <c r="AZ2903" t="inlineStr">
        <is>
          <t>991000454029702656</t>
        </is>
      </c>
      <c r="BA2903" t="inlineStr">
        <is>
          <t>2259478760002656</t>
        </is>
      </c>
      <c r="BB2903" t="inlineStr">
        <is>
          <t>BOOK</t>
        </is>
      </c>
      <c r="BD2903" t="inlineStr">
        <is>
          <t>9780835715966</t>
        </is>
      </c>
      <c r="BE2903" t="inlineStr">
        <is>
          <t>32285000895804</t>
        </is>
      </c>
      <c r="BF2903" t="inlineStr">
        <is>
          <t>893802780</t>
        </is>
      </c>
    </row>
    <row r="2904">
      <c r="A2904" t="inlineStr">
        <is>
          <t>No</t>
        </is>
      </c>
      <c r="B2904" t="inlineStr">
        <is>
          <t>CURAL</t>
        </is>
      </c>
      <c r="C2904" t="inlineStr">
        <is>
          <t>SHELVES</t>
        </is>
      </c>
      <c r="D2904" t="inlineStr">
        <is>
          <t>PR6005.O4 Z759</t>
        </is>
      </c>
      <c r="E2904" t="inlineStr">
        <is>
          <t>0                      PR 6005000O  4                  Z  759</t>
        </is>
      </c>
      <c r="F2904" t="inlineStr">
        <is>
          <t>Joseph Conrad : the three lives / by Frederick R. Karl. --</t>
        </is>
      </c>
      <c r="H2904" t="inlineStr">
        <is>
          <t>No</t>
        </is>
      </c>
      <c r="I2904" t="inlineStr">
        <is>
          <t>1</t>
        </is>
      </c>
      <c r="J2904" t="inlineStr">
        <is>
          <t>No</t>
        </is>
      </c>
      <c r="K2904" t="inlineStr">
        <is>
          <t>No</t>
        </is>
      </c>
      <c r="L2904" t="inlineStr">
        <is>
          <t>0</t>
        </is>
      </c>
      <c r="M2904" t="inlineStr">
        <is>
          <t>Karl, Frederick R. (Frederick Robert), 1927-2004.</t>
        </is>
      </c>
      <c r="N2904" t="inlineStr">
        <is>
          <t>New York : Farrar, Straus, and Giroux, 1978.</t>
        </is>
      </c>
      <c r="O2904" t="inlineStr">
        <is>
          <t>1978</t>
        </is>
      </c>
      <c r="P2904" t="inlineStr">
        <is>
          <t>1st ed. --</t>
        </is>
      </c>
      <c r="Q2904" t="inlineStr">
        <is>
          <t>eng</t>
        </is>
      </c>
      <c r="R2904" t="inlineStr">
        <is>
          <t>nyu</t>
        </is>
      </c>
      <c r="T2904" t="inlineStr">
        <is>
          <t xml:space="preserve">PR </t>
        </is>
      </c>
      <c r="U2904" t="n">
        <v>3</v>
      </c>
      <c r="V2904" t="n">
        <v>3</v>
      </c>
      <c r="W2904" t="inlineStr">
        <is>
          <t>2010-04-08</t>
        </is>
      </c>
      <c r="X2904" t="inlineStr">
        <is>
          <t>2010-04-08</t>
        </is>
      </c>
      <c r="Y2904" t="inlineStr">
        <is>
          <t>1992-07-02</t>
        </is>
      </c>
      <c r="Z2904" t="inlineStr">
        <is>
          <t>1992-07-02</t>
        </is>
      </c>
      <c r="AA2904" t="n">
        <v>1373</v>
      </c>
      <c r="AB2904" t="n">
        <v>1262</v>
      </c>
      <c r="AC2904" t="n">
        <v>1327</v>
      </c>
      <c r="AD2904" t="n">
        <v>8</v>
      </c>
      <c r="AE2904" t="n">
        <v>8</v>
      </c>
      <c r="AF2904" t="n">
        <v>43</v>
      </c>
      <c r="AG2904" t="n">
        <v>44</v>
      </c>
      <c r="AH2904" t="n">
        <v>16</v>
      </c>
      <c r="AI2904" t="n">
        <v>17</v>
      </c>
      <c r="AJ2904" t="n">
        <v>11</v>
      </c>
      <c r="AK2904" t="n">
        <v>11</v>
      </c>
      <c r="AL2904" t="n">
        <v>19</v>
      </c>
      <c r="AM2904" t="n">
        <v>20</v>
      </c>
      <c r="AN2904" t="n">
        <v>7</v>
      </c>
      <c r="AO2904" t="n">
        <v>7</v>
      </c>
      <c r="AP2904" t="n">
        <v>0</v>
      </c>
      <c r="AQ2904" t="n">
        <v>0</v>
      </c>
      <c r="AR2904" t="inlineStr">
        <is>
          <t>No</t>
        </is>
      </c>
      <c r="AS2904" t="inlineStr">
        <is>
          <t>No</t>
        </is>
      </c>
      <c r="AU2904">
        <f>HYPERLINK("https://creighton-primo.hosted.exlibrisgroup.com/primo-explore/search?tab=default_tab&amp;search_scope=EVERYTHING&amp;vid=01CRU&amp;lang=en_US&amp;offset=0&amp;query=any,contains,991004594759702656","Catalog Record")</f>
        <v/>
      </c>
      <c r="AV2904">
        <f>HYPERLINK("http://www.worldcat.org/oclc/4136294","WorldCat Record")</f>
        <v/>
      </c>
      <c r="AW2904" t="inlineStr">
        <is>
          <t>450356:eng</t>
        </is>
      </c>
      <c r="AX2904" t="inlineStr">
        <is>
          <t>4136294</t>
        </is>
      </c>
      <c r="AY2904" t="inlineStr">
        <is>
          <t>991004594759702656</t>
        </is>
      </c>
      <c r="AZ2904" t="inlineStr">
        <is>
          <t>991004594759702656</t>
        </is>
      </c>
      <c r="BA2904" t="inlineStr">
        <is>
          <t>2258104350002656</t>
        </is>
      </c>
      <c r="BB2904" t="inlineStr">
        <is>
          <t>BOOK</t>
        </is>
      </c>
      <c r="BD2904" t="inlineStr">
        <is>
          <t>9780374180140</t>
        </is>
      </c>
      <c r="BE2904" t="inlineStr">
        <is>
          <t>32285001147155</t>
        </is>
      </c>
      <c r="BF2904" t="inlineStr">
        <is>
          <t>893436466</t>
        </is>
      </c>
    </row>
    <row r="2905">
      <c r="A2905" t="inlineStr">
        <is>
          <t>No</t>
        </is>
      </c>
      <c r="B2905" t="inlineStr">
        <is>
          <t>CURAL</t>
        </is>
      </c>
      <c r="C2905" t="inlineStr">
        <is>
          <t>SHELVES</t>
        </is>
      </c>
      <c r="D2905" t="inlineStr">
        <is>
          <t>PR6005.O4 Z7646 1984</t>
        </is>
      </c>
      <c r="E2905" t="inlineStr">
        <is>
          <t>0                      PR 6005000O  4                  Z  7646        1984</t>
        </is>
      </c>
      <c r="F2905" t="inlineStr">
        <is>
          <t>Paradox and polarity in the fiction of Joseph Conrad / Stephen K. Land.</t>
        </is>
      </c>
      <c r="H2905" t="inlineStr">
        <is>
          <t>No</t>
        </is>
      </c>
      <c r="I2905" t="inlineStr">
        <is>
          <t>1</t>
        </is>
      </c>
      <c r="J2905" t="inlineStr">
        <is>
          <t>No</t>
        </is>
      </c>
      <c r="K2905" t="inlineStr">
        <is>
          <t>No</t>
        </is>
      </c>
      <c r="L2905" t="inlineStr">
        <is>
          <t>0</t>
        </is>
      </c>
      <c r="M2905" t="inlineStr">
        <is>
          <t>Land, Stephen K.</t>
        </is>
      </c>
      <c r="N2905" t="inlineStr">
        <is>
          <t>New York : St. Martin's Press, c1984.</t>
        </is>
      </c>
      <c r="O2905" t="inlineStr">
        <is>
          <t>1984</t>
        </is>
      </c>
      <c r="Q2905" t="inlineStr">
        <is>
          <t>eng</t>
        </is>
      </c>
      <c r="R2905" t="inlineStr">
        <is>
          <t>nyu</t>
        </is>
      </c>
      <c r="T2905" t="inlineStr">
        <is>
          <t xml:space="preserve">PR </t>
        </is>
      </c>
      <c r="U2905" t="n">
        <v>2</v>
      </c>
      <c r="V2905" t="n">
        <v>2</v>
      </c>
      <c r="W2905" t="inlineStr">
        <is>
          <t>1997-09-23</t>
        </is>
      </c>
      <c r="X2905" t="inlineStr">
        <is>
          <t>1997-09-23</t>
        </is>
      </c>
      <c r="Y2905" t="inlineStr">
        <is>
          <t>1992-07-02</t>
        </is>
      </c>
      <c r="Z2905" t="inlineStr">
        <is>
          <t>1992-07-02</t>
        </is>
      </c>
      <c r="AA2905" t="n">
        <v>317</v>
      </c>
      <c r="AB2905" t="n">
        <v>283</v>
      </c>
      <c r="AC2905" t="n">
        <v>284</v>
      </c>
      <c r="AD2905" t="n">
        <v>2</v>
      </c>
      <c r="AE2905" t="n">
        <v>2</v>
      </c>
      <c r="AF2905" t="n">
        <v>17</v>
      </c>
      <c r="AG2905" t="n">
        <v>17</v>
      </c>
      <c r="AH2905" t="n">
        <v>8</v>
      </c>
      <c r="AI2905" t="n">
        <v>8</v>
      </c>
      <c r="AJ2905" t="n">
        <v>4</v>
      </c>
      <c r="AK2905" t="n">
        <v>4</v>
      </c>
      <c r="AL2905" t="n">
        <v>10</v>
      </c>
      <c r="AM2905" t="n">
        <v>10</v>
      </c>
      <c r="AN2905" t="n">
        <v>1</v>
      </c>
      <c r="AO2905" t="n">
        <v>1</v>
      </c>
      <c r="AP2905" t="n">
        <v>0</v>
      </c>
      <c r="AQ2905" t="n">
        <v>0</v>
      </c>
      <c r="AR2905" t="inlineStr">
        <is>
          <t>No</t>
        </is>
      </c>
      <c r="AS2905" t="inlineStr">
        <is>
          <t>No</t>
        </is>
      </c>
      <c r="AU2905">
        <f>HYPERLINK("https://creighton-primo.hosted.exlibrisgroup.com/primo-explore/search?tab=default_tab&amp;search_scope=EVERYTHING&amp;vid=01CRU&amp;lang=en_US&amp;offset=0&amp;query=any,contains,991000298559702656","Catalog Record")</f>
        <v/>
      </c>
      <c r="AV2905">
        <f>HYPERLINK("http://www.worldcat.org/oclc/10019638","WorldCat Record")</f>
        <v/>
      </c>
      <c r="AW2905" t="inlineStr">
        <is>
          <t>1151216508:eng</t>
        </is>
      </c>
      <c r="AX2905" t="inlineStr">
        <is>
          <t>10019638</t>
        </is>
      </c>
      <c r="AY2905" t="inlineStr">
        <is>
          <t>991000298559702656</t>
        </is>
      </c>
      <c r="AZ2905" t="inlineStr">
        <is>
          <t>991000298559702656</t>
        </is>
      </c>
      <c r="BA2905" t="inlineStr">
        <is>
          <t>2268871060002656</t>
        </is>
      </c>
      <c r="BB2905" t="inlineStr">
        <is>
          <t>BOOK</t>
        </is>
      </c>
      <c r="BD2905" t="inlineStr">
        <is>
          <t>9780312595975</t>
        </is>
      </c>
      <c r="BE2905" t="inlineStr">
        <is>
          <t>32285001147163</t>
        </is>
      </c>
      <c r="BF2905" t="inlineStr">
        <is>
          <t>893243131</t>
        </is>
      </c>
    </row>
    <row r="2906">
      <c r="A2906" t="inlineStr">
        <is>
          <t>No</t>
        </is>
      </c>
      <c r="B2906" t="inlineStr">
        <is>
          <t>CURAL</t>
        </is>
      </c>
      <c r="C2906" t="inlineStr">
        <is>
          <t>SHELVES</t>
        </is>
      </c>
      <c r="D2906" t="inlineStr">
        <is>
          <t>PR6005.O4 Z7664 1989</t>
        </is>
      </c>
      <c r="E2906" t="inlineStr">
        <is>
          <t>0                      PR 6005000O  4                  Z  7664        1989</t>
        </is>
      </c>
      <c r="F2906" t="inlineStr">
        <is>
          <t>Conrad's narrative method / Jakob Lothe.</t>
        </is>
      </c>
      <c r="H2906" t="inlineStr">
        <is>
          <t>No</t>
        </is>
      </c>
      <c r="I2906" t="inlineStr">
        <is>
          <t>1</t>
        </is>
      </c>
      <c r="J2906" t="inlineStr">
        <is>
          <t>No</t>
        </is>
      </c>
      <c r="K2906" t="inlineStr">
        <is>
          <t>No</t>
        </is>
      </c>
      <c r="L2906" t="inlineStr">
        <is>
          <t>0</t>
        </is>
      </c>
      <c r="M2906" t="inlineStr">
        <is>
          <t>Lothe, Jakob.</t>
        </is>
      </c>
      <c r="N2906" t="inlineStr">
        <is>
          <t>Oxford : Clarendon Press ; New York : Oxford University Press, 1989.</t>
        </is>
      </c>
      <c r="O2906" t="inlineStr">
        <is>
          <t>1989</t>
        </is>
      </c>
      <c r="Q2906" t="inlineStr">
        <is>
          <t>eng</t>
        </is>
      </c>
      <c r="R2906" t="inlineStr">
        <is>
          <t>enk</t>
        </is>
      </c>
      <c r="T2906" t="inlineStr">
        <is>
          <t xml:space="preserve">PR </t>
        </is>
      </c>
      <c r="U2906" t="n">
        <v>4</v>
      </c>
      <c r="V2906" t="n">
        <v>4</v>
      </c>
      <c r="W2906" t="inlineStr">
        <is>
          <t>1995-12-02</t>
        </is>
      </c>
      <c r="X2906" t="inlineStr">
        <is>
          <t>1995-12-02</t>
        </is>
      </c>
      <c r="Y2906" t="inlineStr">
        <is>
          <t>1990-02-13</t>
        </is>
      </c>
      <c r="Z2906" t="inlineStr">
        <is>
          <t>1990-02-13</t>
        </is>
      </c>
      <c r="AA2906" t="n">
        <v>435</v>
      </c>
      <c r="AB2906" t="n">
        <v>339</v>
      </c>
      <c r="AC2906" t="n">
        <v>404</v>
      </c>
      <c r="AD2906" t="n">
        <v>3</v>
      </c>
      <c r="AE2906" t="n">
        <v>3</v>
      </c>
      <c r="AF2906" t="n">
        <v>25</v>
      </c>
      <c r="AG2906" t="n">
        <v>26</v>
      </c>
      <c r="AH2906" t="n">
        <v>9</v>
      </c>
      <c r="AI2906" t="n">
        <v>9</v>
      </c>
      <c r="AJ2906" t="n">
        <v>7</v>
      </c>
      <c r="AK2906" t="n">
        <v>8</v>
      </c>
      <c r="AL2906" t="n">
        <v>15</v>
      </c>
      <c r="AM2906" t="n">
        <v>15</v>
      </c>
      <c r="AN2906" t="n">
        <v>2</v>
      </c>
      <c r="AO2906" t="n">
        <v>2</v>
      </c>
      <c r="AP2906" t="n">
        <v>0</v>
      </c>
      <c r="AQ2906" t="n">
        <v>0</v>
      </c>
      <c r="AR2906" t="inlineStr">
        <is>
          <t>No</t>
        </is>
      </c>
      <c r="AS2906" t="inlineStr">
        <is>
          <t>Yes</t>
        </is>
      </c>
      <c r="AT2906">
        <f>HYPERLINK("http://catalog.hathitrust.org/Record/001533316","HathiTrust Record")</f>
        <v/>
      </c>
      <c r="AU2906">
        <f>HYPERLINK("https://creighton-primo.hosted.exlibrisgroup.com/primo-explore/search?tab=default_tab&amp;search_scope=EVERYTHING&amp;vid=01CRU&amp;lang=en_US&amp;offset=0&amp;query=any,contains,991001374329702656","Catalog Record")</f>
        <v/>
      </c>
      <c r="AV2906">
        <f>HYPERLINK("http://www.worldcat.org/oclc/18589801","WorldCat Record")</f>
        <v/>
      </c>
      <c r="AW2906" t="inlineStr">
        <is>
          <t>16304414:eng</t>
        </is>
      </c>
      <c r="AX2906" t="inlineStr">
        <is>
          <t>18589801</t>
        </is>
      </c>
      <c r="AY2906" t="inlineStr">
        <is>
          <t>991001374329702656</t>
        </is>
      </c>
      <c r="AZ2906" t="inlineStr">
        <is>
          <t>991001374329702656</t>
        </is>
      </c>
      <c r="BA2906" t="inlineStr">
        <is>
          <t>2264493380002656</t>
        </is>
      </c>
      <c r="BB2906" t="inlineStr">
        <is>
          <t>BOOK</t>
        </is>
      </c>
      <c r="BD2906" t="inlineStr">
        <is>
          <t>9780198129615</t>
        </is>
      </c>
      <c r="BE2906" t="inlineStr">
        <is>
          <t>32285000037191</t>
        </is>
      </c>
      <c r="BF2906" t="inlineStr">
        <is>
          <t>893509578</t>
        </is>
      </c>
    </row>
    <row r="2907">
      <c r="A2907" t="inlineStr">
        <is>
          <t>No</t>
        </is>
      </c>
      <c r="B2907" t="inlineStr">
        <is>
          <t>CURAL</t>
        </is>
      </c>
      <c r="C2907" t="inlineStr">
        <is>
          <t>SHELVES</t>
        </is>
      </c>
      <c r="D2907" t="inlineStr">
        <is>
          <t>PR6005.O4 Z7842 1966</t>
        </is>
      </c>
      <c r="E2907" t="inlineStr">
        <is>
          <t>0                      PR 6005000O  4                  Z  7842        1966</t>
        </is>
      </c>
      <c r="F2907" t="inlineStr">
        <is>
          <t>Conrad, a collection of critical essays.</t>
        </is>
      </c>
      <c r="H2907" t="inlineStr">
        <is>
          <t>No</t>
        </is>
      </c>
      <c r="I2907" t="inlineStr">
        <is>
          <t>1</t>
        </is>
      </c>
      <c r="J2907" t="inlineStr">
        <is>
          <t>No</t>
        </is>
      </c>
      <c r="K2907" t="inlineStr">
        <is>
          <t>No</t>
        </is>
      </c>
      <c r="L2907" t="inlineStr">
        <is>
          <t>0</t>
        </is>
      </c>
      <c r="M2907" t="inlineStr">
        <is>
          <t>Mudrick, Marvin editor.</t>
        </is>
      </c>
      <c r="N2907" t="inlineStr">
        <is>
          <t>Englewood Cliffs, N.J. : Prentice-Hall, [1966]</t>
        </is>
      </c>
      <c r="O2907" t="inlineStr">
        <is>
          <t>1966</t>
        </is>
      </c>
      <c r="Q2907" t="inlineStr">
        <is>
          <t>eng</t>
        </is>
      </c>
      <c r="R2907" t="inlineStr">
        <is>
          <t>nju</t>
        </is>
      </c>
      <c r="S2907" t="inlineStr">
        <is>
          <t>A Spectrum book: Twentieth century views</t>
        </is>
      </c>
      <c r="T2907" t="inlineStr">
        <is>
          <t xml:space="preserve">PR </t>
        </is>
      </c>
      <c r="U2907" t="n">
        <v>4</v>
      </c>
      <c r="V2907" t="n">
        <v>4</v>
      </c>
      <c r="W2907" t="inlineStr">
        <is>
          <t>1998-08-31</t>
        </is>
      </c>
      <c r="X2907" t="inlineStr">
        <is>
          <t>1998-08-31</t>
        </is>
      </c>
      <c r="Y2907" t="inlineStr">
        <is>
          <t>1991-12-16</t>
        </is>
      </c>
      <c r="Z2907" t="inlineStr">
        <is>
          <t>1991-12-16</t>
        </is>
      </c>
      <c r="AA2907" t="n">
        <v>2187</v>
      </c>
      <c r="AB2907" t="n">
        <v>1907</v>
      </c>
      <c r="AC2907" t="n">
        <v>1915</v>
      </c>
      <c r="AD2907" t="n">
        <v>15</v>
      </c>
      <c r="AE2907" t="n">
        <v>15</v>
      </c>
      <c r="AF2907" t="n">
        <v>57</v>
      </c>
      <c r="AG2907" t="n">
        <v>57</v>
      </c>
      <c r="AH2907" t="n">
        <v>25</v>
      </c>
      <c r="AI2907" t="n">
        <v>25</v>
      </c>
      <c r="AJ2907" t="n">
        <v>8</v>
      </c>
      <c r="AK2907" t="n">
        <v>8</v>
      </c>
      <c r="AL2907" t="n">
        <v>25</v>
      </c>
      <c r="AM2907" t="n">
        <v>25</v>
      </c>
      <c r="AN2907" t="n">
        <v>11</v>
      </c>
      <c r="AO2907" t="n">
        <v>11</v>
      </c>
      <c r="AP2907" t="n">
        <v>0</v>
      </c>
      <c r="AQ2907" t="n">
        <v>0</v>
      </c>
      <c r="AR2907" t="inlineStr">
        <is>
          <t>No</t>
        </is>
      </c>
      <c r="AS2907" t="inlineStr">
        <is>
          <t>Yes</t>
        </is>
      </c>
      <c r="AT2907">
        <f>HYPERLINK("http://catalog.hathitrust.org/Record/000668641","HathiTrust Record")</f>
        <v/>
      </c>
      <c r="AU2907">
        <f>HYPERLINK("https://creighton-primo.hosted.exlibrisgroup.com/primo-explore/search?tab=default_tab&amp;search_scope=EVERYTHING&amp;vid=01CRU&amp;lang=en_US&amp;offset=0&amp;query=any,contains,991003182209702656","Catalog Record")</f>
        <v/>
      </c>
      <c r="AV2907">
        <f>HYPERLINK("http://www.worldcat.org/oclc/711965","WorldCat Record")</f>
        <v/>
      </c>
      <c r="AW2907" t="inlineStr">
        <is>
          <t>2261025677:eng</t>
        </is>
      </c>
      <c r="AX2907" t="inlineStr">
        <is>
          <t>711965</t>
        </is>
      </c>
      <c r="AY2907" t="inlineStr">
        <is>
          <t>991003182209702656</t>
        </is>
      </c>
      <c r="AZ2907" t="inlineStr">
        <is>
          <t>991003182209702656</t>
        </is>
      </c>
      <c r="BA2907" t="inlineStr">
        <is>
          <t>2261876900002656</t>
        </is>
      </c>
      <c r="BB2907" t="inlineStr">
        <is>
          <t>BOOK</t>
        </is>
      </c>
      <c r="BE2907" t="inlineStr">
        <is>
          <t>32285000839893</t>
        </is>
      </c>
      <c r="BF2907" t="inlineStr">
        <is>
          <t>893530915</t>
        </is>
      </c>
    </row>
    <row r="2908">
      <c r="A2908" t="inlineStr">
        <is>
          <t>No</t>
        </is>
      </c>
      <c r="B2908" t="inlineStr">
        <is>
          <t>CURAL</t>
        </is>
      </c>
      <c r="C2908" t="inlineStr">
        <is>
          <t>SHELVES</t>
        </is>
      </c>
      <c r="D2908" t="inlineStr">
        <is>
          <t>PR6005.O4 Z7846</t>
        </is>
      </c>
      <c r="E2908" t="inlineStr">
        <is>
          <t>0                      PR 6005000O  4                  Z  7846</t>
        </is>
      </c>
      <c r="F2908" t="inlineStr">
        <is>
          <t>Joseph Conrad, an appreciation.</t>
        </is>
      </c>
      <c r="H2908" t="inlineStr">
        <is>
          <t>No</t>
        </is>
      </c>
      <c r="I2908" t="inlineStr">
        <is>
          <t>1</t>
        </is>
      </c>
      <c r="J2908" t="inlineStr">
        <is>
          <t>No</t>
        </is>
      </c>
      <c r="K2908" t="inlineStr">
        <is>
          <t>No</t>
        </is>
      </c>
      <c r="L2908" t="inlineStr">
        <is>
          <t>0</t>
        </is>
      </c>
      <c r="M2908" t="inlineStr">
        <is>
          <t>O'Flaherty, Liam, 1896-1984.</t>
        </is>
      </c>
      <c r="N2908" t="inlineStr">
        <is>
          <t>[Folcroft, Pa.] Folcroft Library Editions, 1970.</t>
        </is>
      </c>
      <c r="O2908" t="inlineStr">
        <is>
          <t>1970</t>
        </is>
      </c>
      <c r="Q2908" t="inlineStr">
        <is>
          <t>eng</t>
        </is>
      </c>
      <c r="R2908" t="inlineStr">
        <is>
          <t>pau</t>
        </is>
      </c>
      <c r="T2908" t="inlineStr">
        <is>
          <t xml:space="preserve">PR </t>
        </is>
      </c>
      <c r="U2908" t="n">
        <v>1</v>
      </c>
      <c r="V2908" t="n">
        <v>1</v>
      </c>
      <c r="W2908" t="inlineStr">
        <is>
          <t>2002-09-13</t>
        </is>
      </c>
      <c r="X2908" t="inlineStr">
        <is>
          <t>2002-09-13</t>
        </is>
      </c>
      <c r="Y2908" t="inlineStr">
        <is>
          <t>1999-01-23</t>
        </is>
      </c>
      <c r="Z2908" t="inlineStr">
        <is>
          <t>1999-01-23</t>
        </is>
      </c>
      <c r="AA2908" t="n">
        <v>16</v>
      </c>
      <c r="AB2908" t="n">
        <v>13</v>
      </c>
      <c r="AC2908" t="n">
        <v>199</v>
      </c>
      <c r="AD2908" t="n">
        <v>1</v>
      </c>
      <c r="AE2908" t="n">
        <v>2</v>
      </c>
      <c r="AF2908" t="n">
        <v>0</v>
      </c>
      <c r="AG2908" t="n">
        <v>10</v>
      </c>
      <c r="AH2908" t="n">
        <v>0</v>
      </c>
      <c r="AI2908" t="n">
        <v>2</v>
      </c>
      <c r="AJ2908" t="n">
        <v>0</v>
      </c>
      <c r="AK2908" t="n">
        <v>4</v>
      </c>
      <c r="AL2908" t="n">
        <v>0</v>
      </c>
      <c r="AM2908" t="n">
        <v>6</v>
      </c>
      <c r="AN2908" t="n">
        <v>0</v>
      </c>
      <c r="AO2908" t="n">
        <v>1</v>
      </c>
      <c r="AP2908" t="n">
        <v>0</v>
      </c>
      <c r="AQ2908" t="n">
        <v>0</v>
      </c>
      <c r="AR2908" t="inlineStr">
        <is>
          <t>No</t>
        </is>
      </c>
      <c r="AS2908" t="inlineStr">
        <is>
          <t>No</t>
        </is>
      </c>
      <c r="AU2908">
        <f>HYPERLINK("https://creighton-primo.hosted.exlibrisgroup.com/primo-explore/search?tab=default_tab&amp;search_scope=EVERYTHING&amp;vid=01CRU&amp;lang=en_US&amp;offset=0&amp;query=any,contains,991003130659702656","Catalog Record")</f>
        <v/>
      </c>
      <c r="AV2908">
        <f>HYPERLINK("http://www.worldcat.org/oclc/673556","WorldCat Record")</f>
        <v/>
      </c>
      <c r="AW2908" t="inlineStr">
        <is>
          <t>198823376:eng</t>
        </is>
      </c>
      <c r="AX2908" t="inlineStr">
        <is>
          <t>673556</t>
        </is>
      </c>
      <c r="AY2908" t="inlineStr">
        <is>
          <t>991003130659702656</t>
        </is>
      </c>
      <c r="AZ2908" t="inlineStr">
        <is>
          <t>991003130659702656</t>
        </is>
      </c>
      <c r="BA2908" t="inlineStr">
        <is>
          <t>2268951750002656</t>
        </is>
      </c>
      <c r="BB2908" t="inlineStr">
        <is>
          <t>BOOK</t>
        </is>
      </c>
      <c r="BD2908" t="inlineStr">
        <is>
          <t>9780841424197</t>
        </is>
      </c>
      <c r="BE2908" t="inlineStr">
        <is>
          <t>32285003515268</t>
        </is>
      </c>
      <c r="BF2908" t="inlineStr">
        <is>
          <t>893874457</t>
        </is>
      </c>
    </row>
    <row r="2909">
      <c r="A2909" t="inlineStr">
        <is>
          <t>No</t>
        </is>
      </c>
      <c r="B2909" t="inlineStr">
        <is>
          <t>CURAL</t>
        </is>
      </c>
      <c r="C2909" t="inlineStr">
        <is>
          <t>SHELVES</t>
        </is>
      </c>
      <c r="D2909" t="inlineStr">
        <is>
          <t>PR6005.O4 Z7847 1984</t>
        </is>
      </c>
      <c r="E2909" t="inlineStr">
        <is>
          <t>0                      PR 6005000O  4                  Z  7847        1984</t>
        </is>
      </c>
      <c r="F2909" t="inlineStr">
        <is>
          <t>Joseph Conrad and Charles Darwin : the influence of scientific thought on Conrad's fiction / Redmond O'Hanlon.</t>
        </is>
      </c>
      <c r="H2909" t="inlineStr">
        <is>
          <t>No</t>
        </is>
      </c>
      <c r="I2909" t="inlineStr">
        <is>
          <t>1</t>
        </is>
      </c>
      <c r="J2909" t="inlineStr">
        <is>
          <t>No</t>
        </is>
      </c>
      <c r="K2909" t="inlineStr">
        <is>
          <t>No</t>
        </is>
      </c>
      <c r="L2909" t="inlineStr">
        <is>
          <t>0</t>
        </is>
      </c>
      <c r="M2909" t="inlineStr">
        <is>
          <t>O'Hanlon, Redmond, 1947-</t>
        </is>
      </c>
      <c r="N2909" t="inlineStr">
        <is>
          <t>Edinburgh : Salamander Press, 1984.</t>
        </is>
      </c>
      <c r="O2909" t="inlineStr">
        <is>
          <t>1984</t>
        </is>
      </c>
      <c r="Q2909" t="inlineStr">
        <is>
          <t>eng</t>
        </is>
      </c>
      <c r="R2909" t="inlineStr">
        <is>
          <t>stk</t>
        </is>
      </c>
      <c r="T2909" t="inlineStr">
        <is>
          <t xml:space="preserve">PR </t>
        </is>
      </c>
      <c r="U2909" t="n">
        <v>3</v>
      </c>
      <c r="V2909" t="n">
        <v>3</v>
      </c>
      <c r="W2909" t="inlineStr">
        <is>
          <t>2005-04-25</t>
        </is>
      </c>
      <c r="X2909" t="inlineStr">
        <is>
          <t>2005-04-25</t>
        </is>
      </c>
      <c r="Y2909" t="inlineStr">
        <is>
          <t>1992-07-02</t>
        </is>
      </c>
      <c r="Z2909" t="inlineStr">
        <is>
          <t>1992-07-02</t>
        </is>
      </c>
      <c r="AA2909" t="n">
        <v>236</v>
      </c>
      <c r="AB2909" t="n">
        <v>132</v>
      </c>
      <c r="AC2909" t="n">
        <v>255</v>
      </c>
      <c r="AD2909" t="n">
        <v>3</v>
      </c>
      <c r="AE2909" t="n">
        <v>3</v>
      </c>
      <c r="AF2909" t="n">
        <v>8</v>
      </c>
      <c r="AG2909" t="n">
        <v>16</v>
      </c>
      <c r="AH2909" t="n">
        <v>1</v>
      </c>
      <c r="AI2909" t="n">
        <v>6</v>
      </c>
      <c r="AJ2909" t="n">
        <v>4</v>
      </c>
      <c r="AK2909" t="n">
        <v>7</v>
      </c>
      <c r="AL2909" t="n">
        <v>3</v>
      </c>
      <c r="AM2909" t="n">
        <v>8</v>
      </c>
      <c r="AN2909" t="n">
        <v>2</v>
      </c>
      <c r="AO2909" t="n">
        <v>2</v>
      </c>
      <c r="AP2909" t="n">
        <v>0</v>
      </c>
      <c r="AQ2909" t="n">
        <v>0</v>
      </c>
      <c r="AR2909" t="inlineStr">
        <is>
          <t>No</t>
        </is>
      </c>
      <c r="AS2909" t="inlineStr">
        <is>
          <t>Yes</t>
        </is>
      </c>
      <c r="AT2909">
        <f>HYPERLINK("http://catalog.hathitrust.org/Record/000248731","HathiTrust Record")</f>
        <v/>
      </c>
      <c r="AU2909">
        <f>HYPERLINK("https://creighton-primo.hosted.exlibrisgroup.com/primo-explore/search?tab=default_tab&amp;search_scope=EVERYTHING&amp;vid=01CRU&amp;lang=en_US&amp;offset=0&amp;query=any,contains,991000507579702656","Catalog Record")</f>
        <v/>
      </c>
      <c r="AV2909">
        <f>HYPERLINK("http://www.worldcat.org/oclc/11218135","WorldCat Record")</f>
        <v/>
      </c>
      <c r="AW2909" t="inlineStr">
        <is>
          <t>3927422:eng</t>
        </is>
      </c>
      <c r="AX2909" t="inlineStr">
        <is>
          <t>11218135</t>
        </is>
      </c>
      <c r="AY2909" t="inlineStr">
        <is>
          <t>991000507579702656</t>
        </is>
      </c>
      <c r="AZ2909" t="inlineStr">
        <is>
          <t>991000507579702656</t>
        </is>
      </c>
      <c r="BA2909" t="inlineStr">
        <is>
          <t>2258363260002656</t>
        </is>
      </c>
      <c r="BB2909" t="inlineStr">
        <is>
          <t>BOOK</t>
        </is>
      </c>
      <c r="BD2909" t="inlineStr">
        <is>
          <t>9780907540427</t>
        </is>
      </c>
      <c r="BE2909" t="inlineStr">
        <is>
          <t>32285001147189</t>
        </is>
      </c>
      <c r="BF2909" t="inlineStr">
        <is>
          <t>893802831</t>
        </is>
      </c>
    </row>
    <row r="2910">
      <c r="A2910" t="inlineStr">
        <is>
          <t>No</t>
        </is>
      </c>
      <c r="B2910" t="inlineStr">
        <is>
          <t>CURAL</t>
        </is>
      </c>
      <c r="C2910" t="inlineStr">
        <is>
          <t>SHELVES</t>
        </is>
      </c>
      <c r="D2910" t="inlineStr">
        <is>
          <t>PR6005.O4 Z7848</t>
        </is>
      </c>
      <c r="E2910" t="inlineStr">
        <is>
          <t>0                      PR 6005000O  4                  Z  7848</t>
        </is>
      </c>
      <c r="F2910" t="inlineStr">
        <is>
          <t>Joseph Conrad's fiction : a study in literary growth / [by] John A. Palmer.</t>
        </is>
      </c>
      <c r="H2910" t="inlineStr">
        <is>
          <t>No</t>
        </is>
      </c>
      <c r="I2910" t="inlineStr">
        <is>
          <t>1</t>
        </is>
      </c>
      <c r="J2910" t="inlineStr">
        <is>
          <t>No</t>
        </is>
      </c>
      <c r="K2910" t="inlineStr">
        <is>
          <t>No</t>
        </is>
      </c>
      <c r="L2910" t="inlineStr">
        <is>
          <t>0</t>
        </is>
      </c>
      <c r="M2910" t="inlineStr">
        <is>
          <t>Palmer, John A., 1926-</t>
        </is>
      </c>
      <c r="N2910" t="inlineStr">
        <is>
          <t>Ithaca, N.Y. : Cornell University Press, [1968]</t>
        </is>
      </c>
      <c r="O2910" t="inlineStr">
        <is>
          <t>1968</t>
        </is>
      </c>
      <c r="Q2910" t="inlineStr">
        <is>
          <t>eng</t>
        </is>
      </c>
      <c r="R2910" t="inlineStr">
        <is>
          <t>nyu</t>
        </is>
      </c>
      <c r="T2910" t="inlineStr">
        <is>
          <t xml:space="preserve">PR </t>
        </is>
      </c>
      <c r="U2910" t="n">
        <v>1</v>
      </c>
      <c r="V2910" t="n">
        <v>1</v>
      </c>
      <c r="W2910" t="inlineStr">
        <is>
          <t>1993-02-02</t>
        </is>
      </c>
      <c r="X2910" t="inlineStr">
        <is>
          <t>1993-02-02</t>
        </is>
      </c>
      <c r="Y2910" t="inlineStr">
        <is>
          <t>1991-12-16</t>
        </is>
      </c>
      <c r="Z2910" t="inlineStr">
        <is>
          <t>1991-12-16</t>
        </is>
      </c>
      <c r="AA2910" t="n">
        <v>976</v>
      </c>
      <c r="AB2910" t="n">
        <v>812</v>
      </c>
      <c r="AC2910" t="n">
        <v>818</v>
      </c>
      <c r="AD2910" t="n">
        <v>7</v>
      </c>
      <c r="AE2910" t="n">
        <v>7</v>
      </c>
      <c r="AF2910" t="n">
        <v>33</v>
      </c>
      <c r="AG2910" t="n">
        <v>33</v>
      </c>
      <c r="AH2910" t="n">
        <v>11</v>
      </c>
      <c r="AI2910" t="n">
        <v>11</v>
      </c>
      <c r="AJ2910" t="n">
        <v>6</v>
      </c>
      <c r="AK2910" t="n">
        <v>6</v>
      </c>
      <c r="AL2910" t="n">
        <v>19</v>
      </c>
      <c r="AM2910" t="n">
        <v>19</v>
      </c>
      <c r="AN2910" t="n">
        <v>6</v>
      </c>
      <c r="AO2910" t="n">
        <v>6</v>
      </c>
      <c r="AP2910" t="n">
        <v>0</v>
      </c>
      <c r="AQ2910" t="n">
        <v>0</v>
      </c>
      <c r="AR2910" t="inlineStr">
        <is>
          <t>No</t>
        </is>
      </c>
      <c r="AS2910" t="inlineStr">
        <is>
          <t>Yes</t>
        </is>
      </c>
      <c r="AT2910">
        <f>HYPERLINK("http://catalog.hathitrust.org/Record/000669064","HathiTrust Record")</f>
        <v/>
      </c>
      <c r="AU2910">
        <f>HYPERLINK("https://creighton-primo.hosted.exlibrisgroup.com/primo-explore/search?tab=default_tab&amp;search_scope=EVERYTHING&amp;vid=01CRU&amp;lang=en_US&amp;offset=0&amp;query=any,contains,991002805739702656","Catalog Record")</f>
        <v/>
      </c>
      <c r="AV2910">
        <f>HYPERLINK("http://www.worldcat.org/oclc/449464","WorldCat Record")</f>
        <v/>
      </c>
      <c r="AW2910" t="inlineStr">
        <is>
          <t>198611075:eng</t>
        </is>
      </c>
      <c r="AX2910" t="inlineStr">
        <is>
          <t>449464</t>
        </is>
      </c>
      <c r="AY2910" t="inlineStr">
        <is>
          <t>991002805739702656</t>
        </is>
      </c>
      <c r="AZ2910" t="inlineStr">
        <is>
          <t>991002805739702656</t>
        </is>
      </c>
      <c r="BA2910" t="inlineStr">
        <is>
          <t>2265377090002656</t>
        </is>
      </c>
      <c r="BB2910" t="inlineStr">
        <is>
          <t>BOOK</t>
        </is>
      </c>
      <c r="BE2910" t="inlineStr">
        <is>
          <t>32285000839901</t>
        </is>
      </c>
      <c r="BF2910" t="inlineStr">
        <is>
          <t>893257733</t>
        </is>
      </c>
    </row>
    <row r="2911">
      <c r="A2911" t="inlineStr">
        <is>
          <t>No</t>
        </is>
      </c>
      <c r="B2911" t="inlineStr">
        <is>
          <t>CURAL</t>
        </is>
      </c>
      <c r="C2911" t="inlineStr">
        <is>
          <t>SHELVES</t>
        </is>
      </c>
      <c r="D2911" t="inlineStr">
        <is>
          <t>PR6005.O4 Z78496 1997</t>
        </is>
      </c>
      <c r="E2911" t="inlineStr">
        <is>
          <t>0                      PR 6005000O  4                  Z  78496       1997</t>
        </is>
      </c>
      <c r="F2911" t="inlineStr">
        <is>
          <t>Conrad and cinema : the art of adaptation / Gene D. Phillips.</t>
        </is>
      </c>
      <c r="H2911" t="inlineStr">
        <is>
          <t>No</t>
        </is>
      </c>
      <c r="I2911" t="inlineStr">
        <is>
          <t>1</t>
        </is>
      </c>
      <c r="J2911" t="inlineStr">
        <is>
          <t>No</t>
        </is>
      </c>
      <c r="K2911" t="inlineStr">
        <is>
          <t>No</t>
        </is>
      </c>
      <c r="L2911" t="inlineStr">
        <is>
          <t>0</t>
        </is>
      </c>
      <c r="M2911" t="inlineStr">
        <is>
          <t>Phillips, Gene D.</t>
        </is>
      </c>
      <c r="N2911" t="inlineStr">
        <is>
          <t>New York : P. Lang, 1997, c1995.</t>
        </is>
      </c>
      <c r="O2911" t="inlineStr">
        <is>
          <t>1997</t>
        </is>
      </c>
      <c r="Q2911" t="inlineStr">
        <is>
          <t>eng</t>
        </is>
      </c>
      <c r="R2911" t="inlineStr">
        <is>
          <t>nyu</t>
        </is>
      </c>
      <c r="S2911" t="inlineStr">
        <is>
          <t>Ars interpretandi ; vol. 4</t>
        </is>
      </c>
      <c r="T2911" t="inlineStr">
        <is>
          <t xml:space="preserve">PR </t>
        </is>
      </c>
      <c r="U2911" t="n">
        <v>4</v>
      </c>
      <c r="V2911" t="n">
        <v>4</v>
      </c>
      <c r="W2911" t="inlineStr">
        <is>
          <t>2007-10-23</t>
        </is>
      </c>
      <c r="X2911" t="inlineStr">
        <is>
          <t>2007-10-23</t>
        </is>
      </c>
      <c r="Y2911" t="inlineStr">
        <is>
          <t>1998-02-09</t>
        </is>
      </c>
      <c r="Z2911" t="inlineStr">
        <is>
          <t>1998-02-09</t>
        </is>
      </c>
      <c r="AA2911" t="n">
        <v>315</v>
      </c>
      <c r="AB2911" t="n">
        <v>258</v>
      </c>
      <c r="AC2911" t="n">
        <v>283</v>
      </c>
      <c r="AD2911" t="n">
        <v>2</v>
      </c>
      <c r="AE2911" t="n">
        <v>2</v>
      </c>
      <c r="AF2911" t="n">
        <v>16</v>
      </c>
      <c r="AG2911" t="n">
        <v>18</v>
      </c>
      <c r="AH2911" t="n">
        <v>5</v>
      </c>
      <c r="AI2911" t="n">
        <v>6</v>
      </c>
      <c r="AJ2911" t="n">
        <v>3</v>
      </c>
      <c r="AK2911" t="n">
        <v>4</v>
      </c>
      <c r="AL2911" t="n">
        <v>10</v>
      </c>
      <c r="AM2911" t="n">
        <v>11</v>
      </c>
      <c r="AN2911" t="n">
        <v>1</v>
      </c>
      <c r="AO2911" t="n">
        <v>1</v>
      </c>
      <c r="AP2911" t="n">
        <v>0</v>
      </c>
      <c r="AQ2911" t="n">
        <v>0</v>
      </c>
      <c r="AR2911" t="inlineStr">
        <is>
          <t>No</t>
        </is>
      </c>
      <c r="AS2911" t="inlineStr">
        <is>
          <t>Yes</t>
        </is>
      </c>
      <c r="AT2911">
        <f>HYPERLINK("http://catalog.hathitrust.org/Record/003086906","HathiTrust Record")</f>
        <v/>
      </c>
      <c r="AU2911">
        <f>HYPERLINK("https://creighton-primo.hosted.exlibrisgroup.com/primo-explore/search?tab=default_tab&amp;search_scope=EVERYTHING&amp;vid=01CRU&amp;lang=en_US&amp;offset=0&amp;query=any,contains,991002375419702656","Catalog Record")</f>
        <v/>
      </c>
      <c r="AV2911">
        <f>HYPERLINK("http://www.worldcat.org/oclc/30893867","WorldCat Record")</f>
        <v/>
      </c>
      <c r="AW2911" t="inlineStr">
        <is>
          <t>624947:eng</t>
        </is>
      </c>
      <c r="AX2911" t="inlineStr">
        <is>
          <t>30893867</t>
        </is>
      </c>
      <c r="AY2911" t="inlineStr">
        <is>
          <t>991002375419702656</t>
        </is>
      </c>
      <c r="AZ2911" t="inlineStr">
        <is>
          <t>991002375419702656</t>
        </is>
      </c>
      <c r="BA2911" t="inlineStr">
        <is>
          <t>2267094200002656</t>
        </is>
      </c>
      <c r="BB2911" t="inlineStr">
        <is>
          <t>BOOK</t>
        </is>
      </c>
      <c r="BD2911" t="inlineStr">
        <is>
          <t>9780820426693</t>
        </is>
      </c>
      <c r="BE2911" t="inlineStr">
        <is>
          <t>32285003313144</t>
        </is>
      </c>
      <c r="BF2911" t="inlineStr">
        <is>
          <t>893529902</t>
        </is>
      </c>
    </row>
    <row r="2912">
      <c r="A2912" t="inlineStr">
        <is>
          <t>No</t>
        </is>
      </c>
      <c r="B2912" t="inlineStr">
        <is>
          <t>CURAL</t>
        </is>
      </c>
      <c r="C2912" t="inlineStr">
        <is>
          <t>SHELVES</t>
        </is>
      </c>
      <c r="D2912" t="inlineStr">
        <is>
          <t>PR6005.O4 Z7857 1984</t>
        </is>
      </c>
      <c r="E2912" t="inlineStr">
        <is>
          <t>0                      PR 6005000O  4                  Z  7857        1984</t>
        </is>
      </c>
      <c r="F2912" t="inlineStr">
        <is>
          <t>Joseph Conrad's Bible / by Dwight H. Purdy.</t>
        </is>
      </c>
      <c r="H2912" t="inlineStr">
        <is>
          <t>No</t>
        </is>
      </c>
      <c r="I2912" t="inlineStr">
        <is>
          <t>1</t>
        </is>
      </c>
      <c r="J2912" t="inlineStr">
        <is>
          <t>No</t>
        </is>
      </c>
      <c r="K2912" t="inlineStr">
        <is>
          <t>No</t>
        </is>
      </c>
      <c r="L2912" t="inlineStr">
        <is>
          <t>0</t>
        </is>
      </c>
      <c r="M2912" t="inlineStr">
        <is>
          <t>Purdy, Dwight H. (Dwight Hilliard), 1941-</t>
        </is>
      </c>
      <c r="N2912" t="inlineStr">
        <is>
          <t>Norman : University of Oklahoma Press, c1984.</t>
        </is>
      </c>
      <c r="O2912" t="inlineStr">
        <is>
          <t>1984</t>
        </is>
      </c>
      <c r="P2912" t="inlineStr">
        <is>
          <t>1st ed.</t>
        </is>
      </c>
      <c r="Q2912" t="inlineStr">
        <is>
          <t>eng</t>
        </is>
      </c>
      <c r="R2912" t="inlineStr">
        <is>
          <t>oku</t>
        </is>
      </c>
      <c r="T2912" t="inlineStr">
        <is>
          <t xml:space="preserve">PR </t>
        </is>
      </c>
      <c r="U2912" t="n">
        <v>2</v>
      </c>
      <c r="V2912" t="n">
        <v>2</v>
      </c>
      <c r="W2912" t="inlineStr">
        <is>
          <t>2002-09-13</t>
        </is>
      </c>
      <c r="X2912" t="inlineStr">
        <is>
          <t>2002-09-13</t>
        </is>
      </c>
      <c r="Y2912" t="inlineStr">
        <is>
          <t>1992-07-02</t>
        </is>
      </c>
      <c r="Z2912" t="inlineStr">
        <is>
          <t>1992-07-02</t>
        </is>
      </c>
      <c r="AA2912" t="n">
        <v>422</v>
      </c>
      <c r="AB2912" t="n">
        <v>362</v>
      </c>
      <c r="AC2912" t="n">
        <v>742</v>
      </c>
      <c r="AD2912" t="n">
        <v>3</v>
      </c>
      <c r="AE2912" t="n">
        <v>4</v>
      </c>
      <c r="AF2912" t="n">
        <v>14</v>
      </c>
      <c r="AG2912" t="n">
        <v>21</v>
      </c>
      <c r="AH2912" t="n">
        <v>3</v>
      </c>
      <c r="AI2912" t="n">
        <v>8</v>
      </c>
      <c r="AJ2912" t="n">
        <v>5</v>
      </c>
      <c r="AK2912" t="n">
        <v>5</v>
      </c>
      <c r="AL2912" t="n">
        <v>8</v>
      </c>
      <c r="AM2912" t="n">
        <v>10</v>
      </c>
      <c r="AN2912" t="n">
        <v>2</v>
      </c>
      <c r="AO2912" t="n">
        <v>3</v>
      </c>
      <c r="AP2912" t="n">
        <v>0</v>
      </c>
      <c r="AQ2912" t="n">
        <v>0</v>
      </c>
      <c r="AR2912" t="inlineStr">
        <is>
          <t>No</t>
        </is>
      </c>
      <c r="AS2912" t="inlineStr">
        <is>
          <t>No</t>
        </is>
      </c>
      <c r="AU2912">
        <f>HYPERLINK("https://creighton-primo.hosted.exlibrisgroup.com/primo-explore/search?tab=default_tab&amp;search_scope=EVERYTHING&amp;vid=01CRU&amp;lang=en_US&amp;offset=0&amp;query=any,contains,991000350749702656","Catalog Record")</f>
        <v/>
      </c>
      <c r="AV2912">
        <f>HYPERLINK("http://www.worldcat.org/oclc/10301489","WorldCat Record")</f>
        <v/>
      </c>
      <c r="AW2912" t="inlineStr">
        <is>
          <t>1003353:eng</t>
        </is>
      </c>
      <c r="AX2912" t="inlineStr">
        <is>
          <t>10301489</t>
        </is>
      </c>
      <c r="AY2912" t="inlineStr">
        <is>
          <t>991000350749702656</t>
        </is>
      </c>
      <c r="AZ2912" t="inlineStr">
        <is>
          <t>991000350749702656</t>
        </is>
      </c>
      <c r="BA2912" t="inlineStr">
        <is>
          <t>2271685940002656</t>
        </is>
      </c>
      <c r="BB2912" t="inlineStr">
        <is>
          <t>BOOK</t>
        </is>
      </c>
      <c r="BD2912" t="inlineStr">
        <is>
          <t>9780806118765</t>
        </is>
      </c>
      <c r="BE2912" t="inlineStr">
        <is>
          <t>32285001147205</t>
        </is>
      </c>
      <c r="BF2912" t="inlineStr">
        <is>
          <t>893351496</t>
        </is>
      </c>
    </row>
    <row r="2913">
      <c r="A2913" t="inlineStr">
        <is>
          <t>No</t>
        </is>
      </c>
      <c r="B2913" t="inlineStr">
        <is>
          <t>CURAL</t>
        </is>
      </c>
      <c r="C2913" t="inlineStr">
        <is>
          <t>SHELVES</t>
        </is>
      </c>
      <c r="D2913" t="inlineStr">
        <is>
          <t>PR6005.O4 Z7864 1986</t>
        </is>
      </c>
      <c r="E2913" t="inlineStr">
        <is>
          <t>0                      PR 6005000O  4                  Z  7864        1986</t>
        </is>
      </c>
      <c r="F2913" t="inlineStr">
        <is>
          <t>The art of failure : Conrad's fiction / Suresh Raval.</t>
        </is>
      </c>
      <c r="H2913" t="inlineStr">
        <is>
          <t>No</t>
        </is>
      </c>
      <c r="I2913" t="inlineStr">
        <is>
          <t>1</t>
        </is>
      </c>
      <c r="J2913" t="inlineStr">
        <is>
          <t>No</t>
        </is>
      </c>
      <c r="K2913" t="inlineStr">
        <is>
          <t>No</t>
        </is>
      </c>
      <c r="L2913" t="inlineStr">
        <is>
          <t>0</t>
        </is>
      </c>
      <c r="M2913" t="inlineStr">
        <is>
          <t>Raval, Suresh.</t>
        </is>
      </c>
      <c r="N2913" t="inlineStr">
        <is>
          <t>Boston : Allen &amp; Unwin, 1986.</t>
        </is>
      </c>
      <c r="O2913" t="inlineStr">
        <is>
          <t>1986</t>
        </is>
      </c>
      <c r="Q2913" t="inlineStr">
        <is>
          <t>eng</t>
        </is>
      </c>
      <c r="R2913" t="inlineStr">
        <is>
          <t>mau</t>
        </is>
      </c>
      <c r="T2913" t="inlineStr">
        <is>
          <t xml:space="preserve">PR </t>
        </is>
      </c>
      <c r="U2913" t="n">
        <v>4</v>
      </c>
      <c r="V2913" t="n">
        <v>4</v>
      </c>
      <c r="W2913" t="inlineStr">
        <is>
          <t>1998-07-14</t>
        </is>
      </c>
      <c r="X2913" t="inlineStr">
        <is>
          <t>1998-07-14</t>
        </is>
      </c>
      <c r="Y2913" t="inlineStr">
        <is>
          <t>1990-06-07</t>
        </is>
      </c>
      <c r="Z2913" t="inlineStr">
        <is>
          <t>1990-06-07</t>
        </is>
      </c>
      <c r="AA2913" t="n">
        <v>364</v>
      </c>
      <c r="AB2913" t="n">
        <v>265</v>
      </c>
      <c r="AC2913" t="n">
        <v>281</v>
      </c>
      <c r="AD2913" t="n">
        <v>4</v>
      </c>
      <c r="AE2913" t="n">
        <v>4</v>
      </c>
      <c r="AF2913" t="n">
        <v>19</v>
      </c>
      <c r="AG2913" t="n">
        <v>19</v>
      </c>
      <c r="AH2913" t="n">
        <v>7</v>
      </c>
      <c r="AI2913" t="n">
        <v>7</v>
      </c>
      <c r="AJ2913" t="n">
        <v>5</v>
      </c>
      <c r="AK2913" t="n">
        <v>5</v>
      </c>
      <c r="AL2913" t="n">
        <v>11</v>
      </c>
      <c r="AM2913" t="n">
        <v>11</v>
      </c>
      <c r="AN2913" t="n">
        <v>3</v>
      </c>
      <c r="AO2913" t="n">
        <v>3</v>
      </c>
      <c r="AP2913" t="n">
        <v>0</v>
      </c>
      <c r="AQ2913" t="n">
        <v>0</v>
      </c>
      <c r="AR2913" t="inlineStr">
        <is>
          <t>No</t>
        </is>
      </c>
      <c r="AS2913" t="inlineStr">
        <is>
          <t>No</t>
        </is>
      </c>
      <c r="AU2913">
        <f>HYPERLINK("https://creighton-primo.hosted.exlibrisgroup.com/primo-explore/search?tab=default_tab&amp;search_scope=EVERYTHING&amp;vid=01CRU&amp;lang=en_US&amp;offset=0&amp;query=any,contains,991000659759702656","Catalog Record")</f>
        <v/>
      </c>
      <c r="AV2913">
        <f>HYPERLINK("http://www.worldcat.org/oclc/12236803","WorldCat Record")</f>
        <v/>
      </c>
      <c r="AW2913" t="inlineStr">
        <is>
          <t>836720236:eng</t>
        </is>
      </c>
      <c r="AX2913" t="inlineStr">
        <is>
          <t>12236803</t>
        </is>
      </c>
      <c r="AY2913" t="inlineStr">
        <is>
          <t>991000659759702656</t>
        </is>
      </c>
      <c r="AZ2913" t="inlineStr">
        <is>
          <t>991000659759702656</t>
        </is>
      </c>
      <c r="BA2913" t="inlineStr">
        <is>
          <t>2261192940002656</t>
        </is>
      </c>
      <c r="BB2913" t="inlineStr">
        <is>
          <t>BOOK</t>
        </is>
      </c>
      <c r="BD2913" t="inlineStr">
        <is>
          <t>9780048000392</t>
        </is>
      </c>
      <c r="BE2913" t="inlineStr">
        <is>
          <t>32285000184076</t>
        </is>
      </c>
      <c r="BF2913" t="inlineStr">
        <is>
          <t>893608149</t>
        </is>
      </c>
    </row>
    <row r="2914">
      <c r="A2914" t="inlineStr">
        <is>
          <t>No</t>
        </is>
      </c>
      <c r="B2914" t="inlineStr">
        <is>
          <t>CURAL</t>
        </is>
      </c>
      <c r="C2914" t="inlineStr">
        <is>
          <t>SHELVES</t>
        </is>
      </c>
      <c r="D2914" t="inlineStr">
        <is>
          <t>PR6005.O4 Z7868 1988</t>
        </is>
      </c>
      <c r="E2914" t="inlineStr">
        <is>
          <t>0                      PR 6005000O  4                  Z  7868        1988</t>
        </is>
      </c>
      <c r="F2914" t="inlineStr">
        <is>
          <t>Joseph Conrad : consciousness and integrity / Steve Ressler.</t>
        </is>
      </c>
      <c r="H2914" t="inlineStr">
        <is>
          <t>No</t>
        </is>
      </c>
      <c r="I2914" t="inlineStr">
        <is>
          <t>1</t>
        </is>
      </c>
      <c r="J2914" t="inlineStr">
        <is>
          <t>No</t>
        </is>
      </c>
      <c r="K2914" t="inlineStr">
        <is>
          <t>No</t>
        </is>
      </c>
      <c r="L2914" t="inlineStr">
        <is>
          <t>0</t>
        </is>
      </c>
      <c r="M2914" t="inlineStr">
        <is>
          <t>Ressler, Steve, 1941-</t>
        </is>
      </c>
      <c r="N2914" t="inlineStr">
        <is>
          <t>New York : New York University Press, c1988.</t>
        </is>
      </c>
      <c r="O2914" t="inlineStr">
        <is>
          <t>1988</t>
        </is>
      </c>
      <c r="Q2914" t="inlineStr">
        <is>
          <t>eng</t>
        </is>
      </c>
      <c r="R2914" t="inlineStr">
        <is>
          <t>nyu</t>
        </is>
      </c>
      <c r="T2914" t="inlineStr">
        <is>
          <t xml:space="preserve">PR </t>
        </is>
      </c>
      <c r="U2914" t="n">
        <v>7</v>
      </c>
      <c r="V2914" t="n">
        <v>7</v>
      </c>
      <c r="W2914" t="inlineStr">
        <is>
          <t>1997-09-23</t>
        </is>
      </c>
      <c r="X2914" t="inlineStr">
        <is>
          <t>1997-09-23</t>
        </is>
      </c>
      <c r="Y2914" t="inlineStr">
        <is>
          <t>1990-03-27</t>
        </is>
      </c>
      <c r="Z2914" t="inlineStr">
        <is>
          <t>1990-03-27</t>
        </is>
      </c>
      <c r="AA2914" t="n">
        <v>426</v>
      </c>
      <c r="AB2914" t="n">
        <v>330</v>
      </c>
      <c r="AC2914" t="n">
        <v>330</v>
      </c>
      <c r="AD2914" t="n">
        <v>4</v>
      </c>
      <c r="AE2914" t="n">
        <v>4</v>
      </c>
      <c r="AF2914" t="n">
        <v>22</v>
      </c>
      <c r="AG2914" t="n">
        <v>22</v>
      </c>
      <c r="AH2914" t="n">
        <v>8</v>
      </c>
      <c r="AI2914" t="n">
        <v>8</v>
      </c>
      <c r="AJ2914" t="n">
        <v>5</v>
      </c>
      <c r="AK2914" t="n">
        <v>5</v>
      </c>
      <c r="AL2914" t="n">
        <v>12</v>
      </c>
      <c r="AM2914" t="n">
        <v>12</v>
      </c>
      <c r="AN2914" t="n">
        <v>3</v>
      </c>
      <c r="AO2914" t="n">
        <v>3</v>
      </c>
      <c r="AP2914" t="n">
        <v>0</v>
      </c>
      <c r="AQ2914" t="n">
        <v>0</v>
      </c>
      <c r="AR2914" t="inlineStr">
        <is>
          <t>No</t>
        </is>
      </c>
      <c r="AS2914" t="inlineStr">
        <is>
          <t>No</t>
        </is>
      </c>
      <c r="AU2914">
        <f>HYPERLINK("https://creighton-primo.hosted.exlibrisgroup.com/primo-explore/search?tab=default_tab&amp;search_scope=EVERYTHING&amp;vid=01CRU&amp;lang=en_US&amp;offset=0&amp;query=any,contains,991001196339702656","Catalog Record")</f>
        <v/>
      </c>
      <c r="AV2914">
        <f>HYPERLINK("http://www.worldcat.org/oclc/17295761","WorldCat Record")</f>
        <v/>
      </c>
      <c r="AW2914" t="inlineStr">
        <is>
          <t>16136526:eng</t>
        </is>
      </c>
      <c r="AX2914" t="inlineStr">
        <is>
          <t>17295761</t>
        </is>
      </c>
      <c r="AY2914" t="inlineStr">
        <is>
          <t>991001196339702656</t>
        </is>
      </c>
      <c r="AZ2914" t="inlineStr">
        <is>
          <t>991001196339702656</t>
        </is>
      </c>
      <c r="BA2914" t="inlineStr">
        <is>
          <t>2268495380002656</t>
        </is>
      </c>
      <c r="BB2914" t="inlineStr">
        <is>
          <t>BOOK</t>
        </is>
      </c>
      <c r="BD2914" t="inlineStr">
        <is>
          <t>9780814774052</t>
        </is>
      </c>
      <c r="BE2914" t="inlineStr">
        <is>
          <t>32285000083617</t>
        </is>
      </c>
      <c r="BF2914" t="inlineStr">
        <is>
          <t>893709076</t>
        </is>
      </c>
    </row>
    <row r="2915">
      <c r="A2915" t="inlineStr">
        <is>
          <t>No</t>
        </is>
      </c>
      <c r="B2915" t="inlineStr">
        <is>
          <t>CURAL</t>
        </is>
      </c>
      <c r="C2915" t="inlineStr">
        <is>
          <t>SHELVES</t>
        </is>
      </c>
      <c r="D2915" t="inlineStr">
        <is>
          <t>PR6005.O4 Z7886</t>
        </is>
      </c>
      <c r="E2915" t="inlineStr">
        <is>
          <t>0                      PR 6005000O  4                  Z  7886</t>
        </is>
      </c>
      <c r="F2915" t="inlineStr">
        <is>
          <t>The metaphysics of darkness : a study in the unity and development of Conrad's fiction.</t>
        </is>
      </c>
      <c r="H2915" t="inlineStr">
        <is>
          <t>No</t>
        </is>
      </c>
      <c r="I2915" t="inlineStr">
        <is>
          <t>1</t>
        </is>
      </c>
      <c r="J2915" t="inlineStr">
        <is>
          <t>No</t>
        </is>
      </c>
      <c r="K2915" t="inlineStr">
        <is>
          <t>No</t>
        </is>
      </c>
      <c r="L2915" t="inlineStr">
        <is>
          <t>0</t>
        </is>
      </c>
      <c r="M2915" t="inlineStr">
        <is>
          <t>Roussel, Roy.</t>
        </is>
      </c>
      <c r="N2915" t="inlineStr">
        <is>
          <t>Baltimore : Johns Hopkins Press, [1971]</t>
        </is>
      </c>
      <c r="O2915" t="inlineStr">
        <is>
          <t>1971</t>
        </is>
      </c>
      <c r="Q2915" t="inlineStr">
        <is>
          <t>eng</t>
        </is>
      </c>
      <c r="R2915" t="inlineStr">
        <is>
          <t>mdu</t>
        </is>
      </c>
      <c r="T2915" t="inlineStr">
        <is>
          <t xml:space="preserve">PR </t>
        </is>
      </c>
      <c r="U2915" t="n">
        <v>8</v>
      </c>
      <c r="V2915" t="n">
        <v>8</v>
      </c>
      <c r="W2915" t="inlineStr">
        <is>
          <t>1997-09-23</t>
        </is>
      </c>
      <c r="X2915" t="inlineStr">
        <is>
          <t>1997-09-23</t>
        </is>
      </c>
      <c r="Y2915" t="inlineStr">
        <is>
          <t>1990-10-25</t>
        </is>
      </c>
      <c r="Z2915" t="inlineStr">
        <is>
          <t>1990-10-25</t>
        </is>
      </c>
      <c r="AA2915" t="n">
        <v>701</v>
      </c>
      <c r="AB2915" t="n">
        <v>565</v>
      </c>
      <c r="AC2915" t="n">
        <v>574</v>
      </c>
      <c r="AD2915" t="n">
        <v>6</v>
      </c>
      <c r="AE2915" t="n">
        <v>6</v>
      </c>
      <c r="AF2915" t="n">
        <v>26</v>
      </c>
      <c r="AG2915" t="n">
        <v>26</v>
      </c>
      <c r="AH2915" t="n">
        <v>9</v>
      </c>
      <c r="AI2915" t="n">
        <v>9</v>
      </c>
      <c r="AJ2915" t="n">
        <v>3</v>
      </c>
      <c r="AK2915" t="n">
        <v>3</v>
      </c>
      <c r="AL2915" t="n">
        <v>13</v>
      </c>
      <c r="AM2915" t="n">
        <v>13</v>
      </c>
      <c r="AN2915" t="n">
        <v>5</v>
      </c>
      <c r="AO2915" t="n">
        <v>5</v>
      </c>
      <c r="AP2915" t="n">
        <v>0</v>
      </c>
      <c r="AQ2915" t="n">
        <v>0</v>
      </c>
      <c r="AR2915" t="inlineStr">
        <is>
          <t>No</t>
        </is>
      </c>
      <c r="AS2915" t="inlineStr">
        <is>
          <t>No</t>
        </is>
      </c>
      <c r="AU2915">
        <f>HYPERLINK("https://creighton-primo.hosted.exlibrisgroup.com/primo-explore/search?tab=default_tab&amp;search_scope=EVERYTHING&amp;vid=01CRU&amp;lang=en_US&amp;offset=0&amp;query=any,contains,991001219789702656","Catalog Record")</f>
        <v/>
      </c>
      <c r="AV2915">
        <f>HYPERLINK("http://www.worldcat.org/oclc/196230","WorldCat Record")</f>
        <v/>
      </c>
      <c r="AW2915" t="inlineStr">
        <is>
          <t>1367069:eng</t>
        </is>
      </c>
      <c r="AX2915" t="inlineStr">
        <is>
          <t>196230</t>
        </is>
      </c>
      <c r="AY2915" t="inlineStr">
        <is>
          <t>991001219789702656</t>
        </is>
      </c>
      <c r="AZ2915" t="inlineStr">
        <is>
          <t>991001219789702656</t>
        </is>
      </c>
      <c r="BA2915" t="inlineStr">
        <is>
          <t>2270201840002656</t>
        </is>
      </c>
      <c r="BB2915" t="inlineStr">
        <is>
          <t>BOOK</t>
        </is>
      </c>
      <c r="BD2915" t="inlineStr">
        <is>
          <t>9780801811876</t>
        </is>
      </c>
      <c r="BE2915" t="inlineStr">
        <is>
          <t>32285000353879</t>
        </is>
      </c>
      <c r="BF2915" t="inlineStr">
        <is>
          <t>893261774</t>
        </is>
      </c>
    </row>
    <row r="2916">
      <c r="A2916" t="inlineStr">
        <is>
          <t>No</t>
        </is>
      </c>
      <c r="B2916" t="inlineStr">
        <is>
          <t>CURAL</t>
        </is>
      </c>
      <c r="C2916" t="inlineStr">
        <is>
          <t>SHELVES</t>
        </is>
      </c>
      <c r="D2916" t="inlineStr">
        <is>
          <t>PR6005.O4 Z79275 1982</t>
        </is>
      </c>
      <c r="E2916" t="inlineStr">
        <is>
          <t>0                      PR 6005000O  4                  Z  79275       1982</t>
        </is>
      </c>
      <c r="F2916" t="inlineStr">
        <is>
          <t>Conrad : the later fiction / Daniel R. Schwarz.</t>
        </is>
      </c>
      <c r="H2916" t="inlineStr">
        <is>
          <t>No</t>
        </is>
      </c>
      <c r="I2916" t="inlineStr">
        <is>
          <t>1</t>
        </is>
      </c>
      <c r="J2916" t="inlineStr">
        <is>
          <t>No</t>
        </is>
      </c>
      <c r="K2916" t="inlineStr">
        <is>
          <t>No</t>
        </is>
      </c>
      <c r="L2916" t="inlineStr">
        <is>
          <t>0</t>
        </is>
      </c>
      <c r="M2916" t="inlineStr">
        <is>
          <t>Schwarz, Daniel R.</t>
        </is>
      </c>
      <c r="N2916" t="inlineStr">
        <is>
          <t>London : Macmillan, 1982.</t>
        </is>
      </c>
      <c r="O2916" t="inlineStr">
        <is>
          <t>1982</t>
        </is>
      </c>
      <c r="Q2916" t="inlineStr">
        <is>
          <t>eng</t>
        </is>
      </c>
      <c r="R2916" t="inlineStr">
        <is>
          <t>enk</t>
        </is>
      </c>
      <c r="T2916" t="inlineStr">
        <is>
          <t xml:space="preserve">PR </t>
        </is>
      </c>
      <c r="U2916" t="n">
        <v>1</v>
      </c>
      <c r="V2916" t="n">
        <v>1</v>
      </c>
      <c r="W2916" t="inlineStr">
        <is>
          <t>1995-07-10</t>
        </is>
      </c>
      <c r="X2916" t="inlineStr">
        <is>
          <t>1995-07-10</t>
        </is>
      </c>
      <c r="Y2916" t="inlineStr">
        <is>
          <t>1992-07-02</t>
        </is>
      </c>
      <c r="Z2916" t="inlineStr">
        <is>
          <t>1992-07-02</t>
        </is>
      </c>
      <c r="AA2916" t="n">
        <v>407</v>
      </c>
      <c r="AB2916" t="n">
        <v>262</v>
      </c>
      <c r="AC2916" t="n">
        <v>265</v>
      </c>
      <c r="AD2916" t="n">
        <v>2</v>
      </c>
      <c r="AE2916" t="n">
        <v>2</v>
      </c>
      <c r="AF2916" t="n">
        <v>12</v>
      </c>
      <c r="AG2916" t="n">
        <v>12</v>
      </c>
      <c r="AH2916" t="n">
        <v>6</v>
      </c>
      <c r="AI2916" t="n">
        <v>6</v>
      </c>
      <c r="AJ2916" t="n">
        <v>3</v>
      </c>
      <c r="AK2916" t="n">
        <v>3</v>
      </c>
      <c r="AL2916" t="n">
        <v>8</v>
      </c>
      <c r="AM2916" t="n">
        <v>8</v>
      </c>
      <c r="AN2916" t="n">
        <v>1</v>
      </c>
      <c r="AO2916" t="n">
        <v>1</v>
      </c>
      <c r="AP2916" t="n">
        <v>0</v>
      </c>
      <c r="AQ2916" t="n">
        <v>0</v>
      </c>
      <c r="AR2916" t="inlineStr">
        <is>
          <t>No</t>
        </is>
      </c>
      <c r="AS2916" t="inlineStr">
        <is>
          <t>Yes</t>
        </is>
      </c>
      <c r="AT2916">
        <f>HYPERLINK("http://catalog.hathitrust.org/Record/000233448","HathiTrust Record")</f>
        <v/>
      </c>
      <c r="AU2916">
        <f>HYPERLINK("https://creighton-primo.hosted.exlibrisgroup.com/primo-explore/search?tab=default_tab&amp;search_scope=EVERYTHING&amp;vid=01CRU&amp;lang=en_US&amp;offset=0&amp;query=any,contains,991000062739702656","Catalog Record")</f>
        <v/>
      </c>
      <c r="AV2916">
        <f>HYPERLINK("http://www.worldcat.org/oclc/8735783","WorldCat Record")</f>
        <v/>
      </c>
      <c r="AW2916" t="inlineStr">
        <is>
          <t>449271:eng</t>
        </is>
      </c>
      <c r="AX2916" t="inlineStr">
        <is>
          <t>8735783</t>
        </is>
      </c>
      <c r="AY2916" t="inlineStr">
        <is>
          <t>991000062739702656</t>
        </is>
      </c>
      <c r="AZ2916" t="inlineStr">
        <is>
          <t>991000062739702656</t>
        </is>
      </c>
      <c r="BA2916" t="inlineStr">
        <is>
          <t>2263802450002656</t>
        </is>
      </c>
      <c r="BB2916" t="inlineStr">
        <is>
          <t>BOOK</t>
        </is>
      </c>
      <c r="BD2916" t="inlineStr">
        <is>
          <t>9780333283080</t>
        </is>
      </c>
      <c r="BE2916" t="inlineStr">
        <is>
          <t>32285001147221</t>
        </is>
      </c>
      <c r="BF2916" t="inlineStr">
        <is>
          <t>893425371</t>
        </is>
      </c>
    </row>
    <row r="2917">
      <c r="A2917" t="inlineStr">
        <is>
          <t>No</t>
        </is>
      </c>
      <c r="B2917" t="inlineStr">
        <is>
          <t>CURAL</t>
        </is>
      </c>
      <c r="C2917" t="inlineStr">
        <is>
          <t>SHELVES</t>
        </is>
      </c>
      <c r="D2917" t="inlineStr">
        <is>
          <t>PR6005.O4 Z7929 1973</t>
        </is>
      </c>
      <c r="E2917" t="inlineStr">
        <is>
          <t>0                      PR 6005000O  4                  Z  7929        1973</t>
        </is>
      </c>
      <c r="F2917" t="inlineStr">
        <is>
          <t>Conrad, the critical heritage; edited by Norman Sherry.</t>
        </is>
      </c>
      <c r="H2917" t="inlineStr">
        <is>
          <t>No</t>
        </is>
      </c>
      <c r="I2917" t="inlineStr">
        <is>
          <t>1</t>
        </is>
      </c>
      <c r="J2917" t="inlineStr">
        <is>
          <t>No</t>
        </is>
      </c>
      <c r="K2917" t="inlineStr">
        <is>
          <t>No</t>
        </is>
      </c>
      <c r="L2917" t="inlineStr">
        <is>
          <t>0</t>
        </is>
      </c>
      <c r="M2917" t="inlineStr">
        <is>
          <t>Sherry, Norman compiler.</t>
        </is>
      </c>
      <c r="N2917" t="inlineStr">
        <is>
          <t>London, Boston, Routledge and Kegan Paul, 1973.</t>
        </is>
      </c>
      <c r="O2917" t="inlineStr">
        <is>
          <t>1973</t>
        </is>
      </c>
      <c r="Q2917" t="inlineStr">
        <is>
          <t>eng</t>
        </is>
      </c>
      <c r="R2917" t="inlineStr">
        <is>
          <t>enk</t>
        </is>
      </c>
      <c r="S2917" t="inlineStr">
        <is>
          <t>The critical heritage series</t>
        </is>
      </c>
      <c r="T2917" t="inlineStr">
        <is>
          <t xml:space="preserve">PR </t>
        </is>
      </c>
      <c r="U2917" t="n">
        <v>2</v>
      </c>
      <c r="V2917" t="n">
        <v>2</v>
      </c>
      <c r="W2917" t="inlineStr">
        <is>
          <t>2010-04-08</t>
        </is>
      </c>
      <c r="X2917" t="inlineStr">
        <is>
          <t>2010-04-08</t>
        </is>
      </c>
      <c r="Y2917" t="inlineStr">
        <is>
          <t>1997-04-02</t>
        </is>
      </c>
      <c r="Z2917" t="inlineStr">
        <is>
          <t>1997-04-02</t>
        </is>
      </c>
      <c r="AA2917" t="n">
        <v>878</v>
      </c>
      <c r="AB2917" t="n">
        <v>606</v>
      </c>
      <c r="AC2917" t="n">
        <v>613</v>
      </c>
      <c r="AD2917" t="n">
        <v>5</v>
      </c>
      <c r="AE2917" t="n">
        <v>5</v>
      </c>
      <c r="AF2917" t="n">
        <v>32</v>
      </c>
      <c r="AG2917" t="n">
        <v>32</v>
      </c>
      <c r="AH2917" t="n">
        <v>12</v>
      </c>
      <c r="AI2917" t="n">
        <v>12</v>
      </c>
      <c r="AJ2917" t="n">
        <v>8</v>
      </c>
      <c r="AK2917" t="n">
        <v>8</v>
      </c>
      <c r="AL2917" t="n">
        <v>18</v>
      </c>
      <c r="AM2917" t="n">
        <v>18</v>
      </c>
      <c r="AN2917" t="n">
        <v>4</v>
      </c>
      <c r="AO2917" t="n">
        <v>4</v>
      </c>
      <c r="AP2917" t="n">
        <v>0</v>
      </c>
      <c r="AQ2917" t="n">
        <v>0</v>
      </c>
      <c r="AR2917" t="inlineStr">
        <is>
          <t>No</t>
        </is>
      </c>
      <c r="AS2917" t="inlineStr">
        <is>
          <t>Yes</t>
        </is>
      </c>
      <c r="AT2917">
        <f>HYPERLINK("http://catalog.hathitrust.org/Record/000009703","HathiTrust Record")</f>
        <v/>
      </c>
      <c r="AU2917">
        <f>HYPERLINK("https://creighton-primo.hosted.exlibrisgroup.com/primo-explore/search?tab=default_tab&amp;search_scope=EVERYTHING&amp;vid=01CRU&amp;lang=en_US&amp;offset=0&amp;query=any,contains,991003149929702656","Catalog Record")</f>
        <v/>
      </c>
      <c r="AV2917">
        <f>HYPERLINK("http://www.worldcat.org/oclc/689337","WorldCat Record")</f>
        <v/>
      </c>
      <c r="AW2917" t="inlineStr">
        <is>
          <t>9489999831:eng</t>
        </is>
      </c>
      <c r="AX2917" t="inlineStr">
        <is>
          <t>689337</t>
        </is>
      </c>
      <c r="AY2917" t="inlineStr">
        <is>
          <t>991003149929702656</t>
        </is>
      </c>
      <c r="AZ2917" t="inlineStr">
        <is>
          <t>991003149929702656</t>
        </is>
      </c>
      <c r="BA2917" t="inlineStr">
        <is>
          <t>2270957760002656</t>
        </is>
      </c>
      <c r="BB2917" t="inlineStr">
        <is>
          <t>BOOK</t>
        </is>
      </c>
      <c r="BD2917" t="inlineStr">
        <is>
          <t>9780710073884</t>
        </is>
      </c>
      <c r="BE2917" t="inlineStr">
        <is>
          <t>32285002123668</t>
        </is>
      </c>
      <c r="BF2917" t="inlineStr">
        <is>
          <t>893252078</t>
        </is>
      </c>
    </row>
    <row r="2918">
      <c r="A2918" t="inlineStr">
        <is>
          <t>No</t>
        </is>
      </c>
      <c r="B2918" t="inlineStr">
        <is>
          <t>CURAL</t>
        </is>
      </c>
      <c r="C2918" t="inlineStr">
        <is>
          <t>SHELVES</t>
        </is>
      </c>
      <c r="D2918" t="inlineStr">
        <is>
          <t>PR6005.O4 Z793</t>
        </is>
      </c>
      <c r="E2918" t="inlineStr">
        <is>
          <t>0                      PR 6005000O  4                  Z  793</t>
        </is>
      </c>
      <c r="F2918" t="inlineStr">
        <is>
          <t>Conrad's Eastern world.</t>
        </is>
      </c>
      <c r="H2918" t="inlineStr">
        <is>
          <t>No</t>
        </is>
      </c>
      <c r="I2918" t="inlineStr">
        <is>
          <t>1</t>
        </is>
      </c>
      <c r="J2918" t="inlineStr">
        <is>
          <t>No</t>
        </is>
      </c>
      <c r="K2918" t="inlineStr">
        <is>
          <t>Yes</t>
        </is>
      </c>
      <c r="L2918" t="inlineStr">
        <is>
          <t>0</t>
        </is>
      </c>
      <c r="M2918" t="inlineStr">
        <is>
          <t>Sherry, Norman.</t>
        </is>
      </c>
      <c r="N2918" t="inlineStr">
        <is>
          <t>London, Cambridge U.P., 1966.</t>
        </is>
      </c>
      <c r="O2918" t="inlineStr">
        <is>
          <t>1966</t>
        </is>
      </c>
      <c r="Q2918" t="inlineStr">
        <is>
          <t>eng</t>
        </is>
      </c>
      <c r="R2918" t="inlineStr">
        <is>
          <t>enk</t>
        </is>
      </c>
      <c r="T2918" t="inlineStr">
        <is>
          <t xml:space="preserve">PR </t>
        </is>
      </c>
      <c r="U2918" t="n">
        <v>2</v>
      </c>
      <c r="V2918" t="n">
        <v>2</v>
      </c>
      <c r="W2918" t="inlineStr">
        <is>
          <t>2010-04-08</t>
        </is>
      </c>
      <c r="X2918" t="inlineStr">
        <is>
          <t>2010-04-08</t>
        </is>
      </c>
      <c r="Y2918" t="inlineStr">
        <is>
          <t>1997-04-02</t>
        </is>
      </c>
      <c r="Z2918" t="inlineStr">
        <is>
          <t>1997-04-02</t>
        </is>
      </c>
      <c r="AA2918" t="n">
        <v>1070</v>
      </c>
      <c r="AB2918" t="n">
        <v>861</v>
      </c>
      <c r="AC2918" t="n">
        <v>1099</v>
      </c>
      <c r="AD2918" t="n">
        <v>6</v>
      </c>
      <c r="AE2918" t="n">
        <v>8</v>
      </c>
      <c r="AF2918" t="n">
        <v>37</v>
      </c>
      <c r="AG2918" t="n">
        <v>46</v>
      </c>
      <c r="AH2918" t="n">
        <v>16</v>
      </c>
      <c r="AI2918" t="n">
        <v>20</v>
      </c>
      <c r="AJ2918" t="n">
        <v>5</v>
      </c>
      <c r="AK2918" t="n">
        <v>9</v>
      </c>
      <c r="AL2918" t="n">
        <v>17</v>
      </c>
      <c r="AM2918" t="n">
        <v>20</v>
      </c>
      <c r="AN2918" t="n">
        <v>5</v>
      </c>
      <c r="AO2918" t="n">
        <v>7</v>
      </c>
      <c r="AP2918" t="n">
        <v>0</v>
      </c>
      <c r="AQ2918" t="n">
        <v>0</v>
      </c>
      <c r="AR2918" t="inlineStr">
        <is>
          <t>No</t>
        </is>
      </c>
      <c r="AS2918" t="inlineStr">
        <is>
          <t>No</t>
        </is>
      </c>
      <c r="AU2918">
        <f>HYPERLINK("https://creighton-primo.hosted.exlibrisgroup.com/primo-explore/search?tab=default_tab&amp;search_scope=EVERYTHING&amp;vid=01CRU&amp;lang=en_US&amp;offset=0&amp;query=any,contains,991002492899702656","Catalog Record")</f>
        <v/>
      </c>
      <c r="AV2918">
        <f>HYPERLINK("http://www.worldcat.org/oclc/362969","WorldCat Record")</f>
        <v/>
      </c>
      <c r="AW2918" t="inlineStr">
        <is>
          <t>916426:eng</t>
        </is>
      </c>
      <c r="AX2918" t="inlineStr">
        <is>
          <t>362969</t>
        </is>
      </c>
      <c r="AY2918" t="inlineStr">
        <is>
          <t>991002492899702656</t>
        </is>
      </c>
      <c r="AZ2918" t="inlineStr">
        <is>
          <t>991002492899702656</t>
        </is>
      </c>
      <c r="BA2918" t="inlineStr">
        <is>
          <t>2262461330002656</t>
        </is>
      </c>
      <c r="BB2918" t="inlineStr">
        <is>
          <t>BOOK</t>
        </is>
      </c>
      <c r="BE2918" t="inlineStr">
        <is>
          <t>32285002123676</t>
        </is>
      </c>
      <c r="BF2918" t="inlineStr">
        <is>
          <t>893316883</t>
        </is>
      </c>
    </row>
    <row r="2919">
      <c r="A2919" t="inlineStr">
        <is>
          <t>No</t>
        </is>
      </c>
      <c r="B2919" t="inlineStr">
        <is>
          <t>CURAL</t>
        </is>
      </c>
      <c r="C2919" t="inlineStr">
        <is>
          <t>SHELVES</t>
        </is>
      </c>
      <c r="D2919" t="inlineStr">
        <is>
          <t>PR6005.O4 Z795 1992</t>
        </is>
      </c>
      <c r="E2919" t="inlineStr">
        <is>
          <t>0                      PR 6005000O  4                  Z  795         1992</t>
        </is>
      </c>
      <c r="F2919" t="inlineStr">
        <is>
          <t>Joseph Conrad : text and context / Brian Spittles.</t>
        </is>
      </c>
      <c r="H2919" t="inlineStr">
        <is>
          <t>No</t>
        </is>
      </c>
      <c r="I2919" t="inlineStr">
        <is>
          <t>1</t>
        </is>
      </c>
      <c r="J2919" t="inlineStr">
        <is>
          <t>No</t>
        </is>
      </c>
      <c r="K2919" t="inlineStr">
        <is>
          <t>No</t>
        </is>
      </c>
      <c r="L2919" t="inlineStr">
        <is>
          <t>0</t>
        </is>
      </c>
      <c r="M2919" t="inlineStr">
        <is>
          <t>Spittles, Brian.</t>
        </is>
      </c>
      <c r="N2919" t="inlineStr">
        <is>
          <t>New York : St. Martin's Press, 1992.</t>
        </is>
      </c>
      <c r="O2919" t="inlineStr">
        <is>
          <t>1992</t>
        </is>
      </c>
      <c r="Q2919" t="inlineStr">
        <is>
          <t>eng</t>
        </is>
      </c>
      <c r="R2919" t="inlineStr">
        <is>
          <t>nyu</t>
        </is>
      </c>
      <c r="S2919" t="inlineStr">
        <is>
          <t>Writers in their time</t>
        </is>
      </c>
      <c r="T2919" t="inlineStr">
        <is>
          <t xml:space="preserve">PR </t>
        </is>
      </c>
      <c r="U2919" t="n">
        <v>7</v>
      </c>
      <c r="V2919" t="n">
        <v>7</v>
      </c>
      <c r="W2919" t="inlineStr">
        <is>
          <t>2000-05-19</t>
        </is>
      </c>
      <c r="X2919" t="inlineStr">
        <is>
          <t>2000-05-19</t>
        </is>
      </c>
      <c r="Y2919" t="inlineStr">
        <is>
          <t>1993-03-24</t>
        </is>
      </c>
      <c r="Z2919" t="inlineStr">
        <is>
          <t>1993-03-24</t>
        </is>
      </c>
      <c r="AA2919" t="n">
        <v>340</v>
      </c>
      <c r="AB2919" t="n">
        <v>305</v>
      </c>
      <c r="AC2919" t="n">
        <v>329</v>
      </c>
      <c r="AD2919" t="n">
        <v>2</v>
      </c>
      <c r="AE2919" t="n">
        <v>2</v>
      </c>
      <c r="AF2919" t="n">
        <v>17</v>
      </c>
      <c r="AG2919" t="n">
        <v>18</v>
      </c>
      <c r="AH2919" t="n">
        <v>9</v>
      </c>
      <c r="AI2919" t="n">
        <v>9</v>
      </c>
      <c r="AJ2919" t="n">
        <v>3</v>
      </c>
      <c r="AK2919" t="n">
        <v>3</v>
      </c>
      <c r="AL2919" t="n">
        <v>9</v>
      </c>
      <c r="AM2919" t="n">
        <v>10</v>
      </c>
      <c r="AN2919" t="n">
        <v>1</v>
      </c>
      <c r="AO2919" t="n">
        <v>1</v>
      </c>
      <c r="AP2919" t="n">
        <v>0</v>
      </c>
      <c r="AQ2919" t="n">
        <v>0</v>
      </c>
      <c r="AR2919" t="inlineStr">
        <is>
          <t>No</t>
        </is>
      </c>
      <c r="AS2919" t="inlineStr">
        <is>
          <t>No</t>
        </is>
      </c>
      <c r="AU2919">
        <f>HYPERLINK("https://creighton-primo.hosted.exlibrisgroup.com/primo-explore/search?tab=default_tab&amp;search_scope=EVERYTHING&amp;vid=01CRU&amp;lang=en_US&amp;offset=0&amp;query=any,contains,991005414429702656","Catalog Record")</f>
        <v/>
      </c>
      <c r="AV2919">
        <f>HYPERLINK("http://www.worldcat.org/oclc/25026604","WorldCat Record")</f>
        <v/>
      </c>
      <c r="AW2919" t="inlineStr">
        <is>
          <t>27193773:eng</t>
        </is>
      </c>
      <c r="AX2919" t="inlineStr">
        <is>
          <t>25026604</t>
        </is>
      </c>
      <c r="AY2919" t="inlineStr">
        <is>
          <t>991005414429702656</t>
        </is>
      </c>
      <c r="AZ2919" t="inlineStr">
        <is>
          <t>991005414429702656</t>
        </is>
      </c>
      <c r="BA2919" t="inlineStr">
        <is>
          <t>2262152430002656</t>
        </is>
      </c>
      <c r="BB2919" t="inlineStr">
        <is>
          <t>BOOK</t>
        </is>
      </c>
      <c r="BD2919" t="inlineStr">
        <is>
          <t>9780312072612</t>
        </is>
      </c>
      <c r="BE2919" t="inlineStr">
        <is>
          <t>32285001498228</t>
        </is>
      </c>
      <c r="BF2919" t="inlineStr">
        <is>
          <t>893613670</t>
        </is>
      </c>
    </row>
    <row r="2920">
      <c r="A2920" t="inlineStr">
        <is>
          <t>No</t>
        </is>
      </c>
      <c r="B2920" t="inlineStr">
        <is>
          <t>CURAL</t>
        </is>
      </c>
      <c r="C2920" t="inlineStr">
        <is>
          <t>SHELVES</t>
        </is>
      </c>
      <c r="D2920" t="inlineStr">
        <is>
          <t>PR6005.O4 Z8 1969</t>
        </is>
      </c>
      <c r="E2920" t="inlineStr">
        <is>
          <t>0                      PR 6005000O  4                  Z  8           1969</t>
        </is>
      </c>
      <c r="F2920" t="inlineStr">
        <is>
          <t>Joseph Conrad, his romantic-realism / by Ruth M. Stauffer.</t>
        </is>
      </c>
      <c r="H2920" t="inlineStr">
        <is>
          <t>No</t>
        </is>
      </c>
      <c r="I2920" t="inlineStr">
        <is>
          <t>1</t>
        </is>
      </c>
      <c r="J2920" t="inlineStr">
        <is>
          <t>No</t>
        </is>
      </c>
      <c r="K2920" t="inlineStr">
        <is>
          <t>No</t>
        </is>
      </c>
      <c r="L2920" t="inlineStr">
        <is>
          <t>0</t>
        </is>
      </c>
      <c r="M2920" t="inlineStr">
        <is>
          <t>Stauffer, Ruth M. (Ruth Matilda), 1885-1965.</t>
        </is>
      </c>
      <c r="N2920" t="inlineStr">
        <is>
          <t>New York, Haskell House, 1969.</t>
        </is>
      </c>
      <c r="O2920" t="inlineStr">
        <is>
          <t>1969</t>
        </is>
      </c>
      <c r="Q2920" t="inlineStr">
        <is>
          <t>eng</t>
        </is>
      </c>
      <c r="R2920" t="inlineStr">
        <is>
          <t>nyu</t>
        </is>
      </c>
      <c r="T2920" t="inlineStr">
        <is>
          <t xml:space="preserve">PR </t>
        </is>
      </c>
      <c r="U2920" t="n">
        <v>1</v>
      </c>
      <c r="V2920" t="n">
        <v>1</v>
      </c>
      <c r="W2920" t="inlineStr">
        <is>
          <t>2000-07-01</t>
        </is>
      </c>
      <c r="X2920" t="inlineStr">
        <is>
          <t>2000-07-01</t>
        </is>
      </c>
      <c r="Y2920" t="inlineStr">
        <is>
          <t>1997-09-12</t>
        </is>
      </c>
      <c r="Z2920" t="inlineStr">
        <is>
          <t>1997-09-12</t>
        </is>
      </c>
      <c r="AA2920" t="n">
        <v>207</v>
      </c>
      <c r="AB2920" t="n">
        <v>180</v>
      </c>
      <c r="AC2920" t="n">
        <v>286</v>
      </c>
      <c r="AD2920" t="n">
        <v>1</v>
      </c>
      <c r="AE2920" t="n">
        <v>4</v>
      </c>
      <c r="AF2920" t="n">
        <v>7</v>
      </c>
      <c r="AG2920" t="n">
        <v>11</v>
      </c>
      <c r="AH2920" t="n">
        <v>0</v>
      </c>
      <c r="AI2920" t="n">
        <v>0</v>
      </c>
      <c r="AJ2920" t="n">
        <v>4</v>
      </c>
      <c r="AK2920" t="n">
        <v>4</v>
      </c>
      <c r="AL2920" t="n">
        <v>6</v>
      </c>
      <c r="AM2920" t="n">
        <v>7</v>
      </c>
      <c r="AN2920" t="n">
        <v>0</v>
      </c>
      <c r="AO2920" t="n">
        <v>3</v>
      </c>
      <c r="AP2920" t="n">
        <v>0</v>
      </c>
      <c r="AQ2920" t="n">
        <v>0</v>
      </c>
      <c r="AR2920" t="inlineStr">
        <is>
          <t>No</t>
        </is>
      </c>
      <c r="AS2920" t="inlineStr">
        <is>
          <t>Yes</t>
        </is>
      </c>
      <c r="AT2920">
        <f>HYPERLINK("http://catalog.hathitrust.org/Record/009495176","HathiTrust Record")</f>
        <v/>
      </c>
      <c r="AU2920">
        <f>HYPERLINK("https://creighton-primo.hosted.exlibrisgroup.com/primo-explore/search?tab=default_tab&amp;search_scope=EVERYTHING&amp;vid=01CRU&amp;lang=en_US&amp;offset=0&amp;query=any,contains,991005431269702656","Catalog Record")</f>
        <v/>
      </c>
      <c r="AV2920">
        <f>HYPERLINK("http://www.worldcat.org/oclc/313","WorldCat Record")</f>
        <v/>
      </c>
      <c r="AW2920" t="inlineStr">
        <is>
          <t>1123532:eng</t>
        </is>
      </c>
      <c r="AX2920" t="inlineStr">
        <is>
          <t>313</t>
        </is>
      </c>
      <c r="AY2920" t="inlineStr">
        <is>
          <t>991005431269702656</t>
        </is>
      </c>
      <c r="AZ2920" t="inlineStr">
        <is>
          <t>991005431269702656</t>
        </is>
      </c>
      <c r="BA2920" t="inlineStr">
        <is>
          <t>2272560190002656</t>
        </is>
      </c>
      <c r="BB2920" t="inlineStr">
        <is>
          <t>BOOK</t>
        </is>
      </c>
      <c r="BD2920" t="inlineStr">
        <is>
          <t>9780838307946</t>
        </is>
      </c>
      <c r="BE2920" t="inlineStr">
        <is>
          <t>32285003170841</t>
        </is>
      </c>
      <c r="BF2920" t="inlineStr">
        <is>
          <t>893871186</t>
        </is>
      </c>
    </row>
    <row r="2921">
      <c r="A2921" t="inlineStr">
        <is>
          <t>No</t>
        </is>
      </c>
      <c r="B2921" t="inlineStr">
        <is>
          <t>CURAL</t>
        </is>
      </c>
      <c r="C2921" t="inlineStr">
        <is>
          <t>SHELVES</t>
        </is>
      </c>
      <c r="D2921" t="inlineStr">
        <is>
          <t>PR6005.O4 Z82</t>
        </is>
      </c>
      <c r="E2921" t="inlineStr">
        <is>
          <t>0                      PR 6005000O  4                  Z  82</t>
        </is>
      </c>
      <c r="F2921" t="inlineStr">
        <is>
          <t>Joseph Conrad / by J. I. M. Stewart.</t>
        </is>
      </c>
      <c r="H2921" t="inlineStr">
        <is>
          <t>No</t>
        </is>
      </c>
      <c r="I2921" t="inlineStr">
        <is>
          <t>1</t>
        </is>
      </c>
      <c r="J2921" t="inlineStr">
        <is>
          <t>No</t>
        </is>
      </c>
      <c r="K2921" t="inlineStr">
        <is>
          <t>No</t>
        </is>
      </c>
      <c r="L2921" t="inlineStr">
        <is>
          <t>0</t>
        </is>
      </c>
      <c r="M2921" t="inlineStr">
        <is>
          <t>Stewart, J. I. M. (John Innes Mackintosh), 1906-1994.</t>
        </is>
      </c>
      <c r="N2921" t="inlineStr">
        <is>
          <t>New York, Dodd, Mead [1968]</t>
        </is>
      </c>
      <c r="O2921" t="inlineStr">
        <is>
          <t>1968</t>
        </is>
      </c>
      <c r="Q2921" t="inlineStr">
        <is>
          <t>eng</t>
        </is>
      </c>
      <c r="R2921" t="inlineStr">
        <is>
          <t>nyu</t>
        </is>
      </c>
      <c r="T2921" t="inlineStr">
        <is>
          <t xml:space="preserve">PR </t>
        </is>
      </c>
      <c r="U2921" t="n">
        <v>1</v>
      </c>
      <c r="V2921" t="n">
        <v>1</v>
      </c>
      <c r="W2921" t="inlineStr">
        <is>
          <t>1998-08-30</t>
        </is>
      </c>
      <c r="X2921" t="inlineStr">
        <is>
          <t>1998-08-30</t>
        </is>
      </c>
      <c r="Y2921" t="inlineStr">
        <is>
          <t>1997-09-12</t>
        </is>
      </c>
      <c r="Z2921" t="inlineStr">
        <is>
          <t>1997-09-12</t>
        </is>
      </c>
      <c r="AA2921" t="n">
        <v>754</v>
      </c>
      <c r="AB2921" t="n">
        <v>696</v>
      </c>
      <c r="AC2921" t="n">
        <v>741</v>
      </c>
      <c r="AD2921" t="n">
        <v>3</v>
      </c>
      <c r="AE2921" t="n">
        <v>3</v>
      </c>
      <c r="AF2921" t="n">
        <v>17</v>
      </c>
      <c r="AG2921" t="n">
        <v>21</v>
      </c>
      <c r="AH2921" t="n">
        <v>8</v>
      </c>
      <c r="AI2921" t="n">
        <v>9</v>
      </c>
      <c r="AJ2921" t="n">
        <v>2</v>
      </c>
      <c r="AK2921" t="n">
        <v>4</v>
      </c>
      <c r="AL2921" t="n">
        <v>9</v>
      </c>
      <c r="AM2921" t="n">
        <v>12</v>
      </c>
      <c r="AN2921" t="n">
        <v>2</v>
      </c>
      <c r="AO2921" t="n">
        <v>2</v>
      </c>
      <c r="AP2921" t="n">
        <v>0</v>
      </c>
      <c r="AQ2921" t="n">
        <v>0</v>
      </c>
      <c r="AR2921" t="inlineStr">
        <is>
          <t>No</t>
        </is>
      </c>
      <c r="AS2921" t="inlineStr">
        <is>
          <t>Yes</t>
        </is>
      </c>
      <c r="AT2921">
        <f>HYPERLINK("http://catalog.hathitrust.org/Record/000668041","HathiTrust Record")</f>
        <v/>
      </c>
      <c r="AU2921">
        <f>HYPERLINK("https://creighton-primo.hosted.exlibrisgroup.com/primo-explore/search?tab=default_tab&amp;search_scope=EVERYTHING&amp;vid=01CRU&amp;lang=en_US&amp;offset=0&amp;query=any,contains,991002776529702656","Catalog Record")</f>
        <v/>
      </c>
      <c r="AV2921">
        <f>HYPERLINK("http://www.worldcat.org/oclc/438923","WorldCat Record")</f>
        <v/>
      </c>
      <c r="AW2921" t="inlineStr">
        <is>
          <t>118842526:eng</t>
        </is>
      </c>
      <c r="AX2921" t="inlineStr">
        <is>
          <t>438923</t>
        </is>
      </c>
      <c r="AY2921" t="inlineStr">
        <is>
          <t>991002776529702656</t>
        </is>
      </c>
      <c r="AZ2921" t="inlineStr">
        <is>
          <t>991002776529702656</t>
        </is>
      </c>
      <c r="BA2921" t="inlineStr">
        <is>
          <t>2265345300002656</t>
        </is>
      </c>
      <c r="BB2921" t="inlineStr">
        <is>
          <t>BOOK</t>
        </is>
      </c>
      <c r="BE2921" t="inlineStr">
        <is>
          <t>32285003170866</t>
        </is>
      </c>
      <c r="BF2921" t="inlineStr">
        <is>
          <t>893616564</t>
        </is>
      </c>
    </row>
    <row r="2922">
      <c r="A2922" t="inlineStr">
        <is>
          <t>No</t>
        </is>
      </c>
      <c r="B2922" t="inlineStr">
        <is>
          <t>CURAL</t>
        </is>
      </c>
      <c r="C2922" t="inlineStr">
        <is>
          <t>SHELVES</t>
        </is>
      </c>
      <c r="D2922" t="inlineStr">
        <is>
          <t>PR6005.O4 Z882 1981</t>
        </is>
      </c>
      <c r="E2922" t="inlineStr">
        <is>
          <t>0                      PR 6005000O  4                  Z  882         1981</t>
        </is>
      </c>
      <c r="F2922" t="inlineStr">
        <is>
          <t>Joseph Conrad / Roger Tennant.</t>
        </is>
      </c>
      <c r="H2922" t="inlineStr">
        <is>
          <t>No</t>
        </is>
      </c>
      <c r="I2922" t="inlineStr">
        <is>
          <t>1</t>
        </is>
      </c>
      <c r="J2922" t="inlineStr">
        <is>
          <t>No</t>
        </is>
      </c>
      <c r="K2922" t="inlineStr">
        <is>
          <t>No</t>
        </is>
      </c>
      <c r="L2922" t="inlineStr">
        <is>
          <t>0</t>
        </is>
      </c>
      <c r="M2922" t="inlineStr">
        <is>
          <t>Tennant, Charles Roger, 1919-2003.</t>
        </is>
      </c>
      <c r="N2922" t="inlineStr">
        <is>
          <t>New York : Atheneum, 1981.</t>
        </is>
      </c>
      <c r="O2922" t="inlineStr">
        <is>
          <t>1981</t>
        </is>
      </c>
      <c r="P2922" t="inlineStr">
        <is>
          <t>1st ed.</t>
        </is>
      </c>
      <c r="Q2922" t="inlineStr">
        <is>
          <t>eng</t>
        </is>
      </c>
      <c r="R2922" t="inlineStr">
        <is>
          <t>nyu</t>
        </is>
      </c>
      <c r="T2922" t="inlineStr">
        <is>
          <t xml:space="preserve">PR </t>
        </is>
      </c>
      <c r="U2922" t="n">
        <v>2</v>
      </c>
      <c r="V2922" t="n">
        <v>2</v>
      </c>
      <c r="W2922" t="inlineStr">
        <is>
          <t>2010-04-08</t>
        </is>
      </c>
      <c r="X2922" t="inlineStr">
        <is>
          <t>2010-04-08</t>
        </is>
      </c>
      <c r="Y2922" t="inlineStr">
        <is>
          <t>1992-07-02</t>
        </is>
      </c>
      <c r="Z2922" t="inlineStr">
        <is>
          <t>1992-07-02</t>
        </is>
      </c>
      <c r="AA2922" t="n">
        <v>733</v>
      </c>
      <c r="AB2922" t="n">
        <v>660</v>
      </c>
      <c r="AC2922" t="n">
        <v>693</v>
      </c>
      <c r="AD2922" t="n">
        <v>3</v>
      </c>
      <c r="AE2922" t="n">
        <v>5</v>
      </c>
      <c r="AF2922" t="n">
        <v>28</v>
      </c>
      <c r="AG2922" t="n">
        <v>31</v>
      </c>
      <c r="AH2922" t="n">
        <v>10</v>
      </c>
      <c r="AI2922" t="n">
        <v>10</v>
      </c>
      <c r="AJ2922" t="n">
        <v>9</v>
      </c>
      <c r="AK2922" t="n">
        <v>9</v>
      </c>
      <c r="AL2922" t="n">
        <v>19</v>
      </c>
      <c r="AM2922" t="n">
        <v>20</v>
      </c>
      <c r="AN2922" t="n">
        <v>1</v>
      </c>
      <c r="AO2922" t="n">
        <v>3</v>
      </c>
      <c r="AP2922" t="n">
        <v>0</v>
      </c>
      <c r="AQ2922" t="n">
        <v>0</v>
      </c>
      <c r="AR2922" t="inlineStr">
        <is>
          <t>No</t>
        </is>
      </c>
      <c r="AS2922" t="inlineStr">
        <is>
          <t>Yes</t>
        </is>
      </c>
      <c r="AT2922">
        <f>HYPERLINK("http://catalog.hathitrust.org/Record/000147074","HathiTrust Record")</f>
        <v/>
      </c>
      <c r="AU2922">
        <f>HYPERLINK("https://creighton-primo.hosted.exlibrisgroup.com/primo-explore/search?tab=default_tab&amp;search_scope=EVERYTHING&amp;vid=01CRU&amp;lang=en_US&amp;offset=0&amp;query=any,contains,991005092759702656","Catalog Record")</f>
        <v/>
      </c>
      <c r="AV2922">
        <f>HYPERLINK("http://www.worldcat.org/oclc/7247281","WorldCat Record")</f>
        <v/>
      </c>
      <c r="AW2922" t="inlineStr">
        <is>
          <t>1909379183:eng</t>
        </is>
      </c>
      <c r="AX2922" t="inlineStr">
        <is>
          <t>7247281</t>
        </is>
      </c>
      <c r="AY2922" t="inlineStr">
        <is>
          <t>991005092759702656</t>
        </is>
      </c>
      <c r="AZ2922" t="inlineStr">
        <is>
          <t>991005092759702656</t>
        </is>
      </c>
      <c r="BA2922" t="inlineStr">
        <is>
          <t>2268319570002656</t>
        </is>
      </c>
      <c r="BB2922" t="inlineStr">
        <is>
          <t>BOOK</t>
        </is>
      </c>
      <c r="BD2922" t="inlineStr">
        <is>
          <t>9780689111525</t>
        </is>
      </c>
      <c r="BE2922" t="inlineStr">
        <is>
          <t>32285001147247</t>
        </is>
      </c>
      <c r="BF2922" t="inlineStr">
        <is>
          <t>893443387</t>
        </is>
      </c>
    </row>
    <row r="2923">
      <c r="A2923" t="inlineStr">
        <is>
          <t>No</t>
        </is>
      </c>
      <c r="B2923" t="inlineStr">
        <is>
          <t>CURAL</t>
        </is>
      </c>
      <c r="C2923" t="inlineStr">
        <is>
          <t>SHELVES</t>
        </is>
      </c>
      <c r="D2923" t="inlineStr">
        <is>
          <t>PR6005.O4 Z89 1968</t>
        </is>
      </c>
      <c r="E2923" t="inlineStr">
        <is>
          <t>0                      PR 6005000O  4                  Z  89          1968</t>
        </is>
      </c>
      <c r="F2923" t="inlineStr">
        <is>
          <t>The mirror of Conrad.</t>
        </is>
      </c>
      <c r="H2923" t="inlineStr">
        <is>
          <t>No</t>
        </is>
      </c>
      <c r="I2923" t="inlineStr">
        <is>
          <t>1</t>
        </is>
      </c>
      <c r="J2923" t="inlineStr">
        <is>
          <t>No</t>
        </is>
      </c>
      <c r="K2923" t="inlineStr">
        <is>
          <t>No</t>
        </is>
      </c>
      <c r="L2923" t="inlineStr">
        <is>
          <t>0</t>
        </is>
      </c>
      <c r="M2923" t="inlineStr">
        <is>
          <t>Visiak, E. H. (Edward Harold)</t>
        </is>
      </c>
      <c r="N2923" t="inlineStr">
        <is>
          <t>New York, Humanities Press, 1968 [1955]</t>
        </is>
      </c>
      <c r="O2923" t="inlineStr">
        <is>
          <t>1968</t>
        </is>
      </c>
      <c r="Q2923" t="inlineStr">
        <is>
          <t>eng</t>
        </is>
      </c>
      <c r="R2923" t="inlineStr">
        <is>
          <t xml:space="preserve">xx </t>
        </is>
      </c>
      <c r="T2923" t="inlineStr">
        <is>
          <t xml:space="preserve">PR </t>
        </is>
      </c>
      <c r="U2923" t="n">
        <v>1</v>
      </c>
      <c r="V2923" t="n">
        <v>1</v>
      </c>
      <c r="W2923" t="inlineStr">
        <is>
          <t>2002-09-18</t>
        </is>
      </c>
      <c r="X2923" t="inlineStr">
        <is>
          <t>2002-09-18</t>
        </is>
      </c>
      <c r="Y2923" t="inlineStr">
        <is>
          <t>1997-04-02</t>
        </is>
      </c>
      <c r="Z2923" t="inlineStr">
        <is>
          <t>1997-04-02</t>
        </is>
      </c>
      <c r="AA2923" t="n">
        <v>270</v>
      </c>
      <c r="AB2923" t="n">
        <v>232</v>
      </c>
      <c r="AC2923" t="n">
        <v>680</v>
      </c>
      <c r="AD2923" t="n">
        <v>2</v>
      </c>
      <c r="AE2923" t="n">
        <v>5</v>
      </c>
      <c r="AF2923" t="n">
        <v>5</v>
      </c>
      <c r="AG2923" t="n">
        <v>38</v>
      </c>
      <c r="AH2923" t="n">
        <v>1</v>
      </c>
      <c r="AI2923" t="n">
        <v>15</v>
      </c>
      <c r="AJ2923" t="n">
        <v>1</v>
      </c>
      <c r="AK2923" t="n">
        <v>8</v>
      </c>
      <c r="AL2923" t="n">
        <v>4</v>
      </c>
      <c r="AM2923" t="n">
        <v>22</v>
      </c>
      <c r="AN2923" t="n">
        <v>1</v>
      </c>
      <c r="AO2923" t="n">
        <v>4</v>
      </c>
      <c r="AP2923" t="n">
        <v>0</v>
      </c>
      <c r="AQ2923" t="n">
        <v>0</v>
      </c>
      <c r="AR2923" t="inlineStr">
        <is>
          <t>No</t>
        </is>
      </c>
      <c r="AS2923" t="inlineStr">
        <is>
          <t>No</t>
        </is>
      </c>
      <c r="AU2923">
        <f>HYPERLINK("https://creighton-primo.hosted.exlibrisgroup.com/primo-explore/search?tab=default_tab&amp;search_scope=EVERYTHING&amp;vid=01CRU&amp;lang=en_US&amp;offset=0&amp;query=any,contains,991002493199702656","Catalog Record")</f>
        <v/>
      </c>
      <c r="AV2923">
        <f>HYPERLINK("http://www.worldcat.org/oclc/34796671","WorldCat Record")</f>
        <v/>
      </c>
      <c r="AW2923" t="inlineStr">
        <is>
          <t>1496933:eng</t>
        </is>
      </c>
      <c r="AX2923" t="inlineStr">
        <is>
          <t>34796671</t>
        </is>
      </c>
      <c r="AY2923" t="inlineStr">
        <is>
          <t>991002493199702656</t>
        </is>
      </c>
      <c r="AZ2923" t="inlineStr">
        <is>
          <t>991002493199702656</t>
        </is>
      </c>
      <c r="BA2923" t="inlineStr">
        <is>
          <t>2263923890002656</t>
        </is>
      </c>
      <c r="BB2923" t="inlineStr">
        <is>
          <t>BOOK</t>
        </is>
      </c>
      <c r="BE2923" t="inlineStr">
        <is>
          <t>32285002123700</t>
        </is>
      </c>
      <c r="BF2923" t="inlineStr">
        <is>
          <t>893616201</t>
        </is>
      </c>
    </row>
    <row r="2924">
      <c r="A2924" t="inlineStr">
        <is>
          <t>No</t>
        </is>
      </c>
      <c r="B2924" t="inlineStr">
        <is>
          <t>CURAL</t>
        </is>
      </c>
      <c r="C2924" t="inlineStr">
        <is>
          <t>SHELVES</t>
        </is>
      </c>
      <c r="D2924" t="inlineStr">
        <is>
          <t>PR6005.O4 Z9237 1989</t>
        </is>
      </c>
      <c r="E2924" t="inlineStr">
        <is>
          <t>0                      PR 6005000O  4                  Z  9237        1989</t>
        </is>
      </c>
      <c r="F2924" t="inlineStr">
        <is>
          <t>Joseph Conrad : a literary life / Cedric Watts.</t>
        </is>
      </c>
      <c r="H2924" t="inlineStr">
        <is>
          <t>No</t>
        </is>
      </c>
      <c r="I2924" t="inlineStr">
        <is>
          <t>1</t>
        </is>
      </c>
      <c r="J2924" t="inlineStr">
        <is>
          <t>No</t>
        </is>
      </c>
      <c r="K2924" t="inlineStr">
        <is>
          <t>No</t>
        </is>
      </c>
      <c r="L2924" t="inlineStr">
        <is>
          <t>0</t>
        </is>
      </c>
      <c r="M2924" t="inlineStr">
        <is>
          <t>Watts, Cedric, 1937-</t>
        </is>
      </c>
      <c r="N2924" t="inlineStr">
        <is>
          <t>New York : St. Martin's Press, 1989.</t>
        </is>
      </c>
      <c r="O2924" t="inlineStr">
        <is>
          <t>1989</t>
        </is>
      </c>
      <c r="Q2924" t="inlineStr">
        <is>
          <t>eng</t>
        </is>
      </c>
      <c r="R2924" t="inlineStr">
        <is>
          <t>nyu</t>
        </is>
      </c>
      <c r="S2924" t="inlineStr">
        <is>
          <t>Literary lives</t>
        </is>
      </c>
      <c r="T2924" t="inlineStr">
        <is>
          <t xml:space="preserve">PR </t>
        </is>
      </c>
      <c r="U2924" t="n">
        <v>3</v>
      </c>
      <c r="V2924" t="n">
        <v>3</v>
      </c>
      <c r="W2924" t="inlineStr">
        <is>
          <t>2004-09-27</t>
        </is>
      </c>
      <c r="X2924" t="inlineStr">
        <is>
          <t>2004-09-27</t>
        </is>
      </c>
      <c r="Y2924" t="inlineStr">
        <is>
          <t>1990-04-03</t>
        </is>
      </c>
      <c r="Z2924" t="inlineStr">
        <is>
          <t>1990-04-03</t>
        </is>
      </c>
      <c r="AA2924" t="n">
        <v>246</v>
      </c>
      <c r="AB2924" t="n">
        <v>221</v>
      </c>
      <c r="AC2924" t="n">
        <v>269</v>
      </c>
      <c r="AD2924" t="n">
        <v>2</v>
      </c>
      <c r="AE2924" t="n">
        <v>3</v>
      </c>
      <c r="AF2924" t="n">
        <v>14</v>
      </c>
      <c r="AG2924" t="n">
        <v>15</v>
      </c>
      <c r="AH2924" t="n">
        <v>5</v>
      </c>
      <c r="AI2924" t="n">
        <v>5</v>
      </c>
      <c r="AJ2924" t="n">
        <v>4</v>
      </c>
      <c r="AK2924" t="n">
        <v>4</v>
      </c>
      <c r="AL2924" t="n">
        <v>8</v>
      </c>
      <c r="AM2924" t="n">
        <v>8</v>
      </c>
      <c r="AN2924" t="n">
        <v>1</v>
      </c>
      <c r="AO2924" t="n">
        <v>2</v>
      </c>
      <c r="AP2924" t="n">
        <v>0</v>
      </c>
      <c r="AQ2924" t="n">
        <v>0</v>
      </c>
      <c r="AR2924" t="inlineStr">
        <is>
          <t>No</t>
        </is>
      </c>
      <c r="AS2924" t="inlineStr">
        <is>
          <t>No</t>
        </is>
      </c>
      <c r="AU2924">
        <f>HYPERLINK("https://creighton-primo.hosted.exlibrisgroup.com/primo-explore/search?tab=default_tab&amp;search_scope=EVERYTHING&amp;vid=01CRU&amp;lang=en_US&amp;offset=0&amp;query=any,contains,991001417969702656","Catalog Record")</f>
        <v/>
      </c>
      <c r="AV2924">
        <f>HYPERLINK("http://www.worldcat.org/oclc/18959792","WorldCat Record")</f>
        <v/>
      </c>
      <c r="AW2924" t="inlineStr">
        <is>
          <t>3943930790:eng</t>
        </is>
      </c>
      <c r="AX2924" t="inlineStr">
        <is>
          <t>18959792</t>
        </is>
      </c>
      <c r="AY2924" t="inlineStr">
        <is>
          <t>991001417969702656</t>
        </is>
      </c>
      <c r="AZ2924" t="inlineStr">
        <is>
          <t>991001417969702656</t>
        </is>
      </c>
      <c r="BA2924" t="inlineStr">
        <is>
          <t>2270141760002656</t>
        </is>
      </c>
      <c r="BB2924" t="inlineStr">
        <is>
          <t>BOOK</t>
        </is>
      </c>
      <c r="BD2924" t="inlineStr">
        <is>
          <t>9780312030896</t>
        </is>
      </c>
      <c r="BE2924" t="inlineStr">
        <is>
          <t>32285000093160</t>
        </is>
      </c>
      <c r="BF2924" t="inlineStr">
        <is>
          <t>893897783</t>
        </is>
      </c>
    </row>
    <row r="2925">
      <c r="A2925" t="inlineStr">
        <is>
          <t>No</t>
        </is>
      </c>
      <c r="B2925" t="inlineStr">
        <is>
          <t>CURAL</t>
        </is>
      </c>
      <c r="C2925" t="inlineStr">
        <is>
          <t>SHELVES</t>
        </is>
      </c>
      <c r="D2925" t="inlineStr">
        <is>
          <t>PR6005.O4 Z93 1966</t>
        </is>
      </c>
      <c r="E2925" t="inlineStr">
        <is>
          <t>0                      PR 6005000O  4                  Z  93          1966</t>
        </is>
      </c>
      <c r="F2925" t="inlineStr">
        <is>
          <t>Conrad's measure of man, by Paul L. Wiley.</t>
        </is>
      </c>
      <c r="H2925" t="inlineStr">
        <is>
          <t>No</t>
        </is>
      </c>
      <c r="I2925" t="inlineStr">
        <is>
          <t>1</t>
        </is>
      </c>
      <c r="J2925" t="inlineStr">
        <is>
          <t>No</t>
        </is>
      </c>
      <c r="K2925" t="inlineStr">
        <is>
          <t>No</t>
        </is>
      </c>
      <c r="L2925" t="inlineStr">
        <is>
          <t>0</t>
        </is>
      </c>
      <c r="M2925" t="inlineStr">
        <is>
          <t>Wiley, Paul L. (Paul Luzon), 1914-1979.</t>
        </is>
      </c>
      <c r="N2925" t="inlineStr">
        <is>
          <t>New York, Gordian Press, 1966 [c1954]</t>
        </is>
      </c>
      <c r="O2925" t="inlineStr">
        <is>
          <t>1966</t>
        </is>
      </c>
      <c r="Q2925" t="inlineStr">
        <is>
          <t>eng</t>
        </is>
      </c>
      <c r="R2925" t="inlineStr">
        <is>
          <t>nyu</t>
        </is>
      </c>
      <c r="T2925" t="inlineStr">
        <is>
          <t xml:space="preserve">PR </t>
        </is>
      </c>
      <c r="U2925" t="n">
        <v>3</v>
      </c>
      <c r="V2925" t="n">
        <v>3</v>
      </c>
      <c r="W2925" t="inlineStr">
        <is>
          <t>1995-12-02</t>
        </is>
      </c>
      <c r="X2925" t="inlineStr">
        <is>
          <t>1995-12-02</t>
        </is>
      </c>
      <c r="Y2925" t="inlineStr">
        <is>
          <t>1991-12-16</t>
        </is>
      </c>
      <c r="Z2925" t="inlineStr">
        <is>
          <t>1991-12-16</t>
        </is>
      </c>
      <c r="AA2925" t="n">
        <v>585</v>
      </c>
      <c r="AB2925" t="n">
        <v>529</v>
      </c>
      <c r="AC2925" t="n">
        <v>908</v>
      </c>
      <c r="AD2925" t="n">
        <v>5</v>
      </c>
      <c r="AE2925" t="n">
        <v>9</v>
      </c>
      <c r="AF2925" t="n">
        <v>22</v>
      </c>
      <c r="AG2925" t="n">
        <v>45</v>
      </c>
      <c r="AH2925" t="n">
        <v>7</v>
      </c>
      <c r="AI2925" t="n">
        <v>18</v>
      </c>
      <c r="AJ2925" t="n">
        <v>6</v>
      </c>
      <c r="AK2925" t="n">
        <v>9</v>
      </c>
      <c r="AL2925" t="n">
        <v>9</v>
      </c>
      <c r="AM2925" t="n">
        <v>20</v>
      </c>
      <c r="AN2925" t="n">
        <v>4</v>
      </c>
      <c r="AO2925" t="n">
        <v>8</v>
      </c>
      <c r="AP2925" t="n">
        <v>0</v>
      </c>
      <c r="AQ2925" t="n">
        <v>0</v>
      </c>
      <c r="AR2925" t="inlineStr">
        <is>
          <t>No</t>
        </is>
      </c>
      <c r="AS2925" t="inlineStr">
        <is>
          <t>Yes</t>
        </is>
      </c>
      <c r="AT2925">
        <f>HYPERLINK("http://catalog.hathitrust.org/Record/000668133","HathiTrust Record")</f>
        <v/>
      </c>
      <c r="AU2925">
        <f>HYPERLINK("https://creighton-primo.hosted.exlibrisgroup.com/primo-explore/search?tab=default_tab&amp;search_scope=EVERYTHING&amp;vid=01CRU&amp;lang=en_US&amp;offset=0&amp;query=any,contains,991001070179702656","Catalog Record")</f>
        <v/>
      </c>
      <c r="AV2925">
        <f>HYPERLINK("http://www.worldcat.org/oclc/178651","WorldCat Record")</f>
        <v/>
      </c>
      <c r="AW2925" t="inlineStr">
        <is>
          <t>34528951:eng</t>
        </is>
      </c>
      <c r="AX2925" t="inlineStr">
        <is>
          <t>178651</t>
        </is>
      </c>
      <c r="AY2925" t="inlineStr">
        <is>
          <t>991001070179702656</t>
        </is>
      </c>
      <c r="AZ2925" t="inlineStr">
        <is>
          <t>991001070179702656</t>
        </is>
      </c>
      <c r="BA2925" t="inlineStr">
        <is>
          <t>2264437670002656</t>
        </is>
      </c>
      <c r="BB2925" t="inlineStr">
        <is>
          <t>BOOK</t>
        </is>
      </c>
      <c r="BE2925" t="inlineStr">
        <is>
          <t>32285000906312</t>
        </is>
      </c>
      <c r="BF2925" t="inlineStr">
        <is>
          <t>893885014</t>
        </is>
      </c>
    </row>
    <row r="2926">
      <c r="A2926" t="inlineStr">
        <is>
          <t>No</t>
        </is>
      </c>
      <c r="B2926" t="inlineStr">
        <is>
          <t>CURAL</t>
        </is>
      </c>
      <c r="C2926" t="inlineStr">
        <is>
          <t>SHELVES</t>
        </is>
      </c>
      <c r="D2926" t="inlineStr">
        <is>
          <t>PR6005.O4 Z933 1987</t>
        </is>
      </c>
      <c r="E2926" t="inlineStr">
        <is>
          <t>0                      PR 6005000O  4                  Z  933         1987</t>
        </is>
      </c>
      <c r="F2926" t="inlineStr">
        <is>
          <t>Conrad's mythology / by Robert Wilson.</t>
        </is>
      </c>
      <c r="H2926" t="inlineStr">
        <is>
          <t>No</t>
        </is>
      </c>
      <c r="I2926" t="inlineStr">
        <is>
          <t>1</t>
        </is>
      </c>
      <c r="J2926" t="inlineStr">
        <is>
          <t>No</t>
        </is>
      </c>
      <c r="K2926" t="inlineStr">
        <is>
          <t>No</t>
        </is>
      </c>
      <c r="L2926" t="inlineStr">
        <is>
          <t>0</t>
        </is>
      </c>
      <c r="M2926" t="inlineStr">
        <is>
          <t>Wilson, Robert, 1940-</t>
        </is>
      </c>
      <c r="N2926" t="inlineStr">
        <is>
          <t>Troy, N.Y. : Whitston Pub. Co., 1987.</t>
        </is>
      </c>
      <c r="O2926" t="inlineStr">
        <is>
          <t>1987</t>
        </is>
      </c>
      <c r="Q2926" t="inlineStr">
        <is>
          <t>eng</t>
        </is>
      </c>
      <c r="R2926" t="inlineStr">
        <is>
          <t>nyu</t>
        </is>
      </c>
      <c r="T2926" t="inlineStr">
        <is>
          <t xml:space="preserve">PR </t>
        </is>
      </c>
      <c r="U2926" t="n">
        <v>4</v>
      </c>
      <c r="V2926" t="n">
        <v>4</v>
      </c>
      <c r="W2926" t="inlineStr">
        <is>
          <t>1995-12-02</t>
        </is>
      </c>
      <c r="X2926" t="inlineStr">
        <is>
          <t>1995-12-02</t>
        </is>
      </c>
      <c r="Y2926" t="inlineStr">
        <is>
          <t>1992-07-02</t>
        </is>
      </c>
      <c r="Z2926" t="inlineStr">
        <is>
          <t>1992-07-02</t>
        </is>
      </c>
      <c r="AA2926" t="n">
        <v>259</v>
      </c>
      <c r="AB2926" t="n">
        <v>212</v>
      </c>
      <c r="AC2926" t="n">
        <v>299</v>
      </c>
      <c r="AD2926" t="n">
        <v>3</v>
      </c>
      <c r="AE2926" t="n">
        <v>3</v>
      </c>
      <c r="AF2926" t="n">
        <v>12</v>
      </c>
      <c r="AG2926" t="n">
        <v>19</v>
      </c>
      <c r="AH2926" t="n">
        <v>3</v>
      </c>
      <c r="AI2926" t="n">
        <v>9</v>
      </c>
      <c r="AJ2926" t="n">
        <v>4</v>
      </c>
      <c r="AK2926" t="n">
        <v>6</v>
      </c>
      <c r="AL2926" t="n">
        <v>7</v>
      </c>
      <c r="AM2926" t="n">
        <v>8</v>
      </c>
      <c r="AN2926" t="n">
        <v>2</v>
      </c>
      <c r="AO2926" t="n">
        <v>2</v>
      </c>
      <c r="AP2926" t="n">
        <v>0</v>
      </c>
      <c r="AQ2926" t="n">
        <v>0</v>
      </c>
      <c r="AR2926" t="inlineStr">
        <is>
          <t>No</t>
        </is>
      </c>
      <c r="AS2926" t="inlineStr">
        <is>
          <t>Yes</t>
        </is>
      </c>
      <c r="AT2926">
        <f>HYPERLINK("http://catalog.hathitrust.org/Record/000879258","HathiTrust Record")</f>
        <v/>
      </c>
      <c r="AU2926">
        <f>HYPERLINK("https://creighton-primo.hosted.exlibrisgroup.com/primo-explore/search?tab=default_tab&amp;search_scope=EVERYTHING&amp;vid=01CRU&amp;lang=en_US&amp;offset=0&amp;query=any,contains,991001001629702656","Catalog Record")</f>
        <v/>
      </c>
      <c r="AV2926">
        <f>HYPERLINK("http://www.worldcat.org/oclc/15207355","WorldCat Record")</f>
        <v/>
      </c>
      <c r="AW2926" t="inlineStr">
        <is>
          <t>9902348:eng</t>
        </is>
      </c>
      <c r="AX2926" t="inlineStr">
        <is>
          <t>15207355</t>
        </is>
      </c>
      <c r="AY2926" t="inlineStr">
        <is>
          <t>991001001629702656</t>
        </is>
      </c>
      <c r="AZ2926" t="inlineStr">
        <is>
          <t>991001001629702656</t>
        </is>
      </c>
      <c r="BA2926" t="inlineStr">
        <is>
          <t>2255336980002656</t>
        </is>
      </c>
      <c r="BB2926" t="inlineStr">
        <is>
          <t>BOOK</t>
        </is>
      </c>
      <c r="BD2926" t="inlineStr">
        <is>
          <t>9780878753161</t>
        </is>
      </c>
      <c r="BE2926" t="inlineStr">
        <is>
          <t>32285001147254</t>
        </is>
      </c>
      <c r="BF2926" t="inlineStr">
        <is>
          <t>893438787</t>
        </is>
      </c>
    </row>
    <row r="2927">
      <c r="A2927" t="inlineStr">
        <is>
          <t>No</t>
        </is>
      </c>
      <c r="B2927" t="inlineStr">
        <is>
          <t>CURAL</t>
        </is>
      </c>
      <c r="C2927" t="inlineStr">
        <is>
          <t>SHELVES</t>
        </is>
      </c>
      <c r="D2927" t="inlineStr">
        <is>
          <t>PR6005.O4 Z94 1966</t>
        </is>
      </c>
      <c r="E2927" t="inlineStr">
        <is>
          <t>0                      PR 6005000O  4                  Z  94          1966</t>
        </is>
      </c>
      <c r="F2927" t="inlineStr">
        <is>
          <t>Romance and tragedy in Joseph Conrad / [by] Walter F. Wright.</t>
        </is>
      </c>
      <c r="H2927" t="inlineStr">
        <is>
          <t>No</t>
        </is>
      </c>
      <c r="I2927" t="inlineStr">
        <is>
          <t>1</t>
        </is>
      </c>
      <c r="J2927" t="inlineStr">
        <is>
          <t>No</t>
        </is>
      </c>
      <c r="K2927" t="inlineStr">
        <is>
          <t>No</t>
        </is>
      </c>
      <c r="L2927" t="inlineStr">
        <is>
          <t>0</t>
        </is>
      </c>
      <c r="M2927" t="inlineStr">
        <is>
          <t>Wright, Walter Francis, 1912-</t>
        </is>
      </c>
      <c r="N2927" t="inlineStr">
        <is>
          <t>New York : Russell &amp; Russell, 1966 [c1949]</t>
        </is>
      </c>
      <c r="O2927" t="inlineStr">
        <is>
          <t>1966</t>
        </is>
      </c>
      <c r="Q2927" t="inlineStr">
        <is>
          <t>eng</t>
        </is>
      </c>
      <c r="R2927" t="inlineStr">
        <is>
          <t xml:space="preserve">xx </t>
        </is>
      </c>
      <c r="T2927" t="inlineStr">
        <is>
          <t xml:space="preserve">PR </t>
        </is>
      </c>
      <c r="U2927" t="n">
        <v>1</v>
      </c>
      <c r="V2927" t="n">
        <v>1</v>
      </c>
      <c r="W2927" t="inlineStr">
        <is>
          <t>1992-04-12</t>
        </is>
      </c>
      <c r="X2927" t="inlineStr">
        <is>
          <t>1992-04-12</t>
        </is>
      </c>
      <c r="Y2927" t="inlineStr">
        <is>
          <t>1990-12-28</t>
        </is>
      </c>
      <c r="Z2927" t="inlineStr">
        <is>
          <t>1990-12-28</t>
        </is>
      </c>
      <c r="AA2927" t="n">
        <v>397</v>
      </c>
      <c r="AB2927" t="n">
        <v>345</v>
      </c>
      <c r="AC2927" t="n">
        <v>574</v>
      </c>
      <c r="AD2927" t="n">
        <v>4</v>
      </c>
      <c r="AE2927" t="n">
        <v>9</v>
      </c>
      <c r="AF2927" t="n">
        <v>20</v>
      </c>
      <c r="AG2927" t="n">
        <v>33</v>
      </c>
      <c r="AH2927" t="n">
        <v>7</v>
      </c>
      <c r="AI2927" t="n">
        <v>11</v>
      </c>
      <c r="AJ2927" t="n">
        <v>4</v>
      </c>
      <c r="AK2927" t="n">
        <v>5</v>
      </c>
      <c r="AL2927" t="n">
        <v>10</v>
      </c>
      <c r="AM2927" t="n">
        <v>17</v>
      </c>
      <c r="AN2927" t="n">
        <v>3</v>
      </c>
      <c r="AO2927" t="n">
        <v>6</v>
      </c>
      <c r="AP2927" t="n">
        <v>0</v>
      </c>
      <c r="AQ2927" t="n">
        <v>0</v>
      </c>
      <c r="AR2927" t="inlineStr">
        <is>
          <t>No</t>
        </is>
      </c>
      <c r="AS2927" t="inlineStr">
        <is>
          <t>Yes</t>
        </is>
      </c>
      <c r="AT2927">
        <f>HYPERLINK("http://catalog.hathitrust.org/Record/000668138","HathiTrust Record")</f>
        <v/>
      </c>
      <c r="AU2927">
        <f>HYPERLINK("https://creighton-primo.hosted.exlibrisgroup.com/primo-explore/search?tab=default_tab&amp;search_scope=EVERYTHING&amp;vid=01CRU&amp;lang=en_US&amp;offset=0&amp;query=any,contains,991002305809702656","Catalog Record")</f>
        <v/>
      </c>
      <c r="AV2927">
        <f>HYPERLINK("http://www.worldcat.org/oclc/318228","WorldCat Record")</f>
        <v/>
      </c>
      <c r="AW2927" t="inlineStr">
        <is>
          <t>1392089:eng</t>
        </is>
      </c>
      <c r="AX2927" t="inlineStr">
        <is>
          <t>318228</t>
        </is>
      </c>
      <c r="AY2927" t="inlineStr">
        <is>
          <t>991002305809702656</t>
        </is>
      </c>
      <c r="AZ2927" t="inlineStr">
        <is>
          <t>991002305809702656</t>
        </is>
      </c>
      <c r="BA2927" t="inlineStr">
        <is>
          <t>2270482680002656</t>
        </is>
      </c>
      <c r="BB2927" t="inlineStr">
        <is>
          <t>BOOK</t>
        </is>
      </c>
      <c r="BE2927" t="inlineStr">
        <is>
          <t>32285000426493</t>
        </is>
      </c>
      <c r="BF2927" t="inlineStr">
        <is>
          <t>893710126</t>
        </is>
      </c>
    </row>
    <row r="2928">
      <c r="A2928" t="inlineStr">
        <is>
          <t>No</t>
        </is>
      </c>
      <c r="B2928" t="inlineStr">
        <is>
          <t>CURAL</t>
        </is>
      </c>
      <c r="C2928" t="inlineStr">
        <is>
          <t>SHELVES</t>
        </is>
      </c>
      <c r="D2928" t="inlineStr">
        <is>
          <t>PR6005.O82 Z63</t>
        </is>
      </c>
      <c r="E2928" t="inlineStr">
        <is>
          <t>0                      PR 6005000O  82                 Z  63</t>
        </is>
      </c>
      <c r="F2928" t="inlineStr">
        <is>
          <t>James Cousins / by William A. Dumbleton.</t>
        </is>
      </c>
      <c r="H2928" t="inlineStr">
        <is>
          <t>No</t>
        </is>
      </c>
      <c r="I2928" t="inlineStr">
        <is>
          <t>1</t>
        </is>
      </c>
      <c r="J2928" t="inlineStr">
        <is>
          <t>No</t>
        </is>
      </c>
      <c r="K2928" t="inlineStr">
        <is>
          <t>No</t>
        </is>
      </c>
      <c r="L2928" t="inlineStr">
        <is>
          <t>0</t>
        </is>
      </c>
      <c r="M2928" t="inlineStr">
        <is>
          <t>Dumbleton, William A.</t>
        </is>
      </c>
      <c r="N2928" t="inlineStr">
        <is>
          <t>Boston : Twayne, 1980.</t>
        </is>
      </c>
      <c r="O2928" t="inlineStr">
        <is>
          <t>1980</t>
        </is>
      </c>
      <c r="Q2928" t="inlineStr">
        <is>
          <t>eng</t>
        </is>
      </c>
      <c r="R2928" t="inlineStr">
        <is>
          <t>mau</t>
        </is>
      </c>
      <c r="S2928" t="inlineStr">
        <is>
          <t>Twayne's English authors series ; TEAS 280</t>
        </is>
      </c>
      <c r="T2928" t="inlineStr">
        <is>
          <t xml:space="preserve">PR </t>
        </is>
      </c>
      <c r="U2928" t="n">
        <v>1</v>
      </c>
      <c r="V2928" t="n">
        <v>1</v>
      </c>
      <c r="W2928" t="inlineStr">
        <is>
          <t>2004-11-15</t>
        </is>
      </c>
      <c r="X2928" t="inlineStr">
        <is>
          <t>2004-11-15</t>
        </is>
      </c>
      <c r="Y2928" t="inlineStr">
        <is>
          <t>1992-07-02</t>
        </is>
      </c>
      <c r="Z2928" t="inlineStr">
        <is>
          <t>1992-07-02</t>
        </is>
      </c>
      <c r="AA2928" t="n">
        <v>479</v>
      </c>
      <c r="AB2928" t="n">
        <v>420</v>
      </c>
      <c r="AC2928" t="n">
        <v>427</v>
      </c>
      <c r="AD2928" t="n">
        <v>6</v>
      </c>
      <c r="AE2928" t="n">
        <v>6</v>
      </c>
      <c r="AF2928" t="n">
        <v>23</v>
      </c>
      <c r="AG2928" t="n">
        <v>23</v>
      </c>
      <c r="AH2928" t="n">
        <v>7</v>
      </c>
      <c r="AI2928" t="n">
        <v>7</v>
      </c>
      <c r="AJ2928" t="n">
        <v>5</v>
      </c>
      <c r="AK2928" t="n">
        <v>5</v>
      </c>
      <c r="AL2928" t="n">
        <v>12</v>
      </c>
      <c r="AM2928" t="n">
        <v>12</v>
      </c>
      <c r="AN2928" t="n">
        <v>5</v>
      </c>
      <c r="AO2928" t="n">
        <v>5</v>
      </c>
      <c r="AP2928" t="n">
        <v>0</v>
      </c>
      <c r="AQ2928" t="n">
        <v>0</v>
      </c>
      <c r="AR2928" t="inlineStr">
        <is>
          <t>No</t>
        </is>
      </c>
      <c r="AS2928" t="inlineStr">
        <is>
          <t>Yes</t>
        </is>
      </c>
      <c r="AT2928">
        <f>HYPERLINK("http://catalog.hathitrust.org/Record/000025804","HathiTrust Record")</f>
        <v/>
      </c>
      <c r="AU2928">
        <f>HYPERLINK("https://creighton-primo.hosted.exlibrisgroup.com/primo-explore/search?tab=default_tab&amp;search_scope=EVERYTHING&amp;vid=01CRU&amp;lang=en_US&amp;offset=0&amp;query=any,contains,991004831809702656","Catalog Record")</f>
        <v/>
      </c>
      <c r="AV2928">
        <f>HYPERLINK("http://www.worldcat.org/oclc/5411585","WorldCat Record")</f>
        <v/>
      </c>
      <c r="AW2928" t="inlineStr">
        <is>
          <t>17308184:eng</t>
        </is>
      </c>
      <c r="AX2928" t="inlineStr">
        <is>
          <t>5411585</t>
        </is>
      </c>
      <c r="AY2928" t="inlineStr">
        <is>
          <t>991004831809702656</t>
        </is>
      </c>
      <c r="AZ2928" t="inlineStr">
        <is>
          <t>991004831809702656</t>
        </is>
      </c>
      <c r="BA2928" t="inlineStr">
        <is>
          <t>2258511220002656</t>
        </is>
      </c>
      <c r="BB2928" t="inlineStr">
        <is>
          <t>BOOK</t>
        </is>
      </c>
      <c r="BD2928" t="inlineStr">
        <is>
          <t>9780805767452</t>
        </is>
      </c>
      <c r="BE2928" t="inlineStr">
        <is>
          <t>32285001147270</t>
        </is>
      </c>
      <c r="BF2928" t="inlineStr">
        <is>
          <t>893443098</t>
        </is>
      </c>
    </row>
    <row r="2929">
      <c r="A2929" t="inlineStr">
        <is>
          <t>No</t>
        </is>
      </c>
      <c r="B2929" t="inlineStr">
        <is>
          <t>CURAL</t>
        </is>
      </c>
      <c r="C2929" t="inlineStr">
        <is>
          <t>SHELVES</t>
        </is>
      </c>
      <c r="D2929" t="inlineStr">
        <is>
          <t>PR6005.O85 Z673 1979</t>
        </is>
      </c>
      <c r="E2929" t="inlineStr">
        <is>
          <t>0                      PR 6005000O  85                 Z  673         1979</t>
        </is>
      </c>
      <c r="F2929" t="inlineStr">
        <is>
          <t>Noel Coward and his friends / Cole Lesley, Graham Payn &amp; Sheridan Morley ; designed by Craig Dodd.</t>
        </is>
      </c>
      <c r="H2929" t="inlineStr">
        <is>
          <t>No</t>
        </is>
      </c>
      <c r="I2929" t="inlineStr">
        <is>
          <t>1</t>
        </is>
      </c>
      <c r="J2929" t="inlineStr">
        <is>
          <t>No</t>
        </is>
      </c>
      <c r="K2929" t="inlineStr">
        <is>
          <t>No</t>
        </is>
      </c>
      <c r="L2929" t="inlineStr">
        <is>
          <t>0</t>
        </is>
      </c>
      <c r="M2929" t="inlineStr">
        <is>
          <t>Lesley, Cole.</t>
        </is>
      </c>
      <c r="N2929" t="inlineStr">
        <is>
          <t>New York : Morrow, 1979.</t>
        </is>
      </c>
      <c r="O2929" t="inlineStr">
        <is>
          <t>1979</t>
        </is>
      </c>
      <c r="Q2929" t="inlineStr">
        <is>
          <t>eng</t>
        </is>
      </c>
      <c r="R2929" t="inlineStr">
        <is>
          <t>nyu</t>
        </is>
      </c>
      <c r="T2929" t="inlineStr">
        <is>
          <t xml:space="preserve">PR </t>
        </is>
      </c>
      <c r="U2929" t="n">
        <v>3</v>
      </c>
      <c r="V2929" t="n">
        <v>3</v>
      </c>
      <c r="W2929" t="inlineStr">
        <is>
          <t>2001-04-01</t>
        </is>
      </c>
      <c r="X2929" t="inlineStr">
        <is>
          <t>2001-04-01</t>
        </is>
      </c>
      <c r="Y2929" t="inlineStr">
        <is>
          <t>1992-07-02</t>
        </is>
      </c>
      <c r="Z2929" t="inlineStr">
        <is>
          <t>1992-07-02</t>
        </is>
      </c>
      <c r="AA2929" t="n">
        <v>451</v>
      </c>
      <c r="AB2929" t="n">
        <v>421</v>
      </c>
      <c r="AC2929" t="n">
        <v>454</v>
      </c>
      <c r="AD2929" t="n">
        <v>3</v>
      </c>
      <c r="AE2929" t="n">
        <v>4</v>
      </c>
      <c r="AF2929" t="n">
        <v>9</v>
      </c>
      <c r="AG2929" t="n">
        <v>10</v>
      </c>
      <c r="AH2929" t="n">
        <v>5</v>
      </c>
      <c r="AI2929" t="n">
        <v>5</v>
      </c>
      <c r="AJ2929" t="n">
        <v>2</v>
      </c>
      <c r="AK2929" t="n">
        <v>2</v>
      </c>
      <c r="AL2929" t="n">
        <v>5</v>
      </c>
      <c r="AM2929" t="n">
        <v>5</v>
      </c>
      <c r="AN2929" t="n">
        <v>0</v>
      </c>
      <c r="AO2929" t="n">
        <v>1</v>
      </c>
      <c r="AP2929" t="n">
        <v>0</v>
      </c>
      <c r="AQ2929" t="n">
        <v>0</v>
      </c>
      <c r="AR2929" t="inlineStr">
        <is>
          <t>No</t>
        </is>
      </c>
      <c r="AS2929" t="inlineStr">
        <is>
          <t>Yes</t>
        </is>
      </c>
      <c r="AT2929">
        <f>HYPERLINK("http://catalog.hathitrust.org/Record/000758968","HathiTrust Record")</f>
        <v/>
      </c>
      <c r="AU2929">
        <f>HYPERLINK("https://creighton-primo.hosted.exlibrisgroup.com/primo-explore/search?tab=default_tab&amp;search_scope=EVERYTHING&amp;vid=01CRU&amp;lang=en_US&amp;offset=0&amp;query=any,contains,991004847479702656","Catalog Record")</f>
        <v/>
      </c>
      <c r="AV2929">
        <f>HYPERLINK("http://www.worldcat.org/oclc/5565624","WorldCat Record")</f>
        <v/>
      </c>
      <c r="AW2929" t="inlineStr">
        <is>
          <t>9229968:eng</t>
        </is>
      </c>
      <c r="AX2929" t="inlineStr">
        <is>
          <t>5565624</t>
        </is>
      </c>
      <c r="AY2929" t="inlineStr">
        <is>
          <t>991004847479702656</t>
        </is>
      </c>
      <c r="AZ2929" t="inlineStr">
        <is>
          <t>991004847479702656</t>
        </is>
      </c>
      <c r="BA2929" t="inlineStr">
        <is>
          <t>2266936900002656</t>
        </is>
      </c>
      <c r="BB2929" t="inlineStr">
        <is>
          <t>BOOK</t>
        </is>
      </c>
      <c r="BD2929" t="inlineStr">
        <is>
          <t>9780688035105</t>
        </is>
      </c>
      <c r="BE2929" t="inlineStr">
        <is>
          <t>32285001147320</t>
        </is>
      </c>
      <c r="BF2929" t="inlineStr">
        <is>
          <t>893706908</t>
        </is>
      </c>
    </row>
    <row r="2930">
      <c r="A2930" t="inlineStr">
        <is>
          <t>No</t>
        </is>
      </c>
      <c r="B2930" t="inlineStr">
        <is>
          <t>CURAL</t>
        </is>
      </c>
      <c r="C2930" t="inlineStr">
        <is>
          <t>SHELVES</t>
        </is>
      </c>
      <c r="D2930" t="inlineStr">
        <is>
          <t>PR6007.E3 Z64 1969</t>
        </is>
      </c>
      <c r="E2930" t="inlineStr">
        <is>
          <t>0                      PR 6007000E  3                  Z  64          1969</t>
        </is>
      </c>
      <c r="F2930" t="inlineStr">
        <is>
          <t>Walter de la Mare, a study of his poetry.</t>
        </is>
      </c>
      <c r="H2930" t="inlineStr">
        <is>
          <t>No</t>
        </is>
      </c>
      <c r="I2930" t="inlineStr">
        <is>
          <t>1</t>
        </is>
      </c>
      <c r="J2930" t="inlineStr">
        <is>
          <t>No</t>
        </is>
      </c>
      <c r="K2930" t="inlineStr">
        <is>
          <t>No</t>
        </is>
      </c>
      <c r="L2930" t="inlineStr">
        <is>
          <t>0</t>
        </is>
      </c>
      <c r="M2930" t="inlineStr">
        <is>
          <t>Duffin, Henry Charles, 1884-1974.</t>
        </is>
      </c>
      <c r="N2930" t="inlineStr">
        <is>
          <t>Freeport, N.Y., Books for Libraries Press [1969]</t>
        </is>
      </c>
      <c r="O2930" t="inlineStr">
        <is>
          <t>1969</t>
        </is>
      </c>
      <c r="Q2930" t="inlineStr">
        <is>
          <t>eng</t>
        </is>
      </c>
      <c r="R2930" t="inlineStr">
        <is>
          <t>nyu</t>
        </is>
      </c>
      <c r="S2930" t="inlineStr">
        <is>
          <t>Select bibliographies reprint series</t>
        </is>
      </c>
      <c r="T2930" t="inlineStr">
        <is>
          <t xml:space="preserve">PR </t>
        </is>
      </c>
      <c r="U2930" t="n">
        <v>1</v>
      </c>
      <c r="V2930" t="n">
        <v>1</v>
      </c>
      <c r="W2930" t="inlineStr">
        <is>
          <t>1997-04-21</t>
        </is>
      </c>
      <c r="X2930" t="inlineStr">
        <is>
          <t>1997-04-21</t>
        </is>
      </c>
      <c r="Y2930" t="inlineStr">
        <is>
          <t>1997-04-03</t>
        </is>
      </c>
      <c r="Z2930" t="inlineStr">
        <is>
          <t>1997-04-03</t>
        </is>
      </c>
      <c r="AA2930" t="n">
        <v>267</v>
      </c>
      <c r="AB2930" t="n">
        <v>249</v>
      </c>
      <c r="AC2930" t="n">
        <v>465</v>
      </c>
      <c r="AD2930" t="n">
        <v>3</v>
      </c>
      <c r="AE2930" t="n">
        <v>4</v>
      </c>
      <c r="AF2930" t="n">
        <v>13</v>
      </c>
      <c r="AG2930" t="n">
        <v>26</v>
      </c>
      <c r="AH2930" t="n">
        <v>5</v>
      </c>
      <c r="AI2930" t="n">
        <v>10</v>
      </c>
      <c r="AJ2930" t="n">
        <v>4</v>
      </c>
      <c r="AK2930" t="n">
        <v>7</v>
      </c>
      <c r="AL2930" t="n">
        <v>6</v>
      </c>
      <c r="AM2930" t="n">
        <v>14</v>
      </c>
      <c r="AN2930" t="n">
        <v>2</v>
      </c>
      <c r="AO2930" t="n">
        <v>3</v>
      </c>
      <c r="AP2930" t="n">
        <v>0</v>
      </c>
      <c r="AQ2930" t="n">
        <v>0</v>
      </c>
      <c r="AR2930" t="inlineStr">
        <is>
          <t>No</t>
        </is>
      </c>
      <c r="AS2930" t="inlineStr">
        <is>
          <t>No</t>
        </is>
      </c>
      <c r="AU2930">
        <f>HYPERLINK("https://creighton-primo.hosted.exlibrisgroup.com/primo-explore/search?tab=default_tab&amp;search_scope=EVERYTHING&amp;vid=01CRU&amp;lang=en_US&amp;offset=0&amp;query=any,contains,991000065539702656","Catalog Record")</f>
        <v/>
      </c>
      <c r="AV2930">
        <f>HYPERLINK("http://www.worldcat.org/oclc/26345","WorldCat Record")</f>
        <v/>
      </c>
      <c r="AW2930" t="inlineStr">
        <is>
          <t>1862932581:eng</t>
        </is>
      </c>
      <c r="AX2930" t="inlineStr">
        <is>
          <t>26345</t>
        </is>
      </c>
      <c r="AY2930" t="inlineStr">
        <is>
          <t>991000065539702656</t>
        </is>
      </c>
      <c r="AZ2930" t="inlineStr">
        <is>
          <t>991000065539702656</t>
        </is>
      </c>
      <c r="BA2930" t="inlineStr">
        <is>
          <t>2265633090002656</t>
        </is>
      </c>
      <c r="BB2930" t="inlineStr">
        <is>
          <t>BOOK</t>
        </is>
      </c>
      <c r="BD2930" t="inlineStr">
        <is>
          <t>9780836950434</t>
        </is>
      </c>
      <c r="BE2930" t="inlineStr">
        <is>
          <t>32285002124179</t>
        </is>
      </c>
      <c r="BF2930" t="inlineStr">
        <is>
          <t>893249051</t>
        </is>
      </c>
    </row>
    <row r="2931">
      <c r="A2931" t="inlineStr">
        <is>
          <t>No</t>
        </is>
      </c>
      <c r="B2931" t="inlineStr">
        <is>
          <t>CURAL</t>
        </is>
      </c>
      <c r="C2931" t="inlineStr">
        <is>
          <t>SHELVES</t>
        </is>
      </c>
      <c r="D2931" t="inlineStr">
        <is>
          <t>PR6007.U47 Z74 1987</t>
        </is>
      </c>
      <c r="E2931" t="inlineStr">
        <is>
          <t>0                      PR 6007000U  47                 Z  74          1987</t>
        </is>
      </c>
      <c r="F2931" t="inlineStr">
        <is>
          <t>Daphne du Maurier / by Richard Kelly.</t>
        </is>
      </c>
      <c r="H2931" t="inlineStr">
        <is>
          <t>No</t>
        </is>
      </c>
      <c r="I2931" t="inlineStr">
        <is>
          <t>1</t>
        </is>
      </c>
      <c r="J2931" t="inlineStr">
        <is>
          <t>No</t>
        </is>
      </c>
      <c r="K2931" t="inlineStr">
        <is>
          <t>No</t>
        </is>
      </c>
      <c r="L2931" t="inlineStr">
        <is>
          <t>0</t>
        </is>
      </c>
      <c r="M2931" t="inlineStr">
        <is>
          <t>Kelly, Richard, 1937-</t>
        </is>
      </c>
      <c r="N2931" t="inlineStr">
        <is>
          <t>Boston : Twayne Publishers, c1987.</t>
        </is>
      </c>
      <c r="O2931" t="inlineStr">
        <is>
          <t>1987</t>
        </is>
      </c>
      <c r="Q2931" t="inlineStr">
        <is>
          <t>eng</t>
        </is>
      </c>
      <c r="R2931" t="inlineStr">
        <is>
          <t>mau</t>
        </is>
      </c>
      <c r="S2931" t="inlineStr">
        <is>
          <t>Twayne's English authors series ; TEAS 437</t>
        </is>
      </c>
      <c r="T2931" t="inlineStr">
        <is>
          <t xml:space="preserve">PR </t>
        </is>
      </c>
      <c r="U2931" t="n">
        <v>3</v>
      </c>
      <c r="V2931" t="n">
        <v>3</v>
      </c>
      <c r="W2931" t="inlineStr">
        <is>
          <t>2000-02-26</t>
        </is>
      </c>
      <c r="X2931" t="inlineStr">
        <is>
          <t>2000-02-26</t>
        </is>
      </c>
      <c r="Y2931" t="inlineStr">
        <is>
          <t>1992-07-02</t>
        </is>
      </c>
      <c r="Z2931" t="inlineStr">
        <is>
          <t>1992-07-02</t>
        </is>
      </c>
      <c r="AA2931" t="n">
        <v>875</v>
      </c>
      <c r="AB2931" t="n">
        <v>785</v>
      </c>
      <c r="AC2931" t="n">
        <v>883</v>
      </c>
      <c r="AD2931" t="n">
        <v>7</v>
      </c>
      <c r="AE2931" t="n">
        <v>7</v>
      </c>
      <c r="AF2931" t="n">
        <v>31</v>
      </c>
      <c r="AG2931" t="n">
        <v>33</v>
      </c>
      <c r="AH2931" t="n">
        <v>11</v>
      </c>
      <c r="AI2931" t="n">
        <v>12</v>
      </c>
      <c r="AJ2931" t="n">
        <v>7</v>
      </c>
      <c r="AK2931" t="n">
        <v>7</v>
      </c>
      <c r="AL2931" t="n">
        <v>17</v>
      </c>
      <c r="AM2931" t="n">
        <v>18</v>
      </c>
      <c r="AN2931" t="n">
        <v>5</v>
      </c>
      <c r="AO2931" t="n">
        <v>5</v>
      </c>
      <c r="AP2931" t="n">
        <v>0</v>
      </c>
      <c r="AQ2931" t="n">
        <v>0</v>
      </c>
      <c r="AR2931" t="inlineStr">
        <is>
          <t>No</t>
        </is>
      </c>
      <c r="AS2931" t="inlineStr">
        <is>
          <t>Yes</t>
        </is>
      </c>
      <c r="AT2931">
        <f>HYPERLINK("http://catalog.hathitrust.org/Record/000806946","HathiTrust Record")</f>
        <v/>
      </c>
      <c r="AU2931">
        <f>HYPERLINK("https://creighton-primo.hosted.exlibrisgroup.com/primo-explore/search?tab=default_tab&amp;search_scope=EVERYTHING&amp;vid=01CRU&amp;lang=en_US&amp;offset=0&amp;query=any,contains,991000864499702656","Catalog Record")</f>
        <v/>
      </c>
      <c r="AV2931">
        <f>HYPERLINK("http://www.worldcat.org/oclc/13703307","WorldCat Record")</f>
        <v/>
      </c>
      <c r="AW2931" t="inlineStr">
        <is>
          <t>52977240:eng</t>
        </is>
      </c>
      <c r="AX2931" t="inlineStr">
        <is>
          <t>13703307</t>
        </is>
      </c>
      <c r="AY2931" t="inlineStr">
        <is>
          <t>991000864499702656</t>
        </is>
      </c>
      <c r="AZ2931" t="inlineStr">
        <is>
          <t>991000864499702656</t>
        </is>
      </c>
      <c r="BA2931" t="inlineStr">
        <is>
          <t>2261637340002656</t>
        </is>
      </c>
      <c r="BB2931" t="inlineStr">
        <is>
          <t>BOOK</t>
        </is>
      </c>
      <c r="BD2931" t="inlineStr">
        <is>
          <t>9780805769319</t>
        </is>
      </c>
      <c r="BE2931" t="inlineStr">
        <is>
          <t>32285001147601</t>
        </is>
      </c>
      <c r="BF2931" t="inlineStr">
        <is>
          <t>893438662</t>
        </is>
      </c>
    </row>
    <row r="2932">
      <c r="A2932" t="inlineStr">
        <is>
          <t>No</t>
        </is>
      </c>
      <c r="B2932" t="inlineStr">
        <is>
          <t>CURAL</t>
        </is>
      </c>
      <c r="C2932" t="inlineStr">
        <is>
          <t>SHELVES</t>
        </is>
      </c>
      <c r="D2932" t="inlineStr">
        <is>
          <t>PR6007.U6 Z726 1995</t>
        </is>
      </c>
      <c r="E2932" t="inlineStr">
        <is>
          <t>0                      PR 6007000U  6                  Z  726         1995</t>
        </is>
      </c>
      <c r="F2932" t="inlineStr">
        <is>
          <t>Lord Dunsany : master of the Anglo-Irish imagination / S.T. Joshi.</t>
        </is>
      </c>
      <c r="H2932" t="inlineStr">
        <is>
          <t>No</t>
        </is>
      </c>
      <c r="I2932" t="inlineStr">
        <is>
          <t>1</t>
        </is>
      </c>
      <c r="J2932" t="inlineStr">
        <is>
          <t>No</t>
        </is>
      </c>
      <c r="K2932" t="inlineStr">
        <is>
          <t>No</t>
        </is>
      </c>
      <c r="L2932" t="inlineStr">
        <is>
          <t>0</t>
        </is>
      </c>
      <c r="M2932" t="inlineStr">
        <is>
          <t>Joshi, S. T., 1958-</t>
        </is>
      </c>
      <c r="N2932" t="inlineStr">
        <is>
          <t>Westport, Conn. : Greenwood Press, 1995.</t>
        </is>
      </c>
      <c r="O2932" t="inlineStr">
        <is>
          <t>1995</t>
        </is>
      </c>
      <c r="Q2932" t="inlineStr">
        <is>
          <t>eng</t>
        </is>
      </c>
      <c r="R2932" t="inlineStr">
        <is>
          <t>ctu</t>
        </is>
      </c>
      <c r="S2932" t="inlineStr">
        <is>
          <t>Contributions to the study of science fiction and fantasy, 0193-6875 ; no. 64</t>
        </is>
      </c>
      <c r="T2932" t="inlineStr">
        <is>
          <t xml:space="preserve">PR </t>
        </is>
      </c>
      <c r="U2932" t="n">
        <v>3</v>
      </c>
      <c r="V2932" t="n">
        <v>3</v>
      </c>
      <c r="W2932" t="inlineStr">
        <is>
          <t>2005-07-19</t>
        </is>
      </c>
      <c r="X2932" t="inlineStr">
        <is>
          <t>2005-07-19</t>
        </is>
      </c>
      <c r="Y2932" t="inlineStr">
        <is>
          <t>1995-12-18</t>
        </is>
      </c>
      <c r="Z2932" t="inlineStr">
        <is>
          <t>1995-12-18</t>
        </is>
      </c>
      <c r="AA2932" t="n">
        <v>238</v>
      </c>
      <c r="AB2932" t="n">
        <v>186</v>
      </c>
      <c r="AC2932" t="n">
        <v>188</v>
      </c>
      <c r="AD2932" t="n">
        <v>3</v>
      </c>
      <c r="AE2932" t="n">
        <v>3</v>
      </c>
      <c r="AF2932" t="n">
        <v>13</v>
      </c>
      <c r="AG2932" t="n">
        <v>13</v>
      </c>
      <c r="AH2932" t="n">
        <v>2</v>
      </c>
      <c r="AI2932" t="n">
        <v>2</v>
      </c>
      <c r="AJ2932" t="n">
        <v>4</v>
      </c>
      <c r="AK2932" t="n">
        <v>4</v>
      </c>
      <c r="AL2932" t="n">
        <v>8</v>
      </c>
      <c r="AM2932" t="n">
        <v>8</v>
      </c>
      <c r="AN2932" t="n">
        <v>2</v>
      </c>
      <c r="AO2932" t="n">
        <v>2</v>
      </c>
      <c r="AP2932" t="n">
        <v>0</v>
      </c>
      <c r="AQ2932" t="n">
        <v>0</v>
      </c>
      <c r="AR2932" t="inlineStr">
        <is>
          <t>No</t>
        </is>
      </c>
      <c r="AS2932" t="inlineStr">
        <is>
          <t>Yes</t>
        </is>
      </c>
      <c r="AT2932">
        <f>HYPERLINK("http://catalog.hathitrust.org/Record/004041547","HathiTrust Record")</f>
        <v/>
      </c>
      <c r="AU2932">
        <f>HYPERLINK("https://creighton-primo.hosted.exlibrisgroup.com/primo-explore/search?tab=default_tab&amp;search_scope=EVERYTHING&amp;vid=01CRU&amp;lang=en_US&amp;offset=0&amp;query=any,contains,991002397829702656","Catalog Record")</f>
        <v/>
      </c>
      <c r="AV2932">
        <f>HYPERLINK("http://www.worldcat.org/oclc/31166366","WorldCat Record")</f>
        <v/>
      </c>
      <c r="AW2932" t="inlineStr">
        <is>
          <t>2627489:eng</t>
        </is>
      </c>
      <c r="AX2932" t="inlineStr">
        <is>
          <t>31166366</t>
        </is>
      </c>
      <c r="AY2932" t="inlineStr">
        <is>
          <t>991002397829702656</t>
        </is>
      </c>
      <c r="AZ2932" t="inlineStr">
        <is>
          <t>991002397829702656</t>
        </is>
      </c>
      <c r="BA2932" t="inlineStr">
        <is>
          <t>2271877780002656</t>
        </is>
      </c>
      <c r="BB2932" t="inlineStr">
        <is>
          <t>BOOK</t>
        </is>
      </c>
      <c r="BD2932" t="inlineStr">
        <is>
          <t>9780313294037</t>
        </is>
      </c>
      <c r="BE2932" t="inlineStr">
        <is>
          <t>32285002111739</t>
        </is>
      </c>
      <c r="BF2932" t="inlineStr">
        <is>
          <t>893773575</t>
        </is>
      </c>
    </row>
    <row r="2933">
      <c r="A2933" t="inlineStr">
        <is>
          <t>No</t>
        </is>
      </c>
      <c r="B2933" t="inlineStr">
        <is>
          <t>CURAL</t>
        </is>
      </c>
      <c r="C2933" t="inlineStr">
        <is>
          <t>SHELVES</t>
        </is>
      </c>
      <c r="D2933" t="inlineStr">
        <is>
          <t>PR6009.M7 Z9</t>
        </is>
      </c>
      <c r="E2933" t="inlineStr">
        <is>
          <t>0                      PR 6009000M  7                  Z  9</t>
        </is>
      </c>
      <c r="F2933" t="inlineStr">
        <is>
          <t>William Empson; the man and his work; edited by Roma Gill.</t>
        </is>
      </c>
      <c r="H2933" t="inlineStr">
        <is>
          <t>No</t>
        </is>
      </c>
      <c r="I2933" t="inlineStr">
        <is>
          <t>1</t>
        </is>
      </c>
      <c r="J2933" t="inlineStr">
        <is>
          <t>No</t>
        </is>
      </c>
      <c r="K2933" t="inlineStr">
        <is>
          <t>No</t>
        </is>
      </c>
      <c r="L2933" t="inlineStr">
        <is>
          <t>0</t>
        </is>
      </c>
      <c r="N2933" t="inlineStr">
        <is>
          <t>London, Boston, Routledge &amp; K. Paul [1974]</t>
        </is>
      </c>
      <c r="O2933" t="inlineStr">
        <is>
          <t>1974</t>
        </is>
      </c>
      <c r="Q2933" t="inlineStr">
        <is>
          <t>eng</t>
        </is>
      </c>
      <c r="R2933" t="inlineStr">
        <is>
          <t>enk</t>
        </is>
      </c>
      <c r="T2933" t="inlineStr">
        <is>
          <t xml:space="preserve">PR </t>
        </is>
      </c>
      <c r="U2933" t="n">
        <v>7</v>
      </c>
      <c r="V2933" t="n">
        <v>7</v>
      </c>
      <c r="W2933" t="inlineStr">
        <is>
          <t>2004-11-22</t>
        </is>
      </c>
      <c r="X2933" t="inlineStr">
        <is>
          <t>2004-11-22</t>
        </is>
      </c>
      <c r="Y2933" t="inlineStr">
        <is>
          <t>1992-01-22</t>
        </is>
      </c>
      <c r="Z2933" t="inlineStr">
        <is>
          <t>1992-01-22</t>
        </is>
      </c>
      <c r="AA2933" t="n">
        <v>574</v>
      </c>
      <c r="AB2933" t="n">
        <v>393</v>
      </c>
      <c r="AC2933" t="n">
        <v>420</v>
      </c>
      <c r="AD2933" t="n">
        <v>4</v>
      </c>
      <c r="AE2933" t="n">
        <v>4</v>
      </c>
      <c r="AF2933" t="n">
        <v>23</v>
      </c>
      <c r="AG2933" t="n">
        <v>23</v>
      </c>
      <c r="AH2933" t="n">
        <v>6</v>
      </c>
      <c r="AI2933" t="n">
        <v>6</v>
      </c>
      <c r="AJ2933" t="n">
        <v>7</v>
      </c>
      <c r="AK2933" t="n">
        <v>7</v>
      </c>
      <c r="AL2933" t="n">
        <v>14</v>
      </c>
      <c r="AM2933" t="n">
        <v>14</v>
      </c>
      <c r="AN2933" t="n">
        <v>3</v>
      </c>
      <c r="AO2933" t="n">
        <v>3</v>
      </c>
      <c r="AP2933" t="n">
        <v>0</v>
      </c>
      <c r="AQ2933" t="n">
        <v>0</v>
      </c>
      <c r="AR2933" t="inlineStr">
        <is>
          <t>No</t>
        </is>
      </c>
      <c r="AS2933" t="inlineStr">
        <is>
          <t>No</t>
        </is>
      </c>
      <c r="AU2933">
        <f>HYPERLINK("https://creighton-primo.hosted.exlibrisgroup.com/primo-explore/search?tab=default_tab&amp;search_scope=EVERYTHING&amp;vid=01CRU&amp;lang=en_US&amp;offset=0&amp;query=any,contains,991003502679702656","Catalog Record")</f>
        <v/>
      </c>
      <c r="AV2933">
        <f>HYPERLINK("http://www.worldcat.org/oclc/1054893","WorldCat Record")</f>
        <v/>
      </c>
      <c r="AW2933" t="inlineStr">
        <is>
          <t>347146548:eng</t>
        </is>
      </c>
      <c r="AX2933" t="inlineStr">
        <is>
          <t>1054893</t>
        </is>
      </c>
      <c r="AY2933" t="inlineStr">
        <is>
          <t>991003502679702656</t>
        </is>
      </c>
      <c r="AZ2933" t="inlineStr">
        <is>
          <t>991003502679702656</t>
        </is>
      </c>
      <c r="BA2933" t="inlineStr">
        <is>
          <t>2269288920002656</t>
        </is>
      </c>
      <c r="BB2933" t="inlineStr">
        <is>
          <t>BOOK</t>
        </is>
      </c>
      <c r="BD2933" t="inlineStr">
        <is>
          <t>9780710078230</t>
        </is>
      </c>
      <c r="BE2933" t="inlineStr">
        <is>
          <t>32285000897891</t>
        </is>
      </c>
      <c r="BF2933" t="inlineStr">
        <is>
          <t>893721961</t>
        </is>
      </c>
    </row>
    <row r="2934">
      <c r="A2934" t="inlineStr">
        <is>
          <t>No</t>
        </is>
      </c>
      <c r="B2934" t="inlineStr">
        <is>
          <t>CURAL</t>
        </is>
      </c>
      <c r="C2934" t="inlineStr">
        <is>
          <t>SHELVES</t>
        </is>
      </c>
      <c r="D2934" t="inlineStr">
        <is>
          <t>PR601 .C56 2001</t>
        </is>
      </c>
      <c r="E2934" t="inlineStr">
        <is>
          <t>0                      PR 0601000C  56          2001</t>
        </is>
      </c>
      <c r="F2934" t="inlineStr">
        <is>
          <t>A companion to twentieth-century poetry / edited by Neil Roberts.</t>
        </is>
      </c>
      <c r="H2934" t="inlineStr">
        <is>
          <t>No</t>
        </is>
      </c>
      <c r="I2934" t="inlineStr">
        <is>
          <t>1</t>
        </is>
      </c>
      <c r="J2934" t="inlineStr">
        <is>
          <t>No</t>
        </is>
      </c>
      <c r="K2934" t="inlineStr">
        <is>
          <t>No</t>
        </is>
      </c>
      <c r="L2934" t="inlineStr">
        <is>
          <t>0</t>
        </is>
      </c>
      <c r="N2934" t="inlineStr">
        <is>
          <t>Oxford ; Malden, Mass. : Blackwell Publishers, 2001.</t>
        </is>
      </c>
      <c r="O2934" t="inlineStr">
        <is>
          <t>2001</t>
        </is>
      </c>
      <c r="Q2934" t="inlineStr">
        <is>
          <t>eng</t>
        </is>
      </c>
      <c r="R2934" t="inlineStr">
        <is>
          <t>enk</t>
        </is>
      </c>
      <c r="S2934" t="inlineStr">
        <is>
          <t>Blackwell companions to literature and culture ; 9</t>
        </is>
      </c>
      <c r="T2934" t="inlineStr">
        <is>
          <t xml:space="preserve">PR </t>
        </is>
      </c>
      <c r="U2934" t="n">
        <v>3</v>
      </c>
      <c r="V2934" t="n">
        <v>3</v>
      </c>
      <c r="W2934" t="inlineStr">
        <is>
          <t>2002-05-05</t>
        </is>
      </c>
      <c r="X2934" t="inlineStr">
        <is>
          <t>2002-05-05</t>
        </is>
      </c>
      <c r="Y2934" t="inlineStr">
        <is>
          <t>2002-04-17</t>
        </is>
      </c>
      <c r="Z2934" t="inlineStr">
        <is>
          <t>2002-04-17</t>
        </is>
      </c>
      <c r="AA2934" t="n">
        <v>684</v>
      </c>
      <c r="AB2934" t="n">
        <v>578</v>
      </c>
      <c r="AC2934" t="n">
        <v>941</v>
      </c>
      <c r="AD2934" t="n">
        <v>3</v>
      </c>
      <c r="AE2934" t="n">
        <v>6</v>
      </c>
      <c r="AF2934" t="n">
        <v>20</v>
      </c>
      <c r="AG2934" t="n">
        <v>34</v>
      </c>
      <c r="AH2934" t="n">
        <v>8</v>
      </c>
      <c r="AI2934" t="n">
        <v>12</v>
      </c>
      <c r="AJ2934" t="n">
        <v>5</v>
      </c>
      <c r="AK2934" t="n">
        <v>8</v>
      </c>
      <c r="AL2934" t="n">
        <v>11</v>
      </c>
      <c r="AM2934" t="n">
        <v>15</v>
      </c>
      <c r="AN2934" t="n">
        <v>2</v>
      </c>
      <c r="AO2934" t="n">
        <v>5</v>
      </c>
      <c r="AP2934" t="n">
        <v>0</v>
      </c>
      <c r="AQ2934" t="n">
        <v>1</v>
      </c>
      <c r="AR2934" t="inlineStr">
        <is>
          <t>No</t>
        </is>
      </c>
      <c r="AS2934" t="inlineStr">
        <is>
          <t>No</t>
        </is>
      </c>
      <c r="AU2934">
        <f>HYPERLINK("https://creighton-primo.hosted.exlibrisgroup.com/primo-explore/search?tab=default_tab&amp;search_scope=EVERYTHING&amp;vid=01CRU&amp;lang=en_US&amp;offset=0&amp;query=any,contains,991003748799702656","Catalog Record")</f>
        <v/>
      </c>
      <c r="AV2934">
        <f>HYPERLINK("http://www.worldcat.org/oclc/45313273","WorldCat Record")</f>
        <v/>
      </c>
      <c r="AW2934" t="inlineStr">
        <is>
          <t>865441287:eng</t>
        </is>
      </c>
      <c r="AX2934" t="inlineStr">
        <is>
          <t>45313273</t>
        </is>
      </c>
      <c r="AY2934" t="inlineStr">
        <is>
          <t>991003748799702656</t>
        </is>
      </c>
      <c r="AZ2934" t="inlineStr">
        <is>
          <t>991003748799702656</t>
        </is>
      </c>
      <c r="BA2934" t="inlineStr">
        <is>
          <t>2256797310002656</t>
        </is>
      </c>
      <c r="BB2934" t="inlineStr">
        <is>
          <t>BOOK</t>
        </is>
      </c>
      <c r="BD2934" t="inlineStr">
        <is>
          <t>9780631215295</t>
        </is>
      </c>
      <c r="BE2934" t="inlineStr">
        <is>
          <t>32285004480652</t>
        </is>
      </c>
      <c r="BF2934" t="inlineStr">
        <is>
          <t>893324426</t>
        </is>
      </c>
    </row>
    <row r="2935">
      <c r="A2935" t="inlineStr">
        <is>
          <t>No</t>
        </is>
      </c>
      <c r="B2935" t="inlineStr">
        <is>
          <t>CURAL</t>
        </is>
      </c>
      <c r="C2935" t="inlineStr">
        <is>
          <t>SHELVES</t>
        </is>
      </c>
      <c r="D2935" t="inlineStr">
        <is>
          <t>PR601 .D9 1981</t>
        </is>
      </c>
      <c r="E2935" t="inlineStr">
        <is>
          <t>0                      PR 0601000D  9           1981</t>
        </is>
      </c>
      <c r="F2935" t="inlineStr">
        <is>
          <t>Yeats, Eliot, and R.S. Thomas : riding the echo / A.E. Dyson.</t>
        </is>
      </c>
      <c r="H2935" t="inlineStr">
        <is>
          <t>No</t>
        </is>
      </c>
      <c r="I2935" t="inlineStr">
        <is>
          <t>1</t>
        </is>
      </c>
      <c r="J2935" t="inlineStr">
        <is>
          <t>No</t>
        </is>
      </c>
      <c r="K2935" t="inlineStr">
        <is>
          <t>No</t>
        </is>
      </c>
      <c r="L2935" t="inlineStr">
        <is>
          <t>0</t>
        </is>
      </c>
      <c r="M2935" t="inlineStr">
        <is>
          <t>Dyson, A. E.</t>
        </is>
      </c>
      <c r="N2935" t="inlineStr">
        <is>
          <t>Atlantic Highlands, N.J. : Humanities Press, 1981.</t>
        </is>
      </c>
      <c r="O2935" t="inlineStr">
        <is>
          <t>1981</t>
        </is>
      </c>
      <c r="Q2935" t="inlineStr">
        <is>
          <t>eng</t>
        </is>
      </c>
      <c r="R2935" t="inlineStr">
        <is>
          <t>nju</t>
        </is>
      </c>
      <c r="T2935" t="inlineStr">
        <is>
          <t xml:space="preserve">PR </t>
        </is>
      </c>
      <c r="U2935" t="n">
        <v>6</v>
      </c>
      <c r="V2935" t="n">
        <v>6</v>
      </c>
      <c r="W2935" t="inlineStr">
        <is>
          <t>1999-03-22</t>
        </is>
      </c>
      <c r="X2935" t="inlineStr">
        <is>
          <t>1999-03-22</t>
        </is>
      </c>
      <c r="Y2935" t="inlineStr">
        <is>
          <t>1991-09-09</t>
        </is>
      </c>
      <c r="Z2935" t="inlineStr">
        <is>
          <t>1991-09-09</t>
        </is>
      </c>
      <c r="AA2935" t="n">
        <v>167</v>
      </c>
      <c r="AB2935" t="n">
        <v>149</v>
      </c>
      <c r="AC2935" t="n">
        <v>207</v>
      </c>
      <c r="AD2935" t="n">
        <v>1</v>
      </c>
      <c r="AE2935" t="n">
        <v>3</v>
      </c>
      <c r="AF2935" t="n">
        <v>5</v>
      </c>
      <c r="AG2935" t="n">
        <v>8</v>
      </c>
      <c r="AH2935" t="n">
        <v>1</v>
      </c>
      <c r="AI2935" t="n">
        <v>2</v>
      </c>
      <c r="AJ2935" t="n">
        <v>2</v>
      </c>
      <c r="AK2935" t="n">
        <v>2</v>
      </c>
      <c r="AL2935" t="n">
        <v>3</v>
      </c>
      <c r="AM2935" t="n">
        <v>4</v>
      </c>
      <c r="AN2935" t="n">
        <v>0</v>
      </c>
      <c r="AO2935" t="n">
        <v>2</v>
      </c>
      <c r="AP2935" t="n">
        <v>0</v>
      </c>
      <c r="AQ2935" t="n">
        <v>0</v>
      </c>
      <c r="AR2935" t="inlineStr">
        <is>
          <t>No</t>
        </is>
      </c>
      <c r="AS2935" t="inlineStr">
        <is>
          <t>No</t>
        </is>
      </c>
      <c r="AU2935">
        <f>HYPERLINK("https://creighton-primo.hosted.exlibrisgroup.com/primo-explore/search?tab=default_tab&amp;search_scope=EVERYTHING&amp;vid=01CRU&amp;lang=en_US&amp;offset=0&amp;query=any,contains,991005125009702656","Catalog Record")</f>
        <v/>
      </c>
      <c r="AV2935">
        <f>HYPERLINK("http://www.worldcat.org/oclc/7552858","WorldCat Record")</f>
        <v/>
      </c>
      <c r="AW2935" t="inlineStr">
        <is>
          <t>459104:eng</t>
        </is>
      </c>
      <c r="AX2935" t="inlineStr">
        <is>
          <t>7552858</t>
        </is>
      </c>
      <c r="AY2935" t="inlineStr">
        <is>
          <t>991005125009702656</t>
        </is>
      </c>
      <c r="AZ2935" t="inlineStr">
        <is>
          <t>991005125009702656</t>
        </is>
      </c>
      <c r="BA2935" t="inlineStr">
        <is>
          <t>2265605670002656</t>
        </is>
      </c>
      <c r="BB2935" t="inlineStr">
        <is>
          <t>BOOK</t>
        </is>
      </c>
      <c r="BD2935" t="inlineStr">
        <is>
          <t>9780391023383</t>
        </is>
      </c>
      <c r="BE2935" t="inlineStr">
        <is>
          <t>32285000738434</t>
        </is>
      </c>
      <c r="BF2935" t="inlineStr">
        <is>
          <t>893514080</t>
        </is>
      </c>
    </row>
    <row r="2936">
      <c r="A2936" t="inlineStr">
        <is>
          <t>No</t>
        </is>
      </c>
      <c r="B2936" t="inlineStr">
        <is>
          <t>CURAL</t>
        </is>
      </c>
      <c r="C2936" t="inlineStr">
        <is>
          <t>SHELVES</t>
        </is>
      </c>
      <c r="D2936" t="inlineStr">
        <is>
          <t>PR601 .H4 1989</t>
        </is>
      </c>
      <c r="E2936" t="inlineStr">
        <is>
          <t>0                      PR 0601000H  4           1989</t>
        </is>
      </c>
      <c r="F2936" t="inlineStr">
        <is>
          <t>The government of the tongue : selected prose, 1978-1987 / Seamus Heaney.</t>
        </is>
      </c>
      <c r="H2936" t="inlineStr">
        <is>
          <t>No</t>
        </is>
      </c>
      <c r="I2936" t="inlineStr">
        <is>
          <t>1</t>
        </is>
      </c>
      <c r="J2936" t="inlineStr">
        <is>
          <t>No</t>
        </is>
      </c>
      <c r="K2936" t="inlineStr">
        <is>
          <t>No</t>
        </is>
      </c>
      <c r="L2936" t="inlineStr">
        <is>
          <t>0</t>
        </is>
      </c>
      <c r="M2936" t="inlineStr">
        <is>
          <t>Heaney, Seamus, 1939-2013.</t>
        </is>
      </c>
      <c r="N2936" t="inlineStr">
        <is>
          <t>New York : Farrar, Straus and Giroux, 1989.</t>
        </is>
      </c>
      <c r="O2936" t="inlineStr">
        <is>
          <t>1989</t>
        </is>
      </c>
      <c r="P2936" t="inlineStr">
        <is>
          <t>1st American ed.</t>
        </is>
      </c>
      <c r="Q2936" t="inlineStr">
        <is>
          <t>eng</t>
        </is>
      </c>
      <c r="R2936" t="inlineStr">
        <is>
          <t>nyu</t>
        </is>
      </c>
      <c r="T2936" t="inlineStr">
        <is>
          <t xml:space="preserve">PR </t>
        </is>
      </c>
      <c r="U2936" t="n">
        <v>5</v>
      </c>
      <c r="V2936" t="n">
        <v>5</v>
      </c>
      <c r="W2936" t="inlineStr">
        <is>
          <t>2005-04-22</t>
        </is>
      </c>
      <c r="X2936" t="inlineStr">
        <is>
          <t>2005-04-22</t>
        </is>
      </c>
      <c r="Y2936" t="inlineStr">
        <is>
          <t>1989-10-20</t>
        </is>
      </c>
      <c r="Z2936" t="inlineStr">
        <is>
          <t>1989-10-20</t>
        </is>
      </c>
      <c r="AA2936" t="n">
        <v>359</v>
      </c>
      <c r="AB2936" t="n">
        <v>348</v>
      </c>
      <c r="AC2936" t="n">
        <v>504</v>
      </c>
      <c r="AD2936" t="n">
        <v>3</v>
      </c>
      <c r="AE2936" t="n">
        <v>5</v>
      </c>
      <c r="AF2936" t="n">
        <v>19</v>
      </c>
      <c r="AG2936" t="n">
        <v>31</v>
      </c>
      <c r="AH2936" t="n">
        <v>11</v>
      </c>
      <c r="AI2936" t="n">
        <v>16</v>
      </c>
      <c r="AJ2936" t="n">
        <v>5</v>
      </c>
      <c r="AK2936" t="n">
        <v>7</v>
      </c>
      <c r="AL2936" t="n">
        <v>11</v>
      </c>
      <c r="AM2936" t="n">
        <v>16</v>
      </c>
      <c r="AN2936" t="n">
        <v>1</v>
      </c>
      <c r="AO2936" t="n">
        <v>3</v>
      </c>
      <c r="AP2936" t="n">
        <v>0</v>
      </c>
      <c r="AQ2936" t="n">
        <v>0</v>
      </c>
      <c r="AR2936" t="inlineStr">
        <is>
          <t>No</t>
        </is>
      </c>
      <c r="AS2936" t="inlineStr">
        <is>
          <t>No</t>
        </is>
      </c>
      <c r="AU2936">
        <f>HYPERLINK("https://creighton-primo.hosted.exlibrisgroup.com/primo-explore/search?tab=default_tab&amp;search_scope=EVERYTHING&amp;vid=01CRU&amp;lang=en_US&amp;offset=0&amp;query=any,contains,991001417409702656","Catalog Record")</f>
        <v/>
      </c>
      <c r="AV2936">
        <f>HYPERLINK("http://www.worldcat.org/oclc/18951955","WorldCat Record")</f>
        <v/>
      </c>
      <c r="AW2936" t="inlineStr">
        <is>
          <t>5104057340:eng</t>
        </is>
      </c>
      <c r="AX2936" t="inlineStr">
        <is>
          <t>18951955</t>
        </is>
      </c>
      <c r="AY2936" t="inlineStr">
        <is>
          <t>991001417409702656</t>
        </is>
      </c>
      <c r="AZ2936" t="inlineStr">
        <is>
          <t>991001417409702656</t>
        </is>
      </c>
      <c r="BA2936" t="inlineStr">
        <is>
          <t>2265859270002656</t>
        </is>
      </c>
      <c r="BB2936" t="inlineStr">
        <is>
          <t>BOOK</t>
        </is>
      </c>
      <c r="BD2936" t="inlineStr">
        <is>
          <t>9780374165789</t>
        </is>
      </c>
      <c r="BE2936" t="inlineStr">
        <is>
          <t>32285000001361</t>
        </is>
      </c>
      <c r="BF2936" t="inlineStr">
        <is>
          <t>893522565</t>
        </is>
      </c>
    </row>
    <row r="2937">
      <c r="A2937" t="inlineStr">
        <is>
          <t>No</t>
        </is>
      </c>
      <c r="B2937" t="inlineStr">
        <is>
          <t>CURAL</t>
        </is>
      </c>
      <c r="C2937" t="inlineStr">
        <is>
          <t>SHELVES</t>
        </is>
      </c>
      <c r="D2937" t="inlineStr">
        <is>
          <t>PR601 .J64 2001</t>
        </is>
      </c>
      <c r="E2937" t="inlineStr">
        <is>
          <t>0                      PR 0601000J  64          2001</t>
        </is>
      </c>
      <c r="F2937" t="inlineStr">
        <is>
          <t>The poetic economies of England and Ireland, 1912-2000 / Dillon Johnston.</t>
        </is>
      </c>
      <c r="H2937" t="inlineStr">
        <is>
          <t>No</t>
        </is>
      </c>
      <c r="I2937" t="inlineStr">
        <is>
          <t>1</t>
        </is>
      </c>
      <c r="J2937" t="inlineStr">
        <is>
          <t>No</t>
        </is>
      </c>
      <c r="K2937" t="inlineStr">
        <is>
          <t>No</t>
        </is>
      </c>
      <c r="L2937" t="inlineStr">
        <is>
          <t>0</t>
        </is>
      </c>
      <c r="M2937" t="inlineStr">
        <is>
          <t>Johnston, Dillon.</t>
        </is>
      </c>
      <c r="N2937" t="inlineStr">
        <is>
          <t>Houndmills, Basingstoke, Hampshire ; New York : Palgrave, 2001.</t>
        </is>
      </c>
      <c r="O2937" t="inlineStr">
        <is>
          <t>2001</t>
        </is>
      </c>
      <c r="Q2937" t="inlineStr">
        <is>
          <t>eng</t>
        </is>
      </c>
      <c r="R2937" t="inlineStr">
        <is>
          <t>enk</t>
        </is>
      </c>
      <c r="T2937" t="inlineStr">
        <is>
          <t xml:space="preserve">PR </t>
        </is>
      </c>
      <c r="U2937" t="n">
        <v>2</v>
      </c>
      <c r="V2937" t="n">
        <v>2</v>
      </c>
      <c r="W2937" t="inlineStr">
        <is>
          <t>2005-04-22</t>
        </is>
      </c>
      <c r="X2937" t="inlineStr">
        <is>
          <t>2005-04-22</t>
        </is>
      </c>
      <c r="Y2937" t="inlineStr">
        <is>
          <t>2002-04-29</t>
        </is>
      </c>
      <c r="Z2937" t="inlineStr">
        <is>
          <t>2002-04-29</t>
        </is>
      </c>
      <c r="AA2937" t="n">
        <v>293</v>
      </c>
      <c r="AB2937" t="n">
        <v>229</v>
      </c>
      <c r="AC2937" t="n">
        <v>250</v>
      </c>
      <c r="AD2937" t="n">
        <v>1</v>
      </c>
      <c r="AE2937" t="n">
        <v>1</v>
      </c>
      <c r="AF2937" t="n">
        <v>11</v>
      </c>
      <c r="AG2937" t="n">
        <v>11</v>
      </c>
      <c r="AH2937" t="n">
        <v>4</v>
      </c>
      <c r="AI2937" t="n">
        <v>4</v>
      </c>
      <c r="AJ2937" t="n">
        <v>4</v>
      </c>
      <c r="AK2937" t="n">
        <v>4</v>
      </c>
      <c r="AL2937" t="n">
        <v>5</v>
      </c>
      <c r="AM2937" t="n">
        <v>5</v>
      </c>
      <c r="AN2937" t="n">
        <v>0</v>
      </c>
      <c r="AO2937" t="n">
        <v>0</v>
      </c>
      <c r="AP2937" t="n">
        <v>0</v>
      </c>
      <c r="AQ2937" t="n">
        <v>0</v>
      </c>
      <c r="AR2937" t="inlineStr">
        <is>
          <t>No</t>
        </is>
      </c>
      <c r="AS2937" t="inlineStr">
        <is>
          <t>No</t>
        </is>
      </c>
      <c r="AU2937">
        <f>HYPERLINK("https://creighton-primo.hosted.exlibrisgroup.com/primo-explore/search?tab=default_tab&amp;search_scope=EVERYTHING&amp;vid=01CRU&amp;lang=en_US&amp;offset=0&amp;query=any,contains,991003774759702656","Catalog Record")</f>
        <v/>
      </c>
      <c r="AV2937">
        <f>HYPERLINK("http://www.worldcat.org/oclc/45879445","WorldCat Record")</f>
        <v/>
      </c>
      <c r="AW2937" t="inlineStr">
        <is>
          <t>20662306:eng</t>
        </is>
      </c>
      <c r="AX2937" t="inlineStr">
        <is>
          <t>45879445</t>
        </is>
      </c>
      <c r="AY2937" t="inlineStr">
        <is>
          <t>991003774759702656</t>
        </is>
      </c>
      <c r="AZ2937" t="inlineStr">
        <is>
          <t>991003774759702656</t>
        </is>
      </c>
      <c r="BA2937" t="inlineStr">
        <is>
          <t>2254728440002656</t>
        </is>
      </c>
      <c r="BB2937" t="inlineStr">
        <is>
          <t>BOOK</t>
        </is>
      </c>
      <c r="BD2937" t="inlineStr">
        <is>
          <t>9780333790465</t>
        </is>
      </c>
      <c r="BE2937" t="inlineStr">
        <is>
          <t>32285004484134</t>
        </is>
      </c>
      <c r="BF2937" t="inlineStr">
        <is>
          <t>893794037</t>
        </is>
      </c>
    </row>
    <row r="2938">
      <c r="A2938" t="inlineStr">
        <is>
          <t>No</t>
        </is>
      </c>
      <c r="B2938" t="inlineStr">
        <is>
          <t>CURAL</t>
        </is>
      </c>
      <c r="C2938" t="inlineStr">
        <is>
          <t>SHELVES</t>
        </is>
      </c>
      <c r="D2938" t="inlineStr">
        <is>
          <t>PR601 .L6</t>
        </is>
      </c>
      <c r="E2938" t="inlineStr">
        <is>
          <t>0                      PR 0601000L  6</t>
        </is>
      </c>
      <c r="F2938" t="inlineStr">
        <is>
          <t>The English poets of the First World War / John Lehmann.</t>
        </is>
      </c>
      <c r="H2938" t="inlineStr">
        <is>
          <t>No</t>
        </is>
      </c>
      <c r="I2938" t="inlineStr">
        <is>
          <t>1</t>
        </is>
      </c>
      <c r="J2938" t="inlineStr">
        <is>
          <t>No</t>
        </is>
      </c>
      <c r="K2938" t="inlineStr">
        <is>
          <t>No</t>
        </is>
      </c>
      <c r="L2938" t="inlineStr">
        <is>
          <t>0</t>
        </is>
      </c>
      <c r="M2938" t="inlineStr">
        <is>
          <t>Lehmann, John, 1907-1987.</t>
        </is>
      </c>
      <c r="N2938" t="inlineStr">
        <is>
          <t>London ; New York : Thames and Hudson, c1981, 1982.</t>
        </is>
      </c>
      <c r="O2938" t="inlineStr">
        <is>
          <t>1981</t>
        </is>
      </c>
      <c r="Q2938" t="inlineStr">
        <is>
          <t>eng</t>
        </is>
      </c>
      <c r="R2938" t="inlineStr">
        <is>
          <t>enk</t>
        </is>
      </c>
      <c r="T2938" t="inlineStr">
        <is>
          <t xml:space="preserve">PR </t>
        </is>
      </c>
      <c r="U2938" t="n">
        <v>5</v>
      </c>
      <c r="V2938" t="n">
        <v>5</v>
      </c>
      <c r="W2938" t="inlineStr">
        <is>
          <t>2008-11-23</t>
        </is>
      </c>
      <c r="X2938" t="inlineStr">
        <is>
          <t>2008-11-23</t>
        </is>
      </c>
      <c r="Y2938" t="inlineStr">
        <is>
          <t>1991-09-09</t>
        </is>
      </c>
      <c r="Z2938" t="inlineStr">
        <is>
          <t>1991-09-09</t>
        </is>
      </c>
      <c r="AA2938" t="n">
        <v>254</v>
      </c>
      <c r="AB2938" t="n">
        <v>118</v>
      </c>
      <c r="AC2938" t="n">
        <v>588</v>
      </c>
      <c r="AD2938" t="n">
        <v>2</v>
      </c>
      <c r="AE2938" t="n">
        <v>7</v>
      </c>
      <c r="AF2938" t="n">
        <v>5</v>
      </c>
      <c r="AG2938" t="n">
        <v>25</v>
      </c>
      <c r="AH2938" t="n">
        <v>1</v>
      </c>
      <c r="AI2938" t="n">
        <v>9</v>
      </c>
      <c r="AJ2938" t="n">
        <v>2</v>
      </c>
      <c r="AK2938" t="n">
        <v>7</v>
      </c>
      <c r="AL2938" t="n">
        <v>3</v>
      </c>
      <c r="AM2938" t="n">
        <v>11</v>
      </c>
      <c r="AN2938" t="n">
        <v>1</v>
      </c>
      <c r="AO2938" t="n">
        <v>6</v>
      </c>
      <c r="AP2938" t="n">
        <v>0</v>
      </c>
      <c r="AQ2938" t="n">
        <v>0</v>
      </c>
      <c r="AR2938" t="inlineStr">
        <is>
          <t>No</t>
        </is>
      </c>
      <c r="AS2938" t="inlineStr">
        <is>
          <t>No</t>
        </is>
      </c>
      <c r="AU2938">
        <f>HYPERLINK("https://creighton-primo.hosted.exlibrisgroup.com/primo-explore/search?tab=default_tab&amp;search_scope=EVERYTHING&amp;vid=01CRU&amp;lang=en_US&amp;offset=0&amp;query=any,contains,991005206699702656","Catalog Record")</f>
        <v/>
      </c>
      <c r="AV2938">
        <f>HYPERLINK("http://www.worldcat.org/oclc/8118586","WorldCat Record")</f>
        <v/>
      </c>
      <c r="AW2938" t="inlineStr">
        <is>
          <t>495809:eng</t>
        </is>
      </c>
      <c r="AX2938" t="inlineStr">
        <is>
          <t>8118586</t>
        </is>
      </c>
      <c r="AY2938" t="inlineStr">
        <is>
          <t>991005206699702656</t>
        </is>
      </c>
      <c r="AZ2938" t="inlineStr">
        <is>
          <t>991005206699702656</t>
        </is>
      </c>
      <c r="BA2938" t="inlineStr">
        <is>
          <t>2256449240002656</t>
        </is>
      </c>
      <c r="BB2938" t="inlineStr">
        <is>
          <t>BOOK</t>
        </is>
      </c>
      <c r="BD2938" t="inlineStr">
        <is>
          <t>9780500012567</t>
        </is>
      </c>
      <c r="BE2938" t="inlineStr">
        <is>
          <t>32285000738442</t>
        </is>
      </c>
      <c r="BF2938" t="inlineStr">
        <is>
          <t>893338716</t>
        </is>
      </c>
    </row>
    <row r="2939">
      <c r="A2939" t="inlineStr">
        <is>
          <t>No</t>
        </is>
      </c>
      <c r="B2939" t="inlineStr">
        <is>
          <t>CURAL</t>
        </is>
      </c>
      <c r="C2939" t="inlineStr">
        <is>
          <t>SHELVES</t>
        </is>
      </c>
      <c r="D2939" t="inlineStr">
        <is>
          <t>PR601 .L79 1986</t>
        </is>
      </c>
      <c r="E2939" t="inlineStr">
        <is>
          <t>0                      PR 0601000L  79          1986</t>
        </is>
      </c>
      <c r="F2939" t="inlineStr">
        <is>
          <t>Modern English poetry - from Hardy to Hughes : a critical survey / John Lucas.</t>
        </is>
      </c>
      <c r="H2939" t="inlineStr">
        <is>
          <t>No</t>
        </is>
      </c>
      <c r="I2939" t="inlineStr">
        <is>
          <t>1</t>
        </is>
      </c>
      <c r="J2939" t="inlineStr">
        <is>
          <t>No</t>
        </is>
      </c>
      <c r="K2939" t="inlineStr">
        <is>
          <t>No</t>
        </is>
      </c>
      <c r="L2939" t="inlineStr">
        <is>
          <t>0</t>
        </is>
      </c>
      <c r="M2939" t="inlineStr">
        <is>
          <t>Lucas, John, 1937-</t>
        </is>
      </c>
      <c r="N2939" t="inlineStr">
        <is>
          <t>Totowa, N.J. : Barnes &amp; Noble, 1986.</t>
        </is>
      </c>
      <c r="O2939" t="inlineStr">
        <is>
          <t>1986</t>
        </is>
      </c>
      <c r="Q2939" t="inlineStr">
        <is>
          <t>eng</t>
        </is>
      </c>
      <c r="R2939" t="inlineStr">
        <is>
          <t>nju</t>
        </is>
      </c>
      <c r="T2939" t="inlineStr">
        <is>
          <t xml:space="preserve">PR </t>
        </is>
      </c>
      <c r="U2939" t="n">
        <v>4</v>
      </c>
      <c r="V2939" t="n">
        <v>4</v>
      </c>
      <c r="W2939" t="inlineStr">
        <is>
          <t>1994-10-09</t>
        </is>
      </c>
      <c r="X2939" t="inlineStr">
        <is>
          <t>1994-10-09</t>
        </is>
      </c>
      <c r="Y2939" t="inlineStr">
        <is>
          <t>1991-09-09</t>
        </is>
      </c>
      <c r="Z2939" t="inlineStr">
        <is>
          <t>1991-09-09</t>
        </is>
      </c>
      <c r="AA2939" t="n">
        <v>516</v>
      </c>
      <c r="AB2939" t="n">
        <v>484</v>
      </c>
      <c r="AC2939" t="n">
        <v>561</v>
      </c>
      <c r="AD2939" t="n">
        <v>5</v>
      </c>
      <c r="AE2939" t="n">
        <v>6</v>
      </c>
      <c r="AF2939" t="n">
        <v>23</v>
      </c>
      <c r="AG2939" t="n">
        <v>26</v>
      </c>
      <c r="AH2939" t="n">
        <v>11</v>
      </c>
      <c r="AI2939" t="n">
        <v>11</v>
      </c>
      <c r="AJ2939" t="n">
        <v>5</v>
      </c>
      <c r="AK2939" t="n">
        <v>6</v>
      </c>
      <c r="AL2939" t="n">
        <v>8</v>
      </c>
      <c r="AM2939" t="n">
        <v>10</v>
      </c>
      <c r="AN2939" t="n">
        <v>4</v>
      </c>
      <c r="AO2939" t="n">
        <v>5</v>
      </c>
      <c r="AP2939" t="n">
        <v>0</v>
      </c>
      <c r="AQ2939" t="n">
        <v>0</v>
      </c>
      <c r="AR2939" t="inlineStr">
        <is>
          <t>No</t>
        </is>
      </c>
      <c r="AS2939" t="inlineStr">
        <is>
          <t>Yes</t>
        </is>
      </c>
      <c r="AT2939">
        <f>HYPERLINK("http://catalog.hathitrust.org/Record/000883176","HathiTrust Record")</f>
        <v/>
      </c>
      <c r="AU2939">
        <f>HYPERLINK("https://creighton-primo.hosted.exlibrisgroup.com/primo-explore/search?tab=default_tab&amp;search_scope=EVERYTHING&amp;vid=01CRU&amp;lang=en_US&amp;offset=0&amp;query=any,contains,991000863409702656","Catalog Record")</f>
        <v/>
      </c>
      <c r="AV2939">
        <f>HYPERLINK("http://www.worldcat.org/oclc/13701922","WorldCat Record")</f>
        <v/>
      </c>
      <c r="AW2939" t="inlineStr">
        <is>
          <t>6811022:eng</t>
        </is>
      </c>
      <c r="AX2939" t="inlineStr">
        <is>
          <t>13701922</t>
        </is>
      </c>
      <c r="AY2939" t="inlineStr">
        <is>
          <t>991000863409702656</t>
        </is>
      </c>
      <c r="AZ2939" t="inlineStr">
        <is>
          <t>991000863409702656</t>
        </is>
      </c>
      <c r="BA2939" t="inlineStr">
        <is>
          <t>2263890580002656</t>
        </is>
      </c>
      <c r="BB2939" t="inlineStr">
        <is>
          <t>BOOK</t>
        </is>
      </c>
      <c r="BD2939" t="inlineStr">
        <is>
          <t>9780389206293</t>
        </is>
      </c>
      <c r="BE2939" t="inlineStr">
        <is>
          <t>32285000738459</t>
        </is>
      </c>
      <c r="BF2939" t="inlineStr">
        <is>
          <t>893797057</t>
        </is>
      </c>
    </row>
    <row r="2940">
      <c r="A2940" t="inlineStr">
        <is>
          <t>No</t>
        </is>
      </c>
      <c r="B2940" t="inlineStr">
        <is>
          <t>CURAL</t>
        </is>
      </c>
      <c r="C2940" t="inlineStr">
        <is>
          <t>SHELVES</t>
        </is>
      </c>
      <c r="D2940" t="inlineStr">
        <is>
          <t>PR601 .M5</t>
        </is>
      </c>
      <c r="E2940" t="inlineStr">
        <is>
          <t>0                      PR 0601000M  5</t>
        </is>
      </c>
      <c r="F2940" t="inlineStr">
        <is>
          <t>Poets of reality : six twentieth-century writers / [by] J. Hillis Miller.</t>
        </is>
      </c>
      <c r="H2940" t="inlineStr">
        <is>
          <t>No</t>
        </is>
      </c>
      <c r="I2940" t="inlineStr">
        <is>
          <t>1</t>
        </is>
      </c>
      <c r="J2940" t="inlineStr">
        <is>
          <t>No</t>
        </is>
      </c>
      <c r="K2940" t="inlineStr">
        <is>
          <t>No</t>
        </is>
      </c>
      <c r="L2940" t="inlineStr">
        <is>
          <t>0</t>
        </is>
      </c>
      <c r="M2940" t="inlineStr">
        <is>
          <t>Miller, J. Hillis (Joseph Hillis), 1928-</t>
        </is>
      </c>
      <c r="N2940" t="inlineStr">
        <is>
          <t>Cambridge : Belknap Press of Harvard University Press, 1965.</t>
        </is>
      </c>
      <c r="O2940" t="inlineStr">
        <is>
          <t>1965</t>
        </is>
      </c>
      <c r="Q2940" t="inlineStr">
        <is>
          <t>eng</t>
        </is>
      </c>
      <c r="R2940" t="inlineStr">
        <is>
          <t>mau</t>
        </is>
      </c>
      <c r="T2940" t="inlineStr">
        <is>
          <t xml:space="preserve">PR </t>
        </is>
      </c>
      <c r="U2940" t="n">
        <v>3</v>
      </c>
      <c r="V2940" t="n">
        <v>3</v>
      </c>
      <c r="W2940" t="inlineStr">
        <is>
          <t>1994-11-28</t>
        </is>
      </c>
      <c r="X2940" t="inlineStr">
        <is>
          <t>1994-11-28</t>
        </is>
      </c>
      <c r="Y2940" t="inlineStr">
        <is>
          <t>1991-09-10</t>
        </is>
      </c>
      <c r="Z2940" t="inlineStr">
        <is>
          <t>1991-09-10</t>
        </is>
      </c>
      <c r="AA2940" t="n">
        <v>1297</v>
      </c>
      <c r="AB2940" t="n">
        <v>1186</v>
      </c>
      <c r="AC2940" t="n">
        <v>1284</v>
      </c>
      <c r="AD2940" t="n">
        <v>10</v>
      </c>
      <c r="AE2940" t="n">
        <v>10</v>
      </c>
      <c r="AF2940" t="n">
        <v>47</v>
      </c>
      <c r="AG2940" t="n">
        <v>51</v>
      </c>
      <c r="AH2940" t="n">
        <v>15</v>
      </c>
      <c r="AI2940" t="n">
        <v>19</v>
      </c>
      <c r="AJ2940" t="n">
        <v>11</v>
      </c>
      <c r="AK2940" t="n">
        <v>11</v>
      </c>
      <c r="AL2940" t="n">
        <v>23</v>
      </c>
      <c r="AM2940" t="n">
        <v>24</v>
      </c>
      <c r="AN2940" t="n">
        <v>9</v>
      </c>
      <c r="AO2940" t="n">
        <v>9</v>
      </c>
      <c r="AP2940" t="n">
        <v>0</v>
      </c>
      <c r="AQ2940" t="n">
        <v>0</v>
      </c>
      <c r="AR2940" t="inlineStr">
        <is>
          <t>No</t>
        </is>
      </c>
      <c r="AS2940" t="inlineStr">
        <is>
          <t>Yes</t>
        </is>
      </c>
      <c r="AT2940">
        <f>HYPERLINK("http://catalog.hathitrust.org/Record/001016550","HathiTrust Record")</f>
        <v/>
      </c>
      <c r="AU2940">
        <f>HYPERLINK("https://creighton-primo.hosted.exlibrisgroup.com/primo-explore/search?tab=default_tab&amp;search_scope=EVERYTHING&amp;vid=01CRU&amp;lang=en_US&amp;offset=0&amp;query=any,contains,991001769899702656","Catalog Record")</f>
        <v/>
      </c>
      <c r="AV2940">
        <f>HYPERLINK("http://www.worldcat.org/oclc/236315","WorldCat Record")</f>
        <v/>
      </c>
      <c r="AW2940" t="inlineStr">
        <is>
          <t>787447:eng</t>
        </is>
      </c>
      <c r="AX2940" t="inlineStr">
        <is>
          <t>236315</t>
        </is>
      </c>
      <c r="AY2940" t="inlineStr">
        <is>
          <t>991001769899702656</t>
        </is>
      </c>
      <c r="AZ2940" t="inlineStr">
        <is>
          <t>991001769899702656</t>
        </is>
      </c>
      <c r="BA2940" t="inlineStr">
        <is>
          <t>2257720060002656</t>
        </is>
      </c>
      <c r="BB2940" t="inlineStr">
        <is>
          <t>BOOK</t>
        </is>
      </c>
      <c r="BE2940" t="inlineStr">
        <is>
          <t>32285000738475</t>
        </is>
      </c>
      <c r="BF2940" t="inlineStr">
        <is>
          <t>893433118</t>
        </is>
      </c>
    </row>
    <row r="2941">
      <c r="A2941" t="inlineStr">
        <is>
          <t>No</t>
        </is>
      </c>
      <c r="B2941" t="inlineStr">
        <is>
          <t>CURAL</t>
        </is>
      </c>
      <c r="C2941" t="inlineStr">
        <is>
          <t>SHELVES</t>
        </is>
      </c>
      <c r="D2941" t="inlineStr">
        <is>
          <t>PR601 .S355 1989</t>
        </is>
      </c>
      <c r="E2941" t="inlineStr">
        <is>
          <t>0                      PR 0601000S  355         1989</t>
        </is>
      </c>
      <c r="F2941" t="inlineStr">
        <is>
          <t>Reading modern poetry / Michael Schmidt.</t>
        </is>
      </c>
      <c r="H2941" t="inlineStr">
        <is>
          <t>No</t>
        </is>
      </c>
      <c r="I2941" t="inlineStr">
        <is>
          <t>1</t>
        </is>
      </c>
      <c r="J2941" t="inlineStr">
        <is>
          <t>No</t>
        </is>
      </c>
      <c r="K2941" t="inlineStr">
        <is>
          <t>No</t>
        </is>
      </c>
      <c r="L2941" t="inlineStr">
        <is>
          <t>0</t>
        </is>
      </c>
      <c r="M2941" t="inlineStr">
        <is>
          <t>Schmidt, Michael, 1947-</t>
        </is>
      </c>
      <c r="N2941" t="inlineStr">
        <is>
          <t>London ; New York : Routledge, 1989.</t>
        </is>
      </c>
      <c r="O2941" t="inlineStr">
        <is>
          <t>1989</t>
        </is>
      </c>
      <c r="Q2941" t="inlineStr">
        <is>
          <t>eng</t>
        </is>
      </c>
      <c r="R2941" t="inlineStr">
        <is>
          <t>enk</t>
        </is>
      </c>
      <c r="T2941" t="inlineStr">
        <is>
          <t xml:space="preserve">PR </t>
        </is>
      </c>
      <c r="U2941" t="n">
        <v>5</v>
      </c>
      <c r="V2941" t="n">
        <v>5</v>
      </c>
      <c r="W2941" t="inlineStr">
        <is>
          <t>1999-11-22</t>
        </is>
      </c>
      <c r="X2941" t="inlineStr">
        <is>
          <t>1999-11-22</t>
        </is>
      </c>
      <c r="Y2941" t="inlineStr">
        <is>
          <t>1990-03-23</t>
        </is>
      </c>
      <c r="Z2941" t="inlineStr">
        <is>
          <t>1990-03-23</t>
        </is>
      </c>
      <c r="AA2941" t="n">
        <v>275</v>
      </c>
      <c r="AB2941" t="n">
        <v>131</v>
      </c>
      <c r="AC2941" t="n">
        <v>137</v>
      </c>
      <c r="AD2941" t="n">
        <v>3</v>
      </c>
      <c r="AE2941" t="n">
        <v>3</v>
      </c>
      <c r="AF2941" t="n">
        <v>7</v>
      </c>
      <c r="AG2941" t="n">
        <v>7</v>
      </c>
      <c r="AH2941" t="n">
        <v>2</v>
      </c>
      <c r="AI2941" t="n">
        <v>2</v>
      </c>
      <c r="AJ2941" t="n">
        <v>1</v>
      </c>
      <c r="AK2941" t="n">
        <v>1</v>
      </c>
      <c r="AL2941" t="n">
        <v>3</v>
      </c>
      <c r="AM2941" t="n">
        <v>3</v>
      </c>
      <c r="AN2941" t="n">
        <v>2</v>
      </c>
      <c r="AO2941" t="n">
        <v>2</v>
      </c>
      <c r="AP2941" t="n">
        <v>0</v>
      </c>
      <c r="AQ2941" t="n">
        <v>0</v>
      </c>
      <c r="AR2941" t="inlineStr">
        <is>
          <t>No</t>
        </is>
      </c>
      <c r="AS2941" t="inlineStr">
        <is>
          <t>No</t>
        </is>
      </c>
      <c r="AU2941">
        <f>HYPERLINK("https://creighton-primo.hosted.exlibrisgroup.com/primo-explore/search?tab=default_tab&amp;search_scope=EVERYTHING&amp;vid=01CRU&amp;lang=en_US&amp;offset=0&amp;query=any,contains,991001467859702656","Catalog Record")</f>
        <v/>
      </c>
      <c r="AV2941">
        <f>HYPERLINK("http://www.worldcat.org/oclc/19515726","WorldCat Record")</f>
        <v/>
      </c>
      <c r="AW2941" t="inlineStr">
        <is>
          <t>21373918:eng</t>
        </is>
      </c>
      <c r="AX2941" t="inlineStr">
        <is>
          <t>19515726</t>
        </is>
      </c>
      <c r="AY2941" t="inlineStr">
        <is>
          <t>991001467859702656</t>
        </is>
      </c>
      <c r="AZ2941" t="inlineStr">
        <is>
          <t>991001467859702656</t>
        </is>
      </c>
      <c r="BA2941" t="inlineStr">
        <is>
          <t>2261449970002656</t>
        </is>
      </c>
      <c r="BB2941" t="inlineStr">
        <is>
          <t>BOOK</t>
        </is>
      </c>
      <c r="BD2941" t="inlineStr">
        <is>
          <t>9780415015684</t>
        </is>
      </c>
      <c r="BE2941" t="inlineStr">
        <is>
          <t>32285000082106</t>
        </is>
      </c>
      <c r="BF2941" t="inlineStr">
        <is>
          <t>893509641</t>
        </is>
      </c>
    </row>
    <row r="2942">
      <c r="A2942" t="inlineStr">
        <is>
          <t>No</t>
        </is>
      </c>
      <c r="B2942" t="inlineStr">
        <is>
          <t>CURAL</t>
        </is>
      </c>
      <c r="C2942" t="inlineStr">
        <is>
          <t>SHELVES</t>
        </is>
      </c>
      <c r="D2942" t="inlineStr">
        <is>
          <t>PR601 .T56 1978</t>
        </is>
      </c>
      <c r="E2942" t="inlineStr">
        <is>
          <t>0                      PR 0601000T  56          1978</t>
        </is>
      </c>
      <c r="F2942" t="inlineStr">
        <is>
          <t>Twentieth-century English poetry : an introduction / by Anthony Thwaite.</t>
        </is>
      </c>
      <c r="H2942" t="inlineStr">
        <is>
          <t>No</t>
        </is>
      </c>
      <c r="I2942" t="inlineStr">
        <is>
          <t>1</t>
        </is>
      </c>
      <c r="J2942" t="inlineStr">
        <is>
          <t>No</t>
        </is>
      </c>
      <c r="K2942" t="inlineStr">
        <is>
          <t>No</t>
        </is>
      </c>
      <c r="L2942" t="inlineStr">
        <is>
          <t>0</t>
        </is>
      </c>
      <c r="M2942" t="inlineStr">
        <is>
          <t>Thwaite, Anthony.</t>
        </is>
      </c>
      <c r="N2942" t="inlineStr">
        <is>
          <t>London : Heinemann Educational ; New York : Barnes &amp; Noble, 1978.</t>
        </is>
      </c>
      <c r="O2942" t="inlineStr">
        <is>
          <t>1978</t>
        </is>
      </c>
      <c r="Q2942" t="inlineStr">
        <is>
          <t>eng</t>
        </is>
      </c>
      <c r="R2942" t="inlineStr">
        <is>
          <t>enk</t>
        </is>
      </c>
      <c r="T2942" t="inlineStr">
        <is>
          <t xml:space="preserve">PR </t>
        </is>
      </c>
      <c r="U2942" t="n">
        <v>3</v>
      </c>
      <c r="V2942" t="n">
        <v>3</v>
      </c>
      <c r="W2942" t="inlineStr">
        <is>
          <t>1993-06-08</t>
        </is>
      </c>
      <c r="X2942" t="inlineStr">
        <is>
          <t>1993-06-08</t>
        </is>
      </c>
      <c r="Y2942" t="inlineStr">
        <is>
          <t>1991-09-09</t>
        </is>
      </c>
      <c r="Z2942" t="inlineStr">
        <is>
          <t>1991-09-09</t>
        </is>
      </c>
      <c r="AA2942" t="n">
        <v>821</v>
      </c>
      <c r="AB2942" t="n">
        <v>618</v>
      </c>
      <c r="AC2942" t="n">
        <v>627</v>
      </c>
      <c r="AD2942" t="n">
        <v>9</v>
      </c>
      <c r="AE2942" t="n">
        <v>9</v>
      </c>
      <c r="AF2942" t="n">
        <v>36</v>
      </c>
      <c r="AG2942" t="n">
        <v>36</v>
      </c>
      <c r="AH2942" t="n">
        <v>12</v>
      </c>
      <c r="AI2942" t="n">
        <v>12</v>
      </c>
      <c r="AJ2942" t="n">
        <v>11</v>
      </c>
      <c r="AK2942" t="n">
        <v>11</v>
      </c>
      <c r="AL2942" t="n">
        <v>15</v>
      </c>
      <c r="AM2942" t="n">
        <v>15</v>
      </c>
      <c r="AN2942" t="n">
        <v>8</v>
      </c>
      <c r="AO2942" t="n">
        <v>8</v>
      </c>
      <c r="AP2942" t="n">
        <v>0</v>
      </c>
      <c r="AQ2942" t="n">
        <v>0</v>
      </c>
      <c r="AR2942" t="inlineStr">
        <is>
          <t>No</t>
        </is>
      </c>
      <c r="AS2942" t="inlineStr">
        <is>
          <t>Yes</t>
        </is>
      </c>
      <c r="AT2942">
        <f>HYPERLINK("http://catalog.hathitrust.org/Record/000134235","HathiTrust Record")</f>
        <v/>
      </c>
      <c r="AU2942">
        <f>HYPERLINK("https://creighton-primo.hosted.exlibrisgroup.com/primo-explore/search?tab=default_tab&amp;search_scope=EVERYTHING&amp;vid=01CRU&amp;lang=en_US&amp;offset=0&amp;query=any,contains,991004519029702656","Catalog Record")</f>
        <v/>
      </c>
      <c r="AV2942">
        <f>HYPERLINK("http://www.worldcat.org/oclc/3790056","WorldCat Record")</f>
        <v/>
      </c>
      <c r="AW2942" t="inlineStr">
        <is>
          <t>346987875:eng</t>
        </is>
      </c>
      <c r="AX2942" t="inlineStr">
        <is>
          <t>3790056</t>
        </is>
      </c>
      <c r="AY2942" t="inlineStr">
        <is>
          <t>991004519029702656</t>
        </is>
      </c>
      <c r="AZ2942" t="inlineStr">
        <is>
          <t>991004519029702656</t>
        </is>
      </c>
      <c r="BA2942" t="inlineStr">
        <is>
          <t>2263663140002656</t>
        </is>
      </c>
      <c r="BB2942" t="inlineStr">
        <is>
          <t>BOOK</t>
        </is>
      </c>
      <c r="BD2942" t="inlineStr">
        <is>
          <t>9780064968904</t>
        </is>
      </c>
      <c r="BE2942" t="inlineStr">
        <is>
          <t>32285000738541</t>
        </is>
      </c>
      <c r="BF2942" t="inlineStr">
        <is>
          <t>893500680</t>
        </is>
      </c>
    </row>
    <row r="2943">
      <c r="A2943" t="inlineStr">
        <is>
          <t>No</t>
        </is>
      </c>
      <c r="B2943" t="inlineStr">
        <is>
          <t>CURAL</t>
        </is>
      </c>
      <c r="C2943" t="inlineStr">
        <is>
          <t>SHELVES</t>
        </is>
      </c>
      <c r="D2943" t="inlineStr">
        <is>
          <t>PR6011.I7 Z66 1996</t>
        </is>
      </c>
      <c r="E2943" t="inlineStr">
        <is>
          <t>0                      PR 6011000I  7                  Z  66          1996</t>
        </is>
      </c>
      <c r="F2943" t="inlineStr">
        <is>
          <t>Ronald Firbank : an annotated bibliography of secondary materials, 1905-1995 / by Steven Moore.</t>
        </is>
      </c>
      <c r="H2943" t="inlineStr">
        <is>
          <t>No</t>
        </is>
      </c>
      <c r="I2943" t="inlineStr">
        <is>
          <t>1</t>
        </is>
      </c>
      <c r="J2943" t="inlineStr">
        <is>
          <t>No</t>
        </is>
      </c>
      <c r="K2943" t="inlineStr">
        <is>
          <t>No</t>
        </is>
      </c>
      <c r="L2943" t="inlineStr">
        <is>
          <t>0</t>
        </is>
      </c>
      <c r="M2943" t="inlineStr">
        <is>
          <t>Moore, Steven, 1951-</t>
        </is>
      </c>
      <c r="N2943" t="inlineStr">
        <is>
          <t>Normal, Ill. : Dalkey Archive Press, c1996.</t>
        </is>
      </c>
      <c r="O2943" t="inlineStr">
        <is>
          <t>1996</t>
        </is>
      </c>
      <c r="P2943" t="inlineStr">
        <is>
          <t>1st ed.</t>
        </is>
      </c>
      <c r="Q2943" t="inlineStr">
        <is>
          <t>eng</t>
        </is>
      </c>
      <c r="R2943" t="inlineStr">
        <is>
          <t>ilu</t>
        </is>
      </c>
      <c r="S2943" t="inlineStr">
        <is>
          <t>The Dalkey Archive bibliography series ; 3</t>
        </is>
      </c>
      <c r="T2943" t="inlineStr">
        <is>
          <t xml:space="preserve">PR </t>
        </is>
      </c>
      <c r="U2943" t="n">
        <v>1</v>
      </c>
      <c r="V2943" t="n">
        <v>1</v>
      </c>
      <c r="W2943" t="inlineStr">
        <is>
          <t>2005-04-05</t>
        </is>
      </c>
      <c r="X2943" t="inlineStr">
        <is>
          <t>2005-04-05</t>
        </is>
      </c>
      <c r="Y2943" t="inlineStr">
        <is>
          <t>2005-04-05</t>
        </is>
      </c>
      <c r="Z2943" t="inlineStr">
        <is>
          <t>2005-04-05</t>
        </is>
      </c>
      <c r="AA2943" t="n">
        <v>200</v>
      </c>
      <c r="AB2943" t="n">
        <v>180</v>
      </c>
      <c r="AC2943" t="n">
        <v>180</v>
      </c>
      <c r="AD2943" t="n">
        <v>3</v>
      </c>
      <c r="AE2943" t="n">
        <v>3</v>
      </c>
      <c r="AF2943" t="n">
        <v>16</v>
      </c>
      <c r="AG2943" t="n">
        <v>16</v>
      </c>
      <c r="AH2943" t="n">
        <v>6</v>
      </c>
      <c r="AI2943" t="n">
        <v>6</v>
      </c>
      <c r="AJ2943" t="n">
        <v>5</v>
      </c>
      <c r="AK2943" t="n">
        <v>5</v>
      </c>
      <c r="AL2943" t="n">
        <v>8</v>
      </c>
      <c r="AM2943" t="n">
        <v>8</v>
      </c>
      <c r="AN2943" t="n">
        <v>2</v>
      </c>
      <c r="AO2943" t="n">
        <v>2</v>
      </c>
      <c r="AP2943" t="n">
        <v>0</v>
      </c>
      <c r="AQ2943" t="n">
        <v>0</v>
      </c>
      <c r="AR2943" t="inlineStr">
        <is>
          <t>No</t>
        </is>
      </c>
      <c r="AS2943" t="inlineStr">
        <is>
          <t>No</t>
        </is>
      </c>
      <c r="AU2943">
        <f>HYPERLINK("https://creighton-primo.hosted.exlibrisgroup.com/primo-explore/search?tab=default_tab&amp;search_scope=EVERYTHING&amp;vid=01CRU&amp;lang=en_US&amp;offset=0&amp;query=any,contains,991004506549702656","Catalog Record")</f>
        <v/>
      </c>
      <c r="AV2943">
        <f>HYPERLINK("http://www.worldcat.org/oclc/34514603","WorldCat Record")</f>
        <v/>
      </c>
      <c r="AW2943" t="inlineStr">
        <is>
          <t>476805822:eng</t>
        </is>
      </c>
      <c r="AX2943" t="inlineStr">
        <is>
          <t>34514603</t>
        </is>
      </c>
      <c r="AY2943" t="inlineStr">
        <is>
          <t>991004506549702656</t>
        </is>
      </c>
      <c r="AZ2943" t="inlineStr">
        <is>
          <t>991004506549702656</t>
        </is>
      </c>
      <c r="BA2943" t="inlineStr">
        <is>
          <t>2256056710002656</t>
        </is>
      </c>
      <c r="BB2943" t="inlineStr">
        <is>
          <t>BOOK</t>
        </is>
      </c>
      <c r="BD2943" t="inlineStr">
        <is>
          <t>9781564781338</t>
        </is>
      </c>
      <c r="BE2943" t="inlineStr">
        <is>
          <t>32285005047849</t>
        </is>
      </c>
      <c r="BF2943" t="inlineStr">
        <is>
          <t>893442688</t>
        </is>
      </c>
    </row>
    <row r="2944">
      <c r="A2944" t="inlineStr">
        <is>
          <t>No</t>
        </is>
      </c>
      <c r="B2944" t="inlineStr">
        <is>
          <t>CURAL</t>
        </is>
      </c>
      <c r="C2944" t="inlineStr">
        <is>
          <t>SHELVES</t>
        </is>
      </c>
      <c r="D2944" t="inlineStr">
        <is>
          <t>PR6011.O53 Z586 1987</t>
        </is>
      </c>
      <c r="E2944" t="inlineStr">
        <is>
          <t>0                      PR 6011000O  53                 Z  586         1987</t>
        </is>
      </c>
      <c r="F2944" t="inlineStr">
        <is>
          <t>Critical essays on Ford Madox Ford / [edited by] Richard A. Cassell.</t>
        </is>
      </c>
      <c r="H2944" t="inlineStr">
        <is>
          <t>No</t>
        </is>
      </c>
      <c r="I2944" t="inlineStr">
        <is>
          <t>1</t>
        </is>
      </c>
      <c r="J2944" t="inlineStr">
        <is>
          <t>No</t>
        </is>
      </c>
      <c r="K2944" t="inlineStr">
        <is>
          <t>No</t>
        </is>
      </c>
      <c r="L2944" t="inlineStr">
        <is>
          <t>0</t>
        </is>
      </c>
      <c r="N2944" t="inlineStr">
        <is>
          <t>Boston, Mass. : G.K. Hall, c1987.</t>
        </is>
      </c>
      <c r="O2944" t="inlineStr">
        <is>
          <t>1987</t>
        </is>
      </c>
      <c r="Q2944" t="inlineStr">
        <is>
          <t>eng</t>
        </is>
      </c>
      <c r="R2944" t="inlineStr">
        <is>
          <t>mau</t>
        </is>
      </c>
      <c r="S2944" t="inlineStr">
        <is>
          <t>Critical essays on modern British literature</t>
        </is>
      </c>
      <c r="T2944" t="inlineStr">
        <is>
          <t xml:space="preserve">PR </t>
        </is>
      </c>
      <c r="U2944" t="n">
        <v>4</v>
      </c>
      <c r="V2944" t="n">
        <v>4</v>
      </c>
      <c r="W2944" t="inlineStr">
        <is>
          <t>1997-03-26</t>
        </is>
      </c>
      <c r="X2944" t="inlineStr">
        <is>
          <t>1997-03-26</t>
        </is>
      </c>
      <c r="Y2944" t="inlineStr">
        <is>
          <t>1992-07-03</t>
        </is>
      </c>
      <c r="Z2944" t="inlineStr">
        <is>
          <t>1992-07-03</t>
        </is>
      </c>
      <c r="AA2944" t="n">
        <v>418</v>
      </c>
      <c r="AB2944" t="n">
        <v>362</v>
      </c>
      <c r="AC2944" t="n">
        <v>367</v>
      </c>
      <c r="AD2944" t="n">
        <v>3</v>
      </c>
      <c r="AE2944" t="n">
        <v>3</v>
      </c>
      <c r="AF2944" t="n">
        <v>18</v>
      </c>
      <c r="AG2944" t="n">
        <v>18</v>
      </c>
      <c r="AH2944" t="n">
        <v>6</v>
      </c>
      <c r="AI2944" t="n">
        <v>6</v>
      </c>
      <c r="AJ2944" t="n">
        <v>6</v>
      </c>
      <c r="AK2944" t="n">
        <v>6</v>
      </c>
      <c r="AL2944" t="n">
        <v>11</v>
      </c>
      <c r="AM2944" t="n">
        <v>11</v>
      </c>
      <c r="AN2944" t="n">
        <v>2</v>
      </c>
      <c r="AO2944" t="n">
        <v>2</v>
      </c>
      <c r="AP2944" t="n">
        <v>0</v>
      </c>
      <c r="AQ2944" t="n">
        <v>0</v>
      </c>
      <c r="AR2944" t="inlineStr">
        <is>
          <t>No</t>
        </is>
      </c>
      <c r="AS2944" t="inlineStr">
        <is>
          <t>No</t>
        </is>
      </c>
      <c r="AU2944">
        <f>HYPERLINK("https://creighton-primo.hosted.exlibrisgroup.com/primo-explore/search?tab=default_tab&amp;search_scope=EVERYTHING&amp;vid=01CRU&amp;lang=en_US&amp;offset=0&amp;query=any,contains,991000926779702656","Catalog Record")</f>
        <v/>
      </c>
      <c r="AV2944">
        <f>HYPERLINK("http://www.worldcat.org/oclc/14240761","WorldCat Record")</f>
        <v/>
      </c>
      <c r="AW2944" t="inlineStr">
        <is>
          <t>9018027:eng</t>
        </is>
      </c>
      <c r="AX2944" t="inlineStr">
        <is>
          <t>14240761</t>
        </is>
      </c>
      <c r="AY2944" t="inlineStr">
        <is>
          <t>991000926779702656</t>
        </is>
      </c>
      <c r="AZ2944" t="inlineStr">
        <is>
          <t>991000926779702656</t>
        </is>
      </c>
      <c r="BA2944" t="inlineStr">
        <is>
          <t>2258744390002656</t>
        </is>
      </c>
      <c r="BB2944" t="inlineStr">
        <is>
          <t>BOOK</t>
        </is>
      </c>
      <c r="BD2944" t="inlineStr">
        <is>
          <t>9780816187614</t>
        </is>
      </c>
      <c r="BE2944" t="inlineStr">
        <is>
          <t>32285001147825</t>
        </is>
      </c>
      <c r="BF2944" t="inlineStr">
        <is>
          <t>893772117</t>
        </is>
      </c>
    </row>
    <row r="2945">
      <c r="A2945" t="inlineStr">
        <is>
          <t>No</t>
        </is>
      </c>
      <c r="B2945" t="inlineStr">
        <is>
          <t>CURAL</t>
        </is>
      </c>
      <c r="C2945" t="inlineStr">
        <is>
          <t>SHELVES</t>
        </is>
      </c>
      <c r="D2945" t="inlineStr">
        <is>
          <t>PR6011.O53 Z66 1990</t>
        </is>
      </c>
      <c r="E2945" t="inlineStr">
        <is>
          <t>0                      PR 6011000O  53                 Z  66          1990</t>
        </is>
      </c>
      <c r="F2945" t="inlineStr">
        <is>
          <t>Ford Madox Ford / by Charles G. Hoffmann.</t>
        </is>
      </c>
      <c r="H2945" t="inlineStr">
        <is>
          <t>No</t>
        </is>
      </c>
      <c r="I2945" t="inlineStr">
        <is>
          <t>1</t>
        </is>
      </c>
      <c r="J2945" t="inlineStr">
        <is>
          <t>No</t>
        </is>
      </c>
      <c r="K2945" t="inlineStr">
        <is>
          <t>No</t>
        </is>
      </c>
      <c r="L2945" t="inlineStr">
        <is>
          <t>0</t>
        </is>
      </c>
      <c r="M2945" t="inlineStr">
        <is>
          <t>Hoffmann, Charles G.</t>
        </is>
      </c>
      <c r="N2945" t="inlineStr">
        <is>
          <t>Boston : Twayne Publishers, c1990.</t>
        </is>
      </c>
      <c r="O2945" t="inlineStr">
        <is>
          <t>1990</t>
        </is>
      </c>
      <c r="P2945" t="inlineStr">
        <is>
          <t>Updated ed.</t>
        </is>
      </c>
      <c r="Q2945" t="inlineStr">
        <is>
          <t>eng</t>
        </is>
      </c>
      <c r="R2945" t="inlineStr">
        <is>
          <t>mau</t>
        </is>
      </c>
      <c r="S2945" t="inlineStr">
        <is>
          <t>Twayne's English authors series ; TEAS 55</t>
        </is>
      </c>
      <c r="T2945" t="inlineStr">
        <is>
          <t xml:space="preserve">PR </t>
        </is>
      </c>
      <c r="U2945" t="n">
        <v>2</v>
      </c>
      <c r="V2945" t="n">
        <v>2</v>
      </c>
      <c r="W2945" t="inlineStr">
        <is>
          <t>1997-03-26</t>
        </is>
      </c>
      <c r="X2945" t="inlineStr">
        <is>
          <t>1997-03-26</t>
        </is>
      </c>
      <c r="Y2945" t="inlineStr">
        <is>
          <t>1989-12-05</t>
        </is>
      </c>
      <c r="Z2945" t="inlineStr">
        <is>
          <t>1989-12-05</t>
        </is>
      </c>
      <c r="AA2945" t="n">
        <v>502</v>
      </c>
      <c r="AB2945" t="n">
        <v>446</v>
      </c>
      <c r="AC2945" t="n">
        <v>1183</v>
      </c>
      <c r="AD2945" t="n">
        <v>5</v>
      </c>
      <c r="AE2945" t="n">
        <v>10</v>
      </c>
      <c r="AF2945" t="n">
        <v>24</v>
      </c>
      <c r="AG2945" t="n">
        <v>48</v>
      </c>
      <c r="AH2945" t="n">
        <v>8</v>
      </c>
      <c r="AI2945" t="n">
        <v>19</v>
      </c>
      <c r="AJ2945" t="n">
        <v>4</v>
      </c>
      <c r="AK2945" t="n">
        <v>10</v>
      </c>
      <c r="AL2945" t="n">
        <v>13</v>
      </c>
      <c r="AM2945" t="n">
        <v>21</v>
      </c>
      <c r="AN2945" t="n">
        <v>4</v>
      </c>
      <c r="AO2945" t="n">
        <v>9</v>
      </c>
      <c r="AP2945" t="n">
        <v>0</v>
      </c>
      <c r="AQ2945" t="n">
        <v>0</v>
      </c>
      <c r="AR2945" t="inlineStr">
        <is>
          <t>No</t>
        </is>
      </c>
      <c r="AS2945" t="inlineStr">
        <is>
          <t>Yes</t>
        </is>
      </c>
      <c r="AT2945">
        <f>HYPERLINK("http://catalog.hathitrust.org/Record/001820965","HathiTrust Record")</f>
        <v/>
      </c>
      <c r="AU2945">
        <f>HYPERLINK("https://creighton-primo.hosted.exlibrisgroup.com/primo-explore/search?tab=default_tab&amp;search_scope=EVERYTHING&amp;vid=01CRU&amp;lang=en_US&amp;offset=0&amp;query=any,contains,991001502859702656","Catalog Record")</f>
        <v/>
      </c>
      <c r="AV2945">
        <f>HYPERLINK("http://www.worldcat.org/oclc/19814444","WorldCat Record")</f>
        <v/>
      </c>
      <c r="AW2945" t="inlineStr">
        <is>
          <t>4915120919:eng</t>
        </is>
      </c>
      <c r="AX2945" t="inlineStr">
        <is>
          <t>19814444</t>
        </is>
      </c>
      <c r="AY2945" t="inlineStr">
        <is>
          <t>991001502859702656</t>
        </is>
      </c>
      <c r="AZ2945" t="inlineStr">
        <is>
          <t>991001502859702656</t>
        </is>
      </c>
      <c r="BA2945" t="inlineStr">
        <is>
          <t>2268088780002656</t>
        </is>
      </c>
      <c r="BB2945" t="inlineStr">
        <is>
          <t>BOOK</t>
        </is>
      </c>
      <c r="BD2945" t="inlineStr">
        <is>
          <t>9780805769876</t>
        </is>
      </c>
      <c r="BE2945" t="inlineStr">
        <is>
          <t>32285000020221</t>
        </is>
      </c>
      <c r="BF2945" t="inlineStr">
        <is>
          <t>893346560</t>
        </is>
      </c>
    </row>
    <row r="2946">
      <c r="A2946" t="inlineStr">
        <is>
          <t>No</t>
        </is>
      </c>
      <c r="B2946" t="inlineStr">
        <is>
          <t>CURAL</t>
        </is>
      </c>
      <c r="C2946" t="inlineStr">
        <is>
          <t>SHELVES</t>
        </is>
      </c>
      <c r="D2946" t="inlineStr">
        <is>
          <t>PR6011.O53 Z7 1991</t>
        </is>
      </c>
      <c r="E2946" t="inlineStr">
        <is>
          <t>0                      PR 6011000O  53                 Z  7           1991</t>
        </is>
      </c>
      <c r="F2946" t="inlineStr">
        <is>
          <t>Ford Madox Ford / Alan Judd.</t>
        </is>
      </c>
      <c r="H2946" t="inlineStr">
        <is>
          <t>No</t>
        </is>
      </c>
      <c r="I2946" t="inlineStr">
        <is>
          <t>1</t>
        </is>
      </c>
      <c r="J2946" t="inlineStr">
        <is>
          <t>No</t>
        </is>
      </c>
      <c r="K2946" t="inlineStr">
        <is>
          <t>No</t>
        </is>
      </c>
      <c r="L2946" t="inlineStr">
        <is>
          <t>0</t>
        </is>
      </c>
      <c r="M2946" t="inlineStr">
        <is>
          <t>Judd, Alan, 1946-</t>
        </is>
      </c>
      <c r="N2946" t="inlineStr">
        <is>
          <t>Cambridge, Mass. : Harvard University Press, 1991, c1990.</t>
        </is>
      </c>
      <c r="O2946" t="inlineStr">
        <is>
          <t>1991</t>
        </is>
      </c>
      <c r="Q2946" t="inlineStr">
        <is>
          <t>eng</t>
        </is>
      </c>
      <c r="R2946" t="inlineStr">
        <is>
          <t>mau</t>
        </is>
      </c>
      <c r="T2946" t="inlineStr">
        <is>
          <t xml:space="preserve">PR </t>
        </is>
      </c>
      <c r="U2946" t="n">
        <v>4</v>
      </c>
      <c r="V2946" t="n">
        <v>4</v>
      </c>
      <c r="W2946" t="inlineStr">
        <is>
          <t>2010-04-08</t>
        </is>
      </c>
      <c r="X2946" t="inlineStr">
        <is>
          <t>2010-04-08</t>
        </is>
      </c>
      <c r="Y2946" t="inlineStr">
        <is>
          <t>1991-06-05</t>
        </is>
      </c>
      <c r="Z2946" t="inlineStr">
        <is>
          <t>1991-06-05</t>
        </is>
      </c>
      <c r="AA2946" t="n">
        <v>627</v>
      </c>
      <c r="AB2946" t="n">
        <v>582</v>
      </c>
      <c r="AC2946" t="n">
        <v>672</v>
      </c>
      <c r="AD2946" t="n">
        <v>3</v>
      </c>
      <c r="AE2946" t="n">
        <v>4</v>
      </c>
      <c r="AF2946" t="n">
        <v>32</v>
      </c>
      <c r="AG2946" t="n">
        <v>36</v>
      </c>
      <c r="AH2946" t="n">
        <v>15</v>
      </c>
      <c r="AI2946" t="n">
        <v>17</v>
      </c>
      <c r="AJ2946" t="n">
        <v>8</v>
      </c>
      <c r="AK2946" t="n">
        <v>10</v>
      </c>
      <c r="AL2946" t="n">
        <v>15</v>
      </c>
      <c r="AM2946" t="n">
        <v>16</v>
      </c>
      <c r="AN2946" t="n">
        <v>2</v>
      </c>
      <c r="AO2946" t="n">
        <v>3</v>
      </c>
      <c r="AP2946" t="n">
        <v>0</v>
      </c>
      <c r="AQ2946" t="n">
        <v>0</v>
      </c>
      <c r="AR2946" t="inlineStr">
        <is>
          <t>No</t>
        </is>
      </c>
      <c r="AS2946" t="inlineStr">
        <is>
          <t>Yes</t>
        </is>
      </c>
      <c r="AT2946">
        <f>HYPERLINK("http://catalog.hathitrust.org/Record/004492229","HathiTrust Record")</f>
        <v/>
      </c>
      <c r="AU2946">
        <f>HYPERLINK("https://creighton-primo.hosted.exlibrisgroup.com/primo-explore/search?tab=default_tab&amp;search_scope=EVERYTHING&amp;vid=01CRU&amp;lang=en_US&amp;offset=0&amp;query=any,contains,991005412779702656","Catalog Record")</f>
        <v/>
      </c>
      <c r="AV2946">
        <f>HYPERLINK("http://www.worldcat.org/oclc/22420571","WorldCat Record")</f>
        <v/>
      </c>
      <c r="AW2946" t="inlineStr">
        <is>
          <t>23140557:eng</t>
        </is>
      </c>
      <c r="AX2946" t="inlineStr">
        <is>
          <t>22420571</t>
        </is>
      </c>
      <c r="AY2946" t="inlineStr">
        <is>
          <t>991005412779702656</t>
        </is>
      </c>
      <c r="AZ2946" t="inlineStr">
        <is>
          <t>991005412779702656</t>
        </is>
      </c>
      <c r="BA2946" t="inlineStr">
        <is>
          <t>2272240050002656</t>
        </is>
      </c>
      <c r="BB2946" t="inlineStr">
        <is>
          <t>BOOK</t>
        </is>
      </c>
      <c r="BD2946" t="inlineStr">
        <is>
          <t>9780674308152</t>
        </is>
      </c>
      <c r="BE2946" t="inlineStr">
        <is>
          <t>32285000592898</t>
        </is>
      </c>
      <c r="BF2946" t="inlineStr">
        <is>
          <t>893720377</t>
        </is>
      </c>
    </row>
    <row r="2947">
      <c r="A2947" t="inlineStr">
        <is>
          <t>No</t>
        </is>
      </c>
      <c r="B2947" t="inlineStr">
        <is>
          <t>CURAL</t>
        </is>
      </c>
      <c r="C2947" t="inlineStr">
        <is>
          <t>SHELVES</t>
        </is>
      </c>
      <c r="D2947" t="inlineStr">
        <is>
          <t>PR6011.O53 Z72</t>
        </is>
      </c>
      <c r="E2947" t="inlineStr">
        <is>
          <t>0                      PR 6011000O  53                 Z  72</t>
        </is>
      </c>
      <c r="F2947" t="inlineStr">
        <is>
          <t>The limited hero in the novels of Ford Madox Ford / by Norman Leer.</t>
        </is>
      </c>
      <c r="H2947" t="inlineStr">
        <is>
          <t>No</t>
        </is>
      </c>
      <c r="I2947" t="inlineStr">
        <is>
          <t>1</t>
        </is>
      </c>
      <c r="J2947" t="inlineStr">
        <is>
          <t>No</t>
        </is>
      </c>
      <c r="K2947" t="inlineStr">
        <is>
          <t>No</t>
        </is>
      </c>
      <c r="L2947" t="inlineStr">
        <is>
          <t>0</t>
        </is>
      </c>
      <c r="M2947" t="inlineStr">
        <is>
          <t>Leer, Norman.</t>
        </is>
      </c>
      <c r="N2947" t="inlineStr">
        <is>
          <t>[East Lansing] : Michigan State University Press, 1966.</t>
        </is>
      </c>
      <c r="O2947" t="inlineStr">
        <is>
          <t>1966</t>
        </is>
      </c>
      <c r="Q2947" t="inlineStr">
        <is>
          <t>eng</t>
        </is>
      </c>
      <c r="R2947" t="inlineStr">
        <is>
          <t>miu</t>
        </is>
      </c>
      <c r="T2947" t="inlineStr">
        <is>
          <t xml:space="preserve">PR </t>
        </is>
      </c>
      <c r="U2947" t="n">
        <v>1</v>
      </c>
      <c r="V2947" t="n">
        <v>1</v>
      </c>
      <c r="W2947" t="inlineStr">
        <is>
          <t>2003-09-15</t>
        </is>
      </c>
      <c r="X2947" t="inlineStr">
        <is>
          <t>2003-09-15</t>
        </is>
      </c>
      <c r="Y2947" t="inlineStr">
        <is>
          <t>2003-09-15</t>
        </is>
      </c>
      <c r="Z2947" t="inlineStr">
        <is>
          <t>2003-09-15</t>
        </is>
      </c>
      <c r="AA2947" t="n">
        <v>450</v>
      </c>
      <c r="AB2947" t="n">
        <v>382</v>
      </c>
      <c r="AC2947" t="n">
        <v>390</v>
      </c>
      <c r="AD2947" t="n">
        <v>3</v>
      </c>
      <c r="AE2947" t="n">
        <v>3</v>
      </c>
      <c r="AF2947" t="n">
        <v>23</v>
      </c>
      <c r="AG2947" t="n">
        <v>23</v>
      </c>
      <c r="AH2947" t="n">
        <v>2</v>
      </c>
      <c r="AI2947" t="n">
        <v>2</v>
      </c>
      <c r="AJ2947" t="n">
        <v>9</v>
      </c>
      <c r="AK2947" t="n">
        <v>9</v>
      </c>
      <c r="AL2947" t="n">
        <v>16</v>
      </c>
      <c r="AM2947" t="n">
        <v>16</v>
      </c>
      <c r="AN2947" t="n">
        <v>2</v>
      </c>
      <c r="AO2947" t="n">
        <v>2</v>
      </c>
      <c r="AP2947" t="n">
        <v>0</v>
      </c>
      <c r="AQ2947" t="n">
        <v>0</v>
      </c>
      <c r="AR2947" t="inlineStr">
        <is>
          <t>No</t>
        </is>
      </c>
      <c r="AS2947" t="inlineStr">
        <is>
          <t>Yes</t>
        </is>
      </c>
      <c r="AT2947">
        <f>HYPERLINK("http://catalog.hathitrust.org/Record/000390858","HathiTrust Record")</f>
        <v/>
      </c>
      <c r="AU2947">
        <f>HYPERLINK("https://creighton-primo.hosted.exlibrisgroup.com/primo-explore/search?tab=default_tab&amp;search_scope=EVERYTHING&amp;vid=01CRU&amp;lang=en_US&amp;offset=0&amp;query=any,contains,991004123169702656","Catalog Record")</f>
        <v/>
      </c>
      <c r="AV2947">
        <f>HYPERLINK("http://www.worldcat.org/oclc/364534","WorldCat Record")</f>
        <v/>
      </c>
      <c r="AW2947" t="inlineStr">
        <is>
          <t>1422533:eng</t>
        </is>
      </c>
      <c r="AX2947" t="inlineStr">
        <is>
          <t>364534</t>
        </is>
      </c>
      <c r="AY2947" t="inlineStr">
        <is>
          <t>991004123169702656</t>
        </is>
      </c>
      <c r="AZ2947" t="inlineStr">
        <is>
          <t>991004123169702656</t>
        </is>
      </c>
      <c r="BA2947" t="inlineStr">
        <is>
          <t>2265589140002656</t>
        </is>
      </c>
      <c r="BB2947" t="inlineStr">
        <is>
          <t>BOOK</t>
        </is>
      </c>
      <c r="BE2947" t="inlineStr">
        <is>
          <t>32285004782933</t>
        </is>
      </c>
      <c r="BF2947" t="inlineStr">
        <is>
          <t>893624367</t>
        </is>
      </c>
    </row>
    <row r="2948">
      <c r="A2948" t="inlineStr">
        <is>
          <t>No</t>
        </is>
      </c>
      <c r="B2948" t="inlineStr">
        <is>
          <t>CURAL</t>
        </is>
      </c>
      <c r="C2948" t="inlineStr">
        <is>
          <t>SHELVES</t>
        </is>
      </c>
      <c r="D2948" t="inlineStr">
        <is>
          <t>PR6011.O53 Z87 1984</t>
        </is>
      </c>
      <c r="E2948" t="inlineStr">
        <is>
          <t>0                      PR 6011000O  53                 Z  87          1984</t>
        </is>
      </c>
      <c r="F2948" t="inlineStr">
        <is>
          <t>Ford Madox Ford and the voice of uncertainty / Ann Barr Snitow.</t>
        </is>
      </c>
      <c r="H2948" t="inlineStr">
        <is>
          <t>No</t>
        </is>
      </c>
      <c r="I2948" t="inlineStr">
        <is>
          <t>1</t>
        </is>
      </c>
      <c r="J2948" t="inlineStr">
        <is>
          <t>No</t>
        </is>
      </c>
      <c r="K2948" t="inlineStr">
        <is>
          <t>No</t>
        </is>
      </c>
      <c r="L2948" t="inlineStr">
        <is>
          <t>0</t>
        </is>
      </c>
      <c r="M2948" t="inlineStr">
        <is>
          <t>Snitow, Ann Barr, 1943-</t>
        </is>
      </c>
      <c r="N2948" t="inlineStr">
        <is>
          <t>Baton Rouge : Louisiana State University Press, c1984.</t>
        </is>
      </c>
      <c r="O2948" t="inlineStr">
        <is>
          <t>1984</t>
        </is>
      </c>
      <c r="Q2948" t="inlineStr">
        <is>
          <t>eng</t>
        </is>
      </c>
      <c r="R2948" t="inlineStr">
        <is>
          <t>lau</t>
        </is>
      </c>
      <c r="T2948" t="inlineStr">
        <is>
          <t xml:space="preserve">PR </t>
        </is>
      </c>
      <c r="U2948" t="n">
        <v>3</v>
      </c>
      <c r="V2948" t="n">
        <v>3</v>
      </c>
      <c r="W2948" t="inlineStr">
        <is>
          <t>1994-09-20</t>
        </is>
      </c>
      <c r="X2948" t="inlineStr">
        <is>
          <t>1994-09-20</t>
        </is>
      </c>
      <c r="Y2948" t="inlineStr">
        <is>
          <t>1992-07-03</t>
        </is>
      </c>
      <c r="Z2948" t="inlineStr">
        <is>
          <t>1992-07-03</t>
        </is>
      </c>
      <c r="AA2948" t="n">
        <v>521</v>
      </c>
      <c r="AB2948" t="n">
        <v>432</v>
      </c>
      <c r="AC2948" t="n">
        <v>434</v>
      </c>
      <c r="AD2948" t="n">
        <v>3</v>
      </c>
      <c r="AE2948" t="n">
        <v>3</v>
      </c>
      <c r="AF2948" t="n">
        <v>25</v>
      </c>
      <c r="AG2948" t="n">
        <v>25</v>
      </c>
      <c r="AH2948" t="n">
        <v>10</v>
      </c>
      <c r="AI2948" t="n">
        <v>10</v>
      </c>
      <c r="AJ2948" t="n">
        <v>6</v>
      </c>
      <c r="AK2948" t="n">
        <v>6</v>
      </c>
      <c r="AL2948" t="n">
        <v>15</v>
      </c>
      <c r="AM2948" t="n">
        <v>15</v>
      </c>
      <c r="AN2948" t="n">
        <v>2</v>
      </c>
      <c r="AO2948" t="n">
        <v>2</v>
      </c>
      <c r="AP2948" t="n">
        <v>0</v>
      </c>
      <c r="AQ2948" t="n">
        <v>0</v>
      </c>
      <c r="AR2948" t="inlineStr">
        <is>
          <t>No</t>
        </is>
      </c>
      <c r="AS2948" t="inlineStr">
        <is>
          <t>Yes</t>
        </is>
      </c>
      <c r="AT2948">
        <f>HYPERLINK("http://catalog.hathitrust.org/Record/000241368","HathiTrust Record")</f>
        <v/>
      </c>
      <c r="AU2948">
        <f>HYPERLINK("https://creighton-primo.hosted.exlibrisgroup.com/primo-explore/search?tab=default_tab&amp;search_scope=EVERYTHING&amp;vid=01CRU&amp;lang=en_US&amp;offset=0&amp;query=any,contains,991000228689702656","Catalog Record")</f>
        <v/>
      </c>
      <c r="AV2948">
        <f>HYPERLINK("http://www.worldcat.org/oclc/9622481","WorldCat Record")</f>
        <v/>
      </c>
      <c r="AW2948" t="inlineStr">
        <is>
          <t>351405170:eng</t>
        </is>
      </c>
      <c r="AX2948" t="inlineStr">
        <is>
          <t>9622481</t>
        </is>
      </c>
      <c r="AY2948" t="inlineStr">
        <is>
          <t>991000228689702656</t>
        </is>
      </c>
      <c r="AZ2948" t="inlineStr">
        <is>
          <t>991000228689702656</t>
        </is>
      </c>
      <c r="BA2948" t="inlineStr">
        <is>
          <t>2269474000002656</t>
        </is>
      </c>
      <c r="BB2948" t="inlineStr">
        <is>
          <t>BOOK</t>
        </is>
      </c>
      <c r="BD2948" t="inlineStr">
        <is>
          <t>9780807111130</t>
        </is>
      </c>
      <c r="BE2948" t="inlineStr">
        <is>
          <t>32285001147866</t>
        </is>
      </c>
      <c r="BF2948" t="inlineStr">
        <is>
          <t>893243096</t>
        </is>
      </c>
    </row>
    <row r="2949">
      <c r="A2949" t="inlineStr">
        <is>
          <t>No</t>
        </is>
      </c>
      <c r="B2949" t="inlineStr">
        <is>
          <t>CURAL</t>
        </is>
      </c>
      <c r="C2949" t="inlineStr">
        <is>
          <t>SHELVES</t>
        </is>
      </c>
      <c r="D2949" t="inlineStr">
        <is>
          <t>PR6011.O56 Z88</t>
        </is>
      </c>
      <c r="E2949" t="inlineStr">
        <is>
          <t>0                      PR 6011000O  56                 Z  88</t>
        </is>
      </c>
      <c r="F2949" t="inlineStr">
        <is>
          <t>C. S. Forester / by Sanford Sternlicht.</t>
        </is>
      </c>
      <c r="H2949" t="inlineStr">
        <is>
          <t>No</t>
        </is>
      </c>
      <c r="I2949" t="inlineStr">
        <is>
          <t>1</t>
        </is>
      </c>
      <c r="J2949" t="inlineStr">
        <is>
          <t>No</t>
        </is>
      </c>
      <c r="K2949" t="inlineStr">
        <is>
          <t>No</t>
        </is>
      </c>
      <c r="L2949" t="inlineStr">
        <is>
          <t>0</t>
        </is>
      </c>
      <c r="M2949" t="inlineStr">
        <is>
          <t>Sternlicht, Sanford, 1931-</t>
        </is>
      </c>
      <c r="N2949" t="inlineStr">
        <is>
          <t>Boston : Twayne Publishers, c1981.</t>
        </is>
      </c>
      <c r="O2949" t="inlineStr">
        <is>
          <t>1981</t>
        </is>
      </c>
      <c r="Q2949" t="inlineStr">
        <is>
          <t>eng</t>
        </is>
      </c>
      <c r="R2949" t="inlineStr">
        <is>
          <t>mau</t>
        </is>
      </c>
      <c r="S2949" t="inlineStr">
        <is>
          <t>Twayne's English authors series ; TEAS 320</t>
        </is>
      </c>
      <c r="T2949" t="inlineStr">
        <is>
          <t xml:space="preserve">PR </t>
        </is>
      </c>
      <c r="U2949" t="n">
        <v>1</v>
      </c>
      <c r="V2949" t="n">
        <v>1</v>
      </c>
      <c r="W2949" t="inlineStr">
        <is>
          <t>1995-01-22</t>
        </is>
      </c>
      <c r="X2949" t="inlineStr">
        <is>
          <t>1995-01-22</t>
        </is>
      </c>
      <c r="Y2949" t="inlineStr">
        <is>
          <t>1992-07-03</t>
        </is>
      </c>
      <c r="Z2949" t="inlineStr">
        <is>
          <t>1992-07-03</t>
        </is>
      </c>
      <c r="AA2949" t="n">
        <v>668</v>
      </c>
      <c r="AB2949" t="n">
        <v>594</v>
      </c>
      <c r="AC2949" t="n">
        <v>596</v>
      </c>
      <c r="AD2949" t="n">
        <v>5</v>
      </c>
      <c r="AE2949" t="n">
        <v>5</v>
      </c>
      <c r="AF2949" t="n">
        <v>22</v>
      </c>
      <c r="AG2949" t="n">
        <v>22</v>
      </c>
      <c r="AH2949" t="n">
        <v>9</v>
      </c>
      <c r="AI2949" t="n">
        <v>9</v>
      </c>
      <c r="AJ2949" t="n">
        <v>4</v>
      </c>
      <c r="AK2949" t="n">
        <v>4</v>
      </c>
      <c r="AL2949" t="n">
        <v>11</v>
      </c>
      <c r="AM2949" t="n">
        <v>11</v>
      </c>
      <c r="AN2949" t="n">
        <v>4</v>
      </c>
      <c r="AO2949" t="n">
        <v>4</v>
      </c>
      <c r="AP2949" t="n">
        <v>0</v>
      </c>
      <c r="AQ2949" t="n">
        <v>0</v>
      </c>
      <c r="AR2949" t="inlineStr">
        <is>
          <t>No</t>
        </is>
      </c>
      <c r="AS2949" t="inlineStr">
        <is>
          <t>Yes</t>
        </is>
      </c>
      <c r="AT2949">
        <f>HYPERLINK("http://catalog.hathitrust.org/Record/000737903","HathiTrust Record")</f>
        <v/>
      </c>
      <c r="AU2949">
        <f>HYPERLINK("https://creighton-primo.hosted.exlibrisgroup.com/primo-explore/search?tab=default_tab&amp;search_scope=EVERYTHING&amp;vid=01CRU&amp;lang=en_US&amp;offset=0&amp;query=any,contains,991005068439702656","Catalog Record")</f>
        <v/>
      </c>
      <c r="AV2949">
        <f>HYPERLINK("http://www.worldcat.org/oclc/6982667","WorldCat Record")</f>
        <v/>
      </c>
      <c r="AW2949" t="inlineStr">
        <is>
          <t>461579:eng</t>
        </is>
      </c>
      <c r="AX2949" t="inlineStr">
        <is>
          <t>6982667</t>
        </is>
      </c>
      <c r="AY2949" t="inlineStr">
        <is>
          <t>991005068439702656</t>
        </is>
      </c>
      <c r="AZ2949" t="inlineStr">
        <is>
          <t>991005068439702656</t>
        </is>
      </c>
      <c r="BA2949" t="inlineStr">
        <is>
          <t>2272572880002656</t>
        </is>
      </c>
      <c r="BB2949" t="inlineStr">
        <is>
          <t>BOOK</t>
        </is>
      </c>
      <c r="BD2949" t="inlineStr">
        <is>
          <t>9780805768107</t>
        </is>
      </c>
      <c r="BE2949" t="inlineStr">
        <is>
          <t>32285001147890</t>
        </is>
      </c>
      <c r="BF2949" t="inlineStr">
        <is>
          <t>893883278</t>
        </is>
      </c>
    </row>
    <row r="2950">
      <c r="A2950" t="inlineStr">
        <is>
          <t>No</t>
        </is>
      </c>
      <c r="B2950" t="inlineStr">
        <is>
          <t>CURAL</t>
        </is>
      </c>
      <c r="C2950" t="inlineStr">
        <is>
          <t>SHELVES</t>
        </is>
      </c>
      <c r="D2950" t="inlineStr">
        <is>
          <t>PR6011.O58 P375</t>
        </is>
      </c>
      <c r="E2950" t="inlineStr">
        <is>
          <t>0                      PR 6011000O  58                 P  375</t>
        </is>
      </c>
      <c r="F2950" t="inlineStr">
        <is>
          <t>Creation and criticism : A passage to India.</t>
        </is>
      </c>
      <c r="H2950" t="inlineStr">
        <is>
          <t>No</t>
        </is>
      </c>
      <c r="I2950" t="inlineStr">
        <is>
          <t>1</t>
        </is>
      </c>
      <c r="J2950" t="inlineStr">
        <is>
          <t>No</t>
        </is>
      </c>
      <c r="K2950" t="inlineStr">
        <is>
          <t>No</t>
        </is>
      </c>
      <c r="L2950" t="inlineStr">
        <is>
          <t>0</t>
        </is>
      </c>
      <c r="M2950" t="inlineStr">
        <is>
          <t>Levine, June Perry.</t>
        </is>
      </c>
      <c r="N2950" t="inlineStr">
        <is>
          <t>Lincoln : University of Nebraska Press, [1971]</t>
        </is>
      </c>
      <c r="O2950" t="inlineStr">
        <is>
          <t>1971</t>
        </is>
      </c>
      <c r="Q2950" t="inlineStr">
        <is>
          <t>eng</t>
        </is>
      </c>
      <c r="R2950" t="inlineStr">
        <is>
          <t>nbu</t>
        </is>
      </c>
      <c r="T2950" t="inlineStr">
        <is>
          <t xml:space="preserve">PR </t>
        </is>
      </c>
      <c r="U2950" t="n">
        <v>6</v>
      </c>
      <c r="V2950" t="n">
        <v>6</v>
      </c>
      <c r="W2950" t="inlineStr">
        <is>
          <t>2010-02-14</t>
        </is>
      </c>
      <c r="X2950" t="inlineStr">
        <is>
          <t>2010-02-14</t>
        </is>
      </c>
      <c r="Y2950" t="inlineStr">
        <is>
          <t>1990-07-13</t>
        </is>
      </c>
      <c r="Z2950" t="inlineStr">
        <is>
          <t>1990-07-13</t>
        </is>
      </c>
      <c r="AA2950" t="n">
        <v>550</v>
      </c>
      <c r="AB2950" t="n">
        <v>488</v>
      </c>
      <c r="AC2950" t="n">
        <v>504</v>
      </c>
      <c r="AD2950" t="n">
        <v>7</v>
      </c>
      <c r="AE2950" t="n">
        <v>7</v>
      </c>
      <c r="AF2950" t="n">
        <v>34</v>
      </c>
      <c r="AG2950" t="n">
        <v>34</v>
      </c>
      <c r="AH2950" t="n">
        <v>11</v>
      </c>
      <c r="AI2950" t="n">
        <v>11</v>
      </c>
      <c r="AJ2950" t="n">
        <v>7</v>
      </c>
      <c r="AK2950" t="n">
        <v>7</v>
      </c>
      <c r="AL2950" t="n">
        <v>19</v>
      </c>
      <c r="AM2950" t="n">
        <v>19</v>
      </c>
      <c r="AN2950" t="n">
        <v>5</v>
      </c>
      <c r="AO2950" t="n">
        <v>5</v>
      </c>
      <c r="AP2950" t="n">
        <v>0</v>
      </c>
      <c r="AQ2950" t="n">
        <v>0</v>
      </c>
      <c r="AR2950" t="inlineStr">
        <is>
          <t>No</t>
        </is>
      </c>
      <c r="AS2950" t="inlineStr">
        <is>
          <t>Yes</t>
        </is>
      </c>
      <c r="AT2950">
        <f>HYPERLINK("http://catalog.hathitrust.org/Record/000392245","HathiTrust Record")</f>
        <v/>
      </c>
      <c r="AU2950">
        <f>HYPERLINK("https://creighton-primo.hosted.exlibrisgroup.com/primo-explore/search?tab=default_tab&amp;search_scope=EVERYTHING&amp;vid=01CRU&amp;lang=en_US&amp;offset=0&amp;query=any,contains,991001230439702656","Catalog Record")</f>
        <v/>
      </c>
      <c r="AV2950">
        <f>HYPERLINK("http://www.worldcat.org/oclc/203088","WorldCat Record")</f>
        <v/>
      </c>
      <c r="AW2950" t="inlineStr">
        <is>
          <t>7328206:eng</t>
        </is>
      </c>
      <c r="AX2950" t="inlineStr">
        <is>
          <t>203088</t>
        </is>
      </c>
      <c r="AY2950" t="inlineStr">
        <is>
          <t>991001230439702656</t>
        </is>
      </c>
      <c r="AZ2950" t="inlineStr">
        <is>
          <t>991001230439702656</t>
        </is>
      </c>
      <c r="BA2950" t="inlineStr">
        <is>
          <t>2256040170002656</t>
        </is>
      </c>
      <c r="BB2950" t="inlineStr">
        <is>
          <t>BOOK</t>
        </is>
      </c>
      <c r="BD2950" t="inlineStr">
        <is>
          <t>9780803207585</t>
        </is>
      </c>
      <c r="BE2950" t="inlineStr">
        <is>
          <t>32285000230051</t>
        </is>
      </c>
      <c r="BF2950" t="inlineStr">
        <is>
          <t>893528782</t>
        </is>
      </c>
    </row>
    <row r="2951">
      <c r="A2951" t="inlineStr">
        <is>
          <t>No</t>
        </is>
      </c>
      <c r="B2951" t="inlineStr">
        <is>
          <t>CURAL</t>
        </is>
      </c>
      <c r="C2951" t="inlineStr">
        <is>
          <t>SHELVES</t>
        </is>
      </c>
      <c r="D2951" t="inlineStr">
        <is>
          <t>PR6011.O58 P379 1985</t>
        </is>
      </c>
      <c r="E2951" t="inlineStr">
        <is>
          <t>0                      PR 6011000O  58                 P  379         1985</t>
        </is>
      </c>
      <c r="F2951" t="inlineStr">
        <is>
          <t>A Passage to India : essays in interpretation / edited by John Beer.</t>
        </is>
      </c>
      <c r="H2951" t="inlineStr">
        <is>
          <t>No</t>
        </is>
      </c>
      <c r="I2951" t="inlineStr">
        <is>
          <t>1</t>
        </is>
      </c>
      <c r="J2951" t="inlineStr">
        <is>
          <t>No</t>
        </is>
      </c>
      <c r="K2951" t="inlineStr">
        <is>
          <t>No</t>
        </is>
      </c>
      <c r="L2951" t="inlineStr">
        <is>
          <t>0</t>
        </is>
      </c>
      <c r="N2951" t="inlineStr">
        <is>
          <t>Basingstoke : Macmillan, 1985.</t>
        </is>
      </c>
      <c r="O2951" t="inlineStr">
        <is>
          <t>1986</t>
        </is>
      </c>
      <c r="Q2951" t="inlineStr">
        <is>
          <t>eng</t>
        </is>
      </c>
      <c r="R2951" t="inlineStr">
        <is>
          <t>enk</t>
        </is>
      </c>
      <c r="T2951" t="inlineStr">
        <is>
          <t xml:space="preserve">PR </t>
        </is>
      </c>
      <c r="U2951" t="n">
        <v>4</v>
      </c>
      <c r="V2951" t="n">
        <v>4</v>
      </c>
      <c r="W2951" t="inlineStr">
        <is>
          <t>2009-11-20</t>
        </is>
      </c>
      <c r="X2951" t="inlineStr">
        <is>
          <t>2009-11-20</t>
        </is>
      </c>
      <c r="Y2951" t="inlineStr">
        <is>
          <t>1992-07-03</t>
        </is>
      </c>
      <c r="Z2951" t="inlineStr">
        <is>
          <t>1992-07-03</t>
        </is>
      </c>
      <c r="AA2951" t="n">
        <v>277</v>
      </c>
      <c r="AB2951" t="n">
        <v>174</v>
      </c>
      <c r="AC2951" t="n">
        <v>760</v>
      </c>
      <c r="AD2951" t="n">
        <v>2</v>
      </c>
      <c r="AE2951" t="n">
        <v>7</v>
      </c>
      <c r="AF2951" t="n">
        <v>8</v>
      </c>
      <c r="AG2951" t="n">
        <v>38</v>
      </c>
      <c r="AH2951" t="n">
        <v>5</v>
      </c>
      <c r="AI2951" t="n">
        <v>17</v>
      </c>
      <c r="AJ2951" t="n">
        <v>1</v>
      </c>
      <c r="AK2951" t="n">
        <v>9</v>
      </c>
      <c r="AL2951" t="n">
        <v>5</v>
      </c>
      <c r="AM2951" t="n">
        <v>17</v>
      </c>
      <c r="AN2951" t="n">
        <v>1</v>
      </c>
      <c r="AO2951" t="n">
        <v>6</v>
      </c>
      <c r="AP2951" t="n">
        <v>0</v>
      </c>
      <c r="AQ2951" t="n">
        <v>0</v>
      </c>
      <c r="AR2951" t="inlineStr">
        <is>
          <t>No</t>
        </is>
      </c>
      <c r="AS2951" t="inlineStr">
        <is>
          <t>Yes</t>
        </is>
      </c>
      <c r="AT2951">
        <f>HYPERLINK("http://catalog.hathitrust.org/Record/000385150","HathiTrust Record")</f>
        <v/>
      </c>
      <c r="AU2951">
        <f>HYPERLINK("https://creighton-primo.hosted.exlibrisgroup.com/primo-explore/search?tab=default_tab&amp;search_scope=EVERYTHING&amp;vid=01CRU&amp;lang=en_US&amp;offset=0&amp;query=any,contains,991000711879702656","Catalog Record")</f>
        <v/>
      </c>
      <c r="AV2951">
        <f>HYPERLINK("http://www.worldcat.org/oclc/12584839","WorldCat Record")</f>
        <v/>
      </c>
      <c r="AW2951" t="inlineStr">
        <is>
          <t>836670029:eng</t>
        </is>
      </c>
      <c r="AX2951" t="inlineStr">
        <is>
          <t>12584839</t>
        </is>
      </c>
      <c r="AY2951" t="inlineStr">
        <is>
          <t>991000711879702656</t>
        </is>
      </c>
      <c r="AZ2951" t="inlineStr">
        <is>
          <t>991000711879702656</t>
        </is>
      </c>
      <c r="BA2951" t="inlineStr">
        <is>
          <t>2271548800002656</t>
        </is>
      </c>
      <c r="BB2951" t="inlineStr">
        <is>
          <t>BOOK</t>
        </is>
      </c>
      <c r="BD2951" t="inlineStr">
        <is>
          <t>9780333404577</t>
        </is>
      </c>
      <c r="BE2951" t="inlineStr">
        <is>
          <t>32285001147924</t>
        </is>
      </c>
      <c r="BF2951" t="inlineStr">
        <is>
          <t>893225234</t>
        </is>
      </c>
    </row>
    <row r="2952">
      <c r="A2952" t="inlineStr">
        <is>
          <t>No</t>
        </is>
      </c>
      <c r="B2952" t="inlineStr">
        <is>
          <t>CURAL</t>
        </is>
      </c>
      <c r="C2952" t="inlineStr">
        <is>
          <t>SHELVES</t>
        </is>
      </c>
      <c r="D2952" t="inlineStr">
        <is>
          <t>PR6011.O58 P382</t>
        </is>
      </c>
      <c r="E2952" t="inlineStr">
        <is>
          <t>0                      PR 6011000O  58                 P  382</t>
        </is>
      </c>
      <c r="F2952" t="inlineStr">
        <is>
          <t>Twentieth century interpretations of A passage to India : a collection of critical essays.</t>
        </is>
      </c>
      <c r="H2952" t="inlineStr">
        <is>
          <t>No</t>
        </is>
      </c>
      <c r="I2952" t="inlineStr">
        <is>
          <t>1</t>
        </is>
      </c>
      <c r="J2952" t="inlineStr">
        <is>
          <t>No</t>
        </is>
      </c>
      <c r="K2952" t="inlineStr">
        <is>
          <t>No</t>
        </is>
      </c>
      <c r="L2952" t="inlineStr">
        <is>
          <t>0</t>
        </is>
      </c>
      <c r="M2952" t="inlineStr">
        <is>
          <t>Rutherford, Andrew, 1958-, compiler.</t>
        </is>
      </c>
      <c r="N2952" t="inlineStr">
        <is>
          <t>Englewood Cliffs, N.J. : Prentice-Hall, [1970]</t>
        </is>
      </c>
      <c r="O2952" t="inlineStr">
        <is>
          <t>1970</t>
        </is>
      </c>
      <c r="Q2952" t="inlineStr">
        <is>
          <t>eng</t>
        </is>
      </c>
      <c r="R2952" t="inlineStr">
        <is>
          <t>nju</t>
        </is>
      </c>
      <c r="S2952" t="inlineStr">
        <is>
          <t>A Spectrum book.</t>
        </is>
      </c>
      <c r="T2952" t="inlineStr">
        <is>
          <t xml:space="preserve">PR </t>
        </is>
      </c>
      <c r="U2952" t="n">
        <v>5</v>
      </c>
      <c r="V2952" t="n">
        <v>5</v>
      </c>
      <c r="W2952" t="inlineStr">
        <is>
          <t>2010-02-14</t>
        </is>
      </c>
      <c r="X2952" t="inlineStr">
        <is>
          <t>2010-02-14</t>
        </is>
      </c>
      <c r="Y2952" t="inlineStr">
        <is>
          <t>1994-12-01</t>
        </is>
      </c>
      <c r="Z2952" t="inlineStr">
        <is>
          <t>1994-12-01</t>
        </is>
      </c>
      <c r="AA2952" t="n">
        <v>1411</v>
      </c>
      <c r="AB2952" t="n">
        <v>1285</v>
      </c>
      <c r="AC2952" t="n">
        <v>1293</v>
      </c>
      <c r="AD2952" t="n">
        <v>15</v>
      </c>
      <c r="AE2952" t="n">
        <v>15</v>
      </c>
      <c r="AF2952" t="n">
        <v>53</v>
      </c>
      <c r="AG2952" t="n">
        <v>53</v>
      </c>
      <c r="AH2952" t="n">
        <v>19</v>
      </c>
      <c r="AI2952" t="n">
        <v>19</v>
      </c>
      <c r="AJ2952" t="n">
        <v>11</v>
      </c>
      <c r="AK2952" t="n">
        <v>11</v>
      </c>
      <c r="AL2952" t="n">
        <v>20</v>
      </c>
      <c r="AM2952" t="n">
        <v>20</v>
      </c>
      <c r="AN2952" t="n">
        <v>13</v>
      </c>
      <c r="AO2952" t="n">
        <v>13</v>
      </c>
      <c r="AP2952" t="n">
        <v>0</v>
      </c>
      <c r="AQ2952" t="n">
        <v>0</v>
      </c>
      <c r="AR2952" t="inlineStr">
        <is>
          <t>No</t>
        </is>
      </c>
      <c r="AS2952" t="inlineStr">
        <is>
          <t>Yes</t>
        </is>
      </c>
      <c r="AT2952">
        <f>HYPERLINK("http://catalog.hathitrust.org/Record/000392249","HathiTrust Record")</f>
        <v/>
      </c>
      <c r="AU2952">
        <f>HYPERLINK("https://creighton-primo.hosted.exlibrisgroup.com/primo-explore/search?tab=default_tab&amp;search_scope=EVERYTHING&amp;vid=01CRU&amp;lang=en_US&amp;offset=0&amp;query=any,contains,991000608109702656","Catalog Record")</f>
        <v/>
      </c>
      <c r="AV2952">
        <f>HYPERLINK("http://www.worldcat.org/oclc/99768","WorldCat Record")</f>
        <v/>
      </c>
      <c r="AW2952" t="inlineStr">
        <is>
          <t>891854270:eng</t>
        </is>
      </c>
      <c r="AX2952" t="inlineStr">
        <is>
          <t>99768</t>
        </is>
      </c>
      <c r="AY2952" t="inlineStr">
        <is>
          <t>991000608109702656</t>
        </is>
      </c>
      <c r="AZ2952" t="inlineStr">
        <is>
          <t>991000608109702656</t>
        </is>
      </c>
      <c r="BA2952" t="inlineStr">
        <is>
          <t>2268996140002656</t>
        </is>
      </c>
      <c r="BB2952" t="inlineStr">
        <is>
          <t>BOOK</t>
        </is>
      </c>
      <c r="BD2952" t="inlineStr">
        <is>
          <t>9780136526933</t>
        </is>
      </c>
      <c r="BE2952" t="inlineStr">
        <is>
          <t>32285001969426</t>
        </is>
      </c>
      <c r="BF2952" t="inlineStr">
        <is>
          <t>893683576</t>
        </is>
      </c>
    </row>
    <row r="2953">
      <c r="A2953" t="inlineStr">
        <is>
          <t>No</t>
        </is>
      </c>
      <c r="B2953" t="inlineStr">
        <is>
          <t>CURAL</t>
        </is>
      </c>
      <c r="C2953" t="inlineStr">
        <is>
          <t>SHELVES</t>
        </is>
      </c>
      <c r="D2953" t="inlineStr">
        <is>
          <t>PR6011.O58 P383</t>
        </is>
      </c>
      <c r="E2953" t="inlineStr">
        <is>
          <t>0                      PR 6011000O  58                 P  383</t>
        </is>
      </c>
      <c r="F2953" t="inlineStr">
        <is>
          <t>Forster's A passage to India : the religious dimension / Chaman L. Sahni.</t>
        </is>
      </c>
      <c r="H2953" t="inlineStr">
        <is>
          <t>No</t>
        </is>
      </c>
      <c r="I2953" t="inlineStr">
        <is>
          <t>1</t>
        </is>
      </c>
      <c r="J2953" t="inlineStr">
        <is>
          <t>No</t>
        </is>
      </c>
      <c r="K2953" t="inlineStr">
        <is>
          <t>No</t>
        </is>
      </c>
      <c r="L2953" t="inlineStr">
        <is>
          <t>0</t>
        </is>
      </c>
      <c r="M2953" t="inlineStr">
        <is>
          <t>Sahni, C. L.</t>
        </is>
      </c>
      <c r="N2953" t="inlineStr">
        <is>
          <t>Atlantic Highlands, N.J. : Humanities Press, 1981.</t>
        </is>
      </c>
      <c r="O2953" t="inlineStr">
        <is>
          <t>1981</t>
        </is>
      </c>
      <c r="Q2953" t="inlineStr">
        <is>
          <t>eng</t>
        </is>
      </c>
      <c r="R2953" t="inlineStr">
        <is>
          <t>nju</t>
        </is>
      </c>
      <c r="T2953" t="inlineStr">
        <is>
          <t xml:space="preserve">PR </t>
        </is>
      </c>
      <c r="U2953" t="n">
        <v>7</v>
      </c>
      <c r="V2953" t="n">
        <v>7</v>
      </c>
      <c r="W2953" t="inlineStr">
        <is>
          <t>2010-02-14</t>
        </is>
      </c>
      <c r="X2953" t="inlineStr">
        <is>
          <t>2010-02-14</t>
        </is>
      </c>
      <c r="Y2953" t="inlineStr">
        <is>
          <t>1992-07-03</t>
        </is>
      </c>
      <c r="Z2953" t="inlineStr">
        <is>
          <t>1992-07-03</t>
        </is>
      </c>
      <c r="AA2953" t="n">
        <v>86</v>
      </c>
      <c r="AB2953" t="n">
        <v>70</v>
      </c>
      <c r="AC2953" t="n">
        <v>135</v>
      </c>
      <c r="AD2953" t="n">
        <v>2</v>
      </c>
      <c r="AE2953" t="n">
        <v>2</v>
      </c>
      <c r="AF2953" t="n">
        <v>4</v>
      </c>
      <c r="AG2953" t="n">
        <v>7</v>
      </c>
      <c r="AH2953" t="n">
        <v>1</v>
      </c>
      <c r="AI2953" t="n">
        <v>3</v>
      </c>
      <c r="AJ2953" t="n">
        <v>2</v>
      </c>
      <c r="AK2953" t="n">
        <v>3</v>
      </c>
      <c r="AL2953" t="n">
        <v>2</v>
      </c>
      <c r="AM2953" t="n">
        <v>4</v>
      </c>
      <c r="AN2953" t="n">
        <v>1</v>
      </c>
      <c r="AO2953" t="n">
        <v>1</v>
      </c>
      <c r="AP2953" t="n">
        <v>0</v>
      </c>
      <c r="AQ2953" t="n">
        <v>0</v>
      </c>
      <c r="AR2953" t="inlineStr">
        <is>
          <t>No</t>
        </is>
      </c>
      <c r="AS2953" t="inlineStr">
        <is>
          <t>No</t>
        </is>
      </c>
      <c r="AU2953">
        <f>HYPERLINK("https://creighton-primo.hosted.exlibrisgroup.com/primo-explore/search?tab=default_tab&amp;search_scope=EVERYTHING&amp;vid=01CRU&amp;lang=en_US&amp;offset=0&amp;query=any,contains,991000030779702656","Catalog Record")</f>
        <v/>
      </c>
      <c r="AV2953">
        <f>HYPERLINK("http://www.worldcat.org/oclc/8605317","WorldCat Record")</f>
        <v/>
      </c>
      <c r="AW2953" t="inlineStr">
        <is>
          <t>459126:eng</t>
        </is>
      </c>
      <c r="AX2953" t="inlineStr">
        <is>
          <t>8605317</t>
        </is>
      </c>
      <c r="AY2953" t="inlineStr">
        <is>
          <t>991000030779702656</t>
        </is>
      </c>
      <c r="AZ2953" t="inlineStr">
        <is>
          <t>991000030779702656</t>
        </is>
      </c>
      <c r="BA2953" t="inlineStr">
        <is>
          <t>2262019240002656</t>
        </is>
      </c>
      <c r="BB2953" t="inlineStr">
        <is>
          <t>BOOK</t>
        </is>
      </c>
      <c r="BD2953" t="inlineStr">
        <is>
          <t>9780391024274</t>
        </is>
      </c>
      <c r="BE2953" t="inlineStr">
        <is>
          <t>32285001147932</t>
        </is>
      </c>
      <c r="BF2953" t="inlineStr">
        <is>
          <t>893695520</t>
        </is>
      </c>
    </row>
    <row r="2954">
      <c r="A2954" t="inlineStr">
        <is>
          <t>No</t>
        </is>
      </c>
      <c r="B2954" t="inlineStr">
        <is>
          <t>CURAL</t>
        </is>
      </c>
      <c r="C2954" t="inlineStr">
        <is>
          <t>SHELVES</t>
        </is>
      </c>
      <c r="D2954" t="inlineStr">
        <is>
          <t>PR6011.O58 P385</t>
        </is>
      </c>
      <c r="E2954" t="inlineStr">
        <is>
          <t>0                      PR 6011000O  58                 P  385</t>
        </is>
      </c>
      <c r="F2954" t="inlineStr">
        <is>
          <t>Perspectives on E. M. Forster's A passage to India : a collection of critical essays / edited and with an introd. by V. A. Shahane.</t>
        </is>
      </c>
      <c r="H2954" t="inlineStr">
        <is>
          <t>No</t>
        </is>
      </c>
      <c r="I2954" t="inlineStr">
        <is>
          <t>1</t>
        </is>
      </c>
      <c r="J2954" t="inlineStr">
        <is>
          <t>No</t>
        </is>
      </c>
      <c r="K2954" t="inlineStr">
        <is>
          <t>No</t>
        </is>
      </c>
      <c r="L2954" t="inlineStr">
        <is>
          <t>0</t>
        </is>
      </c>
      <c r="M2954" t="inlineStr">
        <is>
          <t>Shahane, V. A. (Vasant Anant), 1923-1988 compiler.</t>
        </is>
      </c>
      <c r="N2954" t="inlineStr">
        <is>
          <t>New York : Barnes &amp; Noble, [1968]</t>
        </is>
      </c>
      <c r="O2954" t="inlineStr">
        <is>
          <t>1968</t>
        </is>
      </c>
      <c r="Q2954" t="inlineStr">
        <is>
          <t>eng</t>
        </is>
      </c>
      <c r="R2954" t="inlineStr">
        <is>
          <t>nyu</t>
        </is>
      </c>
      <c r="T2954" t="inlineStr">
        <is>
          <t xml:space="preserve">PR </t>
        </is>
      </c>
      <c r="U2954" t="n">
        <v>6</v>
      </c>
      <c r="V2954" t="n">
        <v>6</v>
      </c>
      <c r="W2954" t="inlineStr">
        <is>
          <t>2010-02-14</t>
        </is>
      </c>
      <c r="X2954" t="inlineStr">
        <is>
          <t>2010-02-14</t>
        </is>
      </c>
      <c r="Y2954" t="inlineStr">
        <is>
          <t>1994-12-01</t>
        </is>
      </c>
      <c r="Z2954" t="inlineStr">
        <is>
          <t>1994-12-01</t>
        </is>
      </c>
      <c r="AA2954" t="n">
        <v>490</v>
      </c>
      <c r="AB2954" t="n">
        <v>429</v>
      </c>
      <c r="AC2954" t="n">
        <v>438</v>
      </c>
      <c r="AD2954" t="n">
        <v>5</v>
      </c>
      <c r="AE2954" t="n">
        <v>5</v>
      </c>
      <c r="AF2954" t="n">
        <v>25</v>
      </c>
      <c r="AG2954" t="n">
        <v>25</v>
      </c>
      <c r="AH2954" t="n">
        <v>8</v>
      </c>
      <c r="AI2954" t="n">
        <v>8</v>
      </c>
      <c r="AJ2954" t="n">
        <v>7</v>
      </c>
      <c r="AK2954" t="n">
        <v>7</v>
      </c>
      <c r="AL2954" t="n">
        <v>11</v>
      </c>
      <c r="AM2954" t="n">
        <v>11</v>
      </c>
      <c r="AN2954" t="n">
        <v>4</v>
      </c>
      <c r="AO2954" t="n">
        <v>4</v>
      </c>
      <c r="AP2954" t="n">
        <v>0</v>
      </c>
      <c r="AQ2954" t="n">
        <v>0</v>
      </c>
      <c r="AR2954" t="inlineStr">
        <is>
          <t>No</t>
        </is>
      </c>
      <c r="AS2954" t="inlineStr">
        <is>
          <t>Yes</t>
        </is>
      </c>
      <c r="AT2954">
        <f>HYPERLINK("http://catalog.hathitrust.org/Record/000390846","HathiTrust Record")</f>
        <v/>
      </c>
      <c r="AU2954">
        <f>HYPERLINK("https://creighton-primo.hosted.exlibrisgroup.com/primo-explore/search?tab=default_tab&amp;search_scope=EVERYTHING&amp;vid=01CRU&amp;lang=en_US&amp;offset=0&amp;query=any,contains,991002785749702656","Catalog Record")</f>
        <v/>
      </c>
      <c r="AV2954">
        <f>HYPERLINK("http://www.worldcat.org/oclc/441585","WorldCat Record")</f>
        <v/>
      </c>
      <c r="AW2954" t="inlineStr">
        <is>
          <t>1569227:eng</t>
        </is>
      </c>
      <c r="AX2954" t="inlineStr">
        <is>
          <t>441585</t>
        </is>
      </c>
      <c r="AY2954" t="inlineStr">
        <is>
          <t>991002785749702656</t>
        </is>
      </c>
      <c r="AZ2954" t="inlineStr">
        <is>
          <t>991002785749702656</t>
        </is>
      </c>
      <c r="BA2954" t="inlineStr">
        <is>
          <t>2255751170002656</t>
        </is>
      </c>
      <c r="BB2954" t="inlineStr">
        <is>
          <t>BOOK</t>
        </is>
      </c>
      <c r="BE2954" t="inlineStr">
        <is>
          <t>32285001969418</t>
        </is>
      </c>
      <c r="BF2954" t="inlineStr">
        <is>
          <t>893904083</t>
        </is>
      </c>
    </row>
    <row r="2955">
      <c r="A2955" t="inlineStr">
        <is>
          <t>No</t>
        </is>
      </c>
      <c r="B2955" t="inlineStr">
        <is>
          <t>CURAL</t>
        </is>
      </c>
      <c r="C2955" t="inlineStr">
        <is>
          <t>SHELVES</t>
        </is>
      </c>
      <c r="D2955" t="inlineStr">
        <is>
          <t>PR6011.O58 Z562 1984b</t>
        </is>
      </c>
      <c r="E2955" t="inlineStr">
        <is>
          <t>0                      PR 6011000O  58                 Z  562         1984b</t>
        </is>
      </c>
      <c r="F2955" t="inlineStr">
        <is>
          <t>E.M. Forster as critic / Rukun Advani.</t>
        </is>
      </c>
      <c r="H2955" t="inlineStr">
        <is>
          <t>No</t>
        </is>
      </c>
      <c r="I2955" t="inlineStr">
        <is>
          <t>1</t>
        </is>
      </c>
      <c r="J2955" t="inlineStr">
        <is>
          <t>No</t>
        </is>
      </c>
      <c r="K2955" t="inlineStr">
        <is>
          <t>No</t>
        </is>
      </c>
      <c r="L2955" t="inlineStr">
        <is>
          <t>0</t>
        </is>
      </c>
      <c r="M2955" t="inlineStr">
        <is>
          <t>Advani, Rukun.</t>
        </is>
      </c>
      <c r="N2955" t="inlineStr">
        <is>
          <t>London ; Dover, N.H. : Croom Helm, 1984.</t>
        </is>
      </c>
      <c r="O2955" t="inlineStr">
        <is>
          <t>1984</t>
        </is>
      </c>
      <c r="Q2955" t="inlineStr">
        <is>
          <t>eng</t>
        </is>
      </c>
      <c r="R2955" t="inlineStr">
        <is>
          <t>enk</t>
        </is>
      </c>
      <c r="T2955" t="inlineStr">
        <is>
          <t xml:space="preserve">PR </t>
        </is>
      </c>
      <c r="U2955" t="n">
        <v>4</v>
      </c>
      <c r="V2955" t="n">
        <v>4</v>
      </c>
      <c r="W2955" t="inlineStr">
        <is>
          <t>1995-03-23</t>
        </is>
      </c>
      <c r="X2955" t="inlineStr">
        <is>
          <t>1995-03-23</t>
        </is>
      </c>
      <c r="Y2955" t="inlineStr">
        <is>
          <t>1992-07-03</t>
        </is>
      </c>
      <c r="Z2955" t="inlineStr">
        <is>
          <t>1992-07-03</t>
        </is>
      </c>
      <c r="AA2955" t="n">
        <v>290</v>
      </c>
      <c r="AB2955" t="n">
        <v>185</v>
      </c>
      <c r="AC2955" t="n">
        <v>234</v>
      </c>
      <c r="AD2955" t="n">
        <v>4</v>
      </c>
      <c r="AE2955" t="n">
        <v>4</v>
      </c>
      <c r="AF2955" t="n">
        <v>10</v>
      </c>
      <c r="AG2955" t="n">
        <v>11</v>
      </c>
      <c r="AH2955" t="n">
        <v>0</v>
      </c>
      <c r="AI2955" t="n">
        <v>1</v>
      </c>
      <c r="AJ2955" t="n">
        <v>4</v>
      </c>
      <c r="AK2955" t="n">
        <v>5</v>
      </c>
      <c r="AL2955" t="n">
        <v>4</v>
      </c>
      <c r="AM2955" t="n">
        <v>4</v>
      </c>
      <c r="AN2955" t="n">
        <v>3</v>
      </c>
      <c r="AO2955" t="n">
        <v>3</v>
      </c>
      <c r="AP2955" t="n">
        <v>0</v>
      </c>
      <c r="AQ2955" t="n">
        <v>0</v>
      </c>
      <c r="AR2955" t="inlineStr">
        <is>
          <t>No</t>
        </is>
      </c>
      <c r="AS2955" t="inlineStr">
        <is>
          <t>Yes</t>
        </is>
      </c>
      <c r="AT2955">
        <f>HYPERLINK("http://catalog.hathitrust.org/Record/000378203","HathiTrust Record")</f>
        <v/>
      </c>
      <c r="AU2955">
        <f>HYPERLINK("https://creighton-primo.hosted.exlibrisgroup.com/primo-explore/search?tab=default_tab&amp;search_scope=EVERYTHING&amp;vid=01CRU&amp;lang=en_US&amp;offset=0&amp;query=any,contains,991000693799702656","Catalog Record")</f>
        <v/>
      </c>
      <c r="AV2955">
        <f>HYPERLINK("http://www.worldcat.org/oclc/13328013","WorldCat Record")</f>
        <v/>
      </c>
      <c r="AW2955" t="inlineStr">
        <is>
          <t>2923394:eng</t>
        </is>
      </c>
      <c r="AX2955" t="inlineStr">
        <is>
          <t>13328013</t>
        </is>
      </c>
      <c r="AY2955" t="inlineStr">
        <is>
          <t>991000693799702656</t>
        </is>
      </c>
      <c r="AZ2955" t="inlineStr">
        <is>
          <t>991000693799702656</t>
        </is>
      </c>
      <c r="BA2955" t="inlineStr">
        <is>
          <t>2261060310002656</t>
        </is>
      </c>
      <c r="BB2955" t="inlineStr">
        <is>
          <t>BOOK</t>
        </is>
      </c>
      <c r="BD2955" t="inlineStr">
        <is>
          <t>9780709905455</t>
        </is>
      </c>
      <c r="BE2955" t="inlineStr">
        <is>
          <t>32285001147973</t>
        </is>
      </c>
      <c r="BF2955" t="inlineStr">
        <is>
          <t>893425951</t>
        </is>
      </c>
    </row>
    <row r="2956">
      <c r="A2956" t="inlineStr">
        <is>
          <t>No</t>
        </is>
      </c>
      <c r="B2956" t="inlineStr">
        <is>
          <t>CURAL</t>
        </is>
      </c>
      <c r="C2956" t="inlineStr">
        <is>
          <t>SHELVES</t>
        </is>
      </c>
      <c r="D2956" t="inlineStr">
        <is>
          <t>PR6011.O58 Z588</t>
        </is>
      </c>
      <c r="E2956" t="inlineStr">
        <is>
          <t>0                      PR 6011000O  58                 Z  588</t>
        </is>
      </c>
      <c r="F2956" t="inlineStr">
        <is>
          <t>Approaches to E.M. Forster : a centenary volume / edited by Vasant A. Shahne.</t>
        </is>
      </c>
      <c r="H2956" t="inlineStr">
        <is>
          <t>No</t>
        </is>
      </c>
      <c r="I2956" t="inlineStr">
        <is>
          <t>1</t>
        </is>
      </c>
      <c r="J2956" t="inlineStr">
        <is>
          <t>No</t>
        </is>
      </c>
      <c r="K2956" t="inlineStr">
        <is>
          <t>No</t>
        </is>
      </c>
      <c r="L2956" t="inlineStr">
        <is>
          <t>0</t>
        </is>
      </c>
      <c r="N2956" t="inlineStr">
        <is>
          <t>Atlantic Highlands, N. J. : Humanities Press, 1981.</t>
        </is>
      </c>
      <c r="O2956" t="inlineStr">
        <is>
          <t>1981</t>
        </is>
      </c>
      <c r="Q2956" t="inlineStr">
        <is>
          <t>eng</t>
        </is>
      </c>
      <c r="R2956" t="inlineStr">
        <is>
          <t>nju</t>
        </is>
      </c>
      <c r="T2956" t="inlineStr">
        <is>
          <t xml:space="preserve">PR </t>
        </is>
      </c>
      <c r="U2956" t="n">
        <v>2</v>
      </c>
      <c r="V2956" t="n">
        <v>2</v>
      </c>
      <c r="W2956" t="inlineStr">
        <is>
          <t>1995-03-23</t>
        </is>
      </c>
      <c r="X2956" t="inlineStr">
        <is>
          <t>1995-03-23</t>
        </is>
      </c>
      <c r="Y2956" t="inlineStr">
        <is>
          <t>1992-07-03</t>
        </is>
      </c>
      <c r="Z2956" t="inlineStr">
        <is>
          <t>1992-07-03</t>
        </is>
      </c>
      <c r="AA2956" t="n">
        <v>122</v>
      </c>
      <c r="AB2956" t="n">
        <v>104</v>
      </c>
      <c r="AC2956" t="n">
        <v>150</v>
      </c>
      <c r="AD2956" t="n">
        <v>3</v>
      </c>
      <c r="AE2956" t="n">
        <v>3</v>
      </c>
      <c r="AF2956" t="n">
        <v>9</v>
      </c>
      <c r="AG2956" t="n">
        <v>9</v>
      </c>
      <c r="AH2956" t="n">
        <v>3</v>
      </c>
      <c r="AI2956" t="n">
        <v>3</v>
      </c>
      <c r="AJ2956" t="n">
        <v>3</v>
      </c>
      <c r="AK2956" t="n">
        <v>3</v>
      </c>
      <c r="AL2956" t="n">
        <v>5</v>
      </c>
      <c r="AM2956" t="n">
        <v>5</v>
      </c>
      <c r="AN2956" t="n">
        <v>2</v>
      </c>
      <c r="AO2956" t="n">
        <v>2</v>
      </c>
      <c r="AP2956" t="n">
        <v>0</v>
      </c>
      <c r="AQ2956" t="n">
        <v>0</v>
      </c>
      <c r="AR2956" t="inlineStr">
        <is>
          <t>No</t>
        </is>
      </c>
      <c r="AS2956" t="inlineStr">
        <is>
          <t>No</t>
        </is>
      </c>
      <c r="AU2956">
        <f>HYPERLINK("https://creighton-primo.hosted.exlibrisgroup.com/primo-explore/search?tab=default_tab&amp;search_scope=EVERYTHING&amp;vid=01CRU&amp;lang=en_US&amp;offset=0&amp;query=any,contains,991005215529702656","Catalog Record")</f>
        <v/>
      </c>
      <c r="AV2956">
        <f>HYPERLINK("http://www.worldcat.org/oclc/8189693","WorldCat Record")</f>
        <v/>
      </c>
      <c r="AW2956" t="inlineStr">
        <is>
          <t>54483528:eng</t>
        </is>
      </c>
      <c r="AX2956" t="inlineStr">
        <is>
          <t>8189693</t>
        </is>
      </c>
      <c r="AY2956" t="inlineStr">
        <is>
          <t>991005215529702656</t>
        </is>
      </c>
      <c r="AZ2956" t="inlineStr">
        <is>
          <t>991005215529702656</t>
        </is>
      </c>
      <c r="BA2956" t="inlineStr">
        <is>
          <t>2269933950002656</t>
        </is>
      </c>
      <c r="BB2956" t="inlineStr">
        <is>
          <t>BOOK</t>
        </is>
      </c>
      <c r="BD2956" t="inlineStr">
        <is>
          <t>9780391022003</t>
        </is>
      </c>
      <c r="BE2956" t="inlineStr">
        <is>
          <t>32285001147981</t>
        </is>
      </c>
      <c r="BF2956" t="inlineStr">
        <is>
          <t>893263682</t>
        </is>
      </c>
    </row>
    <row r="2957">
      <c r="A2957" t="inlineStr">
        <is>
          <t>No</t>
        </is>
      </c>
      <c r="B2957" t="inlineStr">
        <is>
          <t>CURAL</t>
        </is>
      </c>
      <c r="C2957" t="inlineStr">
        <is>
          <t>SHELVES</t>
        </is>
      </c>
      <c r="D2957" t="inlineStr">
        <is>
          <t>PR6011.O58 Z62 1994</t>
        </is>
      </c>
      <c r="E2957" t="inlineStr">
        <is>
          <t>0                      PR 6011000O  58                 Z  62          1994</t>
        </is>
      </c>
      <c r="F2957" t="inlineStr">
        <is>
          <t>E.M. Forster : a biography / by Nicola Beauman.</t>
        </is>
      </c>
      <c r="H2957" t="inlineStr">
        <is>
          <t>No</t>
        </is>
      </c>
      <c r="I2957" t="inlineStr">
        <is>
          <t>1</t>
        </is>
      </c>
      <c r="J2957" t="inlineStr">
        <is>
          <t>No</t>
        </is>
      </c>
      <c r="K2957" t="inlineStr">
        <is>
          <t>No</t>
        </is>
      </c>
      <c r="L2957" t="inlineStr">
        <is>
          <t>0</t>
        </is>
      </c>
      <c r="M2957" t="inlineStr">
        <is>
          <t>Beauman, Nicola, 1944-</t>
        </is>
      </c>
      <c r="N2957" t="inlineStr">
        <is>
          <t>New York : A.A. Knopf, 1994, c1993</t>
        </is>
      </c>
      <c r="O2957" t="inlineStr">
        <is>
          <t>1994</t>
        </is>
      </c>
      <c r="P2957" t="inlineStr">
        <is>
          <t>1st American ed.</t>
        </is>
      </c>
      <c r="Q2957" t="inlineStr">
        <is>
          <t>eng</t>
        </is>
      </c>
      <c r="R2957" t="inlineStr">
        <is>
          <t>nyu</t>
        </is>
      </c>
      <c r="T2957" t="inlineStr">
        <is>
          <t xml:space="preserve">PR </t>
        </is>
      </c>
      <c r="U2957" t="n">
        <v>1</v>
      </c>
      <c r="V2957" t="n">
        <v>1</v>
      </c>
      <c r="W2957" t="inlineStr">
        <is>
          <t>2003-03-07</t>
        </is>
      </c>
      <c r="X2957" t="inlineStr">
        <is>
          <t>2003-03-07</t>
        </is>
      </c>
      <c r="Y2957" t="inlineStr">
        <is>
          <t>1994-05-26</t>
        </is>
      </c>
      <c r="Z2957" t="inlineStr">
        <is>
          <t>1994-05-26</t>
        </is>
      </c>
      <c r="AA2957" t="n">
        <v>1007</v>
      </c>
      <c r="AB2957" t="n">
        <v>942</v>
      </c>
      <c r="AC2957" t="n">
        <v>952</v>
      </c>
      <c r="AD2957" t="n">
        <v>6</v>
      </c>
      <c r="AE2957" t="n">
        <v>6</v>
      </c>
      <c r="AF2957" t="n">
        <v>27</v>
      </c>
      <c r="AG2957" t="n">
        <v>27</v>
      </c>
      <c r="AH2957" t="n">
        <v>9</v>
      </c>
      <c r="AI2957" t="n">
        <v>9</v>
      </c>
      <c r="AJ2957" t="n">
        <v>8</v>
      </c>
      <c r="AK2957" t="n">
        <v>8</v>
      </c>
      <c r="AL2957" t="n">
        <v>13</v>
      </c>
      <c r="AM2957" t="n">
        <v>13</v>
      </c>
      <c r="AN2957" t="n">
        <v>4</v>
      </c>
      <c r="AO2957" t="n">
        <v>4</v>
      </c>
      <c r="AP2957" t="n">
        <v>0</v>
      </c>
      <c r="AQ2957" t="n">
        <v>0</v>
      </c>
      <c r="AR2957" t="inlineStr">
        <is>
          <t>No</t>
        </is>
      </c>
      <c r="AS2957" t="inlineStr">
        <is>
          <t>Yes</t>
        </is>
      </c>
      <c r="AT2957">
        <f>HYPERLINK("http://catalog.hathitrust.org/Record/004532109","HathiTrust Record")</f>
        <v/>
      </c>
      <c r="AU2957">
        <f>HYPERLINK("https://creighton-primo.hosted.exlibrisgroup.com/primo-explore/search?tab=default_tab&amp;search_scope=EVERYTHING&amp;vid=01CRU&amp;lang=en_US&amp;offset=0&amp;query=any,contains,991002114709702656","Catalog Record")</f>
        <v/>
      </c>
      <c r="AV2957">
        <f>HYPERLINK("http://www.worldcat.org/oclc/27105882","WorldCat Record")</f>
        <v/>
      </c>
      <c r="AW2957" t="inlineStr">
        <is>
          <t>5611286750:eng</t>
        </is>
      </c>
      <c r="AX2957" t="inlineStr">
        <is>
          <t>27105882</t>
        </is>
      </c>
      <c r="AY2957" t="inlineStr">
        <is>
          <t>991002114709702656</t>
        </is>
      </c>
      <c r="AZ2957" t="inlineStr">
        <is>
          <t>991002114709702656</t>
        </is>
      </c>
      <c r="BA2957" t="inlineStr">
        <is>
          <t>2259879110002656</t>
        </is>
      </c>
      <c r="BB2957" t="inlineStr">
        <is>
          <t>BOOK</t>
        </is>
      </c>
      <c r="BD2957" t="inlineStr">
        <is>
          <t>9780394583815</t>
        </is>
      </c>
      <c r="BE2957" t="inlineStr">
        <is>
          <t>32285001899037</t>
        </is>
      </c>
      <c r="BF2957" t="inlineStr">
        <is>
          <t>893238660</t>
        </is>
      </c>
    </row>
    <row r="2958">
      <c r="A2958" t="inlineStr">
        <is>
          <t>No</t>
        </is>
      </c>
      <c r="B2958" t="inlineStr">
        <is>
          <t>CURAL</t>
        </is>
      </c>
      <c r="C2958" t="inlineStr">
        <is>
          <t>SHELVES</t>
        </is>
      </c>
      <c r="D2958" t="inlineStr">
        <is>
          <t>PR6011.O58 Z64 1966</t>
        </is>
      </c>
      <c r="E2958" t="inlineStr">
        <is>
          <t>0                      PR 6011000O  58                 Z  64          1966</t>
        </is>
      </c>
      <c r="F2958" t="inlineStr">
        <is>
          <t>Forster : a collection of critical essays.</t>
        </is>
      </c>
      <c r="H2958" t="inlineStr">
        <is>
          <t>No</t>
        </is>
      </c>
      <c r="I2958" t="inlineStr">
        <is>
          <t>1</t>
        </is>
      </c>
      <c r="J2958" t="inlineStr">
        <is>
          <t>No</t>
        </is>
      </c>
      <c r="K2958" t="inlineStr">
        <is>
          <t>No</t>
        </is>
      </c>
      <c r="L2958" t="inlineStr">
        <is>
          <t>0</t>
        </is>
      </c>
      <c r="M2958" t="inlineStr">
        <is>
          <t>Bradbury, Malcolm, 1932-2000, editor.</t>
        </is>
      </c>
      <c r="N2958" t="inlineStr">
        <is>
          <t>Englewood Cliffs, N.J. : Prentice-Hall, [1966]</t>
        </is>
      </c>
      <c r="O2958" t="inlineStr">
        <is>
          <t>1966</t>
        </is>
      </c>
      <c r="Q2958" t="inlineStr">
        <is>
          <t>eng</t>
        </is>
      </c>
      <c r="R2958" t="inlineStr">
        <is>
          <t>nju</t>
        </is>
      </c>
      <c r="S2958" t="inlineStr">
        <is>
          <t>A Spectrum book</t>
        </is>
      </c>
      <c r="T2958" t="inlineStr">
        <is>
          <t xml:space="preserve">PR </t>
        </is>
      </c>
      <c r="U2958" t="n">
        <v>4</v>
      </c>
      <c r="V2958" t="n">
        <v>4</v>
      </c>
      <c r="W2958" t="inlineStr">
        <is>
          <t>1992-04-08</t>
        </is>
      </c>
      <c r="X2958" t="inlineStr">
        <is>
          <t>1992-04-08</t>
        </is>
      </c>
      <c r="Y2958" t="inlineStr">
        <is>
          <t>1990-07-13</t>
        </is>
      </c>
      <c r="Z2958" t="inlineStr">
        <is>
          <t>1990-07-13</t>
        </is>
      </c>
      <c r="AA2958" t="n">
        <v>1924</v>
      </c>
      <c r="AB2958" t="n">
        <v>1689</v>
      </c>
      <c r="AC2958" t="n">
        <v>1790</v>
      </c>
      <c r="AD2958" t="n">
        <v>14</v>
      </c>
      <c r="AE2958" t="n">
        <v>14</v>
      </c>
      <c r="AF2958" t="n">
        <v>51</v>
      </c>
      <c r="AG2958" t="n">
        <v>54</v>
      </c>
      <c r="AH2958" t="n">
        <v>22</v>
      </c>
      <c r="AI2958" t="n">
        <v>24</v>
      </c>
      <c r="AJ2958" t="n">
        <v>7</v>
      </c>
      <c r="AK2958" t="n">
        <v>8</v>
      </c>
      <c r="AL2958" t="n">
        <v>24</v>
      </c>
      <c r="AM2958" t="n">
        <v>25</v>
      </c>
      <c r="AN2958" t="n">
        <v>10</v>
      </c>
      <c r="AO2958" t="n">
        <v>10</v>
      </c>
      <c r="AP2958" t="n">
        <v>0</v>
      </c>
      <c r="AQ2958" t="n">
        <v>0</v>
      </c>
      <c r="AR2958" t="inlineStr">
        <is>
          <t>No</t>
        </is>
      </c>
      <c r="AS2958" t="inlineStr">
        <is>
          <t>Yes</t>
        </is>
      </c>
      <c r="AT2958">
        <f>HYPERLINK("http://catalog.hathitrust.org/Record/000390803","HathiTrust Record")</f>
        <v/>
      </c>
      <c r="AU2958">
        <f>HYPERLINK("https://creighton-primo.hosted.exlibrisgroup.com/primo-explore/search?tab=default_tab&amp;search_scope=EVERYTHING&amp;vid=01CRU&amp;lang=en_US&amp;offset=0&amp;query=any,contains,991003182289702656","Catalog Record")</f>
        <v/>
      </c>
      <c r="AV2958">
        <f>HYPERLINK("http://www.worldcat.org/oclc/711969","WorldCat Record")</f>
        <v/>
      </c>
      <c r="AW2958" t="inlineStr">
        <is>
          <t>685948932:eng</t>
        </is>
      </c>
      <c r="AX2958" t="inlineStr">
        <is>
          <t>711969</t>
        </is>
      </c>
      <c r="AY2958" t="inlineStr">
        <is>
          <t>991003182289702656</t>
        </is>
      </c>
      <c r="AZ2958" t="inlineStr">
        <is>
          <t>991003182289702656</t>
        </is>
      </c>
      <c r="BA2958" t="inlineStr">
        <is>
          <t>2261876780002656</t>
        </is>
      </c>
      <c r="BB2958" t="inlineStr">
        <is>
          <t>BOOK</t>
        </is>
      </c>
      <c r="BE2958" t="inlineStr">
        <is>
          <t>32285000230044</t>
        </is>
      </c>
      <c r="BF2958" t="inlineStr">
        <is>
          <t>893868170</t>
        </is>
      </c>
    </row>
    <row r="2959">
      <c r="A2959" t="inlineStr">
        <is>
          <t>No</t>
        </is>
      </c>
      <c r="B2959" t="inlineStr">
        <is>
          <t>CURAL</t>
        </is>
      </c>
      <c r="C2959" t="inlineStr">
        <is>
          <t>SHELVES</t>
        </is>
      </c>
      <c r="D2959" t="inlineStr">
        <is>
          <t>PR6011.O58 Z647</t>
        </is>
      </c>
      <c r="E2959" t="inlineStr">
        <is>
          <t>0                      PR 6011000O  58                 Z  647</t>
        </is>
      </c>
      <c r="F2959" t="inlineStr">
        <is>
          <t>E.M. Forster : the personal voice / John Colmer.</t>
        </is>
      </c>
      <c r="H2959" t="inlineStr">
        <is>
          <t>No</t>
        </is>
      </c>
      <c r="I2959" t="inlineStr">
        <is>
          <t>1</t>
        </is>
      </c>
      <c r="J2959" t="inlineStr">
        <is>
          <t>No</t>
        </is>
      </c>
      <c r="K2959" t="inlineStr">
        <is>
          <t>No</t>
        </is>
      </c>
      <c r="L2959" t="inlineStr">
        <is>
          <t>0</t>
        </is>
      </c>
      <c r="M2959" t="inlineStr">
        <is>
          <t>Colmer, John.</t>
        </is>
      </c>
      <c r="N2959" t="inlineStr">
        <is>
          <t>London ; Boston : Routledge &amp; K. Paul, 1975.</t>
        </is>
      </c>
      <c r="O2959" t="inlineStr">
        <is>
          <t>1975</t>
        </is>
      </c>
      <c r="Q2959" t="inlineStr">
        <is>
          <t>eng</t>
        </is>
      </c>
      <c r="R2959" t="inlineStr">
        <is>
          <t>enk</t>
        </is>
      </c>
      <c r="T2959" t="inlineStr">
        <is>
          <t xml:space="preserve">PR </t>
        </is>
      </c>
      <c r="U2959" t="n">
        <v>1</v>
      </c>
      <c r="V2959" t="n">
        <v>1</v>
      </c>
      <c r="W2959" t="inlineStr">
        <is>
          <t>1992-04-08</t>
        </is>
      </c>
      <c r="X2959" t="inlineStr">
        <is>
          <t>1992-04-08</t>
        </is>
      </c>
      <c r="Y2959" t="inlineStr">
        <is>
          <t>1990-07-13</t>
        </is>
      </c>
      <c r="Z2959" t="inlineStr">
        <is>
          <t>1990-07-13</t>
        </is>
      </c>
      <c r="AA2959" t="n">
        <v>876</v>
      </c>
      <c r="AB2959" t="n">
        <v>630</v>
      </c>
      <c r="AC2959" t="n">
        <v>641</v>
      </c>
      <c r="AD2959" t="n">
        <v>7</v>
      </c>
      <c r="AE2959" t="n">
        <v>7</v>
      </c>
      <c r="AF2959" t="n">
        <v>39</v>
      </c>
      <c r="AG2959" t="n">
        <v>40</v>
      </c>
      <c r="AH2959" t="n">
        <v>16</v>
      </c>
      <c r="AI2959" t="n">
        <v>16</v>
      </c>
      <c r="AJ2959" t="n">
        <v>9</v>
      </c>
      <c r="AK2959" t="n">
        <v>10</v>
      </c>
      <c r="AL2959" t="n">
        <v>17</v>
      </c>
      <c r="AM2959" t="n">
        <v>17</v>
      </c>
      <c r="AN2959" t="n">
        <v>6</v>
      </c>
      <c r="AO2959" t="n">
        <v>6</v>
      </c>
      <c r="AP2959" t="n">
        <v>0</v>
      </c>
      <c r="AQ2959" t="n">
        <v>0</v>
      </c>
      <c r="AR2959" t="inlineStr">
        <is>
          <t>No</t>
        </is>
      </c>
      <c r="AS2959" t="inlineStr">
        <is>
          <t>No</t>
        </is>
      </c>
      <c r="AU2959">
        <f>HYPERLINK("https://creighton-primo.hosted.exlibrisgroup.com/primo-explore/search?tab=default_tab&amp;search_scope=EVERYTHING&amp;vid=01CRU&amp;lang=en_US&amp;offset=0&amp;query=any,contains,991003952249702656","Catalog Record")</f>
        <v/>
      </c>
      <c r="AV2959">
        <f>HYPERLINK("http://www.worldcat.org/oclc/1958654","WorldCat Record")</f>
        <v/>
      </c>
      <c r="AW2959" t="inlineStr">
        <is>
          <t>3943542444:eng</t>
        </is>
      </c>
      <c r="AX2959" t="inlineStr">
        <is>
          <t>1958654</t>
        </is>
      </c>
      <c r="AY2959" t="inlineStr">
        <is>
          <t>991003952249702656</t>
        </is>
      </c>
      <c r="AZ2959" t="inlineStr">
        <is>
          <t>991003952249702656</t>
        </is>
      </c>
      <c r="BA2959" t="inlineStr">
        <is>
          <t>2262553110002656</t>
        </is>
      </c>
      <c r="BB2959" t="inlineStr">
        <is>
          <t>BOOK</t>
        </is>
      </c>
      <c r="BD2959" t="inlineStr">
        <is>
          <t>9780710082091</t>
        </is>
      </c>
      <c r="BE2959" t="inlineStr">
        <is>
          <t>32285000230036</t>
        </is>
      </c>
      <c r="BF2959" t="inlineStr">
        <is>
          <t>893417039</t>
        </is>
      </c>
    </row>
    <row r="2960">
      <c r="A2960" t="inlineStr">
        <is>
          <t>No</t>
        </is>
      </c>
      <c r="B2960" t="inlineStr">
        <is>
          <t>CURAL</t>
        </is>
      </c>
      <c r="C2960" t="inlineStr">
        <is>
          <t>SHELVES</t>
        </is>
      </c>
      <c r="D2960" t="inlineStr">
        <is>
          <t>PR6011.O58 Z6514 1985</t>
        </is>
      </c>
      <c r="E2960" t="inlineStr">
        <is>
          <t>0                      PR 6011000O  58                 Z  6514        1985</t>
        </is>
      </c>
      <c r="F2960" t="inlineStr">
        <is>
          <t>Critical essays on E.M. Forster / [compiled and edited by] Alan Wilde.</t>
        </is>
      </c>
      <c r="H2960" t="inlineStr">
        <is>
          <t>No</t>
        </is>
      </c>
      <c r="I2960" t="inlineStr">
        <is>
          <t>1</t>
        </is>
      </c>
      <c r="J2960" t="inlineStr">
        <is>
          <t>No</t>
        </is>
      </c>
      <c r="K2960" t="inlineStr">
        <is>
          <t>No</t>
        </is>
      </c>
      <c r="L2960" t="inlineStr">
        <is>
          <t>0</t>
        </is>
      </c>
      <c r="N2960" t="inlineStr">
        <is>
          <t>Boston, Mass. : G.K. Hall, c1985.</t>
        </is>
      </c>
      <c r="O2960" t="inlineStr">
        <is>
          <t>1985</t>
        </is>
      </c>
      <c r="Q2960" t="inlineStr">
        <is>
          <t>eng</t>
        </is>
      </c>
      <c r="R2960" t="inlineStr">
        <is>
          <t>mau</t>
        </is>
      </c>
      <c r="S2960" t="inlineStr">
        <is>
          <t>Critical essays on modern British literature</t>
        </is>
      </c>
      <c r="T2960" t="inlineStr">
        <is>
          <t xml:space="preserve">PR </t>
        </is>
      </c>
      <c r="U2960" t="n">
        <v>6</v>
      </c>
      <c r="V2960" t="n">
        <v>6</v>
      </c>
      <c r="W2960" t="inlineStr">
        <is>
          <t>2009-11-29</t>
        </is>
      </c>
      <c r="X2960" t="inlineStr">
        <is>
          <t>2009-11-29</t>
        </is>
      </c>
      <c r="Y2960" t="inlineStr">
        <is>
          <t>1992-04-27</t>
        </is>
      </c>
      <c r="Z2960" t="inlineStr">
        <is>
          <t>1992-04-27</t>
        </is>
      </c>
      <c r="AA2960" t="n">
        <v>711</v>
      </c>
      <c r="AB2960" t="n">
        <v>628</v>
      </c>
      <c r="AC2960" t="n">
        <v>629</v>
      </c>
      <c r="AD2960" t="n">
        <v>4</v>
      </c>
      <c r="AE2960" t="n">
        <v>4</v>
      </c>
      <c r="AF2960" t="n">
        <v>26</v>
      </c>
      <c r="AG2960" t="n">
        <v>26</v>
      </c>
      <c r="AH2960" t="n">
        <v>10</v>
      </c>
      <c r="AI2960" t="n">
        <v>10</v>
      </c>
      <c r="AJ2960" t="n">
        <v>7</v>
      </c>
      <c r="AK2960" t="n">
        <v>7</v>
      </c>
      <c r="AL2960" t="n">
        <v>13</v>
      </c>
      <c r="AM2960" t="n">
        <v>13</v>
      </c>
      <c r="AN2960" t="n">
        <v>3</v>
      </c>
      <c r="AO2960" t="n">
        <v>3</v>
      </c>
      <c r="AP2960" t="n">
        <v>0</v>
      </c>
      <c r="AQ2960" t="n">
        <v>0</v>
      </c>
      <c r="AR2960" t="inlineStr">
        <is>
          <t>No</t>
        </is>
      </c>
      <c r="AS2960" t="inlineStr">
        <is>
          <t>Yes</t>
        </is>
      </c>
      <c r="AT2960">
        <f>HYPERLINK("http://catalog.hathitrust.org/Record/000664269","HathiTrust Record")</f>
        <v/>
      </c>
      <c r="AU2960">
        <f>HYPERLINK("https://creighton-primo.hosted.exlibrisgroup.com/primo-explore/search?tab=default_tab&amp;search_scope=EVERYTHING&amp;vid=01CRU&amp;lang=en_US&amp;offset=0&amp;query=any,contains,991000585179702656","Catalog Record")</f>
        <v/>
      </c>
      <c r="AV2960">
        <f>HYPERLINK("http://www.worldcat.org/oclc/11756165","WorldCat Record")</f>
        <v/>
      </c>
      <c r="AW2960" t="inlineStr">
        <is>
          <t>118301140:eng</t>
        </is>
      </c>
      <c r="AX2960" t="inlineStr">
        <is>
          <t>11756165</t>
        </is>
      </c>
      <c r="AY2960" t="inlineStr">
        <is>
          <t>991000585179702656</t>
        </is>
      </c>
      <c r="AZ2960" t="inlineStr">
        <is>
          <t>991000585179702656</t>
        </is>
      </c>
      <c r="BA2960" t="inlineStr">
        <is>
          <t>2269140530002656</t>
        </is>
      </c>
      <c r="BB2960" t="inlineStr">
        <is>
          <t>BOOK</t>
        </is>
      </c>
      <c r="BD2960" t="inlineStr">
        <is>
          <t>9780816187546</t>
        </is>
      </c>
      <c r="BE2960" t="inlineStr">
        <is>
          <t>32285001088938</t>
        </is>
      </c>
      <c r="BF2960" t="inlineStr">
        <is>
          <t>893444382</t>
        </is>
      </c>
    </row>
    <row r="2961">
      <c r="A2961" t="inlineStr">
        <is>
          <t>No</t>
        </is>
      </c>
      <c r="B2961" t="inlineStr">
        <is>
          <t>CURAL</t>
        </is>
      </c>
      <c r="C2961" t="inlineStr">
        <is>
          <t>SHELVES</t>
        </is>
      </c>
      <c r="D2961" t="inlineStr">
        <is>
          <t>PR6011.O58 Z655 1978</t>
        </is>
      </c>
      <c r="E2961" t="inlineStr">
        <is>
          <t>0                      PR 6011000O  58                 Z  655         1978</t>
        </is>
      </c>
      <c r="F2961" t="inlineStr">
        <is>
          <t>E. M. Forster : a life / by P. N. Furbank. --</t>
        </is>
      </c>
      <c r="H2961" t="inlineStr">
        <is>
          <t>No</t>
        </is>
      </c>
      <c r="I2961" t="inlineStr">
        <is>
          <t>1</t>
        </is>
      </c>
      <c r="J2961" t="inlineStr">
        <is>
          <t>No</t>
        </is>
      </c>
      <c r="K2961" t="inlineStr">
        <is>
          <t>No</t>
        </is>
      </c>
      <c r="L2961" t="inlineStr">
        <is>
          <t>0</t>
        </is>
      </c>
      <c r="M2961" t="inlineStr">
        <is>
          <t>Furbank, P. N. (Philip Nicholas), 1920-2014.</t>
        </is>
      </c>
      <c r="N2961" t="inlineStr">
        <is>
          <t>New York : Harcourt Brace Jovanovich, [1978].</t>
        </is>
      </c>
      <c r="O2961" t="inlineStr">
        <is>
          <t>1978</t>
        </is>
      </c>
      <c r="Q2961" t="inlineStr">
        <is>
          <t>eng</t>
        </is>
      </c>
      <c r="R2961" t="inlineStr">
        <is>
          <t>nyu</t>
        </is>
      </c>
      <c r="T2961" t="inlineStr">
        <is>
          <t xml:space="preserve">PR </t>
        </is>
      </c>
      <c r="U2961" t="n">
        <v>2</v>
      </c>
      <c r="V2961" t="n">
        <v>2</v>
      </c>
      <c r="W2961" t="inlineStr">
        <is>
          <t>2007-10-24</t>
        </is>
      </c>
      <c r="X2961" t="inlineStr">
        <is>
          <t>2007-10-24</t>
        </is>
      </c>
      <c r="Y2961" t="inlineStr">
        <is>
          <t>1990-06-07</t>
        </is>
      </c>
      <c r="Z2961" t="inlineStr">
        <is>
          <t>1990-06-07</t>
        </is>
      </c>
      <c r="AA2961" t="n">
        <v>1153</v>
      </c>
      <c r="AB2961" t="n">
        <v>1098</v>
      </c>
      <c r="AC2961" t="n">
        <v>1328</v>
      </c>
      <c r="AD2961" t="n">
        <v>6</v>
      </c>
      <c r="AE2961" t="n">
        <v>8</v>
      </c>
      <c r="AF2961" t="n">
        <v>36</v>
      </c>
      <c r="AG2961" t="n">
        <v>45</v>
      </c>
      <c r="AH2961" t="n">
        <v>17</v>
      </c>
      <c r="AI2961" t="n">
        <v>21</v>
      </c>
      <c r="AJ2961" t="n">
        <v>7</v>
      </c>
      <c r="AK2961" t="n">
        <v>11</v>
      </c>
      <c r="AL2961" t="n">
        <v>18</v>
      </c>
      <c r="AM2961" t="n">
        <v>20</v>
      </c>
      <c r="AN2961" t="n">
        <v>4</v>
      </c>
      <c r="AO2961" t="n">
        <v>6</v>
      </c>
      <c r="AP2961" t="n">
        <v>0</v>
      </c>
      <c r="AQ2961" t="n">
        <v>0</v>
      </c>
      <c r="AR2961" t="inlineStr">
        <is>
          <t>No</t>
        </is>
      </c>
      <c r="AS2961" t="inlineStr">
        <is>
          <t>Yes</t>
        </is>
      </c>
      <c r="AT2961">
        <f>HYPERLINK("http://catalog.hathitrust.org/Record/004480580","HathiTrust Record")</f>
        <v/>
      </c>
      <c r="AU2961">
        <f>HYPERLINK("https://creighton-primo.hosted.exlibrisgroup.com/primo-explore/search?tab=default_tab&amp;search_scope=EVERYTHING&amp;vid=01CRU&amp;lang=en_US&amp;offset=0&amp;query=any,contains,991004527359702656","Catalog Record")</f>
        <v/>
      </c>
      <c r="AV2961">
        <f>HYPERLINK("http://www.worldcat.org/oclc/3844063","WorldCat Record")</f>
        <v/>
      </c>
      <c r="AW2961" t="inlineStr">
        <is>
          <t>4666090750:eng</t>
        </is>
      </c>
      <c r="AX2961" t="inlineStr">
        <is>
          <t>3844063</t>
        </is>
      </c>
      <c r="AY2961" t="inlineStr">
        <is>
          <t>991004527359702656</t>
        </is>
      </c>
      <c r="AZ2961" t="inlineStr">
        <is>
          <t>991004527359702656</t>
        </is>
      </c>
      <c r="BA2961" t="inlineStr">
        <is>
          <t>2264712110002656</t>
        </is>
      </c>
      <c r="BB2961" t="inlineStr">
        <is>
          <t>BOOK</t>
        </is>
      </c>
      <c r="BE2961" t="inlineStr">
        <is>
          <t>32285000184084</t>
        </is>
      </c>
      <c r="BF2961" t="inlineStr">
        <is>
          <t>893446268</t>
        </is>
      </c>
    </row>
    <row r="2962">
      <c r="A2962" t="inlineStr">
        <is>
          <t>No</t>
        </is>
      </c>
      <c r="B2962" t="inlineStr">
        <is>
          <t>CURAL</t>
        </is>
      </c>
      <c r="C2962" t="inlineStr">
        <is>
          <t>SHELVES</t>
        </is>
      </c>
      <c r="D2962" t="inlineStr">
        <is>
          <t>PR6011.O58 Z658 1982</t>
        </is>
      </c>
      <c r="E2962" t="inlineStr">
        <is>
          <t>0                      PR 6011000O  58                 Z  658         1982</t>
        </is>
      </c>
      <c r="F2962" t="inlineStr">
        <is>
          <t>E.M. Forster : centenary revaluations / edited by Judith Scherer Herz and Robert K. Martin.</t>
        </is>
      </c>
      <c r="H2962" t="inlineStr">
        <is>
          <t>No</t>
        </is>
      </c>
      <c r="I2962" t="inlineStr">
        <is>
          <t>1</t>
        </is>
      </c>
      <c r="J2962" t="inlineStr">
        <is>
          <t>No</t>
        </is>
      </c>
      <c r="K2962" t="inlineStr">
        <is>
          <t>No</t>
        </is>
      </c>
      <c r="L2962" t="inlineStr">
        <is>
          <t>0</t>
        </is>
      </c>
      <c r="N2962" t="inlineStr">
        <is>
          <t>London : Macmillan, 1982.</t>
        </is>
      </c>
      <c r="O2962" t="inlineStr">
        <is>
          <t>1982</t>
        </is>
      </c>
      <c r="Q2962" t="inlineStr">
        <is>
          <t>eng</t>
        </is>
      </c>
      <c r="R2962" t="inlineStr">
        <is>
          <t>enk</t>
        </is>
      </c>
      <c r="T2962" t="inlineStr">
        <is>
          <t xml:space="preserve">PR </t>
        </is>
      </c>
      <c r="U2962" t="n">
        <v>1</v>
      </c>
      <c r="V2962" t="n">
        <v>1</v>
      </c>
      <c r="W2962" t="inlineStr">
        <is>
          <t>1992-12-09</t>
        </is>
      </c>
      <c r="X2962" t="inlineStr">
        <is>
          <t>1992-12-09</t>
        </is>
      </c>
      <c r="Y2962" t="inlineStr">
        <is>
          <t>1992-07-03</t>
        </is>
      </c>
      <c r="Z2962" t="inlineStr">
        <is>
          <t>1992-07-03</t>
        </is>
      </c>
      <c r="AA2962" t="n">
        <v>269</v>
      </c>
      <c r="AB2962" t="n">
        <v>146</v>
      </c>
      <c r="AC2962" t="n">
        <v>481</v>
      </c>
      <c r="AD2962" t="n">
        <v>3</v>
      </c>
      <c r="AE2962" t="n">
        <v>7</v>
      </c>
      <c r="AF2962" t="n">
        <v>7</v>
      </c>
      <c r="AG2962" t="n">
        <v>29</v>
      </c>
      <c r="AH2962" t="n">
        <v>3</v>
      </c>
      <c r="AI2962" t="n">
        <v>11</v>
      </c>
      <c r="AJ2962" t="n">
        <v>1</v>
      </c>
      <c r="AK2962" t="n">
        <v>8</v>
      </c>
      <c r="AL2962" t="n">
        <v>2</v>
      </c>
      <c r="AM2962" t="n">
        <v>10</v>
      </c>
      <c r="AN2962" t="n">
        <v>2</v>
      </c>
      <c r="AO2962" t="n">
        <v>6</v>
      </c>
      <c r="AP2962" t="n">
        <v>0</v>
      </c>
      <c r="AQ2962" t="n">
        <v>0</v>
      </c>
      <c r="AR2962" t="inlineStr">
        <is>
          <t>No</t>
        </is>
      </c>
      <c r="AS2962" t="inlineStr">
        <is>
          <t>No</t>
        </is>
      </c>
      <c r="AU2962">
        <f>HYPERLINK("https://creighton-primo.hosted.exlibrisgroup.com/primo-explore/search?tab=default_tab&amp;search_scope=EVERYTHING&amp;vid=01CRU&amp;lang=en_US&amp;offset=0&amp;query=any,contains,991001072009702656","Catalog Record")</f>
        <v/>
      </c>
      <c r="AV2962">
        <f>HYPERLINK("http://www.worldcat.org/oclc/15962092","WorldCat Record")</f>
        <v/>
      </c>
      <c r="AW2962" t="inlineStr">
        <is>
          <t>5061477453:eng</t>
        </is>
      </c>
      <c r="AX2962" t="inlineStr">
        <is>
          <t>15962092</t>
        </is>
      </c>
      <c r="AY2962" t="inlineStr">
        <is>
          <t>991001072009702656</t>
        </is>
      </c>
      <c r="AZ2962" t="inlineStr">
        <is>
          <t>991001072009702656</t>
        </is>
      </c>
      <c r="BA2962" t="inlineStr">
        <is>
          <t>2262227690002656</t>
        </is>
      </c>
      <c r="BB2962" t="inlineStr">
        <is>
          <t>BOOK</t>
        </is>
      </c>
      <c r="BD2962" t="inlineStr">
        <is>
          <t>9780333294758</t>
        </is>
      </c>
      <c r="BE2962" t="inlineStr">
        <is>
          <t>32285001148005</t>
        </is>
      </c>
      <c r="BF2962" t="inlineStr">
        <is>
          <t>893803315</t>
        </is>
      </c>
    </row>
    <row r="2963">
      <c r="A2963" t="inlineStr">
        <is>
          <t>No</t>
        </is>
      </c>
      <c r="B2963" t="inlineStr">
        <is>
          <t>CURAL</t>
        </is>
      </c>
      <c r="C2963" t="inlineStr">
        <is>
          <t>SHELVES</t>
        </is>
      </c>
      <c r="D2963" t="inlineStr">
        <is>
          <t>PR6011.O58 Z666 1983</t>
        </is>
      </c>
      <c r="E2963" t="inlineStr">
        <is>
          <t>0                      PR 6011000O  58                 Z  666         1983</t>
        </is>
      </c>
      <c r="F2963" t="inlineStr">
        <is>
          <t>A preface to Forster / Christopher Gillie.</t>
        </is>
      </c>
      <c r="H2963" t="inlineStr">
        <is>
          <t>No</t>
        </is>
      </c>
      <c r="I2963" t="inlineStr">
        <is>
          <t>1</t>
        </is>
      </c>
      <c r="J2963" t="inlineStr">
        <is>
          <t>No</t>
        </is>
      </c>
      <c r="K2963" t="inlineStr">
        <is>
          <t>No</t>
        </is>
      </c>
      <c r="L2963" t="inlineStr">
        <is>
          <t>0</t>
        </is>
      </c>
      <c r="M2963" t="inlineStr">
        <is>
          <t>Gillie, Christopher.</t>
        </is>
      </c>
      <c r="N2963" t="inlineStr">
        <is>
          <t>Harlow, Essex ; New York : Longman, 1983.</t>
        </is>
      </c>
      <c r="O2963" t="inlineStr">
        <is>
          <t>1983</t>
        </is>
      </c>
      <c r="Q2963" t="inlineStr">
        <is>
          <t>eng</t>
        </is>
      </c>
      <c r="R2963" t="inlineStr">
        <is>
          <t>enk</t>
        </is>
      </c>
      <c r="S2963" t="inlineStr">
        <is>
          <t>Preface books</t>
        </is>
      </c>
      <c r="T2963" t="inlineStr">
        <is>
          <t xml:space="preserve">PR </t>
        </is>
      </c>
      <c r="U2963" t="n">
        <v>4</v>
      </c>
      <c r="V2963" t="n">
        <v>4</v>
      </c>
      <c r="W2963" t="inlineStr">
        <is>
          <t>2000-09-27</t>
        </is>
      </c>
      <c r="X2963" t="inlineStr">
        <is>
          <t>2000-09-27</t>
        </is>
      </c>
      <c r="Y2963" t="inlineStr">
        <is>
          <t>1992-07-03</t>
        </is>
      </c>
      <c r="Z2963" t="inlineStr">
        <is>
          <t>1992-07-03</t>
        </is>
      </c>
      <c r="AA2963" t="n">
        <v>667</v>
      </c>
      <c r="AB2963" t="n">
        <v>456</v>
      </c>
      <c r="AC2963" t="n">
        <v>463</v>
      </c>
      <c r="AD2963" t="n">
        <v>5</v>
      </c>
      <c r="AE2963" t="n">
        <v>5</v>
      </c>
      <c r="AF2963" t="n">
        <v>21</v>
      </c>
      <c r="AG2963" t="n">
        <v>22</v>
      </c>
      <c r="AH2963" t="n">
        <v>7</v>
      </c>
      <c r="AI2963" t="n">
        <v>8</v>
      </c>
      <c r="AJ2963" t="n">
        <v>5</v>
      </c>
      <c r="AK2963" t="n">
        <v>5</v>
      </c>
      <c r="AL2963" t="n">
        <v>10</v>
      </c>
      <c r="AM2963" t="n">
        <v>11</v>
      </c>
      <c r="AN2963" t="n">
        <v>4</v>
      </c>
      <c r="AO2963" t="n">
        <v>4</v>
      </c>
      <c r="AP2963" t="n">
        <v>0</v>
      </c>
      <c r="AQ2963" t="n">
        <v>0</v>
      </c>
      <c r="AR2963" t="inlineStr">
        <is>
          <t>No</t>
        </is>
      </c>
      <c r="AS2963" t="inlineStr">
        <is>
          <t>Yes</t>
        </is>
      </c>
      <c r="AT2963">
        <f>HYPERLINK("http://catalog.hathitrust.org/Record/000419469","HathiTrust Record")</f>
        <v/>
      </c>
      <c r="AU2963">
        <f>HYPERLINK("https://creighton-primo.hosted.exlibrisgroup.com/primo-explore/search?tab=default_tab&amp;search_scope=EVERYTHING&amp;vid=01CRU&amp;lang=en_US&amp;offset=0&amp;query=any,contains,991005146169702656","Catalog Record")</f>
        <v/>
      </c>
      <c r="AV2963">
        <f>HYPERLINK("http://www.worldcat.org/oclc/7671471","WorldCat Record")</f>
        <v/>
      </c>
      <c r="AW2963" t="inlineStr">
        <is>
          <t>28777001:eng</t>
        </is>
      </c>
      <c r="AX2963" t="inlineStr">
        <is>
          <t>7671471</t>
        </is>
      </c>
      <c r="AY2963" t="inlineStr">
        <is>
          <t>991005146169702656</t>
        </is>
      </c>
      <c r="AZ2963" t="inlineStr">
        <is>
          <t>991005146169702656</t>
        </is>
      </c>
      <c r="BA2963" t="inlineStr">
        <is>
          <t>2272697180002656</t>
        </is>
      </c>
      <c r="BB2963" t="inlineStr">
        <is>
          <t>BOOK</t>
        </is>
      </c>
      <c r="BD2963" t="inlineStr">
        <is>
          <t>9780582353145</t>
        </is>
      </c>
      <c r="BE2963" t="inlineStr">
        <is>
          <t>32285001148013</t>
        </is>
      </c>
      <c r="BF2963" t="inlineStr">
        <is>
          <t>893350807</t>
        </is>
      </c>
    </row>
    <row r="2964">
      <c r="A2964" t="inlineStr">
        <is>
          <t>No</t>
        </is>
      </c>
      <c r="B2964" t="inlineStr">
        <is>
          <t>CURAL</t>
        </is>
      </c>
      <c r="C2964" t="inlineStr">
        <is>
          <t>SHELVES</t>
        </is>
      </c>
      <c r="D2964" t="inlineStr">
        <is>
          <t>PR6011.O58 Z684 1988</t>
        </is>
      </c>
      <c r="E2964" t="inlineStr">
        <is>
          <t>0                      PR 6011000O  58                 Z  684         1988</t>
        </is>
      </c>
      <c r="F2964" t="inlineStr">
        <is>
          <t>The short narratives of E.M. Forster / Judith Scherer Herz.</t>
        </is>
      </c>
      <c r="H2964" t="inlineStr">
        <is>
          <t>No</t>
        </is>
      </c>
      <c r="I2964" t="inlineStr">
        <is>
          <t>1</t>
        </is>
      </c>
      <c r="J2964" t="inlineStr">
        <is>
          <t>No</t>
        </is>
      </c>
      <c r="K2964" t="inlineStr">
        <is>
          <t>No</t>
        </is>
      </c>
      <c r="L2964" t="inlineStr">
        <is>
          <t>0</t>
        </is>
      </c>
      <c r="M2964" t="inlineStr">
        <is>
          <t>Herz, Judith Scherer.</t>
        </is>
      </c>
      <c r="N2964" t="inlineStr">
        <is>
          <t>New York : St. Martin's Press, 1988.</t>
        </is>
      </c>
      <c r="O2964" t="inlineStr">
        <is>
          <t>1988</t>
        </is>
      </c>
      <c r="Q2964" t="inlineStr">
        <is>
          <t>eng</t>
        </is>
      </c>
      <c r="R2964" t="inlineStr">
        <is>
          <t>nyu</t>
        </is>
      </c>
      <c r="T2964" t="inlineStr">
        <is>
          <t xml:space="preserve">PR </t>
        </is>
      </c>
      <c r="U2964" t="n">
        <v>2</v>
      </c>
      <c r="V2964" t="n">
        <v>2</v>
      </c>
      <c r="W2964" t="inlineStr">
        <is>
          <t>1995-03-23</t>
        </is>
      </c>
      <c r="X2964" t="inlineStr">
        <is>
          <t>1995-03-23</t>
        </is>
      </c>
      <c r="Y2964" t="inlineStr">
        <is>
          <t>1990-03-15</t>
        </is>
      </c>
      <c r="Z2964" t="inlineStr">
        <is>
          <t>1990-03-15</t>
        </is>
      </c>
      <c r="AA2964" t="n">
        <v>250</v>
      </c>
      <c r="AB2964" t="n">
        <v>225</v>
      </c>
      <c r="AC2964" t="n">
        <v>281</v>
      </c>
      <c r="AD2964" t="n">
        <v>1</v>
      </c>
      <c r="AE2964" t="n">
        <v>2</v>
      </c>
      <c r="AF2964" t="n">
        <v>10</v>
      </c>
      <c r="AG2964" t="n">
        <v>14</v>
      </c>
      <c r="AH2964" t="n">
        <v>4</v>
      </c>
      <c r="AI2964" t="n">
        <v>4</v>
      </c>
      <c r="AJ2964" t="n">
        <v>2</v>
      </c>
      <c r="AK2964" t="n">
        <v>4</v>
      </c>
      <c r="AL2964" t="n">
        <v>6</v>
      </c>
      <c r="AM2964" t="n">
        <v>9</v>
      </c>
      <c r="AN2964" t="n">
        <v>0</v>
      </c>
      <c r="AO2964" t="n">
        <v>1</v>
      </c>
      <c r="AP2964" t="n">
        <v>0</v>
      </c>
      <c r="AQ2964" t="n">
        <v>0</v>
      </c>
      <c r="AR2964" t="inlineStr">
        <is>
          <t>No</t>
        </is>
      </c>
      <c r="AS2964" t="inlineStr">
        <is>
          <t>No</t>
        </is>
      </c>
      <c r="AU2964">
        <f>HYPERLINK("https://creighton-primo.hosted.exlibrisgroup.com/primo-explore/search?tab=default_tab&amp;search_scope=EVERYTHING&amp;vid=01CRU&amp;lang=en_US&amp;offset=0&amp;query=any,contains,991001065229702656","Catalog Record")</f>
        <v/>
      </c>
      <c r="AV2964">
        <f>HYPERLINK("http://www.worldcat.org/oclc/15792884","WorldCat Record")</f>
        <v/>
      </c>
      <c r="AW2964" t="inlineStr">
        <is>
          <t>11604452:eng</t>
        </is>
      </c>
      <c r="AX2964" t="inlineStr">
        <is>
          <t>15792884</t>
        </is>
      </c>
      <c r="AY2964" t="inlineStr">
        <is>
          <t>991001065229702656</t>
        </is>
      </c>
      <c r="AZ2964" t="inlineStr">
        <is>
          <t>991001065229702656</t>
        </is>
      </c>
      <c r="BA2964" t="inlineStr">
        <is>
          <t>2261321340002656</t>
        </is>
      </c>
      <c r="BB2964" t="inlineStr">
        <is>
          <t>BOOK</t>
        </is>
      </c>
      <c r="BD2964" t="inlineStr">
        <is>
          <t>9780312009120</t>
        </is>
      </c>
      <c r="BE2964" t="inlineStr">
        <is>
          <t>32285000063700</t>
        </is>
      </c>
      <c r="BF2964" t="inlineStr">
        <is>
          <t>893715137</t>
        </is>
      </c>
    </row>
    <row r="2965">
      <c r="A2965" t="inlineStr">
        <is>
          <t>No</t>
        </is>
      </c>
      <c r="B2965" t="inlineStr">
        <is>
          <t>CURAL</t>
        </is>
      </c>
      <c r="C2965" t="inlineStr">
        <is>
          <t>SHELVES</t>
        </is>
      </c>
      <c r="D2965" t="inlineStr">
        <is>
          <t>PR6011.O58 Z69</t>
        </is>
      </c>
      <c r="E2965" t="inlineStr">
        <is>
          <t>0                      PR 6011000O  58                 Z  69</t>
        </is>
      </c>
      <c r="F2965" t="inlineStr">
        <is>
          <t>E. M. Forster / with a pref. by Harry T. Moore.</t>
        </is>
      </c>
      <c r="H2965" t="inlineStr">
        <is>
          <t>No</t>
        </is>
      </c>
      <c r="I2965" t="inlineStr">
        <is>
          <t>1</t>
        </is>
      </c>
      <c r="J2965" t="inlineStr">
        <is>
          <t>No</t>
        </is>
      </c>
      <c r="K2965" t="inlineStr">
        <is>
          <t>No</t>
        </is>
      </c>
      <c r="L2965" t="inlineStr">
        <is>
          <t>0</t>
        </is>
      </c>
      <c r="M2965" t="inlineStr">
        <is>
          <t>Kelvin, Norman.</t>
        </is>
      </c>
      <c r="N2965" t="inlineStr">
        <is>
          <t>Carbondale : Southern Illinois University Press, [1967]</t>
        </is>
      </c>
      <c r="O2965" t="inlineStr">
        <is>
          <t>1967</t>
        </is>
      </c>
      <c r="Q2965" t="inlineStr">
        <is>
          <t>eng</t>
        </is>
      </c>
      <c r="R2965" t="inlineStr">
        <is>
          <t>ilu</t>
        </is>
      </c>
      <c r="S2965" t="inlineStr">
        <is>
          <t>Crosscurrents/modern critiques</t>
        </is>
      </c>
      <c r="T2965" t="inlineStr">
        <is>
          <t xml:space="preserve">PR </t>
        </is>
      </c>
      <c r="U2965" t="n">
        <v>2</v>
      </c>
      <c r="V2965" t="n">
        <v>2</v>
      </c>
      <c r="W2965" t="inlineStr">
        <is>
          <t>1995-03-23</t>
        </is>
      </c>
      <c r="X2965" t="inlineStr">
        <is>
          <t>1995-03-23</t>
        </is>
      </c>
      <c r="Y2965" t="inlineStr">
        <is>
          <t>1992-04-28</t>
        </is>
      </c>
      <c r="Z2965" t="inlineStr">
        <is>
          <t>1992-04-28</t>
        </is>
      </c>
      <c r="AA2965" t="n">
        <v>874</v>
      </c>
      <c r="AB2965" t="n">
        <v>772</v>
      </c>
      <c r="AC2965" t="n">
        <v>776</v>
      </c>
      <c r="AD2965" t="n">
        <v>6</v>
      </c>
      <c r="AE2965" t="n">
        <v>6</v>
      </c>
      <c r="AF2965" t="n">
        <v>35</v>
      </c>
      <c r="AG2965" t="n">
        <v>35</v>
      </c>
      <c r="AH2965" t="n">
        <v>13</v>
      </c>
      <c r="AI2965" t="n">
        <v>13</v>
      </c>
      <c r="AJ2965" t="n">
        <v>9</v>
      </c>
      <c r="AK2965" t="n">
        <v>9</v>
      </c>
      <c r="AL2965" t="n">
        <v>19</v>
      </c>
      <c r="AM2965" t="n">
        <v>19</v>
      </c>
      <c r="AN2965" t="n">
        <v>5</v>
      </c>
      <c r="AO2965" t="n">
        <v>5</v>
      </c>
      <c r="AP2965" t="n">
        <v>0</v>
      </c>
      <c r="AQ2965" t="n">
        <v>0</v>
      </c>
      <c r="AR2965" t="inlineStr">
        <is>
          <t>No</t>
        </is>
      </c>
      <c r="AS2965" t="inlineStr">
        <is>
          <t>Yes</t>
        </is>
      </c>
      <c r="AT2965">
        <f>HYPERLINK("http://catalog.hathitrust.org/Record/000392645","HathiTrust Record")</f>
        <v/>
      </c>
      <c r="AU2965">
        <f>HYPERLINK("https://creighton-primo.hosted.exlibrisgroup.com/primo-explore/search?tab=default_tab&amp;search_scope=EVERYTHING&amp;vid=01CRU&amp;lang=en_US&amp;offset=0&amp;query=any,contains,991003564909702656","Catalog Record")</f>
        <v/>
      </c>
      <c r="AV2965">
        <f>HYPERLINK("http://www.worldcat.org/oclc/1137729","WorldCat Record")</f>
        <v/>
      </c>
      <c r="AW2965" t="inlineStr">
        <is>
          <t>466777:eng</t>
        </is>
      </c>
      <c r="AX2965" t="inlineStr">
        <is>
          <t>1137729</t>
        </is>
      </c>
      <c r="AY2965" t="inlineStr">
        <is>
          <t>991003564909702656</t>
        </is>
      </c>
      <c r="AZ2965" t="inlineStr">
        <is>
          <t>991003564909702656</t>
        </is>
      </c>
      <c r="BA2965" t="inlineStr">
        <is>
          <t>2268364150002656</t>
        </is>
      </c>
      <c r="BB2965" t="inlineStr">
        <is>
          <t>BOOK</t>
        </is>
      </c>
      <c r="BE2965" t="inlineStr">
        <is>
          <t>32285001088904</t>
        </is>
      </c>
      <c r="BF2965" t="inlineStr">
        <is>
          <t>893524953</t>
        </is>
      </c>
    </row>
    <row r="2966">
      <c r="A2966" t="inlineStr">
        <is>
          <t>No</t>
        </is>
      </c>
      <c r="B2966" t="inlineStr">
        <is>
          <t>CURAL</t>
        </is>
      </c>
      <c r="C2966" t="inlineStr">
        <is>
          <t>SHELVES</t>
        </is>
      </c>
      <c r="D2966" t="inlineStr">
        <is>
          <t>PR6011.O58 Z82</t>
        </is>
      </c>
      <c r="E2966" t="inlineStr">
        <is>
          <t>0                      PR 6011000O  58                 Z  82</t>
        </is>
      </c>
      <c r="F2966" t="inlineStr">
        <is>
          <t>The novels of E. M. Forster / by James McConkey.</t>
        </is>
      </c>
      <c r="H2966" t="inlineStr">
        <is>
          <t>No</t>
        </is>
      </c>
      <c r="I2966" t="inlineStr">
        <is>
          <t>1</t>
        </is>
      </c>
      <c r="J2966" t="inlineStr">
        <is>
          <t>No</t>
        </is>
      </c>
      <c r="K2966" t="inlineStr">
        <is>
          <t>No</t>
        </is>
      </c>
      <c r="L2966" t="inlineStr">
        <is>
          <t>0</t>
        </is>
      </c>
      <c r="M2966" t="inlineStr">
        <is>
          <t>McConkey, James.</t>
        </is>
      </c>
      <c r="N2966" t="inlineStr">
        <is>
          <t>Ithaca, N.Y. : Cornell University Press, 1957</t>
        </is>
      </c>
      <c r="O2966" t="inlineStr">
        <is>
          <t>1957</t>
        </is>
      </c>
      <c r="Q2966" t="inlineStr">
        <is>
          <t>eng</t>
        </is>
      </c>
      <c r="R2966" t="inlineStr">
        <is>
          <t>nyu</t>
        </is>
      </c>
      <c r="T2966" t="inlineStr">
        <is>
          <t xml:space="preserve">PR </t>
        </is>
      </c>
      <c r="U2966" t="n">
        <v>2</v>
      </c>
      <c r="V2966" t="n">
        <v>2</v>
      </c>
      <c r="W2966" t="inlineStr">
        <is>
          <t>1995-03-23</t>
        </is>
      </c>
      <c r="X2966" t="inlineStr">
        <is>
          <t>1995-03-23</t>
        </is>
      </c>
      <c r="Y2966" t="inlineStr">
        <is>
          <t>1992-04-28</t>
        </is>
      </c>
      <c r="Z2966" t="inlineStr">
        <is>
          <t>1992-04-28</t>
        </is>
      </c>
      <c r="AA2966" t="n">
        <v>678</v>
      </c>
      <c r="AB2966" t="n">
        <v>589</v>
      </c>
      <c r="AC2966" t="n">
        <v>821</v>
      </c>
      <c r="AD2966" t="n">
        <v>6</v>
      </c>
      <c r="AE2966" t="n">
        <v>6</v>
      </c>
      <c r="AF2966" t="n">
        <v>32</v>
      </c>
      <c r="AG2966" t="n">
        <v>36</v>
      </c>
      <c r="AH2966" t="n">
        <v>14</v>
      </c>
      <c r="AI2966" t="n">
        <v>16</v>
      </c>
      <c r="AJ2966" t="n">
        <v>9</v>
      </c>
      <c r="AK2966" t="n">
        <v>9</v>
      </c>
      <c r="AL2966" t="n">
        <v>13</v>
      </c>
      <c r="AM2966" t="n">
        <v>15</v>
      </c>
      <c r="AN2966" t="n">
        <v>4</v>
      </c>
      <c r="AO2966" t="n">
        <v>4</v>
      </c>
      <c r="AP2966" t="n">
        <v>0</v>
      </c>
      <c r="AQ2966" t="n">
        <v>0</v>
      </c>
      <c r="AR2966" t="inlineStr">
        <is>
          <t>No</t>
        </is>
      </c>
      <c r="AS2966" t="inlineStr">
        <is>
          <t>Yes</t>
        </is>
      </c>
      <c r="AT2966">
        <f>HYPERLINK("http://catalog.hathitrust.org/Record/000392656","HathiTrust Record")</f>
        <v/>
      </c>
      <c r="AU2966">
        <f>HYPERLINK("https://creighton-primo.hosted.exlibrisgroup.com/primo-explore/search?tab=default_tab&amp;search_scope=EVERYTHING&amp;vid=01CRU&amp;lang=en_US&amp;offset=0&amp;query=any,contains,991001375829702656","Catalog Record")</f>
        <v/>
      </c>
      <c r="AV2966">
        <f>HYPERLINK("http://www.worldcat.org/oclc/18614653","WorldCat Record")</f>
        <v/>
      </c>
      <c r="AW2966" t="inlineStr">
        <is>
          <t>1279847:eng</t>
        </is>
      </c>
      <c r="AX2966" t="inlineStr">
        <is>
          <t>18614653</t>
        </is>
      </c>
      <c r="AY2966" t="inlineStr">
        <is>
          <t>991001375829702656</t>
        </is>
      </c>
      <c r="AZ2966" t="inlineStr">
        <is>
          <t>991001375829702656</t>
        </is>
      </c>
      <c r="BA2966" t="inlineStr">
        <is>
          <t>2264572330002656</t>
        </is>
      </c>
      <c r="BB2966" t="inlineStr">
        <is>
          <t>BOOK</t>
        </is>
      </c>
      <c r="BE2966" t="inlineStr">
        <is>
          <t>32285001088896</t>
        </is>
      </c>
      <c r="BF2966" t="inlineStr">
        <is>
          <t>893509581</t>
        </is>
      </c>
    </row>
    <row r="2967">
      <c r="A2967" t="inlineStr">
        <is>
          <t>No</t>
        </is>
      </c>
      <c r="B2967" t="inlineStr">
        <is>
          <t>CURAL</t>
        </is>
      </c>
      <c r="C2967" t="inlineStr">
        <is>
          <t>SHELVES</t>
        </is>
      </c>
      <c r="D2967" t="inlineStr">
        <is>
          <t>PR6011.O58 Z822</t>
        </is>
      </c>
      <c r="E2967" t="inlineStr">
        <is>
          <t>0                      PR 6011000O  58                 Z  822</t>
        </is>
      </c>
      <c r="F2967" t="inlineStr">
        <is>
          <t>E. M. Forster.</t>
        </is>
      </c>
      <c r="H2967" t="inlineStr">
        <is>
          <t>No</t>
        </is>
      </c>
      <c r="I2967" t="inlineStr">
        <is>
          <t>1</t>
        </is>
      </c>
      <c r="J2967" t="inlineStr">
        <is>
          <t>No</t>
        </is>
      </c>
      <c r="K2967" t="inlineStr">
        <is>
          <t>Yes</t>
        </is>
      </c>
      <c r="L2967" t="inlineStr">
        <is>
          <t>0</t>
        </is>
      </c>
      <c r="M2967" t="inlineStr">
        <is>
          <t>McDowell, Frederick P. W.</t>
        </is>
      </c>
      <c r="N2967" t="inlineStr">
        <is>
          <t>New York : Twayne Publishers, [1969]</t>
        </is>
      </c>
      <c r="O2967" t="inlineStr">
        <is>
          <t>1969</t>
        </is>
      </c>
      <c r="Q2967" t="inlineStr">
        <is>
          <t>eng</t>
        </is>
      </c>
      <c r="R2967" t="inlineStr">
        <is>
          <t>nyu</t>
        </is>
      </c>
      <c r="S2967" t="inlineStr">
        <is>
          <t>Twayne's English authors series ; 89</t>
        </is>
      </c>
      <c r="T2967" t="inlineStr">
        <is>
          <t xml:space="preserve">PR </t>
        </is>
      </c>
      <c r="U2967" t="n">
        <v>2</v>
      </c>
      <c r="V2967" t="n">
        <v>2</v>
      </c>
      <c r="W2967" t="inlineStr">
        <is>
          <t>1995-03-23</t>
        </is>
      </c>
      <c r="X2967" t="inlineStr">
        <is>
          <t>1995-03-23</t>
        </is>
      </c>
      <c r="Y2967" t="inlineStr">
        <is>
          <t>1993-11-08</t>
        </is>
      </c>
      <c r="Z2967" t="inlineStr">
        <is>
          <t>1993-11-08</t>
        </is>
      </c>
      <c r="AA2967" t="n">
        <v>952</v>
      </c>
      <c r="AB2967" t="n">
        <v>848</v>
      </c>
      <c r="AC2967" t="n">
        <v>1381</v>
      </c>
      <c r="AD2967" t="n">
        <v>7</v>
      </c>
      <c r="AE2967" t="n">
        <v>10</v>
      </c>
      <c r="AF2967" t="n">
        <v>32</v>
      </c>
      <c r="AG2967" t="n">
        <v>48</v>
      </c>
      <c r="AH2967" t="n">
        <v>12</v>
      </c>
      <c r="AI2967" t="n">
        <v>20</v>
      </c>
      <c r="AJ2967" t="n">
        <v>7</v>
      </c>
      <c r="AK2967" t="n">
        <v>10</v>
      </c>
      <c r="AL2967" t="n">
        <v>17</v>
      </c>
      <c r="AM2967" t="n">
        <v>23</v>
      </c>
      <c r="AN2967" t="n">
        <v>5</v>
      </c>
      <c r="AO2967" t="n">
        <v>8</v>
      </c>
      <c r="AP2967" t="n">
        <v>0</v>
      </c>
      <c r="AQ2967" t="n">
        <v>0</v>
      </c>
      <c r="AR2967" t="inlineStr">
        <is>
          <t>No</t>
        </is>
      </c>
      <c r="AS2967" t="inlineStr">
        <is>
          <t>Yes</t>
        </is>
      </c>
      <c r="AT2967">
        <f>HYPERLINK("http://catalog.hathitrust.org/Record/000008235","HathiTrust Record")</f>
        <v/>
      </c>
      <c r="AU2967">
        <f>HYPERLINK("https://creighton-primo.hosted.exlibrisgroup.com/primo-explore/search?tab=default_tab&amp;search_scope=EVERYTHING&amp;vid=01CRU&amp;lang=en_US&amp;offset=0&amp;query=any,contains,991003042579702656","Catalog Record")</f>
        <v/>
      </c>
      <c r="AV2967">
        <f>HYPERLINK("http://www.worldcat.org/oclc/603672","WorldCat Record")</f>
        <v/>
      </c>
      <c r="AW2967" t="inlineStr">
        <is>
          <t>4820411113:eng</t>
        </is>
      </c>
      <c r="AX2967" t="inlineStr">
        <is>
          <t>603672</t>
        </is>
      </c>
      <c r="AY2967" t="inlineStr">
        <is>
          <t>991003042579702656</t>
        </is>
      </c>
      <c r="AZ2967" t="inlineStr">
        <is>
          <t>991003042579702656</t>
        </is>
      </c>
      <c r="BA2967" t="inlineStr">
        <is>
          <t>2260694820002656</t>
        </is>
      </c>
      <c r="BB2967" t="inlineStr">
        <is>
          <t>BOOK</t>
        </is>
      </c>
      <c r="BE2967" t="inlineStr">
        <is>
          <t>32285001797181</t>
        </is>
      </c>
      <c r="BF2967" t="inlineStr">
        <is>
          <t>893780555</t>
        </is>
      </c>
    </row>
    <row r="2968">
      <c r="A2968" t="inlineStr">
        <is>
          <t>No</t>
        </is>
      </c>
      <c r="B2968" t="inlineStr">
        <is>
          <t>CURAL</t>
        </is>
      </c>
      <c r="C2968" t="inlineStr">
        <is>
          <t>SHELVES</t>
        </is>
      </c>
      <c r="D2968" t="inlineStr">
        <is>
          <t>PR6011.O58 Z822 1982</t>
        </is>
      </c>
      <c r="E2968" t="inlineStr">
        <is>
          <t>0                      PR 6011000O  58                 Z  822         1982</t>
        </is>
      </c>
      <c r="F2968" t="inlineStr">
        <is>
          <t>E.M. Forster / by Frederick P.W. McDowell.</t>
        </is>
      </c>
      <c r="H2968" t="inlineStr">
        <is>
          <t>No</t>
        </is>
      </c>
      <c r="I2968" t="inlineStr">
        <is>
          <t>1</t>
        </is>
      </c>
      <c r="J2968" t="inlineStr">
        <is>
          <t>No</t>
        </is>
      </c>
      <c r="K2968" t="inlineStr">
        <is>
          <t>Yes</t>
        </is>
      </c>
      <c r="L2968" t="inlineStr">
        <is>
          <t>0</t>
        </is>
      </c>
      <c r="M2968" t="inlineStr">
        <is>
          <t>McDowell, Frederick P. W.</t>
        </is>
      </c>
      <c r="N2968" t="inlineStr">
        <is>
          <t>Boston : Twayne Publishers, c1982.</t>
        </is>
      </c>
      <c r="O2968" t="inlineStr">
        <is>
          <t>1982</t>
        </is>
      </c>
      <c r="P2968" t="inlineStr">
        <is>
          <t>Rev. ed.</t>
        </is>
      </c>
      <c r="Q2968" t="inlineStr">
        <is>
          <t>eng</t>
        </is>
      </c>
      <c r="R2968" t="inlineStr">
        <is>
          <t>mau</t>
        </is>
      </c>
      <c r="S2968" t="inlineStr">
        <is>
          <t>Twayne's English authors series ; TEAS 89</t>
        </is>
      </c>
      <c r="T2968" t="inlineStr">
        <is>
          <t xml:space="preserve">PR </t>
        </is>
      </c>
      <c r="U2968" t="n">
        <v>2</v>
      </c>
      <c r="V2968" t="n">
        <v>2</v>
      </c>
      <c r="W2968" t="inlineStr">
        <is>
          <t>1992-12-09</t>
        </is>
      </c>
      <c r="X2968" t="inlineStr">
        <is>
          <t>1992-12-09</t>
        </is>
      </c>
      <c r="Y2968" t="inlineStr">
        <is>
          <t>1990-07-09</t>
        </is>
      </c>
      <c r="Z2968" t="inlineStr">
        <is>
          <t>1990-07-09</t>
        </is>
      </c>
      <c r="AA2968" t="n">
        <v>911</v>
      </c>
      <c r="AB2968" t="n">
        <v>809</v>
      </c>
      <c r="AC2968" t="n">
        <v>1381</v>
      </c>
      <c r="AD2968" t="n">
        <v>7</v>
      </c>
      <c r="AE2968" t="n">
        <v>10</v>
      </c>
      <c r="AF2968" t="n">
        <v>38</v>
      </c>
      <c r="AG2968" t="n">
        <v>48</v>
      </c>
      <c r="AH2968" t="n">
        <v>16</v>
      </c>
      <c r="AI2968" t="n">
        <v>20</v>
      </c>
      <c r="AJ2968" t="n">
        <v>7</v>
      </c>
      <c r="AK2968" t="n">
        <v>10</v>
      </c>
      <c r="AL2968" t="n">
        <v>18</v>
      </c>
      <c r="AM2968" t="n">
        <v>23</v>
      </c>
      <c r="AN2968" t="n">
        <v>6</v>
      </c>
      <c r="AO2968" t="n">
        <v>8</v>
      </c>
      <c r="AP2968" t="n">
        <v>0</v>
      </c>
      <c r="AQ2968" t="n">
        <v>0</v>
      </c>
      <c r="AR2968" t="inlineStr">
        <is>
          <t>No</t>
        </is>
      </c>
      <c r="AS2968" t="inlineStr">
        <is>
          <t>Yes</t>
        </is>
      </c>
      <c r="AT2968">
        <f>HYPERLINK("http://catalog.hathitrust.org/Record/000262051","HathiTrust Record")</f>
        <v/>
      </c>
      <c r="AU2968">
        <f>HYPERLINK("https://creighton-primo.hosted.exlibrisgroup.com/primo-explore/search?tab=default_tab&amp;search_scope=EVERYTHING&amp;vid=01CRU&amp;lang=en_US&amp;offset=0&amp;query=any,contains,991005144249702656","Catalog Record")</f>
        <v/>
      </c>
      <c r="AV2968">
        <f>HYPERLINK("http://www.worldcat.org/oclc/7653130","WorldCat Record")</f>
        <v/>
      </c>
      <c r="AW2968" t="inlineStr">
        <is>
          <t>4820411113:eng</t>
        </is>
      </c>
      <c r="AX2968" t="inlineStr">
        <is>
          <t>7653130</t>
        </is>
      </c>
      <c r="AY2968" t="inlineStr">
        <is>
          <t>991005144249702656</t>
        </is>
      </c>
      <c r="AZ2968" t="inlineStr">
        <is>
          <t>991005144249702656</t>
        </is>
      </c>
      <c r="BA2968" t="inlineStr">
        <is>
          <t>2258720330002656</t>
        </is>
      </c>
      <c r="BB2968" t="inlineStr">
        <is>
          <t>BOOK</t>
        </is>
      </c>
      <c r="BD2968" t="inlineStr">
        <is>
          <t>9780805768176</t>
        </is>
      </c>
      <c r="BE2968" t="inlineStr">
        <is>
          <t>32285000184092</t>
        </is>
      </c>
      <c r="BF2968" t="inlineStr">
        <is>
          <t>893783089</t>
        </is>
      </c>
    </row>
    <row r="2969">
      <c r="A2969" t="inlineStr">
        <is>
          <t>No</t>
        </is>
      </c>
      <c r="B2969" t="inlineStr">
        <is>
          <t>CURAL</t>
        </is>
      </c>
      <c r="C2969" t="inlineStr">
        <is>
          <t>SHELVES</t>
        </is>
      </c>
      <c r="D2969" t="inlineStr">
        <is>
          <t>PR6011.O58 Z832 1988</t>
        </is>
      </c>
      <c r="E2969" t="inlineStr">
        <is>
          <t>0                      PR 6011000O  58                 Z  832         1988</t>
        </is>
      </c>
      <c r="F2969" t="inlineStr">
        <is>
          <t>E.M. Forster / Norman Page.</t>
        </is>
      </c>
      <c r="H2969" t="inlineStr">
        <is>
          <t>No</t>
        </is>
      </c>
      <c r="I2969" t="inlineStr">
        <is>
          <t>1</t>
        </is>
      </c>
      <c r="J2969" t="inlineStr">
        <is>
          <t>No</t>
        </is>
      </c>
      <c r="K2969" t="inlineStr">
        <is>
          <t>No</t>
        </is>
      </c>
      <c r="L2969" t="inlineStr">
        <is>
          <t>0</t>
        </is>
      </c>
      <c r="M2969" t="inlineStr">
        <is>
          <t>Page, Norman.</t>
        </is>
      </c>
      <c r="N2969" t="inlineStr">
        <is>
          <t>New York : St. Martin's Press, 1988, c1987.</t>
        </is>
      </c>
      <c r="O2969" t="inlineStr">
        <is>
          <t>1988</t>
        </is>
      </c>
      <c r="Q2969" t="inlineStr">
        <is>
          <t>eng</t>
        </is>
      </c>
      <c r="R2969" t="inlineStr">
        <is>
          <t>nyu</t>
        </is>
      </c>
      <c r="S2969" t="inlineStr">
        <is>
          <t>Modern novelists</t>
        </is>
      </c>
      <c r="T2969" t="inlineStr">
        <is>
          <t xml:space="preserve">PR </t>
        </is>
      </c>
      <c r="U2969" t="n">
        <v>6</v>
      </c>
      <c r="V2969" t="n">
        <v>6</v>
      </c>
      <c r="W2969" t="inlineStr">
        <is>
          <t>1995-03-23</t>
        </is>
      </c>
      <c r="X2969" t="inlineStr">
        <is>
          <t>1995-03-23</t>
        </is>
      </c>
      <c r="Y2969" t="inlineStr">
        <is>
          <t>1990-03-15</t>
        </is>
      </c>
      <c r="Z2969" t="inlineStr">
        <is>
          <t>1990-03-15</t>
        </is>
      </c>
      <c r="AA2969" t="n">
        <v>356</v>
      </c>
      <c r="AB2969" t="n">
        <v>321</v>
      </c>
      <c r="AC2969" t="n">
        <v>417</v>
      </c>
      <c r="AD2969" t="n">
        <v>1</v>
      </c>
      <c r="AE2969" t="n">
        <v>3</v>
      </c>
      <c r="AF2969" t="n">
        <v>10</v>
      </c>
      <c r="AG2969" t="n">
        <v>16</v>
      </c>
      <c r="AH2969" t="n">
        <v>5</v>
      </c>
      <c r="AI2969" t="n">
        <v>5</v>
      </c>
      <c r="AJ2969" t="n">
        <v>2</v>
      </c>
      <c r="AK2969" t="n">
        <v>4</v>
      </c>
      <c r="AL2969" t="n">
        <v>7</v>
      </c>
      <c r="AM2969" t="n">
        <v>11</v>
      </c>
      <c r="AN2969" t="n">
        <v>0</v>
      </c>
      <c r="AO2969" t="n">
        <v>2</v>
      </c>
      <c r="AP2969" t="n">
        <v>0</v>
      </c>
      <c r="AQ2969" t="n">
        <v>0</v>
      </c>
      <c r="AR2969" t="inlineStr">
        <is>
          <t>No</t>
        </is>
      </c>
      <c r="AS2969" t="inlineStr">
        <is>
          <t>No</t>
        </is>
      </c>
      <c r="AU2969">
        <f>HYPERLINK("https://creighton-primo.hosted.exlibrisgroup.com/primo-explore/search?tab=default_tab&amp;search_scope=EVERYTHING&amp;vid=01CRU&amp;lang=en_US&amp;offset=0&amp;query=any,contains,991001241499702656","Catalog Record")</f>
        <v/>
      </c>
      <c r="AV2969">
        <f>HYPERLINK("http://www.worldcat.org/oclc/17620108","WorldCat Record")</f>
        <v/>
      </c>
      <c r="AW2969" t="inlineStr">
        <is>
          <t>4798576063:eng</t>
        </is>
      </c>
      <c r="AX2969" t="inlineStr">
        <is>
          <t>17620108</t>
        </is>
      </c>
      <c r="AY2969" t="inlineStr">
        <is>
          <t>991001241499702656</t>
        </is>
      </c>
      <c r="AZ2969" t="inlineStr">
        <is>
          <t>991001241499702656</t>
        </is>
      </c>
      <c r="BA2969" t="inlineStr">
        <is>
          <t>2261602030002656</t>
        </is>
      </c>
      <c r="BB2969" t="inlineStr">
        <is>
          <t>BOOK</t>
        </is>
      </c>
      <c r="BD2969" t="inlineStr">
        <is>
          <t>9780312020910</t>
        </is>
      </c>
      <c r="BE2969" t="inlineStr">
        <is>
          <t>32285000063726</t>
        </is>
      </c>
      <c r="BF2969" t="inlineStr">
        <is>
          <t>893438995</t>
        </is>
      </c>
    </row>
    <row r="2970">
      <c r="A2970" t="inlineStr">
        <is>
          <t>No</t>
        </is>
      </c>
      <c r="B2970" t="inlineStr">
        <is>
          <t>CURAL</t>
        </is>
      </c>
      <c r="C2970" t="inlineStr">
        <is>
          <t>SHELVES</t>
        </is>
      </c>
      <c r="D2970" t="inlineStr">
        <is>
          <t>PR6011.O58 Z8415 2004</t>
        </is>
      </c>
      <c r="E2970" t="inlineStr">
        <is>
          <t>0                      PR 6011000O  58                 Z  8415        2004</t>
        </is>
      </c>
      <c r="F2970" t="inlineStr">
        <is>
          <t>E.M. Forster and the politics of imperialism / Mohammad Shaheen.</t>
        </is>
      </c>
      <c r="H2970" t="inlineStr">
        <is>
          <t>No</t>
        </is>
      </c>
      <c r="I2970" t="inlineStr">
        <is>
          <t>1</t>
        </is>
      </c>
      <c r="J2970" t="inlineStr">
        <is>
          <t>No</t>
        </is>
      </c>
      <c r="K2970" t="inlineStr">
        <is>
          <t>No</t>
        </is>
      </c>
      <c r="L2970" t="inlineStr">
        <is>
          <t>0</t>
        </is>
      </c>
      <c r="M2970" t="inlineStr">
        <is>
          <t>Shāhīn, Muḥammad.</t>
        </is>
      </c>
      <c r="N2970" t="inlineStr">
        <is>
          <t>Houndmills, Basingstoke, Hampshire ; New York : Palgrave Macmillan, 2004.</t>
        </is>
      </c>
      <c r="O2970" t="inlineStr">
        <is>
          <t>2004</t>
        </is>
      </c>
      <c r="Q2970" t="inlineStr">
        <is>
          <t>eng</t>
        </is>
      </c>
      <c r="R2970" t="inlineStr">
        <is>
          <t>nyu</t>
        </is>
      </c>
      <c r="T2970" t="inlineStr">
        <is>
          <t xml:space="preserve">PR </t>
        </is>
      </c>
      <c r="U2970" t="n">
        <v>1</v>
      </c>
      <c r="V2970" t="n">
        <v>1</v>
      </c>
      <c r="W2970" t="inlineStr">
        <is>
          <t>2005-12-05</t>
        </is>
      </c>
      <c r="X2970" t="inlineStr">
        <is>
          <t>2005-12-05</t>
        </is>
      </c>
      <c r="Y2970" t="inlineStr">
        <is>
          <t>2005-12-05</t>
        </is>
      </c>
      <c r="Z2970" t="inlineStr">
        <is>
          <t>2005-12-05</t>
        </is>
      </c>
      <c r="AA2970" t="n">
        <v>398</v>
      </c>
      <c r="AB2970" t="n">
        <v>323</v>
      </c>
      <c r="AC2970" t="n">
        <v>343</v>
      </c>
      <c r="AD2970" t="n">
        <v>2</v>
      </c>
      <c r="AE2970" t="n">
        <v>2</v>
      </c>
      <c r="AF2970" t="n">
        <v>19</v>
      </c>
      <c r="AG2970" t="n">
        <v>19</v>
      </c>
      <c r="AH2970" t="n">
        <v>9</v>
      </c>
      <c r="AI2970" t="n">
        <v>9</v>
      </c>
      <c r="AJ2970" t="n">
        <v>5</v>
      </c>
      <c r="AK2970" t="n">
        <v>5</v>
      </c>
      <c r="AL2970" t="n">
        <v>10</v>
      </c>
      <c r="AM2970" t="n">
        <v>10</v>
      </c>
      <c r="AN2970" t="n">
        <v>1</v>
      </c>
      <c r="AO2970" t="n">
        <v>1</v>
      </c>
      <c r="AP2970" t="n">
        <v>0</v>
      </c>
      <c r="AQ2970" t="n">
        <v>0</v>
      </c>
      <c r="AR2970" t="inlineStr">
        <is>
          <t>No</t>
        </is>
      </c>
      <c r="AS2970" t="inlineStr">
        <is>
          <t>No</t>
        </is>
      </c>
      <c r="AU2970">
        <f>HYPERLINK("https://creighton-primo.hosted.exlibrisgroup.com/primo-explore/search?tab=default_tab&amp;search_scope=EVERYTHING&amp;vid=01CRU&amp;lang=en_US&amp;offset=0&amp;query=any,contains,991004501629702656","Catalog Record")</f>
        <v/>
      </c>
      <c r="AV2970">
        <f>HYPERLINK("http://www.worldcat.org/oclc/52853020","WorldCat Record")</f>
        <v/>
      </c>
      <c r="AW2970" t="inlineStr">
        <is>
          <t>681328:eng</t>
        </is>
      </c>
      <c r="AX2970" t="inlineStr">
        <is>
          <t>52853020</t>
        </is>
      </c>
      <c r="AY2970" t="inlineStr">
        <is>
          <t>991004501629702656</t>
        </is>
      </c>
      <c r="AZ2970" t="inlineStr">
        <is>
          <t>991004501629702656</t>
        </is>
      </c>
      <c r="BA2970" t="inlineStr">
        <is>
          <t>2261249120002656</t>
        </is>
      </c>
      <c r="BB2970" t="inlineStr">
        <is>
          <t>BOOK</t>
        </is>
      </c>
      <c r="BD2970" t="inlineStr">
        <is>
          <t>9780333741368</t>
        </is>
      </c>
      <c r="BE2970" t="inlineStr">
        <is>
          <t>32285005150981</t>
        </is>
      </c>
      <c r="BF2970" t="inlineStr">
        <is>
          <t>893807145</t>
        </is>
      </c>
    </row>
    <row r="2971">
      <c r="A2971" t="inlineStr">
        <is>
          <t>No</t>
        </is>
      </c>
      <c r="B2971" t="inlineStr">
        <is>
          <t>CURAL</t>
        </is>
      </c>
      <c r="C2971" t="inlineStr">
        <is>
          <t>SHELVES</t>
        </is>
      </c>
      <c r="D2971" t="inlineStr">
        <is>
          <t>PR6011.O58 Z8464 1983</t>
        </is>
      </c>
      <c r="E2971" t="inlineStr">
        <is>
          <t>0                      PR 6011000O  58                 Z  8464        1983</t>
        </is>
      </c>
      <c r="F2971" t="inlineStr">
        <is>
          <t>E.M. Forster / Claude J. Summers.</t>
        </is>
      </c>
      <c r="H2971" t="inlineStr">
        <is>
          <t>No</t>
        </is>
      </c>
      <c r="I2971" t="inlineStr">
        <is>
          <t>1</t>
        </is>
      </c>
      <c r="J2971" t="inlineStr">
        <is>
          <t>No</t>
        </is>
      </c>
      <c r="K2971" t="inlineStr">
        <is>
          <t>No</t>
        </is>
      </c>
      <c r="L2971" t="inlineStr">
        <is>
          <t>0</t>
        </is>
      </c>
      <c r="M2971" t="inlineStr">
        <is>
          <t>Summers, Claude J.</t>
        </is>
      </c>
      <c r="N2971" t="inlineStr">
        <is>
          <t>New York : Ungar, c1983.</t>
        </is>
      </c>
      <c r="O2971" t="inlineStr">
        <is>
          <t>1983</t>
        </is>
      </c>
      <c r="Q2971" t="inlineStr">
        <is>
          <t>eng</t>
        </is>
      </c>
      <c r="R2971" t="inlineStr">
        <is>
          <t>nyu</t>
        </is>
      </c>
      <c r="S2971" t="inlineStr">
        <is>
          <t>Literature and life series</t>
        </is>
      </c>
      <c r="T2971" t="inlineStr">
        <is>
          <t xml:space="preserve">PR </t>
        </is>
      </c>
      <c r="U2971" t="n">
        <v>3</v>
      </c>
      <c r="V2971" t="n">
        <v>3</v>
      </c>
      <c r="W2971" t="inlineStr">
        <is>
          <t>1993-09-12</t>
        </is>
      </c>
      <c r="X2971" t="inlineStr">
        <is>
          <t>1993-09-12</t>
        </is>
      </c>
      <c r="Y2971" t="inlineStr">
        <is>
          <t>1992-07-03</t>
        </is>
      </c>
      <c r="Z2971" t="inlineStr">
        <is>
          <t>1992-07-03</t>
        </is>
      </c>
      <c r="AA2971" t="n">
        <v>1016</v>
      </c>
      <c r="AB2971" t="n">
        <v>908</v>
      </c>
      <c r="AC2971" t="n">
        <v>944</v>
      </c>
      <c r="AD2971" t="n">
        <v>10</v>
      </c>
      <c r="AE2971" t="n">
        <v>10</v>
      </c>
      <c r="AF2971" t="n">
        <v>38</v>
      </c>
      <c r="AG2971" t="n">
        <v>38</v>
      </c>
      <c r="AH2971" t="n">
        <v>15</v>
      </c>
      <c r="AI2971" t="n">
        <v>15</v>
      </c>
      <c r="AJ2971" t="n">
        <v>7</v>
      </c>
      <c r="AK2971" t="n">
        <v>7</v>
      </c>
      <c r="AL2971" t="n">
        <v>17</v>
      </c>
      <c r="AM2971" t="n">
        <v>17</v>
      </c>
      <c r="AN2971" t="n">
        <v>9</v>
      </c>
      <c r="AO2971" t="n">
        <v>9</v>
      </c>
      <c r="AP2971" t="n">
        <v>0</v>
      </c>
      <c r="AQ2971" t="n">
        <v>0</v>
      </c>
      <c r="AR2971" t="inlineStr">
        <is>
          <t>No</t>
        </is>
      </c>
      <c r="AS2971" t="inlineStr">
        <is>
          <t>No</t>
        </is>
      </c>
      <c r="AU2971">
        <f>HYPERLINK("https://creighton-primo.hosted.exlibrisgroup.com/primo-explore/search?tab=default_tab&amp;search_scope=EVERYTHING&amp;vid=01CRU&amp;lang=en_US&amp;offset=0&amp;query=any,contains,991000232359702656","Catalog Record")</f>
        <v/>
      </c>
      <c r="AV2971">
        <f>HYPERLINK("http://www.worldcat.org/oclc/9644750","WorldCat Record")</f>
        <v/>
      </c>
      <c r="AW2971" t="inlineStr">
        <is>
          <t>7594140:eng</t>
        </is>
      </c>
      <c r="AX2971" t="inlineStr">
        <is>
          <t>9644750</t>
        </is>
      </c>
      <c r="AY2971" t="inlineStr">
        <is>
          <t>991000232359702656</t>
        </is>
      </c>
      <c r="AZ2971" t="inlineStr">
        <is>
          <t>991000232359702656</t>
        </is>
      </c>
      <c r="BA2971" t="inlineStr">
        <is>
          <t>2267467410002656</t>
        </is>
      </c>
      <c r="BB2971" t="inlineStr">
        <is>
          <t>BOOK</t>
        </is>
      </c>
      <c r="BD2971" t="inlineStr">
        <is>
          <t>9780804428491</t>
        </is>
      </c>
      <c r="BE2971" t="inlineStr">
        <is>
          <t>32285001148021</t>
        </is>
      </c>
      <c r="BF2971" t="inlineStr">
        <is>
          <t>893808644</t>
        </is>
      </c>
    </row>
    <row r="2972">
      <c r="A2972" t="inlineStr">
        <is>
          <t>No</t>
        </is>
      </c>
      <c r="B2972" t="inlineStr">
        <is>
          <t>CURAL</t>
        </is>
      </c>
      <c r="C2972" t="inlineStr">
        <is>
          <t>SHELVES</t>
        </is>
      </c>
      <c r="D2972" t="inlineStr">
        <is>
          <t>PR6011.O58 Z85 1965</t>
        </is>
      </c>
      <c r="E2972" t="inlineStr">
        <is>
          <t>0                      PR 6011000O  58                 Z  85          1965</t>
        </is>
      </c>
      <c r="F2972" t="inlineStr">
        <is>
          <t>E.M. Forster.</t>
        </is>
      </c>
      <c r="H2972" t="inlineStr">
        <is>
          <t>No</t>
        </is>
      </c>
      <c r="I2972" t="inlineStr">
        <is>
          <t>1</t>
        </is>
      </c>
      <c r="J2972" t="inlineStr">
        <is>
          <t>No</t>
        </is>
      </c>
      <c r="K2972" t="inlineStr">
        <is>
          <t>Yes</t>
        </is>
      </c>
      <c r="L2972" t="inlineStr">
        <is>
          <t>0</t>
        </is>
      </c>
      <c r="M2972" t="inlineStr">
        <is>
          <t>Trilling, Lionel, 1905-1975.</t>
        </is>
      </c>
      <c r="N2972" t="inlineStr">
        <is>
          <t>New York, New Directions Pub. Corp., 1965, c1964]</t>
        </is>
      </c>
      <c r="O2972" t="inlineStr">
        <is>
          <t>1965</t>
        </is>
      </c>
      <c r="P2972" t="inlineStr">
        <is>
          <t>[2d rev. ed.</t>
        </is>
      </c>
      <c r="Q2972" t="inlineStr">
        <is>
          <t>eng</t>
        </is>
      </c>
      <c r="R2972" t="inlineStr">
        <is>
          <t>nyu</t>
        </is>
      </c>
      <c r="S2972" t="inlineStr">
        <is>
          <t>A New Directions paperbook, NDP189</t>
        </is>
      </c>
      <c r="T2972" t="inlineStr">
        <is>
          <t xml:space="preserve">PR </t>
        </is>
      </c>
      <c r="U2972" t="n">
        <v>1</v>
      </c>
      <c r="V2972" t="n">
        <v>1</v>
      </c>
      <c r="W2972" t="inlineStr">
        <is>
          <t>2007-10-24</t>
        </is>
      </c>
      <c r="X2972" t="inlineStr">
        <is>
          <t>2007-10-24</t>
        </is>
      </c>
      <c r="Y2972" t="inlineStr">
        <is>
          <t>1997-04-07</t>
        </is>
      </c>
      <c r="Z2972" t="inlineStr">
        <is>
          <t>1997-04-07</t>
        </is>
      </c>
      <c r="AA2972" t="n">
        <v>481</v>
      </c>
      <c r="AB2972" t="n">
        <v>461</v>
      </c>
      <c r="AC2972" t="n">
        <v>1147</v>
      </c>
      <c r="AD2972" t="n">
        <v>4</v>
      </c>
      <c r="AE2972" t="n">
        <v>8</v>
      </c>
      <c r="AF2972" t="n">
        <v>24</v>
      </c>
      <c r="AG2972" t="n">
        <v>47</v>
      </c>
      <c r="AH2972" t="n">
        <v>8</v>
      </c>
      <c r="AI2972" t="n">
        <v>19</v>
      </c>
      <c r="AJ2972" t="n">
        <v>4</v>
      </c>
      <c r="AK2972" t="n">
        <v>10</v>
      </c>
      <c r="AL2972" t="n">
        <v>13</v>
      </c>
      <c r="AM2972" t="n">
        <v>23</v>
      </c>
      <c r="AN2972" t="n">
        <v>3</v>
      </c>
      <c r="AO2972" t="n">
        <v>7</v>
      </c>
      <c r="AP2972" t="n">
        <v>0</v>
      </c>
      <c r="AQ2972" t="n">
        <v>0</v>
      </c>
      <c r="AR2972" t="inlineStr">
        <is>
          <t>No</t>
        </is>
      </c>
      <c r="AS2972" t="inlineStr">
        <is>
          <t>No</t>
        </is>
      </c>
      <c r="AU2972">
        <f>HYPERLINK("https://creighton-primo.hosted.exlibrisgroup.com/primo-explore/search?tab=default_tab&amp;search_scope=EVERYTHING&amp;vid=01CRU&amp;lang=en_US&amp;offset=0&amp;query=any,contains,991004213429702656","Catalog Record")</f>
        <v/>
      </c>
      <c r="AV2972">
        <f>HYPERLINK("http://www.worldcat.org/oclc/2690837","WorldCat Record")</f>
        <v/>
      </c>
      <c r="AW2972" t="inlineStr">
        <is>
          <t>413257:eng</t>
        </is>
      </c>
      <c r="AX2972" t="inlineStr">
        <is>
          <t>2690837</t>
        </is>
      </c>
      <c r="AY2972" t="inlineStr">
        <is>
          <t>991004213429702656</t>
        </is>
      </c>
      <c r="AZ2972" t="inlineStr">
        <is>
          <t>991004213429702656</t>
        </is>
      </c>
      <c r="BA2972" t="inlineStr">
        <is>
          <t>2270992380002656</t>
        </is>
      </c>
      <c r="BB2972" t="inlineStr">
        <is>
          <t>BOOK</t>
        </is>
      </c>
      <c r="BE2972" t="inlineStr">
        <is>
          <t>32285002525391</t>
        </is>
      </c>
      <c r="BF2972" t="inlineStr">
        <is>
          <t>893241161</t>
        </is>
      </c>
    </row>
    <row r="2973">
      <c r="A2973" t="inlineStr">
        <is>
          <t>No</t>
        </is>
      </c>
      <c r="B2973" t="inlineStr">
        <is>
          <t>CURAL</t>
        </is>
      </c>
      <c r="C2973" t="inlineStr">
        <is>
          <t>SHELVES</t>
        </is>
      </c>
      <c r="D2973" t="inlineStr">
        <is>
          <t>PR6011.O76 Z664 1978a</t>
        </is>
      </c>
      <c r="E2973" t="inlineStr">
        <is>
          <t>0                      PR 6011000O  76                 Z  664         1978a</t>
        </is>
      </c>
      <c r="F2973" t="inlineStr">
        <is>
          <t>E. M. Forster and his world / Francis King. --</t>
        </is>
      </c>
      <c r="H2973" t="inlineStr">
        <is>
          <t>No</t>
        </is>
      </c>
      <c r="I2973" t="inlineStr">
        <is>
          <t>1</t>
        </is>
      </c>
      <c r="J2973" t="inlineStr">
        <is>
          <t>No</t>
        </is>
      </c>
      <c r="K2973" t="inlineStr">
        <is>
          <t>No</t>
        </is>
      </c>
      <c r="L2973" t="inlineStr">
        <is>
          <t>0</t>
        </is>
      </c>
      <c r="M2973" t="inlineStr">
        <is>
          <t>King, Francis.</t>
        </is>
      </c>
      <c r="N2973" t="inlineStr">
        <is>
          <t>New York : Charles Scribner's sons, 1978.</t>
        </is>
      </c>
      <c r="O2973" t="inlineStr">
        <is>
          <t>1978</t>
        </is>
      </c>
      <c r="Q2973" t="inlineStr">
        <is>
          <t>eng</t>
        </is>
      </c>
      <c r="R2973" t="inlineStr">
        <is>
          <t>nyu</t>
        </is>
      </c>
      <c r="T2973" t="inlineStr">
        <is>
          <t xml:space="preserve">PR </t>
        </is>
      </c>
      <c r="U2973" t="n">
        <v>4</v>
      </c>
      <c r="V2973" t="n">
        <v>4</v>
      </c>
      <c r="W2973" t="inlineStr">
        <is>
          <t>1995-03-23</t>
        </is>
      </c>
      <c r="X2973" t="inlineStr">
        <is>
          <t>1995-03-23</t>
        </is>
      </c>
      <c r="Y2973" t="inlineStr">
        <is>
          <t>1991-12-30</t>
        </is>
      </c>
      <c r="Z2973" t="inlineStr">
        <is>
          <t>1991-12-30</t>
        </is>
      </c>
      <c r="AA2973" t="n">
        <v>635</v>
      </c>
      <c r="AB2973" t="n">
        <v>608</v>
      </c>
      <c r="AC2973" t="n">
        <v>689</v>
      </c>
      <c r="AD2973" t="n">
        <v>3</v>
      </c>
      <c r="AE2973" t="n">
        <v>5</v>
      </c>
      <c r="AF2973" t="n">
        <v>22</v>
      </c>
      <c r="AG2973" t="n">
        <v>26</v>
      </c>
      <c r="AH2973" t="n">
        <v>11</v>
      </c>
      <c r="AI2973" t="n">
        <v>11</v>
      </c>
      <c r="AJ2973" t="n">
        <v>8</v>
      </c>
      <c r="AK2973" t="n">
        <v>9</v>
      </c>
      <c r="AL2973" t="n">
        <v>11</v>
      </c>
      <c r="AM2973" t="n">
        <v>13</v>
      </c>
      <c r="AN2973" t="n">
        <v>2</v>
      </c>
      <c r="AO2973" t="n">
        <v>4</v>
      </c>
      <c r="AP2973" t="n">
        <v>0</v>
      </c>
      <c r="AQ2973" t="n">
        <v>0</v>
      </c>
      <c r="AR2973" t="inlineStr">
        <is>
          <t>No</t>
        </is>
      </c>
      <c r="AS2973" t="inlineStr">
        <is>
          <t>No</t>
        </is>
      </c>
      <c r="AU2973">
        <f>HYPERLINK("https://creighton-primo.hosted.exlibrisgroup.com/primo-explore/search?tab=default_tab&amp;search_scope=EVERYTHING&amp;vid=01CRU&amp;lang=en_US&amp;offset=0&amp;query=any,contains,991004618419702656","Catalog Record")</f>
        <v/>
      </c>
      <c r="AV2973">
        <f>HYPERLINK("http://www.worldcat.org/oclc/4275983","WorldCat Record")</f>
        <v/>
      </c>
      <c r="AW2973" t="inlineStr">
        <is>
          <t>26726736:eng</t>
        </is>
      </c>
      <c r="AX2973" t="inlineStr">
        <is>
          <t>4275983</t>
        </is>
      </c>
      <c r="AY2973" t="inlineStr">
        <is>
          <t>991004618419702656</t>
        </is>
      </c>
      <c r="AZ2973" t="inlineStr">
        <is>
          <t>991004618419702656</t>
        </is>
      </c>
      <c r="BA2973" t="inlineStr">
        <is>
          <t>2254895590002656</t>
        </is>
      </c>
      <c r="BB2973" t="inlineStr">
        <is>
          <t>BOOK</t>
        </is>
      </c>
      <c r="BD2973" t="inlineStr">
        <is>
          <t>9780684158686</t>
        </is>
      </c>
      <c r="BE2973" t="inlineStr">
        <is>
          <t>32285000881705</t>
        </is>
      </c>
      <c r="BF2973" t="inlineStr">
        <is>
          <t>893241651</t>
        </is>
      </c>
    </row>
    <row r="2974">
      <c r="A2974" t="inlineStr">
        <is>
          <t>No</t>
        </is>
      </c>
      <c r="B2974" t="inlineStr">
        <is>
          <t>CURAL</t>
        </is>
      </c>
      <c r="C2974" t="inlineStr">
        <is>
          <t>SHELVES</t>
        </is>
      </c>
      <c r="D2974" t="inlineStr">
        <is>
          <t>PR6011.U55 Z55</t>
        </is>
      </c>
      <c r="E2974" t="inlineStr">
        <is>
          <t>0                      PR 6011000U  55                 Z  55</t>
        </is>
      </c>
      <c r="F2974" t="inlineStr">
        <is>
          <t>Roy Fuller / by Allan E. Austin.</t>
        </is>
      </c>
      <c r="H2974" t="inlineStr">
        <is>
          <t>No</t>
        </is>
      </c>
      <c r="I2974" t="inlineStr">
        <is>
          <t>1</t>
        </is>
      </c>
      <c r="J2974" t="inlineStr">
        <is>
          <t>No</t>
        </is>
      </c>
      <c r="K2974" t="inlineStr">
        <is>
          <t>No</t>
        </is>
      </c>
      <c r="L2974" t="inlineStr">
        <is>
          <t>0</t>
        </is>
      </c>
      <c r="M2974" t="inlineStr">
        <is>
          <t>Austin, Allan E.</t>
        </is>
      </c>
      <c r="N2974" t="inlineStr">
        <is>
          <t>Boston : Twayne Publishers, 1979.</t>
        </is>
      </c>
      <c r="O2974" t="inlineStr">
        <is>
          <t>1979</t>
        </is>
      </c>
      <c r="Q2974" t="inlineStr">
        <is>
          <t>eng</t>
        </is>
      </c>
      <c r="R2974" t="inlineStr">
        <is>
          <t>mau</t>
        </is>
      </c>
      <c r="S2974" t="inlineStr">
        <is>
          <t>Twayne's English authors series ; TEAS 253</t>
        </is>
      </c>
      <c r="T2974" t="inlineStr">
        <is>
          <t xml:space="preserve">PR </t>
        </is>
      </c>
      <c r="U2974" t="n">
        <v>1</v>
      </c>
      <c r="V2974" t="n">
        <v>1</v>
      </c>
      <c r="W2974" t="inlineStr">
        <is>
          <t>1992-04-18</t>
        </is>
      </c>
      <c r="X2974" t="inlineStr">
        <is>
          <t>1992-04-18</t>
        </is>
      </c>
      <c r="Y2974" t="inlineStr">
        <is>
          <t>1992-01-21</t>
        </is>
      </c>
      <c r="Z2974" t="inlineStr">
        <is>
          <t>1992-01-21</t>
        </is>
      </c>
      <c r="AA2974" t="n">
        <v>569</v>
      </c>
      <c r="AB2974" t="n">
        <v>496</v>
      </c>
      <c r="AC2974" t="n">
        <v>510</v>
      </c>
      <c r="AD2974" t="n">
        <v>6</v>
      </c>
      <c r="AE2974" t="n">
        <v>6</v>
      </c>
      <c r="AF2974" t="n">
        <v>24</v>
      </c>
      <c r="AG2974" t="n">
        <v>25</v>
      </c>
      <c r="AH2974" t="n">
        <v>7</v>
      </c>
      <c r="AI2974" t="n">
        <v>8</v>
      </c>
      <c r="AJ2974" t="n">
        <v>5</v>
      </c>
      <c r="AK2974" t="n">
        <v>5</v>
      </c>
      <c r="AL2974" t="n">
        <v>13</v>
      </c>
      <c r="AM2974" t="n">
        <v>13</v>
      </c>
      <c r="AN2974" t="n">
        <v>5</v>
      </c>
      <c r="AO2974" t="n">
        <v>5</v>
      </c>
      <c r="AP2974" t="n">
        <v>0</v>
      </c>
      <c r="AQ2974" t="n">
        <v>0</v>
      </c>
      <c r="AR2974" t="inlineStr">
        <is>
          <t>No</t>
        </is>
      </c>
      <c r="AS2974" t="inlineStr">
        <is>
          <t>Yes</t>
        </is>
      </c>
      <c r="AT2974">
        <f>HYPERLINK("http://catalog.hathitrust.org/Record/000256748","HathiTrust Record")</f>
        <v/>
      </c>
      <c r="AU2974">
        <f>HYPERLINK("https://creighton-primo.hosted.exlibrisgroup.com/primo-explore/search?tab=default_tab&amp;search_scope=EVERYTHING&amp;vid=01CRU&amp;lang=en_US&amp;offset=0&amp;query=any,contains,991004662309702656","Catalog Record")</f>
        <v/>
      </c>
      <c r="AV2974">
        <f>HYPERLINK("http://www.worldcat.org/oclc/4497672","WorldCat Record")</f>
        <v/>
      </c>
      <c r="AW2974" t="inlineStr">
        <is>
          <t>14779286:eng</t>
        </is>
      </c>
      <c r="AX2974" t="inlineStr">
        <is>
          <t>4497672</t>
        </is>
      </c>
      <c r="AY2974" t="inlineStr">
        <is>
          <t>991004662309702656</t>
        </is>
      </c>
      <c r="AZ2974" t="inlineStr">
        <is>
          <t>991004662309702656</t>
        </is>
      </c>
      <c r="BA2974" t="inlineStr">
        <is>
          <t>2266779090002656</t>
        </is>
      </c>
      <c r="BB2974" t="inlineStr">
        <is>
          <t>BOOK</t>
        </is>
      </c>
      <c r="BD2974" t="inlineStr">
        <is>
          <t>9780805767438</t>
        </is>
      </c>
      <c r="BE2974" t="inlineStr">
        <is>
          <t>32285000916956</t>
        </is>
      </c>
      <c r="BF2974" t="inlineStr">
        <is>
          <t>893776273</t>
        </is>
      </c>
    </row>
    <row r="2975">
      <c r="A2975" t="inlineStr">
        <is>
          <t>No</t>
        </is>
      </c>
      <c r="B2975" t="inlineStr">
        <is>
          <t>CURAL</t>
        </is>
      </c>
      <c r="C2975" t="inlineStr">
        <is>
          <t>SHELVES</t>
        </is>
      </c>
      <c r="D2975" t="inlineStr">
        <is>
          <t>PR6013.O28 Z75 1976</t>
        </is>
      </c>
      <c r="E2975" t="inlineStr">
        <is>
          <t>0                      PR 6013000O  28                 Z  75          1976</t>
        </is>
      </c>
      <c r="F2975" t="inlineStr">
        <is>
          <t>Oliver St. John Gogarty / J. B. Lyons.</t>
        </is>
      </c>
      <c r="H2975" t="inlineStr">
        <is>
          <t>No</t>
        </is>
      </c>
      <c r="I2975" t="inlineStr">
        <is>
          <t>1</t>
        </is>
      </c>
      <c r="J2975" t="inlineStr">
        <is>
          <t>No</t>
        </is>
      </c>
      <c r="K2975" t="inlineStr">
        <is>
          <t>No</t>
        </is>
      </c>
      <c r="L2975" t="inlineStr">
        <is>
          <t>0</t>
        </is>
      </c>
      <c r="M2975" t="inlineStr">
        <is>
          <t>Lyons, J. B. (John Benignus)</t>
        </is>
      </c>
      <c r="N2975" t="inlineStr">
        <is>
          <t>Lewisburg [Pa.] : Bucknell University Press, c1976.</t>
        </is>
      </c>
      <c r="O2975" t="inlineStr">
        <is>
          <t>1976</t>
        </is>
      </c>
      <c r="Q2975" t="inlineStr">
        <is>
          <t>eng</t>
        </is>
      </c>
      <c r="R2975" t="inlineStr">
        <is>
          <t>pau</t>
        </is>
      </c>
      <c r="S2975" t="inlineStr">
        <is>
          <t>The Irish writers series</t>
        </is>
      </c>
      <c r="T2975" t="inlineStr">
        <is>
          <t xml:space="preserve">PR </t>
        </is>
      </c>
      <c r="U2975" t="n">
        <v>6</v>
      </c>
      <c r="V2975" t="n">
        <v>6</v>
      </c>
      <c r="W2975" t="inlineStr">
        <is>
          <t>2007-05-09</t>
        </is>
      </c>
      <c r="X2975" t="inlineStr">
        <is>
          <t>2007-05-09</t>
        </is>
      </c>
      <c r="Y2975" t="inlineStr">
        <is>
          <t>1992-07-03</t>
        </is>
      </c>
      <c r="Z2975" t="inlineStr">
        <is>
          <t>1992-07-03</t>
        </is>
      </c>
      <c r="AA2975" t="n">
        <v>434</v>
      </c>
      <c r="AB2975" t="n">
        <v>352</v>
      </c>
      <c r="AC2975" t="n">
        <v>402</v>
      </c>
      <c r="AD2975" t="n">
        <v>5</v>
      </c>
      <c r="AE2975" t="n">
        <v>5</v>
      </c>
      <c r="AF2975" t="n">
        <v>25</v>
      </c>
      <c r="AG2975" t="n">
        <v>29</v>
      </c>
      <c r="AH2975" t="n">
        <v>9</v>
      </c>
      <c r="AI2975" t="n">
        <v>9</v>
      </c>
      <c r="AJ2975" t="n">
        <v>7</v>
      </c>
      <c r="AK2975" t="n">
        <v>9</v>
      </c>
      <c r="AL2975" t="n">
        <v>12</v>
      </c>
      <c r="AM2975" t="n">
        <v>15</v>
      </c>
      <c r="AN2975" t="n">
        <v>4</v>
      </c>
      <c r="AO2975" t="n">
        <v>4</v>
      </c>
      <c r="AP2975" t="n">
        <v>0</v>
      </c>
      <c r="AQ2975" t="n">
        <v>0</v>
      </c>
      <c r="AR2975" t="inlineStr">
        <is>
          <t>No</t>
        </is>
      </c>
      <c r="AS2975" t="inlineStr">
        <is>
          <t>Yes</t>
        </is>
      </c>
      <c r="AT2975">
        <f>HYPERLINK("http://catalog.hathitrust.org/Record/000032904","HathiTrust Record")</f>
        <v/>
      </c>
      <c r="AU2975">
        <f>HYPERLINK("https://creighton-primo.hosted.exlibrisgroup.com/primo-explore/search?tab=default_tab&amp;search_scope=EVERYTHING&amp;vid=01CRU&amp;lang=en_US&amp;offset=0&amp;query=any,contains,991003538889702656","Catalog Record")</f>
        <v/>
      </c>
      <c r="AV2975">
        <f>HYPERLINK("http://www.worldcat.org/oclc/1103967","WorldCat Record")</f>
        <v/>
      </c>
      <c r="AW2975" t="inlineStr">
        <is>
          <t>503506:eng</t>
        </is>
      </c>
      <c r="AX2975" t="inlineStr">
        <is>
          <t>1103967</t>
        </is>
      </c>
      <c r="AY2975" t="inlineStr">
        <is>
          <t>991003538889702656</t>
        </is>
      </c>
      <c r="AZ2975" t="inlineStr">
        <is>
          <t>991003538889702656</t>
        </is>
      </c>
      <c r="BA2975" t="inlineStr">
        <is>
          <t>2267308700002656</t>
        </is>
      </c>
      <c r="BB2975" t="inlineStr">
        <is>
          <t>BOOK</t>
        </is>
      </c>
      <c r="BD2975" t="inlineStr">
        <is>
          <t>9780838713594</t>
        </is>
      </c>
      <c r="BE2975" t="inlineStr">
        <is>
          <t>32285001148161</t>
        </is>
      </c>
      <c r="BF2975" t="inlineStr">
        <is>
          <t>893900091</t>
        </is>
      </c>
    </row>
    <row r="2976">
      <c r="A2976" t="inlineStr">
        <is>
          <t>No</t>
        </is>
      </c>
      <c r="B2976" t="inlineStr">
        <is>
          <t>CURAL</t>
        </is>
      </c>
      <c r="C2976" t="inlineStr">
        <is>
          <t>SHELVES</t>
        </is>
      </c>
      <c r="D2976" t="inlineStr">
        <is>
          <t>PR6013.O35 Z33 1986</t>
        </is>
      </c>
      <c r="E2976" t="inlineStr">
        <is>
          <t>0                      PR 6013000O  35                 Z  33          1986</t>
        </is>
      </c>
      <c r="F2976" t="inlineStr">
        <is>
          <t>William Golding : the man and his books : a tribute on his 75th birthday / edited by John Carey.</t>
        </is>
      </c>
      <c r="H2976" t="inlineStr">
        <is>
          <t>No</t>
        </is>
      </c>
      <c r="I2976" t="inlineStr">
        <is>
          <t>1</t>
        </is>
      </c>
      <c r="J2976" t="inlineStr">
        <is>
          <t>No</t>
        </is>
      </c>
      <c r="K2976" t="inlineStr">
        <is>
          <t>No</t>
        </is>
      </c>
      <c r="L2976" t="inlineStr">
        <is>
          <t>0</t>
        </is>
      </c>
      <c r="N2976" t="inlineStr">
        <is>
          <t>London : Faber, 1986.</t>
        </is>
      </c>
      <c r="O2976" t="inlineStr">
        <is>
          <t>1986</t>
        </is>
      </c>
      <c r="Q2976" t="inlineStr">
        <is>
          <t>eng</t>
        </is>
      </c>
      <c r="R2976" t="inlineStr">
        <is>
          <t>enk</t>
        </is>
      </c>
      <c r="T2976" t="inlineStr">
        <is>
          <t xml:space="preserve">PR </t>
        </is>
      </c>
      <c r="U2976" t="n">
        <v>4</v>
      </c>
      <c r="V2976" t="n">
        <v>4</v>
      </c>
      <c r="W2976" t="inlineStr">
        <is>
          <t>1995-03-14</t>
        </is>
      </c>
      <c r="X2976" t="inlineStr">
        <is>
          <t>1995-03-14</t>
        </is>
      </c>
      <c r="Y2976" t="inlineStr">
        <is>
          <t>1992-04-24</t>
        </is>
      </c>
      <c r="Z2976" t="inlineStr">
        <is>
          <t>1992-04-24</t>
        </is>
      </c>
      <c r="AA2976" t="n">
        <v>242</v>
      </c>
      <c r="AB2976" t="n">
        <v>94</v>
      </c>
      <c r="AC2976" t="n">
        <v>283</v>
      </c>
      <c r="AD2976" t="n">
        <v>2</v>
      </c>
      <c r="AE2976" t="n">
        <v>2</v>
      </c>
      <c r="AF2976" t="n">
        <v>4</v>
      </c>
      <c r="AG2976" t="n">
        <v>14</v>
      </c>
      <c r="AH2976" t="n">
        <v>0</v>
      </c>
      <c r="AI2976" t="n">
        <v>6</v>
      </c>
      <c r="AJ2976" t="n">
        <v>1</v>
      </c>
      <c r="AK2976" t="n">
        <v>5</v>
      </c>
      <c r="AL2976" t="n">
        <v>3</v>
      </c>
      <c r="AM2976" t="n">
        <v>9</v>
      </c>
      <c r="AN2976" t="n">
        <v>1</v>
      </c>
      <c r="AO2976" t="n">
        <v>1</v>
      </c>
      <c r="AP2976" t="n">
        <v>0</v>
      </c>
      <c r="AQ2976" t="n">
        <v>0</v>
      </c>
      <c r="AR2976" t="inlineStr">
        <is>
          <t>No</t>
        </is>
      </c>
      <c r="AS2976" t="inlineStr">
        <is>
          <t>Yes</t>
        </is>
      </c>
      <c r="AT2976">
        <f>HYPERLINK("http://catalog.hathitrust.org/Record/000807596","HathiTrust Record")</f>
        <v/>
      </c>
      <c r="AU2976">
        <f>HYPERLINK("https://creighton-primo.hosted.exlibrisgroup.com/primo-explore/search?tab=default_tab&amp;search_scope=EVERYTHING&amp;vid=01CRU&amp;lang=en_US&amp;offset=0&amp;query=any,contains,991000815529702656","Catalog Record")</f>
        <v/>
      </c>
      <c r="AV2976">
        <f>HYPERLINK("http://www.worldcat.org/oclc/13357969","WorldCat Record")</f>
        <v/>
      </c>
      <c r="AW2976" t="inlineStr">
        <is>
          <t>3943276923:eng</t>
        </is>
      </c>
      <c r="AX2976" t="inlineStr">
        <is>
          <t>13357969</t>
        </is>
      </c>
      <c r="AY2976" t="inlineStr">
        <is>
          <t>991000815529702656</t>
        </is>
      </c>
      <c r="AZ2976" t="inlineStr">
        <is>
          <t>991000815529702656</t>
        </is>
      </c>
      <c r="BA2976" t="inlineStr">
        <is>
          <t>2265391170002656</t>
        </is>
      </c>
      <c r="BB2976" t="inlineStr">
        <is>
          <t>BOOK</t>
        </is>
      </c>
      <c r="BD2976" t="inlineStr">
        <is>
          <t>9780571139019</t>
        </is>
      </c>
      <c r="BE2976" t="inlineStr">
        <is>
          <t>32285001071348</t>
        </is>
      </c>
      <c r="BF2976" t="inlineStr">
        <is>
          <t>893595912</t>
        </is>
      </c>
    </row>
    <row r="2977">
      <c r="A2977" t="inlineStr">
        <is>
          <t>No</t>
        </is>
      </c>
      <c r="B2977" t="inlineStr">
        <is>
          <t>CURAL</t>
        </is>
      </c>
      <c r="C2977" t="inlineStr">
        <is>
          <t>SHELVES</t>
        </is>
      </c>
      <c r="D2977" t="inlineStr">
        <is>
          <t>PR6013.O35 Z34 1990</t>
        </is>
      </c>
      <c r="E2977" t="inlineStr">
        <is>
          <t>0                      PR 6013000O  35                 Z  34          1990</t>
        </is>
      </c>
      <c r="F2977" t="inlineStr">
        <is>
          <t>William Golding's use of symbolism / Nicola C. Dicken-Fuller.</t>
        </is>
      </c>
      <c r="H2977" t="inlineStr">
        <is>
          <t>No</t>
        </is>
      </c>
      <c r="I2977" t="inlineStr">
        <is>
          <t>1</t>
        </is>
      </c>
      <c r="J2977" t="inlineStr">
        <is>
          <t>No</t>
        </is>
      </c>
      <c r="K2977" t="inlineStr">
        <is>
          <t>No</t>
        </is>
      </c>
      <c r="L2977" t="inlineStr">
        <is>
          <t>0</t>
        </is>
      </c>
      <c r="M2977" t="inlineStr">
        <is>
          <t>Dicken-Fuller, Nicola C.</t>
        </is>
      </c>
      <c r="N2977" t="inlineStr">
        <is>
          <t>Lewes : Book Guild, 1990.</t>
        </is>
      </c>
      <c r="O2977" t="inlineStr">
        <is>
          <t>1990</t>
        </is>
      </c>
      <c r="Q2977" t="inlineStr">
        <is>
          <t>eng</t>
        </is>
      </c>
      <c r="R2977" t="inlineStr">
        <is>
          <t>enk</t>
        </is>
      </c>
      <c r="T2977" t="inlineStr">
        <is>
          <t xml:space="preserve">PR </t>
        </is>
      </c>
      <c r="U2977" t="n">
        <v>13</v>
      </c>
      <c r="V2977" t="n">
        <v>13</v>
      </c>
      <c r="W2977" t="inlineStr">
        <is>
          <t>1996-09-10</t>
        </is>
      </c>
      <c r="X2977" t="inlineStr">
        <is>
          <t>1996-09-10</t>
        </is>
      </c>
      <c r="Y2977" t="inlineStr">
        <is>
          <t>1991-04-16</t>
        </is>
      </c>
      <c r="Z2977" t="inlineStr">
        <is>
          <t>1991-04-16</t>
        </is>
      </c>
      <c r="AA2977" t="n">
        <v>101</v>
      </c>
      <c r="AB2977" t="n">
        <v>64</v>
      </c>
      <c r="AC2977" t="n">
        <v>66</v>
      </c>
      <c r="AD2977" t="n">
        <v>2</v>
      </c>
      <c r="AE2977" t="n">
        <v>2</v>
      </c>
      <c r="AF2977" t="n">
        <v>4</v>
      </c>
      <c r="AG2977" t="n">
        <v>4</v>
      </c>
      <c r="AH2977" t="n">
        <v>0</v>
      </c>
      <c r="AI2977" t="n">
        <v>0</v>
      </c>
      <c r="AJ2977" t="n">
        <v>1</v>
      </c>
      <c r="AK2977" t="n">
        <v>1</v>
      </c>
      <c r="AL2977" t="n">
        <v>3</v>
      </c>
      <c r="AM2977" t="n">
        <v>3</v>
      </c>
      <c r="AN2977" t="n">
        <v>1</v>
      </c>
      <c r="AO2977" t="n">
        <v>1</v>
      </c>
      <c r="AP2977" t="n">
        <v>0</v>
      </c>
      <c r="AQ2977" t="n">
        <v>0</v>
      </c>
      <c r="AR2977" t="inlineStr">
        <is>
          <t>No</t>
        </is>
      </c>
      <c r="AS2977" t="inlineStr">
        <is>
          <t>Yes</t>
        </is>
      </c>
      <c r="AT2977">
        <f>HYPERLINK("http://catalog.hathitrust.org/Record/002208569","HathiTrust Record")</f>
        <v/>
      </c>
      <c r="AU2977">
        <f>HYPERLINK("https://creighton-primo.hosted.exlibrisgroup.com/primo-explore/search?tab=default_tab&amp;search_scope=EVERYTHING&amp;vid=01CRU&amp;lang=en_US&amp;offset=0&amp;query=any,contains,991001632379702656","Catalog Record")</f>
        <v/>
      </c>
      <c r="AV2977">
        <f>HYPERLINK("http://www.worldcat.org/oclc/24219011","WorldCat Record")</f>
        <v/>
      </c>
      <c r="AW2977" t="inlineStr">
        <is>
          <t>49051763:eng</t>
        </is>
      </c>
      <c r="AX2977" t="inlineStr">
        <is>
          <t>24219011</t>
        </is>
      </c>
      <c r="AY2977" t="inlineStr">
        <is>
          <t>991001632379702656</t>
        </is>
      </c>
      <c r="AZ2977" t="inlineStr">
        <is>
          <t>991001632379702656</t>
        </is>
      </c>
      <c r="BA2977" t="inlineStr">
        <is>
          <t>2266051430002656</t>
        </is>
      </c>
      <c r="BB2977" t="inlineStr">
        <is>
          <t>BOOK</t>
        </is>
      </c>
      <c r="BD2977" t="inlineStr">
        <is>
          <t>9780863324536</t>
        </is>
      </c>
      <c r="BE2977" t="inlineStr">
        <is>
          <t>32285000567882</t>
        </is>
      </c>
      <c r="BF2977" t="inlineStr">
        <is>
          <t>893684443</t>
        </is>
      </c>
    </row>
    <row r="2978">
      <c r="A2978" t="inlineStr">
        <is>
          <t>No</t>
        </is>
      </c>
      <c r="B2978" t="inlineStr">
        <is>
          <t>CURAL</t>
        </is>
      </c>
      <c r="C2978" t="inlineStr">
        <is>
          <t>SHELVES</t>
        </is>
      </c>
      <c r="D2978" t="inlineStr">
        <is>
          <t>PR6013.O35 Z588 1988</t>
        </is>
      </c>
      <c r="E2978" t="inlineStr">
        <is>
          <t>0                      PR 6013000O  35                 Z  588         1988</t>
        </is>
      </c>
      <c r="F2978" t="inlineStr">
        <is>
          <t>Critical essays on William Golding / [edited by] James R. Baker.</t>
        </is>
      </c>
      <c r="H2978" t="inlineStr">
        <is>
          <t>No</t>
        </is>
      </c>
      <c r="I2978" t="inlineStr">
        <is>
          <t>1</t>
        </is>
      </c>
      <c r="J2978" t="inlineStr">
        <is>
          <t>No</t>
        </is>
      </c>
      <c r="K2978" t="inlineStr">
        <is>
          <t>No</t>
        </is>
      </c>
      <c r="L2978" t="inlineStr">
        <is>
          <t>0</t>
        </is>
      </c>
      <c r="N2978" t="inlineStr">
        <is>
          <t>Boston, Mass. : G.K. Hall, c1988.</t>
        </is>
      </c>
      <c r="O2978" t="inlineStr">
        <is>
          <t>1988</t>
        </is>
      </c>
      <c r="Q2978" t="inlineStr">
        <is>
          <t>eng</t>
        </is>
      </c>
      <c r="R2978" t="inlineStr">
        <is>
          <t>mau</t>
        </is>
      </c>
      <c r="S2978" t="inlineStr">
        <is>
          <t>Critical essays on British literature</t>
        </is>
      </c>
      <c r="T2978" t="inlineStr">
        <is>
          <t xml:space="preserve">PR </t>
        </is>
      </c>
      <c r="U2978" t="n">
        <v>13</v>
      </c>
      <c r="V2978" t="n">
        <v>13</v>
      </c>
      <c r="W2978" t="inlineStr">
        <is>
          <t>2008-11-17</t>
        </is>
      </c>
      <c r="X2978" t="inlineStr">
        <is>
          <t>2008-11-17</t>
        </is>
      </c>
      <c r="Y2978" t="inlineStr">
        <is>
          <t>1990-04-06</t>
        </is>
      </c>
      <c r="Z2978" t="inlineStr">
        <is>
          <t>1990-04-06</t>
        </is>
      </c>
      <c r="AA2978" t="n">
        <v>621</v>
      </c>
      <c r="AB2978" t="n">
        <v>509</v>
      </c>
      <c r="AC2978" t="n">
        <v>516</v>
      </c>
      <c r="AD2978" t="n">
        <v>5</v>
      </c>
      <c r="AE2978" t="n">
        <v>5</v>
      </c>
      <c r="AF2978" t="n">
        <v>24</v>
      </c>
      <c r="AG2978" t="n">
        <v>24</v>
      </c>
      <c r="AH2978" t="n">
        <v>10</v>
      </c>
      <c r="AI2978" t="n">
        <v>10</v>
      </c>
      <c r="AJ2978" t="n">
        <v>6</v>
      </c>
      <c r="AK2978" t="n">
        <v>6</v>
      </c>
      <c r="AL2978" t="n">
        <v>12</v>
      </c>
      <c r="AM2978" t="n">
        <v>12</v>
      </c>
      <c r="AN2978" t="n">
        <v>4</v>
      </c>
      <c r="AO2978" t="n">
        <v>4</v>
      </c>
      <c r="AP2978" t="n">
        <v>0</v>
      </c>
      <c r="AQ2978" t="n">
        <v>0</v>
      </c>
      <c r="AR2978" t="inlineStr">
        <is>
          <t>No</t>
        </is>
      </c>
      <c r="AS2978" t="inlineStr">
        <is>
          <t>Yes</t>
        </is>
      </c>
      <c r="AT2978">
        <f>HYPERLINK("http://catalog.hathitrust.org/Record/001534204","HathiTrust Record")</f>
        <v/>
      </c>
      <c r="AU2978">
        <f>HYPERLINK("https://creighton-primo.hosted.exlibrisgroup.com/primo-explore/search?tab=default_tab&amp;search_scope=EVERYTHING&amp;vid=01CRU&amp;lang=en_US&amp;offset=0&amp;query=any,contains,991001185649702656","Catalog Record")</f>
        <v/>
      </c>
      <c r="AV2978">
        <f>HYPERLINK("http://www.worldcat.org/oclc/17202507","WorldCat Record")</f>
        <v/>
      </c>
      <c r="AW2978" t="inlineStr">
        <is>
          <t>15420925:eng</t>
        </is>
      </c>
      <c r="AX2978" t="inlineStr">
        <is>
          <t>17202507</t>
        </is>
      </c>
      <c r="AY2978" t="inlineStr">
        <is>
          <t>991001185649702656</t>
        </is>
      </c>
      <c r="AZ2978" t="inlineStr">
        <is>
          <t>991001185649702656</t>
        </is>
      </c>
      <c r="BA2978" t="inlineStr">
        <is>
          <t>2258712090002656</t>
        </is>
      </c>
      <c r="BB2978" t="inlineStr">
        <is>
          <t>BOOK</t>
        </is>
      </c>
      <c r="BD2978" t="inlineStr">
        <is>
          <t>9780816187645</t>
        </is>
      </c>
      <c r="BE2978" t="inlineStr">
        <is>
          <t>32285000111897</t>
        </is>
      </c>
      <c r="BF2978" t="inlineStr">
        <is>
          <t>893696547</t>
        </is>
      </c>
    </row>
    <row r="2979">
      <c r="A2979" t="inlineStr">
        <is>
          <t>No</t>
        </is>
      </c>
      <c r="B2979" t="inlineStr">
        <is>
          <t>CURAL</t>
        </is>
      </c>
      <c r="C2979" t="inlineStr">
        <is>
          <t>SHELVES</t>
        </is>
      </c>
      <c r="D2979" t="inlineStr">
        <is>
          <t>PR6013.O35 Z597 1985</t>
        </is>
      </c>
      <c r="E2979" t="inlineStr">
        <is>
          <t>0                      PR 6013000O  35                 Z  597         1985</t>
        </is>
      </c>
      <c r="F2979" t="inlineStr">
        <is>
          <t>A view from the spire : William Golding's later novels / by Don Crompton ; edited and completed by Julia Briggs.</t>
        </is>
      </c>
      <c r="H2979" t="inlineStr">
        <is>
          <t>No</t>
        </is>
      </c>
      <c r="I2979" t="inlineStr">
        <is>
          <t>1</t>
        </is>
      </c>
      <c r="J2979" t="inlineStr">
        <is>
          <t>No</t>
        </is>
      </c>
      <c r="K2979" t="inlineStr">
        <is>
          <t>No</t>
        </is>
      </c>
      <c r="L2979" t="inlineStr">
        <is>
          <t>0</t>
        </is>
      </c>
      <c r="M2979" t="inlineStr">
        <is>
          <t>Crompton, Don.</t>
        </is>
      </c>
      <c r="N2979" t="inlineStr">
        <is>
          <t>Oxford, OX, UK ; New York, NY, USA : B. Blackwell, 1985.</t>
        </is>
      </c>
      <c r="O2979" t="inlineStr">
        <is>
          <t>1985</t>
        </is>
      </c>
      <c r="Q2979" t="inlineStr">
        <is>
          <t>eng</t>
        </is>
      </c>
      <c r="R2979" t="inlineStr">
        <is>
          <t>enk</t>
        </is>
      </c>
      <c r="T2979" t="inlineStr">
        <is>
          <t xml:space="preserve">PR </t>
        </is>
      </c>
      <c r="U2979" t="n">
        <v>3</v>
      </c>
      <c r="V2979" t="n">
        <v>3</v>
      </c>
      <c r="W2979" t="inlineStr">
        <is>
          <t>1993-04-07</t>
        </is>
      </c>
      <c r="X2979" t="inlineStr">
        <is>
          <t>1993-04-07</t>
        </is>
      </c>
      <c r="Y2979" t="inlineStr">
        <is>
          <t>1992-02-28</t>
        </is>
      </c>
      <c r="Z2979" t="inlineStr">
        <is>
          <t>1992-02-28</t>
        </is>
      </c>
      <c r="AA2979" t="n">
        <v>615</v>
      </c>
      <c r="AB2979" t="n">
        <v>454</v>
      </c>
      <c r="AC2979" t="n">
        <v>471</v>
      </c>
      <c r="AD2979" t="n">
        <v>3</v>
      </c>
      <c r="AE2979" t="n">
        <v>3</v>
      </c>
      <c r="AF2979" t="n">
        <v>24</v>
      </c>
      <c r="AG2979" t="n">
        <v>24</v>
      </c>
      <c r="AH2979" t="n">
        <v>9</v>
      </c>
      <c r="AI2979" t="n">
        <v>9</v>
      </c>
      <c r="AJ2979" t="n">
        <v>6</v>
      </c>
      <c r="AK2979" t="n">
        <v>6</v>
      </c>
      <c r="AL2979" t="n">
        <v>14</v>
      </c>
      <c r="AM2979" t="n">
        <v>14</v>
      </c>
      <c r="AN2979" t="n">
        <v>2</v>
      </c>
      <c r="AO2979" t="n">
        <v>2</v>
      </c>
      <c r="AP2979" t="n">
        <v>0</v>
      </c>
      <c r="AQ2979" t="n">
        <v>0</v>
      </c>
      <c r="AR2979" t="inlineStr">
        <is>
          <t>No</t>
        </is>
      </c>
      <c r="AS2979" t="inlineStr">
        <is>
          <t>No</t>
        </is>
      </c>
      <c r="AU2979">
        <f>HYPERLINK("https://creighton-primo.hosted.exlibrisgroup.com/primo-explore/search?tab=default_tab&amp;search_scope=EVERYTHING&amp;vid=01CRU&amp;lang=en_US&amp;offset=0&amp;query=any,contains,991000476619702656","Catalog Record")</f>
        <v/>
      </c>
      <c r="AV2979">
        <f>HYPERLINK("http://www.worldcat.org/oclc/11030477","WorldCat Record")</f>
        <v/>
      </c>
      <c r="AW2979" t="inlineStr">
        <is>
          <t>3888082:eng</t>
        </is>
      </c>
      <c r="AX2979" t="inlineStr">
        <is>
          <t>11030477</t>
        </is>
      </c>
      <c r="AY2979" t="inlineStr">
        <is>
          <t>991000476619702656</t>
        </is>
      </c>
      <c r="AZ2979" t="inlineStr">
        <is>
          <t>991000476619702656</t>
        </is>
      </c>
      <c r="BA2979" t="inlineStr">
        <is>
          <t>2259943530002656</t>
        </is>
      </c>
      <c r="BB2979" t="inlineStr">
        <is>
          <t>BOOK</t>
        </is>
      </c>
      <c r="BD2979" t="inlineStr">
        <is>
          <t>9780631138266</t>
        </is>
      </c>
      <c r="BE2979" t="inlineStr">
        <is>
          <t>32285000949445</t>
        </is>
      </c>
      <c r="BF2979" t="inlineStr">
        <is>
          <t>893261482</t>
        </is>
      </c>
    </row>
    <row r="2980">
      <c r="A2980" t="inlineStr">
        <is>
          <t>No</t>
        </is>
      </c>
      <c r="B2980" t="inlineStr">
        <is>
          <t>CURAL</t>
        </is>
      </c>
      <c r="C2980" t="inlineStr">
        <is>
          <t>SHELVES</t>
        </is>
      </c>
      <c r="D2980" t="inlineStr">
        <is>
          <t>PR6013.O35 Z6 1987</t>
        </is>
      </c>
      <c r="E2980" t="inlineStr">
        <is>
          <t>0                      PR 6013000O  35                 Z  6           1987</t>
        </is>
      </c>
      <c r="F2980" t="inlineStr">
        <is>
          <t>William Golding / by Bernard F. Dick.</t>
        </is>
      </c>
      <c r="H2980" t="inlineStr">
        <is>
          <t>No</t>
        </is>
      </c>
      <c r="I2980" t="inlineStr">
        <is>
          <t>1</t>
        </is>
      </c>
      <c r="J2980" t="inlineStr">
        <is>
          <t>No</t>
        </is>
      </c>
      <c r="K2980" t="inlineStr">
        <is>
          <t>No</t>
        </is>
      </c>
      <c r="L2980" t="inlineStr">
        <is>
          <t>0</t>
        </is>
      </c>
      <c r="M2980" t="inlineStr">
        <is>
          <t>Dick, Bernard F.</t>
        </is>
      </c>
      <c r="N2980" t="inlineStr">
        <is>
          <t>Boston : Twayne, c1987.</t>
        </is>
      </c>
      <c r="O2980" t="inlineStr">
        <is>
          <t>1987</t>
        </is>
      </c>
      <c r="P2980" t="inlineStr">
        <is>
          <t>Rev. ed.</t>
        </is>
      </c>
      <c r="Q2980" t="inlineStr">
        <is>
          <t>eng</t>
        </is>
      </c>
      <c r="R2980" t="inlineStr">
        <is>
          <t>mau</t>
        </is>
      </c>
      <c r="S2980" t="inlineStr">
        <is>
          <t>Twayne's English authors series ; TEAS 57</t>
        </is>
      </c>
      <c r="T2980" t="inlineStr">
        <is>
          <t xml:space="preserve">PR </t>
        </is>
      </c>
      <c r="U2980" t="n">
        <v>7</v>
      </c>
      <c r="V2980" t="n">
        <v>7</v>
      </c>
      <c r="W2980" t="inlineStr">
        <is>
          <t>1995-03-08</t>
        </is>
      </c>
      <c r="X2980" t="inlineStr">
        <is>
          <t>1995-03-08</t>
        </is>
      </c>
      <c r="Y2980" t="inlineStr">
        <is>
          <t>1992-02-28</t>
        </is>
      </c>
      <c r="Z2980" t="inlineStr">
        <is>
          <t>1992-02-28</t>
        </is>
      </c>
      <c r="AA2980" t="n">
        <v>1046</v>
      </c>
      <c r="AB2980" t="n">
        <v>919</v>
      </c>
      <c r="AC2980" t="n">
        <v>1833</v>
      </c>
      <c r="AD2980" t="n">
        <v>9</v>
      </c>
      <c r="AE2980" t="n">
        <v>17</v>
      </c>
      <c r="AF2980" t="n">
        <v>30</v>
      </c>
      <c r="AG2980" t="n">
        <v>53</v>
      </c>
      <c r="AH2980" t="n">
        <v>11</v>
      </c>
      <c r="AI2980" t="n">
        <v>21</v>
      </c>
      <c r="AJ2980" t="n">
        <v>7</v>
      </c>
      <c r="AK2980" t="n">
        <v>10</v>
      </c>
      <c r="AL2980" t="n">
        <v>18</v>
      </c>
      <c r="AM2980" t="n">
        <v>25</v>
      </c>
      <c r="AN2980" t="n">
        <v>5</v>
      </c>
      <c r="AO2980" t="n">
        <v>11</v>
      </c>
      <c r="AP2980" t="n">
        <v>0</v>
      </c>
      <c r="AQ2980" t="n">
        <v>0</v>
      </c>
      <c r="AR2980" t="inlineStr">
        <is>
          <t>No</t>
        </is>
      </c>
      <c r="AS2980" t="inlineStr">
        <is>
          <t>Yes</t>
        </is>
      </c>
      <c r="AT2980">
        <f>HYPERLINK("http://catalog.hathitrust.org/Record/000493427","HathiTrust Record")</f>
        <v/>
      </c>
      <c r="AU2980">
        <f>HYPERLINK("https://creighton-primo.hosted.exlibrisgroup.com/primo-explore/search?tab=default_tab&amp;search_scope=EVERYTHING&amp;vid=01CRU&amp;lang=en_US&amp;offset=0&amp;query=any,contains,991000875189702656","Catalog Record")</f>
        <v/>
      </c>
      <c r="AV2980">
        <f>HYPERLINK("http://www.worldcat.org/oclc/13796198","WorldCat Record")</f>
        <v/>
      </c>
      <c r="AW2980" t="inlineStr">
        <is>
          <t>4915502809:eng</t>
        </is>
      </c>
      <c r="AX2980" t="inlineStr">
        <is>
          <t>13796198</t>
        </is>
      </c>
      <c r="AY2980" t="inlineStr">
        <is>
          <t>991000875189702656</t>
        </is>
      </c>
      <c r="AZ2980" t="inlineStr">
        <is>
          <t>991000875189702656</t>
        </is>
      </c>
      <c r="BA2980" t="inlineStr">
        <is>
          <t>2270795120002656</t>
        </is>
      </c>
      <c r="BB2980" t="inlineStr">
        <is>
          <t>BOOK</t>
        </is>
      </c>
      <c r="BD2980" t="inlineStr">
        <is>
          <t>9780805769258</t>
        </is>
      </c>
      <c r="BE2980" t="inlineStr">
        <is>
          <t>32285000949452</t>
        </is>
      </c>
      <c r="BF2980" t="inlineStr">
        <is>
          <t>893897298</t>
        </is>
      </c>
    </row>
    <row r="2981">
      <c r="A2981" t="inlineStr">
        <is>
          <t>No</t>
        </is>
      </c>
      <c r="B2981" t="inlineStr">
        <is>
          <t>CURAL</t>
        </is>
      </c>
      <c r="C2981" t="inlineStr">
        <is>
          <t>SHELVES</t>
        </is>
      </c>
      <c r="D2981" t="inlineStr">
        <is>
          <t>PR6013.O35 Z75</t>
        </is>
      </c>
      <c r="E2981" t="inlineStr">
        <is>
          <t>0                      PR 6013000O  35                 Z  75</t>
        </is>
      </c>
      <c r="F2981" t="inlineStr">
        <is>
          <t>William Golding / by Stephen Medcalf ; edited by Ian Scott-Kilvert.</t>
        </is>
      </c>
      <c r="H2981" t="inlineStr">
        <is>
          <t>No</t>
        </is>
      </c>
      <c r="I2981" t="inlineStr">
        <is>
          <t>1</t>
        </is>
      </c>
      <c r="J2981" t="inlineStr">
        <is>
          <t>No</t>
        </is>
      </c>
      <c r="K2981" t="inlineStr">
        <is>
          <t>No</t>
        </is>
      </c>
      <c r="L2981" t="inlineStr">
        <is>
          <t>0</t>
        </is>
      </c>
      <c r="M2981" t="inlineStr">
        <is>
          <t>Medcalf, Stephen, 1936-2007.</t>
        </is>
      </c>
      <c r="N2981" t="inlineStr">
        <is>
          <t>Harlow, [Eng.] : Published for the British Council by Longman Group, 1975.</t>
        </is>
      </c>
      <c r="O2981" t="inlineStr">
        <is>
          <t>1975</t>
        </is>
      </c>
      <c r="Q2981" t="inlineStr">
        <is>
          <t>eng</t>
        </is>
      </c>
      <c r="R2981" t="inlineStr">
        <is>
          <t>enk</t>
        </is>
      </c>
      <c r="S2981" t="inlineStr">
        <is>
          <t>Writers &amp; their work ; no. 243</t>
        </is>
      </c>
      <c r="T2981" t="inlineStr">
        <is>
          <t xml:space="preserve">PR </t>
        </is>
      </c>
      <c r="U2981" t="n">
        <v>12</v>
      </c>
      <c r="V2981" t="n">
        <v>12</v>
      </c>
      <c r="W2981" t="inlineStr">
        <is>
          <t>1999-10-09</t>
        </is>
      </c>
      <c r="X2981" t="inlineStr">
        <is>
          <t>1999-10-09</t>
        </is>
      </c>
      <c r="Y2981" t="inlineStr">
        <is>
          <t>1992-02-28</t>
        </is>
      </c>
      <c r="Z2981" t="inlineStr">
        <is>
          <t>1992-02-28</t>
        </is>
      </c>
      <c r="AA2981" t="n">
        <v>462</v>
      </c>
      <c r="AB2981" t="n">
        <v>306</v>
      </c>
      <c r="AC2981" t="n">
        <v>310</v>
      </c>
      <c r="AD2981" t="n">
        <v>4</v>
      </c>
      <c r="AE2981" t="n">
        <v>4</v>
      </c>
      <c r="AF2981" t="n">
        <v>23</v>
      </c>
      <c r="AG2981" t="n">
        <v>23</v>
      </c>
      <c r="AH2981" t="n">
        <v>8</v>
      </c>
      <c r="AI2981" t="n">
        <v>8</v>
      </c>
      <c r="AJ2981" t="n">
        <v>4</v>
      </c>
      <c r="AK2981" t="n">
        <v>4</v>
      </c>
      <c r="AL2981" t="n">
        <v>15</v>
      </c>
      <c r="AM2981" t="n">
        <v>15</v>
      </c>
      <c r="AN2981" t="n">
        <v>3</v>
      </c>
      <c r="AO2981" t="n">
        <v>3</v>
      </c>
      <c r="AP2981" t="n">
        <v>0</v>
      </c>
      <c r="AQ2981" t="n">
        <v>0</v>
      </c>
      <c r="AR2981" t="inlineStr">
        <is>
          <t>No</t>
        </is>
      </c>
      <c r="AS2981" t="inlineStr">
        <is>
          <t>Yes</t>
        </is>
      </c>
      <c r="AT2981">
        <f>HYPERLINK("http://catalog.hathitrust.org/Record/000507714","HathiTrust Record")</f>
        <v/>
      </c>
      <c r="AU2981">
        <f>HYPERLINK("https://creighton-primo.hosted.exlibrisgroup.com/primo-explore/search?tab=default_tab&amp;search_scope=EVERYTHING&amp;vid=01CRU&amp;lang=en_US&amp;offset=0&amp;query=any,contains,991003901899702656","Catalog Record")</f>
        <v/>
      </c>
      <c r="AV2981">
        <f>HYPERLINK("http://www.worldcat.org/oclc/1826992","WorldCat Record")</f>
        <v/>
      </c>
      <c r="AW2981" t="inlineStr">
        <is>
          <t>10279221263:eng</t>
        </is>
      </c>
      <c r="AX2981" t="inlineStr">
        <is>
          <t>1826992</t>
        </is>
      </c>
      <c r="AY2981" t="inlineStr">
        <is>
          <t>991003901899702656</t>
        </is>
      </c>
      <c r="AZ2981" t="inlineStr">
        <is>
          <t>991003901899702656</t>
        </is>
      </c>
      <c r="BA2981" t="inlineStr">
        <is>
          <t>2256399860002656</t>
        </is>
      </c>
      <c r="BB2981" t="inlineStr">
        <is>
          <t>BOOK</t>
        </is>
      </c>
      <c r="BD2981" t="inlineStr">
        <is>
          <t>9780582012455</t>
        </is>
      </c>
      <c r="BE2981" t="inlineStr">
        <is>
          <t>32285000978659</t>
        </is>
      </c>
      <c r="BF2981" t="inlineStr">
        <is>
          <t>893611655</t>
        </is>
      </c>
    </row>
    <row r="2982">
      <c r="A2982" t="inlineStr">
        <is>
          <t>No</t>
        </is>
      </c>
      <c r="B2982" t="inlineStr">
        <is>
          <t>CURAL</t>
        </is>
      </c>
      <c r="C2982" t="inlineStr">
        <is>
          <t>SHELVES</t>
        </is>
      </c>
      <c r="D2982" t="inlineStr">
        <is>
          <t>PR6013.O35 Z86 1986</t>
        </is>
      </c>
      <c r="E2982" t="inlineStr">
        <is>
          <t>0                      PR 6013000O  35                 Z  86          1986</t>
        </is>
      </c>
      <c r="F2982" t="inlineStr">
        <is>
          <t>William Golding : a structural reading of his fiction / by Philip Redpath.</t>
        </is>
      </c>
      <c r="H2982" t="inlineStr">
        <is>
          <t>No</t>
        </is>
      </c>
      <c r="I2982" t="inlineStr">
        <is>
          <t>1</t>
        </is>
      </c>
      <c r="J2982" t="inlineStr">
        <is>
          <t>No</t>
        </is>
      </c>
      <c r="K2982" t="inlineStr">
        <is>
          <t>No</t>
        </is>
      </c>
      <c r="L2982" t="inlineStr">
        <is>
          <t>0</t>
        </is>
      </c>
      <c r="M2982" t="inlineStr">
        <is>
          <t>Redpath, Philip.</t>
        </is>
      </c>
      <c r="N2982" t="inlineStr">
        <is>
          <t>London : Vision ; Totowa, NJ : Barnes &amp; Noble, 1986.</t>
        </is>
      </c>
      <c r="O2982" t="inlineStr">
        <is>
          <t>1986</t>
        </is>
      </c>
      <c r="Q2982" t="inlineStr">
        <is>
          <t>eng</t>
        </is>
      </c>
      <c r="R2982" t="inlineStr">
        <is>
          <t>enk</t>
        </is>
      </c>
      <c r="S2982" t="inlineStr">
        <is>
          <t>Critical studies series</t>
        </is>
      </c>
      <c r="T2982" t="inlineStr">
        <is>
          <t xml:space="preserve">PR </t>
        </is>
      </c>
      <c r="U2982" t="n">
        <v>7</v>
      </c>
      <c r="V2982" t="n">
        <v>7</v>
      </c>
      <c r="W2982" t="inlineStr">
        <is>
          <t>1995-03-08</t>
        </is>
      </c>
      <c r="X2982" t="inlineStr">
        <is>
          <t>1995-03-08</t>
        </is>
      </c>
      <c r="Y2982" t="inlineStr">
        <is>
          <t>1992-02-27</t>
        </is>
      </c>
      <c r="Z2982" t="inlineStr">
        <is>
          <t>1992-02-27</t>
        </is>
      </c>
      <c r="AA2982" t="n">
        <v>416</v>
      </c>
      <c r="AB2982" t="n">
        <v>331</v>
      </c>
      <c r="AC2982" t="n">
        <v>344</v>
      </c>
      <c r="AD2982" t="n">
        <v>3</v>
      </c>
      <c r="AE2982" t="n">
        <v>3</v>
      </c>
      <c r="AF2982" t="n">
        <v>14</v>
      </c>
      <c r="AG2982" t="n">
        <v>14</v>
      </c>
      <c r="AH2982" t="n">
        <v>4</v>
      </c>
      <c r="AI2982" t="n">
        <v>4</v>
      </c>
      <c r="AJ2982" t="n">
        <v>2</v>
      </c>
      <c r="AK2982" t="n">
        <v>2</v>
      </c>
      <c r="AL2982" t="n">
        <v>10</v>
      </c>
      <c r="AM2982" t="n">
        <v>10</v>
      </c>
      <c r="AN2982" t="n">
        <v>2</v>
      </c>
      <c r="AO2982" t="n">
        <v>2</v>
      </c>
      <c r="AP2982" t="n">
        <v>0</v>
      </c>
      <c r="AQ2982" t="n">
        <v>0</v>
      </c>
      <c r="AR2982" t="inlineStr">
        <is>
          <t>No</t>
        </is>
      </c>
      <c r="AS2982" t="inlineStr">
        <is>
          <t>Yes</t>
        </is>
      </c>
      <c r="AT2982">
        <f>HYPERLINK("http://catalog.hathitrust.org/Record/000822670","HathiTrust Record")</f>
        <v/>
      </c>
      <c r="AU2982">
        <f>HYPERLINK("https://creighton-primo.hosted.exlibrisgroup.com/primo-explore/search?tab=default_tab&amp;search_scope=EVERYTHING&amp;vid=01CRU&amp;lang=en_US&amp;offset=0&amp;query=any,contains,991000841069702656","Catalog Record")</f>
        <v/>
      </c>
      <c r="AV2982">
        <f>HYPERLINK("http://www.worldcat.org/oclc/13525637","WorldCat Record")</f>
        <v/>
      </c>
      <c r="AW2982" t="inlineStr">
        <is>
          <t>836639071:eng</t>
        </is>
      </c>
      <c r="AX2982" t="inlineStr">
        <is>
          <t>13525637</t>
        </is>
      </c>
      <c r="AY2982" t="inlineStr">
        <is>
          <t>991000841069702656</t>
        </is>
      </c>
      <c r="AZ2982" t="inlineStr">
        <is>
          <t>991000841069702656</t>
        </is>
      </c>
      <c r="BA2982" t="inlineStr">
        <is>
          <t>2262364780002656</t>
        </is>
      </c>
      <c r="BB2982" t="inlineStr">
        <is>
          <t>BOOK</t>
        </is>
      </c>
      <c r="BD2982" t="inlineStr">
        <is>
          <t>9780389206477</t>
        </is>
      </c>
      <c r="BE2982" t="inlineStr">
        <is>
          <t>32285000978642</t>
        </is>
      </c>
      <c r="BF2982" t="inlineStr">
        <is>
          <t>893522062</t>
        </is>
      </c>
    </row>
    <row r="2983">
      <c r="A2983" t="inlineStr">
        <is>
          <t>No</t>
        </is>
      </c>
      <c r="B2983" t="inlineStr">
        <is>
          <t>CURAL</t>
        </is>
      </c>
      <c r="C2983" t="inlineStr">
        <is>
          <t>SHELVES</t>
        </is>
      </c>
      <c r="D2983" t="inlineStr">
        <is>
          <t>PR6013.R44 Z6</t>
        </is>
      </c>
      <c r="E2983" t="inlineStr">
        <is>
          <t>0                      PR 6013000R  44                 Z  6</t>
        </is>
      </c>
      <c r="F2983" t="inlineStr">
        <is>
          <t>Graham Greene / by A. A. De Vitis.</t>
        </is>
      </c>
      <c r="H2983" t="inlineStr">
        <is>
          <t>No</t>
        </is>
      </c>
      <c r="I2983" t="inlineStr">
        <is>
          <t>1</t>
        </is>
      </c>
      <c r="J2983" t="inlineStr">
        <is>
          <t>No</t>
        </is>
      </c>
      <c r="K2983" t="inlineStr">
        <is>
          <t>No</t>
        </is>
      </c>
      <c r="L2983" t="inlineStr">
        <is>
          <t>0</t>
        </is>
      </c>
      <c r="M2983" t="inlineStr">
        <is>
          <t>De Vitis, A. A.</t>
        </is>
      </c>
      <c r="N2983" t="inlineStr">
        <is>
          <t>New York : Twayne Publishers, [1964]</t>
        </is>
      </c>
      <c r="O2983" t="inlineStr">
        <is>
          <t>1964</t>
        </is>
      </c>
      <c r="Q2983" t="inlineStr">
        <is>
          <t>eng</t>
        </is>
      </c>
      <c r="R2983" t="inlineStr">
        <is>
          <t>nyu</t>
        </is>
      </c>
      <c r="S2983" t="inlineStr">
        <is>
          <t>Twayne's English authors series ; 3</t>
        </is>
      </c>
      <c r="T2983" t="inlineStr">
        <is>
          <t xml:space="preserve">PR </t>
        </is>
      </c>
      <c r="U2983" t="n">
        <v>4</v>
      </c>
      <c r="V2983" t="n">
        <v>4</v>
      </c>
      <c r="W2983" t="inlineStr">
        <is>
          <t>2003-10-05</t>
        </is>
      </c>
      <c r="X2983" t="inlineStr">
        <is>
          <t>2003-10-05</t>
        </is>
      </c>
      <c r="Y2983" t="inlineStr">
        <is>
          <t>1993-11-08</t>
        </is>
      </c>
      <c r="Z2983" t="inlineStr">
        <is>
          <t>1993-11-08</t>
        </is>
      </c>
      <c r="AA2983" t="n">
        <v>1378</v>
      </c>
      <c r="AB2983" t="n">
        <v>1262</v>
      </c>
      <c r="AC2983" t="n">
        <v>1262</v>
      </c>
      <c r="AD2983" t="n">
        <v>10</v>
      </c>
      <c r="AE2983" t="n">
        <v>10</v>
      </c>
      <c r="AF2983" t="n">
        <v>35</v>
      </c>
      <c r="AG2983" t="n">
        <v>35</v>
      </c>
      <c r="AH2983" t="n">
        <v>14</v>
      </c>
      <c r="AI2983" t="n">
        <v>14</v>
      </c>
      <c r="AJ2983" t="n">
        <v>6</v>
      </c>
      <c r="AK2983" t="n">
        <v>6</v>
      </c>
      <c r="AL2983" t="n">
        <v>16</v>
      </c>
      <c r="AM2983" t="n">
        <v>16</v>
      </c>
      <c r="AN2983" t="n">
        <v>6</v>
      </c>
      <c r="AO2983" t="n">
        <v>6</v>
      </c>
      <c r="AP2983" t="n">
        <v>0</v>
      </c>
      <c r="AQ2983" t="n">
        <v>0</v>
      </c>
      <c r="AR2983" t="inlineStr">
        <is>
          <t>No</t>
        </is>
      </c>
      <c r="AS2983" t="inlineStr">
        <is>
          <t>No</t>
        </is>
      </c>
      <c r="AU2983">
        <f>HYPERLINK("https://creighton-primo.hosted.exlibrisgroup.com/primo-explore/search?tab=default_tab&amp;search_scope=EVERYTHING&amp;vid=01CRU&amp;lang=en_US&amp;offset=0&amp;query=any,contains,991002516469702656","Catalog Record")</f>
        <v/>
      </c>
      <c r="AV2983">
        <f>HYPERLINK("http://www.worldcat.org/oclc/365663","WorldCat Record")</f>
        <v/>
      </c>
      <c r="AW2983" t="inlineStr">
        <is>
          <t>8908635787:eng</t>
        </is>
      </c>
      <c r="AX2983" t="inlineStr">
        <is>
          <t>365663</t>
        </is>
      </c>
      <c r="AY2983" t="inlineStr">
        <is>
          <t>991002516469702656</t>
        </is>
      </c>
      <c r="AZ2983" t="inlineStr">
        <is>
          <t>991002516469702656</t>
        </is>
      </c>
      <c r="BA2983" t="inlineStr">
        <is>
          <t>2266127930002656</t>
        </is>
      </c>
      <c r="BB2983" t="inlineStr">
        <is>
          <t>BOOK</t>
        </is>
      </c>
      <c r="BE2983" t="inlineStr">
        <is>
          <t>32285001797140</t>
        </is>
      </c>
      <c r="BF2983" t="inlineStr">
        <is>
          <t>893498210</t>
        </is>
      </c>
    </row>
    <row r="2984">
      <c r="A2984" t="inlineStr">
        <is>
          <t>No</t>
        </is>
      </c>
      <c r="B2984" t="inlineStr">
        <is>
          <t>CURAL</t>
        </is>
      </c>
      <c r="C2984" t="inlineStr">
        <is>
          <t>SHELVES</t>
        </is>
      </c>
      <c r="D2984" t="inlineStr">
        <is>
          <t>PR6013.R44 Z6315</t>
        </is>
      </c>
      <c r="E2984" t="inlineStr">
        <is>
          <t>0                      PR 6013000R  44                 Z  6315</t>
        </is>
      </c>
      <c r="F2984" t="inlineStr">
        <is>
          <t>Graham Greene; the aesthetics of exploration [by] Gwenn R. Boardman.</t>
        </is>
      </c>
      <c r="H2984" t="inlineStr">
        <is>
          <t>No</t>
        </is>
      </c>
      <c r="I2984" t="inlineStr">
        <is>
          <t>1</t>
        </is>
      </c>
      <c r="J2984" t="inlineStr">
        <is>
          <t>No</t>
        </is>
      </c>
      <c r="K2984" t="inlineStr">
        <is>
          <t>No</t>
        </is>
      </c>
      <c r="L2984" t="inlineStr">
        <is>
          <t>0</t>
        </is>
      </c>
      <c r="M2984" t="inlineStr">
        <is>
          <t>Petersen, Gwenn Boardman.</t>
        </is>
      </c>
      <c r="N2984" t="inlineStr">
        <is>
          <t>Gainesville, University of Florida Press, 1971.</t>
        </is>
      </c>
      <c r="O2984" t="inlineStr">
        <is>
          <t>1971</t>
        </is>
      </c>
      <c r="Q2984" t="inlineStr">
        <is>
          <t>eng</t>
        </is>
      </c>
      <c r="R2984" t="inlineStr">
        <is>
          <t>flu</t>
        </is>
      </c>
      <c r="T2984" t="inlineStr">
        <is>
          <t xml:space="preserve">PR </t>
        </is>
      </c>
      <c r="U2984" t="n">
        <v>4</v>
      </c>
      <c r="V2984" t="n">
        <v>4</v>
      </c>
      <c r="W2984" t="inlineStr">
        <is>
          <t>2003-11-04</t>
        </is>
      </c>
      <c r="X2984" t="inlineStr">
        <is>
          <t>2003-11-04</t>
        </is>
      </c>
      <c r="Y2984" t="inlineStr">
        <is>
          <t>1992-07-07</t>
        </is>
      </c>
      <c r="Z2984" t="inlineStr">
        <is>
          <t>1992-07-07</t>
        </is>
      </c>
      <c r="AA2984" t="n">
        <v>517</v>
      </c>
      <c r="AB2984" t="n">
        <v>454</v>
      </c>
      <c r="AC2984" t="n">
        <v>463</v>
      </c>
      <c r="AD2984" t="n">
        <v>3</v>
      </c>
      <c r="AE2984" t="n">
        <v>3</v>
      </c>
      <c r="AF2984" t="n">
        <v>25</v>
      </c>
      <c r="AG2984" t="n">
        <v>25</v>
      </c>
      <c r="AH2984" t="n">
        <v>7</v>
      </c>
      <c r="AI2984" t="n">
        <v>7</v>
      </c>
      <c r="AJ2984" t="n">
        <v>7</v>
      </c>
      <c r="AK2984" t="n">
        <v>7</v>
      </c>
      <c r="AL2984" t="n">
        <v>15</v>
      </c>
      <c r="AM2984" t="n">
        <v>15</v>
      </c>
      <c r="AN2984" t="n">
        <v>2</v>
      </c>
      <c r="AO2984" t="n">
        <v>2</v>
      </c>
      <c r="AP2984" t="n">
        <v>0</v>
      </c>
      <c r="AQ2984" t="n">
        <v>0</v>
      </c>
      <c r="AR2984" t="inlineStr">
        <is>
          <t>No</t>
        </is>
      </c>
      <c r="AS2984" t="inlineStr">
        <is>
          <t>Yes</t>
        </is>
      </c>
      <c r="AT2984">
        <f>HYPERLINK("http://catalog.hathitrust.org/Record/000394408","HathiTrust Record")</f>
        <v/>
      </c>
      <c r="AU2984">
        <f>HYPERLINK("https://creighton-primo.hosted.exlibrisgroup.com/primo-explore/search?tab=default_tab&amp;search_scope=EVERYTHING&amp;vid=01CRU&amp;lang=en_US&amp;offset=0&amp;query=any,contains,991002250379702656","Catalog Record")</f>
        <v/>
      </c>
      <c r="AV2984">
        <f>HYPERLINK("http://www.worldcat.org/oclc/298675","WorldCat Record")</f>
        <v/>
      </c>
      <c r="AW2984" t="inlineStr">
        <is>
          <t>14640427:eng</t>
        </is>
      </c>
      <c r="AX2984" t="inlineStr">
        <is>
          <t>298675</t>
        </is>
      </c>
      <c r="AY2984" t="inlineStr">
        <is>
          <t>991002250379702656</t>
        </is>
      </c>
      <c r="AZ2984" t="inlineStr">
        <is>
          <t>991002250379702656</t>
        </is>
      </c>
      <c r="BA2984" t="inlineStr">
        <is>
          <t>2264971950002656</t>
        </is>
      </c>
      <c r="BB2984" t="inlineStr">
        <is>
          <t>BOOK</t>
        </is>
      </c>
      <c r="BD2984" t="inlineStr">
        <is>
          <t>9780813003122</t>
        </is>
      </c>
      <c r="BE2984" t="inlineStr">
        <is>
          <t>32285001148922</t>
        </is>
      </c>
      <c r="BF2984" t="inlineStr">
        <is>
          <t>893716227</t>
        </is>
      </c>
    </row>
    <row r="2985">
      <c r="A2985" t="inlineStr">
        <is>
          <t>No</t>
        </is>
      </c>
      <c r="B2985" t="inlineStr">
        <is>
          <t>CURAL</t>
        </is>
      </c>
      <c r="C2985" t="inlineStr">
        <is>
          <t>SHELVES</t>
        </is>
      </c>
      <c r="D2985" t="inlineStr">
        <is>
          <t>PR6013.R44 Z632 1986</t>
        </is>
      </c>
      <c r="E2985" t="inlineStr">
        <is>
          <t>0                      PR 6013000R  44                 Z  632         1986</t>
        </is>
      </c>
      <c r="F2985" t="inlineStr">
        <is>
          <t>Graham Greene / by A.A. DeVitis.</t>
        </is>
      </c>
      <c r="H2985" t="inlineStr">
        <is>
          <t>No</t>
        </is>
      </c>
      <c r="I2985" t="inlineStr">
        <is>
          <t>1</t>
        </is>
      </c>
      <c r="J2985" t="inlineStr">
        <is>
          <t>No</t>
        </is>
      </c>
      <c r="K2985" t="inlineStr">
        <is>
          <t>No</t>
        </is>
      </c>
      <c r="L2985" t="inlineStr">
        <is>
          <t>0</t>
        </is>
      </c>
      <c r="M2985" t="inlineStr">
        <is>
          <t>De Vitis, A. A.</t>
        </is>
      </c>
      <c r="N2985" t="inlineStr">
        <is>
          <t>Boston : Twayne Publishers, c1986.</t>
        </is>
      </c>
      <c r="O2985" t="inlineStr">
        <is>
          <t>1986</t>
        </is>
      </c>
      <c r="P2985" t="inlineStr">
        <is>
          <t>Rev. ed.</t>
        </is>
      </c>
      <c r="Q2985" t="inlineStr">
        <is>
          <t>eng</t>
        </is>
      </c>
      <c r="R2985" t="inlineStr">
        <is>
          <t>mau</t>
        </is>
      </c>
      <c r="S2985" t="inlineStr">
        <is>
          <t>Twayne's English authors series ; TEAS 3</t>
        </is>
      </c>
      <c r="T2985" t="inlineStr">
        <is>
          <t xml:space="preserve">PR </t>
        </is>
      </c>
      <c r="U2985" t="n">
        <v>6</v>
      </c>
      <c r="V2985" t="n">
        <v>6</v>
      </c>
      <c r="W2985" t="inlineStr">
        <is>
          <t>2003-11-09</t>
        </is>
      </c>
      <c r="X2985" t="inlineStr">
        <is>
          <t>2003-11-09</t>
        </is>
      </c>
      <c r="Y2985" t="inlineStr">
        <is>
          <t>1992-07-07</t>
        </is>
      </c>
      <c r="Z2985" t="inlineStr">
        <is>
          <t>1992-07-07</t>
        </is>
      </c>
      <c r="AA2985" t="n">
        <v>1087</v>
      </c>
      <c r="AB2985" t="n">
        <v>949</v>
      </c>
      <c r="AC2985" t="n">
        <v>1082</v>
      </c>
      <c r="AD2985" t="n">
        <v>8</v>
      </c>
      <c r="AE2985" t="n">
        <v>10</v>
      </c>
      <c r="AF2985" t="n">
        <v>36</v>
      </c>
      <c r="AG2985" t="n">
        <v>43</v>
      </c>
      <c r="AH2985" t="n">
        <v>16</v>
      </c>
      <c r="AI2985" t="n">
        <v>18</v>
      </c>
      <c r="AJ2985" t="n">
        <v>5</v>
      </c>
      <c r="AK2985" t="n">
        <v>7</v>
      </c>
      <c r="AL2985" t="n">
        <v>18</v>
      </c>
      <c r="AM2985" t="n">
        <v>20</v>
      </c>
      <c r="AN2985" t="n">
        <v>6</v>
      </c>
      <c r="AO2985" t="n">
        <v>8</v>
      </c>
      <c r="AP2985" t="n">
        <v>0</v>
      </c>
      <c r="AQ2985" t="n">
        <v>0</v>
      </c>
      <c r="AR2985" t="inlineStr">
        <is>
          <t>No</t>
        </is>
      </c>
      <c r="AS2985" t="inlineStr">
        <is>
          <t>Yes</t>
        </is>
      </c>
      <c r="AT2985">
        <f>HYPERLINK("http://catalog.hathitrust.org/Record/000431567","HathiTrust Record")</f>
        <v/>
      </c>
      <c r="AU2985">
        <f>HYPERLINK("https://creighton-primo.hosted.exlibrisgroup.com/primo-explore/search?tab=default_tab&amp;search_scope=EVERYTHING&amp;vid=01CRU&amp;lang=en_US&amp;offset=0&amp;query=any,contains,991000702679702656","Catalog Record")</f>
        <v/>
      </c>
      <c r="AV2985">
        <f>HYPERLINK("http://www.worldcat.org/oclc/12552332","WorldCat Record")</f>
        <v/>
      </c>
      <c r="AW2985" t="inlineStr">
        <is>
          <t>1425169:eng</t>
        </is>
      </c>
      <c r="AX2985" t="inlineStr">
        <is>
          <t>12552332</t>
        </is>
      </c>
      <c r="AY2985" t="inlineStr">
        <is>
          <t>991000702679702656</t>
        </is>
      </c>
      <c r="AZ2985" t="inlineStr">
        <is>
          <t>991000702679702656</t>
        </is>
      </c>
      <c r="BA2985" t="inlineStr">
        <is>
          <t>2259158280002656</t>
        </is>
      </c>
      <c r="BB2985" t="inlineStr">
        <is>
          <t>BOOK</t>
        </is>
      </c>
      <c r="BD2985" t="inlineStr">
        <is>
          <t>9780805769289</t>
        </is>
      </c>
      <c r="BE2985" t="inlineStr">
        <is>
          <t>32285001148914</t>
        </is>
      </c>
      <c r="BF2985" t="inlineStr">
        <is>
          <t>893413601</t>
        </is>
      </c>
    </row>
    <row r="2986">
      <c r="A2986" t="inlineStr">
        <is>
          <t>No</t>
        </is>
      </c>
      <c r="B2986" t="inlineStr">
        <is>
          <t>CURAL</t>
        </is>
      </c>
      <c r="C2986" t="inlineStr">
        <is>
          <t>SHELVES</t>
        </is>
      </c>
      <c r="D2986" t="inlineStr">
        <is>
          <t>PR6013.R44 Z6335</t>
        </is>
      </c>
      <c r="E2986" t="inlineStr">
        <is>
          <t>0                      PR 6013000R  44                 Z  6335</t>
        </is>
      </c>
      <c r="F2986" t="inlineStr">
        <is>
          <t>Graham Greene : a collection of critical essays / edited by Samuel Hynes.</t>
        </is>
      </c>
      <c r="H2986" t="inlineStr">
        <is>
          <t>No</t>
        </is>
      </c>
      <c r="I2986" t="inlineStr">
        <is>
          <t>1</t>
        </is>
      </c>
      <c r="J2986" t="inlineStr">
        <is>
          <t>No</t>
        </is>
      </c>
      <c r="K2986" t="inlineStr">
        <is>
          <t>No</t>
        </is>
      </c>
      <c r="L2986" t="inlineStr">
        <is>
          <t>0</t>
        </is>
      </c>
      <c r="M2986" t="inlineStr">
        <is>
          <t>Hynes, Samuel, 1924-2019 compiler.</t>
        </is>
      </c>
      <c r="N2986" t="inlineStr">
        <is>
          <t>Englewood Cliffs, N.J. : Prentice-Hall, [1973]</t>
        </is>
      </c>
      <c r="O2986" t="inlineStr">
        <is>
          <t>1973</t>
        </is>
      </c>
      <c r="Q2986" t="inlineStr">
        <is>
          <t>eng</t>
        </is>
      </c>
      <c r="R2986" t="inlineStr">
        <is>
          <t>nju</t>
        </is>
      </c>
      <c r="S2986" t="inlineStr">
        <is>
          <t>A Spectrum book</t>
        </is>
      </c>
      <c r="T2986" t="inlineStr">
        <is>
          <t xml:space="preserve">PR </t>
        </is>
      </c>
      <c r="U2986" t="n">
        <v>3</v>
      </c>
      <c r="V2986" t="n">
        <v>3</v>
      </c>
      <c r="W2986" t="inlineStr">
        <is>
          <t>2003-11-09</t>
        </is>
      </c>
      <c r="X2986" t="inlineStr">
        <is>
          <t>2003-11-09</t>
        </is>
      </c>
      <c r="Y2986" t="inlineStr">
        <is>
          <t>1992-04-01</t>
        </is>
      </c>
      <c r="Z2986" t="inlineStr">
        <is>
          <t>1992-04-01</t>
        </is>
      </c>
      <c r="AA2986" t="n">
        <v>1550</v>
      </c>
      <c r="AB2986" t="n">
        <v>1335</v>
      </c>
      <c r="AC2986" t="n">
        <v>1339</v>
      </c>
      <c r="AD2986" t="n">
        <v>7</v>
      </c>
      <c r="AE2986" t="n">
        <v>7</v>
      </c>
      <c r="AF2986" t="n">
        <v>49</v>
      </c>
      <c r="AG2986" t="n">
        <v>49</v>
      </c>
      <c r="AH2986" t="n">
        <v>21</v>
      </c>
      <c r="AI2986" t="n">
        <v>21</v>
      </c>
      <c r="AJ2986" t="n">
        <v>10</v>
      </c>
      <c r="AK2986" t="n">
        <v>10</v>
      </c>
      <c r="AL2986" t="n">
        <v>25</v>
      </c>
      <c r="AM2986" t="n">
        <v>25</v>
      </c>
      <c r="AN2986" t="n">
        <v>6</v>
      </c>
      <c r="AO2986" t="n">
        <v>6</v>
      </c>
      <c r="AP2986" t="n">
        <v>0</v>
      </c>
      <c r="AQ2986" t="n">
        <v>0</v>
      </c>
      <c r="AR2986" t="inlineStr">
        <is>
          <t>No</t>
        </is>
      </c>
      <c r="AS2986" t="inlineStr">
        <is>
          <t>Yes</t>
        </is>
      </c>
      <c r="AT2986">
        <f>HYPERLINK("http://catalog.hathitrust.org/Record/000432253","HathiTrust Record")</f>
        <v/>
      </c>
      <c r="AU2986">
        <f>HYPERLINK("https://creighton-primo.hosted.exlibrisgroup.com/primo-explore/search?tab=default_tab&amp;search_scope=EVERYTHING&amp;vid=01CRU&amp;lang=en_US&amp;offset=0&amp;query=any,contains,991002798329702656","Catalog Record")</f>
        <v/>
      </c>
      <c r="AV2986">
        <f>HYPERLINK("http://www.worldcat.org/oclc/446058","WorldCat Record")</f>
        <v/>
      </c>
      <c r="AW2986" t="inlineStr">
        <is>
          <t>350093971:eng</t>
        </is>
      </c>
      <c r="AX2986" t="inlineStr">
        <is>
          <t>446058</t>
        </is>
      </c>
      <c r="AY2986" t="inlineStr">
        <is>
          <t>991002798329702656</t>
        </is>
      </c>
      <c r="AZ2986" t="inlineStr">
        <is>
          <t>991002798329702656</t>
        </is>
      </c>
      <c r="BA2986" t="inlineStr">
        <is>
          <t>2265674450002656</t>
        </is>
      </c>
      <c r="BB2986" t="inlineStr">
        <is>
          <t>BOOK</t>
        </is>
      </c>
      <c r="BD2986" t="inlineStr">
        <is>
          <t>9780133622515</t>
        </is>
      </c>
      <c r="BE2986" t="inlineStr">
        <is>
          <t>32285001030864</t>
        </is>
      </c>
      <c r="BF2986" t="inlineStr">
        <is>
          <t>893698283</t>
        </is>
      </c>
    </row>
    <row r="2987">
      <c r="A2987" t="inlineStr">
        <is>
          <t>No</t>
        </is>
      </c>
      <c r="B2987" t="inlineStr">
        <is>
          <t>CURAL</t>
        </is>
      </c>
      <c r="C2987" t="inlineStr">
        <is>
          <t>SHELVES</t>
        </is>
      </c>
      <c r="D2987" t="inlineStr">
        <is>
          <t>PR6013.R44 Z64 1973</t>
        </is>
      </c>
      <c r="E2987" t="inlineStr">
        <is>
          <t>0                      PR 6013000R  44                 Z  64          1973</t>
        </is>
      </c>
      <c r="F2987" t="inlineStr">
        <is>
          <t>The labyrinthine ways of Graham Greene / by Francis L. Kunkel.</t>
        </is>
      </c>
      <c r="H2987" t="inlineStr">
        <is>
          <t>No</t>
        </is>
      </c>
      <c r="I2987" t="inlineStr">
        <is>
          <t>1</t>
        </is>
      </c>
      <c r="J2987" t="inlineStr">
        <is>
          <t>No</t>
        </is>
      </c>
      <c r="K2987" t="inlineStr">
        <is>
          <t>No</t>
        </is>
      </c>
      <c r="L2987" t="inlineStr">
        <is>
          <t>0</t>
        </is>
      </c>
      <c r="M2987" t="inlineStr">
        <is>
          <t>Kunkel, Francis L. (Francis Leo), 1921-</t>
        </is>
      </c>
      <c r="N2987" t="inlineStr">
        <is>
          <t>Mamaroneck, N.Y. : P. P. Appel, 1973 [c1959]</t>
        </is>
      </c>
      <c r="O2987" t="inlineStr">
        <is>
          <t>1973</t>
        </is>
      </c>
      <c r="P2987" t="inlineStr">
        <is>
          <t>Rev. expanded ed.</t>
        </is>
      </c>
      <c r="Q2987" t="inlineStr">
        <is>
          <t>eng</t>
        </is>
      </c>
      <c r="R2987" t="inlineStr">
        <is>
          <t>nyu</t>
        </is>
      </c>
      <c r="T2987" t="inlineStr">
        <is>
          <t xml:space="preserve">PR </t>
        </is>
      </c>
      <c r="U2987" t="n">
        <v>5</v>
      </c>
      <c r="V2987" t="n">
        <v>5</v>
      </c>
      <c r="W2987" t="inlineStr">
        <is>
          <t>2003-10-05</t>
        </is>
      </c>
      <c r="X2987" t="inlineStr">
        <is>
          <t>2003-10-05</t>
        </is>
      </c>
      <c r="Y2987" t="inlineStr">
        <is>
          <t>1992-04-01</t>
        </is>
      </c>
      <c r="Z2987" t="inlineStr">
        <is>
          <t>1992-04-01</t>
        </is>
      </c>
      <c r="AA2987" t="n">
        <v>480</v>
      </c>
      <c r="AB2987" t="n">
        <v>419</v>
      </c>
      <c r="AC2987" t="n">
        <v>972</v>
      </c>
      <c r="AD2987" t="n">
        <v>5</v>
      </c>
      <c r="AE2987" t="n">
        <v>7</v>
      </c>
      <c r="AF2987" t="n">
        <v>15</v>
      </c>
      <c r="AG2987" t="n">
        <v>44</v>
      </c>
      <c r="AH2987" t="n">
        <v>6</v>
      </c>
      <c r="AI2987" t="n">
        <v>17</v>
      </c>
      <c r="AJ2987" t="n">
        <v>2</v>
      </c>
      <c r="AK2987" t="n">
        <v>10</v>
      </c>
      <c r="AL2987" t="n">
        <v>5</v>
      </c>
      <c r="AM2987" t="n">
        <v>23</v>
      </c>
      <c r="AN2987" t="n">
        <v>4</v>
      </c>
      <c r="AO2987" t="n">
        <v>6</v>
      </c>
      <c r="AP2987" t="n">
        <v>0</v>
      </c>
      <c r="AQ2987" t="n">
        <v>0</v>
      </c>
      <c r="AR2987" t="inlineStr">
        <is>
          <t>No</t>
        </is>
      </c>
      <c r="AS2987" t="inlineStr">
        <is>
          <t>No</t>
        </is>
      </c>
      <c r="AU2987">
        <f>HYPERLINK("https://creighton-primo.hosted.exlibrisgroup.com/primo-explore/search?tab=default_tab&amp;search_scope=EVERYTHING&amp;vid=01CRU&amp;lang=en_US&amp;offset=0&amp;query=any,contains,991003130779702656","Catalog Record")</f>
        <v/>
      </c>
      <c r="AV2987">
        <f>HYPERLINK("http://www.worldcat.org/oclc/673613","WorldCat Record")</f>
        <v/>
      </c>
      <c r="AW2987" t="inlineStr">
        <is>
          <t>1376378144:eng</t>
        </is>
      </c>
      <c r="AX2987" t="inlineStr">
        <is>
          <t>673613</t>
        </is>
      </c>
      <c r="AY2987" t="inlineStr">
        <is>
          <t>991003130779702656</t>
        </is>
      </c>
      <c r="AZ2987" t="inlineStr">
        <is>
          <t>991003130779702656</t>
        </is>
      </c>
      <c r="BA2987" t="inlineStr">
        <is>
          <t>2268870200002656</t>
        </is>
      </c>
      <c r="BB2987" t="inlineStr">
        <is>
          <t>BOOK</t>
        </is>
      </c>
      <c r="BD2987" t="inlineStr">
        <is>
          <t>9780911858259</t>
        </is>
      </c>
      <c r="BE2987" t="inlineStr">
        <is>
          <t>32285001030849</t>
        </is>
      </c>
      <c r="BF2987" t="inlineStr">
        <is>
          <t>893610753</t>
        </is>
      </c>
    </row>
    <row r="2988">
      <c r="A2988" t="inlineStr">
        <is>
          <t>No</t>
        </is>
      </c>
      <c r="B2988" t="inlineStr">
        <is>
          <t>CURAL</t>
        </is>
      </c>
      <c r="C2988" t="inlineStr">
        <is>
          <t>SHELVES</t>
        </is>
      </c>
      <c r="D2988" t="inlineStr">
        <is>
          <t>PR6013.R44 Z643 1982b</t>
        </is>
      </c>
      <c r="E2988" t="inlineStr">
        <is>
          <t>0                      PR 6013000R  44                 Z  643         1982b</t>
        </is>
      </c>
      <c r="F2988" t="inlineStr">
        <is>
          <t>Heaven and hell on earth : an appreciation of five novels of Graham Greene / K.C. Joseph Kurismmootil.</t>
        </is>
      </c>
      <c r="H2988" t="inlineStr">
        <is>
          <t>No</t>
        </is>
      </c>
      <c r="I2988" t="inlineStr">
        <is>
          <t>1</t>
        </is>
      </c>
      <c r="J2988" t="inlineStr">
        <is>
          <t>No</t>
        </is>
      </c>
      <c r="K2988" t="inlineStr">
        <is>
          <t>No</t>
        </is>
      </c>
      <c r="L2988" t="inlineStr">
        <is>
          <t>0</t>
        </is>
      </c>
      <c r="M2988" t="inlineStr">
        <is>
          <t>Kurismmootil, K. C. Joseph, 1949-</t>
        </is>
      </c>
      <c r="N2988" t="inlineStr">
        <is>
          <t>Chicago, Ill. : Loyola University Press, c1982.</t>
        </is>
      </c>
      <c r="O2988" t="inlineStr">
        <is>
          <t>1982</t>
        </is>
      </c>
      <c r="Q2988" t="inlineStr">
        <is>
          <t>eng</t>
        </is>
      </c>
      <c r="R2988" t="inlineStr">
        <is>
          <t>ilu</t>
        </is>
      </c>
      <c r="S2988" t="inlineStr">
        <is>
          <t>A Campion book</t>
        </is>
      </c>
      <c r="T2988" t="inlineStr">
        <is>
          <t xml:space="preserve">PR </t>
        </is>
      </c>
      <c r="U2988" t="n">
        <v>8</v>
      </c>
      <c r="V2988" t="n">
        <v>8</v>
      </c>
      <c r="W2988" t="inlineStr">
        <is>
          <t>2003-11-04</t>
        </is>
      </c>
      <c r="X2988" t="inlineStr">
        <is>
          <t>2003-11-04</t>
        </is>
      </c>
      <c r="Y2988" t="inlineStr">
        <is>
          <t>1992-07-07</t>
        </is>
      </c>
      <c r="Z2988" t="inlineStr">
        <is>
          <t>1992-07-07</t>
        </is>
      </c>
      <c r="AA2988" t="n">
        <v>501</v>
      </c>
      <c r="AB2988" t="n">
        <v>476</v>
      </c>
      <c r="AC2988" t="n">
        <v>494</v>
      </c>
      <c r="AD2988" t="n">
        <v>4</v>
      </c>
      <c r="AE2988" t="n">
        <v>4</v>
      </c>
      <c r="AF2988" t="n">
        <v>25</v>
      </c>
      <c r="AG2988" t="n">
        <v>26</v>
      </c>
      <c r="AH2988" t="n">
        <v>9</v>
      </c>
      <c r="AI2988" t="n">
        <v>10</v>
      </c>
      <c r="AJ2988" t="n">
        <v>6</v>
      </c>
      <c r="AK2988" t="n">
        <v>6</v>
      </c>
      <c r="AL2988" t="n">
        <v>17</v>
      </c>
      <c r="AM2988" t="n">
        <v>18</v>
      </c>
      <c r="AN2988" t="n">
        <v>2</v>
      </c>
      <c r="AO2988" t="n">
        <v>2</v>
      </c>
      <c r="AP2988" t="n">
        <v>0</v>
      </c>
      <c r="AQ2988" t="n">
        <v>0</v>
      </c>
      <c r="AR2988" t="inlineStr">
        <is>
          <t>No</t>
        </is>
      </c>
      <c r="AS2988" t="inlineStr">
        <is>
          <t>No</t>
        </is>
      </c>
      <c r="AU2988">
        <f>HYPERLINK("https://creighton-primo.hosted.exlibrisgroup.com/primo-explore/search?tab=default_tab&amp;search_scope=EVERYTHING&amp;vid=01CRU&amp;lang=en_US&amp;offset=0&amp;query=any,contains,991000261389702656","Catalog Record")</f>
        <v/>
      </c>
      <c r="AV2988">
        <f>HYPERLINK("http://www.worldcat.org/oclc/8171090","WorldCat Record")</f>
        <v/>
      </c>
      <c r="AW2988" t="inlineStr">
        <is>
          <t>308946978:eng</t>
        </is>
      </c>
      <c r="AX2988" t="inlineStr">
        <is>
          <t>8171090</t>
        </is>
      </c>
      <c r="AY2988" t="inlineStr">
        <is>
          <t>991000261389702656</t>
        </is>
      </c>
      <c r="AZ2988" t="inlineStr">
        <is>
          <t>991000261389702656</t>
        </is>
      </c>
      <c r="BA2988" t="inlineStr">
        <is>
          <t>2257607750002656</t>
        </is>
      </c>
      <c r="BB2988" t="inlineStr">
        <is>
          <t>BOOK</t>
        </is>
      </c>
      <c r="BD2988" t="inlineStr">
        <is>
          <t>9780829403787</t>
        </is>
      </c>
      <c r="BE2988" t="inlineStr">
        <is>
          <t>32285001148930</t>
        </is>
      </c>
      <c r="BF2988" t="inlineStr">
        <is>
          <t>893871539</t>
        </is>
      </c>
    </row>
    <row r="2989">
      <c r="A2989" t="inlineStr">
        <is>
          <t>No</t>
        </is>
      </c>
      <c r="B2989" t="inlineStr">
        <is>
          <t>CURAL</t>
        </is>
      </c>
      <c r="C2989" t="inlineStr">
        <is>
          <t>SHELVES</t>
        </is>
      </c>
      <c r="D2989" t="inlineStr">
        <is>
          <t>PR6013.R44 Z653 1988</t>
        </is>
      </c>
      <c r="E2989" t="inlineStr">
        <is>
          <t>0                      PR 6013000R  44                 Z  653         1988</t>
        </is>
      </c>
      <c r="F2989" t="inlineStr">
        <is>
          <t>Graham Greene / Neil McEwan.</t>
        </is>
      </c>
      <c r="H2989" t="inlineStr">
        <is>
          <t>No</t>
        </is>
      </c>
      <c r="I2989" t="inlineStr">
        <is>
          <t>1</t>
        </is>
      </c>
      <c r="J2989" t="inlineStr">
        <is>
          <t>No</t>
        </is>
      </c>
      <c r="K2989" t="inlineStr">
        <is>
          <t>No</t>
        </is>
      </c>
      <c r="L2989" t="inlineStr">
        <is>
          <t>0</t>
        </is>
      </c>
      <c r="M2989" t="inlineStr">
        <is>
          <t>McEwan, Neil.</t>
        </is>
      </c>
      <c r="N2989" t="inlineStr">
        <is>
          <t>New York : St. Martin's Press, 1988.</t>
        </is>
      </c>
      <c r="O2989" t="inlineStr">
        <is>
          <t>1988</t>
        </is>
      </c>
      <c r="Q2989" t="inlineStr">
        <is>
          <t>eng</t>
        </is>
      </c>
      <c r="R2989" t="inlineStr">
        <is>
          <t>nyu</t>
        </is>
      </c>
      <c r="S2989" t="inlineStr">
        <is>
          <t>Modern novelists</t>
        </is>
      </c>
      <c r="T2989" t="inlineStr">
        <is>
          <t xml:space="preserve">PR </t>
        </is>
      </c>
      <c r="U2989" t="n">
        <v>3</v>
      </c>
      <c r="V2989" t="n">
        <v>3</v>
      </c>
      <c r="W2989" t="inlineStr">
        <is>
          <t>2003-11-09</t>
        </is>
      </c>
      <c r="X2989" t="inlineStr">
        <is>
          <t>2003-11-09</t>
        </is>
      </c>
      <c r="Y2989" t="inlineStr">
        <is>
          <t>1992-07-07</t>
        </is>
      </c>
      <c r="Z2989" t="inlineStr">
        <is>
          <t>1992-07-07</t>
        </is>
      </c>
      <c r="AA2989" t="n">
        <v>339</v>
      </c>
      <c r="AB2989" t="n">
        <v>314</v>
      </c>
      <c r="AC2989" t="n">
        <v>378</v>
      </c>
      <c r="AD2989" t="n">
        <v>2</v>
      </c>
      <c r="AE2989" t="n">
        <v>3</v>
      </c>
      <c r="AF2989" t="n">
        <v>13</v>
      </c>
      <c r="AG2989" t="n">
        <v>18</v>
      </c>
      <c r="AH2989" t="n">
        <v>6</v>
      </c>
      <c r="AI2989" t="n">
        <v>6</v>
      </c>
      <c r="AJ2989" t="n">
        <v>3</v>
      </c>
      <c r="AK2989" t="n">
        <v>5</v>
      </c>
      <c r="AL2989" t="n">
        <v>9</v>
      </c>
      <c r="AM2989" t="n">
        <v>12</v>
      </c>
      <c r="AN2989" t="n">
        <v>1</v>
      </c>
      <c r="AO2989" t="n">
        <v>2</v>
      </c>
      <c r="AP2989" t="n">
        <v>0</v>
      </c>
      <c r="AQ2989" t="n">
        <v>0</v>
      </c>
      <c r="AR2989" t="inlineStr">
        <is>
          <t>No</t>
        </is>
      </c>
      <c r="AS2989" t="inlineStr">
        <is>
          <t>No</t>
        </is>
      </c>
      <c r="AU2989">
        <f>HYPERLINK("https://creighton-primo.hosted.exlibrisgroup.com/primo-explore/search?tab=default_tab&amp;search_scope=EVERYTHING&amp;vid=01CRU&amp;lang=en_US&amp;offset=0&amp;query=any,contains,991001237219702656","Catalog Record")</f>
        <v/>
      </c>
      <c r="AV2989">
        <f>HYPERLINK("http://www.worldcat.org/oclc/17551994","WorldCat Record")</f>
        <v/>
      </c>
      <c r="AW2989" t="inlineStr">
        <is>
          <t>332245:eng</t>
        </is>
      </c>
      <c r="AX2989" t="inlineStr">
        <is>
          <t>17551994</t>
        </is>
      </c>
      <c r="AY2989" t="inlineStr">
        <is>
          <t>991001237219702656</t>
        </is>
      </c>
      <c r="AZ2989" t="inlineStr">
        <is>
          <t>991001237219702656</t>
        </is>
      </c>
      <c r="BA2989" t="inlineStr">
        <is>
          <t>2263353960002656</t>
        </is>
      </c>
      <c r="BB2989" t="inlineStr">
        <is>
          <t>BOOK</t>
        </is>
      </c>
      <c r="BD2989" t="inlineStr">
        <is>
          <t>9780312020590</t>
        </is>
      </c>
      <c r="BE2989" t="inlineStr">
        <is>
          <t>32285001148948</t>
        </is>
      </c>
      <c r="BF2989" t="inlineStr">
        <is>
          <t>893528789</t>
        </is>
      </c>
    </row>
    <row r="2990">
      <c r="A2990" t="inlineStr">
        <is>
          <t>No</t>
        </is>
      </c>
      <c r="B2990" t="inlineStr">
        <is>
          <t>CURAL</t>
        </is>
      </c>
      <c r="C2990" t="inlineStr">
        <is>
          <t>SHELVES</t>
        </is>
      </c>
      <c r="D2990" t="inlineStr">
        <is>
          <t>PR6013.R44 Z654 1972</t>
        </is>
      </c>
      <c r="E2990" t="inlineStr">
        <is>
          <t>0                      PR 6013000R  44                 Z  654         1972</t>
        </is>
      </c>
      <c r="F2990" t="inlineStr">
        <is>
          <t>Graham Greene and the heart of the matter : an essay.</t>
        </is>
      </c>
      <c r="H2990" t="inlineStr">
        <is>
          <t>No</t>
        </is>
      </c>
      <c r="I2990" t="inlineStr">
        <is>
          <t>1</t>
        </is>
      </c>
      <c r="J2990" t="inlineStr">
        <is>
          <t>No</t>
        </is>
      </c>
      <c r="K2990" t="inlineStr">
        <is>
          <t>No</t>
        </is>
      </c>
      <c r="L2990" t="inlineStr">
        <is>
          <t>0</t>
        </is>
      </c>
      <c r="M2990" t="inlineStr">
        <is>
          <t>Mesnet, Marie Béatrice.</t>
        </is>
      </c>
      <c r="N2990" t="inlineStr">
        <is>
          <t>Westport, Conn. : Greenwood Press, [1972]</t>
        </is>
      </c>
      <c r="O2990" t="inlineStr">
        <is>
          <t>1972</t>
        </is>
      </c>
      <c r="Q2990" t="inlineStr">
        <is>
          <t>eng</t>
        </is>
      </c>
      <c r="R2990" t="inlineStr">
        <is>
          <t>ctu</t>
        </is>
      </c>
      <c r="T2990" t="inlineStr">
        <is>
          <t xml:space="preserve">PR </t>
        </is>
      </c>
      <c r="U2990" t="n">
        <v>1</v>
      </c>
      <c r="V2990" t="n">
        <v>1</v>
      </c>
      <c r="W2990" t="inlineStr">
        <is>
          <t>2003-12-13</t>
        </is>
      </c>
      <c r="X2990" t="inlineStr">
        <is>
          <t>2003-12-13</t>
        </is>
      </c>
      <c r="Y2990" t="inlineStr">
        <is>
          <t>1995-04-11</t>
        </is>
      </c>
      <c r="Z2990" t="inlineStr">
        <is>
          <t>1995-04-11</t>
        </is>
      </c>
      <c r="AA2990" t="n">
        <v>220</v>
      </c>
      <c r="AB2990" t="n">
        <v>186</v>
      </c>
      <c r="AC2990" t="n">
        <v>354</v>
      </c>
      <c r="AD2990" t="n">
        <v>1</v>
      </c>
      <c r="AE2990" t="n">
        <v>1</v>
      </c>
      <c r="AF2990" t="n">
        <v>7</v>
      </c>
      <c r="AG2990" t="n">
        <v>25</v>
      </c>
      <c r="AH2990" t="n">
        <v>1</v>
      </c>
      <c r="AI2990" t="n">
        <v>6</v>
      </c>
      <c r="AJ2990" t="n">
        <v>2</v>
      </c>
      <c r="AK2990" t="n">
        <v>9</v>
      </c>
      <c r="AL2990" t="n">
        <v>6</v>
      </c>
      <c r="AM2990" t="n">
        <v>19</v>
      </c>
      <c r="AN2990" t="n">
        <v>0</v>
      </c>
      <c r="AO2990" t="n">
        <v>0</v>
      </c>
      <c r="AP2990" t="n">
        <v>0</v>
      </c>
      <c r="AQ2990" t="n">
        <v>0</v>
      </c>
      <c r="AR2990" t="inlineStr">
        <is>
          <t>No</t>
        </is>
      </c>
      <c r="AS2990" t="inlineStr">
        <is>
          <t>No</t>
        </is>
      </c>
      <c r="AU2990">
        <f>HYPERLINK("https://creighton-primo.hosted.exlibrisgroup.com/primo-explore/search?tab=default_tab&amp;search_scope=EVERYTHING&amp;vid=01CRU&amp;lang=en_US&amp;offset=0&amp;query=any,contains,991002666309702656","Catalog Record")</f>
        <v/>
      </c>
      <c r="AV2990">
        <f>HYPERLINK("http://www.worldcat.org/oclc/393318","WorldCat Record")</f>
        <v/>
      </c>
      <c r="AW2990" t="inlineStr">
        <is>
          <t>500584:eng</t>
        </is>
      </c>
      <c r="AX2990" t="inlineStr">
        <is>
          <t>393318</t>
        </is>
      </c>
      <c r="AY2990" t="inlineStr">
        <is>
          <t>991002666309702656</t>
        </is>
      </c>
      <c r="AZ2990" t="inlineStr">
        <is>
          <t>991002666309702656</t>
        </is>
      </c>
      <c r="BA2990" t="inlineStr">
        <is>
          <t>2263752130002656</t>
        </is>
      </c>
      <c r="BB2990" t="inlineStr">
        <is>
          <t>BOOK</t>
        </is>
      </c>
      <c r="BD2990" t="inlineStr">
        <is>
          <t>9780837164908</t>
        </is>
      </c>
      <c r="BE2990" t="inlineStr">
        <is>
          <t>32285002026192</t>
        </is>
      </c>
      <c r="BF2990" t="inlineStr">
        <is>
          <t>893716752</t>
        </is>
      </c>
    </row>
    <row r="2991">
      <c r="A2991" t="inlineStr">
        <is>
          <t>No</t>
        </is>
      </c>
      <c r="B2991" t="inlineStr">
        <is>
          <t>CURAL</t>
        </is>
      </c>
      <c r="C2991" t="inlineStr">
        <is>
          <t>SHELVES</t>
        </is>
      </c>
      <c r="D2991" t="inlineStr">
        <is>
          <t>PR6013.R44 Z68 1983</t>
        </is>
      </c>
      <c r="E2991" t="inlineStr">
        <is>
          <t>0                      PR 6013000R  44                 Z  68          1983</t>
        </is>
      </c>
      <c r="F2991" t="inlineStr">
        <is>
          <t>Graham Greene : an existential approach / Gangeshwar Rai.</t>
        </is>
      </c>
      <c r="H2991" t="inlineStr">
        <is>
          <t>No</t>
        </is>
      </c>
      <c r="I2991" t="inlineStr">
        <is>
          <t>1</t>
        </is>
      </c>
      <c r="J2991" t="inlineStr">
        <is>
          <t>No</t>
        </is>
      </c>
      <c r="K2991" t="inlineStr">
        <is>
          <t>No</t>
        </is>
      </c>
      <c r="L2991" t="inlineStr">
        <is>
          <t>0</t>
        </is>
      </c>
      <c r="M2991" t="inlineStr">
        <is>
          <t>Rai, Gangeshwar, 1944-</t>
        </is>
      </c>
      <c r="N2991" t="inlineStr">
        <is>
          <t>New Delhi : Asociated Publishing House, 1983.</t>
        </is>
      </c>
      <c r="O2991" t="inlineStr">
        <is>
          <t>1983</t>
        </is>
      </c>
      <c r="Q2991" t="inlineStr">
        <is>
          <t>eng</t>
        </is>
      </c>
      <c r="R2991" t="inlineStr">
        <is>
          <t xml:space="preserve">ii </t>
        </is>
      </c>
      <c r="T2991" t="inlineStr">
        <is>
          <t xml:space="preserve">PR </t>
        </is>
      </c>
      <c r="U2991" t="n">
        <v>2</v>
      </c>
      <c r="V2991" t="n">
        <v>2</v>
      </c>
      <c r="W2991" t="inlineStr">
        <is>
          <t>2003-10-05</t>
        </is>
      </c>
      <c r="X2991" t="inlineStr">
        <is>
          <t>2003-10-05</t>
        </is>
      </c>
      <c r="Y2991" t="inlineStr">
        <is>
          <t>1992-07-07</t>
        </is>
      </c>
      <c r="Z2991" t="inlineStr">
        <is>
          <t>1992-07-07</t>
        </is>
      </c>
      <c r="AA2991" t="n">
        <v>183</v>
      </c>
      <c r="AB2991" t="n">
        <v>158</v>
      </c>
      <c r="AC2991" t="n">
        <v>259</v>
      </c>
      <c r="AD2991" t="n">
        <v>3</v>
      </c>
      <c r="AE2991" t="n">
        <v>5</v>
      </c>
      <c r="AF2991" t="n">
        <v>9</v>
      </c>
      <c r="AG2991" t="n">
        <v>19</v>
      </c>
      <c r="AH2991" t="n">
        <v>3</v>
      </c>
      <c r="AI2991" t="n">
        <v>7</v>
      </c>
      <c r="AJ2991" t="n">
        <v>3</v>
      </c>
      <c r="AK2991" t="n">
        <v>5</v>
      </c>
      <c r="AL2991" t="n">
        <v>4</v>
      </c>
      <c r="AM2991" t="n">
        <v>8</v>
      </c>
      <c r="AN2991" t="n">
        <v>2</v>
      </c>
      <c r="AO2991" t="n">
        <v>4</v>
      </c>
      <c r="AP2991" t="n">
        <v>0</v>
      </c>
      <c r="AQ2991" t="n">
        <v>0</v>
      </c>
      <c r="AR2991" t="inlineStr">
        <is>
          <t>No</t>
        </is>
      </c>
      <c r="AS2991" t="inlineStr">
        <is>
          <t>Yes</t>
        </is>
      </c>
      <c r="AT2991">
        <f>HYPERLINK("http://catalog.hathitrust.org/Record/000647327","HathiTrust Record")</f>
        <v/>
      </c>
      <c r="AU2991">
        <f>HYPERLINK("https://creighton-primo.hosted.exlibrisgroup.com/primo-explore/search?tab=default_tab&amp;search_scope=EVERYTHING&amp;vid=01CRU&amp;lang=en_US&amp;offset=0&amp;query=any,contains,991000490039702656","Catalog Record")</f>
        <v/>
      </c>
      <c r="AV2991">
        <f>HYPERLINK("http://www.worldcat.org/oclc/11093542","WorldCat Record")</f>
        <v/>
      </c>
      <c r="AW2991" t="inlineStr">
        <is>
          <t>3369064:eng</t>
        </is>
      </c>
      <c r="AX2991" t="inlineStr">
        <is>
          <t>11093542</t>
        </is>
      </c>
      <c r="AY2991" t="inlineStr">
        <is>
          <t>991000490039702656</t>
        </is>
      </c>
      <c r="AZ2991" t="inlineStr">
        <is>
          <t>991000490039702656</t>
        </is>
      </c>
      <c r="BA2991" t="inlineStr">
        <is>
          <t>2269755450002656</t>
        </is>
      </c>
      <c r="BB2991" t="inlineStr">
        <is>
          <t>BOOK</t>
        </is>
      </c>
      <c r="BE2991" t="inlineStr">
        <is>
          <t>32285001148955</t>
        </is>
      </c>
      <c r="BF2991" t="inlineStr">
        <is>
          <t>893502527</t>
        </is>
      </c>
    </row>
    <row r="2992">
      <c r="A2992" t="inlineStr">
        <is>
          <t>No</t>
        </is>
      </c>
      <c r="B2992" t="inlineStr">
        <is>
          <t>CURAL</t>
        </is>
      </c>
      <c r="C2992" t="inlineStr">
        <is>
          <t>SHELVES</t>
        </is>
      </c>
      <c r="D2992" t="inlineStr">
        <is>
          <t>PR6013.R44 Z8 1984</t>
        </is>
      </c>
      <c r="E2992" t="inlineStr">
        <is>
          <t>0                      PR 6013000R  44                 Z  8           1984</t>
        </is>
      </c>
      <c r="F2992" t="inlineStr">
        <is>
          <t>Saints, sinners and comedians : the novels of Graham Greene / by Roger Sharrock.</t>
        </is>
      </c>
      <c r="H2992" t="inlineStr">
        <is>
          <t>No</t>
        </is>
      </c>
      <c r="I2992" t="inlineStr">
        <is>
          <t>1</t>
        </is>
      </c>
      <c r="J2992" t="inlineStr">
        <is>
          <t>No</t>
        </is>
      </c>
      <c r="K2992" t="inlineStr">
        <is>
          <t>No</t>
        </is>
      </c>
      <c r="L2992" t="inlineStr">
        <is>
          <t>0</t>
        </is>
      </c>
      <c r="M2992" t="inlineStr">
        <is>
          <t>Sharrock, Roger.</t>
        </is>
      </c>
      <c r="N2992" t="inlineStr">
        <is>
          <t>London : Burns &amp; Oates ; Notre Dame, Ind. : University of Notre Dame Press, 1984.</t>
        </is>
      </c>
      <c r="O2992" t="inlineStr">
        <is>
          <t>1984</t>
        </is>
      </c>
      <c r="Q2992" t="inlineStr">
        <is>
          <t>eng</t>
        </is>
      </c>
      <c r="R2992" t="inlineStr">
        <is>
          <t>xxk</t>
        </is>
      </c>
      <c r="T2992" t="inlineStr">
        <is>
          <t xml:space="preserve">PR </t>
        </is>
      </c>
      <c r="U2992" t="n">
        <v>3</v>
      </c>
      <c r="V2992" t="n">
        <v>3</v>
      </c>
      <c r="W2992" t="inlineStr">
        <is>
          <t>1995-02-27</t>
        </is>
      </c>
      <c r="X2992" t="inlineStr">
        <is>
          <t>1995-02-27</t>
        </is>
      </c>
      <c r="Y2992" t="inlineStr">
        <is>
          <t>1992-07-07</t>
        </is>
      </c>
      <c r="Z2992" t="inlineStr">
        <is>
          <t>1992-07-07</t>
        </is>
      </c>
      <c r="AA2992" t="n">
        <v>853</v>
      </c>
      <c r="AB2992" t="n">
        <v>665</v>
      </c>
      <c r="AC2992" t="n">
        <v>673</v>
      </c>
      <c r="AD2992" t="n">
        <v>4</v>
      </c>
      <c r="AE2992" t="n">
        <v>4</v>
      </c>
      <c r="AF2992" t="n">
        <v>33</v>
      </c>
      <c r="AG2992" t="n">
        <v>33</v>
      </c>
      <c r="AH2992" t="n">
        <v>12</v>
      </c>
      <c r="AI2992" t="n">
        <v>12</v>
      </c>
      <c r="AJ2992" t="n">
        <v>10</v>
      </c>
      <c r="AK2992" t="n">
        <v>10</v>
      </c>
      <c r="AL2992" t="n">
        <v>18</v>
      </c>
      <c r="AM2992" t="n">
        <v>18</v>
      </c>
      <c r="AN2992" t="n">
        <v>3</v>
      </c>
      <c r="AO2992" t="n">
        <v>3</v>
      </c>
      <c r="AP2992" t="n">
        <v>0</v>
      </c>
      <c r="AQ2992" t="n">
        <v>0</v>
      </c>
      <c r="AR2992" t="inlineStr">
        <is>
          <t>No</t>
        </is>
      </c>
      <c r="AS2992" t="inlineStr">
        <is>
          <t>Yes</t>
        </is>
      </c>
      <c r="AT2992">
        <f>HYPERLINK("http://catalog.hathitrust.org/Record/000415544","HathiTrust Record")</f>
        <v/>
      </c>
      <c r="AU2992">
        <f>HYPERLINK("https://creighton-primo.hosted.exlibrisgroup.com/primo-explore/search?tab=default_tab&amp;search_scope=EVERYTHING&amp;vid=01CRU&amp;lang=en_US&amp;offset=0&amp;query=any,contains,991000528599702656","Catalog Record")</f>
        <v/>
      </c>
      <c r="AV2992">
        <f>HYPERLINK("http://www.worldcat.org/oclc/18260666","WorldCat Record")</f>
        <v/>
      </c>
      <c r="AW2992" t="inlineStr">
        <is>
          <t>196071840:eng</t>
        </is>
      </c>
      <c r="AX2992" t="inlineStr">
        <is>
          <t>18260666</t>
        </is>
      </c>
      <c r="AY2992" t="inlineStr">
        <is>
          <t>991000528599702656</t>
        </is>
      </c>
      <c r="AZ2992" t="inlineStr">
        <is>
          <t>991000528599702656</t>
        </is>
      </c>
      <c r="BA2992" t="inlineStr">
        <is>
          <t>2255502860002656</t>
        </is>
      </c>
      <c r="BB2992" t="inlineStr">
        <is>
          <t>BOOK</t>
        </is>
      </c>
      <c r="BD2992" t="inlineStr">
        <is>
          <t>9780268017132</t>
        </is>
      </c>
      <c r="BE2992" t="inlineStr">
        <is>
          <t>32285001148963</t>
        </is>
      </c>
      <c r="BF2992" t="inlineStr">
        <is>
          <t>893249432</t>
        </is>
      </c>
    </row>
    <row r="2993">
      <c r="A2993" t="inlineStr">
        <is>
          <t>No</t>
        </is>
      </c>
      <c r="B2993" t="inlineStr">
        <is>
          <t>CURAL</t>
        </is>
      </c>
      <c r="C2993" t="inlineStr">
        <is>
          <t>SHELVES</t>
        </is>
      </c>
      <c r="D2993" t="inlineStr">
        <is>
          <t>PR6013.R44 Z842 1995</t>
        </is>
      </c>
      <c r="E2993" t="inlineStr">
        <is>
          <t>0                      PR 6013000R  44                 Z  842         1995</t>
        </is>
      </c>
      <c r="F2993" t="inlineStr">
        <is>
          <t>Graham Greene : the enemy within / Michael Shelden.</t>
        </is>
      </c>
      <c r="H2993" t="inlineStr">
        <is>
          <t>No</t>
        </is>
      </c>
      <c r="I2993" t="inlineStr">
        <is>
          <t>1</t>
        </is>
      </c>
      <c r="J2993" t="inlineStr">
        <is>
          <t>No</t>
        </is>
      </c>
      <c r="K2993" t="inlineStr">
        <is>
          <t>No</t>
        </is>
      </c>
      <c r="L2993" t="inlineStr">
        <is>
          <t>0</t>
        </is>
      </c>
      <c r="M2993" t="inlineStr">
        <is>
          <t>Shelden, Michael.</t>
        </is>
      </c>
      <c r="N2993" t="inlineStr">
        <is>
          <t>New York : Random House, c1994.</t>
        </is>
      </c>
      <c r="O2993" t="inlineStr">
        <is>
          <t>1994</t>
        </is>
      </c>
      <c r="P2993" t="inlineStr">
        <is>
          <t>1st U.S. ed.</t>
        </is>
      </c>
      <c r="Q2993" t="inlineStr">
        <is>
          <t>eng</t>
        </is>
      </c>
      <c r="R2993" t="inlineStr">
        <is>
          <t>nyu</t>
        </is>
      </c>
      <c r="T2993" t="inlineStr">
        <is>
          <t xml:space="preserve">PR </t>
        </is>
      </c>
      <c r="U2993" t="n">
        <v>1</v>
      </c>
      <c r="V2993" t="n">
        <v>1</v>
      </c>
      <c r="W2993" t="inlineStr">
        <is>
          <t>2004-12-08</t>
        </is>
      </c>
      <c r="X2993" t="inlineStr">
        <is>
          <t>2004-12-08</t>
        </is>
      </c>
      <c r="Y2993" t="inlineStr">
        <is>
          <t>2004-12-08</t>
        </is>
      </c>
      <c r="Z2993" t="inlineStr">
        <is>
          <t>2004-12-08</t>
        </is>
      </c>
      <c r="AA2993" t="n">
        <v>686</v>
      </c>
      <c r="AB2993" t="n">
        <v>640</v>
      </c>
      <c r="AC2993" t="n">
        <v>686</v>
      </c>
      <c r="AD2993" t="n">
        <v>7</v>
      </c>
      <c r="AE2993" t="n">
        <v>7</v>
      </c>
      <c r="AF2993" t="n">
        <v>23</v>
      </c>
      <c r="AG2993" t="n">
        <v>23</v>
      </c>
      <c r="AH2993" t="n">
        <v>9</v>
      </c>
      <c r="AI2993" t="n">
        <v>9</v>
      </c>
      <c r="AJ2993" t="n">
        <v>6</v>
      </c>
      <c r="AK2993" t="n">
        <v>6</v>
      </c>
      <c r="AL2993" t="n">
        <v>14</v>
      </c>
      <c r="AM2993" t="n">
        <v>14</v>
      </c>
      <c r="AN2993" t="n">
        <v>2</v>
      </c>
      <c r="AO2993" t="n">
        <v>2</v>
      </c>
      <c r="AP2993" t="n">
        <v>0</v>
      </c>
      <c r="AQ2993" t="n">
        <v>0</v>
      </c>
      <c r="AR2993" t="inlineStr">
        <is>
          <t>No</t>
        </is>
      </c>
      <c r="AS2993" t="inlineStr">
        <is>
          <t>No</t>
        </is>
      </c>
      <c r="AU2993">
        <f>HYPERLINK("https://creighton-primo.hosted.exlibrisgroup.com/primo-explore/search?tab=default_tab&amp;search_scope=EVERYTHING&amp;vid=01CRU&amp;lang=en_US&amp;offset=0&amp;query=any,contains,991004432909702656","Catalog Record")</f>
        <v/>
      </c>
      <c r="AV2993">
        <f>HYPERLINK("http://www.worldcat.org/oclc/31130956","WorldCat Record")</f>
        <v/>
      </c>
      <c r="AW2993" t="inlineStr">
        <is>
          <t>3901248045:eng</t>
        </is>
      </c>
      <c r="AX2993" t="inlineStr">
        <is>
          <t>31130956</t>
        </is>
      </c>
      <c r="AY2993" t="inlineStr">
        <is>
          <t>991004432909702656</t>
        </is>
      </c>
      <c r="AZ2993" t="inlineStr">
        <is>
          <t>991004432909702656</t>
        </is>
      </c>
      <c r="BA2993" t="inlineStr">
        <is>
          <t>2271955330002656</t>
        </is>
      </c>
      <c r="BB2993" t="inlineStr">
        <is>
          <t>BOOK</t>
        </is>
      </c>
      <c r="BD2993" t="inlineStr">
        <is>
          <t>9780679428831</t>
        </is>
      </c>
      <c r="BE2993" t="inlineStr">
        <is>
          <t>32285005012918</t>
        </is>
      </c>
      <c r="BF2993" t="inlineStr">
        <is>
          <t>893869712</t>
        </is>
      </c>
    </row>
    <row r="2994">
      <c r="A2994" t="inlineStr">
        <is>
          <t>No</t>
        </is>
      </c>
      <c r="B2994" t="inlineStr">
        <is>
          <t>CURAL</t>
        </is>
      </c>
      <c r="C2994" t="inlineStr">
        <is>
          <t>SHELVES</t>
        </is>
      </c>
      <c r="D2994" t="inlineStr">
        <is>
          <t>PR6013.R44 Z845 1989</t>
        </is>
      </c>
      <c r="E2994" t="inlineStr">
        <is>
          <t>0                      PR 6013000R  44                 Z  845         1989</t>
        </is>
      </c>
      <c r="F2994" t="inlineStr">
        <is>
          <t>The life of Graham Greene / Norman Sherry.</t>
        </is>
      </c>
      <c r="G2994" t="inlineStr">
        <is>
          <t>V.2</t>
        </is>
      </c>
      <c r="H2994" t="inlineStr">
        <is>
          <t>Yes</t>
        </is>
      </c>
      <c r="I2994" t="inlineStr">
        <is>
          <t>1</t>
        </is>
      </c>
      <c r="J2994" t="inlineStr">
        <is>
          <t>No</t>
        </is>
      </c>
      <c r="K2994" t="inlineStr">
        <is>
          <t>No</t>
        </is>
      </c>
      <c r="L2994" t="inlineStr">
        <is>
          <t>0</t>
        </is>
      </c>
      <c r="M2994" t="inlineStr">
        <is>
          <t>Sherry, Norman.</t>
        </is>
      </c>
      <c r="N2994" t="inlineStr">
        <is>
          <t>New York, NY : Viking, 1989-</t>
        </is>
      </c>
      <c r="O2994" t="inlineStr">
        <is>
          <t>1989</t>
        </is>
      </c>
      <c r="P2994" t="inlineStr">
        <is>
          <t>1st American ed.</t>
        </is>
      </c>
      <c r="Q2994" t="inlineStr">
        <is>
          <t>eng</t>
        </is>
      </c>
      <c r="R2994" t="inlineStr">
        <is>
          <t>nyu</t>
        </is>
      </c>
      <c r="T2994" t="inlineStr">
        <is>
          <t xml:space="preserve">PR </t>
        </is>
      </c>
      <c r="U2994" t="n">
        <v>0</v>
      </c>
      <c r="V2994" t="n">
        <v>2</v>
      </c>
      <c r="X2994" t="inlineStr">
        <is>
          <t>1994-10-17</t>
        </is>
      </c>
      <c r="Y2994" t="inlineStr">
        <is>
          <t>1995-07-06</t>
        </is>
      </c>
      <c r="Z2994" t="inlineStr">
        <is>
          <t>1995-07-06</t>
        </is>
      </c>
      <c r="AA2994" t="n">
        <v>1344</v>
      </c>
      <c r="AB2994" t="n">
        <v>1276</v>
      </c>
      <c r="AC2994" t="n">
        <v>1582</v>
      </c>
      <c r="AD2994" t="n">
        <v>9</v>
      </c>
      <c r="AE2994" t="n">
        <v>11</v>
      </c>
      <c r="AF2994" t="n">
        <v>50</v>
      </c>
      <c r="AG2994" t="n">
        <v>55</v>
      </c>
      <c r="AH2994" t="n">
        <v>23</v>
      </c>
      <c r="AI2994" t="n">
        <v>24</v>
      </c>
      <c r="AJ2994" t="n">
        <v>10</v>
      </c>
      <c r="AK2994" t="n">
        <v>11</v>
      </c>
      <c r="AL2994" t="n">
        <v>23</v>
      </c>
      <c r="AM2994" t="n">
        <v>25</v>
      </c>
      <c r="AN2994" t="n">
        <v>7</v>
      </c>
      <c r="AO2994" t="n">
        <v>9</v>
      </c>
      <c r="AP2994" t="n">
        <v>0</v>
      </c>
      <c r="AQ2994" t="n">
        <v>0</v>
      </c>
      <c r="AR2994" t="inlineStr">
        <is>
          <t>No</t>
        </is>
      </c>
      <c r="AS2994" t="inlineStr">
        <is>
          <t>Yes</t>
        </is>
      </c>
      <c r="AT2994">
        <f>HYPERLINK("http://catalog.hathitrust.org/Record/004483124","HathiTrust Record")</f>
        <v/>
      </c>
      <c r="AU2994">
        <f>HYPERLINK("https://creighton-primo.hosted.exlibrisgroup.com/primo-explore/search?tab=default_tab&amp;search_scope=EVERYTHING&amp;vid=01CRU&amp;lang=en_US&amp;offset=0&amp;query=any,contains,991001418819702656","Catalog Record")</f>
        <v/>
      </c>
      <c r="AV2994">
        <f>HYPERLINK("http://www.worldcat.org/oclc/18961034","WorldCat Record")</f>
        <v/>
      </c>
      <c r="AW2994" t="inlineStr">
        <is>
          <t>659022:eng</t>
        </is>
      </c>
      <c r="AX2994" t="inlineStr">
        <is>
          <t>18961034</t>
        </is>
      </c>
      <c r="AY2994" t="inlineStr">
        <is>
          <t>991001418819702656</t>
        </is>
      </c>
      <c r="AZ2994" t="inlineStr">
        <is>
          <t>991001418819702656</t>
        </is>
      </c>
      <c r="BA2994" t="inlineStr">
        <is>
          <t>2264163210002656</t>
        </is>
      </c>
      <c r="BB2994" t="inlineStr">
        <is>
          <t>BOOK</t>
        </is>
      </c>
      <c r="BD2994" t="inlineStr">
        <is>
          <t>9780670813766</t>
        </is>
      </c>
      <c r="BE2994" t="inlineStr">
        <is>
          <t>32285002060613</t>
        </is>
      </c>
      <c r="BF2994" t="inlineStr">
        <is>
          <t>893885291</t>
        </is>
      </c>
    </row>
    <row r="2995">
      <c r="A2995" t="inlineStr">
        <is>
          <t>No</t>
        </is>
      </c>
      <c r="B2995" t="inlineStr">
        <is>
          <t>CURAL</t>
        </is>
      </c>
      <c r="C2995" t="inlineStr">
        <is>
          <t>SHELVES</t>
        </is>
      </c>
      <c r="D2995" t="inlineStr">
        <is>
          <t>PR6013.R44 Z845 1989</t>
        </is>
      </c>
      <c r="E2995" t="inlineStr">
        <is>
          <t>0                      PR 6013000R  44                 Z  845         1989</t>
        </is>
      </c>
      <c r="F2995" t="inlineStr">
        <is>
          <t>The life of Graham Greene / Norman Sherry.</t>
        </is>
      </c>
      <c r="G2995" t="inlineStr">
        <is>
          <t>V.1</t>
        </is>
      </c>
      <c r="H2995" t="inlineStr">
        <is>
          <t>Yes</t>
        </is>
      </c>
      <c r="I2995" t="inlineStr">
        <is>
          <t>1</t>
        </is>
      </c>
      <c r="J2995" t="inlineStr">
        <is>
          <t>No</t>
        </is>
      </c>
      <c r="K2995" t="inlineStr">
        <is>
          <t>No</t>
        </is>
      </c>
      <c r="L2995" t="inlineStr">
        <is>
          <t>0</t>
        </is>
      </c>
      <c r="M2995" t="inlineStr">
        <is>
          <t>Sherry, Norman.</t>
        </is>
      </c>
      <c r="N2995" t="inlineStr">
        <is>
          <t>New York, NY : Viking, 1989-</t>
        </is>
      </c>
      <c r="O2995" t="inlineStr">
        <is>
          <t>1989</t>
        </is>
      </c>
      <c r="P2995" t="inlineStr">
        <is>
          <t>1st American ed.</t>
        </is>
      </c>
      <c r="Q2995" t="inlineStr">
        <is>
          <t>eng</t>
        </is>
      </c>
      <c r="R2995" t="inlineStr">
        <is>
          <t>nyu</t>
        </is>
      </c>
      <c r="T2995" t="inlineStr">
        <is>
          <t xml:space="preserve">PR </t>
        </is>
      </c>
      <c r="U2995" t="n">
        <v>2</v>
      </c>
      <c r="V2995" t="n">
        <v>2</v>
      </c>
      <c r="W2995" t="inlineStr">
        <is>
          <t>1994-10-17</t>
        </is>
      </c>
      <c r="X2995" t="inlineStr">
        <is>
          <t>1994-10-17</t>
        </is>
      </c>
      <c r="Y2995" t="inlineStr">
        <is>
          <t>1992-03-30</t>
        </is>
      </c>
      <c r="Z2995" t="inlineStr">
        <is>
          <t>1995-07-06</t>
        </is>
      </c>
      <c r="AA2995" t="n">
        <v>1344</v>
      </c>
      <c r="AB2995" t="n">
        <v>1276</v>
      </c>
      <c r="AC2995" t="n">
        <v>1582</v>
      </c>
      <c r="AD2995" t="n">
        <v>9</v>
      </c>
      <c r="AE2995" t="n">
        <v>11</v>
      </c>
      <c r="AF2995" t="n">
        <v>50</v>
      </c>
      <c r="AG2995" t="n">
        <v>55</v>
      </c>
      <c r="AH2995" t="n">
        <v>23</v>
      </c>
      <c r="AI2995" t="n">
        <v>24</v>
      </c>
      <c r="AJ2995" t="n">
        <v>10</v>
      </c>
      <c r="AK2995" t="n">
        <v>11</v>
      </c>
      <c r="AL2995" t="n">
        <v>23</v>
      </c>
      <c r="AM2995" t="n">
        <v>25</v>
      </c>
      <c r="AN2995" t="n">
        <v>7</v>
      </c>
      <c r="AO2995" t="n">
        <v>9</v>
      </c>
      <c r="AP2995" t="n">
        <v>0</v>
      </c>
      <c r="AQ2995" t="n">
        <v>0</v>
      </c>
      <c r="AR2995" t="inlineStr">
        <is>
          <t>No</t>
        </is>
      </c>
      <c r="AS2995" t="inlineStr">
        <is>
          <t>Yes</t>
        </is>
      </c>
      <c r="AT2995">
        <f>HYPERLINK("http://catalog.hathitrust.org/Record/004483124","HathiTrust Record")</f>
        <v/>
      </c>
      <c r="AU2995">
        <f>HYPERLINK("https://creighton-primo.hosted.exlibrisgroup.com/primo-explore/search?tab=default_tab&amp;search_scope=EVERYTHING&amp;vid=01CRU&amp;lang=en_US&amp;offset=0&amp;query=any,contains,991001418819702656","Catalog Record")</f>
        <v/>
      </c>
      <c r="AV2995">
        <f>HYPERLINK("http://www.worldcat.org/oclc/18961034","WorldCat Record")</f>
        <v/>
      </c>
      <c r="AW2995" t="inlineStr">
        <is>
          <t>659022:eng</t>
        </is>
      </c>
      <c r="AX2995" t="inlineStr">
        <is>
          <t>18961034</t>
        </is>
      </c>
      <c r="AY2995" t="inlineStr">
        <is>
          <t>991001418819702656</t>
        </is>
      </c>
      <c r="AZ2995" t="inlineStr">
        <is>
          <t>991001418819702656</t>
        </is>
      </c>
      <c r="BA2995" t="inlineStr">
        <is>
          <t>2264163210002656</t>
        </is>
      </c>
      <c r="BB2995" t="inlineStr">
        <is>
          <t>BOOK</t>
        </is>
      </c>
      <c r="BD2995" t="inlineStr">
        <is>
          <t>9780670813766</t>
        </is>
      </c>
      <c r="BE2995" t="inlineStr">
        <is>
          <t>32285001041432</t>
        </is>
      </c>
      <c r="BF2995" t="inlineStr">
        <is>
          <t>893885292</t>
        </is>
      </c>
    </row>
    <row r="2996">
      <c r="A2996" t="inlineStr">
        <is>
          <t>No</t>
        </is>
      </c>
      <c r="B2996" t="inlineStr">
        <is>
          <t>CURAL</t>
        </is>
      </c>
      <c r="C2996" t="inlineStr">
        <is>
          <t>SHELVES</t>
        </is>
      </c>
      <c r="D2996" t="inlineStr">
        <is>
          <t>PR6013.R44 Z85 1986</t>
        </is>
      </c>
      <c r="E2996" t="inlineStr">
        <is>
          <t>0                      PR 6013000R  44                 Z  85          1986</t>
        </is>
      </c>
      <c r="F2996" t="inlineStr">
        <is>
          <t>The achievement of Graham Greene / Grahame Smith.</t>
        </is>
      </c>
      <c r="H2996" t="inlineStr">
        <is>
          <t>No</t>
        </is>
      </c>
      <c r="I2996" t="inlineStr">
        <is>
          <t>1</t>
        </is>
      </c>
      <c r="J2996" t="inlineStr">
        <is>
          <t>No</t>
        </is>
      </c>
      <c r="K2996" t="inlineStr">
        <is>
          <t>No</t>
        </is>
      </c>
      <c r="L2996" t="inlineStr">
        <is>
          <t>0</t>
        </is>
      </c>
      <c r="M2996" t="inlineStr">
        <is>
          <t>Smith, Grahame.</t>
        </is>
      </c>
      <c r="N2996" t="inlineStr">
        <is>
          <t>Sussex : Harvester Press ; Totowa, N.J. : Barnes &amp; Noble, 1986.</t>
        </is>
      </c>
      <c r="O2996" t="inlineStr">
        <is>
          <t>1986</t>
        </is>
      </c>
      <c r="Q2996" t="inlineStr">
        <is>
          <t>eng</t>
        </is>
      </c>
      <c r="R2996" t="inlineStr">
        <is>
          <t>enk</t>
        </is>
      </c>
      <c r="T2996" t="inlineStr">
        <is>
          <t xml:space="preserve">PR </t>
        </is>
      </c>
      <c r="U2996" t="n">
        <v>5</v>
      </c>
      <c r="V2996" t="n">
        <v>5</v>
      </c>
      <c r="W2996" t="inlineStr">
        <is>
          <t>2003-11-09</t>
        </is>
      </c>
      <c r="X2996" t="inlineStr">
        <is>
          <t>2003-11-09</t>
        </is>
      </c>
      <c r="Y2996" t="inlineStr">
        <is>
          <t>1992-07-07</t>
        </is>
      </c>
      <c r="Z2996" t="inlineStr">
        <is>
          <t>1992-07-07</t>
        </is>
      </c>
      <c r="AA2996" t="n">
        <v>567</v>
      </c>
      <c r="AB2996" t="n">
        <v>416</v>
      </c>
      <c r="AC2996" t="n">
        <v>432</v>
      </c>
      <c r="AD2996" t="n">
        <v>3</v>
      </c>
      <c r="AE2996" t="n">
        <v>3</v>
      </c>
      <c r="AF2996" t="n">
        <v>22</v>
      </c>
      <c r="AG2996" t="n">
        <v>22</v>
      </c>
      <c r="AH2996" t="n">
        <v>8</v>
      </c>
      <c r="AI2996" t="n">
        <v>8</v>
      </c>
      <c r="AJ2996" t="n">
        <v>5</v>
      </c>
      <c r="AK2996" t="n">
        <v>5</v>
      </c>
      <c r="AL2996" t="n">
        <v>15</v>
      </c>
      <c r="AM2996" t="n">
        <v>15</v>
      </c>
      <c r="AN2996" t="n">
        <v>2</v>
      </c>
      <c r="AO2996" t="n">
        <v>2</v>
      </c>
      <c r="AP2996" t="n">
        <v>0</v>
      </c>
      <c r="AQ2996" t="n">
        <v>0</v>
      </c>
      <c r="AR2996" t="inlineStr">
        <is>
          <t>No</t>
        </is>
      </c>
      <c r="AS2996" t="inlineStr">
        <is>
          <t>Yes</t>
        </is>
      </c>
      <c r="AT2996">
        <f>HYPERLINK("http://catalog.hathitrust.org/Record/000578076","HathiTrust Record")</f>
        <v/>
      </c>
      <c r="AU2996">
        <f>HYPERLINK("https://creighton-primo.hosted.exlibrisgroup.com/primo-explore/search?tab=default_tab&amp;search_scope=EVERYTHING&amp;vid=01CRU&amp;lang=en_US&amp;offset=0&amp;query=any,contains,991000553949702656","Catalog Record")</f>
        <v/>
      </c>
      <c r="AV2996">
        <f>HYPERLINK("http://www.worldcat.org/oclc/11549313","WorldCat Record")</f>
        <v/>
      </c>
      <c r="AW2996" t="inlineStr">
        <is>
          <t>4329881:eng</t>
        </is>
      </c>
      <c r="AX2996" t="inlineStr">
        <is>
          <t>11549313</t>
        </is>
      </c>
      <c r="AY2996" t="inlineStr">
        <is>
          <t>991000553949702656</t>
        </is>
      </c>
      <c r="AZ2996" t="inlineStr">
        <is>
          <t>991000553949702656</t>
        </is>
      </c>
      <c r="BA2996" t="inlineStr">
        <is>
          <t>2261733800002656</t>
        </is>
      </c>
      <c r="BB2996" t="inlineStr">
        <is>
          <t>BOOK</t>
        </is>
      </c>
      <c r="BD2996" t="inlineStr">
        <is>
          <t>9780389205623</t>
        </is>
      </c>
      <c r="BE2996" t="inlineStr">
        <is>
          <t>32285001148971</t>
        </is>
      </c>
      <c r="BF2996" t="inlineStr">
        <is>
          <t>893515379</t>
        </is>
      </c>
    </row>
    <row r="2997">
      <c r="A2997" t="inlineStr">
        <is>
          <t>No</t>
        </is>
      </c>
      <c r="B2997" t="inlineStr">
        <is>
          <t>CURAL</t>
        </is>
      </c>
      <c r="C2997" t="inlineStr">
        <is>
          <t>SHELVES</t>
        </is>
      </c>
      <c r="D2997" t="inlineStr">
        <is>
          <t>PR6013.R44 Z86 1983</t>
        </is>
      </c>
      <c r="E2997" t="inlineStr">
        <is>
          <t>0                      PR 6013000R  44                 Z  86          1983</t>
        </is>
      </c>
      <c r="F2997" t="inlineStr">
        <is>
          <t>Graham Greene / John Spurling.</t>
        </is>
      </c>
      <c r="H2997" t="inlineStr">
        <is>
          <t>No</t>
        </is>
      </c>
      <c r="I2997" t="inlineStr">
        <is>
          <t>1</t>
        </is>
      </c>
      <c r="J2997" t="inlineStr">
        <is>
          <t>No</t>
        </is>
      </c>
      <c r="K2997" t="inlineStr">
        <is>
          <t>No</t>
        </is>
      </c>
      <c r="L2997" t="inlineStr">
        <is>
          <t>0</t>
        </is>
      </c>
      <c r="M2997" t="inlineStr">
        <is>
          <t>Spurling, John, 1936-</t>
        </is>
      </c>
      <c r="N2997" t="inlineStr">
        <is>
          <t>London ; New York : Methuen, 1983.</t>
        </is>
      </c>
      <c r="O2997" t="inlineStr">
        <is>
          <t>1983</t>
        </is>
      </c>
      <c r="Q2997" t="inlineStr">
        <is>
          <t>eng</t>
        </is>
      </c>
      <c r="R2997" t="inlineStr">
        <is>
          <t>enk</t>
        </is>
      </c>
      <c r="S2997" t="inlineStr">
        <is>
          <t>Contemporary writers</t>
        </is>
      </c>
      <c r="T2997" t="inlineStr">
        <is>
          <t xml:space="preserve">PR </t>
        </is>
      </c>
      <c r="U2997" t="n">
        <v>2</v>
      </c>
      <c r="V2997" t="n">
        <v>2</v>
      </c>
      <c r="W2997" t="inlineStr">
        <is>
          <t>2003-10-05</t>
        </is>
      </c>
      <c r="X2997" t="inlineStr">
        <is>
          <t>2003-10-05</t>
        </is>
      </c>
      <c r="Y2997" t="inlineStr">
        <is>
          <t>1992-07-07</t>
        </is>
      </c>
      <c r="Z2997" t="inlineStr">
        <is>
          <t>1992-07-07</t>
        </is>
      </c>
      <c r="AA2997" t="n">
        <v>785</v>
      </c>
      <c r="AB2997" t="n">
        <v>575</v>
      </c>
      <c r="AC2997" t="n">
        <v>582</v>
      </c>
      <c r="AD2997" t="n">
        <v>8</v>
      </c>
      <c r="AE2997" t="n">
        <v>8</v>
      </c>
      <c r="AF2997" t="n">
        <v>29</v>
      </c>
      <c r="AG2997" t="n">
        <v>29</v>
      </c>
      <c r="AH2997" t="n">
        <v>9</v>
      </c>
      <c r="AI2997" t="n">
        <v>9</v>
      </c>
      <c r="AJ2997" t="n">
        <v>6</v>
      </c>
      <c r="AK2997" t="n">
        <v>6</v>
      </c>
      <c r="AL2997" t="n">
        <v>13</v>
      </c>
      <c r="AM2997" t="n">
        <v>13</v>
      </c>
      <c r="AN2997" t="n">
        <v>7</v>
      </c>
      <c r="AO2997" t="n">
        <v>7</v>
      </c>
      <c r="AP2997" t="n">
        <v>0</v>
      </c>
      <c r="AQ2997" t="n">
        <v>0</v>
      </c>
      <c r="AR2997" t="inlineStr">
        <is>
          <t>No</t>
        </is>
      </c>
      <c r="AS2997" t="inlineStr">
        <is>
          <t>Yes</t>
        </is>
      </c>
      <c r="AT2997">
        <f>HYPERLINK("http://catalog.hathitrust.org/Record/000282556","HathiTrust Record")</f>
        <v/>
      </c>
      <c r="AU2997">
        <f>HYPERLINK("https://creighton-primo.hosted.exlibrisgroup.com/primo-explore/search?tab=default_tab&amp;search_scope=EVERYTHING&amp;vid=01CRU&amp;lang=en_US&amp;offset=0&amp;query=any,contains,991000257079702656","Catalog Record")</f>
        <v/>
      </c>
      <c r="AV2997">
        <f>HYPERLINK("http://www.worldcat.org/oclc/9783866","WorldCat Record")</f>
        <v/>
      </c>
      <c r="AW2997" t="inlineStr">
        <is>
          <t>3901232606:eng</t>
        </is>
      </c>
      <c r="AX2997" t="inlineStr">
        <is>
          <t>9783866</t>
        </is>
      </c>
      <c r="AY2997" t="inlineStr">
        <is>
          <t>991000257079702656</t>
        </is>
      </c>
      <c r="AZ2997" t="inlineStr">
        <is>
          <t>991000257079702656</t>
        </is>
      </c>
      <c r="BA2997" t="inlineStr">
        <is>
          <t>2266867600002656</t>
        </is>
      </c>
      <c r="BB2997" t="inlineStr">
        <is>
          <t>BOOK</t>
        </is>
      </c>
      <c r="BD2997" t="inlineStr">
        <is>
          <t>9780416318500</t>
        </is>
      </c>
      <c r="BE2997" t="inlineStr">
        <is>
          <t>32285001148989</t>
        </is>
      </c>
      <c r="BF2997" t="inlineStr">
        <is>
          <t>893333336</t>
        </is>
      </c>
    </row>
    <row r="2998">
      <c r="A2998" t="inlineStr">
        <is>
          <t>No</t>
        </is>
      </c>
      <c r="B2998" t="inlineStr">
        <is>
          <t>CURAL</t>
        </is>
      </c>
      <c r="C2998" t="inlineStr">
        <is>
          <t>SHELVES</t>
        </is>
      </c>
      <c r="D2998" t="inlineStr">
        <is>
          <t>PR6013.R44 Z92 1991</t>
        </is>
      </c>
      <c r="E2998" t="inlineStr">
        <is>
          <t>0                      PR 6013000R  44                 Z  92          1991</t>
        </is>
      </c>
      <c r="F2998" t="inlineStr">
        <is>
          <t>Graham Greene : a study of four dramas / Gerald C. Walling.</t>
        </is>
      </c>
      <c r="H2998" t="inlineStr">
        <is>
          <t>No</t>
        </is>
      </c>
      <c r="I2998" t="inlineStr">
        <is>
          <t>1</t>
        </is>
      </c>
      <c r="J2998" t="inlineStr">
        <is>
          <t>No</t>
        </is>
      </c>
      <c r="K2998" t="inlineStr">
        <is>
          <t>No</t>
        </is>
      </c>
      <c r="L2998" t="inlineStr">
        <is>
          <t>0</t>
        </is>
      </c>
      <c r="M2998" t="inlineStr">
        <is>
          <t>Walling, Gerald C., 1928-</t>
        </is>
      </c>
      <c r="N2998" t="inlineStr">
        <is>
          <t>New York : P. Lang, c1991.</t>
        </is>
      </c>
      <c r="O2998" t="inlineStr">
        <is>
          <t>1991</t>
        </is>
      </c>
      <c r="Q2998" t="inlineStr">
        <is>
          <t>eng</t>
        </is>
      </c>
      <c r="R2998" t="inlineStr">
        <is>
          <t>nyu</t>
        </is>
      </c>
      <c r="S2998" t="inlineStr">
        <is>
          <t>American university studies. Series XXVI, Theater arts, 0899-9910 ; vol. 10</t>
        </is>
      </c>
      <c r="T2998" t="inlineStr">
        <is>
          <t xml:space="preserve">PR </t>
        </is>
      </c>
      <c r="U2998" t="n">
        <v>2</v>
      </c>
      <c r="V2998" t="n">
        <v>2</v>
      </c>
      <c r="W2998" t="inlineStr">
        <is>
          <t>2003-10-05</t>
        </is>
      </c>
      <c r="X2998" t="inlineStr">
        <is>
          <t>2003-10-05</t>
        </is>
      </c>
      <c r="Y2998" t="inlineStr">
        <is>
          <t>2002-08-20</t>
        </is>
      </c>
      <c r="Z2998" t="inlineStr">
        <is>
          <t>2002-08-20</t>
        </is>
      </c>
      <c r="AA2998" t="n">
        <v>87</v>
      </c>
      <c r="AB2998" t="n">
        <v>62</v>
      </c>
      <c r="AC2998" t="n">
        <v>148</v>
      </c>
      <c r="AD2998" t="n">
        <v>1</v>
      </c>
      <c r="AE2998" t="n">
        <v>1</v>
      </c>
      <c r="AF2998" t="n">
        <v>8</v>
      </c>
      <c r="AG2998" t="n">
        <v>13</v>
      </c>
      <c r="AH2998" t="n">
        <v>2</v>
      </c>
      <c r="AI2998" t="n">
        <v>6</v>
      </c>
      <c r="AJ2998" t="n">
        <v>3</v>
      </c>
      <c r="AK2998" t="n">
        <v>4</v>
      </c>
      <c r="AL2998" t="n">
        <v>7</v>
      </c>
      <c r="AM2998" t="n">
        <v>8</v>
      </c>
      <c r="AN2998" t="n">
        <v>0</v>
      </c>
      <c r="AO2998" t="n">
        <v>0</v>
      </c>
      <c r="AP2998" t="n">
        <v>0</v>
      </c>
      <c r="AQ2998" t="n">
        <v>0</v>
      </c>
      <c r="AR2998" t="inlineStr">
        <is>
          <t>No</t>
        </is>
      </c>
      <c r="AS2998" t="inlineStr">
        <is>
          <t>No</t>
        </is>
      </c>
      <c r="AU2998">
        <f>HYPERLINK("https://creighton-primo.hosted.exlibrisgroup.com/primo-explore/search?tab=default_tab&amp;search_scope=EVERYTHING&amp;vid=01CRU&amp;lang=en_US&amp;offset=0&amp;query=any,contains,991003857369702656","Catalog Record")</f>
        <v/>
      </c>
      <c r="AV2998">
        <f>HYPERLINK("http://www.worldcat.org/oclc/24142520","WorldCat Record")</f>
        <v/>
      </c>
      <c r="AW2998" t="inlineStr">
        <is>
          <t>17380072:eng</t>
        </is>
      </c>
      <c r="AX2998" t="inlineStr">
        <is>
          <t>24142520</t>
        </is>
      </c>
      <c r="AY2998" t="inlineStr">
        <is>
          <t>991003857369702656</t>
        </is>
      </c>
      <c r="AZ2998" t="inlineStr">
        <is>
          <t>991003857369702656</t>
        </is>
      </c>
      <c r="BA2998" t="inlineStr">
        <is>
          <t>2265797180002656</t>
        </is>
      </c>
      <c r="BB2998" t="inlineStr">
        <is>
          <t>BOOK</t>
        </is>
      </c>
      <c r="BD2998" t="inlineStr">
        <is>
          <t>9780820415796</t>
        </is>
      </c>
      <c r="BE2998" t="inlineStr">
        <is>
          <t>32285004643986</t>
        </is>
      </c>
      <c r="BF2998" t="inlineStr">
        <is>
          <t>893535666</t>
        </is>
      </c>
    </row>
    <row r="2999">
      <c r="A2999" t="inlineStr">
        <is>
          <t>No</t>
        </is>
      </c>
      <c r="B2999" t="inlineStr">
        <is>
          <t>CURAL</t>
        </is>
      </c>
      <c r="C2999" t="inlineStr">
        <is>
          <t>SHELVES</t>
        </is>
      </c>
      <c r="D2999" t="inlineStr">
        <is>
          <t>PR6013.U65 Z59</t>
        </is>
      </c>
      <c r="E2999" t="inlineStr">
        <is>
          <t>0                      PR 6013000U  65                 Z  59</t>
        </is>
      </c>
      <c r="F2999" t="inlineStr">
        <is>
          <t>Gunn &amp; Hughes : Thom Gunn and Ted Hughes.</t>
        </is>
      </c>
      <c r="H2999" t="inlineStr">
        <is>
          <t>No</t>
        </is>
      </c>
      <c r="I2999" t="inlineStr">
        <is>
          <t>1</t>
        </is>
      </c>
      <c r="J2999" t="inlineStr">
        <is>
          <t>No</t>
        </is>
      </c>
      <c r="K2999" t="inlineStr">
        <is>
          <t>No</t>
        </is>
      </c>
      <c r="L2999" t="inlineStr">
        <is>
          <t>0</t>
        </is>
      </c>
      <c r="M2999" t="inlineStr">
        <is>
          <t>Bold, Alan, 1943-1998.</t>
        </is>
      </c>
      <c r="N2999" t="inlineStr">
        <is>
          <t>New York : Barnes &amp; Noble, 1976.</t>
        </is>
      </c>
      <c r="O2999" t="inlineStr">
        <is>
          <t>1976</t>
        </is>
      </c>
      <c r="Q2999" t="inlineStr">
        <is>
          <t>eng</t>
        </is>
      </c>
      <c r="R2999" t="inlineStr">
        <is>
          <t>nyu</t>
        </is>
      </c>
      <c r="S2999" t="inlineStr">
        <is>
          <t>Modern writers' series</t>
        </is>
      </c>
      <c r="T2999" t="inlineStr">
        <is>
          <t xml:space="preserve">PR </t>
        </is>
      </c>
      <c r="U2999" t="n">
        <v>2</v>
      </c>
      <c r="V2999" t="n">
        <v>2</v>
      </c>
      <c r="W2999" t="inlineStr">
        <is>
          <t>2000-10-28</t>
        </is>
      </c>
      <c r="X2999" t="inlineStr">
        <is>
          <t>2000-10-28</t>
        </is>
      </c>
      <c r="Y2999" t="inlineStr">
        <is>
          <t>1992-07-07</t>
        </is>
      </c>
      <c r="Z2999" t="inlineStr">
        <is>
          <t>1992-07-07</t>
        </is>
      </c>
      <c r="AA2999" t="n">
        <v>217</v>
      </c>
      <c r="AB2999" t="n">
        <v>209</v>
      </c>
      <c r="AC2999" t="n">
        <v>216</v>
      </c>
      <c r="AD2999" t="n">
        <v>1</v>
      </c>
      <c r="AE2999" t="n">
        <v>1</v>
      </c>
      <c r="AF2999" t="n">
        <v>9</v>
      </c>
      <c r="AG2999" t="n">
        <v>9</v>
      </c>
      <c r="AH2999" t="n">
        <v>2</v>
      </c>
      <c r="AI2999" t="n">
        <v>2</v>
      </c>
      <c r="AJ2999" t="n">
        <v>3</v>
      </c>
      <c r="AK2999" t="n">
        <v>3</v>
      </c>
      <c r="AL2999" t="n">
        <v>7</v>
      </c>
      <c r="AM2999" t="n">
        <v>7</v>
      </c>
      <c r="AN2999" t="n">
        <v>0</v>
      </c>
      <c r="AO2999" t="n">
        <v>0</v>
      </c>
      <c r="AP2999" t="n">
        <v>0</v>
      </c>
      <c r="AQ2999" t="n">
        <v>0</v>
      </c>
      <c r="AR2999" t="inlineStr">
        <is>
          <t>No</t>
        </is>
      </c>
      <c r="AS2999" t="inlineStr">
        <is>
          <t>Yes</t>
        </is>
      </c>
      <c r="AT2999">
        <f>HYPERLINK("http://catalog.hathitrust.org/Record/000128371","HathiTrust Record")</f>
        <v/>
      </c>
      <c r="AU2999">
        <f>HYPERLINK("https://creighton-primo.hosted.exlibrisgroup.com/primo-explore/search?tab=default_tab&amp;search_scope=EVERYTHING&amp;vid=01CRU&amp;lang=en_US&amp;offset=0&amp;query=any,contains,991004188359702656","Catalog Record")</f>
        <v/>
      </c>
      <c r="AV2999">
        <f>HYPERLINK("http://www.worldcat.org/oclc/2622168","WorldCat Record")</f>
        <v/>
      </c>
      <c r="AW2999" t="inlineStr">
        <is>
          <t>5611687670:eng</t>
        </is>
      </c>
      <c r="AX2999" t="inlineStr">
        <is>
          <t>2622168</t>
        </is>
      </c>
      <c r="AY2999" t="inlineStr">
        <is>
          <t>991004188359702656</t>
        </is>
      </c>
      <c r="AZ2999" t="inlineStr">
        <is>
          <t>991004188359702656</t>
        </is>
      </c>
      <c r="BA2999" t="inlineStr">
        <is>
          <t>2270570020002656</t>
        </is>
      </c>
      <c r="BB2999" t="inlineStr">
        <is>
          <t>BOOK</t>
        </is>
      </c>
      <c r="BD2999" t="inlineStr">
        <is>
          <t>9780064905701</t>
        </is>
      </c>
      <c r="BE2999" t="inlineStr">
        <is>
          <t>32285001149094</t>
        </is>
      </c>
      <c r="BF2999" t="inlineStr">
        <is>
          <t>893806775</t>
        </is>
      </c>
    </row>
    <row r="3000">
      <c r="A3000" t="inlineStr">
        <is>
          <t>No</t>
        </is>
      </c>
      <c r="B3000" t="inlineStr">
        <is>
          <t>CURAL</t>
        </is>
      </c>
      <c r="C3000" t="inlineStr">
        <is>
          <t>SHELVES</t>
        </is>
      </c>
      <c r="D3000" t="inlineStr">
        <is>
          <t>PR6015.E795 Z7 1984</t>
        </is>
      </c>
      <c r="E3000" t="inlineStr">
        <is>
          <t>0                      PR 6015000E  795                Z  7           1984</t>
        </is>
      </c>
      <c r="F3000" t="inlineStr">
        <is>
          <t>The private world of Georgette Heyer / Jane Aiken Hodge.</t>
        </is>
      </c>
      <c r="H3000" t="inlineStr">
        <is>
          <t>No</t>
        </is>
      </c>
      <c r="I3000" t="inlineStr">
        <is>
          <t>1</t>
        </is>
      </c>
      <c r="J3000" t="inlineStr">
        <is>
          <t>No</t>
        </is>
      </c>
      <c r="K3000" t="inlineStr">
        <is>
          <t>No</t>
        </is>
      </c>
      <c r="L3000" t="inlineStr">
        <is>
          <t>0</t>
        </is>
      </c>
      <c r="M3000" t="inlineStr">
        <is>
          <t>Hodge, Jane Aiken.</t>
        </is>
      </c>
      <c r="N3000" t="inlineStr">
        <is>
          <t>London : Bodley Head, c1984.</t>
        </is>
      </c>
      <c r="O3000" t="inlineStr">
        <is>
          <t>1984</t>
        </is>
      </c>
      <c r="Q3000" t="inlineStr">
        <is>
          <t>eng</t>
        </is>
      </c>
      <c r="R3000" t="inlineStr">
        <is>
          <t>enk</t>
        </is>
      </c>
      <c r="T3000" t="inlineStr">
        <is>
          <t xml:space="preserve">PR </t>
        </is>
      </c>
      <c r="U3000" t="n">
        <v>2</v>
      </c>
      <c r="V3000" t="n">
        <v>2</v>
      </c>
      <c r="W3000" t="inlineStr">
        <is>
          <t>2003-01-03</t>
        </is>
      </c>
      <c r="X3000" t="inlineStr">
        <is>
          <t>2003-01-03</t>
        </is>
      </c>
      <c r="Y3000" t="inlineStr">
        <is>
          <t>1992-07-07</t>
        </is>
      </c>
      <c r="Z3000" t="inlineStr">
        <is>
          <t>1992-07-07</t>
        </is>
      </c>
      <c r="AA3000" t="n">
        <v>693</v>
      </c>
      <c r="AB3000" t="n">
        <v>541</v>
      </c>
      <c r="AC3000" t="n">
        <v>686</v>
      </c>
      <c r="AD3000" t="n">
        <v>5</v>
      </c>
      <c r="AE3000" t="n">
        <v>5</v>
      </c>
      <c r="AF3000" t="n">
        <v>5</v>
      </c>
      <c r="AG3000" t="n">
        <v>5</v>
      </c>
      <c r="AH3000" t="n">
        <v>2</v>
      </c>
      <c r="AI3000" t="n">
        <v>2</v>
      </c>
      <c r="AJ3000" t="n">
        <v>1</v>
      </c>
      <c r="AK3000" t="n">
        <v>1</v>
      </c>
      <c r="AL3000" t="n">
        <v>4</v>
      </c>
      <c r="AM3000" t="n">
        <v>4</v>
      </c>
      <c r="AN3000" t="n">
        <v>0</v>
      </c>
      <c r="AO3000" t="n">
        <v>0</v>
      </c>
      <c r="AP3000" t="n">
        <v>0</v>
      </c>
      <c r="AQ3000" t="n">
        <v>0</v>
      </c>
      <c r="AR3000" t="inlineStr">
        <is>
          <t>No</t>
        </is>
      </c>
      <c r="AS3000" t="inlineStr">
        <is>
          <t>Yes</t>
        </is>
      </c>
      <c r="AT3000">
        <f>HYPERLINK("http://catalog.hathitrust.org/Record/000247100","HathiTrust Record")</f>
        <v/>
      </c>
      <c r="AU3000">
        <f>HYPERLINK("https://creighton-primo.hosted.exlibrisgroup.com/primo-explore/search?tab=default_tab&amp;search_scope=EVERYTHING&amp;vid=01CRU&amp;lang=en_US&amp;offset=0&amp;query=any,contains,991000517629702656","Catalog Record")</f>
        <v/>
      </c>
      <c r="AV3000">
        <f>HYPERLINK("http://www.worldcat.org/oclc/11294103","WorldCat Record")</f>
        <v/>
      </c>
      <c r="AW3000" t="inlineStr">
        <is>
          <t>4174626:eng</t>
        </is>
      </c>
      <c r="AX3000" t="inlineStr">
        <is>
          <t>11294103</t>
        </is>
      </c>
      <c r="AY3000" t="inlineStr">
        <is>
          <t>991000517629702656</t>
        </is>
      </c>
      <c r="AZ3000" t="inlineStr">
        <is>
          <t>991000517629702656</t>
        </is>
      </c>
      <c r="BA3000" t="inlineStr">
        <is>
          <t>2255306730002656</t>
        </is>
      </c>
      <c r="BB3000" t="inlineStr">
        <is>
          <t>BOOK</t>
        </is>
      </c>
      <c r="BD3000" t="inlineStr">
        <is>
          <t>9780370305080</t>
        </is>
      </c>
      <c r="BE3000" t="inlineStr">
        <is>
          <t>32285001149185</t>
        </is>
      </c>
      <c r="BF3000" t="inlineStr">
        <is>
          <t>893521738</t>
        </is>
      </c>
    </row>
    <row r="3001">
      <c r="A3001" t="inlineStr">
        <is>
          <t>No</t>
        </is>
      </c>
      <c r="B3001" t="inlineStr">
        <is>
          <t>CURAL</t>
        </is>
      </c>
      <c r="C3001" t="inlineStr">
        <is>
          <t>SHELVES</t>
        </is>
      </c>
      <c r="D3001" t="inlineStr">
        <is>
          <t>PR6015.U9 Z5445</t>
        </is>
      </c>
      <c r="E3001" t="inlineStr">
        <is>
          <t>0                      PR 6015000U  9                  Z  5445</t>
        </is>
      </c>
      <c r="F3001" t="inlineStr">
        <is>
          <t>Aldous Huxley : a bibliography, 1916-1959 / by Claire John Eschelbach and Joyce Lee Shober ; with a foreword by Aldous Huxley.</t>
        </is>
      </c>
      <c r="H3001" t="inlineStr">
        <is>
          <t>No</t>
        </is>
      </c>
      <c r="I3001" t="inlineStr">
        <is>
          <t>1</t>
        </is>
      </c>
      <c r="J3001" t="inlineStr">
        <is>
          <t>No</t>
        </is>
      </c>
      <c r="K3001" t="inlineStr">
        <is>
          <t>No</t>
        </is>
      </c>
      <c r="L3001" t="inlineStr">
        <is>
          <t>0</t>
        </is>
      </c>
      <c r="M3001" t="inlineStr">
        <is>
          <t>Eschelbach, Claire John.</t>
        </is>
      </c>
      <c r="N3001" t="inlineStr">
        <is>
          <t>New York : Octagon Books, 1979.</t>
        </is>
      </c>
      <c r="O3001" t="inlineStr">
        <is>
          <t>1979</t>
        </is>
      </c>
      <c r="Q3001" t="inlineStr">
        <is>
          <t>eng</t>
        </is>
      </c>
      <c r="R3001" t="inlineStr">
        <is>
          <t>nyu</t>
        </is>
      </c>
      <c r="T3001" t="inlineStr">
        <is>
          <t xml:space="preserve">PR </t>
        </is>
      </c>
      <c r="U3001" t="n">
        <v>2</v>
      </c>
      <c r="V3001" t="n">
        <v>2</v>
      </c>
      <c r="W3001" t="inlineStr">
        <is>
          <t>1999-09-01</t>
        </is>
      </c>
      <c r="X3001" t="inlineStr">
        <is>
          <t>1999-09-01</t>
        </is>
      </c>
      <c r="Y3001" t="inlineStr">
        <is>
          <t>1992-07-07</t>
        </is>
      </c>
      <c r="Z3001" t="inlineStr">
        <is>
          <t>1992-07-07</t>
        </is>
      </c>
      <c r="AA3001" t="n">
        <v>31</v>
      </c>
      <c r="AB3001" t="n">
        <v>24</v>
      </c>
      <c r="AC3001" t="n">
        <v>29</v>
      </c>
      <c r="AD3001" t="n">
        <v>1</v>
      </c>
      <c r="AE3001" t="n">
        <v>1</v>
      </c>
      <c r="AF3001" t="n">
        <v>1</v>
      </c>
      <c r="AG3001" t="n">
        <v>1</v>
      </c>
      <c r="AH3001" t="n">
        <v>1</v>
      </c>
      <c r="AI3001" t="n">
        <v>1</v>
      </c>
      <c r="AJ3001" t="n">
        <v>0</v>
      </c>
      <c r="AK3001" t="n">
        <v>0</v>
      </c>
      <c r="AL3001" t="n">
        <v>1</v>
      </c>
      <c r="AM3001" t="n">
        <v>1</v>
      </c>
      <c r="AN3001" t="n">
        <v>0</v>
      </c>
      <c r="AO3001" t="n">
        <v>0</v>
      </c>
      <c r="AP3001" t="n">
        <v>0</v>
      </c>
      <c r="AQ3001" t="n">
        <v>0</v>
      </c>
      <c r="AR3001" t="inlineStr">
        <is>
          <t>No</t>
        </is>
      </c>
      <c r="AS3001" t="inlineStr">
        <is>
          <t>No</t>
        </is>
      </c>
      <c r="AU3001">
        <f>HYPERLINK("https://creighton-primo.hosted.exlibrisgroup.com/primo-explore/search?tab=default_tab&amp;search_scope=EVERYTHING&amp;vid=01CRU&amp;lang=en_US&amp;offset=0&amp;query=any,contains,991004798889702656","Catalog Record")</f>
        <v/>
      </c>
      <c r="AV3001">
        <f>HYPERLINK("http://www.worldcat.org/oclc/5196981","WorldCat Record")</f>
        <v/>
      </c>
      <c r="AW3001" t="inlineStr">
        <is>
          <t>10678371850:eng</t>
        </is>
      </c>
      <c r="AX3001" t="inlineStr">
        <is>
          <t>5196981</t>
        </is>
      </c>
      <c r="AY3001" t="inlineStr">
        <is>
          <t>991004798889702656</t>
        </is>
      </c>
      <c r="AZ3001" t="inlineStr">
        <is>
          <t>991004798889702656</t>
        </is>
      </c>
      <c r="BA3001" t="inlineStr">
        <is>
          <t>2258739460002656</t>
        </is>
      </c>
      <c r="BB3001" t="inlineStr">
        <is>
          <t>BOOK</t>
        </is>
      </c>
      <c r="BD3001" t="inlineStr">
        <is>
          <t>9780374926267</t>
        </is>
      </c>
      <c r="BE3001" t="inlineStr">
        <is>
          <t>32285001149318</t>
        </is>
      </c>
      <c r="BF3001" t="inlineStr">
        <is>
          <t>893229849</t>
        </is>
      </c>
    </row>
    <row r="3002">
      <c r="A3002" t="inlineStr">
        <is>
          <t>No</t>
        </is>
      </c>
      <c r="B3002" t="inlineStr">
        <is>
          <t>CURAL</t>
        </is>
      </c>
      <c r="C3002" t="inlineStr">
        <is>
          <t>SHELVES</t>
        </is>
      </c>
      <c r="D3002" t="inlineStr">
        <is>
          <t>PR6015.U9 Z5446</t>
        </is>
      </c>
      <c r="E3002" t="inlineStr">
        <is>
          <t>0                      PR 6015000U  9                  Z  5446</t>
        </is>
      </c>
      <c r="F3002" t="inlineStr">
        <is>
          <t>Aldous Huxley, an annotated bibliography of criticism / Eben E. Bass.</t>
        </is>
      </c>
      <c r="H3002" t="inlineStr">
        <is>
          <t>No</t>
        </is>
      </c>
      <c r="I3002" t="inlineStr">
        <is>
          <t>1</t>
        </is>
      </c>
      <c r="J3002" t="inlineStr">
        <is>
          <t>No</t>
        </is>
      </c>
      <c r="K3002" t="inlineStr">
        <is>
          <t>No</t>
        </is>
      </c>
      <c r="L3002" t="inlineStr">
        <is>
          <t>0</t>
        </is>
      </c>
      <c r="M3002" t="inlineStr">
        <is>
          <t>Bass, Eben E., 1924-</t>
        </is>
      </c>
      <c r="N3002" t="inlineStr">
        <is>
          <t>New York : Garland Pub., 1981.</t>
        </is>
      </c>
      <c r="O3002" t="inlineStr">
        <is>
          <t>1981</t>
        </is>
      </c>
      <c r="Q3002" t="inlineStr">
        <is>
          <t>eng</t>
        </is>
      </c>
      <c r="R3002" t="inlineStr">
        <is>
          <t>nyu</t>
        </is>
      </c>
      <c r="S3002" t="inlineStr">
        <is>
          <t>Garland reference library of the humanities ; v. 198</t>
        </is>
      </c>
      <c r="T3002" t="inlineStr">
        <is>
          <t xml:space="preserve">PR </t>
        </is>
      </c>
      <c r="U3002" t="n">
        <v>1</v>
      </c>
      <c r="V3002" t="n">
        <v>1</v>
      </c>
      <c r="W3002" t="inlineStr">
        <is>
          <t>2003-11-20</t>
        </is>
      </c>
      <c r="X3002" t="inlineStr">
        <is>
          <t>2003-11-20</t>
        </is>
      </c>
      <c r="Y3002" t="inlineStr">
        <is>
          <t>1992-07-07</t>
        </is>
      </c>
      <c r="Z3002" t="inlineStr">
        <is>
          <t>1992-07-07</t>
        </is>
      </c>
      <c r="AA3002" t="n">
        <v>385</v>
      </c>
      <c r="AB3002" t="n">
        <v>293</v>
      </c>
      <c r="AC3002" t="n">
        <v>295</v>
      </c>
      <c r="AD3002" t="n">
        <v>3</v>
      </c>
      <c r="AE3002" t="n">
        <v>3</v>
      </c>
      <c r="AF3002" t="n">
        <v>13</v>
      </c>
      <c r="AG3002" t="n">
        <v>13</v>
      </c>
      <c r="AH3002" t="n">
        <v>4</v>
      </c>
      <c r="AI3002" t="n">
        <v>4</v>
      </c>
      <c r="AJ3002" t="n">
        <v>4</v>
      </c>
      <c r="AK3002" t="n">
        <v>4</v>
      </c>
      <c r="AL3002" t="n">
        <v>8</v>
      </c>
      <c r="AM3002" t="n">
        <v>8</v>
      </c>
      <c r="AN3002" t="n">
        <v>2</v>
      </c>
      <c r="AO3002" t="n">
        <v>2</v>
      </c>
      <c r="AP3002" t="n">
        <v>0</v>
      </c>
      <c r="AQ3002" t="n">
        <v>0</v>
      </c>
      <c r="AR3002" t="inlineStr">
        <is>
          <t>No</t>
        </is>
      </c>
      <c r="AS3002" t="inlineStr">
        <is>
          <t>Yes</t>
        </is>
      </c>
      <c r="AT3002">
        <f>HYPERLINK("http://catalog.hathitrust.org/Record/000100315","HathiTrust Record")</f>
        <v/>
      </c>
      <c r="AU3002">
        <f>HYPERLINK("https://creighton-primo.hosted.exlibrisgroup.com/primo-explore/search?tab=default_tab&amp;search_scope=EVERYTHING&amp;vid=01CRU&amp;lang=en_US&amp;offset=0&amp;query=any,contains,991005054119702656","Catalog Record")</f>
        <v/>
      </c>
      <c r="AV3002">
        <f>HYPERLINK("http://www.worldcat.org/oclc/6890075","WorldCat Record")</f>
        <v/>
      </c>
      <c r="AW3002" t="inlineStr">
        <is>
          <t>915367:eng</t>
        </is>
      </c>
      <c r="AX3002" t="inlineStr">
        <is>
          <t>6890075</t>
        </is>
      </c>
      <c r="AY3002" t="inlineStr">
        <is>
          <t>991005054119702656</t>
        </is>
      </c>
      <c r="AZ3002" t="inlineStr">
        <is>
          <t>991005054119702656</t>
        </is>
      </c>
      <c r="BA3002" t="inlineStr">
        <is>
          <t>2264059560002656</t>
        </is>
      </c>
      <c r="BB3002" t="inlineStr">
        <is>
          <t>BOOK</t>
        </is>
      </c>
      <c r="BD3002" t="inlineStr">
        <is>
          <t>9780824095253</t>
        </is>
      </c>
      <c r="BE3002" t="inlineStr">
        <is>
          <t>32285001149326</t>
        </is>
      </c>
      <c r="BF3002" t="inlineStr">
        <is>
          <t>893870443</t>
        </is>
      </c>
    </row>
    <row r="3003">
      <c r="A3003" t="inlineStr">
        <is>
          <t>No</t>
        </is>
      </c>
      <c r="B3003" t="inlineStr">
        <is>
          <t>CURAL</t>
        </is>
      </c>
      <c r="C3003" t="inlineStr">
        <is>
          <t>SHELVES</t>
        </is>
      </c>
      <c r="D3003" t="inlineStr">
        <is>
          <t>PR6015.U9 Z555</t>
        </is>
      </c>
      <c r="E3003" t="inlineStr">
        <is>
          <t>0                      PR 6015000U  9                  Z  555</t>
        </is>
      </c>
      <c r="F3003" t="inlineStr">
        <is>
          <t>Aldous Huxley, the critical heritage / edited by Donald Watt.</t>
        </is>
      </c>
      <c r="H3003" t="inlineStr">
        <is>
          <t>No</t>
        </is>
      </c>
      <c r="I3003" t="inlineStr">
        <is>
          <t>1</t>
        </is>
      </c>
      <c r="J3003" t="inlineStr">
        <is>
          <t>No</t>
        </is>
      </c>
      <c r="K3003" t="inlineStr">
        <is>
          <t>Yes</t>
        </is>
      </c>
      <c r="L3003" t="inlineStr">
        <is>
          <t>0</t>
        </is>
      </c>
      <c r="N3003" t="inlineStr">
        <is>
          <t>London ; Boston : Routledge &amp; K. Paul, 1975.</t>
        </is>
      </c>
      <c r="O3003" t="inlineStr">
        <is>
          <t>1975</t>
        </is>
      </c>
      <c r="Q3003" t="inlineStr">
        <is>
          <t>eng</t>
        </is>
      </c>
      <c r="R3003" t="inlineStr">
        <is>
          <t>enk</t>
        </is>
      </c>
      <c r="S3003" t="inlineStr">
        <is>
          <t>The Critical heritage series</t>
        </is>
      </c>
      <c r="T3003" t="inlineStr">
        <is>
          <t xml:space="preserve">PR </t>
        </is>
      </c>
      <c r="U3003" t="n">
        <v>1</v>
      </c>
      <c r="V3003" t="n">
        <v>1</v>
      </c>
      <c r="W3003" t="inlineStr">
        <is>
          <t>2003-11-20</t>
        </is>
      </c>
      <c r="X3003" t="inlineStr">
        <is>
          <t>2003-11-20</t>
        </is>
      </c>
      <c r="Y3003" t="inlineStr">
        <is>
          <t>1997-04-09</t>
        </is>
      </c>
      <c r="Z3003" t="inlineStr">
        <is>
          <t>1997-04-09</t>
        </is>
      </c>
      <c r="AA3003" t="n">
        <v>866</v>
      </c>
      <c r="AB3003" t="n">
        <v>640</v>
      </c>
      <c r="AC3003" t="n">
        <v>683</v>
      </c>
      <c r="AD3003" t="n">
        <v>8</v>
      </c>
      <c r="AE3003" t="n">
        <v>8</v>
      </c>
      <c r="AF3003" t="n">
        <v>34</v>
      </c>
      <c r="AG3003" t="n">
        <v>36</v>
      </c>
      <c r="AH3003" t="n">
        <v>15</v>
      </c>
      <c r="AI3003" t="n">
        <v>16</v>
      </c>
      <c r="AJ3003" t="n">
        <v>6</v>
      </c>
      <c r="AK3003" t="n">
        <v>7</v>
      </c>
      <c r="AL3003" t="n">
        <v>15</v>
      </c>
      <c r="AM3003" t="n">
        <v>15</v>
      </c>
      <c r="AN3003" t="n">
        <v>7</v>
      </c>
      <c r="AO3003" t="n">
        <v>7</v>
      </c>
      <c r="AP3003" t="n">
        <v>0</v>
      </c>
      <c r="AQ3003" t="n">
        <v>0</v>
      </c>
      <c r="AR3003" t="inlineStr">
        <is>
          <t>No</t>
        </is>
      </c>
      <c r="AS3003" t="inlineStr">
        <is>
          <t>No</t>
        </is>
      </c>
      <c r="AU3003">
        <f>HYPERLINK("https://creighton-primo.hosted.exlibrisgroup.com/primo-explore/search?tab=default_tab&amp;search_scope=EVERYTHING&amp;vid=01CRU&amp;lang=en_US&amp;offset=0&amp;query=any,contains,991003806999702656","Catalog Record")</f>
        <v/>
      </c>
      <c r="AV3003">
        <f>HYPERLINK("http://www.worldcat.org/oclc/1531136","WorldCat Record")</f>
        <v/>
      </c>
      <c r="AW3003" t="inlineStr">
        <is>
          <t>863062501:eng</t>
        </is>
      </c>
      <c r="AX3003" t="inlineStr">
        <is>
          <t>1531136</t>
        </is>
      </c>
      <c r="AY3003" t="inlineStr">
        <is>
          <t>991003806999702656</t>
        </is>
      </c>
      <c r="AZ3003" t="inlineStr">
        <is>
          <t>991003806999702656</t>
        </is>
      </c>
      <c r="BA3003" t="inlineStr">
        <is>
          <t>2271787330002656</t>
        </is>
      </c>
      <c r="BB3003" t="inlineStr">
        <is>
          <t>BOOK</t>
        </is>
      </c>
      <c r="BD3003" t="inlineStr">
        <is>
          <t>9780710081148</t>
        </is>
      </c>
      <c r="BE3003" t="inlineStr">
        <is>
          <t>32285002527561</t>
        </is>
      </c>
      <c r="BF3003" t="inlineStr">
        <is>
          <t>893518894</t>
        </is>
      </c>
    </row>
    <row r="3004">
      <c r="A3004" t="inlineStr">
        <is>
          <t>No</t>
        </is>
      </c>
      <c r="B3004" t="inlineStr">
        <is>
          <t>CURAL</t>
        </is>
      </c>
      <c r="C3004" t="inlineStr">
        <is>
          <t>SHELVES</t>
        </is>
      </c>
      <c r="D3004" t="inlineStr">
        <is>
          <t>PR6015.U9 Z555 1985</t>
        </is>
      </c>
      <c r="E3004" t="inlineStr">
        <is>
          <t>0                      PR 6015000U  9                  Z  555         1985</t>
        </is>
      </c>
      <c r="F3004" t="inlineStr">
        <is>
          <t>Aldous Huxley, the critical heritage / edited by Donald Watt.</t>
        </is>
      </c>
      <c r="H3004" t="inlineStr">
        <is>
          <t>No</t>
        </is>
      </c>
      <c r="I3004" t="inlineStr">
        <is>
          <t>1</t>
        </is>
      </c>
      <c r="J3004" t="inlineStr">
        <is>
          <t>No</t>
        </is>
      </c>
      <c r="K3004" t="inlineStr">
        <is>
          <t>Yes</t>
        </is>
      </c>
      <c r="L3004" t="inlineStr">
        <is>
          <t>0</t>
        </is>
      </c>
      <c r="N3004" t="inlineStr">
        <is>
          <t>London ; Boston : Routledge &amp; K. Paul, 1985, c1975.</t>
        </is>
      </c>
      <c r="O3004" t="inlineStr">
        <is>
          <t>1985</t>
        </is>
      </c>
      <c r="Q3004" t="inlineStr">
        <is>
          <t>eng</t>
        </is>
      </c>
      <c r="R3004" t="inlineStr">
        <is>
          <t>enk</t>
        </is>
      </c>
      <c r="S3004" t="inlineStr">
        <is>
          <t>The Critical heritage series</t>
        </is>
      </c>
      <c r="T3004" t="inlineStr">
        <is>
          <t xml:space="preserve">PR </t>
        </is>
      </c>
      <c r="U3004" t="n">
        <v>5</v>
      </c>
      <c r="V3004" t="n">
        <v>5</v>
      </c>
      <c r="W3004" t="inlineStr">
        <is>
          <t>2004-10-06</t>
        </is>
      </c>
      <c r="X3004" t="inlineStr">
        <is>
          <t>2004-10-06</t>
        </is>
      </c>
      <c r="Y3004" t="inlineStr">
        <is>
          <t>1992-07-07</t>
        </is>
      </c>
      <c r="Z3004" t="inlineStr">
        <is>
          <t>1992-07-07</t>
        </is>
      </c>
      <c r="AA3004" t="n">
        <v>11</v>
      </c>
      <c r="AB3004" t="n">
        <v>9</v>
      </c>
      <c r="AC3004" t="n">
        <v>683</v>
      </c>
      <c r="AD3004" t="n">
        <v>1</v>
      </c>
      <c r="AE3004" t="n">
        <v>8</v>
      </c>
      <c r="AF3004" t="n">
        <v>0</v>
      </c>
      <c r="AG3004" t="n">
        <v>36</v>
      </c>
      <c r="AH3004" t="n">
        <v>0</v>
      </c>
      <c r="AI3004" t="n">
        <v>16</v>
      </c>
      <c r="AJ3004" t="n">
        <v>0</v>
      </c>
      <c r="AK3004" t="n">
        <v>7</v>
      </c>
      <c r="AL3004" t="n">
        <v>0</v>
      </c>
      <c r="AM3004" t="n">
        <v>15</v>
      </c>
      <c r="AN3004" t="n">
        <v>0</v>
      </c>
      <c r="AO3004" t="n">
        <v>7</v>
      </c>
      <c r="AP3004" t="n">
        <v>0</v>
      </c>
      <c r="AQ3004" t="n">
        <v>0</v>
      </c>
      <c r="AR3004" t="inlineStr">
        <is>
          <t>No</t>
        </is>
      </c>
      <c r="AS3004" t="inlineStr">
        <is>
          <t>No</t>
        </is>
      </c>
      <c r="AU3004">
        <f>HYPERLINK("https://creighton-primo.hosted.exlibrisgroup.com/primo-explore/search?tab=default_tab&amp;search_scope=EVERYTHING&amp;vid=01CRU&amp;lang=en_US&amp;offset=0&amp;query=any,contains,991001273709702656","Catalog Record")</f>
        <v/>
      </c>
      <c r="AV3004">
        <f>HYPERLINK("http://www.worldcat.org/oclc/17855792","WorldCat Record")</f>
        <v/>
      </c>
      <c r="AW3004" t="inlineStr">
        <is>
          <t>863062501:eng</t>
        </is>
      </c>
      <c r="AX3004" t="inlineStr">
        <is>
          <t>17855792</t>
        </is>
      </c>
      <c r="AY3004" t="inlineStr">
        <is>
          <t>991001273709702656</t>
        </is>
      </c>
      <c r="AZ3004" t="inlineStr">
        <is>
          <t>991001273709702656</t>
        </is>
      </c>
      <c r="BA3004" t="inlineStr">
        <is>
          <t>2267792220002656</t>
        </is>
      </c>
      <c r="BB3004" t="inlineStr">
        <is>
          <t>BOOK</t>
        </is>
      </c>
      <c r="BD3004" t="inlineStr">
        <is>
          <t>9780710205919</t>
        </is>
      </c>
      <c r="BE3004" t="inlineStr">
        <is>
          <t>32285001149334</t>
        </is>
      </c>
      <c r="BF3004" t="inlineStr">
        <is>
          <t>893426483</t>
        </is>
      </c>
    </row>
    <row r="3005">
      <c r="A3005" t="inlineStr">
        <is>
          <t>No</t>
        </is>
      </c>
      <c r="B3005" t="inlineStr">
        <is>
          <t>CURAL</t>
        </is>
      </c>
      <c r="C3005" t="inlineStr">
        <is>
          <t>SHELVES</t>
        </is>
      </c>
      <c r="D3005" t="inlineStr">
        <is>
          <t>PR6015.U9 Z5617 1982</t>
        </is>
      </c>
      <c r="E3005" t="inlineStr">
        <is>
          <t>0                      PR 6015000U  9                  Z  5617        1982</t>
        </is>
      </c>
      <c r="F3005" t="inlineStr">
        <is>
          <t>The dark historic page : social satire and historicism in the novels of Aldous Huxley, 1921-1939 / Robert S. Baker.</t>
        </is>
      </c>
      <c r="H3005" t="inlineStr">
        <is>
          <t>No</t>
        </is>
      </c>
      <c r="I3005" t="inlineStr">
        <is>
          <t>1</t>
        </is>
      </c>
      <c r="J3005" t="inlineStr">
        <is>
          <t>No</t>
        </is>
      </c>
      <c r="K3005" t="inlineStr">
        <is>
          <t>No</t>
        </is>
      </c>
      <c r="L3005" t="inlineStr">
        <is>
          <t>0</t>
        </is>
      </c>
      <c r="M3005" t="inlineStr">
        <is>
          <t>Baker, Robert S., 1940-</t>
        </is>
      </c>
      <c r="N3005" t="inlineStr">
        <is>
          <t>Madison : University of Wisconsin Press, 1982.</t>
        </is>
      </c>
      <c r="O3005" t="inlineStr">
        <is>
          <t>1982</t>
        </is>
      </c>
      <c r="Q3005" t="inlineStr">
        <is>
          <t>eng</t>
        </is>
      </c>
      <c r="R3005" t="inlineStr">
        <is>
          <t>wiu</t>
        </is>
      </c>
      <c r="T3005" t="inlineStr">
        <is>
          <t xml:space="preserve">PR </t>
        </is>
      </c>
      <c r="U3005" t="n">
        <v>1</v>
      </c>
      <c r="V3005" t="n">
        <v>1</v>
      </c>
      <c r="W3005" t="inlineStr">
        <is>
          <t>2003-02-24</t>
        </is>
      </c>
      <c r="X3005" t="inlineStr">
        <is>
          <t>2003-02-24</t>
        </is>
      </c>
      <c r="Y3005" t="inlineStr">
        <is>
          <t>1992-07-07</t>
        </is>
      </c>
      <c r="Z3005" t="inlineStr">
        <is>
          <t>1992-07-07</t>
        </is>
      </c>
      <c r="AA3005" t="n">
        <v>442</v>
      </c>
      <c r="AB3005" t="n">
        <v>356</v>
      </c>
      <c r="AC3005" t="n">
        <v>363</v>
      </c>
      <c r="AD3005" t="n">
        <v>3</v>
      </c>
      <c r="AE3005" t="n">
        <v>3</v>
      </c>
      <c r="AF3005" t="n">
        <v>21</v>
      </c>
      <c r="AG3005" t="n">
        <v>21</v>
      </c>
      <c r="AH3005" t="n">
        <v>9</v>
      </c>
      <c r="AI3005" t="n">
        <v>9</v>
      </c>
      <c r="AJ3005" t="n">
        <v>4</v>
      </c>
      <c r="AK3005" t="n">
        <v>4</v>
      </c>
      <c r="AL3005" t="n">
        <v>12</v>
      </c>
      <c r="AM3005" t="n">
        <v>12</v>
      </c>
      <c r="AN3005" t="n">
        <v>2</v>
      </c>
      <c r="AO3005" t="n">
        <v>2</v>
      </c>
      <c r="AP3005" t="n">
        <v>0</v>
      </c>
      <c r="AQ3005" t="n">
        <v>0</v>
      </c>
      <c r="AR3005" t="inlineStr">
        <is>
          <t>No</t>
        </is>
      </c>
      <c r="AS3005" t="inlineStr">
        <is>
          <t>Yes</t>
        </is>
      </c>
      <c r="AT3005">
        <f>HYPERLINK("http://catalog.hathitrust.org/Record/000150354","HathiTrust Record")</f>
        <v/>
      </c>
      <c r="AU3005">
        <f>HYPERLINK("https://creighton-primo.hosted.exlibrisgroup.com/primo-explore/search?tab=default_tab&amp;search_scope=EVERYTHING&amp;vid=01CRU&amp;lang=en_US&amp;offset=0&amp;query=any,contains,991005214729702656","Catalog Record")</f>
        <v/>
      </c>
      <c r="AV3005">
        <f>HYPERLINK("http://www.worldcat.org/oclc/8176674","WorldCat Record")</f>
        <v/>
      </c>
      <c r="AW3005" t="inlineStr">
        <is>
          <t>434613:eng</t>
        </is>
      </c>
      <c r="AX3005" t="inlineStr">
        <is>
          <t>8176674</t>
        </is>
      </c>
      <c r="AY3005" t="inlineStr">
        <is>
          <t>991005214729702656</t>
        </is>
      </c>
      <c r="AZ3005" t="inlineStr">
        <is>
          <t>991005214729702656</t>
        </is>
      </c>
      <c r="BA3005" t="inlineStr">
        <is>
          <t>2259562930002656</t>
        </is>
      </c>
      <c r="BB3005" t="inlineStr">
        <is>
          <t>BOOK</t>
        </is>
      </c>
      <c r="BD3005" t="inlineStr">
        <is>
          <t>9780299089405</t>
        </is>
      </c>
      <c r="BE3005" t="inlineStr">
        <is>
          <t>32285001149342</t>
        </is>
      </c>
      <c r="BF3005" t="inlineStr">
        <is>
          <t>893896068</t>
        </is>
      </c>
    </row>
    <row r="3006">
      <c r="A3006" t="inlineStr">
        <is>
          <t>No</t>
        </is>
      </c>
      <c r="B3006" t="inlineStr">
        <is>
          <t>CURAL</t>
        </is>
      </c>
      <c r="C3006" t="inlineStr">
        <is>
          <t>SHELVES</t>
        </is>
      </c>
      <c r="D3006" t="inlineStr">
        <is>
          <t>PR6015.U9 Z562 1974</t>
        </is>
      </c>
      <c r="E3006" t="inlineStr">
        <is>
          <t>0                      PR 6015000U  9                  Z  562         1974</t>
        </is>
      </c>
      <c r="F3006" t="inlineStr">
        <is>
          <t>Aldous Huxley : a biography / Sybille Bedford.</t>
        </is>
      </c>
      <c r="H3006" t="inlineStr">
        <is>
          <t>No</t>
        </is>
      </c>
      <c r="I3006" t="inlineStr">
        <is>
          <t>1</t>
        </is>
      </c>
      <c r="J3006" t="inlineStr">
        <is>
          <t>No</t>
        </is>
      </c>
      <c r="K3006" t="inlineStr">
        <is>
          <t>Yes</t>
        </is>
      </c>
      <c r="L3006" t="inlineStr">
        <is>
          <t>0</t>
        </is>
      </c>
      <c r="M3006" t="inlineStr">
        <is>
          <t>Bedford, Sybille, 1911-2006.</t>
        </is>
      </c>
      <c r="N3006" t="inlineStr">
        <is>
          <t>New York : Knopf : distributed by Random House, 1974.</t>
        </is>
      </c>
      <c r="O3006" t="inlineStr">
        <is>
          <t>1974</t>
        </is>
      </c>
      <c r="P3006" t="inlineStr">
        <is>
          <t>1st American ed.</t>
        </is>
      </c>
      <c r="Q3006" t="inlineStr">
        <is>
          <t>eng</t>
        </is>
      </c>
      <c r="R3006" t="inlineStr">
        <is>
          <t>nyu</t>
        </is>
      </c>
      <c r="T3006" t="inlineStr">
        <is>
          <t xml:space="preserve">PR </t>
        </is>
      </c>
      <c r="U3006" t="n">
        <v>4</v>
      </c>
      <c r="V3006" t="n">
        <v>4</v>
      </c>
      <c r="W3006" t="inlineStr">
        <is>
          <t>2004-10-06</t>
        </is>
      </c>
      <c r="X3006" t="inlineStr">
        <is>
          <t>2004-10-06</t>
        </is>
      </c>
      <c r="Y3006" t="inlineStr">
        <is>
          <t>2001-07-12</t>
        </is>
      </c>
      <c r="Z3006" t="inlineStr">
        <is>
          <t>2001-07-12</t>
        </is>
      </c>
      <c r="AA3006" t="n">
        <v>1432</v>
      </c>
      <c r="AB3006" t="n">
        <v>1389</v>
      </c>
      <c r="AC3006" t="n">
        <v>1775</v>
      </c>
      <c r="AD3006" t="n">
        <v>11</v>
      </c>
      <c r="AE3006" t="n">
        <v>16</v>
      </c>
      <c r="AF3006" t="n">
        <v>28</v>
      </c>
      <c r="AG3006" t="n">
        <v>43</v>
      </c>
      <c r="AH3006" t="n">
        <v>12</v>
      </c>
      <c r="AI3006" t="n">
        <v>17</v>
      </c>
      <c r="AJ3006" t="n">
        <v>5</v>
      </c>
      <c r="AK3006" t="n">
        <v>8</v>
      </c>
      <c r="AL3006" t="n">
        <v>14</v>
      </c>
      <c r="AM3006" t="n">
        <v>22</v>
      </c>
      <c r="AN3006" t="n">
        <v>5</v>
      </c>
      <c r="AO3006" t="n">
        <v>7</v>
      </c>
      <c r="AP3006" t="n">
        <v>0</v>
      </c>
      <c r="AQ3006" t="n">
        <v>0</v>
      </c>
      <c r="AR3006" t="inlineStr">
        <is>
          <t>No</t>
        </is>
      </c>
      <c r="AS3006" t="inlineStr">
        <is>
          <t>No</t>
        </is>
      </c>
      <c r="AU3006">
        <f>HYPERLINK("https://creighton-primo.hosted.exlibrisgroup.com/primo-explore/search?tab=default_tab&amp;search_scope=EVERYTHING&amp;vid=01CRU&amp;lang=en_US&amp;offset=0&amp;query=any,contains,991003567559702656","Catalog Record")</f>
        <v/>
      </c>
      <c r="AV3006">
        <f>HYPERLINK("http://www.worldcat.org/oclc/1096399","WorldCat Record")</f>
        <v/>
      </c>
      <c r="AW3006" t="inlineStr">
        <is>
          <t>3772389605:eng</t>
        </is>
      </c>
      <c r="AX3006" t="inlineStr">
        <is>
          <t>1096399</t>
        </is>
      </c>
      <c r="AY3006" t="inlineStr">
        <is>
          <t>991003567559702656</t>
        </is>
      </c>
      <c r="AZ3006" t="inlineStr">
        <is>
          <t>991003567559702656</t>
        </is>
      </c>
      <c r="BA3006" t="inlineStr">
        <is>
          <t>2268471700002656</t>
        </is>
      </c>
      <c r="BB3006" t="inlineStr">
        <is>
          <t>BOOK</t>
        </is>
      </c>
      <c r="BD3006" t="inlineStr">
        <is>
          <t>9780394465876</t>
        </is>
      </c>
      <c r="BE3006" t="inlineStr">
        <is>
          <t>32285004332093</t>
        </is>
      </c>
      <c r="BF3006" t="inlineStr">
        <is>
          <t>893617471</t>
        </is>
      </c>
    </row>
    <row r="3007">
      <c r="A3007" t="inlineStr">
        <is>
          <t>No</t>
        </is>
      </c>
      <c r="B3007" t="inlineStr">
        <is>
          <t>CURAL</t>
        </is>
      </c>
      <c r="C3007" t="inlineStr">
        <is>
          <t>SHELVES</t>
        </is>
      </c>
      <c r="D3007" t="inlineStr">
        <is>
          <t>PR6015.U9 Z563</t>
        </is>
      </c>
      <c r="E3007" t="inlineStr">
        <is>
          <t>0                      PR 6015000U  9                  Z  563</t>
        </is>
      </c>
      <c r="F3007" t="inlineStr">
        <is>
          <t>Aldous Huxley's quest for values.</t>
        </is>
      </c>
      <c r="H3007" t="inlineStr">
        <is>
          <t>No</t>
        </is>
      </c>
      <c r="I3007" t="inlineStr">
        <is>
          <t>1</t>
        </is>
      </c>
      <c r="J3007" t="inlineStr">
        <is>
          <t>No</t>
        </is>
      </c>
      <c r="K3007" t="inlineStr">
        <is>
          <t>No</t>
        </is>
      </c>
      <c r="L3007" t="inlineStr">
        <is>
          <t>0</t>
        </is>
      </c>
      <c r="M3007" t="inlineStr">
        <is>
          <t>Birnbaum, Milton, 1919-</t>
        </is>
      </c>
      <c r="N3007" t="inlineStr">
        <is>
          <t>Knoxville] : University of Tennessee Press, [1971]</t>
        </is>
      </c>
      <c r="O3007" t="inlineStr">
        <is>
          <t>1971</t>
        </is>
      </c>
      <c r="P3007" t="inlineStr">
        <is>
          <t>[1st ed.</t>
        </is>
      </c>
      <c r="Q3007" t="inlineStr">
        <is>
          <t>eng</t>
        </is>
      </c>
      <c r="R3007" t="inlineStr">
        <is>
          <t>tnu</t>
        </is>
      </c>
      <c r="T3007" t="inlineStr">
        <is>
          <t xml:space="preserve">PR </t>
        </is>
      </c>
      <c r="U3007" t="n">
        <v>5</v>
      </c>
      <c r="V3007" t="n">
        <v>5</v>
      </c>
      <c r="W3007" t="inlineStr">
        <is>
          <t>2004-10-06</t>
        </is>
      </c>
      <c r="X3007" t="inlineStr">
        <is>
          <t>2004-10-06</t>
        </is>
      </c>
      <c r="Y3007" t="inlineStr">
        <is>
          <t>1990-05-30</t>
        </is>
      </c>
      <c r="Z3007" t="inlineStr">
        <is>
          <t>1990-05-30</t>
        </is>
      </c>
      <c r="AA3007" t="n">
        <v>828</v>
      </c>
      <c r="AB3007" t="n">
        <v>727</v>
      </c>
      <c r="AC3007" t="n">
        <v>734</v>
      </c>
      <c r="AD3007" t="n">
        <v>8</v>
      </c>
      <c r="AE3007" t="n">
        <v>8</v>
      </c>
      <c r="AF3007" t="n">
        <v>38</v>
      </c>
      <c r="AG3007" t="n">
        <v>38</v>
      </c>
      <c r="AH3007" t="n">
        <v>15</v>
      </c>
      <c r="AI3007" t="n">
        <v>15</v>
      </c>
      <c r="AJ3007" t="n">
        <v>7</v>
      </c>
      <c r="AK3007" t="n">
        <v>7</v>
      </c>
      <c r="AL3007" t="n">
        <v>16</v>
      </c>
      <c r="AM3007" t="n">
        <v>16</v>
      </c>
      <c r="AN3007" t="n">
        <v>7</v>
      </c>
      <c r="AO3007" t="n">
        <v>7</v>
      </c>
      <c r="AP3007" t="n">
        <v>0</v>
      </c>
      <c r="AQ3007" t="n">
        <v>0</v>
      </c>
      <c r="AR3007" t="inlineStr">
        <is>
          <t>No</t>
        </is>
      </c>
      <c r="AS3007" t="inlineStr">
        <is>
          <t>No</t>
        </is>
      </c>
      <c r="AU3007">
        <f>HYPERLINK("https://creighton-primo.hosted.exlibrisgroup.com/primo-explore/search?tab=default_tab&amp;search_scope=EVERYTHING&amp;vid=01CRU&amp;lang=en_US&amp;offset=0&amp;query=any,contains,991000906859702656","Catalog Record")</f>
        <v/>
      </c>
      <c r="AV3007">
        <f>HYPERLINK("http://www.worldcat.org/oclc/157730","WorldCat Record")</f>
        <v/>
      </c>
      <c r="AW3007" t="inlineStr">
        <is>
          <t>639478:eng</t>
        </is>
      </c>
      <c r="AX3007" t="inlineStr">
        <is>
          <t>157730</t>
        </is>
      </c>
      <c r="AY3007" t="inlineStr">
        <is>
          <t>991000906859702656</t>
        </is>
      </c>
      <c r="AZ3007" t="inlineStr">
        <is>
          <t>991000906859702656</t>
        </is>
      </c>
      <c r="BA3007" t="inlineStr">
        <is>
          <t>2255990830002656</t>
        </is>
      </c>
      <c r="BB3007" t="inlineStr">
        <is>
          <t>BOOK</t>
        </is>
      </c>
      <c r="BD3007" t="inlineStr">
        <is>
          <t>9780870491276</t>
        </is>
      </c>
      <c r="BE3007" t="inlineStr">
        <is>
          <t>32285000159722</t>
        </is>
      </c>
      <c r="BF3007" t="inlineStr">
        <is>
          <t>893261651</t>
        </is>
      </c>
    </row>
    <row r="3008">
      <c r="A3008" t="inlineStr">
        <is>
          <t>No</t>
        </is>
      </c>
      <c r="B3008" t="inlineStr">
        <is>
          <t>CURAL</t>
        </is>
      </c>
      <c r="C3008" t="inlineStr">
        <is>
          <t>SHELVES</t>
        </is>
      </c>
      <c r="D3008" t="inlineStr">
        <is>
          <t>PR6015.U9 Z575 1970b</t>
        </is>
      </c>
      <c r="E3008" t="inlineStr">
        <is>
          <t>0                      PR 6015000U  9                  Z  575         1970b</t>
        </is>
      </c>
      <c r="F3008" t="inlineStr">
        <is>
          <t>Aldous Huxley : a critical study / by Laurence Brander.</t>
        </is>
      </c>
      <c r="H3008" t="inlineStr">
        <is>
          <t>No</t>
        </is>
      </c>
      <c r="I3008" t="inlineStr">
        <is>
          <t>1</t>
        </is>
      </c>
      <c r="J3008" t="inlineStr">
        <is>
          <t>No</t>
        </is>
      </c>
      <c r="K3008" t="inlineStr">
        <is>
          <t>No</t>
        </is>
      </c>
      <c r="L3008" t="inlineStr">
        <is>
          <t>0</t>
        </is>
      </c>
      <c r="M3008" t="inlineStr">
        <is>
          <t>Brander, Laurence, 1903-</t>
        </is>
      </c>
      <c r="N3008" t="inlineStr">
        <is>
          <t>London, Hart-Davis, 1969, c1970.</t>
        </is>
      </c>
      <c r="O3008" t="inlineStr">
        <is>
          <t>1970</t>
        </is>
      </c>
      <c r="Q3008" t="inlineStr">
        <is>
          <t>eng</t>
        </is>
      </c>
      <c r="R3008" t="inlineStr">
        <is>
          <t>enk</t>
        </is>
      </c>
      <c r="T3008" t="inlineStr">
        <is>
          <t xml:space="preserve">PR </t>
        </is>
      </c>
      <c r="U3008" t="n">
        <v>13</v>
      </c>
      <c r="V3008" t="n">
        <v>13</v>
      </c>
      <c r="W3008" t="inlineStr">
        <is>
          <t>2006-10-29</t>
        </is>
      </c>
      <c r="X3008" t="inlineStr">
        <is>
          <t>2006-10-29</t>
        </is>
      </c>
      <c r="Y3008" t="inlineStr">
        <is>
          <t>1992-07-07</t>
        </is>
      </c>
      <c r="Z3008" t="inlineStr">
        <is>
          <t>1992-07-07</t>
        </is>
      </c>
      <c r="AA3008" t="n">
        <v>243</v>
      </c>
      <c r="AB3008" t="n">
        <v>118</v>
      </c>
      <c r="AC3008" t="n">
        <v>503</v>
      </c>
      <c r="AD3008" t="n">
        <v>2</v>
      </c>
      <c r="AE3008" t="n">
        <v>3</v>
      </c>
      <c r="AF3008" t="n">
        <v>7</v>
      </c>
      <c r="AG3008" t="n">
        <v>24</v>
      </c>
      <c r="AH3008" t="n">
        <v>1</v>
      </c>
      <c r="AI3008" t="n">
        <v>10</v>
      </c>
      <c r="AJ3008" t="n">
        <v>2</v>
      </c>
      <c r="AK3008" t="n">
        <v>5</v>
      </c>
      <c r="AL3008" t="n">
        <v>6</v>
      </c>
      <c r="AM3008" t="n">
        <v>15</v>
      </c>
      <c r="AN3008" t="n">
        <v>1</v>
      </c>
      <c r="AO3008" t="n">
        <v>2</v>
      </c>
      <c r="AP3008" t="n">
        <v>0</v>
      </c>
      <c r="AQ3008" t="n">
        <v>0</v>
      </c>
      <c r="AR3008" t="inlineStr">
        <is>
          <t>No</t>
        </is>
      </c>
      <c r="AS3008" t="inlineStr">
        <is>
          <t>No</t>
        </is>
      </c>
      <c r="AU3008">
        <f>HYPERLINK("https://creighton-primo.hosted.exlibrisgroup.com/primo-explore/search?tab=default_tab&amp;search_scope=EVERYTHING&amp;vid=01CRU&amp;lang=en_US&amp;offset=0&amp;query=any,contains,991000781389702656","Catalog Record")</f>
        <v/>
      </c>
      <c r="AV3008">
        <f>HYPERLINK("http://www.worldcat.org/oclc/135130","WorldCat Record")</f>
        <v/>
      </c>
      <c r="AW3008" t="inlineStr">
        <is>
          <t>1188897:eng</t>
        </is>
      </c>
      <c r="AX3008" t="inlineStr">
        <is>
          <t>135130</t>
        </is>
      </c>
      <c r="AY3008" t="inlineStr">
        <is>
          <t>991000781389702656</t>
        </is>
      </c>
      <c r="AZ3008" t="inlineStr">
        <is>
          <t>991000781389702656</t>
        </is>
      </c>
      <c r="BA3008" t="inlineStr">
        <is>
          <t>2263497250002656</t>
        </is>
      </c>
      <c r="BB3008" t="inlineStr">
        <is>
          <t>BOOK</t>
        </is>
      </c>
      <c r="BD3008" t="inlineStr">
        <is>
          <t>9780246639639</t>
        </is>
      </c>
      <c r="BE3008" t="inlineStr">
        <is>
          <t>32285001149359</t>
        </is>
      </c>
      <c r="BF3008" t="inlineStr">
        <is>
          <t>893339886</t>
        </is>
      </c>
    </row>
    <row r="3009">
      <c r="A3009" t="inlineStr">
        <is>
          <t>No</t>
        </is>
      </c>
      <c r="B3009" t="inlineStr">
        <is>
          <t>CURAL</t>
        </is>
      </c>
      <c r="C3009" t="inlineStr">
        <is>
          <t>SHELVES</t>
        </is>
      </c>
      <c r="D3009" t="inlineStr">
        <is>
          <t>PR6015.U9 Z599 1991</t>
        </is>
      </c>
      <c r="E3009" t="inlineStr">
        <is>
          <t>0                      PR 6015000U  9                  Z  599         1991</t>
        </is>
      </c>
      <c r="F3009" t="inlineStr">
        <is>
          <t>Huxley in Hollywood / David King Dunaway.</t>
        </is>
      </c>
      <c r="H3009" t="inlineStr">
        <is>
          <t>No</t>
        </is>
      </c>
      <c r="I3009" t="inlineStr">
        <is>
          <t>1</t>
        </is>
      </c>
      <c r="J3009" t="inlineStr">
        <is>
          <t>No</t>
        </is>
      </c>
      <c r="K3009" t="inlineStr">
        <is>
          <t>No</t>
        </is>
      </c>
      <c r="L3009" t="inlineStr">
        <is>
          <t>0</t>
        </is>
      </c>
      <c r="M3009" t="inlineStr">
        <is>
          <t>Dunaway, David King.</t>
        </is>
      </c>
      <c r="N3009" t="inlineStr">
        <is>
          <t>New York : Anchor Books, 1991.</t>
        </is>
      </c>
      <c r="O3009" t="inlineStr">
        <is>
          <t>1991</t>
        </is>
      </c>
      <c r="P3009" t="inlineStr">
        <is>
          <t>1st Anchor Books ed.</t>
        </is>
      </c>
      <c r="Q3009" t="inlineStr">
        <is>
          <t>eng</t>
        </is>
      </c>
      <c r="R3009" t="inlineStr">
        <is>
          <t>nyu</t>
        </is>
      </c>
      <c r="T3009" t="inlineStr">
        <is>
          <t xml:space="preserve">PR </t>
        </is>
      </c>
      <c r="U3009" t="n">
        <v>3</v>
      </c>
      <c r="V3009" t="n">
        <v>3</v>
      </c>
      <c r="W3009" t="inlineStr">
        <is>
          <t>2007-02-14</t>
        </is>
      </c>
      <c r="X3009" t="inlineStr">
        <is>
          <t>2007-02-14</t>
        </is>
      </c>
      <c r="Y3009" t="inlineStr">
        <is>
          <t>2007-01-18</t>
        </is>
      </c>
      <c r="Z3009" t="inlineStr">
        <is>
          <t>2007-01-18</t>
        </is>
      </c>
      <c r="AA3009" t="n">
        <v>65</v>
      </c>
      <c r="AB3009" t="n">
        <v>53</v>
      </c>
      <c r="AC3009" t="n">
        <v>558</v>
      </c>
      <c r="AD3009" t="n">
        <v>1</v>
      </c>
      <c r="AE3009" t="n">
        <v>4</v>
      </c>
      <c r="AF3009" t="n">
        <v>3</v>
      </c>
      <c r="AG3009" t="n">
        <v>16</v>
      </c>
      <c r="AH3009" t="n">
        <v>1</v>
      </c>
      <c r="AI3009" t="n">
        <v>5</v>
      </c>
      <c r="AJ3009" t="n">
        <v>1</v>
      </c>
      <c r="AK3009" t="n">
        <v>4</v>
      </c>
      <c r="AL3009" t="n">
        <v>1</v>
      </c>
      <c r="AM3009" t="n">
        <v>10</v>
      </c>
      <c r="AN3009" t="n">
        <v>0</v>
      </c>
      <c r="AO3009" t="n">
        <v>2</v>
      </c>
      <c r="AP3009" t="n">
        <v>0</v>
      </c>
      <c r="AQ3009" t="n">
        <v>0</v>
      </c>
      <c r="AR3009" t="inlineStr">
        <is>
          <t>No</t>
        </is>
      </c>
      <c r="AS3009" t="inlineStr">
        <is>
          <t>No</t>
        </is>
      </c>
      <c r="AU3009">
        <f>HYPERLINK("https://creighton-primo.hosted.exlibrisgroup.com/primo-explore/search?tab=default_tab&amp;search_scope=EVERYTHING&amp;vid=01CRU&amp;lang=en_US&amp;offset=0&amp;query=any,contains,991005019649702656","Catalog Record")</f>
        <v/>
      </c>
      <c r="AV3009">
        <f>HYPERLINK("http://www.worldcat.org/oclc/22278860","WorldCat Record")</f>
        <v/>
      </c>
      <c r="AW3009" t="inlineStr">
        <is>
          <t>21127568:eng</t>
        </is>
      </c>
      <c r="AX3009" t="inlineStr">
        <is>
          <t>22278860</t>
        </is>
      </c>
      <c r="AY3009" t="inlineStr">
        <is>
          <t>991005019649702656</t>
        </is>
      </c>
      <c r="AZ3009" t="inlineStr">
        <is>
          <t>991005019649702656</t>
        </is>
      </c>
      <c r="BA3009" t="inlineStr">
        <is>
          <t>2260153830002656</t>
        </is>
      </c>
      <c r="BB3009" t="inlineStr">
        <is>
          <t>BOOK</t>
        </is>
      </c>
      <c r="BD3009" t="inlineStr">
        <is>
          <t>9780385415910</t>
        </is>
      </c>
      <c r="BE3009" t="inlineStr">
        <is>
          <t>32285005272116</t>
        </is>
      </c>
      <c r="BF3009" t="inlineStr">
        <is>
          <t>893789318</t>
        </is>
      </c>
    </row>
    <row r="3010">
      <c r="A3010" t="inlineStr">
        <is>
          <t>No</t>
        </is>
      </c>
      <c r="B3010" t="inlineStr">
        <is>
          <t>CURAL</t>
        </is>
      </c>
      <c r="C3010" t="inlineStr">
        <is>
          <t>SHELVES</t>
        </is>
      </c>
      <c r="D3010" t="inlineStr">
        <is>
          <t>PR6015.U9 Z617</t>
        </is>
      </c>
      <c r="E3010" t="inlineStr">
        <is>
          <t>0                      PR 6015000U  9                  Z  617</t>
        </is>
      </c>
      <c r="F3010" t="inlineStr">
        <is>
          <t>Aldous Huxley, novelist / C. S. Ferns.</t>
        </is>
      </c>
      <c r="H3010" t="inlineStr">
        <is>
          <t>No</t>
        </is>
      </c>
      <c r="I3010" t="inlineStr">
        <is>
          <t>1</t>
        </is>
      </c>
      <c r="J3010" t="inlineStr">
        <is>
          <t>No</t>
        </is>
      </c>
      <c r="K3010" t="inlineStr">
        <is>
          <t>No</t>
        </is>
      </c>
      <c r="L3010" t="inlineStr">
        <is>
          <t>0</t>
        </is>
      </c>
      <c r="M3010" t="inlineStr">
        <is>
          <t>Ferns, C. S. (Christopher S.)</t>
        </is>
      </c>
      <c r="N3010" t="inlineStr">
        <is>
          <t>London : Athlone Press, 1980.</t>
        </is>
      </c>
      <c r="O3010" t="inlineStr">
        <is>
          <t>1980</t>
        </is>
      </c>
      <c r="Q3010" t="inlineStr">
        <is>
          <t>eng</t>
        </is>
      </c>
      <c r="R3010" t="inlineStr">
        <is>
          <t>enk</t>
        </is>
      </c>
      <c r="T3010" t="inlineStr">
        <is>
          <t xml:space="preserve">PR </t>
        </is>
      </c>
      <c r="U3010" t="n">
        <v>13</v>
      </c>
      <c r="V3010" t="n">
        <v>13</v>
      </c>
      <c r="W3010" t="inlineStr">
        <is>
          <t>2006-10-29</t>
        </is>
      </c>
      <c r="X3010" t="inlineStr">
        <is>
          <t>2006-10-29</t>
        </is>
      </c>
      <c r="Y3010" t="inlineStr">
        <is>
          <t>1992-07-07</t>
        </is>
      </c>
      <c r="Z3010" t="inlineStr">
        <is>
          <t>1992-07-07</t>
        </is>
      </c>
      <c r="AA3010" t="n">
        <v>420</v>
      </c>
      <c r="AB3010" t="n">
        <v>248</v>
      </c>
      <c r="AC3010" t="n">
        <v>249</v>
      </c>
      <c r="AD3010" t="n">
        <v>3</v>
      </c>
      <c r="AE3010" t="n">
        <v>3</v>
      </c>
      <c r="AF3010" t="n">
        <v>12</v>
      </c>
      <c r="AG3010" t="n">
        <v>12</v>
      </c>
      <c r="AH3010" t="n">
        <v>4</v>
      </c>
      <c r="AI3010" t="n">
        <v>4</v>
      </c>
      <c r="AJ3010" t="n">
        <v>5</v>
      </c>
      <c r="AK3010" t="n">
        <v>5</v>
      </c>
      <c r="AL3010" t="n">
        <v>5</v>
      </c>
      <c r="AM3010" t="n">
        <v>5</v>
      </c>
      <c r="AN3010" t="n">
        <v>2</v>
      </c>
      <c r="AO3010" t="n">
        <v>2</v>
      </c>
      <c r="AP3010" t="n">
        <v>0</v>
      </c>
      <c r="AQ3010" t="n">
        <v>0</v>
      </c>
      <c r="AR3010" t="inlineStr">
        <is>
          <t>No</t>
        </is>
      </c>
      <c r="AS3010" t="inlineStr">
        <is>
          <t>No</t>
        </is>
      </c>
      <c r="AU3010">
        <f>HYPERLINK("https://creighton-primo.hosted.exlibrisgroup.com/primo-explore/search?tab=default_tab&amp;search_scope=EVERYTHING&amp;vid=01CRU&amp;lang=en_US&amp;offset=0&amp;query=any,contains,991005021779702656","Catalog Record")</f>
        <v/>
      </c>
      <c r="AV3010">
        <f>HYPERLINK("http://www.worldcat.org/oclc/6651747","WorldCat Record")</f>
        <v/>
      </c>
      <c r="AW3010" t="inlineStr">
        <is>
          <t>22760206:eng</t>
        </is>
      </c>
      <c r="AX3010" t="inlineStr">
        <is>
          <t>6651747</t>
        </is>
      </c>
      <c r="AY3010" t="inlineStr">
        <is>
          <t>991005021779702656</t>
        </is>
      </c>
      <c r="AZ3010" t="inlineStr">
        <is>
          <t>991005021779702656</t>
        </is>
      </c>
      <c r="BA3010" t="inlineStr">
        <is>
          <t>2263600980002656</t>
        </is>
      </c>
      <c r="BB3010" t="inlineStr">
        <is>
          <t>BOOK</t>
        </is>
      </c>
      <c r="BD3010" t="inlineStr">
        <is>
          <t>9780485111941</t>
        </is>
      </c>
      <c r="BE3010" t="inlineStr">
        <is>
          <t>32285001149367</t>
        </is>
      </c>
      <c r="BF3010" t="inlineStr">
        <is>
          <t>893594352</t>
        </is>
      </c>
    </row>
    <row r="3011">
      <c r="A3011" t="inlineStr">
        <is>
          <t>No</t>
        </is>
      </c>
      <c r="B3011" t="inlineStr">
        <is>
          <t>CURAL</t>
        </is>
      </c>
      <c r="C3011" t="inlineStr">
        <is>
          <t>SHELVES</t>
        </is>
      </c>
      <c r="D3011" t="inlineStr">
        <is>
          <t>PR6015.U9 Z63 1972</t>
        </is>
      </c>
      <c r="E3011" t="inlineStr">
        <is>
          <t>0                      PR 6015000U  9                  Z  63          1972</t>
        </is>
      </c>
      <c r="F3011" t="inlineStr">
        <is>
          <t>Aldous Huxley, satirist and novelist.</t>
        </is>
      </c>
      <c r="H3011" t="inlineStr">
        <is>
          <t>No</t>
        </is>
      </c>
      <c r="I3011" t="inlineStr">
        <is>
          <t>1</t>
        </is>
      </c>
      <c r="J3011" t="inlineStr">
        <is>
          <t>No</t>
        </is>
      </c>
      <c r="K3011" t="inlineStr">
        <is>
          <t>No</t>
        </is>
      </c>
      <c r="L3011" t="inlineStr">
        <is>
          <t>0</t>
        </is>
      </c>
      <c r="M3011" t="inlineStr">
        <is>
          <t>Firchow, Peter Edgerly, 1937-</t>
        </is>
      </c>
      <c r="N3011" t="inlineStr">
        <is>
          <t>Minneapolis : University of Minnesota Press, [1972]</t>
        </is>
      </c>
      <c r="O3011" t="inlineStr">
        <is>
          <t>1972</t>
        </is>
      </c>
      <c r="Q3011" t="inlineStr">
        <is>
          <t>eng</t>
        </is>
      </c>
      <c r="R3011" t="inlineStr">
        <is>
          <t>mnu</t>
        </is>
      </c>
      <c r="S3011" t="inlineStr">
        <is>
          <t>Minnesota monographs in the humanities ; v. 6</t>
        </is>
      </c>
      <c r="T3011" t="inlineStr">
        <is>
          <t xml:space="preserve">PR </t>
        </is>
      </c>
      <c r="U3011" t="n">
        <v>10</v>
      </c>
      <c r="V3011" t="n">
        <v>10</v>
      </c>
      <c r="W3011" t="inlineStr">
        <is>
          <t>2006-10-29</t>
        </is>
      </c>
      <c r="X3011" t="inlineStr">
        <is>
          <t>2006-10-29</t>
        </is>
      </c>
      <c r="Y3011" t="inlineStr">
        <is>
          <t>1997-04-09</t>
        </is>
      </c>
      <c r="Z3011" t="inlineStr">
        <is>
          <t>1997-04-09</t>
        </is>
      </c>
      <c r="AA3011" t="n">
        <v>738</v>
      </c>
      <c r="AB3011" t="n">
        <v>580</v>
      </c>
      <c r="AC3011" t="n">
        <v>581</v>
      </c>
      <c r="AD3011" t="n">
        <v>5</v>
      </c>
      <c r="AE3011" t="n">
        <v>5</v>
      </c>
      <c r="AF3011" t="n">
        <v>27</v>
      </c>
      <c r="AG3011" t="n">
        <v>27</v>
      </c>
      <c r="AH3011" t="n">
        <v>8</v>
      </c>
      <c r="AI3011" t="n">
        <v>8</v>
      </c>
      <c r="AJ3011" t="n">
        <v>6</v>
      </c>
      <c r="AK3011" t="n">
        <v>6</v>
      </c>
      <c r="AL3011" t="n">
        <v>15</v>
      </c>
      <c r="AM3011" t="n">
        <v>15</v>
      </c>
      <c r="AN3011" t="n">
        <v>4</v>
      </c>
      <c r="AO3011" t="n">
        <v>4</v>
      </c>
      <c r="AP3011" t="n">
        <v>0</v>
      </c>
      <c r="AQ3011" t="n">
        <v>0</v>
      </c>
      <c r="AR3011" t="inlineStr">
        <is>
          <t>No</t>
        </is>
      </c>
      <c r="AS3011" t="inlineStr">
        <is>
          <t>No</t>
        </is>
      </c>
      <c r="AU3011">
        <f>HYPERLINK("https://creighton-primo.hosted.exlibrisgroup.com/primo-explore/search?tab=default_tab&amp;search_scope=EVERYTHING&amp;vid=01CRU&amp;lang=en_US&amp;offset=0&amp;query=any,contains,991002712849702656","Catalog Record")</f>
        <v/>
      </c>
      <c r="AV3011">
        <f>HYPERLINK("http://www.worldcat.org/oclc/410378","WorldCat Record")</f>
        <v/>
      </c>
      <c r="AW3011" t="inlineStr">
        <is>
          <t>1453073:eng</t>
        </is>
      </c>
      <c r="AX3011" t="inlineStr">
        <is>
          <t>410378</t>
        </is>
      </c>
      <c r="AY3011" t="inlineStr">
        <is>
          <t>991002712849702656</t>
        </is>
      </c>
      <c r="AZ3011" t="inlineStr">
        <is>
          <t>991002712849702656</t>
        </is>
      </c>
      <c r="BA3011" t="inlineStr">
        <is>
          <t>2265615980002656</t>
        </is>
      </c>
      <c r="BB3011" t="inlineStr">
        <is>
          <t>BOOK</t>
        </is>
      </c>
      <c r="BD3011" t="inlineStr">
        <is>
          <t>9780816606351</t>
        </is>
      </c>
      <c r="BE3011" t="inlineStr">
        <is>
          <t>32285002527595</t>
        </is>
      </c>
      <c r="BF3011" t="inlineStr">
        <is>
          <t>893251556</t>
        </is>
      </c>
    </row>
    <row r="3012">
      <c r="A3012" t="inlineStr">
        <is>
          <t>No</t>
        </is>
      </c>
      <c r="B3012" t="inlineStr">
        <is>
          <t>CURAL</t>
        </is>
      </c>
      <c r="C3012" t="inlineStr">
        <is>
          <t>SHELVES</t>
        </is>
      </c>
      <c r="D3012" t="inlineStr">
        <is>
          <t>PR6015.U9 Z723 1978</t>
        </is>
      </c>
      <c r="E3012" t="inlineStr">
        <is>
          <t>0                      PR 6015000U  9                  Z  723         1978</t>
        </is>
      </c>
      <c r="F3012" t="inlineStr">
        <is>
          <t>Aldous Huxley and the way to reality / Charles M. Holmes. --</t>
        </is>
      </c>
      <c r="H3012" t="inlineStr">
        <is>
          <t>No</t>
        </is>
      </c>
      <c r="I3012" t="inlineStr">
        <is>
          <t>1</t>
        </is>
      </c>
      <c r="J3012" t="inlineStr">
        <is>
          <t>No</t>
        </is>
      </c>
      <c r="K3012" t="inlineStr">
        <is>
          <t>No</t>
        </is>
      </c>
      <c r="L3012" t="inlineStr">
        <is>
          <t>0</t>
        </is>
      </c>
      <c r="M3012" t="inlineStr">
        <is>
          <t>Holmes, Charles M. (Charles Mason), 1923-</t>
        </is>
      </c>
      <c r="N3012" t="inlineStr">
        <is>
          <t>Westport, Conn. : Greewwood Press, 1978, c1970.</t>
        </is>
      </c>
      <c r="O3012" t="inlineStr">
        <is>
          <t>1978</t>
        </is>
      </c>
      <c r="Q3012" t="inlineStr">
        <is>
          <t>eng</t>
        </is>
      </c>
      <c r="R3012" t="inlineStr">
        <is>
          <t>ctu</t>
        </is>
      </c>
      <c r="T3012" t="inlineStr">
        <is>
          <t xml:space="preserve">PR </t>
        </is>
      </c>
      <c r="U3012" t="n">
        <v>12</v>
      </c>
      <c r="V3012" t="n">
        <v>12</v>
      </c>
      <c r="W3012" t="inlineStr">
        <is>
          <t>2006-10-29</t>
        </is>
      </c>
      <c r="X3012" t="inlineStr">
        <is>
          <t>2006-10-29</t>
        </is>
      </c>
      <c r="Y3012" t="inlineStr">
        <is>
          <t>1992-07-07</t>
        </is>
      </c>
      <c r="Z3012" t="inlineStr">
        <is>
          <t>1992-07-07</t>
        </is>
      </c>
      <c r="AA3012" t="n">
        <v>96</v>
      </c>
      <c r="AB3012" t="n">
        <v>81</v>
      </c>
      <c r="AC3012" t="n">
        <v>634</v>
      </c>
      <c r="AD3012" t="n">
        <v>3</v>
      </c>
      <c r="AE3012" t="n">
        <v>7</v>
      </c>
      <c r="AF3012" t="n">
        <v>4</v>
      </c>
      <c r="AG3012" t="n">
        <v>30</v>
      </c>
      <c r="AH3012" t="n">
        <v>1</v>
      </c>
      <c r="AI3012" t="n">
        <v>9</v>
      </c>
      <c r="AJ3012" t="n">
        <v>2</v>
      </c>
      <c r="AK3012" t="n">
        <v>7</v>
      </c>
      <c r="AL3012" t="n">
        <v>0</v>
      </c>
      <c r="AM3012" t="n">
        <v>16</v>
      </c>
      <c r="AN3012" t="n">
        <v>2</v>
      </c>
      <c r="AO3012" t="n">
        <v>6</v>
      </c>
      <c r="AP3012" t="n">
        <v>0</v>
      </c>
      <c r="AQ3012" t="n">
        <v>0</v>
      </c>
      <c r="AR3012" t="inlineStr">
        <is>
          <t>No</t>
        </is>
      </c>
      <c r="AS3012" t="inlineStr">
        <is>
          <t>Yes</t>
        </is>
      </c>
      <c r="AT3012">
        <f>HYPERLINK("http://catalog.hathitrust.org/Record/102003085","HathiTrust Record")</f>
        <v/>
      </c>
      <c r="AU3012">
        <f>HYPERLINK("https://creighton-primo.hosted.exlibrisgroup.com/primo-explore/search?tab=default_tab&amp;search_scope=EVERYTHING&amp;vid=01CRU&amp;lang=en_US&amp;offset=0&amp;query=any,contains,991004425319702656","Catalog Record")</f>
        <v/>
      </c>
      <c r="AV3012">
        <f>HYPERLINK("http://www.worldcat.org/oclc/3397114","WorldCat Record")</f>
        <v/>
      </c>
      <c r="AW3012" t="inlineStr">
        <is>
          <t>444819:eng</t>
        </is>
      </c>
      <c r="AX3012" t="inlineStr">
        <is>
          <t>3397114</t>
        </is>
      </c>
      <c r="AY3012" t="inlineStr">
        <is>
          <t>991004425319702656</t>
        </is>
      </c>
      <c r="AZ3012" t="inlineStr">
        <is>
          <t>991004425319702656</t>
        </is>
      </c>
      <c r="BA3012" t="inlineStr">
        <is>
          <t>2267246820002656</t>
        </is>
      </c>
      <c r="BB3012" t="inlineStr">
        <is>
          <t>BOOK</t>
        </is>
      </c>
      <c r="BD3012" t="inlineStr">
        <is>
          <t>9780313200168</t>
        </is>
      </c>
      <c r="BE3012" t="inlineStr">
        <is>
          <t>32285001149383</t>
        </is>
      </c>
      <c r="BF3012" t="inlineStr">
        <is>
          <t>893241414</t>
        </is>
      </c>
    </row>
    <row r="3013">
      <c r="A3013" t="inlineStr">
        <is>
          <t>No</t>
        </is>
      </c>
      <c r="B3013" t="inlineStr">
        <is>
          <t>CURAL</t>
        </is>
      </c>
      <c r="C3013" t="inlineStr">
        <is>
          <t>SHELVES</t>
        </is>
      </c>
      <c r="D3013" t="inlineStr">
        <is>
          <t>PR6015.U9 Z744</t>
        </is>
      </c>
      <c r="E3013" t="inlineStr">
        <is>
          <t>0                      PR 6015000U  9                  Z  744</t>
        </is>
      </c>
      <c r="F3013" t="inlineStr">
        <is>
          <t>Aspects of structure, technique and quest in Aldous Huxley's major novels / Bharathi Krishnan.</t>
        </is>
      </c>
      <c r="H3013" t="inlineStr">
        <is>
          <t>No</t>
        </is>
      </c>
      <c r="I3013" t="inlineStr">
        <is>
          <t>1</t>
        </is>
      </c>
      <c r="J3013" t="inlineStr">
        <is>
          <t>No</t>
        </is>
      </c>
      <c r="K3013" t="inlineStr">
        <is>
          <t>No</t>
        </is>
      </c>
      <c r="L3013" t="inlineStr">
        <is>
          <t>0</t>
        </is>
      </c>
      <c r="M3013" t="inlineStr">
        <is>
          <t>Krishnan, Bharathi, 1939-</t>
        </is>
      </c>
      <c r="N3013" t="inlineStr">
        <is>
          <t>Uppsala : University of Uppsala ; Stockholm : Almqvist &amp; Wiksell international (distr.) ; Atlantic Highlands, N.J. : Humanities Press (U.S. distr.), 1977.</t>
        </is>
      </c>
      <c r="O3013" t="inlineStr">
        <is>
          <t>1977</t>
        </is>
      </c>
      <c r="Q3013" t="inlineStr">
        <is>
          <t>eng</t>
        </is>
      </c>
      <c r="R3013" t="inlineStr">
        <is>
          <t xml:space="preserve">sw </t>
        </is>
      </c>
      <c r="S3013" t="inlineStr">
        <is>
          <t>Studia Anglistica Upsaliensia ; 33 0562-2719</t>
        </is>
      </c>
      <c r="T3013" t="inlineStr">
        <is>
          <t xml:space="preserve">PR </t>
        </is>
      </c>
      <c r="U3013" t="n">
        <v>1</v>
      </c>
      <c r="V3013" t="n">
        <v>1</v>
      </c>
      <c r="W3013" t="inlineStr">
        <is>
          <t>1995-04-01</t>
        </is>
      </c>
      <c r="X3013" t="inlineStr">
        <is>
          <t>1995-04-01</t>
        </is>
      </c>
      <c r="Y3013" t="inlineStr">
        <is>
          <t>1992-07-07</t>
        </is>
      </c>
      <c r="Z3013" t="inlineStr">
        <is>
          <t>1992-07-07</t>
        </is>
      </c>
      <c r="AA3013" t="n">
        <v>193</v>
      </c>
      <c r="AB3013" t="n">
        <v>124</v>
      </c>
      <c r="AC3013" t="n">
        <v>125</v>
      </c>
      <c r="AD3013" t="n">
        <v>1</v>
      </c>
      <c r="AE3013" t="n">
        <v>1</v>
      </c>
      <c r="AF3013" t="n">
        <v>5</v>
      </c>
      <c r="AG3013" t="n">
        <v>5</v>
      </c>
      <c r="AH3013" t="n">
        <v>1</v>
      </c>
      <c r="AI3013" t="n">
        <v>1</v>
      </c>
      <c r="AJ3013" t="n">
        <v>1</v>
      </c>
      <c r="AK3013" t="n">
        <v>1</v>
      </c>
      <c r="AL3013" t="n">
        <v>4</v>
      </c>
      <c r="AM3013" t="n">
        <v>4</v>
      </c>
      <c r="AN3013" t="n">
        <v>0</v>
      </c>
      <c r="AO3013" t="n">
        <v>0</v>
      </c>
      <c r="AP3013" t="n">
        <v>0</v>
      </c>
      <c r="AQ3013" t="n">
        <v>0</v>
      </c>
      <c r="AR3013" t="inlineStr">
        <is>
          <t>No</t>
        </is>
      </c>
      <c r="AS3013" t="inlineStr">
        <is>
          <t>No</t>
        </is>
      </c>
      <c r="AU3013">
        <f>HYPERLINK("https://creighton-primo.hosted.exlibrisgroup.com/primo-explore/search?tab=default_tab&amp;search_scope=EVERYTHING&amp;vid=01CRU&amp;lang=en_US&amp;offset=0&amp;query=any,contains,991004641379702656","Catalog Record")</f>
        <v/>
      </c>
      <c r="AV3013">
        <f>HYPERLINK("http://www.worldcat.org/oclc/4463622","WorldCat Record")</f>
        <v/>
      </c>
      <c r="AW3013" t="inlineStr">
        <is>
          <t>8908954448:eng</t>
        </is>
      </c>
      <c r="AX3013" t="inlineStr">
        <is>
          <t>4463622</t>
        </is>
      </c>
      <c r="AY3013" t="inlineStr">
        <is>
          <t>991004641379702656</t>
        </is>
      </c>
      <c r="AZ3013" t="inlineStr">
        <is>
          <t>991004641379702656</t>
        </is>
      </c>
      <c r="BA3013" t="inlineStr">
        <is>
          <t>2259558020002656</t>
        </is>
      </c>
      <c r="BB3013" t="inlineStr">
        <is>
          <t>BOOK</t>
        </is>
      </c>
      <c r="BD3013" t="inlineStr">
        <is>
          <t>9789155406691</t>
        </is>
      </c>
      <c r="BE3013" t="inlineStr">
        <is>
          <t>32285001149391</t>
        </is>
      </c>
      <c r="BF3013" t="inlineStr">
        <is>
          <t>893801172</t>
        </is>
      </c>
    </row>
    <row r="3014">
      <c r="A3014" t="inlineStr">
        <is>
          <t>No</t>
        </is>
      </c>
      <c r="B3014" t="inlineStr">
        <is>
          <t>CURAL</t>
        </is>
      </c>
      <c r="C3014" t="inlineStr">
        <is>
          <t>SHELVES</t>
        </is>
      </c>
      <c r="D3014" t="inlineStr">
        <is>
          <t>PR6015.U9 Z745</t>
        </is>
      </c>
      <c r="E3014" t="inlineStr">
        <is>
          <t>0                      PR 6015000U  9                  Z  745</t>
        </is>
      </c>
      <c r="F3014" t="inlineStr">
        <is>
          <t>Aldous Huxley: a collection of critical essays. Edited by Robert E. Kuehn.</t>
        </is>
      </c>
      <c r="H3014" t="inlineStr">
        <is>
          <t>No</t>
        </is>
      </c>
      <c r="I3014" t="inlineStr">
        <is>
          <t>1</t>
        </is>
      </c>
      <c r="J3014" t="inlineStr">
        <is>
          <t>No</t>
        </is>
      </c>
      <c r="K3014" t="inlineStr">
        <is>
          <t>No</t>
        </is>
      </c>
      <c r="L3014" t="inlineStr">
        <is>
          <t>0</t>
        </is>
      </c>
      <c r="M3014" t="inlineStr">
        <is>
          <t>Kuehn, Robert E., 1932- compiler.</t>
        </is>
      </c>
      <c r="N3014" t="inlineStr">
        <is>
          <t>Englewood Cliffs, N.J., Prentice-Hall [1974]</t>
        </is>
      </c>
      <c r="O3014" t="inlineStr">
        <is>
          <t>1974</t>
        </is>
      </c>
      <c r="Q3014" t="inlineStr">
        <is>
          <t>eng</t>
        </is>
      </c>
      <c r="R3014" t="inlineStr">
        <is>
          <t>nju</t>
        </is>
      </c>
      <c r="S3014" t="inlineStr">
        <is>
          <t>A Spectrum book, S-TC-118</t>
        </is>
      </c>
      <c r="T3014" t="inlineStr">
        <is>
          <t xml:space="preserve">PR </t>
        </is>
      </c>
      <c r="U3014" t="n">
        <v>8</v>
      </c>
      <c r="V3014" t="n">
        <v>8</v>
      </c>
      <c r="W3014" t="inlineStr">
        <is>
          <t>2006-10-29</t>
        </is>
      </c>
      <c r="X3014" t="inlineStr">
        <is>
          <t>2006-10-29</t>
        </is>
      </c>
      <c r="Y3014" t="inlineStr">
        <is>
          <t>1997-04-09</t>
        </is>
      </c>
      <c r="Z3014" t="inlineStr">
        <is>
          <t>1997-04-09</t>
        </is>
      </c>
      <c r="AA3014" t="n">
        <v>1131</v>
      </c>
      <c r="AB3014" t="n">
        <v>962</v>
      </c>
      <c r="AC3014" t="n">
        <v>969</v>
      </c>
      <c r="AD3014" t="n">
        <v>6</v>
      </c>
      <c r="AE3014" t="n">
        <v>6</v>
      </c>
      <c r="AF3014" t="n">
        <v>35</v>
      </c>
      <c r="AG3014" t="n">
        <v>35</v>
      </c>
      <c r="AH3014" t="n">
        <v>16</v>
      </c>
      <c r="AI3014" t="n">
        <v>16</v>
      </c>
      <c r="AJ3014" t="n">
        <v>9</v>
      </c>
      <c r="AK3014" t="n">
        <v>9</v>
      </c>
      <c r="AL3014" t="n">
        <v>17</v>
      </c>
      <c r="AM3014" t="n">
        <v>17</v>
      </c>
      <c r="AN3014" t="n">
        <v>5</v>
      </c>
      <c r="AO3014" t="n">
        <v>5</v>
      </c>
      <c r="AP3014" t="n">
        <v>0</v>
      </c>
      <c r="AQ3014" t="n">
        <v>0</v>
      </c>
      <c r="AR3014" t="inlineStr">
        <is>
          <t>No</t>
        </is>
      </c>
      <c r="AS3014" t="inlineStr">
        <is>
          <t>Yes</t>
        </is>
      </c>
      <c r="AT3014">
        <f>HYPERLINK("http://catalog.hathitrust.org/Record/000479512","HathiTrust Record")</f>
        <v/>
      </c>
      <c r="AU3014">
        <f>HYPERLINK("https://creighton-primo.hosted.exlibrisgroup.com/primo-explore/search?tab=default_tab&amp;search_scope=EVERYTHING&amp;vid=01CRU&amp;lang=en_US&amp;offset=0&amp;query=any,contains,991003419159702656","Catalog Record")</f>
        <v/>
      </c>
      <c r="AV3014">
        <f>HYPERLINK("http://www.worldcat.org/oclc/960155","WorldCat Record")</f>
        <v/>
      </c>
      <c r="AW3014" t="inlineStr">
        <is>
          <t>3893614044:eng</t>
        </is>
      </c>
      <c r="AX3014" t="inlineStr">
        <is>
          <t>960155</t>
        </is>
      </c>
      <c r="AY3014" t="inlineStr">
        <is>
          <t>991003419159702656</t>
        </is>
      </c>
      <c r="AZ3014" t="inlineStr">
        <is>
          <t>991003419159702656</t>
        </is>
      </c>
      <c r="BA3014" t="inlineStr">
        <is>
          <t>2259073410002656</t>
        </is>
      </c>
      <c r="BB3014" t="inlineStr">
        <is>
          <t>BOOK</t>
        </is>
      </c>
      <c r="BD3014" t="inlineStr">
        <is>
          <t>9780134485065</t>
        </is>
      </c>
      <c r="BE3014" t="inlineStr">
        <is>
          <t>32285002527611</t>
        </is>
      </c>
      <c r="BF3014" t="inlineStr">
        <is>
          <t>893352820</t>
        </is>
      </c>
    </row>
    <row r="3015">
      <c r="A3015" t="inlineStr">
        <is>
          <t>No</t>
        </is>
      </c>
      <c r="B3015" t="inlineStr">
        <is>
          <t>CURAL</t>
        </is>
      </c>
      <c r="C3015" t="inlineStr">
        <is>
          <t>SHELVES</t>
        </is>
      </c>
      <c r="D3015" t="inlineStr">
        <is>
          <t>PR6015.U9 Z758</t>
        </is>
      </c>
      <c r="E3015" t="inlineStr">
        <is>
          <t>0                      PR 6015000U  9                  Z  758</t>
        </is>
      </c>
      <c r="F3015" t="inlineStr">
        <is>
          <t>Aldous Huxley, [by] Keith M. May.</t>
        </is>
      </c>
      <c r="H3015" t="inlineStr">
        <is>
          <t>No</t>
        </is>
      </c>
      <c r="I3015" t="inlineStr">
        <is>
          <t>1</t>
        </is>
      </c>
      <c r="J3015" t="inlineStr">
        <is>
          <t>No</t>
        </is>
      </c>
      <c r="K3015" t="inlineStr">
        <is>
          <t>No</t>
        </is>
      </c>
      <c r="L3015" t="inlineStr">
        <is>
          <t>0</t>
        </is>
      </c>
      <c r="M3015" t="inlineStr">
        <is>
          <t>May, Keith M.</t>
        </is>
      </c>
      <c r="N3015" t="inlineStr">
        <is>
          <t>London, Elek, 1972.</t>
        </is>
      </c>
      <c r="O3015" t="inlineStr">
        <is>
          <t>1972</t>
        </is>
      </c>
      <c r="Q3015" t="inlineStr">
        <is>
          <t>eng</t>
        </is>
      </c>
      <c r="R3015" t="inlineStr">
        <is>
          <t>enk</t>
        </is>
      </c>
      <c r="S3015" t="inlineStr">
        <is>
          <t>Novelists and their world</t>
        </is>
      </c>
      <c r="T3015" t="inlineStr">
        <is>
          <t xml:space="preserve">PR </t>
        </is>
      </c>
      <c r="U3015" t="n">
        <v>10</v>
      </c>
      <c r="V3015" t="n">
        <v>10</v>
      </c>
      <c r="W3015" t="inlineStr">
        <is>
          <t>2006-10-29</t>
        </is>
      </c>
      <c r="X3015" t="inlineStr">
        <is>
          <t>2006-10-29</t>
        </is>
      </c>
      <c r="Y3015" t="inlineStr">
        <is>
          <t>1997-04-09</t>
        </is>
      </c>
      <c r="Z3015" t="inlineStr">
        <is>
          <t>1997-04-09</t>
        </is>
      </c>
      <c r="AA3015" t="n">
        <v>434</v>
      </c>
      <c r="AB3015" t="n">
        <v>264</v>
      </c>
      <c r="AC3015" t="n">
        <v>631</v>
      </c>
      <c r="AD3015" t="n">
        <v>3</v>
      </c>
      <c r="AE3015" t="n">
        <v>6</v>
      </c>
      <c r="AF3015" t="n">
        <v>17</v>
      </c>
      <c r="AG3015" t="n">
        <v>33</v>
      </c>
      <c r="AH3015" t="n">
        <v>7</v>
      </c>
      <c r="AI3015" t="n">
        <v>16</v>
      </c>
      <c r="AJ3015" t="n">
        <v>3</v>
      </c>
      <c r="AK3015" t="n">
        <v>8</v>
      </c>
      <c r="AL3015" t="n">
        <v>11</v>
      </c>
      <c r="AM3015" t="n">
        <v>16</v>
      </c>
      <c r="AN3015" t="n">
        <v>2</v>
      </c>
      <c r="AO3015" t="n">
        <v>4</v>
      </c>
      <c r="AP3015" t="n">
        <v>0</v>
      </c>
      <c r="AQ3015" t="n">
        <v>0</v>
      </c>
      <c r="AR3015" t="inlineStr">
        <is>
          <t>No</t>
        </is>
      </c>
      <c r="AS3015" t="inlineStr">
        <is>
          <t>Yes</t>
        </is>
      </c>
      <c r="AT3015">
        <f>HYPERLINK("http://catalog.hathitrust.org/Record/000480648","HathiTrust Record")</f>
        <v/>
      </c>
      <c r="AU3015">
        <f>HYPERLINK("https://creighton-primo.hosted.exlibrisgroup.com/primo-explore/search?tab=default_tab&amp;search_scope=EVERYTHING&amp;vid=01CRU&amp;lang=en_US&amp;offset=0&amp;query=any,contains,991003122479702656","Catalog Record")</f>
        <v/>
      </c>
      <c r="AV3015">
        <f>HYPERLINK("http://www.worldcat.org/oclc/667814","WorldCat Record")</f>
        <v/>
      </c>
      <c r="AW3015" t="inlineStr">
        <is>
          <t>1683755:eng</t>
        </is>
      </c>
      <c r="AX3015" t="inlineStr">
        <is>
          <t>667814</t>
        </is>
      </c>
      <c r="AY3015" t="inlineStr">
        <is>
          <t>991003122479702656</t>
        </is>
      </c>
      <c r="AZ3015" t="inlineStr">
        <is>
          <t>991003122479702656</t>
        </is>
      </c>
      <c r="BA3015" t="inlineStr">
        <is>
          <t>2256716710002656</t>
        </is>
      </c>
      <c r="BB3015" t="inlineStr">
        <is>
          <t>BOOK</t>
        </is>
      </c>
      <c r="BD3015" t="inlineStr">
        <is>
          <t>9780236176823</t>
        </is>
      </c>
      <c r="BE3015" t="inlineStr">
        <is>
          <t>32285002527629</t>
        </is>
      </c>
      <c r="BF3015" t="inlineStr">
        <is>
          <t>893627466</t>
        </is>
      </c>
    </row>
    <row r="3016">
      <c r="A3016" t="inlineStr">
        <is>
          <t>No</t>
        </is>
      </c>
      <c r="B3016" t="inlineStr">
        <is>
          <t>CURAL</t>
        </is>
      </c>
      <c r="C3016" t="inlineStr">
        <is>
          <t>SHELVES</t>
        </is>
      </c>
      <c r="D3016" t="inlineStr">
        <is>
          <t>PR6015.U9 Z76 1971</t>
        </is>
      </c>
      <c r="E3016" t="inlineStr">
        <is>
          <t>0                      PR 6015000U  9                  Z  76          1971</t>
        </is>
      </c>
      <c r="F3016" t="inlineStr">
        <is>
          <t>Aldous Huxley : satire and structure.</t>
        </is>
      </c>
      <c r="H3016" t="inlineStr">
        <is>
          <t>No</t>
        </is>
      </c>
      <c r="I3016" t="inlineStr">
        <is>
          <t>1</t>
        </is>
      </c>
      <c r="J3016" t="inlineStr">
        <is>
          <t>No</t>
        </is>
      </c>
      <c r="K3016" t="inlineStr">
        <is>
          <t>No</t>
        </is>
      </c>
      <c r="L3016" t="inlineStr">
        <is>
          <t>0</t>
        </is>
      </c>
      <c r="M3016" t="inlineStr">
        <is>
          <t>Meckier, Jerome.</t>
        </is>
      </c>
      <c r="N3016" t="inlineStr">
        <is>
          <t>New York : Barnes &amp; Noble, [1971]</t>
        </is>
      </c>
      <c r="O3016" t="inlineStr">
        <is>
          <t>1971</t>
        </is>
      </c>
      <c r="Q3016" t="inlineStr">
        <is>
          <t>eng</t>
        </is>
      </c>
      <c r="R3016" t="inlineStr">
        <is>
          <t xml:space="preserve">xx </t>
        </is>
      </c>
      <c r="T3016" t="inlineStr">
        <is>
          <t xml:space="preserve">PR </t>
        </is>
      </c>
      <c r="U3016" t="n">
        <v>2</v>
      </c>
      <c r="V3016" t="n">
        <v>2</v>
      </c>
      <c r="W3016" t="inlineStr">
        <is>
          <t>2004-10-06</t>
        </is>
      </c>
      <c r="X3016" t="inlineStr">
        <is>
          <t>2004-10-06</t>
        </is>
      </c>
      <c r="Y3016" t="inlineStr">
        <is>
          <t>1995-05-02</t>
        </is>
      </c>
      <c r="Z3016" t="inlineStr">
        <is>
          <t>1995-05-02</t>
        </is>
      </c>
      <c r="AA3016" t="n">
        <v>140</v>
      </c>
      <c r="AB3016" t="n">
        <v>126</v>
      </c>
      <c r="AC3016" t="n">
        <v>837</v>
      </c>
      <c r="AD3016" t="n">
        <v>2</v>
      </c>
      <c r="AE3016" t="n">
        <v>8</v>
      </c>
      <c r="AF3016" t="n">
        <v>7</v>
      </c>
      <c r="AG3016" t="n">
        <v>39</v>
      </c>
      <c r="AH3016" t="n">
        <v>4</v>
      </c>
      <c r="AI3016" t="n">
        <v>17</v>
      </c>
      <c r="AJ3016" t="n">
        <v>3</v>
      </c>
      <c r="AK3016" t="n">
        <v>8</v>
      </c>
      <c r="AL3016" t="n">
        <v>0</v>
      </c>
      <c r="AM3016" t="n">
        <v>17</v>
      </c>
      <c r="AN3016" t="n">
        <v>0</v>
      </c>
      <c r="AO3016" t="n">
        <v>6</v>
      </c>
      <c r="AP3016" t="n">
        <v>0</v>
      </c>
      <c r="AQ3016" t="n">
        <v>0</v>
      </c>
      <c r="AR3016" t="inlineStr">
        <is>
          <t>No</t>
        </is>
      </c>
      <c r="AS3016" t="inlineStr">
        <is>
          <t>Yes</t>
        </is>
      </c>
      <c r="AT3016">
        <f>HYPERLINK("http://catalog.hathitrust.org/Record/007051004","HathiTrust Record")</f>
        <v/>
      </c>
      <c r="AU3016">
        <f>HYPERLINK("https://creighton-primo.hosted.exlibrisgroup.com/primo-explore/search?tab=default_tab&amp;search_scope=EVERYTHING&amp;vid=01CRU&amp;lang=en_US&amp;offset=0&amp;query=any,contains,991003622639702656","Catalog Record")</f>
        <v/>
      </c>
      <c r="AV3016">
        <f>HYPERLINK("http://www.worldcat.org/oclc/1211005","WorldCat Record")</f>
        <v/>
      </c>
      <c r="AW3016" t="inlineStr">
        <is>
          <t>1193803:eng</t>
        </is>
      </c>
      <c r="AX3016" t="inlineStr">
        <is>
          <t>1211005</t>
        </is>
      </c>
      <c r="AY3016" t="inlineStr">
        <is>
          <t>991003622639702656</t>
        </is>
      </c>
      <c r="AZ3016" t="inlineStr">
        <is>
          <t>991003622639702656</t>
        </is>
      </c>
      <c r="BA3016" t="inlineStr">
        <is>
          <t>2268782800002656</t>
        </is>
      </c>
      <c r="BB3016" t="inlineStr">
        <is>
          <t>BOOK</t>
        </is>
      </c>
      <c r="BD3016" t="inlineStr">
        <is>
          <t>9780389010319</t>
        </is>
      </c>
      <c r="BE3016" t="inlineStr">
        <is>
          <t>32285002030962</t>
        </is>
      </c>
      <c r="BF3016" t="inlineStr">
        <is>
          <t>893623693</t>
        </is>
      </c>
    </row>
    <row r="3017">
      <c r="A3017" t="inlineStr">
        <is>
          <t>No</t>
        </is>
      </c>
      <c r="B3017" t="inlineStr">
        <is>
          <t>CURAL</t>
        </is>
      </c>
      <c r="C3017" t="inlineStr">
        <is>
          <t>SHELVES</t>
        </is>
      </c>
      <c r="D3017" t="inlineStr">
        <is>
          <t>PR6015.U9 Z78 1988</t>
        </is>
      </c>
      <c r="E3017" t="inlineStr">
        <is>
          <t>0                      PR 6015000U  9                  Z  78          1988</t>
        </is>
      </c>
      <c r="F3017" t="inlineStr">
        <is>
          <t>Aldous Huxley / Guinevera A. Nance.</t>
        </is>
      </c>
      <c r="H3017" t="inlineStr">
        <is>
          <t>No</t>
        </is>
      </c>
      <c r="I3017" t="inlineStr">
        <is>
          <t>1</t>
        </is>
      </c>
      <c r="J3017" t="inlineStr">
        <is>
          <t>No</t>
        </is>
      </c>
      <c r="K3017" t="inlineStr">
        <is>
          <t>No</t>
        </is>
      </c>
      <c r="L3017" t="inlineStr">
        <is>
          <t>0</t>
        </is>
      </c>
      <c r="M3017" t="inlineStr">
        <is>
          <t>Nance, Guinevera A.</t>
        </is>
      </c>
      <c r="N3017" t="inlineStr">
        <is>
          <t>New York : Continuum, 1988.</t>
        </is>
      </c>
      <c r="O3017" t="inlineStr">
        <is>
          <t>1988</t>
        </is>
      </c>
      <c r="Q3017" t="inlineStr">
        <is>
          <t>eng</t>
        </is>
      </c>
      <c r="R3017" t="inlineStr">
        <is>
          <t>nyu</t>
        </is>
      </c>
      <c r="S3017" t="inlineStr">
        <is>
          <t>Literature and life series</t>
        </is>
      </c>
      <c r="T3017" t="inlineStr">
        <is>
          <t xml:space="preserve">PR </t>
        </is>
      </c>
      <c r="U3017" t="n">
        <v>6</v>
      </c>
      <c r="V3017" t="n">
        <v>6</v>
      </c>
      <c r="W3017" t="inlineStr">
        <is>
          <t>2004-10-06</t>
        </is>
      </c>
      <c r="X3017" t="inlineStr">
        <is>
          <t>2004-10-06</t>
        </is>
      </c>
      <c r="Y3017" t="inlineStr">
        <is>
          <t>1992-07-07</t>
        </is>
      </c>
      <c r="Z3017" t="inlineStr">
        <is>
          <t>1992-07-07</t>
        </is>
      </c>
      <c r="AA3017" t="n">
        <v>651</v>
      </c>
      <c r="AB3017" t="n">
        <v>575</v>
      </c>
      <c r="AC3017" t="n">
        <v>582</v>
      </c>
      <c r="AD3017" t="n">
        <v>5</v>
      </c>
      <c r="AE3017" t="n">
        <v>5</v>
      </c>
      <c r="AF3017" t="n">
        <v>23</v>
      </c>
      <c r="AG3017" t="n">
        <v>23</v>
      </c>
      <c r="AH3017" t="n">
        <v>9</v>
      </c>
      <c r="AI3017" t="n">
        <v>9</v>
      </c>
      <c r="AJ3017" t="n">
        <v>5</v>
      </c>
      <c r="AK3017" t="n">
        <v>5</v>
      </c>
      <c r="AL3017" t="n">
        <v>11</v>
      </c>
      <c r="AM3017" t="n">
        <v>11</v>
      </c>
      <c r="AN3017" t="n">
        <v>4</v>
      </c>
      <c r="AO3017" t="n">
        <v>4</v>
      </c>
      <c r="AP3017" t="n">
        <v>0</v>
      </c>
      <c r="AQ3017" t="n">
        <v>0</v>
      </c>
      <c r="AR3017" t="inlineStr">
        <is>
          <t>No</t>
        </is>
      </c>
      <c r="AS3017" t="inlineStr">
        <is>
          <t>Yes</t>
        </is>
      </c>
      <c r="AT3017">
        <f>HYPERLINK("http://catalog.hathitrust.org/Record/001089406","HathiTrust Record")</f>
        <v/>
      </c>
      <c r="AU3017">
        <f>HYPERLINK("https://creighton-primo.hosted.exlibrisgroup.com/primo-explore/search?tab=default_tab&amp;search_scope=EVERYTHING&amp;vid=01CRU&amp;lang=en_US&amp;offset=0&amp;query=any,contains,991001161459702656","Catalog Record")</f>
        <v/>
      </c>
      <c r="AV3017">
        <f>HYPERLINK("http://www.worldcat.org/oclc/16900638","WorldCat Record")</f>
        <v/>
      </c>
      <c r="AW3017" t="inlineStr">
        <is>
          <t>56748025:eng</t>
        </is>
      </c>
      <c r="AX3017" t="inlineStr">
        <is>
          <t>16900638</t>
        </is>
      </c>
      <c r="AY3017" t="inlineStr">
        <is>
          <t>991001161459702656</t>
        </is>
      </c>
      <c r="AZ3017" t="inlineStr">
        <is>
          <t>991001161459702656</t>
        </is>
      </c>
      <c r="BA3017" t="inlineStr">
        <is>
          <t>2266612370002656</t>
        </is>
      </c>
      <c r="BB3017" t="inlineStr">
        <is>
          <t>BOOK</t>
        </is>
      </c>
      <c r="BD3017" t="inlineStr">
        <is>
          <t>9780804426398</t>
        </is>
      </c>
      <c r="BE3017" t="inlineStr">
        <is>
          <t>32285001149409</t>
        </is>
      </c>
      <c r="BF3017" t="inlineStr">
        <is>
          <t>893327914</t>
        </is>
      </c>
    </row>
    <row r="3018">
      <c r="A3018" t="inlineStr">
        <is>
          <t>No</t>
        </is>
      </c>
      <c r="B3018" t="inlineStr">
        <is>
          <t>CURAL</t>
        </is>
      </c>
      <c r="C3018" t="inlineStr">
        <is>
          <t>SHELVES</t>
        </is>
      </c>
      <c r="D3018" t="inlineStr">
        <is>
          <t>PR6015.U9 Z9</t>
        </is>
      </c>
      <c r="E3018" t="inlineStr">
        <is>
          <t>0                      PR 6015000U  9                  Z  9</t>
        </is>
      </c>
      <c r="F3018" t="inlineStr">
        <is>
          <t>Aldous Huxley / by Harold H. Watts.</t>
        </is>
      </c>
      <c r="H3018" t="inlineStr">
        <is>
          <t>No</t>
        </is>
      </c>
      <c r="I3018" t="inlineStr">
        <is>
          <t>1</t>
        </is>
      </c>
      <c r="J3018" t="inlineStr">
        <is>
          <t>No</t>
        </is>
      </c>
      <c r="K3018" t="inlineStr">
        <is>
          <t>No</t>
        </is>
      </c>
      <c r="L3018" t="inlineStr">
        <is>
          <t>0</t>
        </is>
      </c>
      <c r="M3018" t="inlineStr">
        <is>
          <t>Watts, Harold H. (Harold Holliday), 1906-</t>
        </is>
      </c>
      <c r="N3018" t="inlineStr">
        <is>
          <t>New York : Twayne Publishers, [1969]</t>
        </is>
      </c>
      <c r="O3018" t="inlineStr">
        <is>
          <t>1969</t>
        </is>
      </c>
      <c r="Q3018" t="inlineStr">
        <is>
          <t>eng</t>
        </is>
      </c>
      <c r="R3018" t="inlineStr">
        <is>
          <t>nyu</t>
        </is>
      </c>
      <c r="S3018" t="inlineStr">
        <is>
          <t>Twayne's English authors series, 79</t>
        </is>
      </c>
      <c r="T3018" t="inlineStr">
        <is>
          <t xml:space="preserve">PR </t>
        </is>
      </c>
      <c r="U3018" t="n">
        <v>10</v>
      </c>
      <c r="V3018" t="n">
        <v>10</v>
      </c>
      <c r="W3018" t="inlineStr">
        <is>
          <t>2006-10-29</t>
        </is>
      </c>
      <c r="X3018" t="inlineStr">
        <is>
          <t>2006-10-29</t>
        </is>
      </c>
      <c r="Y3018" t="inlineStr">
        <is>
          <t>1995-05-02</t>
        </is>
      </c>
      <c r="Z3018" t="inlineStr">
        <is>
          <t>1995-05-02</t>
        </is>
      </c>
      <c r="AA3018" t="n">
        <v>1433</v>
      </c>
      <c r="AB3018" t="n">
        <v>1300</v>
      </c>
      <c r="AC3018" t="n">
        <v>1400</v>
      </c>
      <c r="AD3018" t="n">
        <v>8</v>
      </c>
      <c r="AE3018" t="n">
        <v>8</v>
      </c>
      <c r="AF3018" t="n">
        <v>36</v>
      </c>
      <c r="AG3018" t="n">
        <v>38</v>
      </c>
      <c r="AH3018" t="n">
        <v>15</v>
      </c>
      <c r="AI3018" t="n">
        <v>16</v>
      </c>
      <c r="AJ3018" t="n">
        <v>7</v>
      </c>
      <c r="AK3018" t="n">
        <v>7</v>
      </c>
      <c r="AL3018" t="n">
        <v>17</v>
      </c>
      <c r="AM3018" t="n">
        <v>18</v>
      </c>
      <c r="AN3018" t="n">
        <v>6</v>
      </c>
      <c r="AO3018" t="n">
        <v>6</v>
      </c>
      <c r="AP3018" t="n">
        <v>0</v>
      </c>
      <c r="AQ3018" t="n">
        <v>0</v>
      </c>
      <c r="AR3018" t="inlineStr">
        <is>
          <t>No</t>
        </is>
      </c>
      <c r="AS3018" t="inlineStr">
        <is>
          <t>Yes</t>
        </is>
      </c>
      <c r="AT3018">
        <f>HYPERLINK("http://catalog.hathitrust.org/Record/000480720","HathiTrust Record")</f>
        <v/>
      </c>
      <c r="AU3018">
        <f>HYPERLINK("https://creighton-primo.hosted.exlibrisgroup.com/primo-explore/search?tab=default_tab&amp;search_scope=EVERYTHING&amp;vid=01CRU&amp;lang=en_US&amp;offset=0&amp;query=any,contains,991005432799702656","Catalog Record")</f>
        <v/>
      </c>
      <c r="AV3018">
        <f>HYPERLINK("http://www.worldcat.org/oclc/1363","WorldCat Record")</f>
        <v/>
      </c>
      <c r="AW3018" t="inlineStr">
        <is>
          <t>461375:eng</t>
        </is>
      </c>
      <c r="AX3018" t="inlineStr">
        <is>
          <t>1363</t>
        </is>
      </c>
      <c r="AY3018" t="inlineStr">
        <is>
          <t>991005432799702656</t>
        </is>
      </c>
      <c r="AZ3018" t="inlineStr">
        <is>
          <t>991005432799702656</t>
        </is>
      </c>
      <c r="BA3018" t="inlineStr">
        <is>
          <t>2271457890002656</t>
        </is>
      </c>
      <c r="BB3018" t="inlineStr">
        <is>
          <t>BOOK</t>
        </is>
      </c>
      <c r="BE3018" t="inlineStr">
        <is>
          <t>32285002030954</t>
        </is>
      </c>
      <c r="BF3018" t="inlineStr">
        <is>
          <t>893620001</t>
        </is>
      </c>
    </row>
    <row r="3019">
      <c r="A3019" t="inlineStr">
        <is>
          <t>No</t>
        </is>
      </c>
      <c r="B3019" t="inlineStr">
        <is>
          <t>CURAL</t>
        </is>
      </c>
      <c r="C3019" t="inlineStr">
        <is>
          <t>SHELVES</t>
        </is>
      </c>
      <c r="D3019" t="inlineStr">
        <is>
          <t>PR6015.U9 Z96 1972b</t>
        </is>
      </c>
      <c r="E3019" t="inlineStr">
        <is>
          <t>0                      PR 6015000U  9                  Z  96          1972b</t>
        </is>
      </c>
      <c r="F3019" t="inlineStr">
        <is>
          <t>Dawn and the darkest hour: a study of Aldous Huxley.</t>
        </is>
      </c>
      <c r="H3019" t="inlineStr">
        <is>
          <t>No</t>
        </is>
      </c>
      <c r="I3019" t="inlineStr">
        <is>
          <t>1</t>
        </is>
      </c>
      <c r="J3019" t="inlineStr">
        <is>
          <t>No</t>
        </is>
      </c>
      <c r="K3019" t="inlineStr">
        <is>
          <t>No</t>
        </is>
      </c>
      <c r="L3019" t="inlineStr">
        <is>
          <t>0</t>
        </is>
      </c>
      <c r="M3019" t="inlineStr">
        <is>
          <t>Woodcock, George, 1912-1995.</t>
        </is>
      </c>
      <c r="N3019" t="inlineStr">
        <is>
          <t>London, Faber [1972]</t>
        </is>
      </c>
      <c r="O3019" t="inlineStr">
        <is>
          <t>1972</t>
        </is>
      </c>
      <c r="Q3019" t="inlineStr">
        <is>
          <t>eng</t>
        </is>
      </c>
      <c r="R3019" t="inlineStr">
        <is>
          <t>enk</t>
        </is>
      </c>
      <c r="T3019" t="inlineStr">
        <is>
          <t xml:space="preserve">PR </t>
        </is>
      </c>
      <c r="U3019" t="n">
        <v>2</v>
      </c>
      <c r="V3019" t="n">
        <v>2</v>
      </c>
      <c r="W3019" t="inlineStr">
        <is>
          <t>2004-10-06</t>
        </is>
      </c>
      <c r="X3019" t="inlineStr">
        <is>
          <t>2004-10-06</t>
        </is>
      </c>
      <c r="Y3019" t="inlineStr">
        <is>
          <t>1997-04-09</t>
        </is>
      </c>
      <c r="Z3019" t="inlineStr">
        <is>
          <t>1997-04-09</t>
        </is>
      </c>
      <c r="AA3019" t="n">
        <v>286</v>
      </c>
      <c r="AB3019" t="n">
        <v>90</v>
      </c>
      <c r="AC3019" t="n">
        <v>1063</v>
      </c>
      <c r="AD3019" t="n">
        <v>1</v>
      </c>
      <c r="AE3019" t="n">
        <v>8</v>
      </c>
      <c r="AF3019" t="n">
        <v>7</v>
      </c>
      <c r="AG3019" t="n">
        <v>41</v>
      </c>
      <c r="AH3019" t="n">
        <v>3</v>
      </c>
      <c r="AI3019" t="n">
        <v>20</v>
      </c>
      <c r="AJ3019" t="n">
        <v>1</v>
      </c>
      <c r="AK3019" t="n">
        <v>6</v>
      </c>
      <c r="AL3019" t="n">
        <v>4</v>
      </c>
      <c r="AM3019" t="n">
        <v>19</v>
      </c>
      <c r="AN3019" t="n">
        <v>0</v>
      </c>
      <c r="AO3019" t="n">
        <v>7</v>
      </c>
      <c r="AP3019" t="n">
        <v>0</v>
      </c>
      <c r="AQ3019" t="n">
        <v>0</v>
      </c>
      <c r="AR3019" t="inlineStr">
        <is>
          <t>No</t>
        </is>
      </c>
      <c r="AS3019" t="inlineStr">
        <is>
          <t>No</t>
        </is>
      </c>
      <c r="AU3019">
        <f>HYPERLINK("https://creighton-primo.hosted.exlibrisgroup.com/primo-explore/search?tab=default_tab&amp;search_scope=EVERYTHING&amp;vid=01CRU&amp;lang=en_US&amp;offset=0&amp;query=any,contains,991002732429702656","Catalog Record")</f>
        <v/>
      </c>
      <c r="AV3019">
        <f>HYPERLINK("http://www.worldcat.org/oclc/417576","WorldCat Record")</f>
        <v/>
      </c>
      <c r="AW3019" t="inlineStr">
        <is>
          <t>196671474:eng</t>
        </is>
      </c>
      <c r="AX3019" t="inlineStr">
        <is>
          <t>417576</t>
        </is>
      </c>
      <c r="AY3019" t="inlineStr">
        <is>
          <t>991002732429702656</t>
        </is>
      </c>
      <c r="AZ3019" t="inlineStr">
        <is>
          <t>991002732429702656</t>
        </is>
      </c>
      <c r="BA3019" t="inlineStr">
        <is>
          <t>2268246980002656</t>
        </is>
      </c>
      <c r="BB3019" t="inlineStr">
        <is>
          <t>BOOK</t>
        </is>
      </c>
      <c r="BD3019" t="inlineStr">
        <is>
          <t>9780571089390</t>
        </is>
      </c>
      <c r="BE3019" t="inlineStr">
        <is>
          <t>32285002527637</t>
        </is>
      </c>
      <c r="BF3019" t="inlineStr">
        <is>
          <t>893780145</t>
        </is>
      </c>
    </row>
    <row r="3020">
      <c r="A3020" t="inlineStr">
        <is>
          <t>No</t>
        </is>
      </c>
      <c r="B3020" t="inlineStr">
        <is>
          <t>CURAL</t>
        </is>
      </c>
      <c r="C3020" t="inlineStr">
        <is>
          <t>SHELVES</t>
        </is>
      </c>
      <c r="D3020" t="inlineStr">
        <is>
          <t>PR6017.S5 Z79 2004</t>
        </is>
      </c>
      <c r="E3020" t="inlineStr">
        <is>
          <t>0                      PR 6017000S  5                  Z  79          2004</t>
        </is>
      </c>
      <c r="F3020" t="inlineStr">
        <is>
          <t>Isherwood : a life revealed / Peter Parker.</t>
        </is>
      </c>
      <c r="H3020" t="inlineStr">
        <is>
          <t>No</t>
        </is>
      </c>
      <c r="I3020" t="inlineStr">
        <is>
          <t>1</t>
        </is>
      </c>
      <c r="J3020" t="inlineStr">
        <is>
          <t>No</t>
        </is>
      </c>
      <c r="K3020" t="inlineStr">
        <is>
          <t>No</t>
        </is>
      </c>
      <c r="L3020" t="inlineStr">
        <is>
          <t>0</t>
        </is>
      </c>
      <c r="M3020" t="inlineStr">
        <is>
          <t>Parker, Peter, 1954-</t>
        </is>
      </c>
      <c r="N3020" t="inlineStr">
        <is>
          <t>New York : Random House, c2004.</t>
        </is>
      </c>
      <c r="O3020" t="inlineStr">
        <is>
          <t>2004</t>
        </is>
      </c>
      <c r="P3020" t="inlineStr">
        <is>
          <t>1st U.S. ed.</t>
        </is>
      </c>
      <c r="Q3020" t="inlineStr">
        <is>
          <t>eng</t>
        </is>
      </c>
      <c r="R3020" t="inlineStr">
        <is>
          <t>nyu</t>
        </is>
      </c>
      <c r="T3020" t="inlineStr">
        <is>
          <t xml:space="preserve">PR </t>
        </is>
      </c>
      <c r="U3020" t="n">
        <v>1</v>
      </c>
      <c r="V3020" t="n">
        <v>1</v>
      </c>
      <c r="W3020" t="inlineStr">
        <is>
          <t>2005-01-31</t>
        </is>
      </c>
      <c r="X3020" t="inlineStr">
        <is>
          <t>2005-01-31</t>
        </is>
      </c>
      <c r="Y3020" t="inlineStr">
        <is>
          <t>2005-01-31</t>
        </is>
      </c>
      <c r="Z3020" t="inlineStr">
        <is>
          <t>2005-01-31</t>
        </is>
      </c>
      <c r="AA3020" t="n">
        <v>532</v>
      </c>
      <c r="AB3020" t="n">
        <v>497</v>
      </c>
      <c r="AC3020" t="n">
        <v>502</v>
      </c>
      <c r="AD3020" t="n">
        <v>7</v>
      </c>
      <c r="AE3020" t="n">
        <v>7</v>
      </c>
      <c r="AF3020" t="n">
        <v>22</v>
      </c>
      <c r="AG3020" t="n">
        <v>22</v>
      </c>
      <c r="AH3020" t="n">
        <v>8</v>
      </c>
      <c r="AI3020" t="n">
        <v>8</v>
      </c>
      <c r="AJ3020" t="n">
        <v>3</v>
      </c>
      <c r="AK3020" t="n">
        <v>3</v>
      </c>
      <c r="AL3020" t="n">
        <v>10</v>
      </c>
      <c r="AM3020" t="n">
        <v>10</v>
      </c>
      <c r="AN3020" t="n">
        <v>5</v>
      </c>
      <c r="AO3020" t="n">
        <v>5</v>
      </c>
      <c r="AP3020" t="n">
        <v>0</v>
      </c>
      <c r="AQ3020" t="n">
        <v>0</v>
      </c>
      <c r="AR3020" t="inlineStr">
        <is>
          <t>No</t>
        </is>
      </c>
      <c r="AS3020" t="inlineStr">
        <is>
          <t>No</t>
        </is>
      </c>
      <c r="AU3020">
        <f>HYPERLINK("https://creighton-primo.hosted.exlibrisgroup.com/primo-explore/search?tab=default_tab&amp;search_scope=EVERYTHING&amp;vid=01CRU&amp;lang=en_US&amp;offset=0&amp;query=any,contains,991004455579702656","Catalog Record")</f>
        <v/>
      </c>
      <c r="AV3020">
        <f>HYPERLINK("http://www.worldcat.org/oclc/55625535","WorldCat Record")</f>
        <v/>
      </c>
      <c r="AW3020" t="inlineStr">
        <is>
          <t>3857117688:eng</t>
        </is>
      </c>
      <c r="AX3020" t="inlineStr">
        <is>
          <t>55625535</t>
        </is>
      </c>
      <c r="AY3020" t="inlineStr">
        <is>
          <t>991004455579702656</t>
        </is>
      </c>
      <c r="AZ3020" t="inlineStr">
        <is>
          <t>991004455579702656</t>
        </is>
      </c>
      <c r="BA3020" t="inlineStr">
        <is>
          <t>2263672490002656</t>
        </is>
      </c>
      <c r="BB3020" t="inlineStr">
        <is>
          <t>BOOK</t>
        </is>
      </c>
      <c r="BD3020" t="inlineStr">
        <is>
          <t>9781400062492</t>
        </is>
      </c>
      <c r="BE3020" t="inlineStr">
        <is>
          <t>32285005024061</t>
        </is>
      </c>
      <c r="BF3020" t="inlineStr">
        <is>
          <t>893687750</t>
        </is>
      </c>
    </row>
    <row r="3021">
      <c r="A3021" t="inlineStr">
        <is>
          <t>No</t>
        </is>
      </c>
      <c r="B3021" t="inlineStr">
        <is>
          <t>CURAL</t>
        </is>
      </c>
      <c r="C3021" t="inlineStr">
        <is>
          <t>SHELVES</t>
        </is>
      </c>
      <c r="D3021" t="inlineStr">
        <is>
          <t>PR6019 .O9 Z529 V.2</t>
        </is>
      </c>
      <c r="E3021" t="inlineStr">
        <is>
          <t>0                      PR 6019000O  9                  Z  529                               V.2</t>
        </is>
      </c>
      <c r="F3021" t="inlineStr">
        <is>
          <t>James Joyce, the critical heritage / edited by Robert H. Deming.</t>
        </is>
      </c>
      <c r="G3021" t="inlineStr">
        <is>
          <t>V.2*</t>
        </is>
      </c>
      <c r="H3021" t="inlineStr">
        <is>
          <t>Yes</t>
        </is>
      </c>
      <c r="I3021" t="inlineStr">
        <is>
          <t>1</t>
        </is>
      </c>
      <c r="J3021" t="inlineStr">
        <is>
          <t>No</t>
        </is>
      </c>
      <c r="K3021" t="inlineStr">
        <is>
          <t>No</t>
        </is>
      </c>
      <c r="L3021" t="inlineStr">
        <is>
          <t>0</t>
        </is>
      </c>
      <c r="M3021" t="inlineStr">
        <is>
          <t>Deming, Robert H. compiler.</t>
        </is>
      </c>
      <c r="N3021" t="inlineStr">
        <is>
          <t>New York : Barnes &amp; Noble, [1970]</t>
        </is>
      </c>
      <c r="O3021" t="inlineStr">
        <is>
          <t>1970</t>
        </is>
      </c>
      <c r="Q3021" t="inlineStr">
        <is>
          <t>eng</t>
        </is>
      </c>
      <c r="R3021" t="inlineStr">
        <is>
          <t>nyu</t>
        </is>
      </c>
      <c r="S3021" t="inlineStr">
        <is>
          <t>The Critical heritage series</t>
        </is>
      </c>
      <c r="T3021" t="inlineStr">
        <is>
          <t xml:space="preserve">PR </t>
        </is>
      </c>
      <c r="U3021" t="n">
        <v>1</v>
      </c>
      <c r="V3021" t="n">
        <v>3</v>
      </c>
      <c r="W3021" t="inlineStr">
        <is>
          <t>1992-04-29</t>
        </is>
      </c>
      <c r="X3021" t="inlineStr">
        <is>
          <t>1992-04-29</t>
        </is>
      </c>
      <c r="Y3021" t="inlineStr">
        <is>
          <t>1991-09-04</t>
        </is>
      </c>
      <c r="Z3021" t="inlineStr">
        <is>
          <t>1991-09-04</t>
        </is>
      </c>
      <c r="AA3021" t="n">
        <v>753</v>
      </c>
      <c r="AB3021" t="n">
        <v>716</v>
      </c>
      <c r="AC3021" t="n">
        <v>861</v>
      </c>
      <c r="AD3021" t="n">
        <v>4</v>
      </c>
      <c r="AE3021" t="n">
        <v>6</v>
      </c>
      <c r="AF3021" t="n">
        <v>28</v>
      </c>
      <c r="AG3021" t="n">
        <v>38</v>
      </c>
      <c r="AH3021" t="n">
        <v>12</v>
      </c>
      <c r="AI3021" t="n">
        <v>15</v>
      </c>
      <c r="AJ3021" t="n">
        <v>6</v>
      </c>
      <c r="AK3021" t="n">
        <v>8</v>
      </c>
      <c r="AL3021" t="n">
        <v>14</v>
      </c>
      <c r="AM3021" t="n">
        <v>22</v>
      </c>
      <c r="AN3021" t="n">
        <v>3</v>
      </c>
      <c r="AO3021" t="n">
        <v>5</v>
      </c>
      <c r="AP3021" t="n">
        <v>0</v>
      </c>
      <c r="AQ3021" t="n">
        <v>0</v>
      </c>
      <c r="AR3021" t="inlineStr">
        <is>
          <t>No</t>
        </is>
      </c>
      <c r="AS3021" t="inlineStr">
        <is>
          <t>Yes</t>
        </is>
      </c>
      <c r="AT3021">
        <f>HYPERLINK("http://catalog.hathitrust.org/Record/000000889","HathiTrust Record")</f>
        <v/>
      </c>
      <c r="AU3021">
        <f>HYPERLINK("https://creighton-primo.hosted.exlibrisgroup.com/primo-explore/search?tab=default_tab&amp;search_scope=EVERYTHING&amp;vid=01CRU&amp;lang=en_US&amp;offset=0&amp;query=any,contains,991000426399702656","Catalog Record")</f>
        <v/>
      </c>
      <c r="AV3021">
        <f>HYPERLINK("http://www.worldcat.org/oclc/75268","WorldCat Record")</f>
        <v/>
      </c>
      <c r="AW3021" t="inlineStr">
        <is>
          <t>5546895149:eng</t>
        </is>
      </c>
      <c r="AX3021" t="inlineStr">
        <is>
          <t>75268</t>
        </is>
      </c>
      <c r="AY3021" t="inlineStr">
        <is>
          <t>991000426399702656</t>
        </is>
      </c>
      <c r="AZ3021" t="inlineStr">
        <is>
          <t>991000426399702656</t>
        </is>
      </c>
      <c r="BA3021" t="inlineStr">
        <is>
          <t>2256173780002656</t>
        </is>
      </c>
      <c r="BB3021" t="inlineStr">
        <is>
          <t>BOOK</t>
        </is>
      </c>
      <c r="BD3021" t="inlineStr">
        <is>
          <t>9780389010234</t>
        </is>
      </c>
      <c r="BE3021" t="inlineStr">
        <is>
          <t>32285000734037</t>
        </is>
      </c>
      <c r="BF3021" t="inlineStr">
        <is>
          <t>893871645</t>
        </is>
      </c>
    </row>
    <row r="3022">
      <c r="A3022" t="inlineStr">
        <is>
          <t>No</t>
        </is>
      </c>
      <c r="B3022" t="inlineStr">
        <is>
          <t>CURAL</t>
        </is>
      </c>
      <c r="C3022" t="inlineStr">
        <is>
          <t>SHELVES</t>
        </is>
      </c>
      <c r="D3022" t="inlineStr">
        <is>
          <t>PR6019.O9 A6 1959</t>
        </is>
      </c>
      <c r="E3022" t="inlineStr">
        <is>
          <t>0                      PR 6019000O  9                  A  6           1959</t>
        </is>
      </c>
      <c r="F3022" t="inlineStr">
        <is>
          <t>Critical writings / edited by Ellsworth Mason and Richard Ellmann.</t>
        </is>
      </c>
      <c r="H3022" t="inlineStr">
        <is>
          <t>No</t>
        </is>
      </c>
      <c r="I3022" t="inlineStr">
        <is>
          <t>1</t>
        </is>
      </c>
      <c r="J3022" t="inlineStr">
        <is>
          <t>No</t>
        </is>
      </c>
      <c r="K3022" t="inlineStr">
        <is>
          <t>No</t>
        </is>
      </c>
      <c r="L3022" t="inlineStr">
        <is>
          <t>0</t>
        </is>
      </c>
      <c r="M3022" t="inlineStr">
        <is>
          <t>Joyce, James, 1882-1941.</t>
        </is>
      </c>
      <c r="N3022" t="inlineStr">
        <is>
          <t>New York : Viking Press, 1959.</t>
        </is>
      </c>
      <c r="O3022" t="inlineStr">
        <is>
          <t>1959</t>
        </is>
      </c>
      <c r="Q3022" t="inlineStr">
        <is>
          <t>eng</t>
        </is>
      </c>
      <c r="R3022" t="inlineStr">
        <is>
          <t>nyu</t>
        </is>
      </c>
      <c r="T3022" t="inlineStr">
        <is>
          <t xml:space="preserve">PR </t>
        </is>
      </c>
      <c r="U3022" t="n">
        <v>7</v>
      </c>
      <c r="V3022" t="n">
        <v>7</v>
      </c>
      <c r="W3022" t="inlineStr">
        <is>
          <t>2006-12-07</t>
        </is>
      </c>
      <c r="X3022" t="inlineStr">
        <is>
          <t>2006-12-07</t>
        </is>
      </c>
      <c r="Y3022" t="inlineStr">
        <is>
          <t>1992-04-22</t>
        </is>
      </c>
      <c r="Z3022" t="inlineStr">
        <is>
          <t>1992-04-22</t>
        </is>
      </c>
      <c r="AA3022" t="n">
        <v>997</v>
      </c>
      <c r="AB3022" t="n">
        <v>930</v>
      </c>
      <c r="AC3022" t="n">
        <v>1311</v>
      </c>
      <c r="AD3022" t="n">
        <v>7</v>
      </c>
      <c r="AE3022" t="n">
        <v>11</v>
      </c>
      <c r="AF3022" t="n">
        <v>36</v>
      </c>
      <c r="AG3022" t="n">
        <v>53</v>
      </c>
      <c r="AH3022" t="n">
        <v>14</v>
      </c>
      <c r="AI3022" t="n">
        <v>23</v>
      </c>
      <c r="AJ3022" t="n">
        <v>7</v>
      </c>
      <c r="AK3022" t="n">
        <v>10</v>
      </c>
      <c r="AL3022" t="n">
        <v>16</v>
      </c>
      <c r="AM3022" t="n">
        <v>24</v>
      </c>
      <c r="AN3022" t="n">
        <v>5</v>
      </c>
      <c r="AO3022" t="n">
        <v>9</v>
      </c>
      <c r="AP3022" t="n">
        <v>0</v>
      </c>
      <c r="AQ3022" t="n">
        <v>0</v>
      </c>
      <c r="AR3022" t="inlineStr">
        <is>
          <t>No</t>
        </is>
      </c>
      <c r="AS3022" t="inlineStr">
        <is>
          <t>Yes</t>
        </is>
      </c>
      <c r="AT3022">
        <f>HYPERLINK("http://catalog.hathitrust.org/Record/000589257","HathiTrust Record")</f>
        <v/>
      </c>
      <c r="AU3022">
        <f>HYPERLINK("https://creighton-primo.hosted.exlibrisgroup.com/primo-explore/search?tab=default_tab&amp;search_scope=EVERYTHING&amp;vid=01CRU&amp;lang=en_US&amp;offset=0&amp;query=any,contains,991002206029702656","Catalog Record")</f>
        <v/>
      </c>
      <c r="AV3022">
        <f>HYPERLINK("http://www.worldcat.org/oclc/285790","WorldCat Record")</f>
        <v/>
      </c>
      <c r="AW3022" t="inlineStr">
        <is>
          <t>198155913:eng</t>
        </is>
      </c>
      <c r="AX3022" t="inlineStr">
        <is>
          <t>285790</t>
        </is>
      </c>
      <c r="AY3022" t="inlineStr">
        <is>
          <t>991002206029702656</t>
        </is>
      </c>
      <c r="AZ3022" t="inlineStr">
        <is>
          <t>991002206029702656</t>
        </is>
      </c>
      <c r="BA3022" t="inlineStr">
        <is>
          <t>2263226900002656</t>
        </is>
      </c>
      <c r="BB3022" t="inlineStr">
        <is>
          <t>BOOK</t>
        </is>
      </c>
      <c r="BE3022" t="inlineStr">
        <is>
          <t>32285001064160</t>
        </is>
      </c>
      <c r="BF3022" t="inlineStr">
        <is>
          <t>893244889</t>
        </is>
      </c>
    </row>
    <row r="3023">
      <c r="A3023" t="inlineStr">
        <is>
          <t>No</t>
        </is>
      </c>
      <c r="B3023" t="inlineStr">
        <is>
          <t>CURAL</t>
        </is>
      </c>
      <c r="C3023" t="inlineStr">
        <is>
          <t>SHELVES</t>
        </is>
      </c>
      <c r="D3023" t="inlineStr">
        <is>
          <t>PR6019.O9 F5535 1988</t>
        </is>
      </c>
      <c r="E3023" t="inlineStr">
        <is>
          <t>0                      PR 6019000O  9                  F  5535        1988</t>
        </is>
      </c>
      <c r="F3023" t="inlineStr">
        <is>
          <t>Dreamscheme : narrative and voice in Finnegans wake / Michael H. Begnal.</t>
        </is>
      </c>
      <c r="H3023" t="inlineStr">
        <is>
          <t>No</t>
        </is>
      </c>
      <c r="I3023" t="inlineStr">
        <is>
          <t>1</t>
        </is>
      </c>
      <c r="J3023" t="inlineStr">
        <is>
          <t>No</t>
        </is>
      </c>
      <c r="K3023" t="inlineStr">
        <is>
          <t>No</t>
        </is>
      </c>
      <c r="L3023" t="inlineStr">
        <is>
          <t>0</t>
        </is>
      </c>
      <c r="M3023" t="inlineStr">
        <is>
          <t>Begnal, Michael H., 1939-</t>
        </is>
      </c>
      <c r="N3023" t="inlineStr">
        <is>
          <t>Syracuse, N.Y. : Syracuse University Press, 1988.</t>
        </is>
      </c>
      <c r="O3023" t="inlineStr">
        <is>
          <t>1988</t>
        </is>
      </c>
      <c r="P3023" t="inlineStr">
        <is>
          <t>1st ed.</t>
        </is>
      </c>
      <c r="Q3023" t="inlineStr">
        <is>
          <t>eng</t>
        </is>
      </c>
      <c r="R3023" t="inlineStr">
        <is>
          <t>nyu</t>
        </is>
      </c>
      <c r="S3023" t="inlineStr">
        <is>
          <t>Irish studies</t>
        </is>
      </c>
      <c r="T3023" t="inlineStr">
        <is>
          <t xml:space="preserve">PR </t>
        </is>
      </c>
      <c r="U3023" t="n">
        <v>5</v>
      </c>
      <c r="V3023" t="n">
        <v>5</v>
      </c>
      <c r="W3023" t="inlineStr">
        <is>
          <t>2003-04-01</t>
        </is>
      </c>
      <c r="X3023" t="inlineStr">
        <is>
          <t>2003-04-01</t>
        </is>
      </c>
      <c r="Y3023" t="inlineStr">
        <is>
          <t>1992-07-07</t>
        </is>
      </c>
      <c r="Z3023" t="inlineStr">
        <is>
          <t>1992-07-07</t>
        </is>
      </c>
      <c r="AA3023" t="n">
        <v>440</v>
      </c>
      <c r="AB3023" t="n">
        <v>363</v>
      </c>
      <c r="AC3023" t="n">
        <v>369</v>
      </c>
      <c r="AD3023" t="n">
        <v>4</v>
      </c>
      <c r="AE3023" t="n">
        <v>4</v>
      </c>
      <c r="AF3023" t="n">
        <v>18</v>
      </c>
      <c r="AG3023" t="n">
        <v>18</v>
      </c>
      <c r="AH3023" t="n">
        <v>5</v>
      </c>
      <c r="AI3023" t="n">
        <v>5</v>
      </c>
      <c r="AJ3023" t="n">
        <v>6</v>
      </c>
      <c r="AK3023" t="n">
        <v>6</v>
      </c>
      <c r="AL3023" t="n">
        <v>10</v>
      </c>
      <c r="AM3023" t="n">
        <v>10</v>
      </c>
      <c r="AN3023" t="n">
        <v>3</v>
      </c>
      <c r="AO3023" t="n">
        <v>3</v>
      </c>
      <c r="AP3023" t="n">
        <v>0</v>
      </c>
      <c r="AQ3023" t="n">
        <v>0</v>
      </c>
      <c r="AR3023" t="inlineStr">
        <is>
          <t>No</t>
        </is>
      </c>
      <c r="AS3023" t="inlineStr">
        <is>
          <t>No</t>
        </is>
      </c>
      <c r="AU3023">
        <f>HYPERLINK("https://creighton-primo.hosted.exlibrisgroup.com/primo-explore/search?tab=default_tab&amp;search_scope=EVERYTHING&amp;vid=01CRU&amp;lang=en_US&amp;offset=0&amp;query=any,contains,991001158239702656","Catalog Record")</f>
        <v/>
      </c>
      <c r="AV3023">
        <f>HYPERLINK("http://www.worldcat.org/oclc/16870615","WorldCat Record")</f>
        <v/>
      </c>
      <c r="AW3023" t="inlineStr">
        <is>
          <t>13542608:eng</t>
        </is>
      </c>
      <c r="AX3023" t="inlineStr">
        <is>
          <t>16870615</t>
        </is>
      </c>
      <c r="AY3023" t="inlineStr">
        <is>
          <t>991001158239702656</t>
        </is>
      </c>
      <c r="AZ3023" t="inlineStr">
        <is>
          <t>991001158239702656</t>
        </is>
      </c>
      <c r="BA3023" t="inlineStr">
        <is>
          <t>2263548170002656</t>
        </is>
      </c>
      <c r="BB3023" t="inlineStr">
        <is>
          <t>BOOK</t>
        </is>
      </c>
      <c r="BD3023" t="inlineStr">
        <is>
          <t>9780815624264</t>
        </is>
      </c>
      <c r="BE3023" t="inlineStr">
        <is>
          <t>32285001149540</t>
        </is>
      </c>
      <c r="BF3023" t="inlineStr">
        <is>
          <t>893250020</t>
        </is>
      </c>
    </row>
    <row r="3024">
      <c r="A3024" t="inlineStr">
        <is>
          <t>No</t>
        </is>
      </c>
      <c r="B3024" t="inlineStr">
        <is>
          <t>CURAL</t>
        </is>
      </c>
      <c r="C3024" t="inlineStr">
        <is>
          <t>SHELVES</t>
        </is>
      </c>
      <c r="D3024" t="inlineStr">
        <is>
          <t>PR6019.O9 F555</t>
        </is>
      </c>
      <c r="E3024" t="inlineStr">
        <is>
          <t>0                      PR 6019000O  9                  F  555</t>
        </is>
      </c>
      <c r="F3024" t="inlineStr">
        <is>
          <t>Joyce-again's wake; an analysis of Finnegans wake.</t>
        </is>
      </c>
      <c r="H3024" t="inlineStr">
        <is>
          <t>No</t>
        </is>
      </c>
      <c r="I3024" t="inlineStr">
        <is>
          <t>1</t>
        </is>
      </c>
      <c r="J3024" t="inlineStr">
        <is>
          <t>No</t>
        </is>
      </c>
      <c r="K3024" t="inlineStr">
        <is>
          <t>No</t>
        </is>
      </c>
      <c r="L3024" t="inlineStr">
        <is>
          <t>0</t>
        </is>
      </c>
      <c r="M3024" t="inlineStr">
        <is>
          <t>Benstock, Bernard.</t>
        </is>
      </c>
      <c r="N3024" t="inlineStr">
        <is>
          <t>Seattle, University of Washington Press [1966, c1965]</t>
        </is>
      </c>
      <c r="O3024" t="inlineStr">
        <is>
          <t>1966</t>
        </is>
      </c>
      <c r="Q3024" t="inlineStr">
        <is>
          <t>eng</t>
        </is>
      </c>
      <c r="R3024" t="inlineStr">
        <is>
          <t>wau</t>
        </is>
      </c>
      <c r="T3024" t="inlineStr">
        <is>
          <t xml:space="preserve">PR </t>
        </is>
      </c>
      <c r="U3024" t="n">
        <v>6</v>
      </c>
      <c r="V3024" t="n">
        <v>6</v>
      </c>
      <c r="W3024" t="inlineStr">
        <is>
          <t>1999-04-21</t>
        </is>
      </c>
      <c r="X3024" t="inlineStr">
        <is>
          <t>1999-04-21</t>
        </is>
      </c>
      <c r="Y3024" t="inlineStr">
        <is>
          <t>1997-04-10</t>
        </is>
      </c>
      <c r="Z3024" t="inlineStr">
        <is>
          <t>1997-04-10</t>
        </is>
      </c>
      <c r="AA3024" t="n">
        <v>857</v>
      </c>
      <c r="AB3024" t="n">
        <v>734</v>
      </c>
      <c r="AC3024" t="n">
        <v>910</v>
      </c>
      <c r="AD3024" t="n">
        <v>7</v>
      </c>
      <c r="AE3024" t="n">
        <v>7</v>
      </c>
      <c r="AF3024" t="n">
        <v>37</v>
      </c>
      <c r="AG3024" t="n">
        <v>44</v>
      </c>
      <c r="AH3024" t="n">
        <v>15</v>
      </c>
      <c r="AI3024" t="n">
        <v>19</v>
      </c>
      <c r="AJ3024" t="n">
        <v>7</v>
      </c>
      <c r="AK3024" t="n">
        <v>9</v>
      </c>
      <c r="AL3024" t="n">
        <v>16</v>
      </c>
      <c r="AM3024" t="n">
        <v>20</v>
      </c>
      <c r="AN3024" t="n">
        <v>6</v>
      </c>
      <c r="AO3024" t="n">
        <v>6</v>
      </c>
      <c r="AP3024" t="n">
        <v>0</v>
      </c>
      <c r="AQ3024" t="n">
        <v>0</v>
      </c>
      <c r="AR3024" t="inlineStr">
        <is>
          <t>No</t>
        </is>
      </c>
      <c r="AS3024" t="inlineStr">
        <is>
          <t>Yes</t>
        </is>
      </c>
      <c r="AT3024">
        <f>HYPERLINK("http://catalog.hathitrust.org/Record/000588719","HathiTrust Record")</f>
        <v/>
      </c>
      <c r="AU3024">
        <f>HYPERLINK("https://creighton-primo.hosted.exlibrisgroup.com/primo-explore/search?tab=default_tab&amp;search_scope=EVERYTHING&amp;vid=01CRU&amp;lang=en_US&amp;offset=0&amp;query=any,contains,991002518779702656","Catalog Record")</f>
        <v/>
      </c>
      <c r="AV3024">
        <f>HYPERLINK("http://www.worldcat.org/oclc/365713","WorldCat Record")</f>
        <v/>
      </c>
      <c r="AW3024" t="inlineStr">
        <is>
          <t>1425305:eng</t>
        </is>
      </c>
      <c r="AX3024" t="inlineStr">
        <is>
          <t>365713</t>
        </is>
      </c>
      <c r="AY3024" t="inlineStr">
        <is>
          <t>991002518779702656</t>
        </is>
      </c>
      <c r="AZ3024" t="inlineStr">
        <is>
          <t>991002518779702656</t>
        </is>
      </c>
      <c r="BA3024" t="inlineStr">
        <is>
          <t>2266103840002656</t>
        </is>
      </c>
      <c r="BB3024" t="inlineStr">
        <is>
          <t>BOOK</t>
        </is>
      </c>
      <c r="BE3024" t="inlineStr">
        <is>
          <t>32285002527942</t>
        </is>
      </c>
      <c r="BF3024" t="inlineStr">
        <is>
          <t>893504487</t>
        </is>
      </c>
    </row>
    <row r="3025">
      <c r="A3025" t="inlineStr">
        <is>
          <t>No</t>
        </is>
      </c>
      <c r="B3025" t="inlineStr">
        <is>
          <t>CURAL</t>
        </is>
      </c>
      <c r="C3025" t="inlineStr">
        <is>
          <t>SHELVES</t>
        </is>
      </c>
      <c r="D3025" t="inlineStr">
        <is>
          <t>PR6019.O9 F57</t>
        </is>
      </c>
      <c r="E3025" t="inlineStr">
        <is>
          <t>0                      PR 6019000O  9                  F  57</t>
        </is>
      </c>
      <c r="F3025" t="inlineStr">
        <is>
          <t>A skeleton key to Finnegans wake, by Joseph Campbell &amp; Henry Morton Robinson.</t>
        </is>
      </c>
      <c r="H3025" t="inlineStr">
        <is>
          <t>No</t>
        </is>
      </c>
      <c r="I3025" t="inlineStr">
        <is>
          <t>1</t>
        </is>
      </c>
      <c r="J3025" t="inlineStr">
        <is>
          <t>No</t>
        </is>
      </c>
      <c r="K3025" t="inlineStr">
        <is>
          <t>No</t>
        </is>
      </c>
      <c r="L3025" t="inlineStr">
        <is>
          <t>0</t>
        </is>
      </c>
      <c r="M3025" t="inlineStr">
        <is>
          <t>Campbell, Joseph, 1904-1987.</t>
        </is>
      </c>
      <c r="N3025" t="inlineStr">
        <is>
          <t>New York, Harcourt, Brace and Company [1944]</t>
        </is>
      </c>
      <c r="O3025" t="inlineStr">
        <is>
          <t>1944</t>
        </is>
      </c>
      <c r="Q3025" t="inlineStr">
        <is>
          <t>eng</t>
        </is>
      </c>
      <c r="R3025" t="inlineStr">
        <is>
          <t>nyu</t>
        </is>
      </c>
      <c r="T3025" t="inlineStr">
        <is>
          <t xml:space="preserve">PR </t>
        </is>
      </c>
      <c r="U3025" t="n">
        <v>8</v>
      </c>
      <c r="V3025" t="n">
        <v>8</v>
      </c>
      <c r="W3025" t="inlineStr">
        <is>
          <t>2004-05-27</t>
        </is>
      </c>
      <c r="X3025" t="inlineStr">
        <is>
          <t>2004-05-27</t>
        </is>
      </c>
      <c r="Y3025" t="inlineStr">
        <is>
          <t>1997-04-10</t>
        </is>
      </c>
      <c r="Z3025" t="inlineStr">
        <is>
          <t>1997-04-10</t>
        </is>
      </c>
      <c r="AA3025" t="n">
        <v>726</v>
      </c>
      <c r="AB3025" t="n">
        <v>662</v>
      </c>
      <c r="AC3025" t="n">
        <v>1136</v>
      </c>
      <c r="AD3025" t="n">
        <v>6</v>
      </c>
      <c r="AE3025" t="n">
        <v>10</v>
      </c>
      <c r="AF3025" t="n">
        <v>32</v>
      </c>
      <c r="AG3025" t="n">
        <v>48</v>
      </c>
      <c r="AH3025" t="n">
        <v>10</v>
      </c>
      <c r="AI3025" t="n">
        <v>19</v>
      </c>
      <c r="AJ3025" t="n">
        <v>8</v>
      </c>
      <c r="AK3025" t="n">
        <v>8</v>
      </c>
      <c r="AL3025" t="n">
        <v>19</v>
      </c>
      <c r="AM3025" t="n">
        <v>25</v>
      </c>
      <c r="AN3025" t="n">
        <v>5</v>
      </c>
      <c r="AO3025" t="n">
        <v>9</v>
      </c>
      <c r="AP3025" t="n">
        <v>0</v>
      </c>
      <c r="AQ3025" t="n">
        <v>0</v>
      </c>
      <c r="AR3025" t="inlineStr">
        <is>
          <t>No</t>
        </is>
      </c>
      <c r="AS3025" t="inlineStr">
        <is>
          <t>Yes</t>
        </is>
      </c>
      <c r="AT3025">
        <f>HYPERLINK("http://catalog.hathitrust.org/Record/000588735","HathiTrust Record")</f>
        <v/>
      </c>
      <c r="AU3025">
        <f>HYPERLINK("https://creighton-primo.hosted.exlibrisgroup.com/primo-explore/search?tab=default_tab&amp;search_scope=EVERYTHING&amp;vid=01CRU&amp;lang=en_US&amp;offset=0&amp;query=any,contains,991002518449702656","Catalog Record")</f>
        <v/>
      </c>
      <c r="AV3025">
        <f>HYPERLINK("http://www.worldcat.org/oclc/365710","WorldCat Record")</f>
        <v/>
      </c>
      <c r="AW3025" t="inlineStr">
        <is>
          <t>51582916:eng</t>
        </is>
      </c>
      <c r="AX3025" t="inlineStr">
        <is>
          <t>365710</t>
        </is>
      </c>
      <c r="AY3025" t="inlineStr">
        <is>
          <t>991002518449702656</t>
        </is>
      </c>
      <c r="AZ3025" t="inlineStr">
        <is>
          <t>991002518449702656</t>
        </is>
      </c>
      <c r="BA3025" t="inlineStr">
        <is>
          <t>2266103550002656</t>
        </is>
      </c>
      <c r="BB3025" t="inlineStr">
        <is>
          <t>BOOK</t>
        </is>
      </c>
      <c r="BE3025" t="inlineStr">
        <is>
          <t>32285002527975</t>
        </is>
      </c>
      <c r="BF3025" t="inlineStr">
        <is>
          <t>893704166</t>
        </is>
      </c>
    </row>
    <row r="3026">
      <c r="A3026" t="inlineStr">
        <is>
          <t>No</t>
        </is>
      </c>
      <c r="B3026" t="inlineStr">
        <is>
          <t>CURAL</t>
        </is>
      </c>
      <c r="C3026" t="inlineStr">
        <is>
          <t>SHELVES</t>
        </is>
      </c>
      <c r="D3026" t="inlineStr">
        <is>
          <t>PR6019.O9 F59 1977</t>
        </is>
      </c>
      <c r="E3026" t="inlineStr">
        <is>
          <t>0                      PR 6019000O  9                  F  59          1977</t>
        </is>
      </c>
      <c r="F3026" t="inlineStr">
        <is>
          <t>Third census of Finnegans wake : an index of the characters and their roles / by Adaline Glasheen.</t>
        </is>
      </c>
      <c r="H3026" t="inlineStr">
        <is>
          <t>No</t>
        </is>
      </c>
      <c r="I3026" t="inlineStr">
        <is>
          <t>1</t>
        </is>
      </c>
      <c r="J3026" t="inlineStr">
        <is>
          <t>No</t>
        </is>
      </c>
      <c r="K3026" t="inlineStr">
        <is>
          <t>No</t>
        </is>
      </c>
      <c r="L3026" t="inlineStr">
        <is>
          <t>0</t>
        </is>
      </c>
      <c r="M3026" t="inlineStr">
        <is>
          <t>Glasheen, Adaline.</t>
        </is>
      </c>
      <c r="N3026" t="inlineStr">
        <is>
          <t>Berkeley : University of California Press, c1977.</t>
        </is>
      </c>
      <c r="O3026" t="inlineStr">
        <is>
          <t>1977</t>
        </is>
      </c>
      <c r="P3026" t="inlineStr">
        <is>
          <t>Rev. and expanded from the second census.</t>
        </is>
      </c>
      <c r="Q3026" t="inlineStr">
        <is>
          <t>eng</t>
        </is>
      </c>
      <c r="R3026" t="inlineStr">
        <is>
          <t>cau</t>
        </is>
      </c>
      <c r="T3026" t="inlineStr">
        <is>
          <t xml:space="preserve">PR </t>
        </is>
      </c>
      <c r="U3026" t="n">
        <v>1</v>
      </c>
      <c r="V3026" t="n">
        <v>1</v>
      </c>
      <c r="W3026" t="inlineStr">
        <is>
          <t>1997-11-06</t>
        </is>
      </c>
      <c r="X3026" t="inlineStr">
        <is>
          <t>1997-11-06</t>
        </is>
      </c>
      <c r="Y3026" t="inlineStr">
        <is>
          <t>1997-04-10</t>
        </is>
      </c>
      <c r="Z3026" t="inlineStr">
        <is>
          <t>1997-04-10</t>
        </is>
      </c>
      <c r="AA3026" t="n">
        <v>575</v>
      </c>
      <c r="AB3026" t="n">
        <v>490</v>
      </c>
      <c r="AC3026" t="n">
        <v>492</v>
      </c>
      <c r="AD3026" t="n">
        <v>5</v>
      </c>
      <c r="AE3026" t="n">
        <v>5</v>
      </c>
      <c r="AF3026" t="n">
        <v>30</v>
      </c>
      <c r="AG3026" t="n">
        <v>30</v>
      </c>
      <c r="AH3026" t="n">
        <v>10</v>
      </c>
      <c r="AI3026" t="n">
        <v>10</v>
      </c>
      <c r="AJ3026" t="n">
        <v>10</v>
      </c>
      <c r="AK3026" t="n">
        <v>10</v>
      </c>
      <c r="AL3026" t="n">
        <v>16</v>
      </c>
      <c r="AM3026" t="n">
        <v>16</v>
      </c>
      <c r="AN3026" t="n">
        <v>4</v>
      </c>
      <c r="AO3026" t="n">
        <v>4</v>
      </c>
      <c r="AP3026" t="n">
        <v>0</v>
      </c>
      <c r="AQ3026" t="n">
        <v>0</v>
      </c>
      <c r="AR3026" t="inlineStr">
        <is>
          <t>No</t>
        </is>
      </c>
      <c r="AS3026" t="inlineStr">
        <is>
          <t>No</t>
        </is>
      </c>
      <c r="AU3026">
        <f>HYPERLINK("https://creighton-primo.hosted.exlibrisgroup.com/primo-explore/search?tab=default_tab&amp;search_scope=EVERYTHING&amp;vid=01CRU&amp;lang=en_US&amp;offset=0&amp;query=any,contains,991004242189702656","Catalog Record")</f>
        <v/>
      </c>
      <c r="AV3026">
        <f>HYPERLINK("http://www.worldcat.org/oclc/2789979","WorldCat Record")</f>
        <v/>
      </c>
      <c r="AW3026" t="inlineStr">
        <is>
          <t>501190:eng</t>
        </is>
      </c>
      <c r="AX3026" t="inlineStr">
        <is>
          <t>2789979</t>
        </is>
      </c>
      <c r="AY3026" t="inlineStr">
        <is>
          <t>991004242189702656</t>
        </is>
      </c>
      <c r="AZ3026" t="inlineStr">
        <is>
          <t>991004242189702656</t>
        </is>
      </c>
      <c r="BA3026" t="inlineStr">
        <is>
          <t>2270369760002656</t>
        </is>
      </c>
      <c r="BB3026" t="inlineStr">
        <is>
          <t>BOOK</t>
        </is>
      </c>
      <c r="BD3026" t="inlineStr">
        <is>
          <t>9780520029804</t>
        </is>
      </c>
      <c r="BE3026" t="inlineStr">
        <is>
          <t>32285002527983</t>
        </is>
      </c>
      <c r="BF3026" t="inlineStr">
        <is>
          <t>893718672</t>
        </is>
      </c>
    </row>
    <row r="3027">
      <c r="A3027" t="inlineStr">
        <is>
          <t>No</t>
        </is>
      </c>
      <c r="B3027" t="inlineStr">
        <is>
          <t>CURAL</t>
        </is>
      </c>
      <c r="C3027" t="inlineStr">
        <is>
          <t>SHELVES</t>
        </is>
      </c>
      <c r="D3027" t="inlineStr">
        <is>
          <t>PR6019.O9 F592</t>
        </is>
      </c>
      <c r="E3027" t="inlineStr">
        <is>
          <t>0                      PR 6019000O  9                  F  592</t>
        </is>
      </c>
      <c r="F3027" t="inlineStr">
        <is>
          <t>A concordance to Finnegans wake.</t>
        </is>
      </c>
      <c r="H3027" t="inlineStr">
        <is>
          <t>No</t>
        </is>
      </c>
      <c r="I3027" t="inlineStr">
        <is>
          <t>1</t>
        </is>
      </c>
      <c r="J3027" t="inlineStr">
        <is>
          <t>No</t>
        </is>
      </c>
      <c r="K3027" t="inlineStr">
        <is>
          <t>No</t>
        </is>
      </c>
      <c r="L3027" t="inlineStr">
        <is>
          <t>0</t>
        </is>
      </c>
      <c r="M3027" t="inlineStr">
        <is>
          <t>Hart, Clive.</t>
        </is>
      </c>
      <c r="N3027" t="inlineStr">
        <is>
          <t>Minneapolis, University of Minnesota Press [1963]</t>
        </is>
      </c>
      <c r="O3027" t="inlineStr">
        <is>
          <t>1963</t>
        </is>
      </c>
      <c r="Q3027" t="inlineStr">
        <is>
          <t>eng</t>
        </is>
      </c>
      <c r="R3027" t="inlineStr">
        <is>
          <t xml:space="preserve">xx </t>
        </is>
      </c>
      <c r="T3027" t="inlineStr">
        <is>
          <t xml:space="preserve">PR </t>
        </is>
      </c>
      <c r="U3027" t="n">
        <v>3</v>
      </c>
      <c r="V3027" t="n">
        <v>3</v>
      </c>
      <c r="W3027" t="inlineStr">
        <is>
          <t>1999-04-21</t>
        </is>
      </c>
      <c r="X3027" t="inlineStr">
        <is>
          <t>1999-04-21</t>
        </is>
      </c>
      <c r="Y3027" t="inlineStr">
        <is>
          <t>1997-04-10</t>
        </is>
      </c>
      <c r="Z3027" t="inlineStr">
        <is>
          <t>1997-04-10</t>
        </is>
      </c>
      <c r="AA3027" t="n">
        <v>607</v>
      </c>
      <c r="AB3027" t="n">
        <v>495</v>
      </c>
      <c r="AC3027" t="n">
        <v>613</v>
      </c>
      <c r="AD3027" t="n">
        <v>3</v>
      </c>
      <c r="AE3027" t="n">
        <v>4</v>
      </c>
      <c r="AF3027" t="n">
        <v>23</v>
      </c>
      <c r="AG3027" t="n">
        <v>33</v>
      </c>
      <c r="AH3027" t="n">
        <v>10</v>
      </c>
      <c r="AI3027" t="n">
        <v>14</v>
      </c>
      <c r="AJ3027" t="n">
        <v>5</v>
      </c>
      <c r="AK3027" t="n">
        <v>8</v>
      </c>
      <c r="AL3027" t="n">
        <v>12</v>
      </c>
      <c r="AM3027" t="n">
        <v>19</v>
      </c>
      <c r="AN3027" t="n">
        <v>2</v>
      </c>
      <c r="AO3027" t="n">
        <v>3</v>
      </c>
      <c r="AP3027" t="n">
        <v>0</v>
      </c>
      <c r="AQ3027" t="n">
        <v>0</v>
      </c>
      <c r="AR3027" t="inlineStr">
        <is>
          <t>No</t>
        </is>
      </c>
      <c r="AS3027" t="inlineStr">
        <is>
          <t>Yes</t>
        </is>
      </c>
      <c r="AT3027">
        <f>HYPERLINK("http://catalog.hathitrust.org/Record/000483856","HathiTrust Record")</f>
        <v/>
      </c>
      <c r="AU3027">
        <f>HYPERLINK("https://creighton-primo.hosted.exlibrisgroup.com/primo-explore/search?tab=default_tab&amp;search_scope=EVERYTHING&amp;vid=01CRU&amp;lang=en_US&amp;offset=0&amp;query=any,contains,991002518089702656","Catalog Record")</f>
        <v/>
      </c>
      <c r="AV3027">
        <f>HYPERLINK("http://www.worldcat.org/oclc/365704","WorldCat Record")</f>
        <v/>
      </c>
      <c r="AW3027" t="inlineStr">
        <is>
          <t>1425277:eng</t>
        </is>
      </c>
      <c r="AX3027" t="inlineStr">
        <is>
          <t>365704</t>
        </is>
      </c>
      <c r="AY3027" t="inlineStr">
        <is>
          <t>991002518089702656</t>
        </is>
      </c>
      <c r="AZ3027" t="inlineStr">
        <is>
          <t>991002518089702656</t>
        </is>
      </c>
      <c r="BA3027" t="inlineStr">
        <is>
          <t>2266083080002656</t>
        </is>
      </c>
      <c r="BB3027" t="inlineStr">
        <is>
          <t>BOOK</t>
        </is>
      </c>
      <c r="BE3027" t="inlineStr">
        <is>
          <t>32285002527991</t>
        </is>
      </c>
      <c r="BF3027" t="inlineStr">
        <is>
          <t>893316926</t>
        </is>
      </c>
    </row>
    <row r="3028">
      <c r="A3028" t="inlineStr">
        <is>
          <t>No</t>
        </is>
      </c>
      <c r="B3028" t="inlineStr">
        <is>
          <t>CURAL</t>
        </is>
      </c>
      <c r="C3028" t="inlineStr">
        <is>
          <t>SHELVES</t>
        </is>
      </c>
      <c r="D3028" t="inlineStr">
        <is>
          <t>PR6019.O9 F593 1962a</t>
        </is>
      </c>
      <c r="E3028" t="inlineStr">
        <is>
          <t>0                      PR 6019000O  9                  F  593         1962a</t>
        </is>
      </c>
      <c r="F3028" t="inlineStr">
        <is>
          <t>Structure and motif in Finnegans wake / by Clive Hart.</t>
        </is>
      </c>
      <c r="H3028" t="inlineStr">
        <is>
          <t>No</t>
        </is>
      </c>
      <c r="I3028" t="inlineStr">
        <is>
          <t>1</t>
        </is>
      </c>
      <c r="J3028" t="inlineStr">
        <is>
          <t>No</t>
        </is>
      </c>
      <c r="K3028" t="inlineStr">
        <is>
          <t>No</t>
        </is>
      </c>
      <c r="L3028" t="inlineStr">
        <is>
          <t>0</t>
        </is>
      </c>
      <c r="M3028" t="inlineStr">
        <is>
          <t>Hart, Clive.</t>
        </is>
      </c>
      <c r="N3028" t="inlineStr">
        <is>
          <t>London : Faber and Faber, c1962.</t>
        </is>
      </c>
      <c r="O3028" t="inlineStr">
        <is>
          <t>1962</t>
        </is>
      </c>
      <c r="Q3028" t="inlineStr">
        <is>
          <t>eng</t>
        </is>
      </c>
      <c r="R3028" t="inlineStr">
        <is>
          <t xml:space="preserve">xx </t>
        </is>
      </c>
      <c r="T3028" t="inlineStr">
        <is>
          <t xml:space="preserve">PR </t>
        </is>
      </c>
      <c r="U3028" t="n">
        <v>8</v>
      </c>
      <c r="V3028" t="n">
        <v>8</v>
      </c>
      <c r="W3028" t="inlineStr">
        <is>
          <t>2004-05-27</t>
        </is>
      </c>
      <c r="X3028" t="inlineStr">
        <is>
          <t>2004-05-27</t>
        </is>
      </c>
      <c r="Y3028" t="inlineStr">
        <is>
          <t>1997-04-10</t>
        </is>
      </c>
      <c r="Z3028" t="inlineStr">
        <is>
          <t>1997-04-10</t>
        </is>
      </c>
      <c r="AA3028" t="n">
        <v>200</v>
      </c>
      <c r="AB3028" t="n">
        <v>86</v>
      </c>
      <c r="AC3028" t="n">
        <v>627</v>
      </c>
      <c r="AD3028" t="n">
        <v>2</v>
      </c>
      <c r="AE3028" t="n">
        <v>3</v>
      </c>
      <c r="AF3028" t="n">
        <v>10</v>
      </c>
      <c r="AG3028" t="n">
        <v>34</v>
      </c>
      <c r="AH3028" t="n">
        <v>3</v>
      </c>
      <c r="AI3028" t="n">
        <v>12</v>
      </c>
      <c r="AJ3028" t="n">
        <v>4</v>
      </c>
      <c r="AK3028" t="n">
        <v>9</v>
      </c>
      <c r="AL3028" t="n">
        <v>5</v>
      </c>
      <c r="AM3028" t="n">
        <v>21</v>
      </c>
      <c r="AN3028" t="n">
        <v>1</v>
      </c>
      <c r="AO3028" t="n">
        <v>2</v>
      </c>
      <c r="AP3028" t="n">
        <v>0</v>
      </c>
      <c r="AQ3028" t="n">
        <v>0</v>
      </c>
      <c r="AR3028" t="inlineStr">
        <is>
          <t>No</t>
        </is>
      </c>
      <c r="AS3028" t="inlineStr">
        <is>
          <t>Yes</t>
        </is>
      </c>
      <c r="AT3028">
        <f>HYPERLINK("http://catalog.hathitrust.org/Record/000483872","HathiTrust Record")</f>
        <v/>
      </c>
      <c r="AU3028">
        <f>HYPERLINK("https://creighton-primo.hosted.exlibrisgroup.com/primo-explore/search?tab=default_tab&amp;search_scope=EVERYTHING&amp;vid=01CRU&amp;lang=en_US&amp;offset=0&amp;query=any,contains,991004558649702656","Catalog Record")</f>
        <v/>
      </c>
      <c r="AV3028">
        <f>HYPERLINK("http://www.worldcat.org/oclc/3982460","WorldCat Record")</f>
        <v/>
      </c>
      <c r="AW3028" t="inlineStr">
        <is>
          <t>1407438:eng</t>
        </is>
      </c>
      <c r="AX3028" t="inlineStr">
        <is>
          <t>3982460</t>
        </is>
      </c>
      <c r="AY3028" t="inlineStr">
        <is>
          <t>991004558649702656</t>
        </is>
      </c>
      <c r="AZ3028" t="inlineStr">
        <is>
          <t>991004558649702656</t>
        </is>
      </c>
      <c r="BA3028" t="inlineStr">
        <is>
          <t>2271525390002656</t>
        </is>
      </c>
      <c r="BB3028" t="inlineStr">
        <is>
          <t>BOOK</t>
        </is>
      </c>
      <c r="BE3028" t="inlineStr">
        <is>
          <t>32285002528007</t>
        </is>
      </c>
      <c r="BF3028" t="inlineStr">
        <is>
          <t>893599984</t>
        </is>
      </c>
    </row>
    <row r="3029">
      <c r="A3029" t="inlineStr">
        <is>
          <t>No</t>
        </is>
      </c>
      <c r="B3029" t="inlineStr">
        <is>
          <t>CURAL</t>
        </is>
      </c>
      <c r="C3029" t="inlineStr">
        <is>
          <t>SHELVES</t>
        </is>
      </c>
      <c r="D3029" t="inlineStr">
        <is>
          <t>PR6019.O9 F59358</t>
        </is>
      </c>
      <c r="E3029" t="inlineStr">
        <is>
          <t>0                      PR 6019000O  9                  F  59358</t>
        </is>
      </c>
      <c r="F3029" t="inlineStr">
        <is>
          <t>The Finnegans wake experience / Roland McHugh.</t>
        </is>
      </c>
      <c r="H3029" t="inlineStr">
        <is>
          <t>No</t>
        </is>
      </c>
      <c r="I3029" t="inlineStr">
        <is>
          <t>1</t>
        </is>
      </c>
      <c r="J3029" t="inlineStr">
        <is>
          <t>No</t>
        </is>
      </c>
      <c r="K3029" t="inlineStr">
        <is>
          <t>No</t>
        </is>
      </c>
      <c r="L3029" t="inlineStr">
        <is>
          <t>0</t>
        </is>
      </c>
      <c r="M3029" t="inlineStr">
        <is>
          <t>McHugh, Roland.</t>
        </is>
      </c>
      <c r="N3029" t="inlineStr">
        <is>
          <t>Berkeley : University of California Press, c1981.</t>
        </is>
      </c>
      <c r="O3029" t="inlineStr">
        <is>
          <t>1981</t>
        </is>
      </c>
      <c r="Q3029" t="inlineStr">
        <is>
          <t>eng</t>
        </is>
      </c>
      <c r="R3029" t="inlineStr">
        <is>
          <t>cau</t>
        </is>
      </c>
      <c r="S3029" t="inlineStr">
        <is>
          <t>Quantum books</t>
        </is>
      </c>
      <c r="T3029" t="inlineStr">
        <is>
          <t xml:space="preserve">PR </t>
        </is>
      </c>
      <c r="U3029" t="n">
        <v>3</v>
      </c>
      <c r="V3029" t="n">
        <v>3</v>
      </c>
      <c r="W3029" t="inlineStr">
        <is>
          <t>2001-01-27</t>
        </is>
      </c>
      <c r="X3029" t="inlineStr">
        <is>
          <t>2001-01-27</t>
        </is>
      </c>
      <c r="Y3029" t="inlineStr">
        <is>
          <t>1992-07-08</t>
        </is>
      </c>
      <c r="Z3029" t="inlineStr">
        <is>
          <t>1992-07-08</t>
        </is>
      </c>
      <c r="AA3029" t="n">
        <v>615</v>
      </c>
      <c r="AB3029" t="n">
        <v>551</v>
      </c>
      <c r="AC3029" t="n">
        <v>599</v>
      </c>
      <c r="AD3029" t="n">
        <v>5</v>
      </c>
      <c r="AE3029" t="n">
        <v>6</v>
      </c>
      <c r="AF3029" t="n">
        <v>28</v>
      </c>
      <c r="AG3029" t="n">
        <v>30</v>
      </c>
      <c r="AH3029" t="n">
        <v>9</v>
      </c>
      <c r="AI3029" t="n">
        <v>9</v>
      </c>
      <c r="AJ3029" t="n">
        <v>8</v>
      </c>
      <c r="AK3029" t="n">
        <v>8</v>
      </c>
      <c r="AL3029" t="n">
        <v>16</v>
      </c>
      <c r="AM3029" t="n">
        <v>17</v>
      </c>
      <c r="AN3029" t="n">
        <v>4</v>
      </c>
      <c r="AO3029" t="n">
        <v>5</v>
      </c>
      <c r="AP3029" t="n">
        <v>0</v>
      </c>
      <c r="AQ3029" t="n">
        <v>0</v>
      </c>
      <c r="AR3029" t="inlineStr">
        <is>
          <t>No</t>
        </is>
      </c>
      <c r="AS3029" t="inlineStr">
        <is>
          <t>No</t>
        </is>
      </c>
      <c r="AU3029">
        <f>HYPERLINK("https://creighton-primo.hosted.exlibrisgroup.com/primo-explore/search?tab=default_tab&amp;search_scope=EVERYTHING&amp;vid=01CRU&amp;lang=en_US&amp;offset=0&amp;query=any,contains,991005217869702656","Catalog Record")</f>
        <v/>
      </c>
      <c r="AV3029">
        <f>HYPERLINK("http://www.worldcat.org/oclc/8197697","WorldCat Record")</f>
        <v/>
      </c>
      <c r="AW3029" t="inlineStr">
        <is>
          <t>23682048:eng</t>
        </is>
      </c>
      <c r="AX3029" t="inlineStr">
        <is>
          <t>8197697</t>
        </is>
      </c>
      <c r="AY3029" t="inlineStr">
        <is>
          <t>991005217869702656</t>
        </is>
      </c>
      <c r="AZ3029" t="inlineStr">
        <is>
          <t>991005217869702656</t>
        </is>
      </c>
      <c r="BA3029" t="inlineStr">
        <is>
          <t>2269209390002656</t>
        </is>
      </c>
      <c r="BB3029" t="inlineStr">
        <is>
          <t>BOOK</t>
        </is>
      </c>
      <c r="BD3029" t="inlineStr">
        <is>
          <t>9780520042988</t>
        </is>
      </c>
      <c r="BE3029" t="inlineStr">
        <is>
          <t>32285001150209</t>
        </is>
      </c>
      <c r="BF3029" t="inlineStr">
        <is>
          <t>893431064</t>
        </is>
      </c>
    </row>
    <row r="3030">
      <c r="A3030" t="inlineStr">
        <is>
          <t>No</t>
        </is>
      </c>
      <c r="B3030" t="inlineStr">
        <is>
          <t>CURAL</t>
        </is>
      </c>
      <c r="C3030" t="inlineStr">
        <is>
          <t>SHELVES</t>
        </is>
      </c>
      <c r="D3030" t="inlineStr">
        <is>
          <t>PR6019.O9 F59364</t>
        </is>
      </c>
      <c r="E3030" t="inlineStr">
        <is>
          <t>0                      PR 6019000O  9                  F  59364</t>
        </is>
      </c>
      <c r="F3030" t="inlineStr">
        <is>
          <t>The decentered universe of Finnegans wake : a structuralist analysis / Margot Norris.</t>
        </is>
      </c>
      <c r="H3030" t="inlineStr">
        <is>
          <t>No</t>
        </is>
      </c>
      <c r="I3030" t="inlineStr">
        <is>
          <t>1</t>
        </is>
      </c>
      <c r="J3030" t="inlineStr">
        <is>
          <t>No</t>
        </is>
      </c>
      <c r="K3030" t="inlineStr">
        <is>
          <t>No</t>
        </is>
      </c>
      <c r="L3030" t="inlineStr">
        <is>
          <t>0</t>
        </is>
      </c>
      <c r="M3030" t="inlineStr">
        <is>
          <t>Norris, Margot.</t>
        </is>
      </c>
      <c r="N3030" t="inlineStr">
        <is>
          <t>Baltimore : Johns Hopkins University Press, c1976.</t>
        </is>
      </c>
      <c r="O3030" t="inlineStr">
        <is>
          <t>1976</t>
        </is>
      </c>
      <c r="Q3030" t="inlineStr">
        <is>
          <t>eng</t>
        </is>
      </c>
      <c r="R3030" t="inlineStr">
        <is>
          <t>mdu</t>
        </is>
      </c>
      <c r="T3030" t="inlineStr">
        <is>
          <t xml:space="preserve">PR </t>
        </is>
      </c>
      <c r="U3030" t="n">
        <v>3</v>
      </c>
      <c r="V3030" t="n">
        <v>3</v>
      </c>
      <c r="W3030" t="inlineStr">
        <is>
          <t>1998-02-13</t>
        </is>
      </c>
      <c r="X3030" t="inlineStr">
        <is>
          <t>1998-02-13</t>
        </is>
      </c>
      <c r="Y3030" t="inlineStr">
        <is>
          <t>1992-07-09</t>
        </is>
      </c>
      <c r="Z3030" t="inlineStr">
        <is>
          <t>1992-07-09</t>
        </is>
      </c>
      <c r="AA3030" t="n">
        <v>778</v>
      </c>
      <c r="AB3030" t="n">
        <v>650</v>
      </c>
      <c r="AC3030" t="n">
        <v>764</v>
      </c>
      <c r="AD3030" t="n">
        <v>6</v>
      </c>
      <c r="AE3030" t="n">
        <v>8</v>
      </c>
      <c r="AF3030" t="n">
        <v>38</v>
      </c>
      <c r="AG3030" t="n">
        <v>44</v>
      </c>
      <c r="AH3030" t="n">
        <v>16</v>
      </c>
      <c r="AI3030" t="n">
        <v>19</v>
      </c>
      <c r="AJ3030" t="n">
        <v>8</v>
      </c>
      <c r="AK3030" t="n">
        <v>10</v>
      </c>
      <c r="AL3030" t="n">
        <v>20</v>
      </c>
      <c r="AM3030" t="n">
        <v>21</v>
      </c>
      <c r="AN3030" t="n">
        <v>4</v>
      </c>
      <c r="AO3030" t="n">
        <v>6</v>
      </c>
      <c r="AP3030" t="n">
        <v>0</v>
      </c>
      <c r="AQ3030" t="n">
        <v>0</v>
      </c>
      <c r="AR3030" t="inlineStr">
        <is>
          <t>No</t>
        </is>
      </c>
      <c r="AS3030" t="inlineStr">
        <is>
          <t>Yes</t>
        </is>
      </c>
      <c r="AT3030">
        <f>HYPERLINK("http://catalog.hathitrust.org/Record/000727027","HathiTrust Record")</f>
        <v/>
      </c>
      <c r="AU3030">
        <f>HYPERLINK("https://creighton-primo.hosted.exlibrisgroup.com/primo-explore/search?tab=default_tab&amp;search_scope=EVERYTHING&amp;vid=01CRU&amp;lang=en_US&amp;offset=0&amp;query=any,contains,991004092749702656","Catalog Record")</f>
        <v/>
      </c>
      <c r="AV3030">
        <f>HYPERLINK("http://www.worldcat.org/oclc/2346853","WorldCat Record")</f>
        <v/>
      </c>
      <c r="AW3030" t="inlineStr">
        <is>
          <t>3275499:eng</t>
        </is>
      </c>
      <c r="AX3030" t="inlineStr">
        <is>
          <t>2346853</t>
        </is>
      </c>
      <c r="AY3030" t="inlineStr">
        <is>
          <t>991004092749702656</t>
        </is>
      </c>
      <c r="AZ3030" t="inlineStr">
        <is>
          <t>991004092749702656</t>
        </is>
      </c>
      <c r="BA3030" t="inlineStr">
        <is>
          <t>2260741870002656</t>
        </is>
      </c>
      <c r="BB3030" t="inlineStr">
        <is>
          <t>BOOK</t>
        </is>
      </c>
      <c r="BD3030" t="inlineStr">
        <is>
          <t>9780801818202</t>
        </is>
      </c>
      <c r="BE3030" t="inlineStr">
        <is>
          <t>32285001150225</t>
        </is>
      </c>
      <c r="BF3030" t="inlineStr">
        <is>
          <t>893722261</t>
        </is>
      </c>
    </row>
    <row r="3031">
      <c r="A3031" t="inlineStr">
        <is>
          <t>No</t>
        </is>
      </c>
      <c r="B3031" t="inlineStr">
        <is>
          <t>CURAL</t>
        </is>
      </c>
      <c r="C3031" t="inlineStr">
        <is>
          <t>SHELVES</t>
        </is>
      </c>
      <c r="D3031" t="inlineStr">
        <is>
          <t>PR6019.O9 F59366 1982</t>
        </is>
      </c>
      <c r="E3031" t="inlineStr">
        <is>
          <t>0                      PR 6019000O  9                  F  59366       1982</t>
        </is>
      </c>
      <c r="F3031" t="inlineStr">
        <is>
          <t>Understanding Finnegans wake : a guide to the narrative of James Joyce's masterpiece / Danis Rose &amp; John O'Hanlon.</t>
        </is>
      </c>
      <c r="H3031" t="inlineStr">
        <is>
          <t>No</t>
        </is>
      </c>
      <c r="I3031" t="inlineStr">
        <is>
          <t>1</t>
        </is>
      </c>
      <c r="J3031" t="inlineStr">
        <is>
          <t>No</t>
        </is>
      </c>
      <c r="K3031" t="inlineStr">
        <is>
          <t>No</t>
        </is>
      </c>
      <c r="L3031" t="inlineStr">
        <is>
          <t>0</t>
        </is>
      </c>
      <c r="M3031" t="inlineStr">
        <is>
          <t>Rose, Danis.</t>
        </is>
      </c>
      <c r="N3031" t="inlineStr">
        <is>
          <t>New York : Garland Pub., 1982.</t>
        </is>
      </c>
      <c r="O3031" t="inlineStr">
        <is>
          <t>1982</t>
        </is>
      </c>
      <c r="Q3031" t="inlineStr">
        <is>
          <t>eng</t>
        </is>
      </c>
      <c r="R3031" t="inlineStr">
        <is>
          <t>nyu</t>
        </is>
      </c>
      <c r="T3031" t="inlineStr">
        <is>
          <t xml:space="preserve">PR </t>
        </is>
      </c>
      <c r="U3031" t="n">
        <v>4</v>
      </c>
      <c r="V3031" t="n">
        <v>4</v>
      </c>
      <c r="W3031" t="inlineStr">
        <is>
          <t>1998-02-13</t>
        </is>
      </c>
      <c r="X3031" t="inlineStr">
        <is>
          <t>1998-02-13</t>
        </is>
      </c>
      <c r="Y3031" t="inlineStr">
        <is>
          <t>1990-06-11</t>
        </is>
      </c>
      <c r="Z3031" t="inlineStr">
        <is>
          <t>1990-06-11</t>
        </is>
      </c>
      <c r="AA3031" t="n">
        <v>352</v>
      </c>
      <c r="AB3031" t="n">
        <v>279</v>
      </c>
      <c r="AC3031" t="n">
        <v>282</v>
      </c>
      <c r="AD3031" t="n">
        <v>3</v>
      </c>
      <c r="AE3031" t="n">
        <v>3</v>
      </c>
      <c r="AF3031" t="n">
        <v>16</v>
      </c>
      <c r="AG3031" t="n">
        <v>16</v>
      </c>
      <c r="AH3031" t="n">
        <v>3</v>
      </c>
      <c r="AI3031" t="n">
        <v>3</v>
      </c>
      <c r="AJ3031" t="n">
        <v>7</v>
      </c>
      <c r="AK3031" t="n">
        <v>7</v>
      </c>
      <c r="AL3031" t="n">
        <v>8</v>
      </c>
      <c r="AM3031" t="n">
        <v>8</v>
      </c>
      <c r="AN3031" t="n">
        <v>2</v>
      </c>
      <c r="AO3031" t="n">
        <v>2</v>
      </c>
      <c r="AP3031" t="n">
        <v>0</v>
      </c>
      <c r="AQ3031" t="n">
        <v>0</v>
      </c>
      <c r="AR3031" t="inlineStr">
        <is>
          <t>No</t>
        </is>
      </c>
      <c r="AS3031" t="inlineStr">
        <is>
          <t>Yes</t>
        </is>
      </c>
      <c r="AT3031">
        <f>HYPERLINK("http://catalog.hathitrust.org/Record/000156878","HathiTrust Record")</f>
        <v/>
      </c>
      <c r="AU3031">
        <f>HYPERLINK("https://creighton-primo.hosted.exlibrisgroup.com/primo-explore/search?tab=default_tab&amp;search_scope=EVERYTHING&amp;vid=01CRU&amp;lang=en_US&amp;offset=0&amp;query=any,contains,991005248219702656","Catalog Record")</f>
        <v/>
      </c>
      <c r="AV3031">
        <f>HYPERLINK("http://www.worldcat.org/oclc/8475265","WorldCat Record")</f>
        <v/>
      </c>
      <c r="AW3031" t="inlineStr">
        <is>
          <t>288144339:eng</t>
        </is>
      </c>
      <c r="AX3031" t="inlineStr">
        <is>
          <t>8475265</t>
        </is>
      </c>
      <c r="AY3031" t="inlineStr">
        <is>
          <t>991005248219702656</t>
        </is>
      </c>
      <c r="AZ3031" t="inlineStr">
        <is>
          <t>991005248219702656</t>
        </is>
      </c>
      <c r="BA3031" t="inlineStr">
        <is>
          <t>2259482680002656</t>
        </is>
      </c>
      <c r="BB3031" t="inlineStr">
        <is>
          <t>BOOK</t>
        </is>
      </c>
      <c r="BD3031" t="inlineStr">
        <is>
          <t>9780824028992</t>
        </is>
      </c>
      <c r="BE3031" t="inlineStr">
        <is>
          <t>32285000166941</t>
        </is>
      </c>
      <c r="BF3031" t="inlineStr">
        <is>
          <t>893260808</t>
        </is>
      </c>
    </row>
    <row r="3032">
      <c r="A3032" t="inlineStr">
        <is>
          <t>No</t>
        </is>
      </c>
      <c r="B3032" t="inlineStr">
        <is>
          <t>CURAL</t>
        </is>
      </c>
      <c r="C3032" t="inlineStr">
        <is>
          <t>SHELVES</t>
        </is>
      </c>
      <c r="D3032" t="inlineStr">
        <is>
          <t>PR6019.O9 F593667 1987</t>
        </is>
      </c>
      <c r="E3032" t="inlineStr">
        <is>
          <t>0                      PR 6019000O  9                  F  593667      1987</t>
        </is>
      </c>
      <c r="F3032" t="inlineStr">
        <is>
          <t>The language of the Devil : texture and archetype in Finnegans wake / by C. George Sandulescu.</t>
        </is>
      </c>
      <c r="H3032" t="inlineStr">
        <is>
          <t>No</t>
        </is>
      </c>
      <c r="I3032" t="inlineStr">
        <is>
          <t>1</t>
        </is>
      </c>
      <c r="J3032" t="inlineStr">
        <is>
          <t>No</t>
        </is>
      </c>
      <c r="K3032" t="inlineStr">
        <is>
          <t>No</t>
        </is>
      </c>
      <c r="L3032" t="inlineStr">
        <is>
          <t>0</t>
        </is>
      </c>
      <c r="M3032" t="inlineStr">
        <is>
          <t>Sandulescu, Constantin-George.</t>
        </is>
      </c>
      <c r="N3032" t="inlineStr">
        <is>
          <t>Gerrards Cross, Buckinghamshire : C. Smythe ; Chester Springs, Pa. : Dufour Editions, c1987.</t>
        </is>
      </c>
      <c r="O3032" t="inlineStr">
        <is>
          <t>1988</t>
        </is>
      </c>
      <c r="Q3032" t="inlineStr">
        <is>
          <t>eng</t>
        </is>
      </c>
      <c r="R3032" t="inlineStr">
        <is>
          <t>enk</t>
        </is>
      </c>
      <c r="T3032" t="inlineStr">
        <is>
          <t xml:space="preserve">PR </t>
        </is>
      </c>
      <c r="U3032" t="n">
        <v>7</v>
      </c>
      <c r="V3032" t="n">
        <v>7</v>
      </c>
      <c r="W3032" t="inlineStr">
        <is>
          <t>2003-04-01</t>
        </is>
      </c>
      <c r="X3032" t="inlineStr">
        <is>
          <t>2003-04-01</t>
        </is>
      </c>
      <c r="Y3032" t="inlineStr">
        <is>
          <t>1992-07-08</t>
        </is>
      </c>
      <c r="Z3032" t="inlineStr">
        <is>
          <t>1992-07-08</t>
        </is>
      </c>
      <c r="AA3032" t="n">
        <v>150</v>
      </c>
      <c r="AB3032" t="n">
        <v>132</v>
      </c>
      <c r="AC3032" t="n">
        <v>160</v>
      </c>
      <c r="AD3032" t="n">
        <v>2</v>
      </c>
      <c r="AE3032" t="n">
        <v>2</v>
      </c>
      <c r="AF3032" t="n">
        <v>7</v>
      </c>
      <c r="AG3032" t="n">
        <v>10</v>
      </c>
      <c r="AH3032" t="n">
        <v>2</v>
      </c>
      <c r="AI3032" t="n">
        <v>3</v>
      </c>
      <c r="AJ3032" t="n">
        <v>1</v>
      </c>
      <c r="AK3032" t="n">
        <v>2</v>
      </c>
      <c r="AL3032" t="n">
        <v>5</v>
      </c>
      <c r="AM3032" t="n">
        <v>7</v>
      </c>
      <c r="AN3032" t="n">
        <v>1</v>
      </c>
      <c r="AO3032" t="n">
        <v>1</v>
      </c>
      <c r="AP3032" t="n">
        <v>0</v>
      </c>
      <c r="AQ3032" t="n">
        <v>0</v>
      </c>
      <c r="AR3032" t="inlineStr">
        <is>
          <t>No</t>
        </is>
      </c>
      <c r="AS3032" t="inlineStr">
        <is>
          <t>No</t>
        </is>
      </c>
      <c r="AU3032">
        <f>HYPERLINK("https://creighton-primo.hosted.exlibrisgroup.com/primo-explore/search?tab=default_tab&amp;search_scope=EVERYTHING&amp;vid=01CRU&amp;lang=en_US&amp;offset=0&amp;query=any,contains,991001112239702656","Catalog Record")</f>
        <v/>
      </c>
      <c r="AV3032">
        <f>HYPERLINK("http://www.worldcat.org/oclc/16471571","WorldCat Record")</f>
        <v/>
      </c>
      <c r="AW3032" t="inlineStr">
        <is>
          <t>12309895:eng</t>
        </is>
      </c>
      <c r="AX3032" t="inlineStr">
        <is>
          <t>16471571</t>
        </is>
      </c>
      <c r="AY3032" t="inlineStr">
        <is>
          <t>991001112239702656</t>
        </is>
      </c>
      <c r="AZ3032" t="inlineStr">
        <is>
          <t>991001112239702656</t>
        </is>
      </c>
      <c r="BA3032" t="inlineStr">
        <is>
          <t>2265695590002656</t>
        </is>
      </c>
      <c r="BB3032" t="inlineStr">
        <is>
          <t>BOOK</t>
        </is>
      </c>
      <c r="BD3032" t="inlineStr">
        <is>
          <t>9780802312846</t>
        </is>
      </c>
      <c r="BE3032" t="inlineStr">
        <is>
          <t>32285001150233</t>
        </is>
      </c>
      <c r="BF3032" t="inlineStr">
        <is>
          <t>893602332</t>
        </is>
      </c>
    </row>
    <row r="3033">
      <c r="A3033" t="inlineStr">
        <is>
          <t>No</t>
        </is>
      </c>
      <c r="B3033" t="inlineStr">
        <is>
          <t>CURAL</t>
        </is>
      </c>
      <c r="C3033" t="inlineStr">
        <is>
          <t>SHELVES</t>
        </is>
      </c>
      <c r="D3033" t="inlineStr">
        <is>
          <t>PR6019.O9 P638</t>
        </is>
      </c>
      <c r="E3033" t="inlineStr">
        <is>
          <t>0                      PR 6019000O  9                  P  638</t>
        </is>
      </c>
      <c r="F3033" t="inlineStr">
        <is>
          <t>The workshop of Daedalus : James Joyce and the raw materials for A portrait of the artist as a young man / collected and edited by Robert Scholes and Richard M. Kain.</t>
        </is>
      </c>
      <c r="H3033" t="inlineStr">
        <is>
          <t>No</t>
        </is>
      </c>
      <c r="I3033" t="inlineStr">
        <is>
          <t>1</t>
        </is>
      </c>
      <c r="J3033" t="inlineStr">
        <is>
          <t>No</t>
        </is>
      </c>
      <c r="K3033" t="inlineStr">
        <is>
          <t>No</t>
        </is>
      </c>
      <c r="L3033" t="inlineStr">
        <is>
          <t>0</t>
        </is>
      </c>
      <c r="M3033" t="inlineStr">
        <is>
          <t>Scholes, Robert, 1929- editor.</t>
        </is>
      </c>
      <c r="N3033" t="inlineStr">
        <is>
          <t>Evanston, Ill. : Northwestern University Press, 1965.</t>
        </is>
      </c>
      <c r="O3033" t="inlineStr">
        <is>
          <t>1965</t>
        </is>
      </c>
      <c r="Q3033" t="inlineStr">
        <is>
          <t>eng</t>
        </is>
      </c>
      <c r="R3033" t="inlineStr">
        <is>
          <t>ilu</t>
        </is>
      </c>
      <c r="T3033" t="inlineStr">
        <is>
          <t xml:space="preserve">PR </t>
        </is>
      </c>
      <c r="U3033" t="n">
        <v>4</v>
      </c>
      <c r="V3033" t="n">
        <v>4</v>
      </c>
      <c r="W3033" t="inlineStr">
        <is>
          <t>2010-03-30</t>
        </is>
      </c>
      <c r="X3033" t="inlineStr">
        <is>
          <t>2010-03-30</t>
        </is>
      </c>
      <c r="Y3033" t="inlineStr">
        <is>
          <t>1992-04-22</t>
        </is>
      </c>
      <c r="Z3033" t="inlineStr">
        <is>
          <t>1992-04-22</t>
        </is>
      </c>
      <c r="AA3033" t="n">
        <v>800</v>
      </c>
      <c r="AB3033" t="n">
        <v>674</v>
      </c>
      <c r="AC3033" t="n">
        <v>683</v>
      </c>
      <c r="AD3033" t="n">
        <v>3</v>
      </c>
      <c r="AE3033" t="n">
        <v>3</v>
      </c>
      <c r="AF3033" t="n">
        <v>32</v>
      </c>
      <c r="AG3033" t="n">
        <v>32</v>
      </c>
      <c r="AH3033" t="n">
        <v>13</v>
      </c>
      <c r="AI3033" t="n">
        <v>13</v>
      </c>
      <c r="AJ3033" t="n">
        <v>9</v>
      </c>
      <c r="AK3033" t="n">
        <v>9</v>
      </c>
      <c r="AL3033" t="n">
        <v>18</v>
      </c>
      <c r="AM3033" t="n">
        <v>18</v>
      </c>
      <c r="AN3033" t="n">
        <v>2</v>
      </c>
      <c r="AO3033" t="n">
        <v>2</v>
      </c>
      <c r="AP3033" t="n">
        <v>0</v>
      </c>
      <c r="AQ3033" t="n">
        <v>0</v>
      </c>
      <c r="AR3033" t="inlineStr">
        <is>
          <t>No</t>
        </is>
      </c>
      <c r="AS3033" t="inlineStr">
        <is>
          <t>Yes</t>
        </is>
      </c>
      <c r="AT3033">
        <f>HYPERLINK("http://catalog.hathitrust.org/Record/004682810","HathiTrust Record")</f>
        <v/>
      </c>
      <c r="AU3033">
        <f>HYPERLINK("https://creighton-primo.hosted.exlibrisgroup.com/primo-explore/search?tab=default_tab&amp;search_scope=EVERYTHING&amp;vid=01CRU&amp;lang=en_US&amp;offset=0&amp;query=any,contains,991002520139702656","Catalog Record")</f>
        <v/>
      </c>
      <c r="AV3033">
        <f>HYPERLINK("http://www.worldcat.org/oclc/365894","WorldCat Record")</f>
        <v/>
      </c>
      <c r="AW3033" t="inlineStr">
        <is>
          <t>1425748:eng</t>
        </is>
      </c>
      <c r="AX3033" t="inlineStr">
        <is>
          <t>365894</t>
        </is>
      </c>
      <c r="AY3033" t="inlineStr">
        <is>
          <t>991002520139702656</t>
        </is>
      </c>
      <c r="AZ3033" t="inlineStr">
        <is>
          <t>991002520139702656</t>
        </is>
      </c>
      <c r="BA3033" t="inlineStr">
        <is>
          <t>2266098340002656</t>
        </is>
      </c>
      <c r="BB3033" t="inlineStr">
        <is>
          <t>BOOK</t>
        </is>
      </c>
      <c r="BE3033" t="inlineStr">
        <is>
          <t>32285001064152</t>
        </is>
      </c>
      <c r="BF3033" t="inlineStr">
        <is>
          <t>893697901</t>
        </is>
      </c>
    </row>
    <row r="3034">
      <c r="A3034" t="inlineStr">
        <is>
          <t>No</t>
        </is>
      </c>
      <c r="B3034" t="inlineStr">
        <is>
          <t>CURAL</t>
        </is>
      </c>
      <c r="C3034" t="inlineStr">
        <is>
          <t>SHELVES</t>
        </is>
      </c>
      <c r="D3034" t="inlineStr">
        <is>
          <t>PR6019.O9 P6486</t>
        </is>
      </c>
      <c r="E3034" t="inlineStr">
        <is>
          <t>0                      PR 6019000O  9                  P  6486</t>
        </is>
      </c>
      <c r="F3034" t="inlineStr">
        <is>
          <t>Imagery and the mind of Stephen Dedalus : a computer-assisted study of Joyce's A portrait of the artist as a young man / John B. Smith.</t>
        </is>
      </c>
      <c r="H3034" t="inlineStr">
        <is>
          <t>No</t>
        </is>
      </c>
      <c r="I3034" t="inlineStr">
        <is>
          <t>1</t>
        </is>
      </c>
      <c r="J3034" t="inlineStr">
        <is>
          <t>No</t>
        </is>
      </c>
      <c r="K3034" t="inlineStr">
        <is>
          <t>No</t>
        </is>
      </c>
      <c r="L3034" t="inlineStr">
        <is>
          <t>0</t>
        </is>
      </c>
      <c r="M3034" t="inlineStr">
        <is>
          <t>Smith, John B. (John Bristow), 1940-</t>
        </is>
      </c>
      <c r="N3034" t="inlineStr">
        <is>
          <t>Lewisburg [Pa.] : Bucknell University Press, c1980.</t>
        </is>
      </c>
      <c r="O3034" t="inlineStr">
        <is>
          <t>1980</t>
        </is>
      </c>
      <c r="Q3034" t="inlineStr">
        <is>
          <t>eng</t>
        </is>
      </c>
      <c r="R3034" t="inlineStr">
        <is>
          <t>pau</t>
        </is>
      </c>
      <c r="T3034" t="inlineStr">
        <is>
          <t xml:space="preserve">PR </t>
        </is>
      </c>
      <c r="U3034" t="n">
        <v>9</v>
      </c>
      <c r="V3034" t="n">
        <v>9</v>
      </c>
      <c r="W3034" t="inlineStr">
        <is>
          <t>2003-04-24</t>
        </is>
      </c>
      <c r="X3034" t="inlineStr">
        <is>
          <t>2003-04-24</t>
        </is>
      </c>
      <c r="Y3034" t="inlineStr">
        <is>
          <t>1992-04-22</t>
        </is>
      </c>
      <c r="Z3034" t="inlineStr">
        <is>
          <t>1992-04-22</t>
        </is>
      </c>
      <c r="AA3034" t="n">
        <v>330</v>
      </c>
      <c r="AB3034" t="n">
        <v>271</v>
      </c>
      <c r="AC3034" t="n">
        <v>277</v>
      </c>
      <c r="AD3034" t="n">
        <v>3</v>
      </c>
      <c r="AE3034" t="n">
        <v>3</v>
      </c>
      <c r="AF3034" t="n">
        <v>17</v>
      </c>
      <c r="AG3034" t="n">
        <v>17</v>
      </c>
      <c r="AH3034" t="n">
        <v>6</v>
      </c>
      <c r="AI3034" t="n">
        <v>6</v>
      </c>
      <c r="AJ3034" t="n">
        <v>4</v>
      </c>
      <c r="AK3034" t="n">
        <v>4</v>
      </c>
      <c r="AL3034" t="n">
        <v>10</v>
      </c>
      <c r="AM3034" t="n">
        <v>10</v>
      </c>
      <c r="AN3034" t="n">
        <v>2</v>
      </c>
      <c r="AO3034" t="n">
        <v>2</v>
      </c>
      <c r="AP3034" t="n">
        <v>0</v>
      </c>
      <c r="AQ3034" t="n">
        <v>0</v>
      </c>
      <c r="AR3034" t="inlineStr">
        <is>
          <t>No</t>
        </is>
      </c>
      <c r="AS3034" t="inlineStr">
        <is>
          <t>Yes</t>
        </is>
      </c>
      <c r="AT3034">
        <f>HYPERLINK("http://catalog.hathitrust.org/Record/000736742","HathiTrust Record")</f>
        <v/>
      </c>
      <c r="AU3034">
        <f>HYPERLINK("https://creighton-primo.hosted.exlibrisgroup.com/primo-explore/search?tab=default_tab&amp;search_scope=EVERYTHING&amp;vid=01CRU&amp;lang=en_US&amp;offset=0&amp;query=any,contains,991004555799702656","Catalog Record")</f>
        <v/>
      </c>
      <c r="AV3034">
        <f>HYPERLINK("http://www.worldcat.org/oclc/3966181","WorldCat Record")</f>
        <v/>
      </c>
      <c r="AW3034" t="inlineStr">
        <is>
          <t>365503411:eng</t>
        </is>
      </c>
      <c r="AX3034" t="inlineStr">
        <is>
          <t>3966181</t>
        </is>
      </c>
      <c r="AY3034" t="inlineStr">
        <is>
          <t>991004555799702656</t>
        </is>
      </c>
      <c r="AZ3034" t="inlineStr">
        <is>
          <t>991004555799702656</t>
        </is>
      </c>
      <c r="BA3034" t="inlineStr">
        <is>
          <t>2263865260002656</t>
        </is>
      </c>
      <c r="BB3034" t="inlineStr">
        <is>
          <t>BOOK</t>
        </is>
      </c>
      <c r="BD3034" t="inlineStr">
        <is>
          <t>9780838717585</t>
        </is>
      </c>
      <c r="BE3034" t="inlineStr">
        <is>
          <t>32285001064137</t>
        </is>
      </c>
      <c r="BF3034" t="inlineStr">
        <is>
          <t>893350154</t>
        </is>
      </c>
    </row>
    <row r="3035">
      <c r="A3035" t="inlineStr">
        <is>
          <t>No</t>
        </is>
      </c>
      <c r="B3035" t="inlineStr">
        <is>
          <t>CURAL</t>
        </is>
      </c>
      <c r="C3035" t="inlineStr">
        <is>
          <t>SHELVES</t>
        </is>
      </c>
      <c r="D3035" t="inlineStr">
        <is>
          <t>PR6019.O9 R53 1982</t>
        </is>
      </c>
      <c r="E3035" t="inlineStr">
        <is>
          <t>0                      PR 6019000O  9                  R  53          1982</t>
        </is>
      </c>
      <c r="F3035" t="inlineStr">
        <is>
          <t>James Joyce, a guide to research / Thomas Jackson Rice.</t>
        </is>
      </c>
      <c r="H3035" t="inlineStr">
        <is>
          <t>No</t>
        </is>
      </c>
      <c r="I3035" t="inlineStr">
        <is>
          <t>1</t>
        </is>
      </c>
      <c r="J3035" t="inlineStr">
        <is>
          <t>No</t>
        </is>
      </c>
      <c r="K3035" t="inlineStr">
        <is>
          <t>No</t>
        </is>
      </c>
      <c r="L3035" t="inlineStr">
        <is>
          <t>0</t>
        </is>
      </c>
      <c r="M3035" t="inlineStr">
        <is>
          <t>Rice, Thomas Jackson.</t>
        </is>
      </c>
      <c r="N3035" t="inlineStr">
        <is>
          <t>New York : Garland Pub., 1982.</t>
        </is>
      </c>
      <c r="O3035" t="inlineStr">
        <is>
          <t>1982</t>
        </is>
      </c>
      <c r="Q3035" t="inlineStr">
        <is>
          <t>eng</t>
        </is>
      </c>
      <c r="R3035" t="inlineStr">
        <is>
          <t>nyu</t>
        </is>
      </c>
      <c r="S3035" t="inlineStr">
        <is>
          <t>Garland reference library of the humanities ; v. 328</t>
        </is>
      </c>
      <c r="T3035" t="inlineStr">
        <is>
          <t xml:space="preserve">PR </t>
        </is>
      </c>
      <c r="U3035" t="n">
        <v>7</v>
      </c>
      <c r="V3035" t="n">
        <v>7</v>
      </c>
      <c r="W3035" t="inlineStr">
        <is>
          <t>2006-09-28</t>
        </is>
      </c>
      <c r="X3035" t="inlineStr">
        <is>
          <t>2006-09-28</t>
        </is>
      </c>
      <c r="Y3035" t="inlineStr">
        <is>
          <t>1992-07-08</t>
        </is>
      </c>
      <c r="Z3035" t="inlineStr">
        <is>
          <t>1992-07-08</t>
        </is>
      </c>
      <c r="AA3035" t="n">
        <v>438</v>
      </c>
      <c r="AB3035" t="n">
        <v>346</v>
      </c>
      <c r="AC3035" t="n">
        <v>388</v>
      </c>
      <c r="AD3035" t="n">
        <v>3</v>
      </c>
      <c r="AE3035" t="n">
        <v>3</v>
      </c>
      <c r="AF3035" t="n">
        <v>18</v>
      </c>
      <c r="AG3035" t="n">
        <v>18</v>
      </c>
      <c r="AH3035" t="n">
        <v>6</v>
      </c>
      <c r="AI3035" t="n">
        <v>6</v>
      </c>
      <c r="AJ3035" t="n">
        <v>5</v>
      </c>
      <c r="AK3035" t="n">
        <v>5</v>
      </c>
      <c r="AL3035" t="n">
        <v>11</v>
      </c>
      <c r="AM3035" t="n">
        <v>11</v>
      </c>
      <c r="AN3035" t="n">
        <v>2</v>
      </c>
      <c r="AO3035" t="n">
        <v>2</v>
      </c>
      <c r="AP3035" t="n">
        <v>0</v>
      </c>
      <c r="AQ3035" t="n">
        <v>0</v>
      </c>
      <c r="AR3035" t="inlineStr">
        <is>
          <t>No</t>
        </is>
      </c>
      <c r="AS3035" t="inlineStr">
        <is>
          <t>Yes</t>
        </is>
      </c>
      <c r="AT3035">
        <f>HYPERLINK("http://catalog.hathitrust.org/Record/000231730","HathiTrust Record")</f>
        <v/>
      </c>
      <c r="AU3035">
        <f>HYPERLINK("https://creighton-primo.hosted.exlibrisgroup.com/primo-explore/search?tab=default_tab&amp;search_scope=EVERYTHING&amp;vid=01CRU&amp;lang=en_US&amp;offset=0&amp;query=any,contains,991000014149702656","Catalog Record")</f>
        <v/>
      </c>
      <c r="AV3035">
        <f>HYPERLINK("http://www.worldcat.org/oclc/8552004","WorldCat Record")</f>
        <v/>
      </c>
      <c r="AW3035" t="inlineStr">
        <is>
          <t>32162427:eng</t>
        </is>
      </c>
      <c r="AX3035" t="inlineStr">
        <is>
          <t>8552004</t>
        </is>
      </c>
      <c r="AY3035" t="inlineStr">
        <is>
          <t>991000014149702656</t>
        </is>
      </c>
      <c r="AZ3035" t="inlineStr">
        <is>
          <t>991000014149702656</t>
        </is>
      </c>
      <c r="BA3035" t="inlineStr">
        <is>
          <t>2259639280002656</t>
        </is>
      </c>
      <c r="BB3035" t="inlineStr">
        <is>
          <t>BOOK</t>
        </is>
      </c>
      <c r="BD3035" t="inlineStr">
        <is>
          <t>9780824093839</t>
        </is>
      </c>
      <c r="BE3035" t="inlineStr">
        <is>
          <t>32285001150258</t>
        </is>
      </c>
      <c r="BF3035" t="inlineStr">
        <is>
          <t>893326932</t>
        </is>
      </c>
    </row>
    <row r="3036">
      <c r="A3036" t="inlineStr">
        <is>
          <t>No</t>
        </is>
      </c>
      <c r="B3036" t="inlineStr">
        <is>
          <t>CURAL</t>
        </is>
      </c>
      <c r="C3036" t="inlineStr">
        <is>
          <t>SHELVES</t>
        </is>
      </c>
      <c r="D3036" t="inlineStr">
        <is>
          <t>PR6019.O9 S7</t>
        </is>
      </c>
      <c r="E3036" t="inlineStr">
        <is>
          <t>0                      PR 6019000O  9                  S  7</t>
        </is>
      </c>
      <c r="F3036" t="inlineStr">
        <is>
          <t>Stephen hero / edited from the ms. in the Harvard College Library by Theodore Spencer.</t>
        </is>
      </c>
      <c r="H3036" t="inlineStr">
        <is>
          <t>No</t>
        </is>
      </c>
      <c r="I3036" t="inlineStr">
        <is>
          <t>1</t>
        </is>
      </c>
      <c r="J3036" t="inlineStr">
        <is>
          <t>No</t>
        </is>
      </c>
      <c r="K3036" t="inlineStr">
        <is>
          <t>No</t>
        </is>
      </c>
      <c r="L3036" t="inlineStr">
        <is>
          <t>0</t>
        </is>
      </c>
      <c r="M3036" t="inlineStr">
        <is>
          <t>Joyce, James, 1882-1941.</t>
        </is>
      </c>
      <c r="N3036" t="inlineStr">
        <is>
          <t>[New York : New Directions, c1955]</t>
        </is>
      </c>
      <c r="O3036" t="inlineStr">
        <is>
          <t>1955</t>
        </is>
      </c>
      <c r="P3036" t="inlineStr">
        <is>
          <t>A new ed. / incorporating additional ms. pages in the Yale University Library edited by John J. Slocum and Herbert Cahoon.</t>
        </is>
      </c>
      <c r="Q3036" t="inlineStr">
        <is>
          <t>eng</t>
        </is>
      </c>
      <c r="R3036" t="inlineStr">
        <is>
          <t>nyu</t>
        </is>
      </c>
      <c r="S3036" t="inlineStr">
        <is>
          <t>A New Directions book</t>
        </is>
      </c>
      <c r="T3036" t="inlineStr">
        <is>
          <t xml:space="preserve">PR </t>
        </is>
      </c>
      <c r="U3036" t="n">
        <v>2</v>
      </c>
      <c r="V3036" t="n">
        <v>2</v>
      </c>
      <c r="W3036" t="inlineStr">
        <is>
          <t>2003-04-28</t>
        </is>
      </c>
      <c r="X3036" t="inlineStr">
        <is>
          <t>2003-04-28</t>
        </is>
      </c>
      <c r="Y3036" t="inlineStr">
        <is>
          <t>1992-07-09</t>
        </is>
      </c>
      <c r="Z3036" t="inlineStr">
        <is>
          <t>1992-07-09</t>
        </is>
      </c>
      <c r="AA3036" t="n">
        <v>280</v>
      </c>
      <c r="AB3036" t="n">
        <v>272</v>
      </c>
      <c r="AC3036" t="n">
        <v>285</v>
      </c>
      <c r="AD3036" t="n">
        <v>5</v>
      </c>
      <c r="AE3036" t="n">
        <v>5</v>
      </c>
      <c r="AF3036" t="n">
        <v>16</v>
      </c>
      <c r="AG3036" t="n">
        <v>16</v>
      </c>
      <c r="AH3036" t="n">
        <v>3</v>
      </c>
      <c r="AI3036" t="n">
        <v>3</v>
      </c>
      <c r="AJ3036" t="n">
        <v>4</v>
      </c>
      <c r="AK3036" t="n">
        <v>4</v>
      </c>
      <c r="AL3036" t="n">
        <v>9</v>
      </c>
      <c r="AM3036" t="n">
        <v>9</v>
      </c>
      <c r="AN3036" t="n">
        <v>3</v>
      </c>
      <c r="AO3036" t="n">
        <v>3</v>
      </c>
      <c r="AP3036" t="n">
        <v>0</v>
      </c>
      <c r="AQ3036" t="n">
        <v>0</v>
      </c>
      <c r="AR3036" t="inlineStr">
        <is>
          <t>No</t>
        </is>
      </c>
      <c r="AS3036" t="inlineStr">
        <is>
          <t>Yes</t>
        </is>
      </c>
      <c r="AT3036">
        <f>HYPERLINK("http://catalog.hathitrust.org/Record/000484511","HathiTrust Record")</f>
        <v/>
      </c>
      <c r="AU3036">
        <f>HYPERLINK("https://creighton-primo.hosted.exlibrisgroup.com/primo-explore/search?tab=default_tab&amp;search_scope=EVERYTHING&amp;vid=01CRU&amp;lang=en_US&amp;offset=0&amp;query=any,contains,991004023379702656","Catalog Record")</f>
        <v/>
      </c>
      <c r="AV3036">
        <f>HYPERLINK("http://www.worldcat.org/oclc/2127219","WorldCat Record")</f>
        <v/>
      </c>
      <c r="AW3036" t="inlineStr">
        <is>
          <t>9989491969:eng</t>
        </is>
      </c>
      <c r="AX3036" t="inlineStr">
        <is>
          <t>2127219</t>
        </is>
      </c>
      <c r="AY3036" t="inlineStr">
        <is>
          <t>991004023379702656</t>
        </is>
      </c>
      <c r="AZ3036" t="inlineStr">
        <is>
          <t>991004023379702656</t>
        </is>
      </c>
      <c r="BA3036" t="inlineStr">
        <is>
          <t>2272205550002656</t>
        </is>
      </c>
      <c r="BB3036" t="inlineStr">
        <is>
          <t>BOOK</t>
        </is>
      </c>
      <c r="BE3036" t="inlineStr">
        <is>
          <t>32285001150274</t>
        </is>
      </c>
      <c r="BF3036" t="inlineStr">
        <is>
          <t>893318705</t>
        </is>
      </c>
    </row>
    <row r="3037">
      <c r="A3037" t="inlineStr">
        <is>
          <t>No</t>
        </is>
      </c>
      <c r="B3037" t="inlineStr">
        <is>
          <t>CURAL</t>
        </is>
      </c>
      <c r="C3037" t="inlineStr">
        <is>
          <t>SHELVES</t>
        </is>
      </c>
      <c r="D3037" t="inlineStr">
        <is>
          <t>PR6019.O9 S73 1989</t>
        </is>
      </c>
      <c r="E3037" t="inlineStr">
        <is>
          <t>0                      PR 6019000O  9                  S  73          1989</t>
        </is>
      </c>
      <c r="F3037" t="inlineStr">
        <is>
          <t>An annotated critical bibliography of James Joyce / Thomas F. Staley.</t>
        </is>
      </c>
      <c r="H3037" t="inlineStr">
        <is>
          <t>No</t>
        </is>
      </c>
      <c r="I3037" t="inlineStr">
        <is>
          <t>1</t>
        </is>
      </c>
      <c r="J3037" t="inlineStr">
        <is>
          <t>No</t>
        </is>
      </c>
      <c r="K3037" t="inlineStr">
        <is>
          <t>No</t>
        </is>
      </c>
      <c r="L3037" t="inlineStr">
        <is>
          <t>0</t>
        </is>
      </c>
      <c r="M3037" t="inlineStr">
        <is>
          <t>Staley, Thomas F.</t>
        </is>
      </c>
      <c r="N3037" t="inlineStr">
        <is>
          <t>New York : St. Martin's Press, 1989.</t>
        </is>
      </c>
      <c r="O3037" t="inlineStr">
        <is>
          <t>1989</t>
        </is>
      </c>
      <c r="Q3037" t="inlineStr">
        <is>
          <t>eng</t>
        </is>
      </c>
      <c r="R3037" t="inlineStr">
        <is>
          <t>nyu</t>
        </is>
      </c>
      <c r="T3037" t="inlineStr">
        <is>
          <t xml:space="preserve">PR </t>
        </is>
      </c>
      <c r="U3037" t="n">
        <v>5</v>
      </c>
      <c r="V3037" t="n">
        <v>5</v>
      </c>
      <c r="W3037" t="inlineStr">
        <is>
          <t>2004-11-22</t>
        </is>
      </c>
      <c r="X3037" t="inlineStr">
        <is>
          <t>2004-11-22</t>
        </is>
      </c>
      <c r="Y3037" t="inlineStr">
        <is>
          <t>1989-12-18</t>
        </is>
      </c>
      <c r="Z3037" t="inlineStr">
        <is>
          <t>1989-12-18</t>
        </is>
      </c>
      <c r="AA3037" t="n">
        <v>311</v>
      </c>
      <c r="AB3037" t="n">
        <v>274</v>
      </c>
      <c r="AC3037" t="n">
        <v>315</v>
      </c>
      <c r="AD3037" t="n">
        <v>2</v>
      </c>
      <c r="AE3037" t="n">
        <v>3</v>
      </c>
      <c r="AF3037" t="n">
        <v>18</v>
      </c>
      <c r="AG3037" t="n">
        <v>21</v>
      </c>
      <c r="AH3037" t="n">
        <v>8</v>
      </c>
      <c r="AI3037" t="n">
        <v>8</v>
      </c>
      <c r="AJ3037" t="n">
        <v>3</v>
      </c>
      <c r="AK3037" t="n">
        <v>5</v>
      </c>
      <c r="AL3037" t="n">
        <v>11</v>
      </c>
      <c r="AM3037" t="n">
        <v>13</v>
      </c>
      <c r="AN3037" t="n">
        <v>1</v>
      </c>
      <c r="AO3037" t="n">
        <v>2</v>
      </c>
      <c r="AP3037" t="n">
        <v>0</v>
      </c>
      <c r="AQ3037" t="n">
        <v>0</v>
      </c>
      <c r="AR3037" t="inlineStr">
        <is>
          <t>No</t>
        </is>
      </c>
      <c r="AS3037" t="inlineStr">
        <is>
          <t>No</t>
        </is>
      </c>
      <c r="AU3037">
        <f>HYPERLINK("https://creighton-primo.hosted.exlibrisgroup.com/primo-explore/search?tab=default_tab&amp;search_scope=EVERYTHING&amp;vid=01CRU&amp;lang=en_US&amp;offset=0&amp;query=any,contains,991001395109702656","Catalog Record")</f>
        <v/>
      </c>
      <c r="AV3037">
        <f>HYPERLINK("http://www.worldcat.org/oclc/18780871","WorldCat Record")</f>
        <v/>
      </c>
      <c r="AW3037" t="inlineStr">
        <is>
          <t>17706382:eng</t>
        </is>
      </c>
      <c r="AX3037" t="inlineStr">
        <is>
          <t>18780871</t>
        </is>
      </c>
      <c r="AY3037" t="inlineStr">
        <is>
          <t>991001395109702656</t>
        </is>
      </c>
      <c r="AZ3037" t="inlineStr">
        <is>
          <t>991001395109702656</t>
        </is>
      </c>
      <c r="BA3037" t="inlineStr">
        <is>
          <t>2258400560002656</t>
        </is>
      </c>
      <c r="BB3037" t="inlineStr">
        <is>
          <t>BOOK</t>
        </is>
      </c>
      <c r="BD3037" t="inlineStr">
        <is>
          <t>9780312019631</t>
        </is>
      </c>
      <c r="BE3037" t="inlineStr">
        <is>
          <t>32285000017961</t>
        </is>
      </c>
      <c r="BF3037" t="inlineStr">
        <is>
          <t>893340407</t>
        </is>
      </c>
    </row>
    <row r="3038">
      <c r="A3038" t="inlineStr">
        <is>
          <t>No</t>
        </is>
      </c>
      <c r="B3038" t="inlineStr">
        <is>
          <t>CURAL</t>
        </is>
      </c>
      <c r="C3038" t="inlineStr">
        <is>
          <t>SHELVES</t>
        </is>
      </c>
      <c r="D3038" t="inlineStr">
        <is>
          <t>PR6019.O9 U56</t>
        </is>
      </c>
      <c r="E3038" t="inlineStr">
        <is>
          <t>0                      PR 6019000O  9                  U  56</t>
        </is>
      </c>
      <c r="F3038" t="inlineStr">
        <is>
          <t>Approaches to Ulysses; ten essays. Thomas F. Staley and Bernard Benstock, editors.</t>
        </is>
      </c>
      <c r="H3038" t="inlineStr">
        <is>
          <t>No</t>
        </is>
      </c>
      <c r="I3038" t="inlineStr">
        <is>
          <t>1</t>
        </is>
      </c>
      <c r="J3038" t="inlineStr">
        <is>
          <t>No</t>
        </is>
      </c>
      <c r="K3038" t="inlineStr">
        <is>
          <t>No</t>
        </is>
      </c>
      <c r="L3038" t="inlineStr">
        <is>
          <t>0</t>
        </is>
      </c>
      <c r="N3038" t="inlineStr">
        <is>
          <t>[Pittsburgh] University of Pittsburgh Press [c1970]</t>
        </is>
      </c>
      <c r="O3038" t="inlineStr">
        <is>
          <t>1970</t>
        </is>
      </c>
      <c r="Q3038" t="inlineStr">
        <is>
          <t>eng</t>
        </is>
      </c>
      <c r="R3038" t="inlineStr">
        <is>
          <t>pau</t>
        </is>
      </c>
      <c r="T3038" t="inlineStr">
        <is>
          <t xml:space="preserve">PR </t>
        </is>
      </c>
      <c r="U3038" t="n">
        <v>3</v>
      </c>
      <c r="V3038" t="n">
        <v>3</v>
      </c>
      <c r="W3038" t="inlineStr">
        <is>
          <t>2006-10-23</t>
        </is>
      </c>
      <c r="X3038" t="inlineStr">
        <is>
          <t>2006-10-23</t>
        </is>
      </c>
      <c r="Y3038" t="inlineStr">
        <is>
          <t>1997-04-10</t>
        </is>
      </c>
      <c r="Z3038" t="inlineStr">
        <is>
          <t>1997-04-10</t>
        </is>
      </c>
      <c r="AA3038" t="n">
        <v>1139</v>
      </c>
      <c r="AB3038" t="n">
        <v>1002</v>
      </c>
      <c r="AC3038" t="n">
        <v>1016</v>
      </c>
      <c r="AD3038" t="n">
        <v>13</v>
      </c>
      <c r="AE3038" t="n">
        <v>13</v>
      </c>
      <c r="AF3038" t="n">
        <v>52</v>
      </c>
      <c r="AG3038" t="n">
        <v>52</v>
      </c>
      <c r="AH3038" t="n">
        <v>21</v>
      </c>
      <c r="AI3038" t="n">
        <v>21</v>
      </c>
      <c r="AJ3038" t="n">
        <v>9</v>
      </c>
      <c r="AK3038" t="n">
        <v>9</v>
      </c>
      <c r="AL3038" t="n">
        <v>22</v>
      </c>
      <c r="AM3038" t="n">
        <v>22</v>
      </c>
      <c r="AN3038" t="n">
        <v>12</v>
      </c>
      <c r="AO3038" t="n">
        <v>12</v>
      </c>
      <c r="AP3038" t="n">
        <v>0</v>
      </c>
      <c r="AQ3038" t="n">
        <v>0</v>
      </c>
      <c r="AR3038" t="inlineStr">
        <is>
          <t>No</t>
        </is>
      </c>
      <c r="AS3038" t="inlineStr">
        <is>
          <t>Yes</t>
        </is>
      </c>
      <c r="AT3038">
        <f>HYPERLINK("http://catalog.hathitrust.org/Record/000483599","HathiTrust Record")</f>
        <v/>
      </c>
      <c r="AU3038">
        <f>HYPERLINK("https://creighton-primo.hosted.exlibrisgroup.com/primo-explore/search?tab=default_tab&amp;search_scope=EVERYTHING&amp;vid=01CRU&amp;lang=en_US&amp;offset=0&amp;query=any,contains,991000662019702656","Catalog Record")</f>
        <v/>
      </c>
      <c r="AV3038">
        <f>HYPERLINK("http://www.worldcat.org/oclc/117445","WorldCat Record")</f>
        <v/>
      </c>
      <c r="AW3038" t="inlineStr">
        <is>
          <t>807011793:eng</t>
        </is>
      </c>
      <c r="AX3038" t="inlineStr">
        <is>
          <t>117445</t>
        </is>
      </c>
      <c r="AY3038" t="inlineStr">
        <is>
          <t>991000662019702656</t>
        </is>
      </c>
      <c r="AZ3038" t="inlineStr">
        <is>
          <t>991000662019702656</t>
        </is>
      </c>
      <c r="BA3038" t="inlineStr">
        <is>
          <t>2260940580002656</t>
        </is>
      </c>
      <c r="BB3038" t="inlineStr">
        <is>
          <t>BOOK</t>
        </is>
      </c>
      <c r="BD3038" t="inlineStr">
        <is>
          <t>9780822932093</t>
        </is>
      </c>
      <c r="BE3038" t="inlineStr">
        <is>
          <t>32285002528049</t>
        </is>
      </c>
      <c r="BF3038" t="inlineStr">
        <is>
          <t>893261565</t>
        </is>
      </c>
    </row>
    <row r="3039">
      <c r="A3039" t="inlineStr">
        <is>
          <t>No</t>
        </is>
      </c>
      <c r="B3039" t="inlineStr">
        <is>
          <t>CURAL</t>
        </is>
      </c>
      <c r="C3039" t="inlineStr">
        <is>
          <t>SHELVES</t>
        </is>
      </c>
      <c r="D3039" t="inlineStr">
        <is>
          <t>PR6019.O9 U57 1992</t>
        </is>
      </c>
      <c r="E3039" t="inlineStr">
        <is>
          <t>0                      PR 6019000O  9                  U  57          1992</t>
        </is>
      </c>
      <c r="F3039" t="inlineStr">
        <is>
          <t>The scandal of Ulysses : the sensational life of a twentieth-century masterpiece / Bruce Arnold.</t>
        </is>
      </c>
      <c r="H3039" t="inlineStr">
        <is>
          <t>No</t>
        </is>
      </c>
      <c r="I3039" t="inlineStr">
        <is>
          <t>1</t>
        </is>
      </c>
      <c r="J3039" t="inlineStr">
        <is>
          <t>No</t>
        </is>
      </c>
      <c r="K3039" t="inlineStr">
        <is>
          <t>No</t>
        </is>
      </c>
      <c r="L3039" t="inlineStr">
        <is>
          <t>0</t>
        </is>
      </c>
      <c r="M3039" t="inlineStr">
        <is>
          <t>Arnold, Bruce.</t>
        </is>
      </c>
      <c r="N3039" t="inlineStr">
        <is>
          <t>New York : St. Martin's Press, 1992, c1991.</t>
        </is>
      </c>
      <c r="O3039" t="inlineStr">
        <is>
          <t>1992</t>
        </is>
      </c>
      <c r="P3039" t="inlineStr">
        <is>
          <t>1st U.S. ed.</t>
        </is>
      </c>
      <c r="Q3039" t="inlineStr">
        <is>
          <t>eng</t>
        </is>
      </c>
      <c r="R3039" t="inlineStr">
        <is>
          <t>nyu</t>
        </is>
      </c>
      <c r="T3039" t="inlineStr">
        <is>
          <t xml:space="preserve">PR </t>
        </is>
      </c>
      <c r="U3039" t="n">
        <v>4</v>
      </c>
      <c r="V3039" t="n">
        <v>4</v>
      </c>
      <c r="W3039" t="inlineStr">
        <is>
          <t>2005-03-11</t>
        </is>
      </c>
      <c r="X3039" t="inlineStr">
        <is>
          <t>2005-03-11</t>
        </is>
      </c>
      <c r="Y3039" t="inlineStr">
        <is>
          <t>1993-02-22</t>
        </is>
      </c>
      <c r="Z3039" t="inlineStr">
        <is>
          <t>1993-02-22</t>
        </is>
      </c>
      <c r="AA3039" t="n">
        <v>312</v>
      </c>
      <c r="AB3039" t="n">
        <v>296</v>
      </c>
      <c r="AC3039" t="n">
        <v>298</v>
      </c>
      <c r="AD3039" t="n">
        <v>2</v>
      </c>
      <c r="AE3039" t="n">
        <v>2</v>
      </c>
      <c r="AF3039" t="n">
        <v>14</v>
      </c>
      <c r="AG3039" t="n">
        <v>15</v>
      </c>
      <c r="AH3039" t="n">
        <v>5</v>
      </c>
      <c r="AI3039" t="n">
        <v>5</v>
      </c>
      <c r="AJ3039" t="n">
        <v>4</v>
      </c>
      <c r="AK3039" t="n">
        <v>5</v>
      </c>
      <c r="AL3039" t="n">
        <v>8</v>
      </c>
      <c r="AM3039" t="n">
        <v>9</v>
      </c>
      <c r="AN3039" t="n">
        <v>1</v>
      </c>
      <c r="AO3039" t="n">
        <v>1</v>
      </c>
      <c r="AP3039" t="n">
        <v>1</v>
      </c>
      <c r="AQ3039" t="n">
        <v>1</v>
      </c>
      <c r="AR3039" t="inlineStr">
        <is>
          <t>No</t>
        </is>
      </c>
      <c r="AS3039" t="inlineStr">
        <is>
          <t>No</t>
        </is>
      </c>
      <c r="AU3039">
        <f>HYPERLINK("https://creighton-primo.hosted.exlibrisgroup.com/primo-explore/search?tab=default_tab&amp;search_scope=EVERYTHING&amp;vid=01CRU&amp;lang=en_US&amp;offset=0&amp;query=any,contains,991002015169702656","Catalog Record")</f>
        <v/>
      </c>
      <c r="AV3039">
        <f>HYPERLINK("http://www.worldcat.org/oclc/25631069","WorldCat Record")</f>
        <v/>
      </c>
      <c r="AW3039" t="inlineStr">
        <is>
          <t>28297088:eng</t>
        </is>
      </c>
      <c r="AX3039" t="inlineStr">
        <is>
          <t>25631069</t>
        </is>
      </c>
      <c r="AY3039" t="inlineStr">
        <is>
          <t>991002015169702656</t>
        </is>
      </c>
      <c r="AZ3039" t="inlineStr">
        <is>
          <t>991002015169702656</t>
        </is>
      </c>
      <c r="BA3039" t="inlineStr">
        <is>
          <t>2268719810002656</t>
        </is>
      </c>
      <c r="BB3039" t="inlineStr">
        <is>
          <t>BOOK</t>
        </is>
      </c>
      <c r="BD3039" t="inlineStr">
        <is>
          <t>9780312082888</t>
        </is>
      </c>
      <c r="BE3039" t="inlineStr">
        <is>
          <t>32285001496008</t>
        </is>
      </c>
      <c r="BF3039" t="inlineStr">
        <is>
          <t>893497633</t>
        </is>
      </c>
    </row>
    <row r="3040">
      <c r="A3040" t="inlineStr">
        <is>
          <t>No</t>
        </is>
      </c>
      <c r="B3040" t="inlineStr">
        <is>
          <t>CURAL</t>
        </is>
      </c>
      <c r="C3040" t="inlineStr">
        <is>
          <t>SHELVES</t>
        </is>
      </c>
      <c r="D3040" t="inlineStr">
        <is>
          <t>PR6019.O9 U6254 1991</t>
        </is>
      </c>
      <c r="E3040" t="inlineStr">
        <is>
          <t>0                      PR 6019000O  9                  U  6254        1991</t>
        </is>
      </c>
      <c r="F3040" t="inlineStr">
        <is>
          <t>Jocoserious Joyce : the fate of folly in Ulysses / Robert H. Bell.</t>
        </is>
      </c>
      <c r="H3040" t="inlineStr">
        <is>
          <t>No</t>
        </is>
      </c>
      <c r="I3040" t="inlineStr">
        <is>
          <t>1</t>
        </is>
      </c>
      <c r="J3040" t="inlineStr">
        <is>
          <t>No</t>
        </is>
      </c>
      <c r="K3040" t="inlineStr">
        <is>
          <t>No</t>
        </is>
      </c>
      <c r="L3040" t="inlineStr">
        <is>
          <t>0</t>
        </is>
      </c>
      <c r="M3040" t="inlineStr">
        <is>
          <t>Bell, Robert H. (Robert Huntley), 1946-</t>
        </is>
      </c>
      <c r="N3040" t="inlineStr">
        <is>
          <t>Ithaca : Cornell University Press, 1991.</t>
        </is>
      </c>
      <c r="O3040" t="inlineStr">
        <is>
          <t>1991</t>
        </is>
      </c>
      <c r="Q3040" t="inlineStr">
        <is>
          <t>eng</t>
        </is>
      </c>
      <c r="R3040" t="inlineStr">
        <is>
          <t>nyu</t>
        </is>
      </c>
      <c r="T3040" t="inlineStr">
        <is>
          <t xml:space="preserve">PR </t>
        </is>
      </c>
      <c r="U3040" t="n">
        <v>2</v>
      </c>
      <c r="V3040" t="n">
        <v>2</v>
      </c>
      <c r="W3040" t="inlineStr">
        <is>
          <t>2004-02-09</t>
        </is>
      </c>
      <c r="X3040" t="inlineStr">
        <is>
          <t>2004-02-09</t>
        </is>
      </c>
      <c r="Y3040" t="inlineStr">
        <is>
          <t>1991-05-16</t>
        </is>
      </c>
      <c r="Z3040" t="inlineStr">
        <is>
          <t>1991-05-16</t>
        </is>
      </c>
      <c r="AA3040" t="n">
        <v>382</v>
      </c>
      <c r="AB3040" t="n">
        <v>313</v>
      </c>
      <c r="AC3040" t="n">
        <v>363</v>
      </c>
      <c r="AD3040" t="n">
        <v>4</v>
      </c>
      <c r="AE3040" t="n">
        <v>5</v>
      </c>
      <c r="AF3040" t="n">
        <v>24</v>
      </c>
      <c r="AG3040" t="n">
        <v>31</v>
      </c>
      <c r="AH3040" t="n">
        <v>9</v>
      </c>
      <c r="AI3040" t="n">
        <v>13</v>
      </c>
      <c r="AJ3040" t="n">
        <v>6</v>
      </c>
      <c r="AK3040" t="n">
        <v>7</v>
      </c>
      <c r="AL3040" t="n">
        <v>14</v>
      </c>
      <c r="AM3040" t="n">
        <v>15</v>
      </c>
      <c r="AN3040" t="n">
        <v>3</v>
      </c>
      <c r="AO3040" t="n">
        <v>4</v>
      </c>
      <c r="AP3040" t="n">
        <v>0</v>
      </c>
      <c r="AQ3040" t="n">
        <v>0</v>
      </c>
      <c r="AR3040" t="inlineStr">
        <is>
          <t>No</t>
        </is>
      </c>
      <c r="AS3040" t="inlineStr">
        <is>
          <t>Yes</t>
        </is>
      </c>
      <c r="AT3040">
        <f>HYPERLINK("http://catalog.hathitrust.org/Record/002441402","HathiTrust Record")</f>
        <v/>
      </c>
      <c r="AU3040">
        <f>HYPERLINK("https://creighton-primo.hosted.exlibrisgroup.com/primo-explore/search?tab=default_tab&amp;search_scope=EVERYTHING&amp;vid=01CRU&amp;lang=en_US&amp;offset=0&amp;query=any,contains,991001725979702656","Catalog Record")</f>
        <v/>
      </c>
      <c r="AV3040">
        <f>HYPERLINK("http://www.worldcat.org/oclc/21876243","WorldCat Record")</f>
        <v/>
      </c>
      <c r="AW3040" t="inlineStr">
        <is>
          <t>23287738:eng</t>
        </is>
      </c>
      <c r="AX3040" t="inlineStr">
        <is>
          <t>21876243</t>
        </is>
      </c>
      <c r="AY3040" t="inlineStr">
        <is>
          <t>991001725979702656</t>
        </is>
      </c>
      <c r="AZ3040" t="inlineStr">
        <is>
          <t>991001725979702656</t>
        </is>
      </c>
      <c r="BA3040" t="inlineStr">
        <is>
          <t>2267259950002656</t>
        </is>
      </c>
      <c r="BB3040" t="inlineStr">
        <is>
          <t>BOOK</t>
        </is>
      </c>
      <c r="BD3040" t="inlineStr">
        <is>
          <t>9780801425097</t>
        </is>
      </c>
      <c r="BE3040" t="inlineStr">
        <is>
          <t>32285000573757</t>
        </is>
      </c>
      <c r="BF3040" t="inlineStr">
        <is>
          <t>893426780</t>
        </is>
      </c>
    </row>
    <row r="3041">
      <c r="A3041" t="inlineStr">
        <is>
          <t>No</t>
        </is>
      </c>
      <c r="B3041" t="inlineStr">
        <is>
          <t>CURAL</t>
        </is>
      </c>
      <c r="C3041" t="inlineStr">
        <is>
          <t>SHELVES</t>
        </is>
      </c>
      <c r="D3041" t="inlineStr">
        <is>
          <t>PR6019.O9 U629 1989</t>
        </is>
      </c>
      <c r="E3041" t="inlineStr">
        <is>
          <t>0                      PR 6019000O  9                  U  629         1989</t>
        </is>
      </c>
      <c r="F3041" t="inlineStr">
        <is>
          <t>Ulysses as a comic novel / Zack Bowen.</t>
        </is>
      </c>
      <c r="H3041" t="inlineStr">
        <is>
          <t>No</t>
        </is>
      </c>
      <c r="I3041" t="inlineStr">
        <is>
          <t>1</t>
        </is>
      </c>
      <c r="J3041" t="inlineStr">
        <is>
          <t>No</t>
        </is>
      </c>
      <c r="K3041" t="inlineStr">
        <is>
          <t>No</t>
        </is>
      </c>
      <c r="L3041" t="inlineStr">
        <is>
          <t>0</t>
        </is>
      </c>
      <c r="M3041" t="inlineStr">
        <is>
          <t>Bowen, Zack R.</t>
        </is>
      </c>
      <c r="N3041" t="inlineStr">
        <is>
          <t>Syracuse, N.Y. : Syracuse University Press, 1989.</t>
        </is>
      </c>
      <c r="O3041" t="inlineStr">
        <is>
          <t>1989</t>
        </is>
      </c>
      <c r="P3041" t="inlineStr">
        <is>
          <t>1st ed.</t>
        </is>
      </c>
      <c r="Q3041" t="inlineStr">
        <is>
          <t>eng</t>
        </is>
      </c>
      <c r="R3041" t="inlineStr">
        <is>
          <t>nyu</t>
        </is>
      </c>
      <c r="S3041" t="inlineStr">
        <is>
          <t>Irish studies</t>
        </is>
      </c>
      <c r="T3041" t="inlineStr">
        <is>
          <t xml:space="preserve">PR </t>
        </is>
      </c>
      <c r="U3041" t="n">
        <v>2</v>
      </c>
      <c r="V3041" t="n">
        <v>2</v>
      </c>
      <c r="W3041" t="inlineStr">
        <is>
          <t>2006-09-28</t>
        </is>
      </c>
      <c r="X3041" t="inlineStr">
        <is>
          <t>2006-09-28</t>
        </is>
      </c>
      <c r="Y3041" t="inlineStr">
        <is>
          <t>1990-01-15</t>
        </is>
      </c>
      <c r="Z3041" t="inlineStr">
        <is>
          <t>1990-01-15</t>
        </is>
      </c>
      <c r="AA3041" t="n">
        <v>589</v>
      </c>
      <c r="AB3041" t="n">
        <v>496</v>
      </c>
      <c r="AC3041" t="n">
        <v>503</v>
      </c>
      <c r="AD3041" t="n">
        <v>5</v>
      </c>
      <c r="AE3041" t="n">
        <v>5</v>
      </c>
      <c r="AF3041" t="n">
        <v>31</v>
      </c>
      <c r="AG3041" t="n">
        <v>31</v>
      </c>
      <c r="AH3041" t="n">
        <v>11</v>
      </c>
      <c r="AI3041" t="n">
        <v>11</v>
      </c>
      <c r="AJ3041" t="n">
        <v>7</v>
      </c>
      <c r="AK3041" t="n">
        <v>7</v>
      </c>
      <c r="AL3041" t="n">
        <v>18</v>
      </c>
      <c r="AM3041" t="n">
        <v>18</v>
      </c>
      <c r="AN3041" t="n">
        <v>4</v>
      </c>
      <c r="AO3041" t="n">
        <v>4</v>
      </c>
      <c r="AP3041" t="n">
        <v>0</v>
      </c>
      <c r="AQ3041" t="n">
        <v>0</v>
      </c>
      <c r="AR3041" t="inlineStr">
        <is>
          <t>No</t>
        </is>
      </c>
      <c r="AS3041" t="inlineStr">
        <is>
          <t>Yes</t>
        </is>
      </c>
      <c r="AT3041">
        <f>HYPERLINK("http://catalog.hathitrust.org/Record/001833521","HathiTrust Record")</f>
        <v/>
      </c>
      <c r="AU3041">
        <f>HYPERLINK("https://creighton-primo.hosted.exlibrisgroup.com/primo-explore/search?tab=default_tab&amp;search_scope=EVERYTHING&amp;vid=01CRU&amp;lang=en_US&amp;offset=0&amp;query=any,contains,991001472939702656","Catalog Record")</f>
        <v/>
      </c>
      <c r="AV3041">
        <f>HYPERLINK("http://www.worldcat.org/oclc/19554487","WorldCat Record")</f>
        <v/>
      </c>
      <c r="AW3041" t="inlineStr">
        <is>
          <t>21164431:eng</t>
        </is>
      </c>
      <c r="AX3041" t="inlineStr">
        <is>
          <t>19554487</t>
        </is>
      </c>
      <c r="AY3041" t="inlineStr">
        <is>
          <t>991001472939702656</t>
        </is>
      </c>
      <c r="AZ3041" t="inlineStr">
        <is>
          <t>991001472939702656</t>
        </is>
      </c>
      <c r="BA3041" t="inlineStr">
        <is>
          <t>2271032410002656</t>
        </is>
      </c>
      <c r="BB3041" t="inlineStr">
        <is>
          <t>BOOK</t>
        </is>
      </c>
      <c r="BD3041" t="inlineStr">
        <is>
          <t>9780815624714</t>
        </is>
      </c>
      <c r="BE3041" t="inlineStr">
        <is>
          <t>32285000028059</t>
        </is>
      </c>
      <c r="BF3041" t="inlineStr">
        <is>
          <t>893803631</t>
        </is>
      </c>
    </row>
    <row r="3042">
      <c r="A3042" t="inlineStr">
        <is>
          <t>No</t>
        </is>
      </c>
      <c r="B3042" t="inlineStr">
        <is>
          <t>CURAL</t>
        </is>
      </c>
      <c r="C3042" t="inlineStr">
        <is>
          <t>SHELVES</t>
        </is>
      </c>
      <c r="D3042" t="inlineStr">
        <is>
          <t>PR6019.O9 U63 1960a</t>
        </is>
      </c>
      <c r="E3042" t="inlineStr">
        <is>
          <t>0                      PR 6019000O  9                  U  63          1960a</t>
        </is>
      </c>
      <c r="F3042" t="inlineStr">
        <is>
          <t>James Joyce and the making of Ulysses / with a portrait of James Joyce and four drawings of Ulysses by the author.</t>
        </is>
      </c>
      <c r="H3042" t="inlineStr">
        <is>
          <t>No</t>
        </is>
      </c>
      <c r="I3042" t="inlineStr">
        <is>
          <t>1</t>
        </is>
      </c>
      <c r="J3042" t="inlineStr">
        <is>
          <t>No</t>
        </is>
      </c>
      <c r="K3042" t="inlineStr">
        <is>
          <t>No</t>
        </is>
      </c>
      <c r="L3042" t="inlineStr">
        <is>
          <t>0</t>
        </is>
      </c>
      <c r="M3042" t="inlineStr">
        <is>
          <t>Budgen, Frank, 1882-1971.</t>
        </is>
      </c>
      <c r="N3042" t="inlineStr">
        <is>
          <t>Bloomington : Indiana University Press, [1960]</t>
        </is>
      </c>
      <c r="O3042" t="inlineStr">
        <is>
          <t>1960</t>
        </is>
      </c>
      <c r="Q3042" t="inlineStr">
        <is>
          <t>eng</t>
        </is>
      </c>
      <c r="R3042" t="inlineStr">
        <is>
          <t>inu</t>
        </is>
      </c>
      <c r="S3042" t="inlineStr">
        <is>
          <t>A Midland book, MB26</t>
        </is>
      </c>
      <c r="T3042" t="inlineStr">
        <is>
          <t xml:space="preserve">PR </t>
        </is>
      </c>
      <c r="U3042" t="n">
        <v>3</v>
      </c>
      <c r="V3042" t="n">
        <v>3</v>
      </c>
      <c r="W3042" t="inlineStr">
        <is>
          <t>1993-07-22</t>
        </is>
      </c>
      <c r="X3042" t="inlineStr">
        <is>
          <t>1993-07-22</t>
        </is>
      </c>
      <c r="Y3042" t="inlineStr">
        <is>
          <t>1992-07-09</t>
        </is>
      </c>
      <c r="Z3042" t="inlineStr">
        <is>
          <t>1992-07-09</t>
        </is>
      </c>
      <c r="AA3042" t="n">
        <v>845</v>
      </c>
      <c r="AB3042" t="n">
        <v>764</v>
      </c>
      <c r="AC3042" t="n">
        <v>1056</v>
      </c>
      <c r="AD3042" t="n">
        <v>4</v>
      </c>
      <c r="AE3042" t="n">
        <v>7</v>
      </c>
      <c r="AF3042" t="n">
        <v>32</v>
      </c>
      <c r="AG3042" t="n">
        <v>47</v>
      </c>
      <c r="AH3042" t="n">
        <v>12</v>
      </c>
      <c r="AI3042" t="n">
        <v>21</v>
      </c>
      <c r="AJ3042" t="n">
        <v>8</v>
      </c>
      <c r="AK3042" t="n">
        <v>11</v>
      </c>
      <c r="AL3042" t="n">
        <v>17</v>
      </c>
      <c r="AM3042" t="n">
        <v>22</v>
      </c>
      <c r="AN3042" t="n">
        <v>3</v>
      </c>
      <c r="AO3042" t="n">
        <v>6</v>
      </c>
      <c r="AP3042" t="n">
        <v>0</v>
      </c>
      <c r="AQ3042" t="n">
        <v>0</v>
      </c>
      <c r="AR3042" t="inlineStr">
        <is>
          <t>No</t>
        </is>
      </c>
      <c r="AS3042" t="inlineStr">
        <is>
          <t>No</t>
        </is>
      </c>
      <c r="AT3042">
        <f>HYPERLINK("http://catalog.hathitrust.org/Record/000003609","HathiTrust Record")</f>
        <v/>
      </c>
      <c r="AU3042">
        <f>HYPERLINK("https://creighton-primo.hosted.exlibrisgroup.com/primo-explore/search?tab=default_tab&amp;search_scope=EVERYTHING&amp;vid=01CRU&amp;lang=en_US&amp;offset=0&amp;query=any,contains,991001931379702656","Catalog Record")</f>
        <v/>
      </c>
      <c r="AV3042">
        <f>HYPERLINK("http://www.worldcat.org/oclc/248944","WorldCat Record")</f>
        <v/>
      </c>
      <c r="AW3042" t="inlineStr">
        <is>
          <t>1410085:eng</t>
        </is>
      </c>
      <c r="AX3042" t="inlineStr">
        <is>
          <t>248944</t>
        </is>
      </c>
      <c r="AY3042" t="inlineStr">
        <is>
          <t>991001931379702656</t>
        </is>
      </c>
      <c r="AZ3042" t="inlineStr">
        <is>
          <t>991001931379702656</t>
        </is>
      </c>
      <c r="BA3042" t="inlineStr">
        <is>
          <t>2258615300002656</t>
        </is>
      </c>
      <c r="BB3042" t="inlineStr">
        <is>
          <t>BOOK</t>
        </is>
      </c>
      <c r="BE3042" t="inlineStr">
        <is>
          <t>32285001150365</t>
        </is>
      </c>
      <c r="BF3042" t="inlineStr">
        <is>
          <t>893427003</t>
        </is>
      </c>
    </row>
    <row r="3043">
      <c r="A3043" t="inlineStr">
        <is>
          <t>No</t>
        </is>
      </c>
      <c r="B3043" t="inlineStr">
        <is>
          <t>CURAL</t>
        </is>
      </c>
      <c r="C3043" t="inlineStr">
        <is>
          <t>SHELVES</t>
        </is>
      </c>
      <c r="D3043" t="inlineStr">
        <is>
          <t>PR6019.O9 U63 1989</t>
        </is>
      </c>
      <c r="E3043" t="inlineStr">
        <is>
          <t>0                      PR 6019000O  9                  U  63          1989</t>
        </is>
      </c>
      <c r="F3043" t="inlineStr">
        <is>
          <t>James Joyce and the making of "Ulysses" and other writings / Frank Budgen ; with an introduction by Clive Hart.</t>
        </is>
      </c>
      <c r="H3043" t="inlineStr">
        <is>
          <t>No</t>
        </is>
      </c>
      <c r="I3043" t="inlineStr">
        <is>
          <t>1</t>
        </is>
      </c>
      <c r="J3043" t="inlineStr">
        <is>
          <t>No</t>
        </is>
      </c>
      <c r="K3043" t="inlineStr">
        <is>
          <t>No</t>
        </is>
      </c>
      <c r="L3043" t="inlineStr">
        <is>
          <t>0</t>
        </is>
      </c>
      <c r="M3043" t="inlineStr">
        <is>
          <t>Budgen, Frank, 1882-1971.</t>
        </is>
      </c>
      <c r="N3043" t="inlineStr">
        <is>
          <t>Oxford [England] ; New York : Oxford University Press, 1989.</t>
        </is>
      </c>
      <c r="O3043" t="inlineStr">
        <is>
          <t>1989</t>
        </is>
      </c>
      <c r="Q3043" t="inlineStr">
        <is>
          <t>eng</t>
        </is>
      </c>
      <c r="R3043" t="inlineStr">
        <is>
          <t>enk</t>
        </is>
      </c>
      <c r="T3043" t="inlineStr">
        <is>
          <t xml:space="preserve">PR </t>
        </is>
      </c>
      <c r="U3043" t="n">
        <v>6</v>
      </c>
      <c r="V3043" t="n">
        <v>6</v>
      </c>
      <c r="W3043" t="inlineStr">
        <is>
          <t>2006-10-19</t>
        </is>
      </c>
      <c r="X3043" t="inlineStr">
        <is>
          <t>2006-10-19</t>
        </is>
      </c>
      <c r="Y3043" t="inlineStr">
        <is>
          <t>1990-04-24</t>
        </is>
      </c>
      <c r="Z3043" t="inlineStr">
        <is>
          <t>1990-04-24</t>
        </is>
      </c>
      <c r="AA3043" t="n">
        <v>140</v>
      </c>
      <c r="AB3043" t="n">
        <v>110</v>
      </c>
      <c r="AC3043" t="n">
        <v>217</v>
      </c>
      <c r="AD3043" t="n">
        <v>2</v>
      </c>
      <c r="AE3043" t="n">
        <v>3</v>
      </c>
      <c r="AF3043" t="n">
        <v>11</v>
      </c>
      <c r="AG3043" t="n">
        <v>19</v>
      </c>
      <c r="AH3043" t="n">
        <v>4</v>
      </c>
      <c r="AI3043" t="n">
        <v>7</v>
      </c>
      <c r="AJ3043" t="n">
        <v>2</v>
      </c>
      <c r="AK3043" t="n">
        <v>3</v>
      </c>
      <c r="AL3043" t="n">
        <v>6</v>
      </c>
      <c r="AM3043" t="n">
        <v>11</v>
      </c>
      <c r="AN3043" t="n">
        <v>1</v>
      </c>
      <c r="AO3043" t="n">
        <v>2</v>
      </c>
      <c r="AP3043" t="n">
        <v>0</v>
      </c>
      <c r="AQ3043" t="n">
        <v>0</v>
      </c>
      <c r="AR3043" t="inlineStr">
        <is>
          <t>No</t>
        </is>
      </c>
      <c r="AS3043" t="inlineStr">
        <is>
          <t>Yes</t>
        </is>
      </c>
      <c r="AT3043">
        <f>HYPERLINK("http://catalog.hathitrust.org/Record/002058206","HathiTrust Record")</f>
        <v/>
      </c>
      <c r="AU3043">
        <f>HYPERLINK("https://creighton-primo.hosted.exlibrisgroup.com/primo-explore/search?tab=default_tab&amp;search_scope=EVERYTHING&amp;vid=01CRU&amp;lang=en_US&amp;offset=0&amp;query=any,contains,991001525679702656","Catalog Record")</f>
        <v/>
      </c>
      <c r="AV3043">
        <f>HYPERLINK("http://www.worldcat.org/oclc/20012570","WorldCat Record")</f>
        <v/>
      </c>
      <c r="AW3043" t="inlineStr">
        <is>
          <t>4039907544:eng</t>
        </is>
      </c>
      <c r="AX3043" t="inlineStr">
        <is>
          <t>20012570</t>
        </is>
      </c>
      <c r="AY3043" t="inlineStr">
        <is>
          <t>991001525679702656</t>
        </is>
      </c>
      <c r="AZ3043" t="inlineStr">
        <is>
          <t>991001525679702656</t>
        </is>
      </c>
      <c r="BA3043" t="inlineStr">
        <is>
          <t>2260793560002656</t>
        </is>
      </c>
      <c r="BB3043" t="inlineStr">
        <is>
          <t>BOOK</t>
        </is>
      </c>
      <c r="BD3043" t="inlineStr">
        <is>
          <t>9780192826572</t>
        </is>
      </c>
      <c r="BE3043" t="inlineStr">
        <is>
          <t>32285000115898</t>
        </is>
      </c>
      <c r="BF3043" t="inlineStr">
        <is>
          <t>893315832</t>
        </is>
      </c>
    </row>
    <row r="3044">
      <c r="A3044" t="inlineStr">
        <is>
          <t>No</t>
        </is>
      </c>
      <c r="B3044" t="inlineStr">
        <is>
          <t>CURAL</t>
        </is>
      </c>
      <c r="C3044" t="inlineStr">
        <is>
          <t>SHELVES</t>
        </is>
      </c>
      <c r="D3044" t="inlineStr">
        <is>
          <t>PR6019.O9 U63 2004</t>
        </is>
      </c>
      <c r="E3044" t="inlineStr">
        <is>
          <t>0                      PR 6019000O  9                  U  63          2004</t>
        </is>
      </c>
      <c r="F3044" t="inlineStr">
        <is>
          <t>Joyce and reality : the empirical strikes back / John Gordon.</t>
        </is>
      </c>
      <c r="H3044" t="inlineStr">
        <is>
          <t>No</t>
        </is>
      </c>
      <c r="I3044" t="inlineStr">
        <is>
          <t>1</t>
        </is>
      </c>
      <c r="J3044" t="inlineStr">
        <is>
          <t>No</t>
        </is>
      </c>
      <c r="K3044" t="inlineStr">
        <is>
          <t>No</t>
        </is>
      </c>
      <c r="L3044" t="inlineStr">
        <is>
          <t>0</t>
        </is>
      </c>
      <c r="M3044" t="inlineStr">
        <is>
          <t>Gordon, John, 1945-</t>
        </is>
      </c>
      <c r="N3044" t="inlineStr">
        <is>
          <t>Syracuse, N.Y. : Syracuse University Press, 2004.</t>
        </is>
      </c>
      <c r="O3044" t="inlineStr">
        <is>
          <t>2004</t>
        </is>
      </c>
      <c r="P3044" t="inlineStr">
        <is>
          <t>1st ed.</t>
        </is>
      </c>
      <c r="Q3044" t="inlineStr">
        <is>
          <t>eng</t>
        </is>
      </c>
      <c r="R3044" t="inlineStr">
        <is>
          <t>nyu</t>
        </is>
      </c>
      <c r="S3044" t="inlineStr">
        <is>
          <t>Irish studies</t>
        </is>
      </c>
      <c r="T3044" t="inlineStr">
        <is>
          <t xml:space="preserve">PR </t>
        </is>
      </c>
      <c r="U3044" t="n">
        <v>4</v>
      </c>
      <c r="V3044" t="n">
        <v>4</v>
      </c>
      <c r="W3044" t="inlineStr">
        <is>
          <t>2006-12-13</t>
        </is>
      </c>
      <c r="X3044" t="inlineStr">
        <is>
          <t>2006-12-13</t>
        </is>
      </c>
      <c r="Y3044" t="inlineStr">
        <is>
          <t>2005-03-31</t>
        </is>
      </c>
      <c r="Z3044" t="inlineStr">
        <is>
          <t>2005-03-31</t>
        </is>
      </c>
      <c r="AA3044" t="n">
        <v>329</v>
      </c>
      <c r="AB3044" t="n">
        <v>267</v>
      </c>
      <c r="AC3044" t="n">
        <v>269</v>
      </c>
      <c r="AD3044" t="n">
        <v>2</v>
      </c>
      <c r="AE3044" t="n">
        <v>2</v>
      </c>
      <c r="AF3044" t="n">
        <v>16</v>
      </c>
      <c r="AG3044" t="n">
        <v>16</v>
      </c>
      <c r="AH3044" t="n">
        <v>7</v>
      </c>
      <c r="AI3044" t="n">
        <v>7</v>
      </c>
      <c r="AJ3044" t="n">
        <v>6</v>
      </c>
      <c r="AK3044" t="n">
        <v>6</v>
      </c>
      <c r="AL3044" t="n">
        <v>7</v>
      </c>
      <c r="AM3044" t="n">
        <v>7</v>
      </c>
      <c r="AN3044" t="n">
        <v>1</v>
      </c>
      <c r="AO3044" t="n">
        <v>1</v>
      </c>
      <c r="AP3044" t="n">
        <v>0</v>
      </c>
      <c r="AQ3044" t="n">
        <v>0</v>
      </c>
      <c r="AR3044" t="inlineStr">
        <is>
          <t>No</t>
        </is>
      </c>
      <c r="AS3044" t="inlineStr">
        <is>
          <t>Yes</t>
        </is>
      </c>
      <c r="AT3044">
        <f>HYPERLINK("http://catalog.hathitrust.org/Record/004723081","HathiTrust Record")</f>
        <v/>
      </c>
      <c r="AU3044">
        <f>HYPERLINK("https://creighton-primo.hosted.exlibrisgroup.com/primo-explore/search?tab=default_tab&amp;search_scope=EVERYTHING&amp;vid=01CRU&amp;lang=en_US&amp;offset=0&amp;query=any,contains,991004487239702656","Catalog Record")</f>
        <v/>
      </c>
      <c r="AV3044">
        <f>HYPERLINK("http://www.worldcat.org/oclc/54372421","WorldCat Record")</f>
        <v/>
      </c>
      <c r="AW3044" t="inlineStr">
        <is>
          <t>367209031:eng</t>
        </is>
      </c>
      <c r="AX3044" t="inlineStr">
        <is>
          <t>54372421</t>
        </is>
      </c>
      <c r="AY3044" t="inlineStr">
        <is>
          <t>991004487239702656</t>
        </is>
      </c>
      <c r="AZ3044" t="inlineStr">
        <is>
          <t>991004487239702656</t>
        </is>
      </c>
      <c r="BA3044" t="inlineStr">
        <is>
          <t>2255785780002656</t>
        </is>
      </c>
      <c r="BB3044" t="inlineStr">
        <is>
          <t>BOOK</t>
        </is>
      </c>
      <c r="BD3044" t="inlineStr">
        <is>
          <t>9780815630197</t>
        </is>
      </c>
      <c r="BE3044" t="inlineStr">
        <is>
          <t>32285005046494</t>
        </is>
      </c>
      <c r="BF3044" t="inlineStr">
        <is>
          <t>893718962</t>
        </is>
      </c>
    </row>
    <row r="3045">
      <c r="A3045" t="inlineStr">
        <is>
          <t>No</t>
        </is>
      </c>
      <c r="B3045" t="inlineStr">
        <is>
          <t>CURAL</t>
        </is>
      </c>
      <c r="C3045" t="inlineStr">
        <is>
          <t>SHELVES</t>
        </is>
      </c>
      <c r="D3045" t="inlineStr">
        <is>
          <t>PR6019.O9 U6375 1998</t>
        </is>
      </c>
      <c r="E3045" t="inlineStr">
        <is>
          <t>0                      PR 6019000O  9                  U  6375        1998</t>
        </is>
      </c>
      <c r="F3045" t="inlineStr">
        <is>
          <t>A companion to James Joyce's Ulysses : biographical and historical contexts, critical history, and essays from five contemporary critical perspectives / edited by Margot Norris.</t>
        </is>
      </c>
      <c r="H3045" t="inlineStr">
        <is>
          <t>No</t>
        </is>
      </c>
      <c r="I3045" t="inlineStr">
        <is>
          <t>1</t>
        </is>
      </c>
      <c r="J3045" t="inlineStr">
        <is>
          <t>No</t>
        </is>
      </c>
      <c r="K3045" t="inlineStr">
        <is>
          <t>No</t>
        </is>
      </c>
      <c r="L3045" t="inlineStr">
        <is>
          <t>0</t>
        </is>
      </c>
      <c r="N3045" t="inlineStr">
        <is>
          <t>Boston : Bedford Books, c1998.</t>
        </is>
      </c>
      <c r="O3045" t="inlineStr">
        <is>
          <t>1998</t>
        </is>
      </c>
      <c r="Q3045" t="inlineStr">
        <is>
          <t>eng</t>
        </is>
      </c>
      <c r="R3045" t="inlineStr">
        <is>
          <t>mau</t>
        </is>
      </c>
      <c r="S3045" t="inlineStr">
        <is>
          <t>Case studies in contemporary criticism</t>
        </is>
      </c>
      <c r="T3045" t="inlineStr">
        <is>
          <t xml:space="preserve">PR </t>
        </is>
      </c>
      <c r="U3045" t="n">
        <v>1</v>
      </c>
      <c r="V3045" t="n">
        <v>1</v>
      </c>
      <c r="W3045" t="inlineStr">
        <is>
          <t>2009-01-14</t>
        </is>
      </c>
      <c r="X3045" t="inlineStr">
        <is>
          <t>2009-01-14</t>
        </is>
      </c>
      <c r="Y3045" t="inlineStr">
        <is>
          <t>2009-01-14</t>
        </is>
      </c>
      <c r="Z3045" t="inlineStr">
        <is>
          <t>2009-01-14</t>
        </is>
      </c>
      <c r="AA3045" t="n">
        <v>613</v>
      </c>
      <c r="AB3045" t="n">
        <v>482</v>
      </c>
      <c r="AC3045" t="n">
        <v>488</v>
      </c>
      <c r="AD3045" t="n">
        <v>4</v>
      </c>
      <c r="AE3045" t="n">
        <v>4</v>
      </c>
      <c r="AF3045" t="n">
        <v>38</v>
      </c>
      <c r="AG3045" t="n">
        <v>38</v>
      </c>
      <c r="AH3045" t="n">
        <v>17</v>
      </c>
      <c r="AI3045" t="n">
        <v>17</v>
      </c>
      <c r="AJ3045" t="n">
        <v>9</v>
      </c>
      <c r="AK3045" t="n">
        <v>9</v>
      </c>
      <c r="AL3045" t="n">
        <v>20</v>
      </c>
      <c r="AM3045" t="n">
        <v>20</v>
      </c>
      <c r="AN3045" t="n">
        <v>3</v>
      </c>
      <c r="AO3045" t="n">
        <v>3</v>
      </c>
      <c r="AP3045" t="n">
        <v>0</v>
      </c>
      <c r="AQ3045" t="n">
        <v>0</v>
      </c>
      <c r="AR3045" t="inlineStr">
        <is>
          <t>No</t>
        </is>
      </c>
      <c r="AS3045" t="inlineStr">
        <is>
          <t>Yes</t>
        </is>
      </c>
      <c r="AT3045">
        <f>HYPERLINK("http://catalog.hathitrust.org/Record/003977233","HathiTrust Record")</f>
        <v/>
      </c>
      <c r="AU3045">
        <f>HYPERLINK("https://creighton-primo.hosted.exlibrisgroup.com/primo-explore/search?tab=default_tab&amp;search_scope=EVERYTHING&amp;vid=01CRU&amp;lang=en_US&amp;offset=0&amp;query=any,contains,991005290289702656","Catalog Record")</f>
        <v/>
      </c>
      <c r="AV3045">
        <f>HYPERLINK("http://www.worldcat.org/oclc/38739584","WorldCat Record")</f>
        <v/>
      </c>
      <c r="AW3045" t="inlineStr">
        <is>
          <t>808608420:eng</t>
        </is>
      </c>
      <c r="AX3045" t="inlineStr">
        <is>
          <t>38739584</t>
        </is>
      </c>
      <c r="AY3045" t="inlineStr">
        <is>
          <t>991005290289702656</t>
        </is>
      </c>
      <c r="AZ3045" t="inlineStr">
        <is>
          <t>991005290289702656</t>
        </is>
      </c>
      <c r="BA3045" t="inlineStr">
        <is>
          <t>2257012000002656</t>
        </is>
      </c>
      <c r="BB3045" t="inlineStr">
        <is>
          <t>BOOK</t>
        </is>
      </c>
      <c r="BD3045" t="inlineStr">
        <is>
          <t>9780312115982</t>
        </is>
      </c>
      <c r="BE3045" t="inlineStr">
        <is>
          <t>32285005478119</t>
        </is>
      </c>
      <c r="BF3045" t="inlineStr">
        <is>
          <t>893713816</t>
        </is>
      </c>
    </row>
    <row r="3046">
      <c r="A3046" t="inlineStr">
        <is>
          <t>No</t>
        </is>
      </c>
      <c r="B3046" t="inlineStr">
        <is>
          <t>CURAL</t>
        </is>
      </c>
      <c r="C3046" t="inlineStr">
        <is>
          <t>SHELVES</t>
        </is>
      </c>
      <c r="D3046" t="inlineStr">
        <is>
          <t>PR6019.O9 U638 1982</t>
        </is>
      </c>
      <c r="E3046" t="inlineStr">
        <is>
          <t>0                      PR 6019000O  9                  U  638         1982</t>
        </is>
      </c>
      <c r="F3046" t="inlineStr">
        <is>
          <t>James Joyce's Odyssey : a guide to the Dublin of Ulysses / Frank Delaney, photographed by Jorge Lewinski.</t>
        </is>
      </c>
      <c r="H3046" t="inlineStr">
        <is>
          <t>No</t>
        </is>
      </c>
      <c r="I3046" t="inlineStr">
        <is>
          <t>1</t>
        </is>
      </c>
      <c r="J3046" t="inlineStr">
        <is>
          <t>No</t>
        </is>
      </c>
      <c r="K3046" t="inlineStr">
        <is>
          <t>No</t>
        </is>
      </c>
      <c r="L3046" t="inlineStr">
        <is>
          <t>0</t>
        </is>
      </c>
      <c r="M3046" t="inlineStr">
        <is>
          <t>Delaney, Frank, 1942-2017.</t>
        </is>
      </c>
      <c r="N3046" t="inlineStr">
        <is>
          <t>New York : Holt, Rinehart and Winston, 1982, c1981.</t>
        </is>
      </c>
      <c r="O3046" t="inlineStr">
        <is>
          <t>1982</t>
        </is>
      </c>
      <c r="P3046" t="inlineStr">
        <is>
          <t>1st American ed.</t>
        </is>
      </c>
      <c r="Q3046" t="inlineStr">
        <is>
          <t>eng</t>
        </is>
      </c>
      <c r="R3046" t="inlineStr">
        <is>
          <t>nyu</t>
        </is>
      </c>
      <c r="T3046" t="inlineStr">
        <is>
          <t xml:space="preserve">PR </t>
        </is>
      </c>
      <c r="U3046" t="n">
        <v>2</v>
      </c>
      <c r="V3046" t="n">
        <v>2</v>
      </c>
      <c r="W3046" t="inlineStr">
        <is>
          <t>1997-12-10</t>
        </is>
      </c>
      <c r="X3046" t="inlineStr">
        <is>
          <t>1997-12-10</t>
        </is>
      </c>
      <c r="Y3046" t="inlineStr">
        <is>
          <t>1992-07-08</t>
        </is>
      </c>
      <c r="Z3046" t="inlineStr">
        <is>
          <t>1992-07-08</t>
        </is>
      </c>
      <c r="AA3046" t="n">
        <v>803</v>
      </c>
      <c r="AB3046" t="n">
        <v>750</v>
      </c>
      <c r="AC3046" t="n">
        <v>804</v>
      </c>
      <c r="AD3046" t="n">
        <v>7</v>
      </c>
      <c r="AE3046" t="n">
        <v>9</v>
      </c>
      <c r="AF3046" t="n">
        <v>34</v>
      </c>
      <c r="AG3046" t="n">
        <v>39</v>
      </c>
      <c r="AH3046" t="n">
        <v>13</v>
      </c>
      <c r="AI3046" t="n">
        <v>15</v>
      </c>
      <c r="AJ3046" t="n">
        <v>8</v>
      </c>
      <c r="AK3046" t="n">
        <v>9</v>
      </c>
      <c r="AL3046" t="n">
        <v>20</v>
      </c>
      <c r="AM3046" t="n">
        <v>21</v>
      </c>
      <c r="AN3046" t="n">
        <v>5</v>
      </c>
      <c r="AO3046" t="n">
        <v>7</v>
      </c>
      <c r="AP3046" t="n">
        <v>0</v>
      </c>
      <c r="AQ3046" t="n">
        <v>0</v>
      </c>
      <c r="AR3046" t="inlineStr">
        <is>
          <t>No</t>
        </is>
      </c>
      <c r="AS3046" t="inlineStr">
        <is>
          <t>No</t>
        </is>
      </c>
      <c r="AU3046">
        <f>HYPERLINK("https://creighton-primo.hosted.exlibrisgroup.com/primo-explore/search?tab=default_tab&amp;search_scope=EVERYTHING&amp;vid=01CRU&amp;lang=en_US&amp;offset=0&amp;query=any,contains,991005162619702656","Catalog Record")</f>
        <v/>
      </c>
      <c r="AV3046">
        <f>HYPERLINK("http://www.worldcat.org/oclc/7796990","WorldCat Record")</f>
        <v/>
      </c>
      <c r="AW3046" t="inlineStr">
        <is>
          <t>3003138:eng</t>
        </is>
      </c>
      <c r="AX3046" t="inlineStr">
        <is>
          <t>7796990</t>
        </is>
      </c>
      <c r="AY3046" t="inlineStr">
        <is>
          <t>991005162619702656</t>
        </is>
      </c>
      <c r="AZ3046" t="inlineStr">
        <is>
          <t>991005162619702656</t>
        </is>
      </c>
      <c r="BA3046" t="inlineStr">
        <is>
          <t>2266252990002656</t>
        </is>
      </c>
      <c r="BB3046" t="inlineStr">
        <is>
          <t>BOOK</t>
        </is>
      </c>
      <c r="BD3046" t="inlineStr">
        <is>
          <t>9780030604577</t>
        </is>
      </c>
      <c r="BE3046" t="inlineStr">
        <is>
          <t>32285001150373</t>
        </is>
      </c>
      <c r="BF3046" t="inlineStr">
        <is>
          <t>893520542</t>
        </is>
      </c>
    </row>
    <row r="3047">
      <c r="A3047" t="inlineStr">
        <is>
          <t>No</t>
        </is>
      </c>
      <c r="B3047" t="inlineStr">
        <is>
          <t>CURAL</t>
        </is>
      </c>
      <c r="C3047" t="inlineStr">
        <is>
          <t>SHELVES</t>
        </is>
      </c>
      <c r="D3047" t="inlineStr">
        <is>
          <t>PR6019.O9 U639 1977</t>
        </is>
      </c>
      <c r="E3047" t="inlineStr">
        <is>
          <t>0                      PR 6019000O  9                  U  639         1977</t>
        </is>
      </c>
      <c r="F3047" t="inlineStr">
        <is>
          <t>The consciousness of Joyce / Richard Ellmann.</t>
        </is>
      </c>
      <c r="H3047" t="inlineStr">
        <is>
          <t>No</t>
        </is>
      </c>
      <c r="I3047" t="inlineStr">
        <is>
          <t>1</t>
        </is>
      </c>
      <c r="J3047" t="inlineStr">
        <is>
          <t>No</t>
        </is>
      </c>
      <c r="K3047" t="inlineStr">
        <is>
          <t>No</t>
        </is>
      </c>
      <c r="L3047" t="inlineStr">
        <is>
          <t>0</t>
        </is>
      </c>
      <c r="M3047" t="inlineStr">
        <is>
          <t>Ellmann, Richard, 1918-1987.</t>
        </is>
      </c>
      <c r="N3047" t="inlineStr">
        <is>
          <t>Toronto ; New York : Oxford University Press, 1977.</t>
        </is>
      </c>
      <c r="O3047" t="inlineStr">
        <is>
          <t>1977</t>
        </is>
      </c>
      <c r="Q3047" t="inlineStr">
        <is>
          <t>eng</t>
        </is>
      </c>
      <c r="R3047" t="inlineStr">
        <is>
          <t>onc</t>
        </is>
      </c>
      <c r="T3047" t="inlineStr">
        <is>
          <t xml:space="preserve">PR </t>
        </is>
      </c>
      <c r="U3047" t="n">
        <v>7</v>
      </c>
      <c r="V3047" t="n">
        <v>7</v>
      </c>
      <c r="W3047" t="inlineStr">
        <is>
          <t>2006-11-05</t>
        </is>
      </c>
      <c r="X3047" t="inlineStr">
        <is>
          <t>2006-11-05</t>
        </is>
      </c>
      <c r="Y3047" t="inlineStr">
        <is>
          <t>1992-07-08</t>
        </is>
      </c>
      <c r="Z3047" t="inlineStr">
        <is>
          <t>1992-07-08</t>
        </is>
      </c>
      <c r="AA3047" t="n">
        <v>862</v>
      </c>
      <c r="AB3047" t="n">
        <v>811</v>
      </c>
      <c r="AC3047" t="n">
        <v>895</v>
      </c>
      <c r="AD3047" t="n">
        <v>4</v>
      </c>
      <c r="AE3047" t="n">
        <v>5</v>
      </c>
      <c r="AF3047" t="n">
        <v>36</v>
      </c>
      <c r="AG3047" t="n">
        <v>38</v>
      </c>
      <c r="AH3047" t="n">
        <v>14</v>
      </c>
      <c r="AI3047" t="n">
        <v>15</v>
      </c>
      <c r="AJ3047" t="n">
        <v>8</v>
      </c>
      <c r="AK3047" t="n">
        <v>9</v>
      </c>
      <c r="AL3047" t="n">
        <v>20</v>
      </c>
      <c r="AM3047" t="n">
        <v>20</v>
      </c>
      <c r="AN3047" t="n">
        <v>3</v>
      </c>
      <c r="AO3047" t="n">
        <v>4</v>
      </c>
      <c r="AP3047" t="n">
        <v>0</v>
      </c>
      <c r="AQ3047" t="n">
        <v>0</v>
      </c>
      <c r="AR3047" t="inlineStr">
        <is>
          <t>No</t>
        </is>
      </c>
      <c r="AS3047" t="inlineStr">
        <is>
          <t>No</t>
        </is>
      </c>
      <c r="AU3047">
        <f>HYPERLINK("https://creighton-primo.hosted.exlibrisgroup.com/primo-explore/search?tab=default_tab&amp;search_scope=EVERYTHING&amp;vid=01CRU&amp;lang=en_US&amp;offset=0&amp;query=any,contains,991004330999702656","Catalog Record")</f>
        <v/>
      </c>
      <c r="AV3047">
        <f>HYPERLINK("http://www.worldcat.org/oclc/3060013","WorldCat Record")</f>
        <v/>
      </c>
      <c r="AW3047" t="inlineStr">
        <is>
          <t>117925506:eng</t>
        </is>
      </c>
      <c r="AX3047" t="inlineStr">
        <is>
          <t>3060013</t>
        </is>
      </c>
      <c r="AY3047" t="inlineStr">
        <is>
          <t>991004330999702656</t>
        </is>
      </c>
      <c r="AZ3047" t="inlineStr">
        <is>
          <t>991004330999702656</t>
        </is>
      </c>
      <c r="BA3047" t="inlineStr">
        <is>
          <t>2269808060002656</t>
        </is>
      </c>
      <c r="BB3047" t="inlineStr">
        <is>
          <t>BOOK</t>
        </is>
      </c>
      <c r="BD3047" t="inlineStr">
        <is>
          <t>9780195199505</t>
        </is>
      </c>
      <c r="BE3047" t="inlineStr">
        <is>
          <t>32285001150381</t>
        </is>
      </c>
      <c r="BF3047" t="inlineStr">
        <is>
          <t>893875969</t>
        </is>
      </c>
    </row>
    <row r="3048">
      <c r="A3048" t="inlineStr">
        <is>
          <t>No</t>
        </is>
      </c>
      <c r="B3048" t="inlineStr">
        <is>
          <t>CURAL</t>
        </is>
      </c>
      <c r="C3048" t="inlineStr">
        <is>
          <t>SHELVES</t>
        </is>
      </c>
      <c r="D3048" t="inlineStr">
        <is>
          <t>PR6019.O9 U643</t>
        </is>
      </c>
      <c r="E3048" t="inlineStr">
        <is>
          <t>0                      PR 6019000O  9                  U  643</t>
        </is>
      </c>
      <c r="F3048" t="inlineStr">
        <is>
          <t>The book as world : James Joyce's Ulysses / Marilyn French.</t>
        </is>
      </c>
      <c r="H3048" t="inlineStr">
        <is>
          <t>No</t>
        </is>
      </c>
      <c r="I3048" t="inlineStr">
        <is>
          <t>1</t>
        </is>
      </c>
      <c r="J3048" t="inlineStr">
        <is>
          <t>No</t>
        </is>
      </c>
      <c r="K3048" t="inlineStr">
        <is>
          <t>No</t>
        </is>
      </c>
      <c r="L3048" t="inlineStr">
        <is>
          <t>0</t>
        </is>
      </c>
      <c r="M3048" t="inlineStr">
        <is>
          <t>French, Marilyn, 1929-2009.</t>
        </is>
      </c>
      <c r="N3048" t="inlineStr">
        <is>
          <t>Cambridge : Harvard University Press, 1976.</t>
        </is>
      </c>
      <c r="O3048" t="inlineStr">
        <is>
          <t>1976</t>
        </is>
      </c>
      <c r="Q3048" t="inlineStr">
        <is>
          <t>eng</t>
        </is>
      </c>
      <c r="R3048" t="inlineStr">
        <is>
          <t>mau</t>
        </is>
      </c>
      <c r="T3048" t="inlineStr">
        <is>
          <t xml:space="preserve">PR </t>
        </is>
      </c>
      <c r="U3048" t="n">
        <v>2</v>
      </c>
      <c r="V3048" t="n">
        <v>2</v>
      </c>
      <c r="W3048" t="inlineStr">
        <is>
          <t>2004-11-04</t>
        </is>
      </c>
      <c r="X3048" t="inlineStr">
        <is>
          <t>2004-11-04</t>
        </is>
      </c>
      <c r="Y3048" t="inlineStr">
        <is>
          <t>1992-07-09</t>
        </is>
      </c>
      <c r="Z3048" t="inlineStr">
        <is>
          <t>1992-07-09</t>
        </is>
      </c>
      <c r="AA3048" t="n">
        <v>745</v>
      </c>
      <c r="AB3048" t="n">
        <v>579</v>
      </c>
      <c r="AC3048" t="n">
        <v>632</v>
      </c>
      <c r="AD3048" t="n">
        <v>5</v>
      </c>
      <c r="AE3048" t="n">
        <v>6</v>
      </c>
      <c r="AF3048" t="n">
        <v>36</v>
      </c>
      <c r="AG3048" t="n">
        <v>41</v>
      </c>
      <c r="AH3048" t="n">
        <v>14</v>
      </c>
      <c r="AI3048" t="n">
        <v>17</v>
      </c>
      <c r="AJ3048" t="n">
        <v>9</v>
      </c>
      <c r="AK3048" t="n">
        <v>10</v>
      </c>
      <c r="AL3048" t="n">
        <v>20</v>
      </c>
      <c r="AM3048" t="n">
        <v>20</v>
      </c>
      <c r="AN3048" t="n">
        <v>4</v>
      </c>
      <c r="AO3048" t="n">
        <v>5</v>
      </c>
      <c r="AP3048" t="n">
        <v>0</v>
      </c>
      <c r="AQ3048" t="n">
        <v>0</v>
      </c>
      <c r="AR3048" t="inlineStr">
        <is>
          <t>No</t>
        </is>
      </c>
      <c r="AS3048" t="inlineStr">
        <is>
          <t>Yes</t>
        </is>
      </c>
      <c r="AT3048">
        <f>HYPERLINK("http://catalog.hathitrust.org/Record/000035174","HathiTrust Record")</f>
        <v/>
      </c>
      <c r="AU3048">
        <f>HYPERLINK("https://creighton-primo.hosted.exlibrisgroup.com/primo-explore/search?tab=default_tab&amp;search_scope=EVERYTHING&amp;vid=01CRU&amp;lang=en_US&amp;offset=0&amp;query=any,contains,991003830339702656","Catalog Record")</f>
        <v/>
      </c>
      <c r="AV3048">
        <f>HYPERLINK("http://www.worldcat.org/oclc/1584015","WorldCat Record")</f>
        <v/>
      </c>
      <c r="AW3048" t="inlineStr">
        <is>
          <t>197414652:eng</t>
        </is>
      </c>
      <c r="AX3048" t="inlineStr">
        <is>
          <t>1584015</t>
        </is>
      </c>
      <c r="AY3048" t="inlineStr">
        <is>
          <t>991003830339702656</t>
        </is>
      </c>
      <c r="AZ3048" t="inlineStr">
        <is>
          <t>991003830339702656</t>
        </is>
      </c>
      <c r="BA3048" t="inlineStr">
        <is>
          <t>2265187880002656</t>
        </is>
      </c>
      <c r="BB3048" t="inlineStr">
        <is>
          <t>BOOK</t>
        </is>
      </c>
      <c r="BD3048" t="inlineStr">
        <is>
          <t>9780674078536</t>
        </is>
      </c>
      <c r="BE3048" t="inlineStr">
        <is>
          <t>32285001150399</t>
        </is>
      </c>
      <c r="BF3048" t="inlineStr">
        <is>
          <t>893228521</t>
        </is>
      </c>
    </row>
    <row r="3049">
      <c r="A3049" t="inlineStr">
        <is>
          <t>No</t>
        </is>
      </c>
      <c r="B3049" t="inlineStr">
        <is>
          <t>CURAL</t>
        </is>
      </c>
      <c r="C3049" t="inlineStr">
        <is>
          <t>SHELVES</t>
        </is>
      </c>
      <c r="D3049" t="inlineStr">
        <is>
          <t>PR6019.O9 U6522 2000</t>
        </is>
      </c>
      <c r="E3049" t="inlineStr">
        <is>
          <t>0                      PR 6019000O  9                  U  6522        2000</t>
        </is>
      </c>
      <c r="F3049" t="inlineStr">
        <is>
          <t>Recent criticism of James Joyce's Ulysses : an analytical review / Michael Patrick Gillespie and Paula F. Gillespie.</t>
        </is>
      </c>
      <c r="H3049" t="inlineStr">
        <is>
          <t>No</t>
        </is>
      </c>
      <c r="I3049" t="inlineStr">
        <is>
          <t>1</t>
        </is>
      </c>
      <c r="J3049" t="inlineStr">
        <is>
          <t>No</t>
        </is>
      </c>
      <c r="K3049" t="inlineStr">
        <is>
          <t>No</t>
        </is>
      </c>
      <c r="L3049" t="inlineStr">
        <is>
          <t>0</t>
        </is>
      </c>
      <c r="M3049" t="inlineStr">
        <is>
          <t>Gillespie, Michael Patrick.</t>
        </is>
      </c>
      <c r="N3049" t="inlineStr">
        <is>
          <t>Rochester, NY : Camden House, 2000.</t>
        </is>
      </c>
      <c r="O3049" t="inlineStr">
        <is>
          <t>2000</t>
        </is>
      </c>
      <c r="Q3049" t="inlineStr">
        <is>
          <t>eng</t>
        </is>
      </c>
      <c r="R3049" t="inlineStr">
        <is>
          <t>nyu</t>
        </is>
      </c>
      <c r="S3049" t="inlineStr">
        <is>
          <t>Studies in English and American literature, linguistics, and culture. Literary criticism in perspective</t>
        </is>
      </c>
      <c r="T3049" t="inlineStr">
        <is>
          <t xml:space="preserve">PR </t>
        </is>
      </c>
      <c r="U3049" t="n">
        <v>6</v>
      </c>
      <c r="V3049" t="n">
        <v>6</v>
      </c>
      <c r="W3049" t="inlineStr">
        <is>
          <t>2006-12-14</t>
        </is>
      </c>
      <c r="X3049" t="inlineStr">
        <is>
          <t>2006-12-14</t>
        </is>
      </c>
      <c r="Y3049" t="inlineStr">
        <is>
          <t>2001-10-23</t>
        </is>
      </c>
      <c r="Z3049" t="inlineStr">
        <is>
          <t>2001-10-23</t>
        </is>
      </c>
      <c r="AA3049" t="n">
        <v>403</v>
      </c>
      <c r="AB3049" t="n">
        <v>345</v>
      </c>
      <c r="AC3049" t="n">
        <v>345</v>
      </c>
      <c r="AD3049" t="n">
        <v>3</v>
      </c>
      <c r="AE3049" t="n">
        <v>3</v>
      </c>
      <c r="AF3049" t="n">
        <v>21</v>
      </c>
      <c r="AG3049" t="n">
        <v>21</v>
      </c>
      <c r="AH3049" t="n">
        <v>8</v>
      </c>
      <c r="AI3049" t="n">
        <v>8</v>
      </c>
      <c r="AJ3049" t="n">
        <v>7</v>
      </c>
      <c r="AK3049" t="n">
        <v>7</v>
      </c>
      <c r="AL3049" t="n">
        <v>14</v>
      </c>
      <c r="AM3049" t="n">
        <v>14</v>
      </c>
      <c r="AN3049" t="n">
        <v>2</v>
      </c>
      <c r="AO3049" t="n">
        <v>2</v>
      </c>
      <c r="AP3049" t="n">
        <v>0</v>
      </c>
      <c r="AQ3049" t="n">
        <v>0</v>
      </c>
      <c r="AR3049" t="inlineStr">
        <is>
          <t>No</t>
        </is>
      </c>
      <c r="AS3049" t="inlineStr">
        <is>
          <t>No</t>
        </is>
      </c>
      <c r="AU3049">
        <f>HYPERLINK("https://creighton-primo.hosted.exlibrisgroup.com/primo-explore/search?tab=default_tab&amp;search_scope=EVERYTHING&amp;vid=01CRU&amp;lang=en_US&amp;offset=0&amp;query=any,contains,991003643739702656","Catalog Record")</f>
        <v/>
      </c>
      <c r="AV3049">
        <f>HYPERLINK("http://www.worldcat.org/oclc/44509343","WorldCat Record")</f>
        <v/>
      </c>
      <c r="AW3049" t="inlineStr">
        <is>
          <t>837030862:eng</t>
        </is>
      </c>
      <c r="AX3049" t="inlineStr">
        <is>
          <t>44509343</t>
        </is>
      </c>
      <c r="AY3049" t="inlineStr">
        <is>
          <t>991003643739702656</t>
        </is>
      </c>
      <c r="AZ3049" t="inlineStr">
        <is>
          <t>991003643739702656</t>
        </is>
      </c>
      <c r="BA3049" t="inlineStr">
        <is>
          <t>2256070450002656</t>
        </is>
      </c>
      <c r="BB3049" t="inlineStr">
        <is>
          <t>BOOK</t>
        </is>
      </c>
      <c r="BD3049" t="inlineStr">
        <is>
          <t>9781571132178</t>
        </is>
      </c>
      <c r="BE3049" t="inlineStr">
        <is>
          <t>32285004399241</t>
        </is>
      </c>
      <c r="BF3049" t="inlineStr">
        <is>
          <t>893512182</t>
        </is>
      </c>
    </row>
    <row r="3050">
      <c r="A3050" t="inlineStr">
        <is>
          <t>No</t>
        </is>
      </c>
      <c r="B3050" t="inlineStr">
        <is>
          <t>CURAL</t>
        </is>
      </c>
      <c r="C3050" t="inlineStr">
        <is>
          <t>SHELVES</t>
        </is>
      </c>
      <c r="D3050" t="inlineStr">
        <is>
          <t>PR6019.O9 U6542</t>
        </is>
      </c>
      <c r="E3050" t="inlineStr">
        <is>
          <t>0                      PR 6019000O  9                  U  6542</t>
        </is>
      </c>
      <c r="F3050" t="inlineStr">
        <is>
          <t>James Joyce's Ulysses ; critical essays / edited by Clive Hart and David Hayman. --</t>
        </is>
      </c>
      <c r="H3050" t="inlineStr">
        <is>
          <t>No</t>
        </is>
      </c>
      <c r="I3050" t="inlineStr">
        <is>
          <t>1</t>
        </is>
      </c>
      <c r="J3050" t="inlineStr">
        <is>
          <t>No</t>
        </is>
      </c>
      <c r="K3050" t="inlineStr">
        <is>
          <t>No</t>
        </is>
      </c>
      <c r="L3050" t="inlineStr">
        <is>
          <t>0</t>
        </is>
      </c>
      <c r="M3050" t="inlineStr">
        <is>
          <t>Hart, Clive.</t>
        </is>
      </c>
      <c r="N3050" t="inlineStr">
        <is>
          <t>Berkeley, University of California Press [1974], 1977 printing.</t>
        </is>
      </c>
      <c r="O3050" t="inlineStr">
        <is>
          <t>1974</t>
        </is>
      </c>
      <c r="Q3050" t="inlineStr">
        <is>
          <t>eng</t>
        </is>
      </c>
      <c r="R3050" t="inlineStr">
        <is>
          <t>___</t>
        </is>
      </c>
      <c r="T3050" t="inlineStr">
        <is>
          <t xml:space="preserve">PR </t>
        </is>
      </c>
      <c r="U3050" t="n">
        <v>6</v>
      </c>
      <c r="V3050" t="n">
        <v>6</v>
      </c>
      <c r="W3050" t="inlineStr">
        <is>
          <t>2006-10-11</t>
        </is>
      </c>
      <c r="X3050" t="inlineStr">
        <is>
          <t>2006-10-11</t>
        </is>
      </c>
      <c r="Y3050" t="inlineStr">
        <is>
          <t>1991-12-23</t>
        </is>
      </c>
      <c r="Z3050" t="inlineStr">
        <is>
          <t>1991-12-23</t>
        </is>
      </c>
      <c r="AA3050" t="n">
        <v>1134</v>
      </c>
      <c r="AB3050" t="n">
        <v>932</v>
      </c>
      <c r="AC3050" t="n">
        <v>1039</v>
      </c>
      <c r="AD3050" t="n">
        <v>6</v>
      </c>
      <c r="AE3050" t="n">
        <v>6</v>
      </c>
      <c r="AF3050" t="n">
        <v>45</v>
      </c>
      <c r="AG3050" t="n">
        <v>49</v>
      </c>
      <c r="AH3050" t="n">
        <v>19</v>
      </c>
      <c r="AI3050" t="n">
        <v>22</v>
      </c>
      <c r="AJ3050" t="n">
        <v>10</v>
      </c>
      <c r="AK3050" t="n">
        <v>10</v>
      </c>
      <c r="AL3050" t="n">
        <v>24</v>
      </c>
      <c r="AM3050" t="n">
        <v>25</v>
      </c>
      <c r="AN3050" t="n">
        <v>5</v>
      </c>
      <c r="AO3050" t="n">
        <v>5</v>
      </c>
      <c r="AP3050" t="n">
        <v>0</v>
      </c>
      <c r="AQ3050" t="n">
        <v>0</v>
      </c>
      <c r="AR3050" t="inlineStr">
        <is>
          <t>No</t>
        </is>
      </c>
      <c r="AS3050" t="inlineStr">
        <is>
          <t>Yes</t>
        </is>
      </c>
      <c r="AT3050">
        <f>HYPERLINK("http://catalog.hathitrust.org/Record/000483867","HathiTrust Record")</f>
        <v/>
      </c>
      <c r="AU3050">
        <f>HYPERLINK("https://creighton-primo.hosted.exlibrisgroup.com/primo-explore/search?tab=default_tab&amp;search_scope=EVERYTHING&amp;vid=01CRU&amp;lang=en_US&amp;offset=0&amp;query=any,contains,991003481039702656","Catalog Record")</f>
        <v/>
      </c>
      <c r="AV3050">
        <f>HYPERLINK("http://www.worldcat.org/oclc/1001445","WorldCat Record")</f>
        <v/>
      </c>
      <c r="AW3050" t="inlineStr">
        <is>
          <t>3943533071:eng</t>
        </is>
      </c>
      <c r="AX3050" t="inlineStr">
        <is>
          <t>1001445</t>
        </is>
      </c>
      <c r="AY3050" t="inlineStr">
        <is>
          <t>991003481039702656</t>
        </is>
      </c>
      <c r="AZ3050" t="inlineStr">
        <is>
          <t>991003481039702656</t>
        </is>
      </c>
      <c r="BA3050" t="inlineStr">
        <is>
          <t>2255086650002656</t>
        </is>
      </c>
      <c r="BB3050" t="inlineStr">
        <is>
          <t>BOOK</t>
        </is>
      </c>
      <c r="BD3050" t="inlineStr">
        <is>
          <t>9780520024441</t>
        </is>
      </c>
      <c r="BE3050" t="inlineStr">
        <is>
          <t>32285000880996</t>
        </is>
      </c>
      <c r="BF3050" t="inlineStr">
        <is>
          <t>893805813</t>
        </is>
      </c>
    </row>
    <row r="3051">
      <c r="A3051" t="inlineStr">
        <is>
          <t>No</t>
        </is>
      </c>
      <c r="B3051" t="inlineStr">
        <is>
          <t>CURAL</t>
        </is>
      </c>
      <c r="C3051" t="inlineStr">
        <is>
          <t>SHELVES</t>
        </is>
      </c>
      <c r="D3051" t="inlineStr">
        <is>
          <t>PR6019.O9 U6544</t>
        </is>
      </c>
      <c r="E3051" t="inlineStr">
        <is>
          <t>0                      PR 6019000O  9                  U  6544</t>
        </is>
      </c>
      <c r="F3051" t="inlineStr">
        <is>
          <t>Ulysses: the mechanics of meaning.</t>
        </is>
      </c>
      <c r="H3051" t="inlineStr">
        <is>
          <t>No</t>
        </is>
      </c>
      <c r="I3051" t="inlineStr">
        <is>
          <t>1</t>
        </is>
      </c>
      <c r="J3051" t="inlineStr">
        <is>
          <t>No</t>
        </is>
      </c>
      <c r="K3051" t="inlineStr">
        <is>
          <t>Yes</t>
        </is>
      </c>
      <c r="L3051" t="inlineStr">
        <is>
          <t>0</t>
        </is>
      </c>
      <c r="M3051" t="inlineStr">
        <is>
          <t>Hayman, David.</t>
        </is>
      </c>
      <c r="N3051" t="inlineStr">
        <is>
          <t>Englewood Cliffs, N.J., Prentice-Hall [1970]</t>
        </is>
      </c>
      <c r="O3051" t="inlineStr">
        <is>
          <t>1970</t>
        </is>
      </c>
      <c r="Q3051" t="inlineStr">
        <is>
          <t>eng</t>
        </is>
      </c>
      <c r="R3051" t="inlineStr">
        <is>
          <t>nju</t>
        </is>
      </c>
      <c r="S3051" t="inlineStr">
        <is>
          <t>Landmarks in literature</t>
        </is>
      </c>
      <c r="T3051" t="inlineStr">
        <is>
          <t xml:space="preserve">PR </t>
        </is>
      </c>
      <c r="U3051" t="n">
        <v>4</v>
      </c>
      <c r="V3051" t="n">
        <v>4</v>
      </c>
      <c r="W3051" t="inlineStr">
        <is>
          <t>2006-10-23</t>
        </is>
      </c>
      <c r="X3051" t="inlineStr">
        <is>
          <t>2006-10-23</t>
        </is>
      </c>
      <c r="Y3051" t="inlineStr">
        <is>
          <t>1997-04-10</t>
        </is>
      </c>
      <c r="Z3051" t="inlineStr">
        <is>
          <t>1997-04-10</t>
        </is>
      </c>
      <c r="AA3051" t="n">
        <v>597</v>
      </c>
      <c r="AB3051" t="n">
        <v>522</v>
      </c>
      <c r="AC3051" t="n">
        <v>813</v>
      </c>
      <c r="AD3051" t="n">
        <v>7</v>
      </c>
      <c r="AE3051" t="n">
        <v>9</v>
      </c>
      <c r="AF3051" t="n">
        <v>24</v>
      </c>
      <c r="AG3051" t="n">
        <v>37</v>
      </c>
      <c r="AH3051" t="n">
        <v>5</v>
      </c>
      <c r="AI3051" t="n">
        <v>10</v>
      </c>
      <c r="AJ3051" t="n">
        <v>7</v>
      </c>
      <c r="AK3051" t="n">
        <v>8</v>
      </c>
      <c r="AL3051" t="n">
        <v>13</v>
      </c>
      <c r="AM3051" t="n">
        <v>19</v>
      </c>
      <c r="AN3051" t="n">
        <v>6</v>
      </c>
      <c r="AO3051" t="n">
        <v>8</v>
      </c>
      <c r="AP3051" t="n">
        <v>0</v>
      </c>
      <c r="AQ3051" t="n">
        <v>0</v>
      </c>
      <c r="AR3051" t="inlineStr">
        <is>
          <t>No</t>
        </is>
      </c>
      <c r="AS3051" t="inlineStr">
        <is>
          <t>No</t>
        </is>
      </c>
      <c r="AU3051">
        <f>HYPERLINK("https://creighton-primo.hosted.exlibrisgroup.com/primo-explore/search?tab=default_tab&amp;search_scope=EVERYTHING&amp;vid=01CRU&amp;lang=en_US&amp;offset=0&amp;query=any,contains,991000430269702656","Catalog Record")</f>
        <v/>
      </c>
      <c r="AV3051">
        <f>HYPERLINK("http://www.worldcat.org/oclc/75761","WorldCat Record")</f>
        <v/>
      </c>
      <c r="AW3051" t="inlineStr">
        <is>
          <t>4726115845:eng</t>
        </is>
      </c>
      <c r="AX3051" t="inlineStr">
        <is>
          <t>75761</t>
        </is>
      </c>
      <c r="AY3051" t="inlineStr">
        <is>
          <t>991000430269702656</t>
        </is>
      </c>
      <c r="AZ3051" t="inlineStr">
        <is>
          <t>991000430269702656</t>
        </is>
      </c>
      <c r="BA3051" t="inlineStr">
        <is>
          <t>2255925730002656</t>
        </is>
      </c>
      <c r="BB3051" t="inlineStr">
        <is>
          <t>BOOK</t>
        </is>
      </c>
      <c r="BD3051" t="inlineStr">
        <is>
          <t>9780139357428</t>
        </is>
      </c>
      <c r="BE3051" t="inlineStr">
        <is>
          <t>32285002528080</t>
        </is>
      </c>
      <c r="BF3051" t="inlineStr">
        <is>
          <t>893695824</t>
        </is>
      </c>
    </row>
    <row r="3052">
      <c r="A3052" t="inlineStr">
        <is>
          <t>No</t>
        </is>
      </c>
      <c r="B3052" t="inlineStr">
        <is>
          <t>CURAL</t>
        </is>
      </c>
      <c r="C3052" t="inlineStr">
        <is>
          <t>SHELVES</t>
        </is>
      </c>
      <c r="D3052" t="inlineStr">
        <is>
          <t>PR6019.O9 U6715 1988</t>
        </is>
      </c>
      <c r="E3052" t="inlineStr">
        <is>
          <t>0                      PR 6019000O  9                  U  6715        1988</t>
        </is>
      </c>
      <c r="F3052" t="inlineStr">
        <is>
          <t>Narrative strategies in Joyce's Ulysses / by Dermot Kelly.</t>
        </is>
      </c>
      <c r="H3052" t="inlineStr">
        <is>
          <t>No</t>
        </is>
      </c>
      <c r="I3052" t="inlineStr">
        <is>
          <t>1</t>
        </is>
      </c>
      <c r="J3052" t="inlineStr">
        <is>
          <t>No</t>
        </is>
      </c>
      <c r="K3052" t="inlineStr">
        <is>
          <t>No</t>
        </is>
      </c>
      <c r="L3052" t="inlineStr">
        <is>
          <t>0</t>
        </is>
      </c>
      <c r="M3052" t="inlineStr">
        <is>
          <t>Kelly, Dermot, 1959-</t>
        </is>
      </c>
      <c r="N3052" t="inlineStr">
        <is>
          <t>Ann Arbor, Mich. : UMI Research Press, c1988.</t>
        </is>
      </c>
      <c r="O3052" t="inlineStr">
        <is>
          <t>1988</t>
        </is>
      </c>
      <c r="Q3052" t="inlineStr">
        <is>
          <t>eng</t>
        </is>
      </c>
      <c r="R3052" t="inlineStr">
        <is>
          <t>miu</t>
        </is>
      </c>
      <c r="S3052" t="inlineStr">
        <is>
          <t>Studies in modern literature ; no. 96</t>
        </is>
      </c>
      <c r="T3052" t="inlineStr">
        <is>
          <t xml:space="preserve">PR </t>
        </is>
      </c>
      <c r="U3052" t="n">
        <v>3</v>
      </c>
      <c r="V3052" t="n">
        <v>3</v>
      </c>
      <c r="W3052" t="inlineStr">
        <is>
          <t>2007-12-13</t>
        </is>
      </c>
      <c r="X3052" t="inlineStr">
        <is>
          <t>2007-12-13</t>
        </is>
      </c>
      <c r="Y3052" t="inlineStr">
        <is>
          <t>1992-07-08</t>
        </is>
      </c>
      <c r="Z3052" t="inlineStr">
        <is>
          <t>1992-07-08</t>
        </is>
      </c>
      <c r="AA3052" t="n">
        <v>385</v>
      </c>
      <c r="AB3052" t="n">
        <v>307</v>
      </c>
      <c r="AC3052" t="n">
        <v>309</v>
      </c>
      <c r="AD3052" t="n">
        <v>3</v>
      </c>
      <c r="AE3052" t="n">
        <v>3</v>
      </c>
      <c r="AF3052" t="n">
        <v>14</v>
      </c>
      <c r="AG3052" t="n">
        <v>14</v>
      </c>
      <c r="AH3052" t="n">
        <v>4</v>
      </c>
      <c r="AI3052" t="n">
        <v>4</v>
      </c>
      <c r="AJ3052" t="n">
        <v>3</v>
      </c>
      <c r="AK3052" t="n">
        <v>3</v>
      </c>
      <c r="AL3052" t="n">
        <v>9</v>
      </c>
      <c r="AM3052" t="n">
        <v>9</v>
      </c>
      <c r="AN3052" t="n">
        <v>2</v>
      </c>
      <c r="AO3052" t="n">
        <v>2</v>
      </c>
      <c r="AP3052" t="n">
        <v>0</v>
      </c>
      <c r="AQ3052" t="n">
        <v>0</v>
      </c>
      <c r="AR3052" t="inlineStr">
        <is>
          <t>No</t>
        </is>
      </c>
      <c r="AS3052" t="inlineStr">
        <is>
          <t>Yes</t>
        </is>
      </c>
      <c r="AT3052">
        <f>HYPERLINK("http://catalog.hathitrust.org/Record/001293392","HathiTrust Record")</f>
        <v/>
      </c>
      <c r="AU3052">
        <f>HYPERLINK("https://creighton-primo.hosted.exlibrisgroup.com/primo-explore/search?tab=default_tab&amp;search_scope=EVERYTHING&amp;vid=01CRU&amp;lang=en_US&amp;offset=0&amp;query=any,contains,991001322599702656","Catalog Record")</f>
        <v/>
      </c>
      <c r="AV3052">
        <f>HYPERLINK("http://www.worldcat.org/oclc/18255003","WorldCat Record")</f>
        <v/>
      </c>
      <c r="AW3052" t="inlineStr">
        <is>
          <t>17201549:eng</t>
        </is>
      </c>
      <c r="AX3052" t="inlineStr">
        <is>
          <t>18255003</t>
        </is>
      </c>
      <c r="AY3052" t="inlineStr">
        <is>
          <t>991001322599702656</t>
        </is>
      </c>
      <c r="AZ3052" t="inlineStr">
        <is>
          <t>991001322599702656</t>
        </is>
      </c>
      <c r="BA3052" t="inlineStr">
        <is>
          <t>2258968660002656</t>
        </is>
      </c>
      <c r="BB3052" t="inlineStr">
        <is>
          <t>BOOK</t>
        </is>
      </c>
      <c r="BD3052" t="inlineStr">
        <is>
          <t>9780835719179</t>
        </is>
      </c>
      <c r="BE3052" t="inlineStr">
        <is>
          <t>32285001150464</t>
        </is>
      </c>
      <c r="BF3052" t="inlineStr">
        <is>
          <t>893772513</t>
        </is>
      </c>
    </row>
    <row r="3053">
      <c r="A3053" t="inlineStr">
        <is>
          <t>No</t>
        </is>
      </c>
      <c r="B3053" t="inlineStr">
        <is>
          <t>CURAL</t>
        </is>
      </c>
      <c r="C3053" t="inlineStr">
        <is>
          <t>SHELVES</t>
        </is>
      </c>
      <c r="D3053" t="inlineStr">
        <is>
          <t>PR6019.O9 U6735 1991</t>
        </is>
      </c>
      <c r="E3053" t="inlineStr">
        <is>
          <t>0                      PR 6019000O  9                  U  6735        1991</t>
        </is>
      </c>
      <c r="F3053" t="inlineStr">
        <is>
          <t>The Joycean labyrinth : repetition, time, and tradition in Ulysses / Udaya Kumar.</t>
        </is>
      </c>
      <c r="H3053" t="inlineStr">
        <is>
          <t>No</t>
        </is>
      </c>
      <c r="I3053" t="inlineStr">
        <is>
          <t>1</t>
        </is>
      </c>
      <c r="J3053" t="inlineStr">
        <is>
          <t>No</t>
        </is>
      </c>
      <c r="K3053" t="inlineStr">
        <is>
          <t>No</t>
        </is>
      </c>
      <c r="L3053" t="inlineStr">
        <is>
          <t>0</t>
        </is>
      </c>
      <c r="M3053" t="inlineStr">
        <is>
          <t>Kumar, Udaya.</t>
        </is>
      </c>
      <c r="N3053" t="inlineStr">
        <is>
          <t>Oxford : Clarendon Press ; New York, N.Y. : Oxford University Press, 1991.</t>
        </is>
      </c>
      <c r="O3053" t="inlineStr">
        <is>
          <t>1991</t>
        </is>
      </c>
      <c r="Q3053" t="inlineStr">
        <is>
          <t>eng</t>
        </is>
      </c>
      <c r="R3053" t="inlineStr">
        <is>
          <t>enk</t>
        </is>
      </c>
      <c r="S3053" t="inlineStr">
        <is>
          <t>Oxford English monographs</t>
        </is>
      </c>
      <c r="T3053" t="inlineStr">
        <is>
          <t xml:space="preserve">PR </t>
        </is>
      </c>
      <c r="U3053" t="n">
        <v>3</v>
      </c>
      <c r="V3053" t="n">
        <v>3</v>
      </c>
      <c r="W3053" t="inlineStr">
        <is>
          <t>2006-12-14</t>
        </is>
      </c>
      <c r="X3053" t="inlineStr">
        <is>
          <t>2006-12-14</t>
        </is>
      </c>
      <c r="Y3053" t="inlineStr">
        <is>
          <t>1992-05-15</t>
        </is>
      </c>
      <c r="Z3053" t="inlineStr">
        <is>
          <t>1992-05-15</t>
        </is>
      </c>
      <c r="AA3053" t="n">
        <v>412</v>
      </c>
      <c r="AB3053" t="n">
        <v>297</v>
      </c>
      <c r="AC3053" t="n">
        <v>299</v>
      </c>
      <c r="AD3053" t="n">
        <v>4</v>
      </c>
      <c r="AE3053" t="n">
        <v>4</v>
      </c>
      <c r="AF3053" t="n">
        <v>22</v>
      </c>
      <c r="AG3053" t="n">
        <v>22</v>
      </c>
      <c r="AH3053" t="n">
        <v>9</v>
      </c>
      <c r="AI3053" t="n">
        <v>9</v>
      </c>
      <c r="AJ3053" t="n">
        <v>6</v>
      </c>
      <c r="AK3053" t="n">
        <v>6</v>
      </c>
      <c r="AL3053" t="n">
        <v>11</v>
      </c>
      <c r="AM3053" t="n">
        <v>11</v>
      </c>
      <c r="AN3053" t="n">
        <v>3</v>
      </c>
      <c r="AO3053" t="n">
        <v>3</v>
      </c>
      <c r="AP3053" t="n">
        <v>0</v>
      </c>
      <c r="AQ3053" t="n">
        <v>0</v>
      </c>
      <c r="AR3053" t="inlineStr">
        <is>
          <t>No</t>
        </is>
      </c>
      <c r="AS3053" t="inlineStr">
        <is>
          <t>Yes</t>
        </is>
      </c>
      <c r="AT3053">
        <f>HYPERLINK("http://catalog.hathitrust.org/Record/002503340","HathiTrust Record")</f>
        <v/>
      </c>
      <c r="AU3053">
        <f>HYPERLINK("https://creighton-primo.hosted.exlibrisgroup.com/primo-explore/search?tab=default_tab&amp;search_scope=EVERYTHING&amp;vid=01CRU&amp;lang=en_US&amp;offset=0&amp;query=any,contains,991001855589702656","Catalog Record")</f>
        <v/>
      </c>
      <c r="AV3053">
        <f>HYPERLINK("http://www.worldcat.org/oclc/23286812","WorldCat Record")</f>
        <v/>
      </c>
      <c r="AW3053" t="inlineStr">
        <is>
          <t>795617706:eng</t>
        </is>
      </c>
      <c r="AX3053" t="inlineStr">
        <is>
          <t>23286812</t>
        </is>
      </c>
      <c r="AY3053" t="inlineStr">
        <is>
          <t>991001855589702656</t>
        </is>
      </c>
      <c r="AZ3053" t="inlineStr">
        <is>
          <t>991001855589702656</t>
        </is>
      </c>
      <c r="BA3053" t="inlineStr">
        <is>
          <t>2272130060002656</t>
        </is>
      </c>
      <c r="BB3053" t="inlineStr">
        <is>
          <t>BOOK</t>
        </is>
      </c>
      <c r="BD3053" t="inlineStr">
        <is>
          <t>9780198112211</t>
        </is>
      </c>
      <c r="BE3053" t="inlineStr">
        <is>
          <t>32285001116002</t>
        </is>
      </c>
      <c r="BF3053" t="inlineStr">
        <is>
          <t>893715773</t>
        </is>
      </c>
    </row>
    <row r="3054">
      <c r="A3054" t="inlineStr">
        <is>
          <t>No</t>
        </is>
      </c>
      <c r="B3054" t="inlineStr">
        <is>
          <t>CURAL</t>
        </is>
      </c>
      <c r="C3054" t="inlineStr">
        <is>
          <t>SHELVES</t>
        </is>
      </c>
      <c r="D3054" t="inlineStr">
        <is>
          <t>PR6019.O9 U6742 1993</t>
        </is>
      </c>
      <c r="E3054" t="inlineStr">
        <is>
          <t>0                      PR 6019000O  9                  U  6742        1993</t>
        </is>
      </c>
      <c r="F3054" t="inlineStr">
        <is>
          <t>Ulysses and the Irish god / Frederick K. Lang.</t>
        </is>
      </c>
      <c r="H3054" t="inlineStr">
        <is>
          <t>No</t>
        </is>
      </c>
      <c r="I3054" t="inlineStr">
        <is>
          <t>1</t>
        </is>
      </c>
      <c r="J3054" t="inlineStr">
        <is>
          <t>No</t>
        </is>
      </c>
      <c r="K3054" t="inlineStr">
        <is>
          <t>No</t>
        </is>
      </c>
      <c r="L3054" t="inlineStr">
        <is>
          <t>0</t>
        </is>
      </c>
      <c r="M3054" t="inlineStr">
        <is>
          <t>Lang, Frederick K.</t>
        </is>
      </c>
      <c r="N3054" t="inlineStr">
        <is>
          <t>Lewisburg [Pa.] : Bucknell University Press ; London : Associated University Presses, c1993.</t>
        </is>
      </c>
      <c r="O3054" t="inlineStr">
        <is>
          <t>1993</t>
        </is>
      </c>
      <c r="Q3054" t="inlineStr">
        <is>
          <t>eng</t>
        </is>
      </c>
      <c r="R3054" t="inlineStr">
        <is>
          <t>pau</t>
        </is>
      </c>
      <c r="T3054" t="inlineStr">
        <is>
          <t xml:space="preserve">PR </t>
        </is>
      </c>
      <c r="U3054" t="n">
        <v>8</v>
      </c>
      <c r="V3054" t="n">
        <v>8</v>
      </c>
      <c r="W3054" t="inlineStr">
        <is>
          <t>2006-11-19</t>
        </is>
      </c>
      <c r="X3054" t="inlineStr">
        <is>
          <t>2006-11-19</t>
        </is>
      </c>
      <c r="Y3054" t="inlineStr">
        <is>
          <t>1993-10-21</t>
        </is>
      </c>
      <c r="Z3054" t="inlineStr">
        <is>
          <t>1993-10-21</t>
        </is>
      </c>
      <c r="AA3054" t="n">
        <v>298</v>
      </c>
      <c r="AB3054" t="n">
        <v>249</v>
      </c>
      <c r="AC3054" t="n">
        <v>251</v>
      </c>
      <c r="AD3054" t="n">
        <v>2</v>
      </c>
      <c r="AE3054" t="n">
        <v>2</v>
      </c>
      <c r="AF3054" t="n">
        <v>15</v>
      </c>
      <c r="AG3054" t="n">
        <v>15</v>
      </c>
      <c r="AH3054" t="n">
        <v>4</v>
      </c>
      <c r="AI3054" t="n">
        <v>4</v>
      </c>
      <c r="AJ3054" t="n">
        <v>6</v>
      </c>
      <c r="AK3054" t="n">
        <v>6</v>
      </c>
      <c r="AL3054" t="n">
        <v>10</v>
      </c>
      <c r="AM3054" t="n">
        <v>10</v>
      </c>
      <c r="AN3054" t="n">
        <v>1</v>
      </c>
      <c r="AO3054" t="n">
        <v>1</v>
      </c>
      <c r="AP3054" t="n">
        <v>0</v>
      </c>
      <c r="AQ3054" t="n">
        <v>0</v>
      </c>
      <c r="AR3054" t="inlineStr">
        <is>
          <t>No</t>
        </is>
      </c>
      <c r="AS3054" t="inlineStr">
        <is>
          <t>Yes</t>
        </is>
      </c>
      <c r="AT3054">
        <f>HYPERLINK("http://catalog.hathitrust.org/Record/002712356","HathiTrust Record")</f>
        <v/>
      </c>
      <c r="AU3054">
        <f>HYPERLINK("https://creighton-primo.hosted.exlibrisgroup.com/primo-explore/search?tab=default_tab&amp;search_scope=EVERYTHING&amp;vid=01CRU&amp;lang=en_US&amp;offset=0&amp;query=any,contains,991002031379702656","Catalog Record")</f>
        <v/>
      </c>
      <c r="AV3054">
        <f>HYPERLINK("http://www.worldcat.org/oclc/25869999","WorldCat Record")</f>
        <v/>
      </c>
      <c r="AW3054" t="inlineStr">
        <is>
          <t>28596000:eng</t>
        </is>
      </c>
      <c r="AX3054" t="inlineStr">
        <is>
          <t>25869999</t>
        </is>
      </c>
      <c r="AY3054" t="inlineStr">
        <is>
          <t>991002031379702656</t>
        </is>
      </c>
      <c r="AZ3054" t="inlineStr">
        <is>
          <t>991002031379702656</t>
        </is>
      </c>
      <c r="BA3054" t="inlineStr">
        <is>
          <t>2263408850002656</t>
        </is>
      </c>
      <c r="BB3054" t="inlineStr">
        <is>
          <t>BOOK</t>
        </is>
      </c>
      <c r="BD3054" t="inlineStr">
        <is>
          <t>9780838751503</t>
        </is>
      </c>
      <c r="BE3054" t="inlineStr">
        <is>
          <t>32285001787042</t>
        </is>
      </c>
      <c r="BF3054" t="inlineStr">
        <is>
          <t>893885765</t>
        </is>
      </c>
    </row>
    <row r="3055">
      <c r="A3055" t="inlineStr">
        <is>
          <t>No</t>
        </is>
      </c>
      <c r="B3055" t="inlineStr">
        <is>
          <t>CURAL</t>
        </is>
      </c>
      <c r="C3055" t="inlineStr">
        <is>
          <t>SHELVES</t>
        </is>
      </c>
      <c r="D3055" t="inlineStr">
        <is>
          <t>PR6019.O9 U675 1961</t>
        </is>
      </c>
      <c r="E3055" t="inlineStr">
        <is>
          <t>0                      PR 6019000O  9                  U  675         1961</t>
        </is>
      </c>
      <c r="F3055" t="inlineStr">
        <is>
          <t>The art of James Joyce: method and design in Ulysses and Finnegans wake.</t>
        </is>
      </c>
      <c r="H3055" t="inlineStr">
        <is>
          <t>No</t>
        </is>
      </c>
      <c r="I3055" t="inlineStr">
        <is>
          <t>1</t>
        </is>
      </c>
      <c r="J3055" t="inlineStr">
        <is>
          <t>No</t>
        </is>
      </c>
      <c r="K3055" t="inlineStr">
        <is>
          <t>No</t>
        </is>
      </c>
      <c r="L3055" t="inlineStr">
        <is>
          <t>0</t>
        </is>
      </c>
      <c r="M3055" t="inlineStr">
        <is>
          <t>Litz, A. Walton.</t>
        </is>
      </c>
      <c r="N3055" t="inlineStr">
        <is>
          <t>London, New York, Oxford University Press, 1961.</t>
        </is>
      </c>
      <c r="O3055" t="inlineStr">
        <is>
          <t>1961</t>
        </is>
      </c>
      <c r="Q3055" t="inlineStr">
        <is>
          <t>eng</t>
        </is>
      </c>
      <c r="R3055" t="inlineStr">
        <is>
          <t>enk</t>
        </is>
      </c>
      <c r="T3055" t="inlineStr">
        <is>
          <t xml:space="preserve">PR </t>
        </is>
      </c>
      <c r="U3055" t="n">
        <v>2</v>
      </c>
      <c r="V3055" t="n">
        <v>2</v>
      </c>
      <c r="W3055" t="inlineStr">
        <is>
          <t>2005-04-30</t>
        </is>
      </c>
      <c r="X3055" t="inlineStr">
        <is>
          <t>2005-04-30</t>
        </is>
      </c>
      <c r="Y3055" t="inlineStr">
        <is>
          <t>1997-04-10</t>
        </is>
      </c>
      <c r="Z3055" t="inlineStr">
        <is>
          <t>1997-04-10</t>
        </is>
      </c>
      <c r="AA3055" t="n">
        <v>1070</v>
      </c>
      <c r="AB3055" t="n">
        <v>880</v>
      </c>
      <c r="AC3055" t="n">
        <v>1065</v>
      </c>
      <c r="AD3055" t="n">
        <v>6</v>
      </c>
      <c r="AE3055" t="n">
        <v>7</v>
      </c>
      <c r="AF3055" t="n">
        <v>39</v>
      </c>
      <c r="AG3055" t="n">
        <v>47</v>
      </c>
      <c r="AH3055" t="n">
        <v>13</v>
      </c>
      <c r="AI3055" t="n">
        <v>18</v>
      </c>
      <c r="AJ3055" t="n">
        <v>9</v>
      </c>
      <c r="AK3055" t="n">
        <v>11</v>
      </c>
      <c r="AL3055" t="n">
        <v>23</v>
      </c>
      <c r="AM3055" t="n">
        <v>26</v>
      </c>
      <c r="AN3055" t="n">
        <v>5</v>
      </c>
      <c r="AO3055" t="n">
        <v>6</v>
      </c>
      <c r="AP3055" t="n">
        <v>0</v>
      </c>
      <c r="AQ3055" t="n">
        <v>0</v>
      </c>
      <c r="AR3055" t="inlineStr">
        <is>
          <t>No</t>
        </is>
      </c>
      <c r="AS3055" t="inlineStr">
        <is>
          <t>Yes</t>
        </is>
      </c>
      <c r="AT3055">
        <f>HYPERLINK("http://catalog.hathitrust.org/Record/000484619","HathiTrust Record")</f>
        <v/>
      </c>
      <c r="AU3055">
        <f>HYPERLINK("https://creighton-primo.hosted.exlibrisgroup.com/primo-explore/search?tab=default_tab&amp;search_scope=EVERYTHING&amp;vid=01CRU&amp;lang=en_US&amp;offset=0&amp;query=any,contains,991002522609702656","Catalog Record")</f>
        <v/>
      </c>
      <c r="AV3055">
        <f>HYPERLINK("http://www.worldcat.org/oclc/366158","WorldCat Record")</f>
        <v/>
      </c>
      <c r="AW3055" t="inlineStr">
        <is>
          <t>233180391:eng</t>
        </is>
      </c>
      <c r="AX3055" t="inlineStr">
        <is>
          <t>366158</t>
        </is>
      </c>
      <c r="AY3055" t="inlineStr">
        <is>
          <t>991002522609702656</t>
        </is>
      </c>
      <c r="AZ3055" t="inlineStr">
        <is>
          <t>991002522609702656</t>
        </is>
      </c>
      <c r="BA3055" t="inlineStr">
        <is>
          <t>2264341350002656</t>
        </is>
      </c>
      <c r="BB3055" t="inlineStr">
        <is>
          <t>BOOK</t>
        </is>
      </c>
      <c r="BE3055" t="inlineStr">
        <is>
          <t>32285002528114</t>
        </is>
      </c>
      <c r="BF3055" t="inlineStr">
        <is>
          <t>893597555</t>
        </is>
      </c>
    </row>
    <row r="3056">
      <c r="A3056" t="inlineStr">
        <is>
          <t>No</t>
        </is>
      </c>
      <c r="B3056" t="inlineStr">
        <is>
          <t>CURAL</t>
        </is>
      </c>
      <c r="C3056" t="inlineStr">
        <is>
          <t>SHELVES</t>
        </is>
      </c>
      <c r="D3056" t="inlineStr">
        <is>
          <t>PR6019.O9 U682</t>
        </is>
      </c>
      <c r="E3056" t="inlineStr">
        <is>
          <t>0                      PR 6019000O  9                  U  682</t>
        </is>
      </c>
      <c r="F3056" t="inlineStr">
        <is>
          <t>Joyce's Ulysses and the assault upon character / James H. Maddox, Jr.</t>
        </is>
      </c>
      <c r="H3056" t="inlineStr">
        <is>
          <t>No</t>
        </is>
      </c>
      <c r="I3056" t="inlineStr">
        <is>
          <t>1</t>
        </is>
      </c>
      <c r="J3056" t="inlineStr">
        <is>
          <t>No</t>
        </is>
      </c>
      <c r="K3056" t="inlineStr">
        <is>
          <t>No</t>
        </is>
      </c>
      <c r="L3056" t="inlineStr">
        <is>
          <t>0</t>
        </is>
      </c>
      <c r="M3056" t="inlineStr">
        <is>
          <t>Maddox, James H., 1943-</t>
        </is>
      </c>
      <c r="N3056" t="inlineStr">
        <is>
          <t>New Brunswick, N.J. : Rutgers University Press, c1978.</t>
        </is>
      </c>
      <c r="O3056" t="inlineStr">
        <is>
          <t>1978</t>
        </is>
      </c>
      <c r="Q3056" t="inlineStr">
        <is>
          <t>eng</t>
        </is>
      </c>
      <c r="R3056" t="inlineStr">
        <is>
          <t>nju</t>
        </is>
      </c>
      <c r="T3056" t="inlineStr">
        <is>
          <t xml:space="preserve">PR </t>
        </is>
      </c>
      <c r="U3056" t="n">
        <v>1</v>
      </c>
      <c r="V3056" t="n">
        <v>1</v>
      </c>
      <c r="W3056" t="inlineStr">
        <is>
          <t>2006-10-11</t>
        </is>
      </c>
      <c r="X3056" t="inlineStr">
        <is>
          <t>2006-10-11</t>
        </is>
      </c>
      <c r="Y3056" t="inlineStr">
        <is>
          <t>1992-07-09</t>
        </is>
      </c>
      <c r="Z3056" t="inlineStr">
        <is>
          <t>1992-07-09</t>
        </is>
      </c>
      <c r="AA3056" t="n">
        <v>492</v>
      </c>
      <c r="AB3056" t="n">
        <v>416</v>
      </c>
      <c r="AC3056" t="n">
        <v>422</v>
      </c>
      <c r="AD3056" t="n">
        <v>4</v>
      </c>
      <c r="AE3056" t="n">
        <v>4</v>
      </c>
      <c r="AF3056" t="n">
        <v>28</v>
      </c>
      <c r="AG3056" t="n">
        <v>29</v>
      </c>
      <c r="AH3056" t="n">
        <v>9</v>
      </c>
      <c r="AI3056" t="n">
        <v>10</v>
      </c>
      <c r="AJ3056" t="n">
        <v>7</v>
      </c>
      <c r="AK3056" t="n">
        <v>7</v>
      </c>
      <c r="AL3056" t="n">
        <v>15</v>
      </c>
      <c r="AM3056" t="n">
        <v>16</v>
      </c>
      <c r="AN3056" t="n">
        <v>3</v>
      </c>
      <c r="AO3056" t="n">
        <v>3</v>
      </c>
      <c r="AP3056" t="n">
        <v>0</v>
      </c>
      <c r="AQ3056" t="n">
        <v>0</v>
      </c>
      <c r="AR3056" t="inlineStr">
        <is>
          <t>No</t>
        </is>
      </c>
      <c r="AS3056" t="inlineStr">
        <is>
          <t>Yes</t>
        </is>
      </c>
      <c r="AT3056">
        <f>HYPERLINK("http://catalog.hathitrust.org/Record/000296116","HathiTrust Record")</f>
        <v/>
      </c>
      <c r="AU3056">
        <f>HYPERLINK("https://creighton-primo.hosted.exlibrisgroup.com/primo-explore/search?tab=default_tab&amp;search_scope=EVERYTHING&amp;vid=01CRU&amp;lang=en_US&amp;offset=0&amp;query=any,contains,991004385299702656","Catalog Record")</f>
        <v/>
      </c>
      <c r="AV3056">
        <f>HYPERLINK("http://www.worldcat.org/oclc/3240461","WorldCat Record")</f>
        <v/>
      </c>
      <c r="AW3056" t="inlineStr">
        <is>
          <t>9504174:eng</t>
        </is>
      </c>
      <c r="AX3056" t="inlineStr">
        <is>
          <t>3240461</t>
        </is>
      </c>
      <c r="AY3056" t="inlineStr">
        <is>
          <t>991004385299702656</t>
        </is>
      </c>
      <c r="AZ3056" t="inlineStr">
        <is>
          <t>991004385299702656</t>
        </is>
      </c>
      <c r="BA3056" t="inlineStr">
        <is>
          <t>2269930450002656</t>
        </is>
      </c>
      <c r="BB3056" t="inlineStr">
        <is>
          <t>BOOK</t>
        </is>
      </c>
      <c r="BD3056" t="inlineStr">
        <is>
          <t>9780813508511</t>
        </is>
      </c>
      <c r="BE3056" t="inlineStr">
        <is>
          <t>32285001150506</t>
        </is>
      </c>
      <c r="BF3056" t="inlineStr">
        <is>
          <t>893513159</t>
        </is>
      </c>
    </row>
    <row r="3057">
      <c r="A3057" t="inlineStr">
        <is>
          <t>No</t>
        </is>
      </c>
      <c r="B3057" t="inlineStr">
        <is>
          <t>CURAL</t>
        </is>
      </c>
      <c r="C3057" t="inlineStr">
        <is>
          <t>SHELVES</t>
        </is>
      </c>
      <c r="D3057" t="inlineStr">
        <is>
          <t>PR6019.O9 U6847 1995</t>
        </is>
      </c>
      <c r="E3057" t="inlineStr">
        <is>
          <t>0                      PR 6019000O  9                  U  6847        1995</t>
        </is>
      </c>
      <c r="F3057" t="inlineStr">
        <is>
          <t>The economy of Ulysses : making both ends meet / Mark Osteen.</t>
        </is>
      </c>
      <c r="H3057" t="inlineStr">
        <is>
          <t>No</t>
        </is>
      </c>
      <c r="I3057" t="inlineStr">
        <is>
          <t>1</t>
        </is>
      </c>
      <c r="J3057" t="inlineStr">
        <is>
          <t>No</t>
        </is>
      </c>
      <c r="K3057" t="inlineStr">
        <is>
          <t>No</t>
        </is>
      </c>
      <c r="L3057" t="inlineStr">
        <is>
          <t>0</t>
        </is>
      </c>
      <c r="M3057" t="inlineStr">
        <is>
          <t>Osteen, Mark.</t>
        </is>
      </c>
      <c r="N3057" t="inlineStr">
        <is>
          <t>Syracuse, N.Y. : Syracuse University Press, 1995.</t>
        </is>
      </c>
      <c r="O3057" t="inlineStr">
        <is>
          <t>1995</t>
        </is>
      </c>
      <c r="P3057" t="inlineStr">
        <is>
          <t>1st ed.</t>
        </is>
      </c>
      <c r="Q3057" t="inlineStr">
        <is>
          <t>eng</t>
        </is>
      </c>
      <c r="R3057" t="inlineStr">
        <is>
          <t>nyu</t>
        </is>
      </c>
      <c r="S3057" t="inlineStr">
        <is>
          <t>Irish studies</t>
        </is>
      </c>
      <c r="T3057" t="inlineStr">
        <is>
          <t xml:space="preserve">PR </t>
        </is>
      </c>
      <c r="U3057" t="n">
        <v>1</v>
      </c>
      <c r="V3057" t="n">
        <v>1</v>
      </c>
      <c r="W3057" t="inlineStr">
        <is>
          <t>2006-10-11</t>
        </is>
      </c>
      <c r="X3057" t="inlineStr">
        <is>
          <t>2006-10-11</t>
        </is>
      </c>
      <c r="Y3057" t="inlineStr">
        <is>
          <t>1996-05-28</t>
        </is>
      </c>
      <c r="Z3057" t="inlineStr">
        <is>
          <t>1996-05-28</t>
        </is>
      </c>
      <c r="AA3057" t="n">
        <v>366</v>
      </c>
      <c r="AB3057" t="n">
        <v>291</v>
      </c>
      <c r="AC3057" t="n">
        <v>293</v>
      </c>
      <c r="AD3057" t="n">
        <v>2</v>
      </c>
      <c r="AE3057" t="n">
        <v>2</v>
      </c>
      <c r="AF3057" t="n">
        <v>17</v>
      </c>
      <c r="AG3057" t="n">
        <v>17</v>
      </c>
      <c r="AH3057" t="n">
        <v>9</v>
      </c>
      <c r="AI3057" t="n">
        <v>9</v>
      </c>
      <c r="AJ3057" t="n">
        <v>4</v>
      </c>
      <c r="AK3057" t="n">
        <v>4</v>
      </c>
      <c r="AL3057" t="n">
        <v>12</v>
      </c>
      <c r="AM3057" t="n">
        <v>12</v>
      </c>
      <c r="AN3057" t="n">
        <v>1</v>
      </c>
      <c r="AO3057" t="n">
        <v>1</v>
      </c>
      <c r="AP3057" t="n">
        <v>0</v>
      </c>
      <c r="AQ3057" t="n">
        <v>0</v>
      </c>
      <c r="AR3057" t="inlineStr">
        <is>
          <t>No</t>
        </is>
      </c>
      <c r="AS3057" t="inlineStr">
        <is>
          <t>Yes</t>
        </is>
      </c>
      <c r="AT3057">
        <f>HYPERLINK("http://catalog.hathitrust.org/Record/002999392","HathiTrust Record")</f>
        <v/>
      </c>
      <c r="AU3057">
        <f>HYPERLINK("https://creighton-primo.hosted.exlibrisgroup.com/primo-explore/search?tab=default_tab&amp;search_scope=EVERYTHING&amp;vid=01CRU&amp;lang=en_US&amp;offset=0&amp;query=any,contains,991002434839702656","Catalog Record")</f>
        <v/>
      </c>
      <c r="AV3057">
        <f>HYPERLINK("http://www.worldcat.org/oclc/31740337","WorldCat Record")</f>
        <v/>
      </c>
      <c r="AW3057" t="inlineStr">
        <is>
          <t>34434222:eng</t>
        </is>
      </c>
      <c r="AX3057" t="inlineStr">
        <is>
          <t>31740337</t>
        </is>
      </c>
      <c r="AY3057" t="inlineStr">
        <is>
          <t>991002434839702656</t>
        </is>
      </c>
      <c r="AZ3057" t="inlineStr">
        <is>
          <t>991002434839702656</t>
        </is>
      </c>
      <c r="BA3057" t="inlineStr">
        <is>
          <t>2271693110002656</t>
        </is>
      </c>
      <c r="BB3057" t="inlineStr">
        <is>
          <t>BOOK</t>
        </is>
      </c>
      <c r="BD3057" t="inlineStr">
        <is>
          <t>9780815626534</t>
        </is>
      </c>
      <c r="BE3057" t="inlineStr">
        <is>
          <t>32285002178373</t>
        </is>
      </c>
      <c r="BF3057" t="inlineStr">
        <is>
          <t>893433884</t>
        </is>
      </c>
    </row>
    <row r="3058">
      <c r="A3058" t="inlineStr">
        <is>
          <t>No</t>
        </is>
      </c>
      <c r="B3058" t="inlineStr">
        <is>
          <t>CURAL</t>
        </is>
      </c>
      <c r="C3058" t="inlineStr">
        <is>
          <t>SHELVES</t>
        </is>
      </c>
      <c r="D3058" t="inlineStr">
        <is>
          <t>PR6019.O9 U69 1971</t>
        </is>
      </c>
      <c r="E3058" t="inlineStr">
        <is>
          <t>0                      PR 6019000O  9                  U  69          1971</t>
        </is>
      </c>
      <c r="F3058" t="inlineStr">
        <is>
          <t>Joyce and Shakespeare : a study in the meaning of Ulysses / by William M. Schutte.</t>
        </is>
      </c>
      <c r="H3058" t="inlineStr">
        <is>
          <t>No</t>
        </is>
      </c>
      <c r="I3058" t="inlineStr">
        <is>
          <t>1</t>
        </is>
      </c>
      <c r="J3058" t="inlineStr">
        <is>
          <t>No</t>
        </is>
      </c>
      <c r="K3058" t="inlineStr">
        <is>
          <t>No</t>
        </is>
      </c>
      <c r="L3058" t="inlineStr">
        <is>
          <t>0</t>
        </is>
      </c>
      <c r="M3058" t="inlineStr">
        <is>
          <t>Schutte, William M.</t>
        </is>
      </c>
      <c r="N3058" t="inlineStr">
        <is>
          <t>[Hamden, Conn.] : Archon Books, 1971 [c1957]</t>
        </is>
      </c>
      <c r="O3058" t="inlineStr">
        <is>
          <t>1971</t>
        </is>
      </c>
      <c r="Q3058" t="inlineStr">
        <is>
          <t>eng</t>
        </is>
      </c>
      <c r="R3058" t="inlineStr">
        <is>
          <t>ctu</t>
        </is>
      </c>
      <c r="S3058" t="inlineStr">
        <is>
          <t>Yale studies in English ; v. 134</t>
        </is>
      </c>
      <c r="T3058" t="inlineStr">
        <is>
          <t xml:space="preserve">PR </t>
        </is>
      </c>
      <c r="U3058" t="n">
        <v>2</v>
      </c>
      <c r="V3058" t="n">
        <v>2</v>
      </c>
      <c r="W3058" t="inlineStr">
        <is>
          <t>2006-10-23</t>
        </is>
      </c>
      <c r="X3058" t="inlineStr">
        <is>
          <t>2006-10-23</t>
        </is>
      </c>
      <c r="Y3058" t="inlineStr">
        <is>
          <t>1993-04-03</t>
        </is>
      </c>
      <c r="Z3058" t="inlineStr">
        <is>
          <t>1993-04-03</t>
        </is>
      </c>
      <c r="AA3058" t="n">
        <v>208</v>
      </c>
      <c r="AB3058" t="n">
        <v>160</v>
      </c>
      <c r="AC3058" t="n">
        <v>161</v>
      </c>
      <c r="AD3058" t="n">
        <v>2</v>
      </c>
      <c r="AE3058" t="n">
        <v>2</v>
      </c>
      <c r="AF3058" t="n">
        <v>9</v>
      </c>
      <c r="AG3058" t="n">
        <v>9</v>
      </c>
      <c r="AH3058" t="n">
        <v>4</v>
      </c>
      <c r="AI3058" t="n">
        <v>4</v>
      </c>
      <c r="AJ3058" t="n">
        <v>2</v>
      </c>
      <c r="AK3058" t="n">
        <v>2</v>
      </c>
      <c r="AL3058" t="n">
        <v>3</v>
      </c>
      <c r="AM3058" t="n">
        <v>3</v>
      </c>
      <c r="AN3058" t="n">
        <v>1</v>
      </c>
      <c r="AO3058" t="n">
        <v>1</v>
      </c>
      <c r="AP3058" t="n">
        <v>0</v>
      </c>
      <c r="AQ3058" t="n">
        <v>0</v>
      </c>
      <c r="AR3058" t="inlineStr">
        <is>
          <t>No</t>
        </is>
      </c>
      <c r="AS3058" t="inlineStr">
        <is>
          <t>Yes</t>
        </is>
      </c>
      <c r="AT3058">
        <f>HYPERLINK("http://catalog.hathitrust.org/Record/000002923","HathiTrust Record")</f>
        <v/>
      </c>
      <c r="AU3058">
        <f>HYPERLINK("https://creighton-primo.hosted.exlibrisgroup.com/primo-explore/search?tab=default_tab&amp;search_scope=EVERYTHING&amp;vid=01CRU&amp;lang=en_US&amp;offset=0&amp;query=any,contains,991001227739702656","Catalog Record")</f>
        <v/>
      </c>
      <c r="AV3058">
        <f>HYPERLINK("http://www.worldcat.org/oclc/200627","WorldCat Record")</f>
        <v/>
      </c>
      <c r="AW3058" t="inlineStr">
        <is>
          <t>9463370006:eng</t>
        </is>
      </c>
      <c r="AX3058" t="inlineStr">
        <is>
          <t>200627</t>
        </is>
      </c>
      <c r="AY3058" t="inlineStr">
        <is>
          <t>991001227739702656</t>
        </is>
      </c>
      <c r="AZ3058" t="inlineStr">
        <is>
          <t>991001227739702656</t>
        </is>
      </c>
      <c r="BA3058" t="inlineStr">
        <is>
          <t>2258941100002656</t>
        </is>
      </c>
      <c r="BB3058" t="inlineStr">
        <is>
          <t>BOOK</t>
        </is>
      </c>
      <c r="BD3058" t="inlineStr">
        <is>
          <t>9780208011374</t>
        </is>
      </c>
      <c r="BE3058" t="inlineStr">
        <is>
          <t>32285001599546</t>
        </is>
      </c>
      <c r="BF3058" t="inlineStr">
        <is>
          <t>893243963</t>
        </is>
      </c>
    </row>
    <row r="3059">
      <c r="A3059" t="inlineStr">
        <is>
          <t>No</t>
        </is>
      </c>
      <c r="B3059" t="inlineStr">
        <is>
          <t>CURAL</t>
        </is>
      </c>
      <c r="C3059" t="inlineStr">
        <is>
          <t>SHELVES</t>
        </is>
      </c>
      <c r="D3059" t="inlineStr">
        <is>
          <t>PR6019.O9 U692 1987</t>
        </is>
      </c>
      <c r="E3059" t="inlineStr">
        <is>
          <t>0                      PR 6019000O  9                  U  692         1987</t>
        </is>
      </c>
      <c r="F3059" t="inlineStr">
        <is>
          <t>Reading Joyce's Ulysses / by Daniel R. Schwarz.</t>
        </is>
      </c>
      <c r="H3059" t="inlineStr">
        <is>
          <t>No</t>
        </is>
      </c>
      <c r="I3059" t="inlineStr">
        <is>
          <t>1</t>
        </is>
      </c>
      <c r="J3059" t="inlineStr">
        <is>
          <t>No</t>
        </is>
      </c>
      <c r="K3059" t="inlineStr">
        <is>
          <t>No</t>
        </is>
      </c>
      <c r="L3059" t="inlineStr">
        <is>
          <t>0</t>
        </is>
      </c>
      <c r="M3059" t="inlineStr">
        <is>
          <t>Schwarz, Daniel R.</t>
        </is>
      </c>
      <c r="N3059" t="inlineStr">
        <is>
          <t>New York : St. Martin's, c1987.</t>
        </is>
      </c>
      <c r="O3059" t="inlineStr">
        <is>
          <t>1987</t>
        </is>
      </c>
      <c r="Q3059" t="inlineStr">
        <is>
          <t>eng</t>
        </is>
      </c>
      <c r="R3059" t="inlineStr">
        <is>
          <t>nyu</t>
        </is>
      </c>
      <c r="T3059" t="inlineStr">
        <is>
          <t xml:space="preserve">PR </t>
        </is>
      </c>
      <c r="U3059" t="n">
        <v>3</v>
      </c>
      <c r="V3059" t="n">
        <v>3</v>
      </c>
      <c r="W3059" t="inlineStr">
        <is>
          <t>2006-10-10</t>
        </is>
      </c>
      <c r="X3059" t="inlineStr">
        <is>
          <t>2006-10-10</t>
        </is>
      </c>
      <c r="Y3059" t="inlineStr">
        <is>
          <t>1992-07-08</t>
        </is>
      </c>
      <c r="Z3059" t="inlineStr">
        <is>
          <t>1992-07-08</t>
        </is>
      </c>
      <c r="AA3059" t="n">
        <v>621</v>
      </c>
      <c r="AB3059" t="n">
        <v>562</v>
      </c>
      <c r="AC3059" t="n">
        <v>637</v>
      </c>
      <c r="AD3059" t="n">
        <v>4</v>
      </c>
      <c r="AE3059" t="n">
        <v>5</v>
      </c>
      <c r="AF3059" t="n">
        <v>35</v>
      </c>
      <c r="AG3059" t="n">
        <v>38</v>
      </c>
      <c r="AH3059" t="n">
        <v>16</v>
      </c>
      <c r="AI3059" t="n">
        <v>16</v>
      </c>
      <c r="AJ3059" t="n">
        <v>7</v>
      </c>
      <c r="AK3059" t="n">
        <v>7</v>
      </c>
      <c r="AL3059" t="n">
        <v>18</v>
      </c>
      <c r="AM3059" t="n">
        <v>20</v>
      </c>
      <c r="AN3059" t="n">
        <v>3</v>
      </c>
      <c r="AO3059" t="n">
        <v>4</v>
      </c>
      <c r="AP3059" t="n">
        <v>0</v>
      </c>
      <c r="AQ3059" t="n">
        <v>0</v>
      </c>
      <c r="AR3059" t="inlineStr">
        <is>
          <t>No</t>
        </is>
      </c>
      <c r="AS3059" t="inlineStr">
        <is>
          <t>No</t>
        </is>
      </c>
      <c r="AU3059">
        <f>HYPERLINK("https://creighton-primo.hosted.exlibrisgroup.com/primo-explore/search?tab=default_tab&amp;search_scope=EVERYTHING&amp;vid=01CRU&amp;lang=en_US&amp;offset=0&amp;query=any,contains,991000827299702656","Catalog Record")</f>
        <v/>
      </c>
      <c r="AV3059">
        <f>HYPERLINK("http://www.worldcat.org/oclc/13424097","WorldCat Record")</f>
        <v/>
      </c>
      <c r="AW3059" t="inlineStr">
        <is>
          <t>1065075:eng</t>
        </is>
      </c>
      <c r="AX3059" t="inlineStr">
        <is>
          <t>13424097</t>
        </is>
      </c>
      <c r="AY3059" t="inlineStr">
        <is>
          <t>991000827299702656</t>
        </is>
      </c>
      <c r="AZ3059" t="inlineStr">
        <is>
          <t>991000827299702656</t>
        </is>
      </c>
      <c r="BA3059" t="inlineStr">
        <is>
          <t>2265658170002656</t>
        </is>
      </c>
      <c r="BB3059" t="inlineStr">
        <is>
          <t>BOOK</t>
        </is>
      </c>
      <c r="BD3059" t="inlineStr">
        <is>
          <t>9780312664589</t>
        </is>
      </c>
      <c r="BE3059" t="inlineStr">
        <is>
          <t>32285001150548</t>
        </is>
      </c>
      <c r="BF3059" t="inlineStr">
        <is>
          <t>893509148</t>
        </is>
      </c>
    </row>
    <row r="3060">
      <c r="A3060" t="inlineStr">
        <is>
          <t>No</t>
        </is>
      </c>
      <c r="B3060" t="inlineStr">
        <is>
          <t>CURAL</t>
        </is>
      </c>
      <c r="C3060" t="inlineStr">
        <is>
          <t>SHELVES</t>
        </is>
      </c>
      <c r="D3060" t="inlineStr">
        <is>
          <t>PR6019.O9 U7 1934</t>
        </is>
      </c>
      <c r="E3060" t="inlineStr">
        <is>
          <t>0                      PR 6019000O  9                  U  7           1934</t>
        </is>
      </c>
      <c r="F3060" t="inlineStr">
        <is>
          <t>A key to the Ulysses of James Joyce / by Paul Jordan Smith.</t>
        </is>
      </c>
      <c r="H3060" t="inlineStr">
        <is>
          <t>No</t>
        </is>
      </c>
      <c r="I3060" t="inlineStr">
        <is>
          <t>1</t>
        </is>
      </c>
      <c r="J3060" t="inlineStr">
        <is>
          <t>No</t>
        </is>
      </c>
      <c r="K3060" t="inlineStr">
        <is>
          <t>No</t>
        </is>
      </c>
      <c r="L3060" t="inlineStr">
        <is>
          <t>0</t>
        </is>
      </c>
      <c r="M3060" t="inlineStr">
        <is>
          <t>Jordan-Smith, Paul, 1885-1971.</t>
        </is>
      </c>
      <c r="N3060" t="inlineStr">
        <is>
          <t>New York : Covici, Friede, 1934, c1927.</t>
        </is>
      </c>
      <c r="O3060" t="inlineStr">
        <is>
          <t>1934</t>
        </is>
      </c>
      <c r="Q3060" t="inlineStr">
        <is>
          <t>eng</t>
        </is>
      </c>
      <c r="R3060" t="inlineStr">
        <is>
          <t>___</t>
        </is>
      </c>
      <c r="T3060" t="inlineStr">
        <is>
          <t xml:space="preserve">PR </t>
        </is>
      </c>
      <c r="U3060" t="n">
        <v>2</v>
      </c>
      <c r="V3060" t="n">
        <v>2</v>
      </c>
      <c r="W3060" t="inlineStr">
        <is>
          <t>2008-07-02</t>
        </is>
      </c>
      <c r="X3060" t="inlineStr">
        <is>
          <t>2008-07-02</t>
        </is>
      </c>
      <c r="Y3060" t="inlineStr">
        <is>
          <t>1992-07-08</t>
        </is>
      </c>
      <c r="Z3060" t="inlineStr">
        <is>
          <t>1992-07-08</t>
        </is>
      </c>
      <c r="AA3060" t="n">
        <v>213</v>
      </c>
      <c r="AB3060" t="n">
        <v>189</v>
      </c>
      <c r="AC3060" t="n">
        <v>664</v>
      </c>
      <c r="AD3060" t="n">
        <v>3</v>
      </c>
      <c r="AE3060" t="n">
        <v>9</v>
      </c>
      <c r="AF3060" t="n">
        <v>10</v>
      </c>
      <c r="AG3060" t="n">
        <v>31</v>
      </c>
      <c r="AH3060" t="n">
        <v>3</v>
      </c>
      <c r="AI3060" t="n">
        <v>9</v>
      </c>
      <c r="AJ3060" t="n">
        <v>2</v>
      </c>
      <c r="AK3060" t="n">
        <v>8</v>
      </c>
      <c r="AL3060" t="n">
        <v>5</v>
      </c>
      <c r="AM3060" t="n">
        <v>16</v>
      </c>
      <c r="AN3060" t="n">
        <v>2</v>
      </c>
      <c r="AO3060" t="n">
        <v>7</v>
      </c>
      <c r="AP3060" t="n">
        <v>0</v>
      </c>
      <c r="AQ3060" t="n">
        <v>0</v>
      </c>
      <c r="AR3060" t="inlineStr">
        <is>
          <t>Yes</t>
        </is>
      </c>
      <c r="AS3060" t="inlineStr">
        <is>
          <t>No</t>
        </is>
      </c>
      <c r="AT3060">
        <f>HYPERLINK("http://catalog.hathitrust.org/Record/000484629","HathiTrust Record")</f>
        <v/>
      </c>
      <c r="AU3060">
        <f>HYPERLINK("https://creighton-primo.hosted.exlibrisgroup.com/primo-explore/search?tab=default_tab&amp;search_scope=EVERYTHING&amp;vid=01CRU&amp;lang=en_US&amp;offset=0&amp;query=any,contains,991003737959702656","Catalog Record")</f>
        <v/>
      </c>
      <c r="AV3060">
        <f>HYPERLINK("http://www.worldcat.org/oclc/1397444","WorldCat Record")</f>
        <v/>
      </c>
      <c r="AW3060" t="inlineStr">
        <is>
          <t>348455553:eng</t>
        </is>
      </c>
      <c r="AX3060" t="inlineStr">
        <is>
          <t>1397444</t>
        </is>
      </c>
      <c r="AY3060" t="inlineStr">
        <is>
          <t>991003737959702656</t>
        </is>
      </c>
      <c r="AZ3060" t="inlineStr">
        <is>
          <t>991003737959702656</t>
        </is>
      </c>
      <c r="BA3060" t="inlineStr">
        <is>
          <t>2260876150002656</t>
        </is>
      </c>
      <c r="BB3060" t="inlineStr">
        <is>
          <t>BOOK</t>
        </is>
      </c>
      <c r="BE3060" t="inlineStr">
        <is>
          <t>32285001150555</t>
        </is>
      </c>
      <c r="BF3060" t="inlineStr">
        <is>
          <t>893800090</t>
        </is>
      </c>
    </row>
    <row r="3061">
      <c r="A3061" t="inlineStr">
        <is>
          <t>No</t>
        </is>
      </c>
      <c r="B3061" t="inlineStr">
        <is>
          <t>CURAL</t>
        </is>
      </c>
      <c r="C3061" t="inlineStr">
        <is>
          <t>SHELVES</t>
        </is>
      </c>
      <c r="D3061" t="inlineStr">
        <is>
          <t>PR6019.O9 U72</t>
        </is>
      </c>
      <c r="E3061" t="inlineStr">
        <is>
          <t>0                      PR 6019000O  9                  U  72</t>
        </is>
      </c>
      <c r="F3061" t="inlineStr">
        <is>
          <t>The stream of consciousness and beyond in Ulysses [by] Erwin R. Steinberg.</t>
        </is>
      </c>
      <c r="H3061" t="inlineStr">
        <is>
          <t>No</t>
        </is>
      </c>
      <c r="I3061" t="inlineStr">
        <is>
          <t>1</t>
        </is>
      </c>
      <c r="J3061" t="inlineStr">
        <is>
          <t>No</t>
        </is>
      </c>
      <c r="K3061" t="inlineStr">
        <is>
          <t>No</t>
        </is>
      </c>
      <c r="L3061" t="inlineStr">
        <is>
          <t>0</t>
        </is>
      </c>
      <c r="M3061" t="inlineStr">
        <is>
          <t>Steinberg, Erwin Ray.</t>
        </is>
      </c>
      <c r="N3061" t="inlineStr">
        <is>
          <t>[Pittsburgh] University of Pittsburgh Press [1973]</t>
        </is>
      </c>
      <c r="O3061" t="inlineStr">
        <is>
          <t>1973</t>
        </is>
      </c>
      <c r="Q3061" t="inlineStr">
        <is>
          <t>eng</t>
        </is>
      </c>
      <c r="R3061" t="inlineStr">
        <is>
          <t>pau</t>
        </is>
      </c>
      <c r="T3061" t="inlineStr">
        <is>
          <t xml:space="preserve">PR </t>
        </is>
      </c>
      <c r="U3061" t="n">
        <v>2</v>
      </c>
      <c r="V3061" t="n">
        <v>2</v>
      </c>
      <c r="W3061" t="inlineStr">
        <is>
          <t>2007-12-12</t>
        </is>
      </c>
      <c r="X3061" t="inlineStr">
        <is>
          <t>2007-12-12</t>
        </is>
      </c>
      <c r="Y3061" t="inlineStr">
        <is>
          <t>1997-04-10</t>
        </is>
      </c>
      <c r="Z3061" t="inlineStr">
        <is>
          <t>1997-04-10</t>
        </is>
      </c>
      <c r="AA3061" t="n">
        <v>865</v>
      </c>
      <c r="AB3061" t="n">
        <v>732</v>
      </c>
      <c r="AC3061" t="n">
        <v>739</v>
      </c>
      <c r="AD3061" t="n">
        <v>5</v>
      </c>
      <c r="AE3061" t="n">
        <v>5</v>
      </c>
      <c r="AF3061" t="n">
        <v>38</v>
      </c>
      <c r="AG3061" t="n">
        <v>38</v>
      </c>
      <c r="AH3061" t="n">
        <v>17</v>
      </c>
      <c r="AI3061" t="n">
        <v>17</v>
      </c>
      <c r="AJ3061" t="n">
        <v>9</v>
      </c>
      <c r="AK3061" t="n">
        <v>9</v>
      </c>
      <c r="AL3061" t="n">
        <v>22</v>
      </c>
      <c r="AM3061" t="n">
        <v>22</v>
      </c>
      <c r="AN3061" t="n">
        <v>3</v>
      </c>
      <c r="AO3061" t="n">
        <v>3</v>
      </c>
      <c r="AP3061" t="n">
        <v>0</v>
      </c>
      <c r="AQ3061" t="n">
        <v>0</v>
      </c>
      <c r="AR3061" t="inlineStr">
        <is>
          <t>No</t>
        </is>
      </c>
      <c r="AS3061" t="inlineStr">
        <is>
          <t>Yes</t>
        </is>
      </c>
      <c r="AT3061">
        <f>HYPERLINK("http://catalog.hathitrust.org/Record/000484631","HathiTrust Record")</f>
        <v/>
      </c>
      <c r="AU3061">
        <f>HYPERLINK("https://creighton-primo.hosted.exlibrisgroup.com/primo-explore/search?tab=default_tab&amp;search_scope=EVERYTHING&amp;vid=01CRU&amp;lang=en_US&amp;offset=0&amp;query=any,contains,991002998449702656","Catalog Record")</f>
        <v/>
      </c>
      <c r="AV3061">
        <f>HYPERLINK("http://www.worldcat.org/oclc/566665","WorldCat Record")</f>
        <v/>
      </c>
      <c r="AW3061" t="inlineStr">
        <is>
          <t>1655492:eng</t>
        </is>
      </c>
      <c r="AX3061" t="inlineStr">
        <is>
          <t>566665</t>
        </is>
      </c>
      <c r="AY3061" t="inlineStr">
        <is>
          <t>991002998449702656</t>
        </is>
      </c>
      <c r="AZ3061" t="inlineStr">
        <is>
          <t>991002998449702656</t>
        </is>
      </c>
      <c r="BA3061" t="inlineStr">
        <is>
          <t>2256384650002656</t>
        </is>
      </c>
      <c r="BB3061" t="inlineStr">
        <is>
          <t>BOOK</t>
        </is>
      </c>
      <c r="BD3061" t="inlineStr">
        <is>
          <t>9780822932451</t>
        </is>
      </c>
      <c r="BE3061" t="inlineStr">
        <is>
          <t>32285002528155</t>
        </is>
      </c>
      <c r="BF3061" t="inlineStr">
        <is>
          <t>893704781</t>
        </is>
      </c>
    </row>
    <row r="3062">
      <c r="A3062" t="inlineStr">
        <is>
          <t>No</t>
        </is>
      </c>
      <c r="B3062" t="inlineStr">
        <is>
          <t>CURAL</t>
        </is>
      </c>
      <c r="C3062" t="inlineStr">
        <is>
          <t>SHELVES</t>
        </is>
      </c>
      <c r="D3062" t="inlineStr">
        <is>
          <t>PR6019.O9 U73 1987</t>
        </is>
      </c>
      <c r="E3062" t="inlineStr">
        <is>
          <t>0                      PR 6019000O  9                  U  73          1987</t>
        </is>
      </c>
      <c r="F3062" t="inlineStr">
        <is>
          <t>The argument of Ulysses / Stanley Sultan.</t>
        </is>
      </c>
      <c r="H3062" t="inlineStr">
        <is>
          <t>No</t>
        </is>
      </c>
      <c r="I3062" t="inlineStr">
        <is>
          <t>1</t>
        </is>
      </c>
      <c r="J3062" t="inlineStr">
        <is>
          <t>No</t>
        </is>
      </c>
      <c r="K3062" t="inlineStr">
        <is>
          <t>Yes</t>
        </is>
      </c>
      <c r="L3062" t="inlineStr">
        <is>
          <t>0</t>
        </is>
      </c>
      <c r="M3062" t="inlineStr">
        <is>
          <t>Sultan, Stanley.</t>
        </is>
      </c>
      <c r="N3062" t="inlineStr">
        <is>
          <t>Middletown, Conn. : Wesleyan University Press ; Scranton, Pa. : Distributed by Harper &amp; Row, c1987.</t>
        </is>
      </c>
      <c r="O3062" t="inlineStr">
        <is>
          <t>1987</t>
        </is>
      </c>
      <c r="Q3062" t="inlineStr">
        <is>
          <t>eng</t>
        </is>
      </c>
      <c r="R3062" t="inlineStr">
        <is>
          <t>ctu</t>
        </is>
      </c>
      <c r="T3062" t="inlineStr">
        <is>
          <t xml:space="preserve">PR </t>
        </is>
      </c>
      <c r="U3062" t="n">
        <v>3</v>
      </c>
      <c r="V3062" t="n">
        <v>3</v>
      </c>
      <c r="W3062" t="inlineStr">
        <is>
          <t>2006-12-14</t>
        </is>
      </c>
      <c r="X3062" t="inlineStr">
        <is>
          <t>2006-12-14</t>
        </is>
      </c>
      <c r="Y3062" t="inlineStr">
        <is>
          <t>1992-07-08</t>
        </is>
      </c>
      <c r="Z3062" t="inlineStr">
        <is>
          <t>1992-07-08</t>
        </is>
      </c>
      <c r="AA3062" t="n">
        <v>122</v>
      </c>
      <c r="AB3062" t="n">
        <v>107</v>
      </c>
      <c r="AC3062" t="n">
        <v>719</v>
      </c>
      <c r="AD3062" t="n">
        <v>1</v>
      </c>
      <c r="AE3062" t="n">
        <v>7</v>
      </c>
      <c r="AF3062" t="n">
        <v>9</v>
      </c>
      <c r="AG3062" t="n">
        <v>44</v>
      </c>
      <c r="AH3062" t="n">
        <v>3</v>
      </c>
      <c r="AI3062" t="n">
        <v>18</v>
      </c>
      <c r="AJ3062" t="n">
        <v>3</v>
      </c>
      <c r="AK3062" t="n">
        <v>8</v>
      </c>
      <c r="AL3062" t="n">
        <v>6</v>
      </c>
      <c r="AM3062" t="n">
        <v>24</v>
      </c>
      <c r="AN3062" t="n">
        <v>0</v>
      </c>
      <c r="AO3062" t="n">
        <v>6</v>
      </c>
      <c r="AP3062" t="n">
        <v>0</v>
      </c>
      <c r="AQ3062" t="n">
        <v>0</v>
      </c>
      <c r="AR3062" t="inlineStr">
        <is>
          <t>No</t>
        </is>
      </c>
      <c r="AS3062" t="inlineStr">
        <is>
          <t>No</t>
        </is>
      </c>
      <c r="AU3062">
        <f>HYPERLINK("https://creighton-primo.hosted.exlibrisgroup.com/primo-explore/search?tab=default_tab&amp;search_scope=EVERYTHING&amp;vid=01CRU&amp;lang=en_US&amp;offset=0&amp;query=any,contains,991001046179702656","Catalog Record")</f>
        <v/>
      </c>
      <c r="AV3062">
        <f>HYPERLINK("http://www.worldcat.org/oclc/15629013","WorldCat Record")</f>
        <v/>
      </c>
      <c r="AW3062" t="inlineStr">
        <is>
          <t>1426257:eng</t>
        </is>
      </c>
      <c r="AX3062" t="inlineStr">
        <is>
          <t>15629013</t>
        </is>
      </c>
      <c r="AY3062" t="inlineStr">
        <is>
          <t>991001046179702656</t>
        </is>
      </c>
      <c r="AZ3062" t="inlineStr">
        <is>
          <t>991001046179702656</t>
        </is>
      </c>
      <c r="BA3062" t="inlineStr">
        <is>
          <t>2270031310002656</t>
        </is>
      </c>
      <c r="BB3062" t="inlineStr">
        <is>
          <t>BOOK</t>
        </is>
      </c>
      <c r="BD3062" t="inlineStr">
        <is>
          <t>9780819561725</t>
        </is>
      </c>
      <c r="BE3062" t="inlineStr">
        <is>
          <t>32285001150571</t>
        </is>
      </c>
      <c r="BF3062" t="inlineStr">
        <is>
          <t>893708949</t>
        </is>
      </c>
    </row>
    <row r="3063">
      <c r="A3063" t="inlineStr">
        <is>
          <t>No</t>
        </is>
      </c>
      <c r="B3063" t="inlineStr">
        <is>
          <t>CURAL</t>
        </is>
      </c>
      <c r="C3063" t="inlineStr">
        <is>
          <t>SHELVES</t>
        </is>
      </c>
      <c r="D3063" t="inlineStr">
        <is>
          <t>PR6019.O9 U735</t>
        </is>
      </c>
      <c r="E3063" t="inlineStr">
        <is>
          <t>0                      PR 6019000O  9                  U  735</t>
        </is>
      </c>
      <c r="F3063" t="inlineStr">
        <is>
          <t>Ulysses, The waste land, and modernism : a jubilee study / Stanley Sultan.</t>
        </is>
      </c>
      <c r="H3063" t="inlineStr">
        <is>
          <t>No</t>
        </is>
      </c>
      <c r="I3063" t="inlineStr">
        <is>
          <t>1</t>
        </is>
      </c>
      <c r="J3063" t="inlineStr">
        <is>
          <t>No</t>
        </is>
      </c>
      <c r="K3063" t="inlineStr">
        <is>
          <t>No</t>
        </is>
      </c>
      <c r="L3063" t="inlineStr">
        <is>
          <t>0</t>
        </is>
      </c>
      <c r="M3063" t="inlineStr">
        <is>
          <t>Sultan, Stanley.</t>
        </is>
      </c>
      <c r="N3063" t="inlineStr">
        <is>
          <t>Port Washington, N.Y. : Kennikat Press, 1977.</t>
        </is>
      </c>
      <c r="O3063" t="inlineStr">
        <is>
          <t>1977</t>
        </is>
      </c>
      <c r="Q3063" t="inlineStr">
        <is>
          <t>eng</t>
        </is>
      </c>
      <c r="R3063" t="inlineStr">
        <is>
          <t>nyu</t>
        </is>
      </c>
      <c r="S3063" t="inlineStr">
        <is>
          <t>National university publications</t>
        </is>
      </c>
      <c r="T3063" t="inlineStr">
        <is>
          <t xml:space="preserve">PR </t>
        </is>
      </c>
      <c r="U3063" t="n">
        <v>10</v>
      </c>
      <c r="V3063" t="n">
        <v>10</v>
      </c>
      <c r="W3063" t="inlineStr">
        <is>
          <t>2006-11-01</t>
        </is>
      </c>
      <c r="X3063" t="inlineStr">
        <is>
          <t>2006-11-01</t>
        </is>
      </c>
      <c r="Y3063" t="inlineStr">
        <is>
          <t>1991-12-23</t>
        </is>
      </c>
      <c r="Z3063" t="inlineStr">
        <is>
          <t>1991-12-23</t>
        </is>
      </c>
      <c r="AA3063" t="n">
        <v>787</v>
      </c>
      <c r="AB3063" t="n">
        <v>694</v>
      </c>
      <c r="AC3063" t="n">
        <v>701</v>
      </c>
      <c r="AD3063" t="n">
        <v>7</v>
      </c>
      <c r="AE3063" t="n">
        <v>7</v>
      </c>
      <c r="AF3063" t="n">
        <v>39</v>
      </c>
      <c r="AG3063" t="n">
        <v>39</v>
      </c>
      <c r="AH3063" t="n">
        <v>18</v>
      </c>
      <c r="AI3063" t="n">
        <v>18</v>
      </c>
      <c r="AJ3063" t="n">
        <v>9</v>
      </c>
      <c r="AK3063" t="n">
        <v>9</v>
      </c>
      <c r="AL3063" t="n">
        <v>18</v>
      </c>
      <c r="AM3063" t="n">
        <v>18</v>
      </c>
      <c r="AN3063" t="n">
        <v>5</v>
      </c>
      <c r="AO3063" t="n">
        <v>5</v>
      </c>
      <c r="AP3063" t="n">
        <v>0</v>
      </c>
      <c r="AQ3063" t="n">
        <v>0</v>
      </c>
      <c r="AR3063" t="inlineStr">
        <is>
          <t>No</t>
        </is>
      </c>
      <c r="AS3063" t="inlineStr">
        <is>
          <t>Yes</t>
        </is>
      </c>
      <c r="AT3063">
        <f>HYPERLINK("http://catalog.hathitrust.org/Record/000741902","HathiTrust Record")</f>
        <v/>
      </c>
      <c r="AU3063">
        <f>HYPERLINK("https://creighton-primo.hosted.exlibrisgroup.com/primo-explore/search?tab=default_tab&amp;search_scope=EVERYTHING&amp;vid=01CRU&amp;lang=en_US&amp;offset=0&amp;query=any,contains,991004087029702656","Catalog Record")</f>
        <v/>
      </c>
      <c r="AV3063">
        <f>HYPERLINK("http://www.worldcat.org/oclc/2332332","WorldCat Record")</f>
        <v/>
      </c>
      <c r="AW3063" t="inlineStr">
        <is>
          <t>309536444:eng</t>
        </is>
      </c>
      <c r="AX3063" t="inlineStr">
        <is>
          <t>2332332</t>
        </is>
      </c>
      <c r="AY3063" t="inlineStr">
        <is>
          <t>991004087029702656</t>
        </is>
      </c>
      <c r="AZ3063" t="inlineStr">
        <is>
          <t>991004087029702656</t>
        </is>
      </c>
      <c r="BA3063" t="inlineStr">
        <is>
          <t>2264036190002656</t>
        </is>
      </c>
      <c r="BB3063" t="inlineStr">
        <is>
          <t>BOOK</t>
        </is>
      </c>
      <c r="BD3063" t="inlineStr">
        <is>
          <t>9780804691444</t>
        </is>
      </c>
      <c r="BE3063" t="inlineStr">
        <is>
          <t>32285000880970</t>
        </is>
      </c>
      <c r="BF3063" t="inlineStr">
        <is>
          <t>893349603</t>
        </is>
      </c>
    </row>
    <row r="3064">
      <c r="A3064" t="inlineStr">
        <is>
          <t>No</t>
        </is>
      </c>
      <c r="B3064" t="inlineStr">
        <is>
          <t>CURAL</t>
        </is>
      </c>
      <c r="C3064" t="inlineStr">
        <is>
          <t>SHELVES</t>
        </is>
      </c>
      <c r="D3064" t="inlineStr">
        <is>
          <t>PR6019.O9 U754 1986</t>
        </is>
      </c>
      <c r="E3064" t="inlineStr">
        <is>
          <t>0                      PR 6019000O  9                  U  754         1986</t>
        </is>
      </c>
      <c r="F3064" t="inlineStr">
        <is>
          <t>Bloomers on the Liffey : eisegetical readings of Joyce's Ulysses / Paul Van Caspel.</t>
        </is>
      </c>
      <c r="H3064" t="inlineStr">
        <is>
          <t>No</t>
        </is>
      </c>
      <c r="I3064" t="inlineStr">
        <is>
          <t>1</t>
        </is>
      </c>
      <c r="J3064" t="inlineStr">
        <is>
          <t>No</t>
        </is>
      </c>
      <c r="K3064" t="inlineStr">
        <is>
          <t>No</t>
        </is>
      </c>
      <c r="L3064" t="inlineStr">
        <is>
          <t>0</t>
        </is>
      </c>
      <c r="M3064" t="inlineStr">
        <is>
          <t>Van Caspel, Paul.</t>
        </is>
      </c>
      <c r="N3064" t="inlineStr">
        <is>
          <t>Baltimore : Johns Hopkins University Press, c1986.</t>
        </is>
      </c>
      <c r="O3064" t="inlineStr">
        <is>
          <t>1986</t>
        </is>
      </c>
      <c r="Q3064" t="inlineStr">
        <is>
          <t>eng</t>
        </is>
      </c>
      <c r="R3064" t="inlineStr">
        <is>
          <t>mdu</t>
        </is>
      </c>
      <c r="T3064" t="inlineStr">
        <is>
          <t xml:space="preserve">PR </t>
        </is>
      </c>
      <c r="U3064" t="n">
        <v>5</v>
      </c>
      <c r="V3064" t="n">
        <v>5</v>
      </c>
      <c r="W3064" t="inlineStr">
        <is>
          <t>2006-12-07</t>
        </is>
      </c>
      <c r="X3064" t="inlineStr">
        <is>
          <t>2006-12-07</t>
        </is>
      </c>
      <c r="Y3064" t="inlineStr">
        <is>
          <t>1992-07-08</t>
        </is>
      </c>
      <c r="Z3064" t="inlineStr">
        <is>
          <t>1992-07-08</t>
        </is>
      </c>
      <c r="AA3064" t="n">
        <v>507</v>
      </c>
      <c r="AB3064" t="n">
        <v>437</v>
      </c>
      <c r="AC3064" t="n">
        <v>441</v>
      </c>
      <c r="AD3064" t="n">
        <v>3</v>
      </c>
      <c r="AE3064" t="n">
        <v>3</v>
      </c>
      <c r="AF3064" t="n">
        <v>23</v>
      </c>
      <c r="AG3064" t="n">
        <v>23</v>
      </c>
      <c r="AH3064" t="n">
        <v>8</v>
      </c>
      <c r="AI3064" t="n">
        <v>8</v>
      </c>
      <c r="AJ3064" t="n">
        <v>6</v>
      </c>
      <c r="AK3064" t="n">
        <v>6</v>
      </c>
      <c r="AL3064" t="n">
        <v>14</v>
      </c>
      <c r="AM3064" t="n">
        <v>14</v>
      </c>
      <c r="AN3064" t="n">
        <v>2</v>
      </c>
      <c r="AO3064" t="n">
        <v>2</v>
      </c>
      <c r="AP3064" t="n">
        <v>0</v>
      </c>
      <c r="AQ3064" t="n">
        <v>0</v>
      </c>
      <c r="AR3064" t="inlineStr">
        <is>
          <t>No</t>
        </is>
      </c>
      <c r="AS3064" t="inlineStr">
        <is>
          <t>Yes</t>
        </is>
      </c>
      <c r="AT3064">
        <f>HYPERLINK("http://catalog.hathitrust.org/Record/000394870","HathiTrust Record")</f>
        <v/>
      </c>
      <c r="AU3064">
        <f>HYPERLINK("https://creighton-primo.hosted.exlibrisgroup.com/primo-explore/search?tab=default_tab&amp;search_scope=EVERYTHING&amp;vid=01CRU&amp;lang=en_US&amp;offset=0&amp;query=any,contains,991000740719702656","Catalog Record")</f>
        <v/>
      </c>
      <c r="AV3064">
        <f>HYPERLINK("http://www.worldcat.org/oclc/12807998","WorldCat Record")</f>
        <v/>
      </c>
      <c r="AW3064" t="inlineStr">
        <is>
          <t>5423942:eng</t>
        </is>
      </c>
      <c r="AX3064" t="inlineStr">
        <is>
          <t>12807998</t>
        </is>
      </c>
      <c r="AY3064" t="inlineStr">
        <is>
          <t>991000740719702656</t>
        </is>
      </c>
      <c r="AZ3064" t="inlineStr">
        <is>
          <t>991000740719702656</t>
        </is>
      </c>
      <c r="BA3064" t="inlineStr">
        <is>
          <t>2258867160002656</t>
        </is>
      </c>
      <c r="BB3064" t="inlineStr">
        <is>
          <t>BOOK</t>
        </is>
      </c>
      <c r="BD3064" t="inlineStr">
        <is>
          <t>9780801832888</t>
        </is>
      </c>
      <c r="BE3064" t="inlineStr">
        <is>
          <t>32285001150605</t>
        </is>
      </c>
      <c r="BF3064" t="inlineStr">
        <is>
          <t>893778197</t>
        </is>
      </c>
    </row>
    <row r="3065">
      <c r="A3065" t="inlineStr">
        <is>
          <t>No</t>
        </is>
      </c>
      <c r="B3065" t="inlineStr">
        <is>
          <t>CURAL</t>
        </is>
      </c>
      <c r="C3065" t="inlineStr">
        <is>
          <t>SHELVES</t>
        </is>
      </c>
      <c r="D3065" t="inlineStr">
        <is>
          <t>PR6019.O9 Z353 1987</t>
        </is>
      </c>
      <c r="E3065" t="inlineStr">
        <is>
          <t>0                      PR 6019000O  9                  Z  353         1987</t>
        </is>
      </c>
      <c r="F3065" t="inlineStr">
        <is>
          <t>Studying James Joyce / Harry Blamires.</t>
        </is>
      </c>
      <c r="H3065" t="inlineStr">
        <is>
          <t>No</t>
        </is>
      </c>
      <c r="I3065" t="inlineStr">
        <is>
          <t>1</t>
        </is>
      </c>
      <c r="J3065" t="inlineStr">
        <is>
          <t>No</t>
        </is>
      </c>
      <c r="K3065" t="inlineStr">
        <is>
          <t>No</t>
        </is>
      </c>
      <c r="L3065" t="inlineStr">
        <is>
          <t>0</t>
        </is>
      </c>
      <c r="M3065" t="inlineStr">
        <is>
          <t>Blamires, Harry.</t>
        </is>
      </c>
      <c r="N3065" t="inlineStr">
        <is>
          <t>Harlow, Essex : Longman York Press, 1987.</t>
        </is>
      </c>
      <c r="O3065" t="inlineStr">
        <is>
          <t>1987</t>
        </is>
      </c>
      <c r="Q3065" t="inlineStr">
        <is>
          <t>eng</t>
        </is>
      </c>
      <c r="R3065" t="inlineStr">
        <is>
          <t>enk</t>
        </is>
      </c>
      <c r="S3065" t="inlineStr">
        <is>
          <t>York handbooks</t>
        </is>
      </c>
      <c r="T3065" t="inlineStr">
        <is>
          <t xml:space="preserve">PR </t>
        </is>
      </c>
      <c r="U3065" t="n">
        <v>13</v>
      </c>
      <c r="V3065" t="n">
        <v>13</v>
      </c>
      <c r="W3065" t="inlineStr">
        <is>
          <t>2009-01-30</t>
        </is>
      </c>
      <c r="X3065" t="inlineStr">
        <is>
          <t>2009-01-30</t>
        </is>
      </c>
      <c r="Y3065" t="inlineStr">
        <is>
          <t>1990-03-02</t>
        </is>
      </c>
      <c r="Z3065" t="inlineStr">
        <is>
          <t>1990-03-02</t>
        </is>
      </c>
      <c r="AA3065" t="n">
        <v>75</v>
      </c>
      <c r="AB3065" t="n">
        <v>41</v>
      </c>
      <c r="AC3065" t="n">
        <v>43</v>
      </c>
      <c r="AD3065" t="n">
        <v>1</v>
      </c>
      <c r="AE3065" t="n">
        <v>1</v>
      </c>
      <c r="AF3065" t="n">
        <v>1</v>
      </c>
      <c r="AG3065" t="n">
        <v>1</v>
      </c>
      <c r="AH3065" t="n">
        <v>0</v>
      </c>
      <c r="AI3065" t="n">
        <v>0</v>
      </c>
      <c r="AJ3065" t="n">
        <v>0</v>
      </c>
      <c r="AK3065" t="n">
        <v>0</v>
      </c>
      <c r="AL3065" t="n">
        <v>1</v>
      </c>
      <c r="AM3065" t="n">
        <v>1</v>
      </c>
      <c r="AN3065" t="n">
        <v>0</v>
      </c>
      <c r="AO3065" t="n">
        <v>0</v>
      </c>
      <c r="AP3065" t="n">
        <v>0</v>
      </c>
      <c r="AQ3065" t="n">
        <v>0</v>
      </c>
      <c r="AR3065" t="inlineStr">
        <is>
          <t>No</t>
        </is>
      </c>
      <c r="AS3065" t="inlineStr">
        <is>
          <t>Yes</t>
        </is>
      </c>
      <c r="AT3065">
        <f>HYPERLINK("http://catalog.hathitrust.org/Record/000852756","HathiTrust Record")</f>
        <v/>
      </c>
      <c r="AU3065">
        <f>HYPERLINK("https://creighton-primo.hosted.exlibrisgroup.com/primo-explore/search?tab=default_tab&amp;search_scope=EVERYTHING&amp;vid=01CRU&amp;lang=en_US&amp;offset=0&amp;query=any,contains,991001133529702656","Catalog Record")</f>
        <v/>
      </c>
      <c r="AV3065">
        <f>HYPERLINK("http://www.worldcat.org/oclc/16686256","WorldCat Record")</f>
        <v/>
      </c>
      <c r="AW3065" t="inlineStr">
        <is>
          <t>12710119:eng</t>
        </is>
      </c>
      <c r="AX3065" t="inlineStr">
        <is>
          <t>16686256</t>
        </is>
      </c>
      <c r="AY3065" t="inlineStr">
        <is>
          <t>991001133529702656</t>
        </is>
      </c>
      <c r="AZ3065" t="inlineStr">
        <is>
          <t>991001133529702656</t>
        </is>
      </c>
      <c r="BA3065" t="inlineStr">
        <is>
          <t>2267402370002656</t>
        </is>
      </c>
      <c r="BB3065" t="inlineStr">
        <is>
          <t>BOOK</t>
        </is>
      </c>
      <c r="BD3065" t="inlineStr">
        <is>
          <t>9780582966017</t>
        </is>
      </c>
      <c r="BE3065" t="inlineStr">
        <is>
          <t>32285000075589</t>
        </is>
      </c>
      <c r="BF3065" t="inlineStr">
        <is>
          <t>893784851</t>
        </is>
      </c>
    </row>
    <row r="3066">
      <c r="A3066" t="inlineStr">
        <is>
          <t>No</t>
        </is>
      </c>
      <c r="B3066" t="inlineStr">
        <is>
          <t>CURAL</t>
        </is>
      </c>
      <c r="C3066" t="inlineStr">
        <is>
          <t>SHELVES</t>
        </is>
      </c>
      <c r="D3066" t="inlineStr">
        <is>
          <t>PR6019.O9 Z4597 1953</t>
        </is>
      </c>
      <c r="E3066" t="inlineStr">
        <is>
          <t>0                      PR 6019000O  9                  Z  4597        1953</t>
        </is>
      </c>
      <c r="F3066" t="inlineStr">
        <is>
          <t>A bibliography of James Joyce, 1882-1941 [by] John J. Slocum and Herbert Cahoon.</t>
        </is>
      </c>
      <c r="H3066" t="inlineStr">
        <is>
          <t>No</t>
        </is>
      </c>
      <c r="I3066" t="inlineStr">
        <is>
          <t>1</t>
        </is>
      </c>
      <c r="J3066" t="inlineStr">
        <is>
          <t>No</t>
        </is>
      </c>
      <c r="K3066" t="inlineStr">
        <is>
          <t>No</t>
        </is>
      </c>
      <c r="L3066" t="inlineStr">
        <is>
          <t>0</t>
        </is>
      </c>
      <c r="M3066" t="inlineStr">
        <is>
          <t>Slocum, John J.</t>
        </is>
      </c>
      <c r="N3066" t="inlineStr">
        <is>
          <t>New Haven, Yale University Press, 1953.</t>
        </is>
      </c>
      <c r="O3066" t="inlineStr">
        <is>
          <t>1953</t>
        </is>
      </c>
      <c r="Q3066" t="inlineStr">
        <is>
          <t>eng</t>
        </is>
      </c>
      <c r="R3066" t="inlineStr">
        <is>
          <t>ctu</t>
        </is>
      </c>
      <c r="S3066" t="inlineStr">
        <is>
          <t>Bibliographical series from the Yale University Library collections</t>
        </is>
      </c>
      <c r="T3066" t="inlineStr">
        <is>
          <t xml:space="preserve">PR </t>
        </is>
      </c>
      <c r="U3066" t="n">
        <v>3</v>
      </c>
      <c r="V3066" t="n">
        <v>3</v>
      </c>
      <c r="W3066" t="inlineStr">
        <is>
          <t>2005-04-22</t>
        </is>
      </c>
      <c r="X3066" t="inlineStr">
        <is>
          <t>2005-04-22</t>
        </is>
      </c>
      <c r="Y3066" t="inlineStr">
        <is>
          <t>1997-04-10</t>
        </is>
      </c>
      <c r="Z3066" t="inlineStr">
        <is>
          <t>1997-04-10</t>
        </is>
      </c>
      <c r="AA3066" t="n">
        <v>552</v>
      </c>
      <c r="AB3066" t="n">
        <v>484</v>
      </c>
      <c r="AC3066" t="n">
        <v>599</v>
      </c>
      <c r="AD3066" t="n">
        <v>4</v>
      </c>
      <c r="AE3066" t="n">
        <v>5</v>
      </c>
      <c r="AF3066" t="n">
        <v>27</v>
      </c>
      <c r="AG3066" t="n">
        <v>34</v>
      </c>
      <c r="AH3066" t="n">
        <v>8</v>
      </c>
      <c r="AI3066" t="n">
        <v>12</v>
      </c>
      <c r="AJ3066" t="n">
        <v>8</v>
      </c>
      <c r="AK3066" t="n">
        <v>9</v>
      </c>
      <c r="AL3066" t="n">
        <v>11</v>
      </c>
      <c r="AM3066" t="n">
        <v>17</v>
      </c>
      <c r="AN3066" t="n">
        <v>3</v>
      </c>
      <c r="AO3066" t="n">
        <v>4</v>
      </c>
      <c r="AP3066" t="n">
        <v>0</v>
      </c>
      <c r="AQ3066" t="n">
        <v>0</v>
      </c>
      <c r="AR3066" t="inlineStr">
        <is>
          <t>No</t>
        </is>
      </c>
      <c r="AS3066" t="inlineStr">
        <is>
          <t>Yes</t>
        </is>
      </c>
      <c r="AT3066">
        <f>HYPERLINK("http://catalog.hathitrust.org/Record/006059443","HathiTrust Record")</f>
        <v/>
      </c>
      <c r="AU3066">
        <f>HYPERLINK("https://creighton-primo.hosted.exlibrisgroup.com/primo-explore/search?tab=default_tab&amp;search_scope=EVERYTHING&amp;vid=01CRU&amp;lang=en_US&amp;offset=0&amp;query=any,contains,991003648889702656","Catalog Record")</f>
        <v/>
      </c>
      <c r="AV3066">
        <f>HYPERLINK("http://www.worldcat.org/oclc/1252343","WorldCat Record")</f>
        <v/>
      </c>
      <c r="AW3066" t="inlineStr">
        <is>
          <t>1357085:eng</t>
        </is>
      </c>
      <c r="AX3066" t="inlineStr">
        <is>
          <t>1252343</t>
        </is>
      </c>
      <c r="AY3066" t="inlineStr">
        <is>
          <t>991003648889702656</t>
        </is>
      </c>
      <c r="AZ3066" t="inlineStr">
        <is>
          <t>991003648889702656</t>
        </is>
      </c>
      <c r="BA3066" t="inlineStr">
        <is>
          <t>2260051920002656</t>
        </is>
      </c>
      <c r="BB3066" t="inlineStr">
        <is>
          <t>BOOK</t>
        </is>
      </c>
      <c r="BE3066" t="inlineStr">
        <is>
          <t>32285002528197</t>
        </is>
      </c>
      <c r="BF3066" t="inlineStr">
        <is>
          <t>893806034</t>
        </is>
      </c>
    </row>
    <row r="3067">
      <c r="A3067" t="inlineStr">
        <is>
          <t>No</t>
        </is>
      </c>
      <c r="B3067" t="inlineStr">
        <is>
          <t>CURAL</t>
        </is>
      </c>
      <c r="C3067" t="inlineStr">
        <is>
          <t>SHELVES</t>
        </is>
      </c>
      <c r="D3067" t="inlineStr">
        <is>
          <t>PR6019.O9 Z466</t>
        </is>
      </c>
      <c r="E3067" t="inlineStr">
        <is>
          <t>0                      PR 6019000O  9                  Z  466</t>
        </is>
      </c>
      <c r="F3067" t="inlineStr">
        <is>
          <t>Joyce's voices / Hugh Kenner.</t>
        </is>
      </c>
      <c r="H3067" t="inlineStr">
        <is>
          <t>No</t>
        </is>
      </c>
      <c r="I3067" t="inlineStr">
        <is>
          <t>1</t>
        </is>
      </c>
      <c r="J3067" t="inlineStr">
        <is>
          <t>No</t>
        </is>
      </c>
      <c r="K3067" t="inlineStr">
        <is>
          <t>No</t>
        </is>
      </c>
      <c r="L3067" t="inlineStr">
        <is>
          <t>0</t>
        </is>
      </c>
      <c r="M3067" t="inlineStr">
        <is>
          <t>Kenner, Hugh.</t>
        </is>
      </c>
      <c r="N3067" t="inlineStr">
        <is>
          <t>Berkeley : University of California Press, c1978.</t>
        </is>
      </c>
      <c r="O3067" t="inlineStr">
        <is>
          <t>1978</t>
        </is>
      </c>
      <c r="Q3067" t="inlineStr">
        <is>
          <t>eng</t>
        </is>
      </c>
      <c r="R3067" t="inlineStr">
        <is>
          <t>cau</t>
        </is>
      </c>
      <c r="T3067" t="inlineStr">
        <is>
          <t xml:space="preserve">PR </t>
        </is>
      </c>
      <c r="U3067" t="n">
        <v>2</v>
      </c>
      <c r="V3067" t="n">
        <v>2</v>
      </c>
      <c r="W3067" t="inlineStr">
        <is>
          <t>2004-11-20</t>
        </is>
      </c>
      <c r="X3067" t="inlineStr">
        <is>
          <t>2004-11-20</t>
        </is>
      </c>
      <c r="Y3067" t="inlineStr">
        <is>
          <t>1992-07-08</t>
        </is>
      </c>
      <c r="Z3067" t="inlineStr">
        <is>
          <t>1992-07-08</t>
        </is>
      </c>
      <c r="AA3067" t="n">
        <v>1126</v>
      </c>
      <c r="AB3067" t="n">
        <v>1010</v>
      </c>
      <c r="AC3067" t="n">
        <v>1067</v>
      </c>
      <c r="AD3067" t="n">
        <v>7</v>
      </c>
      <c r="AE3067" t="n">
        <v>7</v>
      </c>
      <c r="AF3067" t="n">
        <v>47</v>
      </c>
      <c r="AG3067" t="n">
        <v>50</v>
      </c>
      <c r="AH3067" t="n">
        <v>19</v>
      </c>
      <c r="AI3067" t="n">
        <v>21</v>
      </c>
      <c r="AJ3067" t="n">
        <v>10</v>
      </c>
      <c r="AK3067" t="n">
        <v>11</v>
      </c>
      <c r="AL3067" t="n">
        <v>22</v>
      </c>
      <c r="AM3067" t="n">
        <v>24</v>
      </c>
      <c r="AN3067" t="n">
        <v>6</v>
      </c>
      <c r="AO3067" t="n">
        <v>6</v>
      </c>
      <c r="AP3067" t="n">
        <v>0</v>
      </c>
      <c r="AQ3067" t="n">
        <v>0</v>
      </c>
      <c r="AR3067" t="inlineStr">
        <is>
          <t>No</t>
        </is>
      </c>
      <c r="AS3067" t="inlineStr">
        <is>
          <t>No</t>
        </is>
      </c>
      <c r="AU3067">
        <f>HYPERLINK("https://creighton-primo.hosted.exlibrisgroup.com/primo-explore/search?tab=default_tab&amp;search_scope=EVERYTHING&amp;vid=01CRU&amp;lang=en_US&amp;offset=0&amp;query=any,contains,991004552099702656","Catalog Record")</f>
        <v/>
      </c>
      <c r="AV3067">
        <f>HYPERLINK("http://www.worldcat.org/oclc/3942091","WorldCat Record")</f>
        <v/>
      </c>
      <c r="AW3067" t="inlineStr">
        <is>
          <t>13915805:eng</t>
        </is>
      </c>
      <c r="AX3067" t="inlineStr">
        <is>
          <t>3942091</t>
        </is>
      </c>
      <c r="AY3067" t="inlineStr">
        <is>
          <t>991004552099702656</t>
        </is>
      </c>
      <c r="AZ3067" t="inlineStr">
        <is>
          <t>991004552099702656</t>
        </is>
      </c>
      <c r="BA3067" t="inlineStr">
        <is>
          <t>2270880680002656</t>
        </is>
      </c>
      <c r="BB3067" t="inlineStr">
        <is>
          <t>BOOK</t>
        </is>
      </c>
      <c r="BD3067" t="inlineStr">
        <is>
          <t>9780520032064</t>
        </is>
      </c>
      <c r="BE3067" t="inlineStr">
        <is>
          <t>32285001150613</t>
        </is>
      </c>
      <c r="BF3067" t="inlineStr">
        <is>
          <t>893446279</t>
        </is>
      </c>
    </row>
    <row r="3068">
      <c r="A3068" t="inlineStr">
        <is>
          <t>No</t>
        </is>
      </c>
      <c r="B3068" t="inlineStr">
        <is>
          <t>CURAL</t>
        </is>
      </c>
      <c r="C3068" t="inlineStr">
        <is>
          <t>SHELVES</t>
        </is>
      </c>
      <c r="D3068" t="inlineStr">
        <is>
          <t>PR6019.O9 Z523 1980</t>
        </is>
      </c>
      <c r="E3068" t="inlineStr">
        <is>
          <t>0                      PR 6019000O  9                  Z  523         1980</t>
        </is>
      </c>
      <c r="F3068" t="inlineStr">
        <is>
          <t>James Joyce : common sense and beyond / by Robert M. Adams.</t>
        </is>
      </c>
      <c r="H3068" t="inlineStr">
        <is>
          <t>No</t>
        </is>
      </c>
      <c r="I3068" t="inlineStr">
        <is>
          <t>1</t>
        </is>
      </c>
      <c r="J3068" t="inlineStr">
        <is>
          <t>No</t>
        </is>
      </c>
      <c r="K3068" t="inlineStr">
        <is>
          <t>No</t>
        </is>
      </c>
      <c r="L3068" t="inlineStr">
        <is>
          <t>0</t>
        </is>
      </c>
      <c r="M3068" t="inlineStr">
        <is>
          <t>Adams, Robert M. (Robert Martin), 1915-1996.</t>
        </is>
      </c>
      <c r="N3068" t="inlineStr">
        <is>
          <t>New York : Octagon Books, 1980, c1966.</t>
        </is>
      </c>
      <c r="O3068" t="inlineStr">
        <is>
          <t>1980</t>
        </is>
      </c>
      <c r="Q3068" t="inlineStr">
        <is>
          <t>eng</t>
        </is>
      </c>
      <c r="R3068" t="inlineStr">
        <is>
          <t>nyu</t>
        </is>
      </c>
      <c r="T3068" t="inlineStr">
        <is>
          <t xml:space="preserve">PR </t>
        </is>
      </c>
      <c r="U3068" t="n">
        <v>2</v>
      </c>
      <c r="V3068" t="n">
        <v>2</v>
      </c>
      <c r="W3068" t="inlineStr">
        <is>
          <t>2005-04-22</t>
        </is>
      </c>
      <c r="X3068" t="inlineStr">
        <is>
          <t>2005-04-22</t>
        </is>
      </c>
      <c r="Y3068" t="inlineStr">
        <is>
          <t>1991-12-13</t>
        </is>
      </c>
      <c r="Z3068" t="inlineStr">
        <is>
          <t>1991-12-13</t>
        </is>
      </c>
      <c r="AA3068" t="n">
        <v>112</v>
      </c>
      <c r="AB3068" t="n">
        <v>99</v>
      </c>
      <c r="AC3068" t="n">
        <v>492</v>
      </c>
      <c r="AD3068" t="n">
        <v>1</v>
      </c>
      <c r="AE3068" t="n">
        <v>4</v>
      </c>
      <c r="AF3068" t="n">
        <v>4</v>
      </c>
      <c r="AG3068" t="n">
        <v>20</v>
      </c>
      <c r="AH3068" t="n">
        <v>1</v>
      </c>
      <c r="AI3068" t="n">
        <v>3</v>
      </c>
      <c r="AJ3068" t="n">
        <v>2</v>
      </c>
      <c r="AK3068" t="n">
        <v>6</v>
      </c>
      <c r="AL3068" t="n">
        <v>3</v>
      </c>
      <c r="AM3068" t="n">
        <v>12</v>
      </c>
      <c r="AN3068" t="n">
        <v>0</v>
      </c>
      <c r="AO3068" t="n">
        <v>3</v>
      </c>
      <c r="AP3068" t="n">
        <v>0</v>
      </c>
      <c r="AQ3068" t="n">
        <v>0</v>
      </c>
      <c r="AR3068" t="inlineStr">
        <is>
          <t>No</t>
        </is>
      </c>
      <c r="AS3068" t="inlineStr">
        <is>
          <t>No</t>
        </is>
      </c>
      <c r="AU3068">
        <f>HYPERLINK("https://creighton-primo.hosted.exlibrisgroup.com/primo-explore/search?tab=default_tab&amp;search_scope=EVERYTHING&amp;vid=01CRU&amp;lang=en_US&amp;offset=0&amp;query=any,contains,991004984769702656","Catalog Record")</f>
        <v/>
      </c>
      <c r="AV3068">
        <f>HYPERLINK("http://www.worldcat.org/oclc/6447009","WorldCat Record")</f>
        <v/>
      </c>
      <c r="AW3068" t="inlineStr">
        <is>
          <t>1424560:eng</t>
        </is>
      </c>
      <c r="AX3068" t="inlineStr">
        <is>
          <t>6447009</t>
        </is>
      </c>
      <c r="AY3068" t="inlineStr">
        <is>
          <t>991004984769702656</t>
        </is>
      </c>
      <c r="AZ3068" t="inlineStr">
        <is>
          <t>991004984769702656</t>
        </is>
      </c>
      <c r="BA3068" t="inlineStr">
        <is>
          <t>2255579530002656</t>
        </is>
      </c>
      <c r="BB3068" t="inlineStr">
        <is>
          <t>BOOK</t>
        </is>
      </c>
      <c r="BD3068" t="inlineStr">
        <is>
          <t>9780374900533</t>
        </is>
      </c>
      <c r="BE3068" t="inlineStr">
        <is>
          <t>32285000901370</t>
        </is>
      </c>
      <c r="BF3068" t="inlineStr">
        <is>
          <t>893254292</t>
        </is>
      </c>
    </row>
    <row r="3069">
      <c r="A3069" t="inlineStr">
        <is>
          <t>No</t>
        </is>
      </c>
      <c r="B3069" t="inlineStr">
        <is>
          <t>CURAL</t>
        </is>
      </c>
      <c r="C3069" t="inlineStr">
        <is>
          <t>SHELVES</t>
        </is>
      </c>
      <c r="D3069" t="inlineStr">
        <is>
          <t>PR6019.O9 Z5256513 1992</t>
        </is>
      </c>
      <c r="E3069" t="inlineStr">
        <is>
          <t>0                      PR 6019000O  9                  Z  5256513     1992</t>
        </is>
      </c>
      <c r="F3069" t="inlineStr">
        <is>
          <t>The aesthetics of James Joyce / by Jacques Aubert.</t>
        </is>
      </c>
      <c r="H3069" t="inlineStr">
        <is>
          <t>No</t>
        </is>
      </c>
      <c r="I3069" t="inlineStr">
        <is>
          <t>1</t>
        </is>
      </c>
      <c r="J3069" t="inlineStr">
        <is>
          <t>No</t>
        </is>
      </c>
      <c r="K3069" t="inlineStr">
        <is>
          <t>No</t>
        </is>
      </c>
      <c r="L3069" t="inlineStr">
        <is>
          <t>0</t>
        </is>
      </c>
      <c r="M3069" t="inlineStr">
        <is>
          <t>Aubert, Jacques.</t>
        </is>
      </c>
      <c r="N3069" t="inlineStr">
        <is>
          <t>Baltimore : Johns Hopkins University Press, c1992.</t>
        </is>
      </c>
      <c r="O3069" t="inlineStr">
        <is>
          <t>1992</t>
        </is>
      </c>
      <c r="P3069" t="inlineStr">
        <is>
          <t>Rev. English-language ed.</t>
        </is>
      </c>
      <c r="Q3069" t="inlineStr">
        <is>
          <t>eng</t>
        </is>
      </c>
      <c r="R3069" t="inlineStr">
        <is>
          <t>mdu</t>
        </is>
      </c>
      <c r="T3069" t="inlineStr">
        <is>
          <t xml:space="preserve">PR </t>
        </is>
      </c>
      <c r="U3069" t="n">
        <v>2</v>
      </c>
      <c r="V3069" t="n">
        <v>2</v>
      </c>
      <c r="W3069" t="inlineStr">
        <is>
          <t>2005-05-05</t>
        </is>
      </c>
      <c r="X3069" t="inlineStr">
        <is>
          <t>2005-05-05</t>
        </is>
      </c>
      <c r="Y3069" t="inlineStr">
        <is>
          <t>1995-05-08</t>
        </is>
      </c>
      <c r="Z3069" t="inlineStr">
        <is>
          <t>1995-05-08</t>
        </is>
      </c>
      <c r="AA3069" t="n">
        <v>415</v>
      </c>
      <c r="AB3069" t="n">
        <v>355</v>
      </c>
      <c r="AC3069" t="n">
        <v>371</v>
      </c>
      <c r="AD3069" t="n">
        <v>3</v>
      </c>
      <c r="AE3069" t="n">
        <v>3</v>
      </c>
      <c r="AF3069" t="n">
        <v>23</v>
      </c>
      <c r="AG3069" t="n">
        <v>24</v>
      </c>
      <c r="AH3069" t="n">
        <v>8</v>
      </c>
      <c r="AI3069" t="n">
        <v>8</v>
      </c>
      <c r="AJ3069" t="n">
        <v>6</v>
      </c>
      <c r="AK3069" t="n">
        <v>7</v>
      </c>
      <c r="AL3069" t="n">
        <v>13</v>
      </c>
      <c r="AM3069" t="n">
        <v>14</v>
      </c>
      <c r="AN3069" t="n">
        <v>2</v>
      </c>
      <c r="AO3069" t="n">
        <v>2</v>
      </c>
      <c r="AP3069" t="n">
        <v>0</v>
      </c>
      <c r="AQ3069" t="n">
        <v>0</v>
      </c>
      <c r="AR3069" t="inlineStr">
        <is>
          <t>No</t>
        </is>
      </c>
      <c r="AS3069" t="inlineStr">
        <is>
          <t>Yes</t>
        </is>
      </c>
      <c r="AT3069">
        <f>HYPERLINK("http://catalog.hathitrust.org/Record/002573773","HathiTrust Record")</f>
        <v/>
      </c>
      <c r="AU3069">
        <f>HYPERLINK("https://creighton-primo.hosted.exlibrisgroup.com/primo-explore/search?tab=default_tab&amp;search_scope=EVERYTHING&amp;vid=01CRU&amp;lang=en_US&amp;offset=0&amp;query=any,contains,991001979809702656","Catalog Record")</f>
        <v/>
      </c>
      <c r="AV3069">
        <f>HYPERLINK("http://www.worldcat.org/oclc/25130743","WorldCat Record")</f>
        <v/>
      </c>
      <c r="AW3069" t="inlineStr">
        <is>
          <t>1828601:eng</t>
        </is>
      </c>
      <c r="AX3069" t="inlineStr">
        <is>
          <t>25130743</t>
        </is>
      </c>
      <c r="AY3069" t="inlineStr">
        <is>
          <t>991001979809702656</t>
        </is>
      </c>
      <c r="AZ3069" t="inlineStr">
        <is>
          <t>991001979809702656</t>
        </is>
      </c>
      <c r="BA3069" t="inlineStr">
        <is>
          <t>2265615250002656</t>
        </is>
      </c>
      <c r="BB3069" t="inlineStr">
        <is>
          <t>BOOK</t>
        </is>
      </c>
      <c r="BD3069" t="inlineStr">
        <is>
          <t>9780801843495</t>
        </is>
      </c>
      <c r="BE3069" t="inlineStr">
        <is>
          <t>32285002037959</t>
        </is>
      </c>
      <c r="BF3069" t="inlineStr">
        <is>
          <t>893866653</t>
        </is>
      </c>
    </row>
    <row r="3070">
      <c r="A3070" t="inlineStr">
        <is>
          <t>No</t>
        </is>
      </c>
      <c r="B3070" t="inlineStr">
        <is>
          <t>CURAL</t>
        </is>
      </c>
      <c r="C3070" t="inlineStr">
        <is>
          <t>SHELVES</t>
        </is>
      </c>
      <c r="D3070" t="inlineStr">
        <is>
          <t>PR6019.O9 Z52567 2004</t>
        </is>
      </c>
      <c r="E3070" t="inlineStr">
        <is>
          <t>0                      PR 6019000O  9                  Z  52567       2004</t>
        </is>
      </c>
      <c r="F3070" t="inlineStr">
        <is>
          <t>Rituals of literature : Joyce, Dante, Aquinas, and the tradition of Christian epics / Gian Balsamo.</t>
        </is>
      </c>
      <c r="H3070" t="inlineStr">
        <is>
          <t>No</t>
        </is>
      </c>
      <c r="I3070" t="inlineStr">
        <is>
          <t>1</t>
        </is>
      </c>
      <c r="J3070" t="inlineStr">
        <is>
          <t>No</t>
        </is>
      </c>
      <c r="K3070" t="inlineStr">
        <is>
          <t>No</t>
        </is>
      </c>
      <c r="L3070" t="inlineStr">
        <is>
          <t>0</t>
        </is>
      </c>
      <c r="M3070" t="inlineStr">
        <is>
          <t>Balsamo, Gian, 1949-</t>
        </is>
      </c>
      <c r="N3070" t="inlineStr">
        <is>
          <t>Lewisburg [Pa.] : Bucknell University Press, c2004.</t>
        </is>
      </c>
      <c r="O3070" t="inlineStr">
        <is>
          <t>2004</t>
        </is>
      </c>
      <c r="Q3070" t="inlineStr">
        <is>
          <t>eng</t>
        </is>
      </c>
      <c r="R3070" t="inlineStr">
        <is>
          <t>pau</t>
        </is>
      </c>
      <c r="T3070" t="inlineStr">
        <is>
          <t xml:space="preserve">PR </t>
        </is>
      </c>
      <c r="U3070" t="n">
        <v>4</v>
      </c>
      <c r="V3070" t="n">
        <v>4</v>
      </c>
      <c r="W3070" t="inlineStr">
        <is>
          <t>2007-02-18</t>
        </is>
      </c>
      <c r="X3070" t="inlineStr">
        <is>
          <t>2007-02-18</t>
        </is>
      </c>
      <c r="Y3070" t="inlineStr">
        <is>
          <t>2005-04-11</t>
        </is>
      </c>
      <c r="Z3070" t="inlineStr">
        <is>
          <t>2005-04-11</t>
        </is>
      </c>
      <c r="AA3070" t="n">
        <v>304</v>
      </c>
      <c r="AB3070" t="n">
        <v>259</v>
      </c>
      <c r="AC3070" t="n">
        <v>267</v>
      </c>
      <c r="AD3070" t="n">
        <v>1</v>
      </c>
      <c r="AE3070" t="n">
        <v>2</v>
      </c>
      <c r="AF3070" t="n">
        <v>16</v>
      </c>
      <c r="AG3070" t="n">
        <v>17</v>
      </c>
      <c r="AH3070" t="n">
        <v>7</v>
      </c>
      <c r="AI3070" t="n">
        <v>7</v>
      </c>
      <c r="AJ3070" t="n">
        <v>5</v>
      </c>
      <c r="AK3070" t="n">
        <v>5</v>
      </c>
      <c r="AL3070" t="n">
        <v>8</v>
      </c>
      <c r="AM3070" t="n">
        <v>8</v>
      </c>
      <c r="AN3070" t="n">
        <v>0</v>
      </c>
      <c r="AO3070" t="n">
        <v>1</v>
      </c>
      <c r="AP3070" t="n">
        <v>0</v>
      </c>
      <c r="AQ3070" t="n">
        <v>0</v>
      </c>
      <c r="AR3070" t="inlineStr">
        <is>
          <t>No</t>
        </is>
      </c>
      <c r="AS3070" t="inlineStr">
        <is>
          <t>Yes</t>
        </is>
      </c>
      <c r="AT3070">
        <f>HYPERLINK("http://catalog.hathitrust.org/Record/004729705","HathiTrust Record")</f>
        <v/>
      </c>
      <c r="AU3070">
        <f>HYPERLINK("https://creighton-primo.hosted.exlibrisgroup.com/primo-explore/search?tab=default_tab&amp;search_scope=EVERYTHING&amp;vid=01CRU&amp;lang=en_US&amp;offset=0&amp;query=any,contains,991004487339702656","Catalog Record")</f>
        <v/>
      </c>
      <c r="AV3070">
        <f>HYPERLINK("http://www.worldcat.org/oclc/53814375","WorldCat Record")</f>
        <v/>
      </c>
      <c r="AW3070" t="inlineStr">
        <is>
          <t>131923812:eng</t>
        </is>
      </c>
      <c r="AX3070" t="inlineStr">
        <is>
          <t>53814375</t>
        </is>
      </c>
      <c r="AY3070" t="inlineStr">
        <is>
          <t>991004487339702656</t>
        </is>
      </c>
      <c r="AZ3070" t="inlineStr">
        <is>
          <t>991004487339702656</t>
        </is>
      </c>
      <c r="BA3070" t="inlineStr">
        <is>
          <t>2271907750002656</t>
        </is>
      </c>
      <c r="BB3070" t="inlineStr">
        <is>
          <t>BOOK</t>
        </is>
      </c>
      <c r="BD3070" t="inlineStr">
        <is>
          <t>9780838755495</t>
        </is>
      </c>
      <c r="BE3070" t="inlineStr">
        <is>
          <t>32285005049621</t>
        </is>
      </c>
      <c r="BF3070" t="inlineStr">
        <is>
          <t>893253744</t>
        </is>
      </c>
    </row>
    <row r="3071">
      <c r="A3071" t="inlineStr">
        <is>
          <t>No</t>
        </is>
      </c>
      <c r="B3071" t="inlineStr">
        <is>
          <t>CURAL</t>
        </is>
      </c>
      <c r="C3071" t="inlineStr">
        <is>
          <t>SHELVES</t>
        </is>
      </c>
      <c r="D3071" t="inlineStr">
        <is>
          <t>PR6019.O9 Z525687 1992</t>
        </is>
      </c>
      <c r="E3071" t="inlineStr">
        <is>
          <t>0                      PR 6019000O  9                  Z  525687      1992</t>
        </is>
      </c>
      <c r="F3071" t="inlineStr">
        <is>
          <t>James Joyce : a literary life / Morris Beja.</t>
        </is>
      </c>
      <c r="H3071" t="inlineStr">
        <is>
          <t>No</t>
        </is>
      </c>
      <c r="I3071" t="inlineStr">
        <is>
          <t>1</t>
        </is>
      </c>
      <c r="J3071" t="inlineStr">
        <is>
          <t>No</t>
        </is>
      </c>
      <c r="K3071" t="inlineStr">
        <is>
          <t>No</t>
        </is>
      </c>
      <c r="L3071" t="inlineStr">
        <is>
          <t>0</t>
        </is>
      </c>
      <c r="M3071" t="inlineStr">
        <is>
          <t>Beja, Morris.</t>
        </is>
      </c>
      <c r="N3071" t="inlineStr">
        <is>
          <t>Houndmills, Basingstoke, Hampshire : Macmillan, 1992.</t>
        </is>
      </c>
      <c r="O3071" t="inlineStr">
        <is>
          <t>1992</t>
        </is>
      </c>
      <c r="Q3071" t="inlineStr">
        <is>
          <t>eng</t>
        </is>
      </c>
      <c r="R3071" t="inlineStr">
        <is>
          <t>enk</t>
        </is>
      </c>
      <c r="S3071" t="inlineStr">
        <is>
          <t>Macmillan literary lives</t>
        </is>
      </c>
      <c r="T3071" t="inlineStr">
        <is>
          <t xml:space="preserve">PR </t>
        </is>
      </c>
      <c r="U3071" t="n">
        <v>4</v>
      </c>
      <c r="V3071" t="n">
        <v>4</v>
      </c>
      <c r="W3071" t="inlineStr">
        <is>
          <t>2004-11-03</t>
        </is>
      </c>
      <c r="X3071" t="inlineStr">
        <is>
          <t>2004-11-03</t>
        </is>
      </c>
      <c r="Y3071" t="inlineStr">
        <is>
          <t>1993-08-12</t>
        </is>
      </c>
      <c r="Z3071" t="inlineStr">
        <is>
          <t>1993-08-12</t>
        </is>
      </c>
      <c r="AA3071" t="n">
        <v>116</v>
      </c>
      <c r="AB3071" t="n">
        <v>21</v>
      </c>
      <c r="AC3071" t="n">
        <v>603</v>
      </c>
      <c r="AD3071" t="n">
        <v>1</v>
      </c>
      <c r="AE3071" t="n">
        <v>7</v>
      </c>
      <c r="AF3071" t="n">
        <v>0</v>
      </c>
      <c r="AG3071" t="n">
        <v>38</v>
      </c>
      <c r="AH3071" t="n">
        <v>0</v>
      </c>
      <c r="AI3071" t="n">
        <v>18</v>
      </c>
      <c r="AJ3071" t="n">
        <v>0</v>
      </c>
      <c r="AK3071" t="n">
        <v>9</v>
      </c>
      <c r="AL3071" t="n">
        <v>0</v>
      </c>
      <c r="AM3071" t="n">
        <v>19</v>
      </c>
      <c r="AN3071" t="n">
        <v>0</v>
      </c>
      <c r="AO3071" t="n">
        <v>5</v>
      </c>
      <c r="AP3071" t="n">
        <v>0</v>
      </c>
      <c r="AQ3071" t="n">
        <v>0</v>
      </c>
      <c r="AR3071" t="inlineStr">
        <is>
          <t>No</t>
        </is>
      </c>
      <c r="AS3071" t="inlineStr">
        <is>
          <t>No</t>
        </is>
      </c>
      <c r="AU3071">
        <f>HYPERLINK("https://creighton-primo.hosted.exlibrisgroup.com/primo-explore/search?tab=default_tab&amp;search_scope=EVERYTHING&amp;vid=01CRU&amp;lang=en_US&amp;offset=0&amp;query=any,contains,991002103779702656","Catalog Record")</f>
        <v/>
      </c>
      <c r="AV3071">
        <f>HYPERLINK("http://www.worldcat.org/oclc/28632150","WorldCat Record")</f>
        <v/>
      </c>
      <c r="AW3071" t="inlineStr">
        <is>
          <t>3377223398:eng</t>
        </is>
      </c>
      <c r="AX3071" t="inlineStr">
        <is>
          <t>28632150</t>
        </is>
      </c>
      <c r="AY3071" t="inlineStr">
        <is>
          <t>991002103779702656</t>
        </is>
      </c>
      <c r="AZ3071" t="inlineStr">
        <is>
          <t>991002103779702656</t>
        </is>
      </c>
      <c r="BA3071" t="inlineStr">
        <is>
          <t>2262120630002656</t>
        </is>
      </c>
      <c r="BB3071" t="inlineStr">
        <is>
          <t>BOOK</t>
        </is>
      </c>
      <c r="BD3071" t="inlineStr">
        <is>
          <t>9780333487365</t>
        </is>
      </c>
      <c r="BE3071" t="inlineStr">
        <is>
          <t>32285001726370</t>
        </is>
      </c>
      <c r="BF3071" t="inlineStr">
        <is>
          <t>893597035</t>
        </is>
      </c>
    </row>
    <row r="3072">
      <c r="A3072" t="inlineStr">
        <is>
          <t>No</t>
        </is>
      </c>
      <c r="B3072" t="inlineStr">
        <is>
          <t>CURAL</t>
        </is>
      </c>
      <c r="C3072" t="inlineStr">
        <is>
          <t>SHELVES</t>
        </is>
      </c>
      <c r="D3072" t="inlineStr">
        <is>
          <t>PR6019.O9 Z5258 1977</t>
        </is>
      </c>
      <c r="E3072" t="inlineStr">
        <is>
          <t>0                      PR 6019000O  9                  Z  5258        1977</t>
        </is>
      </c>
      <c r="F3072" t="inlineStr">
        <is>
          <t>James Joyce : the undiscover'd country / [by] Bernard Benstock.</t>
        </is>
      </c>
      <c r="H3072" t="inlineStr">
        <is>
          <t>No</t>
        </is>
      </c>
      <c r="I3072" t="inlineStr">
        <is>
          <t>1</t>
        </is>
      </c>
      <c r="J3072" t="inlineStr">
        <is>
          <t>No</t>
        </is>
      </c>
      <c r="K3072" t="inlineStr">
        <is>
          <t>No</t>
        </is>
      </c>
      <c r="L3072" t="inlineStr">
        <is>
          <t>0</t>
        </is>
      </c>
      <c r="M3072" t="inlineStr">
        <is>
          <t>Benstock, Bernard.</t>
        </is>
      </c>
      <c r="N3072" t="inlineStr">
        <is>
          <t>Dublin : Gill and Macmillan ; New York : Barnes &amp; Noble Books, 1977.</t>
        </is>
      </c>
      <c r="O3072" t="inlineStr">
        <is>
          <t>1977</t>
        </is>
      </c>
      <c r="Q3072" t="inlineStr">
        <is>
          <t>eng</t>
        </is>
      </c>
      <c r="R3072" t="inlineStr">
        <is>
          <t xml:space="preserve">ie </t>
        </is>
      </c>
      <c r="T3072" t="inlineStr">
        <is>
          <t xml:space="preserve">PR </t>
        </is>
      </c>
      <c r="U3072" t="n">
        <v>1</v>
      </c>
      <c r="V3072" t="n">
        <v>1</v>
      </c>
      <c r="W3072" t="inlineStr">
        <is>
          <t>2002-04-09</t>
        </is>
      </c>
      <c r="X3072" t="inlineStr">
        <is>
          <t>2002-04-09</t>
        </is>
      </c>
      <c r="Y3072" t="inlineStr">
        <is>
          <t>1992-07-08</t>
        </is>
      </c>
      <c r="Z3072" t="inlineStr">
        <is>
          <t>1992-07-08</t>
        </is>
      </c>
      <c r="AA3072" t="n">
        <v>596</v>
      </c>
      <c r="AB3072" t="n">
        <v>455</v>
      </c>
      <c r="AC3072" t="n">
        <v>463</v>
      </c>
      <c r="AD3072" t="n">
        <v>4</v>
      </c>
      <c r="AE3072" t="n">
        <v>4</v>
      </c>
      <c r="AF3072" t="n">
        <v>27</v>
      </c>
      <c r="AG3072" t="n">
        <v>27</v>
      </c>
      <c r="AH3072" t="n">
        <v>9</v>
      </c>
      <c r="AI3072" t="n">
        <v>9</v>
      </c>
      <c r="AJ3072" t="n">
        <v>7</v>
      </c>
      <c r="AK3072" t="n">
        <v>7</v>
      </c>
      <c r="AL3072" t="n">
        <v>16</v>
      </c>
      <c r="AM3072" t="n">
        <v>16</v>
      </c>
      <c r="AN3072" t="n">
        <v>3</v>
      </c>
      <c r="AO3072" t="n">
        <v>3</v>
      </c>
      <c r="AP3072" t="n">
        <v>0</v>
      </c>
      <c r="AQ3072" t="n">
        <v>0</v>
      </c>
      <c r="AR3072" t="inlineStr">
        <is>
          <t>No</t>
        </is>
      </c>
      <c r="AS3072" t="inlineStr">
        <is>
          <t>Yes</t>
        </is>
      </c>
      <c r="AT3072">
        <f>HYPERLINK("http://catalog.hathitrust.org/Record/000752207","HathiTrust Record")</f>
        <v/>
      </c>
      <c r="AU3072">
        <f>HYPERLINK("https://creighton-primo.hosted.exlibrisgroup.com/primo-explore/search?tab=default_tab&amp;search_scope=EVERYTHING&amp;vid=01CRU&amp;lang=en_US&amp;offset=0&amp;query=any,contains,991004431969702656","Catalog Record")</f>
        <v/>
      </c>
      <c r="AV3072">
        <f>HYPERLINK("http://www.worldcat.org/oclc/3426746","WorldCat Record")</f>
        <v/>
      </c>
      <c r="AW3072" t="inlineStr">
        <is>
          <t>3768871442:eng</t>
        </is>
      </c>
      <c r="AX3072" t="inlineStr">
        <is>
          <t>3426746</t>
        </is>
      </c>
      <c r="AY3072" t="inlineStr">
        <is>
          <t>991004431969702656</t>
        </is>
      </c>
      <c r="AZ3072" t="inlineStr">
        <is>
          <t>991004431969702656</t>
        </is>
      </c>
      <c r="BA3072" t="inlineStr">
        <is>
          <t>2259951930002656</t>
        </is>
      </c>
      <c r="BB3072" t="inlineStr">
        <is>
          <t>BOOK</t>
        </is>
      </c>
      <c r="BD3072" t="inlineStr">
        <is>
          <t>9780064932783</t>
        </is>
      </c>
      <c r="BE3072" t="inlineStr">
        <is>
          <t>32285001150704</t>
        </is>
      </c>
      <c r="BF3072" t="inlineStr">
        <is>
          <t>893706415</t>
        </is>
      </c>
    </row>
    <row r="3073">
      <c r="A3073" t="inlineStr">
        <is>
          <t>No</t>
        </is>
      </c>
      <c r="B3073" t="inlineStr">
        <is>
          <t>CURAL</t>
        </is>
      </c>
      <c r="C3073" t="inlineStr">
        <is>
          <t>SHELVES</t>
        </is>
      </c>
      <c r="D3073" t="inlineStr">
        <is>
          <t>PR6019.O9 Z52583 1985</t>
        </is>
      </c>
      <c r="E3073" t="inlineStr">
        <is>
          <t>0                      PR 6019000O  9                  Z  52583       1985</t>
        </is>
      </c>
      <c r="F3073" t="inlineStr">
        <is>
          <t>James Joyce / Bernard Benstock.</t>
        </is>
      </c>
      <c r="H3073" t="inlineStr">
        <is>
          <t>No</t>
        </is>
      </c>
      <c r="I3073" t="inlineStr">
        <is>
          <t>1</t>
        </is>
      </c>
      <c r="J3073" t="inlineStr">
        <is>
          <t>No</t>
        </is>
      </c>
      <c r="K3073" t="inlineStr">
        <is>
          <t>No</t>
        </is>
      </c>
      <c r="L3073" t="inlineStr">
        <is>
          <t>0</t>
        </is>
      </c>
      <c r="M3073" t="inlineStr">
        <is>
          <t>Benstock, Bernard.</t>
        </is>
      </c>
      <c r="N3073" t="inlineStr">
        <is>
          <t>New York : F. Ungar Pub. Co., c1985.</t>
        </is>
      </c>
      <c r="O3073" t="inlineStr">
        <is>
          <t>1985</t>
        </is>
      </c>
      <c r="Q3073" t="inlineStr">
        <is>
          <t>eng</t>
        </is>
      </c>
      <c r="R3073" t="inlineStr">
        <is>
          <t>nyu</t>
        </is>
      </c>
      <c r="S3073" t="inlineStr">
        <is>
          <t>Literature and life series</t>
        </is>
      </c>
      <c r="T3073" t="inlineStr">
        <is>
          <t xml:space="preserve">PR </t>
        </is>
      </c>
      <c r="U3073" t="n">
        <v>2</v>
      </c>
      <c r="V3073" t="n">
        <v>2</v>
      </c>
      <c r="W3073" t="inlineStr">
        <is>
          <t>2004-11-03</t>
        </is>
      </c>
      <c r="X3073" t="inlineStr">
        <is>
          <t>2004-11-03</t>
        </is>
      </c>
      <c r="Y3073" t="inlineStr">
        <is>
          <t>1992-07-08</t>
        </is>
      </c>
      <c r="Z3073" t="inlineStr">
        <is>
          <t>1992-07-08</t>
        </is>
      </c>
      <c r="AA3073" t="n">
        <v>903</v>
      </c>
      <c r="AB3073" t="n">
        <v>778</v>
      </c>
      <c r="AC3073" t="n">
        <v>785</v>
      </c>
      <c r="AD3073" t="n">
        <v>4</v>
      </c>
      <c r="AE3073" t="n">
        <v>4</v>
      </c>
      <c r="AF3073" t="n">
        <v>28</v>
      </c>
      <c r="AG3073" t="n">
        <v>28</v>
      </c>
      <c r="AH3073" t="n">
        <v>10</v>
      </c>
      <c r="AI3073" t="n">
        <v>10</v>
      </c>
      <c r="AJ3073" t="n">
        <v>6</v>
      </c>
      <c r="AK3073" t="n">
        <v>6</v>
      </c>
      <c r="AL3073" t="n">
        <v>17</v>
      </c>
      <c r="AM3073" t="n">
        <v>17</v>
      </c>
      <c r="AN3073" t="n">
        <v>3</v>
      </c>
      <c r="AO3073" t="n">
        <v>3</v>
      </c>
      <c r="AP3073" t="n">
        <v>0</v>
      </c>
      <c r="AQ3073" t="n">
        <v>0</v>
      </c>
      <c r="AR3073" t="inlineStr">
        <is>
          <t>No</t>
        </is>
      </c>
      <c r="AS3073" t="inlineStr">
        <is>
          <t>Yes</t>
        </is>
      </c>
      <c r="AT3073">
        <f>HYPERLINK("http://catalog.hathitrust.org/Record/000573007","HathiTrust Record")</f>
        <v/>
      </c>
      <c r="AU3073">
        <f>HYPERLINK("https://creighton-primo.hosted.exlibrisgroup.com/primo-explore/search?tab=default_tab&amp;search_scope=EVERYTHING&amp;vid=01CRU&amp;lang=en_US&amp;offset=0&amp;query=any,contains,991000553839702656","Catalog Record")</f>
        <v/>
      </c>
      <c r="AV3073">
        <f>HYPERLINK("http://www.worldcat.org/oclc/11549115","WorldCat Record")</f>
        <v/>
      </c>
      <c r="AW3073" t="inlineStr">
        <is>
          <t>2452615245:eng</t>
        </is>
      </c>
      <c r="AX3073" t="inlineStr">
        <is>
          <t>11549115</t>
        </is>
      </c>
      <c r="AY3073" t="inlineStr">
        <is>
          <t>991000553839702656</t>
        </is>
      </c>
      <c r="AZ3073" t="inlineStr">
        <is>
          <t>991000553839702656</t>
        </is>
      </c>
      <c r="BA3073" t="inlineStr">
        <is>
          <t>2261825090002656</t>
        </is>
      </c>
      <c r="BB3073" t="inlineStr">
        <is>
          <t>BOOK</t>
        </is>
      </c>
      <c r="BD3073" t="inlineStr">
        <is>
          <t>9780804460378</t>
        </is>
      </c>
      <c r="BE3073" t="inlineStr">
        <is>
          <t>32285001150712</t>
        </is>
      </c>
      <c r="BF3073" t="inlineStr">
        <is>
          <t>893528154</t>
        </is>
      </c>
    </row>
    <row r="3074">
      <c r="A3074" t="inlineStr">
        <is>
          <t>No</t>
        </is>
      </c>
      <c r="B3074" t="inlineStr">
        <is>
          <t>CURAL</t>
        </is>
      </c>
      <c r="C3074" t="inlineStr">
        <is>
          <t>SHELVES</t>
        </is>
      </c>
      <c r="D3074" t="inlineStr">
        <is>
          <t>PR6019.O9 Z52594 1982</t>
        </is>
      </c>
      <c r="E3074" t="inlineStr">
        <is>
          <t>0                      PR 6019000O  9                  Z  52594       1982</t>
        </is>
      </c>
      <c r="F3074" t="inlineStr">
        <is>
          <t>The Joycean way : a topographic guide to "Dubliners" &amp; "A portrait of the artist as a young man" / Bruce Bidwell &amp; Linda Heffer.</t>
        </is>
      </c>
      <c r="H3074" t="inlineStr">
        <is>
          <t>No</t>
        </is>
      </c>
      <c r="I3074" t="inlineStr">
        <is>
          <t>1</t>
        </is>
      </c>
      <c r="J3074" t="inlineStr">
        <is>
          <t>No</t>
        </is>
      </c>
      <c r="K3074" t="inlineStr">
        <is>
          <t>No</t>
        </is>
      </c>
      <c r="L3074" t="inlineStr">
        <is>
          <t>0</t>
        </is>
      </c>
      <c r="M3074" t="inlineStr">
        <is>
          <t>Bidwell, Bruce.</t>
        </is>
      </c>
      <c r="N3074" t="inlineStr">
        <is>
          <t>Baltimore, Md. : Johns Hopkins University Press, 1982.</t>
        </is>
      </c>
      <c r="O3074" t="inlineStr">
        <is>
          <t>1982</t>
        </is>
      </c>
      <c r="Q3074" t="inlineStr">
        <is>
          <t>eng</t>
        </is>
      </c>
      <c r="R3074" t="inlineStr">
        <is>
          <t>mdu</t>
        </is>
      </c>
      <c r="T3074" t="inlineStr">
        <is>
          <t xml:space="preserve">PR </t>
        </is>
      </c>
      <c r="U3074" t="n">
        <v>9</v>
      </c>
      <c r="V3074" t="n">
        <v>9</v>
      </c>
      <c r="W3074" t="inlineStr">
        <is>
          <t>2004-12-02</t>
        </is>
      </c>
      <c r="X3074" t="inlineStr">
        <is>
          <t>2004-12-02</t>
        </is>
      </c>
      <c r="Y3074" t="inlineStr">
        <is>
          <t>1992-03-09</t>
        </is>
      </c>
      <c r="Z3074" t="inlineStr">
        <is>
          <t>1992-03-09</t>
        </is>
      </c>
      <c r="AA3074" t="n">
        <v>485</v>
      </c>
      <c r="AB3074" t="n">
        <v>462</v>
      </c>
      <c r="AC3074" t="n">
        <v>559</v>
      </c>
      <c r="AD3074" t="n">
        <v>2</v>
      </c>
      <c r="AE3074" t="n">
        <v>4</v>
      </c>
      <c r="AF3074" t="n">
        <v>26</v>
      </c>
      <c r="AG3074" t="n">
        <v>32</v>
      </c>
      <c r="AH3074" t="n">
        <v>10</v>
      </c>
      <c r="AI3074" t="n">
        <v>12</v>
      </c>
      <c r="AJ3074" t="n">
        <v>8</v>
      </c>
      <c r="AK3074" t="n">
        <v>10</v>
      </c>
      <c r="AL3074" t="n">
        <v>15</v>
      </c>
      <c r="AM3074" t="n">
        <v>16</v>
      </c>
      <c r="AN3074" t="n">
        <v>1</v>
      </c>
      <c r="AO3074" t="n">
        <v>3</v>
      </c>
      <c r="AP3074" t="n">
        <v>0</v>
      </c>
      <c r="AQ3074" t="n">
        <v>0</v>
      </c>
      <c r="AR3074" t="inlineStr">
        <is>
          <t>No</t>
        </is>
      </c>
      <c r="AS3074" t="inlineStr">
        <is>
          <t>No</t>
        </is>
      </c>
      <c r="AU3074">
        <f>HYPERLINK("https://creighton-primo.hosted.exlibrisgroup.com/primo-explore/search?tab=default_tab&amp;search_scope=EVERYTHING&amp;vid=01CRU&amp;lang=en_US&amp;offset=0&amp;query=any,contains,991000048489702656","Catalog Record")</f>
        <v/>
      </c>
      <c r="AV3074">
        <f>HYPERLINK("http://www.worldcat.org/oclc/8672134","WorldCat Record")</f>
        <v/>
      </c>
      <c r="AW3074" t="inlineStr">
        <is>
          <t>452641:eng</t>
        </is>
      </c>
      <c r="AX3074" t="inlineStr">
        <is>
          <t>8672134</t>
        </is>
      </c>
      <c r="AY3074" t="inlineStr">
        <is>
          <t>991000048489702656</t>
        </is>
      </c>
      <c r="AZ3074" t="inlineStr">
        <is>
          <t>991000048489702656</t>
        </is>
      </c>
      <c r="BA3074" t="inlineStr">
        <is>
          <t>2270695810002656</t>
        </is>
      </c>
      <c r="BB3074" t="inlineStr">
        <is>
          <t>BOOK</t>
        </is>
      </c>
      <c r="BD3074" t="inlineStr">
        <is>
          <t>9780801828799</t>
        </is>
      </c>
      <c r="BE3074" t="inlineStr">
        <is>
          <t>32285000994045</t>
        </is>
      </c>
      <c r="BF3074" t="inlineStr">
        <is>
          <t>893589075</t>
        </is>
      </c>
    </row>
    <row r="3075">
      <c r="A3075" t="inlineStr">
        <is>
          <t>No</t>
        </is>
      </c>
      <c r="B3075" t="inlineStr">
        <is>
          <t>CURAL</t>
        </is>
      </c>
      <c r="C3075" t="inlineStr">
        <is>
          <t>SHELVES</t>
        </is>
      </c>
      <c r="D3075" t="inlineStr">
        <is>
          <t>PR6019.O9 Z52613 1995</t>
        </is>
      </c>
      <c r="E3075" t="inlineStr">
        <is>
          <t>0                      PR 6019000O  9                  Z  52613       1995</t>
        </is>
      </c>
      <c r="F3075" t="inlineStr">
        <is>
          <t>Joyce, Bakhtin, and the literary tradition : toward a comparative cultural poetics / by M. Keith Booker.</t>
        </is>
      </c>
      <c r="H3075" t="inlineStr">
        <is>
          <t>No</t>
        </is>
      </c>
      <c r="I3075" t="inlineStr">
        <is>
          <t>1</t>
        </is>
      </c>
      <c r="J3075" t="inlineStr">
        <is>
          <t>No</t>
        </is>
      </c>
      <c r="K3075" t="inlineStr">
        <is>
          <t>No</t>
        </is>
      </c>
      <c r="L3075" t="inlineStr">
        <is>
          <t>0</t>
        </is>
      </c>
      <c r="M3075" t="inlineStr">
        <is>
          <t>Booker, M. Keith.</t>
        </is>
      </c>
      <c r="N3075" t="inlineStr">
        <is>
          <t>Ann Arbor : University of Michigan Press, c1995.</t>
        </is>
      </c>
      <c r="O3075" t="inlineStr">
        <is>
          <t>1995</t>
        </is>
      </c>
      <c r="Q3075" t="inlineStr">
        <is>
          <t>eng</t>
        </is>
      </c>
      <c r="R3075" t="inlineStr">
        <is>
          <t>miu</t>
        </is>
      </c>
      <c r="T3075" t="inlineStr">
        <is>
          <t xml:space="preserve">PR </t>
        </is>
      </c>
      <c r="U3075" t="n">
        <v>2</v>
      </c>
      <c r="V3075" t="n">
        <v>2</v>
      </c>
      <c r="W3075" t="inlineStr">
        <is>
          <t>2006-10-23</t>
        </is>
      </c>
      <c r="X3075" t="inlineStr">
        <is>
          <t>2006-10-23</t>
        </is>
      </c>
      <c r="Y3075" t="inlineStr">
        <is>
          <t>1996-10-11</t>
        </is>
      </c>
      <c r="Z3075" t="inlineStr">
        <is>
          <t>1996-10-11</t>
        </is>
      </c>
      <c r="AA3075" t="n">
        <v>393</v>
      </c>
      <c r="AB3075" t="n">
        <v>331</v>
      </c>
      <c r="AC3075" t="n">
        <v>334</v>
      </c>
      <c r="AD3075" t="n">
        <v>5</v>
      </c>
      <c r="AE3075" t="n">
        <v>5</v>
      </c>
      <c r="AF3075" t="n">
        <v>22</v>
      </c>
      <c r="AG3075" t="n">
        <v>22</v>
      </c>
      <c r="AH3075" t="n">
        <v>9</v>
      </c>
      <c r="AI3075" t="n">
        <v>9</v>
      </c>
      <c r="AJ3075" t="n">
        <v>5</v>
      </c>
      <c r="AK3075" t="n">
        <v>5</v>
      </c>
      <c r="AL3075" t="n">
        <v>10</v>
      </c>
      <c r="AM3075" t="n">
        <v>10</v>
      </c>
      <c r="AN3075" t="n">
        <v>4</v>
      </c>
      <c r="AO3075" t="n">
        <v>4</v>
      </c>
      <c r="AP3075" t="n">
        <v>0</v>
      </c>
      <c r="AQ3075" t="n">
        <v>0</v>
      </c>
      <c r="AR3075" t="inlineStr">
        <is>
          <t>No</t>
        </is>
      </c>
      <c r="AS3075" t="inlineStr">
        <is>
          <t>Yes</t>
        </is>
      </c>
      <c r="AT3075">
        <f>HYPERLINK("http://catalog.hathitrust.org/Record/003114747","HathiTrust Record")</f>
        <v/>
      </c>
      <c r="AU3075">
        <f>HYPERLINK("https://creighton-primo.hosted.exlibrisgroup.com/primo-explore/search?tab=default_tab&amp;search_scope=EVERYTHING&amp;vid=01CRU&amp;lang=en_US&amp;offset=0&amp;query=any,contains,991002547389702656","Catalog Record")</f>
        <v/>
      </c>
      <c r="AV3075">
        <f>HYPERLINK("http://www.worldcat.org/oclc/33101592","WorldCat Record")</f>
        <v/>
      </c>
      <c r="AW3075" t="inlineStr">
        <is>
          <t>551737:eng</t>
        </is>
      </c>
      <c r="AX3075" t="inlineStr">
        <is>
          <t>33101592</t>
        </is>
      </c>
      <c r="AY3075" t="inlineStr">
        <is>
          <t>991002547389702656</t>
        </is>
      </c>
      <c r="AZ3075" t="inlineStr">
        <is>
          <t>991002547389702656</t>
        </is>
      </c>
      <c r="BA3075" t="inlineStr">
        <is>
          <t>2272595150002656</t>
        </is>
      </c>
      <c r="BB3075" t="inlineStr">
        <is>
          <t>BOOK</t>
        </is>
      </c>
      <c r="BD3075" t="inlineStr">
        <is>
          <t>9780472106226</t>
        </is>
      </c>
      <c r="BE3075" t="inlineStr">
        <is>
          <t>32285002365475</t>
        </is>
      </c>
      <c r="BF3075" t="inlineStr">
        <is>
          <t>893498247</t>
        </is>
      </c>
    </row>
    <row r="3076">
      <c r="A3076" t="inlineStr">
        <is>
          <t>No</t>
        </is>
      </c>
      <c r="B3076" t="inlineStr">
        <is>
          <t>CURAL</t>
        </is>
      </c>
      <c r="C3076" t="inlineStr">
        <is>
          <t>SHELVES</t>
        </is>
      </c>
      <c r="D3076" t="inlineStr">
        <is>
          <t>PR6019.O9 Z52619 1982</t>
        </is>
      </c>
      <c r="E3076" t="inlineStr">
        <is>
          <t>0                      PR 6019000O  9                  Z  52619       1982</t>
        </is>
      </c>
      <c r="F3076" t="inlineStr">
        <is>
          <t>James Joyce's schooldays / Bruce Bradley ; foreword by Richard Ellmann.</t>
        </is>
      </c>
      <c r="H3076" t="inlineStr">
        <is>
          <t>No</t>
        </is>
      </c>
      <c r="I3076" t="inlineStr">
        <is>
          <t>1</t>
        </is>
      </c>
      <c r="J3076" t="inlineStr">
        <is>
          <t>No</t>
        </is>
      </c>
      <c r="K3076" t="inlineStr">
        <is>
          <t>No</t>
        </is>
      </c>
      <c r="L3076" t="inlineStr">
        <is>
          <t>0</t>
        </is>
      </c>
      <c r="M3076" t="inlineStr">
        <is>
          <t>Bradley, Bruce.</t>
        </is>
      </c>
      <c r="N3076" t="inlineStr">
        <is>
          <t>New York : St. Martin's Press, 1982.</t>
        </is>
      </c>
      <c r="O3076" t="inlineStr">
        <is>
          <t>1982</t>
        </is>
      </c>
      <c r="Q3076" t="inlineStr">
        <is>
          <t>eng</t>
        </is>
      </c>
      <c r="R3076" t="inlineStr">
        <is>
          <t>nyu</t>
        </is>
      </c>
      <c r="T3076" t="inlineStr">
        <is>
          <t xml:space="preserve">PR </t>
        </is>
      </c>
      <c r="U3076" t="n">
        <v>2</v>
      </c>
      <c r="V3076" t="n">
        <v>2</v>
      </c>
      <c r="W3076" t="inlineStr">
        <is>
          <t>2004-05-03</t>
        </is>
      </c>
      <c r="X3076" t="inlineStr">
        <is>
          <t>2004-05-03</t>
        </is>
      </c>
      <c r="Y3076" t="inlineStr">
        <is>
          <t>1992-07-08</t>
        </is>
      </c>
      <c r="Z3076" t="inlineStr">
        <is>
          <t>1992-07-08</t>
        </is>
      </c>
      <c r="AA3076" t="n">
        <v>394</v>
      </c>
      <c r="AB3076" t="n">
        <v>354</v>
      </c>
      <c r="AC3076" t="n">
        <v>394</v>
      </c>
      <c r="AD3076" t="n">
        <v>2</v>
      </c>
      <c r="AE3076" t="n">
        <v>3</v>
      </c>
      <c r="AF3076" t="n">
        <v>26</v>
      </c>
      <c r="AG3076" t="n">
        <v>28</v>
      </c>
      <c r="AH3076" t="n">
        <v>9</v>
      </c>
      <c r="AI3076" t="n">
        <v>9</v>
      </c>
      <c r="AJ3076" t="n">
        <v>8</v>
      </c>
      <c r="AK3076" t="n">
        <v>8</v>
      </c>
      <c r="AL3076" t="n">
        <v>15</v>
      </c>
      <c r="AM3076" t="n">
        <v>16</v>
      </c>
      <c r="AN3076" t="n">
        <v>1</v>
      </c>
      <c r="AO3076" t="n">
        <v>2</v>
      </c>
      <c r="AP3076" t="n">
        <v>0</v>
      </c>
      <c r="AQ3076" t="n">
        <v>0</v>
      </c>
      <c r="AR3076" t="inlineStr">
        <is>
          <t>No</t>
        </is>
      </c>
      <c r="AS3076" t="inlineStr">
        <is>
          <t>Yes</t>
        </is>
      </c>
      <c r="AT3076">
        <f>HYPERLINK("http://catalog.hathitrust.org/Record/009494193","HathiTrust Record")</f>
        <v/>
      </c>
      <c r="AU3076">
        <f>HYPERLINK("https://creighton-primo.hosted.exlibrisgroup.com/primo-explore/search?tab=default_tab&amp;search_scope=EVERYTHING&amp;vid=01CRU&amp;lang=en_US&amp;offset=0&amp;query=any,contains,991005207969702656","Catalog Record")</f>
        <v/>
      </c>
      <c r="AV3076">
        <f>HYPERLINK("http://www.worldcat.org/oclc/8132896","WorldCat Record")</f>
        <v/>
      </c>
      <c r="AW3076" t="inlineStr">
        <is>
          <t>31131532:eng</t>
        </is>
      </c>
      <c r="AX3076" t="inlineStr">
        <is>
          <t>8132896</t>
        </is>
      </c>
      <c r="AY3076" t="inlineStr">
        <is>
          <t>991005207969702656</t>
        </is>
      </c>
      <c r="AZ3076" t="inlineStr">
        <is>
          <t>991005207969702656</t>
        </is>
      </c>
      <c r="BA3076" t="inlineStr">
        <is>
          <t>2267924930002656</t>
        </is>
      </c>
      <c r="BB3076" t="inlineStr">
        <is>
          <t>BOOK</t>
        </is>
      </c>
      <c r="BD3076" t="inlineStr">
        <is>
          <t>9780312439781</t>
        </is>
      </c>
      <c r="BE3076" t="inlineStr">
        <is>
          <t>32285001150746</t>
        </is>
      </c>
      <c r="BF3076" t="inlineStr">
        <is>
          <t>893443586</t>
        </is>
      </c>
    </row>
    <row r="3077">
      <c r="A3077" t="inlineStr">
        <is>
          <t>No</t>
        </is>
      </c>
      <c r="B3077" t="inlineStr">
        <is>
          <t>CURAL</t>
        </is>
      </c>
      <c r="C3077" t="inlineStr">
        <is>
          <t>SHELVES</t>
        </is>
      </c>
      <c r="D3077" t="inlineStr">
        <is>
          <t>PR6019.O9 Z5262</t>
        </is>
      </c>
      <c r="E3077" t="inlineStr">
        <is>
          <t>0                      PR 6019000O  9                  Z  5262</t>
        </is>
      </c>
      <c r="F3077" t="inlineStr">
        <is>
          <t>A scrupulous meanness; a study of Joyce's early work.</t>
        </is>
      </c>
      <c r="H3077" t="inlineStr">
        <is>
          <t>No</t>
        </is>
      </c>
      <c r="I3077" t="inlineStr">
        <is>
          <t>1</t>
        </is>
      </c>
      <c r="J3077" t="inlineStr">
        <is>
          <t>No</t>
        </is>
      </c>
      <c r="K3077" t="inlineStr">
        <is>
          <t>No</t>
        </is>
      </c>
      <c r="L3077" t="inlineStr">
        <is>
          <t>0</t>
        </is>
      </c>
      <c r="M3077" t="inlineStr">
        <is>
          <t>Brandabur, Edward, 1930-</t>
        </is>
      </c>
      <c r="N3077" t="inlineStr">
        <is>
          <t>Urbana, University of Illinois Press [1971]</t>
        </is>
      </c>
      <c r="O3077" t="inlineStr">
        <is>
          <t>1971</t>
        </is>
      </c>
      <c r="Q3077" t="inlineStr">
        <is>
          <t>eng</t>
        </is>
      </c>
      <c r="R3077" t="inlineStr">
        <is>
          <t>ilu</t>
        </is>
      </c>
      <c r="T3077" t="inlineStr">
        <is>
          <t xml:space="preserve">PR </t>
        </is>
      </c>
      <c r="U3077" t="n">
        <v>1</v>
      </c>
      <c r="V3077" t="n">
        <v>1</v>
      </c>
      <c r="W3077" t="inlineStr">
        <is>
          <t>2002-04-09</t>
        </is>
      </c>
      <c r="X3077" t="inlineStr">
        <is>
          <t>2002-04-09</t>
        </is>
      </c>
      <c r="Y3077" t="inlineStr">
        <is>
          <t>1997-04-10</t>
        </is>
      </c>
      <c r="Z3077" t="inlineStr">
        <is>
          <t>1997-04-10</t>
        </is>
      </c>
      <c r="AA3077" t="n">
        <v>790</v>
      </c>
      <c r="AB3077" t="n">
        <v>661</v>
      </c>
      <c r="AC3077" t="n">
        <v>681</v>
      </c>
      <c r="AD3077" t="n">
        <v>7</v>
      </c>
      <c r="AE3077" t="n">
        <v>7</v>
      </c>
      <c r="AF3077" t="n">
        <v>40</v>
      </c>
      <c r="AG3077" t="n">
        <v>41</v>
      </c>
      <c r="AH3077" t="n">
        <v>14</v>
      </c>
      <c r="AI3077" t="n">
        <v>15</v>
      </c>
      <c r="AJ3077" t="n">
        <v>9</v>
      </c>
      <c r="AK3077" t="n">
        <v>9</v>
      </c>
      <c r="AL3077" t="n">
        <v>18</v>
      </c>
      <c r="AM3077" t="n">
        <v>19</v>
      </c>
      <c r="AN3077" t="n">
        <v>6</v>
      </c>
      <c r="AO3077" t="n">
        <v>6</v>
      </c>
      <c r="AP3077" t="n">
        <v>0</v>
      </c>
      <c r="AQ3077" t="n">
        <v>0</v>
      </c>
      <c r="AR3077" t="inlineStr">
        <is>
          <t>No</t>
        </is>
      </c>
      <c r="AS3077" t="inlineStr">
        <is>
          <t>Yes</t>
        </is>
      </c>
      <c r="AT3077">
        <f>HYPERLINK("http://catalog.hathitrust.org/Record/000483736","HathiTrust Record")</f>
        <v/>
      </c>
      <c r="AU3077">
        <f>HYPERLINK("https://creighton-primo.hosted.exlibrisgroup.com/primo-explore/search?tab=default_tab&amp;search_scope=EVERYTHING&amp;vid=01CRU&amp;lang=en_US&amp;offset=0&amp;query=any,contains,991000921099702656","Catalog Record")</f>
        <v/>
      </c>
      <c r="AV3077">
        <f>HYPERLINK("http://www.worldcat.org/oclc/161862","WorldCat Record")</f>
        <v/>
      </c>
      <c r="AW3077" t="inlineStr">
        <is>
          <t>1269832:eng</t>
        </is>
      </c>
      <c r="AX3077" t="inlineStr">
        <is>
          <t>161862</t>
        </is>
      </c>
      <c r="AY3077" t="inlineStr">
        <is>
          <t>991000921099702656</t>
        </is>
      </c>
      <c r="AZ3077" t="inlineStr">
        <is>
          <t>991000921099702656</t>
        </is>
      </c>
      <c r="BA3077" t="inlineStr">
        <is>
          <t>2269346360002656</t>
        </is>
      </c>
      <c r="BB3077" t="inlineStr">
        <is>
          <t>BOOK</t>
        </is>
      </c>
      <c r="BD3077" t="inlineStr">
        <is>
          <t>9780252001345</t>
        </is>
      </c>
      <c r="BE3077" t="inlineStr">
        <is>
          <t>32285002528247</t>
        </is>
      </c>
      <c r="BF3077" t="inlineStr">
        <is>
          <t>893502932</t>
        </is>
      </c>
    </row>
    <row r="3078">
      <c r="A3078" t="inlineStr">
        <is>
          <t>No</t>
        </is>
      </c>
      <c r="B3078" t="inlineStr">
        <is>
          <t>CURAL</t>
        </is>
      </c>
      <c r="C3078" t="inlineStr">
        <is>
          <t>SHELVES</t>
        </is>
      </c>
      <c r="D3078" t="inlineStr">
        <is>
          <t>PR6019.O9 Z526316</t>
        </is>
      </c>
      <c r="E3078" t="inlineStr">
        <is>
          <t>0                      PR 6019000O  9                  Z  526316</t>
        </is>
      </c>
      <c r="F3078" t="inlineStr">
        <is>
          <t>Joyce between Freud and Jung / by Sheldon R. Brivic.</t>
        </is>
      </c>
      <c r="H3078" t="inlineStr">
        <is>
          <t>No</t>
        </is>
      </c>
      <c r="I3078" t="inlineStr">
        <is>
          <t>1</t>
        </is>
      </c>
      <c r="J3078" t="inlineStr">
        <is>
          <t>No</t>
        </is>
      </c>
      <c r="K3078" t="inlineStr">
        <is>
          <t>No</t>
        </is>
      </c>
      <c r="L3078" t="inlineStr">
        <is>
          <t>0</t>
        </is>
      </c>
      <c r="M3078" t="inlineStr">
        <is>
          <t>Brivic, Sheldon, 1943-</t>
        </is>
      </c>
      <c r="N3078" t="inlineStr">
        <is>
          <t>Port Washington, N.Y. : Kennikat Press, 1980.</t>
        </is>
      </c>
      <c r="O3078" t="inlineStr">
        <is>
          <t>1979</t>
        </is>
      </c>
      <c r="Q3078" t="inlineStr">
        <is>
          <t>eng</t>
        </is>
      </c>
      <c r="R3078" t="inlineStr">
        <is>
          <t>nyu</t>
        </is>
      </c>
      <c r="S3078" t="inlineStr">
        <is>
          <t>Literary criticism series</t>
        </is>
      </c>
      <c r="T3078" t="inlineStr">
        <is>
          <t xml:space="preserve">PR </t>
        </is>
      </c>
      <c r="U3078" t="n">
        <v>4</v>
      </c>
      <c r="V3078" t="n">
        <v>4</v>
      </c>
      <c r="W3078" t="inlineStr">
        <is>
          <t>2002-04-12</t>
        </is>
      </c>
      <c r="X3078" t="inlineStr">
        <is>
          <t>2002-04-12</t>
        </is>
      </c>
      <c r="Y3078" t="inlineStr">
        <is>
          <t>1992-07-08</t>
        </is>
      </c>
      <c r="Z3078" t="inlineStr">
        <is>
          <t>1992-07-08</t>
        </is>
      </c>
      <c r="AA3078" t="n">
        <v>520</v>
      </c>
      <c r="AB3078" t="n">
        <v>433</v>
      </c>
      <c r="AC3078" t="n">
        <v>444</v>
      </c>
      <c r="AD3078" t="n">
        <v>5</v>
      </c>
      <c r="AE3078" t="n">
        <v>5</v>
      </c>
      <c r="AF3078" t="n">
        <v>25</v>
      </c>
      <c r="AG3078" t="n">
        <v>25</v>
      </c>
      <c r="AH3078" t="n">
        <v>8</v>
      </c>
      <c r="AI3078" t="n">
        <v>8</v>
      </c>
      <c r="AJ3078" t="n">
        <v>7</v>
      </c>
      <c r="AK3078" t="n">
        <v>7</v>
      </c>
      <c r="AL3078" t="n">
        <v>13</v>
      </c>
      <c r="AM3078" t="n">
        <v>13</v>
      </c>
      <c r="AN3078" t="n">
        <v>4</v>
      </c>
      <c r="AO3078" t="n">
        <v>4</v>
      </c>
      <c r="AP3078" t="n">
        <v>0</v>
      </c>
      <c r="AQ3078" t="n">
        <v>0</v>
      </c>
      <c r="AR3078" t="inlineStr">
        <is>
          <t>No</t>
        </is>
      </c>
      <c r="AS3078" t="inlineStr">
        <is>
          <t>Yes</t>
        </is>
      </c>
      <c r="AT3078">
        <f>HYPERLINK("http://catalog.hathitrust.org/Record/000693947","HathiTrust Record")</f>
        <v/>
      </c>
      <c r="AU3078">
        <f>HYPERLINK("https://creighton-primo.hosted.exlibrisgroup.com/primo-explore/search?tab=default_tab&amp;search_scope=EVERYTHING&amp;vid=01CRU&amp;lang=en_US&amp;offset=0&amp;query=any,contains,991004845429702656","Catalog Record")</f>
        <v/>
      </c>
      <c r="AV3078">
        <f>HYPERLINK("http://www.worldcat.org/oclc/5564051","WorldCat Record")</f>
        <v/>
      </c>
      <c r="AW3078" t="inlineStr">
        <is>
          <t>459113:eng</t>
        </is>
      </c>
      <c r="AX3078" t="inlineStr">
        <is>
          <t>5564051</t>
        </is>
      </c>
      <c r="AY3078" t="inlineStr">
        <is>
          <t>991004845429702656</t>
        </is>
      </c>
      <c r="AZ3078" t="inlineStr">
        <is>
          <t>991004845429702656</t>
        </is>
      </c>
      <c r="BA3078" t="inlineStr">
        <is>
          <t>2267865960002656</t>
        </is>
      </c>
      <c r="BB3078" t="inlineStr">
        <is>
          <t>BOOK</t>
        </is>
      </c>
      <c r="BD3078" t="inlineStr">
        <is>
          <t>9780804692496</t>
        </is>
      </c>
      <c r="BE3078" t="inlineStr">
        <is>
          <t>32285001150753</t>
        </is>
      </c>
      <c r="BF3078" t="inlineStr">
        <is>
          <t>893876642</t>
        </is>
      </c>
    </row>
    <row r="3079">
      <c r="A3079" t="inlineStr">
        <is>
          <t>No</t>
        </is>
      </c>
      <c r="B3079" t="inlineStr">
        <is>
          <t>CURAL</t>
        </is>
      </c>
      <c r="C3079" t="inlineStr">
        <is>
          <t>SHELVES</t>
        </is>
      </c>
      <c r="D3079" t="inlineStr">
        <is>
          <t>PR6019.O9 Z52634</t>
        </is>
      </c>
      <c r="E3079" t="inlineStr">
        <is>
          <t>0                      PR 6019000O  9                  Z  52634</t>
        </is>
      </c>
      <c r="F3079" t="inlineStr">
        <is>
          <t>James Joyce's early fiction : the biography of a form.</t>
        </is>
      </c>
      <c r="H3079" t="inlineStr">
        <is>
          <t>No</t>
        </is>
      </c>
      <c r="I3079" t="inlineStr">
        <is>
          <t>1</t>
        </is>
      </c>
      <c r="J3079" t="inlineStr">
        <is>
          <t>No</t>
        </is>
      </c>
      <c r="K3079" t="inlineStr">
        <is>
          <t>No</t>
        </is>
      </c>
      <c r="L3079" t="inlineStr">
        <is>
          <t>0</t>
        </is>
      </c>
      <c r="M3079" t="inlineStr">
        <is>
          <t>Brown, Homer Obed, 1933-</t>
        </is>
      </c>
      <c r="N3079" t="inlineStr">
        <is>
          <t>Cleveland : Press of Case Western Reserve University, 1972.</t>
        </is>
      </c>
      <c r="O3079" t="inlineStr">
        <is>
          <t>1972</t>
        </is>
      </c>
      <c r="Q3079" t="inlineStr">
        <is>
          <t>eng</t>
        </is>
      </c>
      <c r="R3079" t="inlineStr">
        <is>
          <t>ohu</t>
        </is>
      </c>
      <c r="T3079" t="inlineStr">
        <is>
          <t xml:space="preserve">PR </t>
        </is>
      </c>
      <c r="U3079" t="n">
        <v>5</v>
      </c>
      <c r="V3079" t="n">
        <v>5</v>
      </c>
      <c r="W3079" t="inlineStr">
        <is>
          <t>1999-04-18</t>
        </is>
      </c>
      <c r="X3079" t="inlineStr">
        <is>
          <t>1999-04-18</t>
        </is>
      </c>
      <c r="Y3079" t="inlineStr">
        <is>
          <t>1990-02-24</t>
        </is>
      </c>
      <c r="Z3079" t="inlineStr">
        <is>
          <t>1990-02-24</t>
        </is>
      </c>
      <c r="AA3079" t="n">
        <v>398</v>
      </c>
      <c r="AB3079" t="n">
        <v>319</v>
      </c>
      <c r="AC3079" t="n">
        <v>766</v>
      </c>
      <c r="AD3079" t="n">
        <v>2</v>
      </c>
      <c r="AE3079" t="n">
        <v>6</v>
      </c>
      <c r="AF3079" t="n">
        <v>17</v>
      </c>
      <c r="AG3079" t="n">
        <v>34</v>
      </c>
      <c r="AH3079" t="n">
        <v>7</v>
      </c>
      <c r="AI3079" t="n">
        <v>12</v>
      </c>
      <c r="AJ3079" t="n">
        <v>3</v>
      </c>
      <c r="AK3079" t="n">
        <v>9</v>
      </c>
      <c r="AL3079" t="n">
        <v>11</v>
      </c>
      <c r="AM3079" t="n">
        <v>18</v>
      </c>
      <c r="AN3079" t="n">
        <v>1</v>
      </c>
      <c r="AO3079" t="n">
        <v>5</v>
      </c>
      <c r="AP3079" t="n">
        <v>0</v>
      </c>
      <c r="AQ3079" t="n">
        <v>0</v>
      </c>
      <c r="AR3079" t="inlineStr">
        <is>
          <t>No</t>
        </is>
      </c>
      <c r="AS3079" t="inlineStr">
        <is>
          <t>No</t>
        </is>
      </c>
      <c r="AU3079">
        <f>HYPERLINK("https://creighton-primo.hosted.exlibrisgroup.com/primo-explore/search?tab=default_tab&amp;search_scope=EVERYTHING&amp;vid=01CRU&amp;lang=en_US&amp;offset=0&amp;query=any,contains,991005046449702656","Catalog Record")</f>
        <v/>
      </c>
      <c r="AV3079">
        <f>HYPERLINK("http://www.worldcat.org/oclc/6842821","WorldCat Record")</f>
        <v/>
      </c>
      <c r="AW3079" t="inlineStr">
        <is>
          <t>1585385:eng</t>
        </is>
      </c>
      <c r="AX3079" t="inlineStr">
        <is>
          <t>6842821</t>
        </is>
      </c>
      <c r="AY3079" t="inlineStr">
        <is>
          <t>991005046449702656</t>
        </is>
      </c>
      <c r="AZ3079" t="inlineStr">
        <is>
          <t>991005046449702656</t>
        </is>
      </c>
      <c r="BA3079" t="inlineStr">
        <is>
          <t>2269675440002656</t>
        </is>
      </c>
      <c r="BB3079" t="inlineStr">
        <is>
          <t>BOOK</t>
        </is>
      </c>
      <c r="BD3079" t="inlineStr">
        <is>
          <t>9780829502435</t>
        </is>
      </c>
      <c r="BE3079" t="inlineStr">
        <is>
          <t>32285000061472</t>
        </is>
      </c>
      <c r="BF3079" t="inlineStr">
        <is>
          <t>893889596</t>
        </is>
      </c>
    </row>
    <row r="3080">
      <c r="A3080" t="inlineStr">
        <is>
          <t>No</t>
        </is>
      </c>
      <c r="B3080" t="inlineStr">
        <is>
          <t>CURAL</t>
        </is>
      </c>
      <c r="C3080" t="inlineStr">
        <is>
          <t>SHELVES</t>
        </is>
      </c>
      <c r="D3080" t="inlineStr">
        <is>
          <t>PR6019.O9 Z52635 1985</t>
        </is>
      </c>
      <c r="E3080" t="inlineStr">
        <is>
          <t>0                      PR 6019000O  9                  Z  52635       1985</t>
        </is>
      </c>
      <c r="F3080" t="inlineStr">
        <is>
          <t>James Joyce and sexuality / Richard Brown.</t>
        </is>
      </c>
      <c r="H3080" t="inlineStr">
        <is>
          <t>No</t>
        </is>
      </c>
      <c r="I3080" t="inlineStr">
        <is>
          <t>1</t>
        </is>
      </c>
      <c r="J3080" t="inlineStr">
        <is>
          <t>No</t>
        </is>
      </c>
      <c r="K3080" t="inlineStr">
        <is>
          <t>No</t>
        </is>
      </c>
      <c r="L3080" t="inlineStr">
        <is>
          <t>0</t>
        </is>
      </c>
      <c r="M3080" t="inlineStr">
        <is>
          <t>Brown, Richard, 1954-</t>
        </is>
      </c>
      <c r="N3080" t="inlineStr">
        <is>
          <t>Cambridge [Cambridgeshire] ; New York : Cambridge University Press, 1985.</t>
        </is>
      </c>
      <c r="O3080" t="inlineStr">
        <is>
          <t>1985</t>
        </is>
      </c>
      <c r="Q3080" t="inlineStr">
        <is>
          <t>eng</t>
        </is>
      </c>
      <c r="R3080" t="inlineStr">
        <is>
          <t>enk</t>
        </is>
      </c>
      <c r="T3080" t="inlineStr">
        <is>
          <t xml:space="preserve">PR </t>
        </is>
      </c>
      <c r="U3080" t="n">
        <v>10</v>
      </c>
      <c r="V3080" t="n">
        <v>10</v>
      </c>
      <c r="W3080" t="inlineStr">
        <is>
          <t>2005-04-09</t>
        </is>
      </c>
      <c r="X3080" t="inlineStr">
        <is>
          <t>2005-04-09</t>
        </is>
      </c>
      <c r="Y3080" t="inlineStr">
        <is>
          <t>1992-05-11</t>
        </is>
      </c>
      <c r="Z3080" t="inlineStr">
        <is>
          <t>1992-05-11</t>
        </is>
      </c>
      <c r="AA3080" t="n">
        <v>608</v>
      </c>
      <c r="AB3080" t="n">
        <v>463</v>
      </c>
      <c r="AC3080" t="n">
        <v>500</v>
      </c>
      <c r="AD3080" t="n">
        <v>3</v>
      </c>
      <c r="AE3080" t="n">
        <v>3</v>
      </c>
      <c r="AF3080" t="n">
        <v>27</v>
      </c>
      <c r="AG3080" t="n">
        <v>29</v>
      </c>
      <c r="AH3080" t="n">
        <v>8</v>
      </c>
      <c r="AI3080" t="n">
        <v>9</v>
      </c>
      <c r="AJ3080" t="n">
        <v>8</v>
      </c>
      <c r="AK3080" t="n">
        <v>8</v>
      </c>
      <c r="AL3080" t="n">
        <v>16</v>
      </c>
      <c r="AM3080" t="n">
        <v>17</v>
      </c>
      <c r="AN3080" t="n">
        <v>2</v>
      </c>
      <c r="AO3080" t="n">
        <v>2</v>
      </c>
      <c r="AP3080" t="n">
        <v>0</v>
      </c>
      <c r="AQ3080" t="n">
        <v>0</v>
      </c>
      <c r="AR3080" t="inlineStr">
        <is>
          <t>No</t>
        </is>
      </c>
      <c r="AS3080" t="inlineStr">
        <is>
          <t>No</t>
        </is>
      </c>
      <c r="AU3080">
        <f>HYPERLINK("https://creighton-primo.hosted.exlibrisgroup.com/primo-explore/search?tab=default_tab&amp;search_scope=EVERYTHING&amp;vid=01CRU&amp;lang=en_US&amp;offset=0&amp;query=any,contains,991000462829702656","Catalog Record")</f>
        <v/>
      </c>
      <c r="AV3080">
        <f>HYPERLINK("http://www.worldcat.org/oclc/10948692","WorldCat Record")</f>
        <v/>
      </c>
      <c r="AW3080" t="inlineStr">
        <is>
          <t>116134302:eng</t>
        </is>
      </c>
      <c r="AX3080" t="inlineStr">
        <is>
          <t>10948692</t>
        </is>
      </c>
      <c r="AY3080" t="inlineStr">
        <is>
          <t>991000462829702656</t>
        </is>
      </c>
      <c r="AZ3080" t="inlineStr">
        <is>
          <t>991000462829702656</t>
        </is>
      </c>
      <c r="BA3080" t="inlineStr">
        <is>
          <t>2272775560002656</t>
        </is>
      </c>
      <c r="BB3080" t="inlineStr">
        <is>
          <t>BOOK</t>
        </is>
      </c>
      <c r="BD3080" t="inlineStr">
        <is>
          <t>9780521248112</t>
        </is>
      </c>
      <c r="BE3080" t="inlineStr">
        <is>
          <t>32285001107902</t>
        </is>
      </c>
      <c r="BF3080" t="inlineStr">
        <is>
          <t>893339561</t>
        </is>
      </c>
    </row>
    <row r="3081">
      <c r="A3081" t="inlineStr">
        <is>
          <t>No</t>
        </is>
      </c>
      <c r="B3081" t="inlineStr">
        <is>
          <t>CURAL</t>
        </is>
      </c>
      <c r="C3081" t="inlineStr">
        <is>
          <t>SHELVES</t>
        </is>
      </c>
      <c r="D3081" t="inlineStr">
        <is>
          <t>PR6019.O9 Z526613 1972</t>
        </is>
      </c>
      <c r="E3081" t="inlineStr">
        <is>
          <t>0                      PR 6019000O  9                  Z  526613      1972</t>
        </is>
      </c>
      <c r="F3081" t="inlineStr">
        <is>
          <t>The exile of James Joyce / translated from the French by Sally A. J. Purcell.</t>
        </is>
      </c>
      <c r="H3081" t="inlineStr">
        <is>
          <t>No</t>
        </is>
      </c>
      <c r="I3081" t="inlineStr">
        <is>
          <t>1</t>
        </is>
      </c>
      <c r="J3081" t="inlineStr">
        <is>
          <t>No</t>
        </is>
      </c>
      <c r="K3081" t="inlineStr">
        <is>
          <t>No</t>
        </is>
      </c>
      <c r="L3081" t="inlineStr">
        <is>
          <t>0</t>
        </is>
      </c>
      <c r="M3081" t="inlineStr">
        <is>
          <t>Cixous, Hélène, 1937-</t>
        </is>
      </c>
      <c r="N3081" t="inlineStr">
        <is>
          <t>New York : D. Lewis, 1972.</t>
        </is>
      </c>
      <c r="O3081" t="inlineStr">
        <is>
          <t>1972</t>
        </is>
      </c>
      <c r="Q3081" t="inlineStr">
        <is>
          <t>eng</t>
        </is>
      </c>
      <c r="R3081" t="inlineStr">
        <is>
          <t>nyu</t>
        </is>
      </c>
      <c r="T3081" t="inlineStr">
        <is>
          <t xml:space="preserve">PR </t>
        </is>
      </c>
      <c r="U3081" t="n">
        <v>4</v>
      </c>
      <c r="V3081" t="n">
        <v>4</v>
      </c>
      <c r="W3081" t="inlineStr">
        <is>
          <t>2006-11-02</t>
        </is>
      </c>
      <c r="X3081" t="inlineStr">
        <is>
          <t>2006-11-02</t>
        </is>
      </c>
      <c r="Y3081" t="inlineStr">
        <is>
          <t>1990-03-22</t>
        </is>
      </c>
      <c r="Z3081" t="inlineStr">
        <is>
          <t>1990-03-22</t>
        </is>
      </c>
      <c r="AA3081" t="n">
        <v>877</v>
      </c>
      <c r="AB3081" t="n">
        <v>781</v>
      </c>
      <c r="AC3081" t="n">
        <v>819</v>
      </c>
      <c r="AD3081" t="n">
        <v>5</v>
      </c>
      <c r="AE3081" t="n">
        <v>5</v>
      </c>
      <c r="AF3081" t="n">
        <v>35</v>
      </c>
      <c r="AG3081" t="n">
        <v>39</v>
      </c>
      <c r="AH3081" t="n">
        <v>13</v>
      </c>
      <c r="AI3081" t="n">
        <v>16</v>
      </c>
      <c r="AJ3081" t="n">
        <v>10</v>
      </c>
      <c r="AK3081" t="n">
        <v>10</v>
      </c>
      <c r="AL3081" t="n">
        <v>20</v>
      </c>
      <c r="AM3081" t="n">
        <v>21</v>
      </c>
      <c r="AN3081" t="n">
        <v>4</v>
      </c>
      <c r="AO3081" t="n">
        <v>4</v>
      </c>
      <c r="AP3081" t="n">
        <v>0</v>
      </c>
      <c r="AQ3081" t="n">
        <v>0</v>
      </c>
      <c r="AR3081" t="inlineStr">
        <is>
          <t>No</t>
        </is>
      </c>
      <c r="AS3081" t="inlineStr">
        <is>
          <t>Yes</t>
        </is>
      </c>
      <c r="AT3081">
        <f>HYPERLINK("http://catalog.hathitrust.org/Record/000483764","HathiTrust Record")</f>
        <v/>
      </c>
      <c r="AU3081">
        <f>HYPERLINK("https://creighton-primo.hosted.exlibrisgroup.com/primo-explore/search?tab=default_tab&amp;search_scope=EVERYTHING&amp;vid=01CRU&amp;lang=en_US&amp;offset=0&amp;query=any,contains,991002577949702656","Catalog Record")</f>
        <v/>
      </c>
      <c r="AV3081">
        <f>HYPERLINK("http://www.worldcat.org/oclc/374930","WorldCat Record")</f>
        <v/>
      </c>
      <c r="AW3081" t="inlineStr">
        <is>
          <t>307679484:eng</t>
        </is>
      </c>
      <c r="AX3081" t="inlineStr">
        <is>
          <t>374930</t>
        </is>
      </c>
      <c r="AY3081" t="inlineStr">
        <is>
          <t>991002577949702656</t>
        </is>
      </c>
      <c r="AZ3081" t="inlineStr">
        <is>
          <t>991002577949702656</t>
        </is>
      </c>
      <c r="BA3081" t="inlineStr">
        <is>
          <t>2262238260002656</t>
        </is>
      </c>
      <c r="BB3081" t="inlineStr">
        <is>
          <t>BOOK</t>
        </is>
      </c>
      <c r="BD3081" t="inlineStr">
        <is>
          <t>9780912012124</t>
        </is>
      </c>
      <c r="BE3081" t="inlineStr">
        <is>
          <t>32285000092071</t>
        </is>
      </c>
      <c r="BF3081" t="inlineStr">
        <is>
          <t>893603755</t>
        </is>
      </c>
    </row>
    <row r="3082">
      <c r="A3082" t="inlineStr">
        <is>
          <t>No</t>
        </is>
      </c>
      <c r="B3082" t="inlineStr">
        <is>
          <t>CURAL</t>
        </is>
      </c>
      <c r="C3082" t="inlineStr">
        <is>
          <t>SHELVES</t>
        </is>
      </c>
      <c r="D3082" t="inlineStr">
        <is>
          <t>PR6019.O9 Z52717 1984</t>
        </is>
      </c>
      <c r="E3082" t="inlineStr">
        <is>
          <t>0                      PR 6019000O  9                  Z  52717       1984</t>
        </is>
      </c>
      <c r="F3082" t="inlineStr">
        <is>
          <t>A Companion to Joyce studies / edited by Zack Bowen and James F. Carens.</t>
        </is>
      </c>
      <c r="H3082" t="inlineStr">
        <is>
          <t>No</t>
        </is>
      </c>
      <c r="I3082" t="inlineStr">
        <is>
          <t>1</t>
        </is>
      </c>
      <c r="J3082" t="inlineStr">
        <is>
          <t>No</t>
        </is>
      </c>
      <c r="K3082" t="inlineStr">
        <is>
          <t>No</t>
        </is>
      </c>
      <c r="L3082" t="inlineStr">
        <is>
          <t>0</t>
        </is>
      </c>
      <c r="N3082" t="inlineStr">
        <is>
          <t>Westport, Conn. : Greenwood Press, 1984.</t>
        </is>
      </c>
      <c r="O3082" t="inlineStr">
        <is>
          <t>1984</t>
        </is>
      </c>
      <c r="Q3082" t="inlineStr">
        <is>
          <t>eng</t>
        </is>
      </c>
      <c r="R3082" t="inlineStr">
        <is>
          <t>ctu</t>
        </is>
      </c>
      <c r="T3082" t="inlineStr">
        <is>
          <t xml:space="preserve">PR </t>
        </is>
      </c>
      <c r="U3082" t="n">
        <v>8</v>
      </c>
      <c r="V3082" t="n">
        <v>8</v>
      </c>
      <c r="W3082" t="inlineStr">
        <is>
          <t>2003-04-28</t>
        </is>
      </c>
      <c r="X3082" t="inlineStr">
        <is>
          <t>2003-04-28</t>
        </is>
      </c>
      <c r="Y3082" t="inlineStr">
        <is>
          <t>1990-03-07</t>
        </is>
      </c>
      <c r="Z3082" t="inlineStr">
        <is>
          <t>1990-03-07</t>
        </is>
      </c>
      <c r="AA3082" t="n">
        <v>630</v>
      </c>
      <c r="AB3082" t="n">
        <v>509</v>
      </c>
      <c r="AC3082" t="n">
        <v>516</v>
      </c>
      <c r="AD3082" t="n">
        <v>3</v>
      </c>
      <c r="AE3082" t="n">
        <v>3</v>
      </c>
      <c r="AF3082" t="n">
        <v>35</v>
      </c>
      <c r="AG3082" t="n">
        <v>35</v>
      </c>
      <c r="AH3082" t="n">
        <v>15</v>
      </c>
      <c r="AI3082" t="n">
        <v>15</v>
      </c>
      <c r="AJ3082" t="n">
        <v>10</v>
      </c>
      <c r="AK3082" t="n">
        <v>10</v>
      </c>
      <c r="AL3082" t="n">
        <v>19</v>
      </c>
      <c r="AM3082" t="n">
        <v>19</v>
      </c>
      <c r="AN3082" t="n">
        <v>2</v>
      </c>
      <c r="AO3082" t="n">
        <v>2</v>
      </c>
      <c r="AP3082" t="n">
        <v>0</v>
      </c>
      <c r="AQ3082" t="n">
        <v>0</v>
      </c>
      <c r="AR3082" t="inlineStr">
        <is>
          <t>No</t>
        </is>
      </c>
      <c r="AS3082" t="inlineStr">
        <is>
          <t>Yes</t>
        </is>
      </c>
      <c r="AT3082">
        <f>HYPERLINK("http://catalog.hathitrust.org/Record/000449503","HathiTrust Record")</f>
        <v/>
      </c>
      <c r="AU3082">
        <f>HYPERLINK("https://creighton-primo.hosted.exlibrisgroup.com/primo-explore/search?tab=default_tab&amp;search_scope=EVERYTHING&amp;vid=01CRU&amp;lang=en_US&amp;offset=0&amp;query=any,contains,991000152679702656","Catalog Record")</f>
        <v/>
      </c>
      <c r="AV3082">
        <f>HYPERLINK("http://www.worldcat.org/oclc/9217766","WorldCat Record")</f>
        <v/>
      </c>
      <c r="AW3082" t="inlineStr">
        <is>
          <t>351260118:eng</t>
        </is>
      </c>
      <c r="AX3082" t="inlineStr">
        <is>
          <t>9217766</t>
        </is>
      </c>
      <c r="AY3082" t="inlineStr">
        <is>
          <t>991000152679702656</t>
        </is>
      </c>
      <c r="AZ3082" t="inlineStr">
        <is>
          <t>991000152679702656</t>
        </is>
      </c>
      <c r="BA3082" t="inlineStr">
        <is>
          <t>2267620160002656</t>
        </is>
      </c>
      <c r="BB3082" t="inlineStr">
        <is>
          <t>BOOK</t>
        </is>
      </c>
      <c r="BD3082" t="inlineStr">
        <is>
          <t>9780313228322</t>
        </is>
      </c>
      <c r="BE3082" t="inlineStr">
        <is>
          <t>32285000054162</t>
        </is>
      </c>
      <c r="BF3082" t="inlineStr">
        <is>
          <t>893796477</t>
        </is>
      </c>
    </row>
    <row r="3083">
      <c r="A3083" t="inlineStr">
        <is>
          <t>No</t>
        </is>
      </c>
      <c r="B3083" t="inlineStr">
        <is>
          <t>CURAL</t>
        </is>
      </c>
      <c r="C3083" t="inlineStr">
        <is>
          <t>SHELVES</t>
        </is>
      </c>
      <c r="D3083" t="inlineStr">
        <is>
          <t>PR6019.O9 Z52742 1992</t>
        </is>
      </c>
      <c r="E3083" t="inlineStr">
        <is>
          <t>0                      PR 6019000O  9                  Z  52742       1992</t>
        </is>
      </c>
      <c r="F3083" t="inlineStr">
        <is>
          <t>James Joyce : the years of growth 1882-1915, a biography / by Peter Costello.</t>
        </is>
      </c>
      <c r="H3083" t="inlineStr">
        <is>
          <t>No</t>
        </is>
      </c>
      <c r="I3083" t="inlineStr">
        <is>
          <t>1</t>
        </is>
      </c>
      <c r="J3083" t="inlineStr">
        <is>
          <t>No</t>
        </is>
      </c>
      <c r="K3083" t="inlineStr">
        <is>
          <t>Yes</t>
        </is>
      </c>
      <c r="L3083" t="inlineStr">
        <is>
          <t>0</t>
        </is>
      </c>
      <c r="M3083" t="inlineStr">
        <is>
          <t>Costello, Peter.</t>
        </is>
      </c>
      <c r="N3083" t="inlineStr">
        <is>
          <t>London : Kyle Cathie, 1992</t>
        </is>
      </c>
      <c r="O3083" t="inlineStr">
        <is>
          <t>1992</t>
        </is>
      </c>
      <c r="Q3083" t="inlineStr">
        <is>
          <t>eng</t>
        </is>
      </c>
      <c r="R3083" t="inlineStr">
        <is>
          <t>enk</t>
        </is>
      </c>
      <c r="T3083" t="inlineStr">
        <is>
          <t xml:space="preserve">PR </t>
        </is>
      </c>
      <c r="U3083" t="n">
        <v>8</v>
      </c>
      <c r="V3083" t="n">
        <v>8</v>
      </c>
      <c r="W3083" t="inlineStr">
        <is>
          <t>2004-05-03</t>
        </is>
      </c>
      <c r="X3083" t="inlineStr">
        <is>
          <t>2004-05-03</t>
        </is>
      </c>
      <c r="Y3083" t="inlineStr">
        <is>
          <t>1993-03-04</t>
        </is>
      </c>
      <c r="Z3083" t="inlineStr">
        <is>
          <t>1993-03-04</t>
        </is>
      </c>
      <c r="AA3083" t="n">
        <v>172</v>
      </c>
      <c r="AB3083" t="n">
        <v>75</v>
      </c>
      <c r="AC3083" t="n">
        <v>560</v>
      </c>
      <c r="AD3083" t="n">
        <v>1</v>
      </c>
      <c r="AE3083" t="n">
        <v>5</v>
      </c>
      <c r="AF3083" t="n">
        <v>3</v>
      </c>
      <c r="AG3083" t="n">
        <v>28</v>
      </c>
      <c r="AH3083" t="n">
        <v>1</v>
      </c>
      <c r="AI3083" t="n">
        <v>11</v>
      </c>
      <c r="AJ3083" t="n">
        <v>1</v>
      </c>
      <c r="AK3083" t="n">
        <v>7</v>
      </c>
      <c r="AL3083" t="n">
        <v>2</v>
      </c>
      <c r="AM3083" t="n">
        <v>17</v>
      </c>
      <c r="AN3083" t="n">
        <v>0</v>
      </c>
      <c r="AO3083" t="n">
        <v>3</v>
      </c>
      <c r="AP3083" t="n">
        <v>0</v>
      </c>
      <c r="AQ3083" t="n">
        <v>0</v>
      </c>
      <c r="AR3083" t="inlineStr">
        <is>
          <t>No</t>
        </is>
      </c>
      <c r="AS3083" t="inlineStr">
        <is>
          <t>Yes</t>
        </is>
      </c>
      <c r="AT3083">
        <f>HYPERLINK("http://catalog.hathitrust.org/Record/002568945","HathiTrust Record")</f>
        <v/>
      </c>
      <c r="AU3083">
        <f>HYPERLINK("https://creighton-primo.hosted.exlibrisgroup.com/primo-explore/search?tab=default_tab&amp;search_scope=EVERYTHING&amp;vid=01CRU&amp;lang=en_US&amp;offset=0&amp;query=any,contains,991002040189702656","Catalog Record")</f>
        <v/>
      </c>
      <c r="AV3083">
        <f>HYPERLINK("http://www.worldcat.org/oclc/27897388","WorldCat Record")</f>
        <v/>
      </c>
      <c r="AW3083" t="inlineStr">
        <is>
          <t>30816038:eng</t>
        </is>
      </c>
      <c r="AX3083" t="inlineStr">
        <is>
          <t>27897388</t>
        </is>
      </c>
      <c r="AY3083" t="inlineStr">
        <is>
          <t>991002040189702656</t>
        </is>
      </c>
      <c r="AZ3083" t="inlineStr">
        <is>
          <t>991002040189702656</t>
        </is>
      </c>
      <c r="BA3083" t="inlineStr">
        <is>
          <t>2260308150002656</t>
        </is>
      </c>
      <c r="BB3083" t="inlineStr">
        <is>
          <t>BOOK</t>
        </is>
      </c>
      <c r="BD3083" t="inlineStr">
        <is>
          <t>9781856260534</t>
        </is>
      </c>
      <c r="BE3083" t="inlineStr">
        <is>
          <t>32285001497055</t>
        </is>
      </c>
      <c r="BF3083" t="inlineStr">
        <is>
          <t>893503946</t>
        </is>
      </c>
    </row>
    <row r="3084">
      <c r="A3084" t="inlineStr">
        <is>
          <t>No</t>
        </is>
      </c>
      <c r="B3084" t="inlineStr">
        <is>
          <t>CURAL</t>
        </is>
      </c>
      <c r="C3084" t="inlineStr">
        <is>
          <t>SHELVES</t>
        </is>
      </c>
      <c r="D3084" t="inlineStr">
        <is>
          <t>PR6019.O9 Z5276 1985</t>
        </is>
      </c>
      <c r="E3084" t="inlineStr">
        <is>
          <t>0                      PR 6019000O  9                  Z  5276        1985</t>
        </is>
      </c>
      <c r="F3084" t="inlineStr">
        <is>
          <t>Critical essays on James Joyce / [edited by] Bernard Benstock.</t>
        </is>
      </c>
      <c r="H3084" t="inlineStr">
        <is>
          <t>No</t>
        </is>
      </c>
      <c r="I3084" t="inlineStr">
        <is>
          <t>1</t>
        </is>
      </c>
      <c r="J3084" t="inlineStr">
        <is>
          <t>No</t>
        </is>
      </c>
      <c r="K3084" t="inlineStr">
        <is>
          <t>No</t>
        </is>
      </c>
      <c r="L3084" t="inlineStr">
        <is>
          <t>0</t>
        </is>
      </c>
      <c r="N3084" t="inlineStr">
        <is>
          <t>Boston, Mass. : G.K. Hall, c1985.</t>
        </is>
      </c>
      <c r="O3084" t="inlineStr">
        <is>
          <t>1985</t>
        </is>
      </c>
      <c r="Q3084" t="inlineStr">
        <is>
          <t>eng</t>
        </is>
      </c>
      <c r="R3084" t="inlineStr">
        <is>
          <t>mau</t>
        </is>
      </c>
      <c r="S3084" t="inlineStr">
        <is>
          <t>Critical essays on modern British literature</t>
        </is>
      </c>
      <c r="T3084" t="inlineStr">
        <is>
          <t xml:space="preserve">PR </t>
        </is>
      </c>
      <c r="U3084" t="n">
        <v>26</v>
      </c>
      <c r="V3084" t="n">
        <v>26</v>
      </c>
      <c r="W3084" t="inlineStr">
        <is>
          <t>2007-02-07</t>
        </is>
      </c>
      <c r="X3084" t="inlineStr">
        <is>
          <t>2007-02-07</t>
        </is>
      </c>
      <c r="Y3084" t="inlineStr">
        <is>
          <t>1992-01-03</t>
        </is>
      </c>
      <c r="Z3084" t="inlineStr">
        <is>
          <t>1992-01-03</t>
        </is>
      </c>
      <c r="AA3084" t="n">
        <v>752</v>
      </c>
      <c r="AB3084" t="n">
        <v>641</v>
      </c>
      <c r="AC3084" t="n">
        <v>647</v>
      </c>
      <c r="AD3084" t="n">
        <v>7</v>
      </c>
      <c r="AE3084" t="n">
        <v>7</v>
      </c>
      <c r="AF3084" t="n">
        <v>27</v>
      </c>
      <c r="AG3084" t="n">
        <v>27</v>
      </c>
      <c r="AH3084" t="n">
        <v>8</v>
      </c>
      <c r="AI3084" t="n">
        <v>8</v>
      </c>
      <c r="AJ3084" t="n">
        <v>6</v>
      </c>
      <c r="AK3084" t="n">
        <v>6</v>
      </c>
      <c r="AL3084" t="n">
        <v>13</v>
      </c>
      <c r="AM3084" t="n">
        <v>13</v>
      </c>
      <c r="AN3084" t="n">
        <v>5</v>
      </c>
      <c r="AO3084" t="n">
        <v>5</v>
      </c>
      <c r="AP3084" t="n">
        <v>0</v>
      </c>
      <c r="AQ3084" t="n">
        <v>0</v>
      </c>
      <c r="AR3084" t="inlineStr">
        <is>
          <t>No</t>
        </is>
      </c>
      <c r="AS3084" t="inlineStr">
        <is>
          <t>Yes</t>
        </is>
      </c>
      <c r="AT3084">
        <f>HYPERLINK("http://catalog.hathitrust.org/Record/000375511","HathiTrust Record")</f>
        <v/>
      </c>
      <c r="AU3084">
        <f>HYPERLINK("https://creighton-primo.hosted.exlibrisgroup.com/primo-explore/search?tab=default_tab&amp;search_scope=EVERYTHING&amp;vid=01CRU&amp;lang=en_US&amp;offset=0&amp;query=any,contains,991000471229702656","Catalog Record")</f>
        <v/>
      </c>
      <c r="AV3084">
        <f>HYPERLINK("http://www.worldcat.org/oclc/10997284","WorldCat Record")</f>
        <v/>
      </c>
      <c r="AW3084" t="inlineStr">
        <is>
          <t>54655994:eng</t>
        </is>
      </c>
      <c r="AX3084" t="inlineStr">
        <is>
          <t>10997284</t>
        </is>
      </c>
      <c r="AY3084" t="inlineStr">
        <is>
          <t>991000471229702656</t>
        </is>
      </c>
      <c r="AZ3084" t="inlineStr">
        <is>
          <t>991000471229702656</t>
        </is>
      </c>
      <c r="BA3084" t="inlineStr">
        <is>
          <t>2258312770002656</t>
        </is>
      </c>
      <c r="BB3084" t="inlineStr">
        <is>
          <t>BOOK</t>
        </is>
      </c>
      <c r="BD3084" t="inlineStr">
        <is>
          <t>9780816187515</t>
        </is>
      </c>
      <c r="BE3084" t="inlineStr">
        <is>
          <t>32285000882596</t>
        </is>
      </c>
      <c r="BF3084" t="inlineStr">
        <is>
          <t>893314958</t>
        </is>
      </c>
    </row>
    <row r="3085">
      <c r="A3085" t="inlineStr">
        <is>
          <t>No</t>
        </is>
      </c>
      <c r="B3085" t="inlineStr">
        <is>
          <t>CURAL</t>
        </is>
      </c>
      <c r="C3085" t="inlineStr">
        <is>
          <t>SHELVES</t>
        </is>
      </c>
      <c r="D3085" t="inlineStr">
        <is>
          <t>PR6019.O9 Z5286</t>
        </is>
      </c>
      <c r="E3085" t="inlineStr">
        <is>
          <t>0                      PR 6019000O  9                  Z  5286</t>
        </is>
      </c>
      <c r="F3085" t="inlineStr">
        <is>
          <t>James Joyce : a portrait of the artist / Stan Gébler Davies.</t>
        </is>
      </c>
      <c r="H3085" t="inlineStr">
        <is>
          <t>No</t>
        </is>
      </c>
      <c r="I3085" t="inlineStr">
        <is>
          <t>1</t>
        </is>
      </c>
      <c r="J3085" t="inlineStr">
        <is>
          <t>No</t>
        </is>
      </c>
      <c r="K3085" t="inlineStr">
        <is>
          <t>No</t>
        </is>
      </c>
      <c r="L3085" t="inlineStr">
        <is>
          <t>0</t>
        </is>
      </c>
      <c r="M3085" t="inlineStr">
        <is>
          <t>Davies, Stan Gébler.</t>
        </is>
      </c>
      <c r="N3085" t="inlineStr">
        <is>
          <t>New York : Stein and Day, 1975.</t>
        </is>
      </c>
      <c r="O3085" t="inlineStr">
        <is>
          <t>1975</t>
        </is>
      </c>
      <c r="Q3085" t="inlineStr">
        <is>
          <t>eng</t>
        </is>
      </c>
      <c r="R3085" t="inlineStr">
        <is>
          <t>nyu</t>
        </is>
      </c>
      <c r="T3085" t="inlineStr">
        <is>
          <t xml:space="preserve">PR </t>
        </is>
      </c>
      <c r="U3085" t="n">
        <v>2</v>
      </c>
      <c r="V3085" t="n">
        <v>2</v>
      </c>
      <c r="W3085" t="inlineStr">
        <is>
          <t>2002-10-02</t>
        </is>
      </c>
      <c r="X3085" t="inlineStr">
        <is>
          <t>2002-10-02</t>
        </is>
      </c>
      <c r="Y3085" t="inlineStr">
        <is>
          <t>1992-07-09</t>
        </is>
      </c>
      <c r="Z3085" t="inlineStr">
        <is>
          <t>1992-07-09</t>
        </is>
      </c>
      <c r="AA3085" t="n">
        <v>623</v>
      </c>
      <c r="AB3085" t="n">
        <v>571</v>
      </c>
      <c r="AC3085" t="n">
        <v>686</v>
      </c>
      <c r="AD3085" t="n">
        <v>4</v>
      </c>
      <c r="AE3085" t="n">
        <v>5</v>
      </c>
      <c r="AF3085" t="n">
        <v>25</v>
      </c>
      <c r="AG3085" t="n">
        <v>34</v>
      </c>
      <c r="AH3085" t="n">
        <v>8</v>
      </c>
      <c r="AI3085" t="n">
        <v>12</v>
      </c>
      <c r="AJ3085" t="n">
        <v>6</v>
      </c>
      <c r="AK3085" t="n">
        <v>6</v>
      </c>
      <c r="AL3085" t="n">
        <v>14</v>
      </c>
      <c r="AM3085" t="n">
        <v>19</v>
      </c>
      <c r="AN3085" t="n">
        <v>3</v>
      </c>
      <c r="AO3085" t="n">
        <v>4</v>
      </c>
      <c r="AP3085" t="n">
        <v>0</v>
      </c>
      <c r="AQ3085" t="n">
        <v>0</v>
      </c>
      <c r="AR3085" t="inlineStr">
        <is>
          <t>No</t>
        </is>
      </c>
      <c r="AS3085" t="inlineStr">
        <is>
          <t>Yes</t>
        </is>
      </c>
      <c r="AT3085">
        <f>HYPERLINK("http://catalog.hathitrust.org/Record/000036430","HathiTrust Record")</f>
        <v/>
      </c>
      <c r="AU3085">
        <f>HYPERLINK("https://creighton-primo.hosted.exlibrisgroup.com/primo-explore/search?tab=default_tab&amp;search_scope=EVERYTHING&amp;vid=01CRU&amp;lang=en_US&amp;offset=0&amp;query=any,contains,991003693889702656","Catalog Record")</f>
        <v/>
      </c>
      <c r="AV3085">
        <f>HYPERLINK("http://www.worldcat.org/oclc/1324467","WorldCat Record")</f>
        <v/>
      </c>
      <c r="AW3085" t="inlineStr">
        <is>
          <t>473300:eng</t>
        </is>
      </c>
      <c r="AX3085" t="inlineStr">
        <is>
          <t>1324467</t>
        </is>
      </c>
      <c r="AY3085" t="inlineStr">
        <is>
          <t>991003693889702656</t>
        </is>
      </c>
      <c r="AZ3085" t="inlineStr">
        <is>
          <t>991003693889702656</t>
        </is>
      </c>
      <c r="BA3085" t="inlineStr">
        <is>
          <t>2259679750002656</t>
        </is>
      </c>
      <c r="BB3085" t="inlineStr">
        <is>
          <t>BOOK</t>
        </is>
      </c>
      <c r="BD3085" t="inlineStr">
        <is>
          <t>9780812818284</t>
        </is>
      </c>
      <c r="BE3085" t="inlineStr">
        <is>
          <t>32285001150795</t>
        </is>
      </c>
      <c r="BF3085" t="inlineStr">
        <is>
          <t>893705519</t>
        </is>
      </c>
    </row>
    <row r="3086">
      <c r="A3086" t="inlineStr">
        <is>
          <t>No</t>
        </is>
      </c>
      <c r="B3086" t="inlineStr">
        <is>
          <t>CURAL</t>
        </is>
      </c>
      <c r="C3086" t="inlineStr">
        <is>
          <t>SHELVES</t>
        </is>
      </c>
      <c r="D3086" t="inlineStr">
        <is>
          <t>PR6019.O9 Z529</t>
        </is>
      </c>
      <c r="E3086" t="inlineStr">
        <is>
          <t>0                      PR 6019000O  9                  Z  529</t>
        </is>
      </c>
      <c r="F3086" t="inlineStr">
        <is>
          <t>James Joyce, the critical heritage / edited by Robert H. Deming.</t>
        </is>
      </c>
      <c r="H3086" t="inlineStr">
        <is>
          <t>Yes</t>
        </is>
      </c>
      <c r="I3086" t="inlineStr">
        <is>
          <t>1</t>
        </is>
      </c>
      <c r="J3086" t="inlineStr">
        <is>
          <t>Yes</t>
        </is>
      </c>
      <c r="K3086" t="inlineStr">
        <is>
          <t>No</t>
        </is>
      </c>
      <c r="L3086" t="inlineStr">
        <is>
          <t>0</t>
        </is>
      </c>
      <c r="M3086" t="inlineStr">
        <is>
          <t>Deming, Robert H. compiler.</t>
        </is>
      </c>
      <c r="N3086" t="inlineStr">
        <is>
          <t>New York : Barnes &amp; Noble, [1970]</t>
        </is>
      </c>
      <c r="O3086" t="inlineStr">
        <is>
          <t>1970</t>
        </is>
      </c>
      <c r="Q3086" t="inlineStr">
        <is>
          <t>eng</t>
        </is>
      </c>
      <c r="R3086" t="inlineStr">
        <is>
          <t>nyu</t>
        </is>
      </c>
      <c r="S3086" t="inlineStr">
        <is>
          <t>The Critical heritage series</t>
        </is>
      </c>
      <c r="T3086" t="inlineStr">
        <is>
          <t xml:space="preserve">PR </t>
        </is>
      </c>
      <c r="U3086" t="n">
        <v>2</v>
      </c>
      <c r="V3086" t="n">
        <v>3</v>
      </c>
      <c r="W3086" t="inlineStr">
        <is>
          <t>1992-04-29</t>
        </is>
      </c>
      <c r="X3086" t="inlineStr">
        <is>
          <t>1992-04-29</t>
        </is>
      </c>
      <c r="Y3086" t="inlineStr">
        <is>
          <t>1991-09-04</t>
        </is>
      </c>
      <c r="Z3086" t="inlineStr">
        <is>
          <t>1991-09-04</t>
        </is>
      </c>
      <c r="AA3086" t="n">
        <v>753</v>
      </c>
      <c r="AB3086" t="n">
        <v>716</v>
      </c>
      <c r="AC3086" t="n">
        <v>861</v>
      </c>
      <c r="AD3086" t="n">
        <v>4</v>
      </c>
      <c r="AE3086" t="n">
        <v>6</v>
      </c>
      <c r="AF3086" t="n">
        <v>28</v>
      </c>
      <c r="AG3086" t="n">
        <v>38</v>
      </c>
      <c r="AH3086" t="n">
        <v>12</v>
      </c>
      <c r="AI3086" t="n">
        <v>15</v>
      </c>
      <c r="AJ3086" t="n">
        <v>6</v>
      </c>
      <c r="AK3086" t="n">
        <v>8</v>
      </c>
      <c r="AL3086" t="n">
        <v>14</v>
      </c>
      <c r="AM3086" t="n">
        <v>22</v>
      </c>
      <c r="AN3086" t="n">
        <v>3</v>
      </c>
      <c r="AO3086" t="n">
        <v>5</v>
      </c>
      <c r="AP3086" t="n">
        <v>0</v>
      </c>
      <c r="AQ3086" t="n">
        <v>0</v>
      </c>
      <c r="AR3086" t="inlineStr">
        <is>
          <t>No</t>
        </is>
      </c>
      <c r="AS3086" t="inlineStr">
        <is>
          <t>Yes</t>
        </is>
      </c>
      <c r="AT3086">
        <f>HYPERLINK("http://catalog.hathitrust.org/Record/000000889","HathiTrust Record")</f>
        <v/>
      </c>
      <c r="AU3086">
        <f>HYPERLINK("https://creighton-primo.hosted.exlibrisgroup.com/primo-explore/search?tab=default_tab&amp;search_scope=EVERYTHING&amp;vid=01CRU&amp;lang=en_US&amp;offset=0&amp;query=any,contains,991000426399702656","Catalog Record")</f>
        <v/>
      </c>
      <c r="AV3086">
        <f>HYPERLINK("http://www.worldcat.org/oclc/75268","WorldCat Record")</f>
        <v/>
      </c>
      <c r="AW3086" t="inlineStr">
        <is>
          <t>5546895149:eng</t>
        </is>
      </c>
      <c r="AX3086" t="inlineStr">
        <is>
          <t>75268</t>
        </is>
      </c>
      <c r="AY3086" t="inlineStr">
        <is>
          <t>991000426399702656</t>
        </is>
      </c>
      <c r="AZ3086" t="inlineStr">
        <is>
          <t>991000426399702656</t>
        </is>
      </c>
      <c r="BA3086" t="inlineStr">
        <is>
          <t>2256173780002656</t>
        </is>
      </c>
      <c r="BB3086" t="inlineStr">
        <is>
          <t>BOOK</t>
        </is>
      </c>
      <c r="BD3086" t="inlineStr">
        <is>
          <t>9780389010234</t>
        </is>
      </c>
      <c r="BE3086" t="inlineStr">
        <is>
          <t>32285000734029</t>
        </is>
      </c>
      <c r="BF3086" t="inlineStr">
        <is>
          <t>893871644</t>
        </is>
      </c>
    </row>
    <row r="3087">
      <c r="A3087" t="inlineStr">
        <is>
          <t>No</t>
        </is>
      </c>
      <c r="B3087" t="inlineStr">
        <is>
          <t>CURAL</t>
        </is>
      </c>
      <c r="C3087" t="inlineStr">
        <is>
          <t>SHELVES</t>
        </is>
      </c>
      <c r="D3087" t="inlineStr">
        <is>
          <t>PR6019.O9 Z5332 1982</t>
        </is>
      </c>
      <c r="E3087" t="inlineStr">
        <is>
          <t>0                      PR 6019000O  9                  Z  5332        1982</t>
        </is>
      </c>
      <c r="F3087" t="inlineStr">
        <is>
          <t>James Joyce / Richard Ellmann.</t>
        </is>
      </c>
      <c r="H3087" t="inlineStr">
        <is>
          <t>No</t>
        </is>
      </c>
      <c r="I3087" t="inlineStr">
        <is>
          <t>1</t>
        </is>
      </c>
      <c r="J3087" t="inlineStr">
        <is>
          <t>No</t>
        </is>
      </c>
      <c r="K3087" t="inlineStr">
        <is>
          <t>Yes</t>
        </is>
      </c>
      <c r="L3087" t="inlineStr">
        <is>
          <t>0</t>
        </is>
      </c>
      <c r="M3087" t="inlineStr">
        <is>
          <t>Ellmann, Richard, 1918-1987.</t>
        </is>
      </c>
      <c r="N3087" t="inlineStr">
        <is>
          <t>New York : Oxford University Press, 1982.</t>
        </is>
      </c>
      <c r="O3087" t="inlineStr">
        <is>
          <t>1982</t>
        </is>
      </c>
      <c r="P3087" t="inlineStr">
        <is>
          <t>New and rev. ed.</t>
        </is>
      </c>
      <c r="Q3087" t="inlineStr">
        <is>
          <t>eng</t>
        </is>
      </c>
      <c r="R3087" t="inlineStr">
        <is>
          <t>nyu</t>
        </is>
      </c>
      <c r="T3087" t="inlineStr">
        <is>
          <t xml:space="preserve">PR </t>
        </is>
      </c>
      <c r="U3087" t="n">
        <v>13</v>
      </c>
      <c r="V3087" t="n">
        <v>13</v>
      </c>
      <c r="W3087" t="inlineStr">
        <is>
          <t>2007-12-01</t>
        </is>
      </c>
      <c r="X3087" t="inlineStr">
        <is>
          <t>2007-12-01</t>
        </is>
      </c>
      <c r="Y3087" t="inlineStr">
        <is>
          <t>1992-07-08</t>
        </is>
      </c>
      <c r="Z3087" t="inlineStr">
        <is>
          <t>1992-07-08</t>
        </is>
      </c>
      <c r="AA3087" t="n">
        <v>1626</v>
      </c>
      <c r="AB3087" t="n">
        <v>1355</v>
      </c>
      <c r="AC3087" t="n">
        <v>2359</v>
      </c>
      <c r="AD3087" t="n">
        <v>7</v>
      </c>
      <c r="AE3087" t="n">
        <v>17</v>
      </c>
      <c r="AF3087" t="n">
        <v>48</v>
      </c>
      <c r="AG3087" t="n">
        <v>65</v>
      </c>
      <c r="AH3087" t="n">
        <v>22</v>
      </c>
      <c r="AI3087" t="n">
        <v>28</v>
      </c>
      <c r="AJ3087" t="n">
        <v>9</v>
      </c>
      <c r="AK3087" t="n">
        <v>11</v>
      </c>
      <c r="AL3087" t="n">
        <v>24</v>
      </c>
      <c r="AM3087" t="n">
        <v>27</v>
      </c>
      <c r="AN3087" t="n">
        <v>5</v>
      </c>
      <c r="AO3087" t="n">
        <v>13</v>
      </c>
      <c r="AP3087" t="n">
        <v>0</v>
      </c>
      <c r="AQ3087" t="n">
        <v>0</v>
      </c>
      <c r="AR3087" t="inlineStr">
        <is>
          <t>No</t>
        </is>
      </c>
      <c r="AS3087" t="inlineStr">
        <is>
          <t>No</t>
        </is>
      </c>
      <c r="AU3087">
        <f>HYPERLINK("https://creighton-primo.hosted.exlibrisgroup.com/primo-explore/search?tab=default_tab&amp;search_scope=EVERYTHING&amp;vid=01CRU&amp;lang=en_US&amp;offset=0&amp;query=any,contains,991005205629702656","Catalog Record")</f>
        <v/>
      </c>
      <c r="AV3087">
        <f>HYPERLINK("http://www.worldcat.org/oclc/8114346","WorldCat Record")</f>
        <v/>
      </c>
      <c r="AW3087" t="inlineStr">
        <is>
          <t>53056230:eng</t>
        </is>
      </c>
      <c r="AX3087" t="inlineStr">
        <is>
          <t>8114346</t>
        </is>
      </c>
      <c r="AY3087" t="inlineStr">
        <is>
          <t>991005205629702656</t>
        </is>
      </c>
      <c r="AZ3087" t="inlineStr">
        <is>
          <t>991005205629702656</t>
        </is>
      </c>
      <c r="BA3087" t="inlineStr">
        <is>
          <t>2255127350002656</t>
        </is>
      </c>
      <c r="BB3087" t="inlineStr">
        <is>
          <t>BOOK</t>
        </is>
      </c>
      <c r="BD3087" t="inlineStr">
        <is>
          <t>9780195031034</t>
        </is>
      </c>
      <c r="BE3087" t="inlineStr">
        <is>
          <t>32285001150803</t>
        </is>
      </c>
      <c r="BF3087" t="inlineStr">
        <is>
          <t>893889852</t>
        </is>
      </c>
    </row>
    <row r="3088">
      <c r="A3088" t="inlineStr">
        <is>
          <t>No</t>
        </is>
      </c>
      <c r="B3088" t="inlineStr">
        <is>
          <t>CURAL</t>
        </is>
      </c>
      <c r="C3088" t="inlineStr">
        <is>
          <t>SHELVES</t>
        </is>
      </c>
      <c r="D3088" t="inlineStr">
        <is>
          <t>PR6019.O9 Z5332 1983</t>
        </is>
      </c>
      <c r="E3088" t="inlineStr">
        <is>
          <t>0                      PR 6019000O  9                  Z  5332        1983</t>
        </is>
      </c>
      <c r="F3088" t="inlineStr">
        <is>
          <t>James Joyce / Richard Ellmann.</t>
        </is>
      </c>
      <c r="H3088" t="inlineStr">
        <is>
          <t>No</t>
        </is>
      </c>
      <c r="I3088" t="inlineStr">
        <is>
          <t>1</t>
        </is>
      </c>
      <c r="J3088" t="inlineStr">
        <is>
          <t>No</t>
        </is>
      </c>
      <c r="K3088" t="inlineStr">
        <is>
          <t>Yes</t>
        </is>
      </c>
      <c r="L3088" t="inlineStr">
        <is>
          <t>0</t>
        </is>
      </c>
      <c r="M3088" t="inlineStr">
        <is>
          <t>Ellmann, Richard, 1918-1987.</t>
        </is>
      </c>
      <c r="N3088" t="inlineStr">
        <is>
          <t>Oxford ; New York : Oxford University Press, 1983, c1982.</t>
        </is>
      </c>
      <c r="O3088" t="inlineStr">
        <is>
          <t>1983</t>
        </is>
      </c>
      <c r="P3088" t="inlineStr">
        <is>
          <t>New and rev. ed. with corrections.</t>
        </is>
      </c>
      <c r="Q3088" t="inlineStr">
        <is>
          <t>eng</t>
        </is>
      </c>
      <c r="R3088" t="inlineStr">
        <is>
          <t>enk</t>
        </is>
      </c>
      <c r="T3088" t="inlineStr">
        <is>
          <t xml:space="preserve">PR </t>
        </is>
      </c>
      <c r="U3088" t="n">
        <v>15</v>
      </c>
      <c r="V3088" t="n">
        <v>15</v>
      </c>
      <c r="W3088" t="inlineStr">
        <is>
          <t>2006-10-11</t>
        </is>
      </c>
      <c r="X3088" t="inlineStr">
        <is>
          <t>2006-10-11</t>
        </is>
      </c>
      <c r="Y3088" t="inlineStr">
        <is>
          <t>1992-07-08</t>
        </is>
      </c>
      <c r="Z3088" t="inlineStr">
        <is>
          <t>1992-07-08</t>
        </is>
      </c>
      <c r="AA3088" t="n">
        <v>336</v>
      </c>
      <c r="AB3088" t="n">
        <v>219</v>
      </c>
      <c r="AC3088" t="n">
        <v>2359</v>
      </c>
      <c r="AD3088" t="n">
        <v>4</v>
      </c>
      <c r="AE3088" t="n">
        <v>17</v>
      </c>
      <c r="AF3088" t="n">
        <v>7</v>
      </c>
      <c r="AG3088" t="n">
        <v>65</v>
      </c>
      <c r="AH3088" t="n">
        <v>1</v>
      </c>
      <c r="AI3088" t="n">
        <v>28</v>
      </c>
      <c r="AJ3088" t="n">
        <v>2</v>
      </c>
      <c r="AK3088" t="n">
        <v>11</v>
      </c>
      <c r="AL3088" t="n">
        <v>3</v>
      </c>
      <c r="AM3088" t="n">
        <v>27</v>
      </c>
      <c r="AN3088" t="n">
        <v>2</v>
      </c>
      <c r="AO3088" t="n">
        <v>13</v>
      </c>
      <c r="AP3088" t="n">
        <v>0</v>
      </c>
      <c r="AQ3088" t="n">
        <v>0</v>
      </c>
      <c r="AR3088" t="inlineStr">
        <is>
          <t>No</t>
        </is>
      </c>
      <c r="AS3088" t="inlineStr">
        <is>
          <t>No</t>
        </is>
      </c>
      <c r="AU3088">
        <f>HYPERLINK("https://creighton-primo.hosted.exlibrisgroup.com/primo-explore/search?tab=default_tab&amp;search_scope=EVERYTHING&amp;vid=01CRU&amp;lang=en_US&amp;offset=0&amp;query=any,contains,991000330729702656","Catalog Record")</f>
        <v/>
      </c>
      <c r="AV3088">
        <f>HYPERLINK("http://www.worldcat.org/oclc/10201576","WorldCat Record")</f>
        <v/>
      </c>
      <c r="AW3088" t="inlineStr">
        <is>
          <t>53056230:eng</t>
        </is>
      </c>
      <c r="AX3088" t="inlineStr">
        <is>
          <t>10201576</t>
        </is>
      </c>
      <c r="AY3088" t="inlineStr">
        <is>
          <t>991000330729702656</t>
        </is>
      </c>
      <c r="AZ3088" t="inlineStr">
        <is>
          <t>991000330729702656</t>
        </is>
      </c>
      <c r="BA3088" t="inlineStr">
        <is>
          <t>2265172950002656</t>
        </is>
      </c>
      <c r="BB3088" t="inlineStr">
        <is>
          <t>BOOK</t>
        </is>
      </c>
      <c r="BD3088" t="inlineStr">
        <is>
          <t>9780195033816</t>
        </is>
      </c>
      <c r="BE3088" t="inlineStr">
        <is>
          <t>32285005135834</t>
        </is>
      </c>
      <c r="BF3088" t="inlineStr">
        <is>
          <t>893243150</t>
        </is>
      </c>
    </row>
    <row r="3089">
      <c r="A3089" t="inlineStr">
        <is>
          <t>No</t>
        </is>
      </c>
      <c r="B3089" t="inlineStr">
        <is>
          <t>CURAL</t>
        </is>
      </c>
      <c r="C3089" t="inlineStr">
        <is>
          <t>SHELVES</t>
        </is>
      </c>
      <c r="D3089" t="inlineStr">
        <is>
          <t>PR6019.O9 Z53335</t>
        </is>
      </c>
      <c r="E3089" t="inlineStr">
        <is>
          <t>0                      PR 6019000O  9                  Z  53335</t>
        </is>
      </c>
      <c r="F3089" t="inlineStr">
        <is>
          <t>The ordeal of Stephen Dedalus; the conflict of the generations in James Joyce's A portrait of the artist as a young man [by] Edmund L. Epstein.</t>
        </is>
      </c>
      <c r="H3089" t="inlineStr">
        <is>
          <t>No</t>
        </is>
      </c>
      <c r="I3089" t="inlineStr">
        <is>
          <t>1</t>
        </is>
      </c>
      <c r="J3089" t="inlineStr">
        <is>
          <t>No</t>
        </is>
      </c>
      <c r="K3089" t="inlineStr">
        <is>
          <t>No</t>
        </is>
      </c>
      <c r="L3089" t="inlineStr">
        <is>
          <t>0</t>
        </is>
      </c>
      <c r="M3089" t="inlineStr">
        <is>
          <t>Epstein, Edmund L.</t>
        </is>
      </c>
      <c r="N3089" t="inlineStr">
        <is>
          <t>Carbondale, Southern Illinois University Press [1971]</t>
        </is>
      </c>
      <c r="O3089" t="inlineStr">
        <is>
          <t>1971</t>
        </is>
      </c>
      <c r="Q3089" t="inlineStr">
        <is>
          <t>eng</t>
        </is>
      </c>
      <c r="R3089" t="inlineStr">
        <is>
          <t>ilu</t>
        </is>
      </c>
      <c r="T3089" t="inlineStr">
        <is>
          <t xml:space="preserve">PR </t>
        </is>
      </c>
      <c r="U3089" t="n">
        <v>10</v>
      </c>
      <c r="V3089" t="n">
        <v>10</v>
      </c>
      <c r="W3089" t="inlineStr">
        <is>
          <t>2007-12-10</t>
        </is>
      </c>
      <c r="X3089" t="inlineStr">
        <is>
          <t>2007-12-10</t>
        </is>
      </c>
      <c r="Y3089" t="inlineStr">
        <is>
          <t>1991-12-17</t>
        </is>
      </c>
      <c r="Z3089" t="inlineStr">
        <is>
          <t>1991-12-17</t>
        </is>
      </c>
      <c r="AA3089" t="n">
        <v>791</v>
      </c>
      <c r="AB3089" t="n">
        <v>684</v>
      </c>
      <c r="AC3089" t="n">
        <v>781</v>
      </c>
      <c r="AD3089" t="n">
        <v>5</v>
      </c>
      <c r="AE3089" t="n">
        <v>6</v>
      </c>
      <c r="AF3089" t="n">
        <v>34</v>
      </c>
      <c r="AG3089" t="n">
        <v>40</v>
      </c>
      <c r="AH3089" t="n">
        <v>13</v>
      </c>
      <c r="AI3089" t="n">
        <v>16</v>
      </c>
      <c r="AJ3089" t="n">
        <v>6</v>
      </c>
      <c r="AK3089" t="n">
        <v>7</v>
      </c>
      <c r="AL3089" t="n">
        <v>20</v>
      </c>
      <c r="AM3089" t="n">
        <v>22</v>
      </c>
      <c r="AN3089" t="n">
        <v>4</v>
      </c>
      <c r="AO3089" t="n">
        <v>5</v>
      </c>
      <c r="AP3089" t="n">
        <v>0</v>
      </c>
      <c r="AQ3089" t="n">
        <v>0</v>
      </c>
      <c r="AR3089" t="inlineStr">
        <is>
          <t>No</t>
        </is>
      </c>
      <c r="AS3089" t="inlineStr">
        <is>
          <t>Yes</t>
        </is>
      </c>
      <c r="AT3089">
        <f>HYPERLINK("http://catalog.hathitrust.org/Record/000002392","HathiTrust Record")</f>
        <v/>
      </c>
      <c r="AU3089">
        <f>HYPERLINK("https://creighton-primo.hosted.exlibrisgroup.com/primo-explore/search?tab=default_tab&amp;search_scope=EVERYTHING&amp;vid=01CRU&amp;lang=en_US&amp;offset=0&amp;query=any,contains,991000907969702656","Catalog Record")</f>
        <v/>
      </c>
      <c r="AV3089">
        <f>HYPERLINK("http://www.worldcat.org/oclc/158539","WorldCat Record")</f>
        <v/>
      </c>
      <c r="AW3089" t="inlineStr">
        <is>
          <t>466904:eng</t>
        </is>
      </c>
      <c r="AX3089" t="inlineStr">
        <is>
          <t>158539</t>
        </is>
      </c>
      <c r="AY3089" t="inlineStr">
        <is>
          <t>991000907969702656</t>
        </is>
      </c>
      <c r="AZ3089" t="inlineStr">
        <is>
          <t>991000907969702656</t>
        </is>
      </c>
      <c r="BA3089" t="inlineStr">
        <is>
          <t>2258472740002656</t>
        </is>
      </c>
      <c r="BB3089" t="inlineStr">
        <is>
          <t>BOOK</t>
        </is>
      </c>
      <c r="BD3089" t="inlineStr">
        <is>
          <t>9780809304851</t>
        </is>
      </c>
      <c r="BE3089" t="inlineStr">
        <is>
          <t>32285000901552</t>
        </is>
      </c>
      <c r="BF3089" t="inlineStr">
        <is>
          <t>893419884</t>
        </is>
      </c>
    </row>
    <row r="3090">
      <c r="A3090" t="inlineStr">
        <is>
          <t>No</t>
        </is>
      </c>
      <c r="B3090" t="inlineStr">
        <is>
          <t>CURAL</t>
        </is>
      </c>
      <c r="C3090" t="inlineStr">
        <is>
          <t>SHELVES</t>
        </is>
      </c>
      <c r="D3090" t="inlineStr">
        <is>
          <t>PR6019.O9 Z533375 1993</t>
        </is>
      </c>
      <c r="E3090" t="inlineStr">
        <is>
          <t>0                      PR 6019000O  9                  Z  533375      1993</t>
        </is>
      </c>
      <c r="F3090" t="inlineStr">
        <is>
          <t>James Joyce and the question of history / James Fairhall.</t>
        </is>
      </c>
      <c r="H3090" t="inlineStr">
        <is>
          <t>No</t>
        </is>
      </c>
      <c r="I3090" t="inlineStr">
        <is>
          <t>1</t>
        </is>
      </c>
      <c r="J3090" t="inlineStr">
        <is>
          <t>No</t>
        </is>
      </c>
      <c r="K3090" t="inlineStr">
        <is>
          <t>No</t>
        </is>
      </c>
      <c r="L3090" t="inlineStr">
        <is>
          <t>0</t>
        </is>
      </c>
      <c r="M3090" t="inlineStr">
        <is>
          <t>Fairhall, James.</t>
        </is>
      </c>
      <c r="N3090" t="inlineStr">
        <is>
          <t>Cambridge ; New York, NY, USA : Cambridge University Press, 1993.</t>
        </is>
      </c>
      <c r="O3090" t="inlineStr">
        <is>
          <t>1993</t>
        </is>
      </c>
      <c r="Q3090" t="inlineStr">
        <is>
          <t>eng</t>
        </is>
      </c>
      <c r="R3090" t="inlineStr">
        <is>
          <t>enk</t>
        </is>
      </c>
      <c r="T3090" t="inlineStr">
        <is>
          <t xml:space="preserve">PR </t>
        </is>
      </c>
      <c r="U3090" t="n">
        <v>18</v>
      </c>
      <c r="V3090" t="n">
        <v>18</v>
      </c>
      <c r="W3090" t="inlineStr">
        <is>
          <t>2007-04-10</t>
        </is>
      </c>
      <c r="X3090" t="inlineStr">
        <is>
          <t>2007-04-10</t>
        </is>
      </c>
      <c r="Y3090" t="inlineStr">
        <is>
          <t>1993-11-23</t>
        </is>
      </c>
      <c r="Z3090" t="inlineStr">
        <is>
          <t>1993-11-23</t>
        </is>
      </c>
      <c r="AA3090" t="n">
        <v>578</v>
      </c>
      <c r="AB3090" t="n">
        <v>439</v>
      </c>
      <c r="AC3090" t="n">
        <v>457</v>
      </c>
      <c r="AD3090" t="n">
        <v>3</v>
      </c>
      <c r="AE3090" t="n">
        <v>3</v>
      </c>
      <c r="AF3090" t="n">
        <v>31</v>
      </c>
      <c r="AG3090" t="n">
        <v>32</v>
      </c>
      <c r="AH3090" t="n">
        <v>11</v>
      </c>
      <c r="AI3090" t="n">
        <v>11</v>
      </c>
      <c r="AJ3090" t="n">
        <v>8</v>
      </c>
      <c r="AK3090" t="n">
        <v>8</v>
      </c>
      <c r="AL3090" t="n">
        <v>20</v>
      </c>
      <c r="AM3090" t="n">
        <v>21</v>
      </c>
      <c r="AN3090" t="n">
        <v>2</v>
      </c>
      <c r="AO3090" t="n">
        <v>2</v>
      </c>
      <c r="AP3090" t="n">
        <v>0</v>
      </c>
      <c r="AQ3090" t="n">
        <v>0</v>
      </c>
      <c r="AR3090" t="inlineStr">
        <is>
          <t>No</t>
        </is>
      </c>
      <c r="AS3090" t="inlineStr">
        <is>
          <t>No</t>
        </is>
      </c>
      <c r="AU3090">
        <f>HYPERLINK("https://creighton-primo.hosted.exlibrisgroup.com/primo-explore/search?tab=default_tab&amp;search_scope=EVERYTHING&amp;vid=01CRU&amp;lang=en_US&amp;offset=0&amp;query=any,contains,991002094709702656","Catalog Record")</f>
        <v/>
      </c>
      <c r="AV3090">
        <f>HYPERLINK("http://www.worldcat.org/oclc/26856098","WorldCat Record")</f>
        <v/>
      </c>
      <c r="AW3090" t="inlineStr">
        <is>
          <t>29263519:eng</t>
        </is>
      </c>
      <c r="AX3090" t="inlineStr">
        <is>
          <t>26856098</t>
        </is>
      </c>
      <c r="AY3090" t="inlineStr">
        <is>
          <t>991002094709702656</t>
        </is>
      </c>
      <c r="AZ3090" t="inlineStr">
        <is>
          <t>991002094709702656</t>
        </is>
      </c>
      <c r="BA3090" t="inlineStr">
        <is>
          <t>2265274930002656</t>
        </is>
      </c>
      <c r="BB3090" t="inlineStr">
        <is>
          <t>BOOK</t>
        </is>
      </c>
      <c r="BD3090" t="inlineStr">
        <is>
          <t>9780521402927</t>
        </is>
      </c>
      <c r="BE3090" t="inlineStr">
        <is>
          <t>32285001812535</t>
        </is>
      </c>
      <c r="BF3090" t="inlineStr">
        <is>
          <t>893322553</t>
        </is>
      </c>
    </row>
    <row r="3091">
      <c r="A3091" t="inlineStr">
        <is>
          <t>No</t>
        </is>
      </c>
      <c r="B3091" t="inlineStr">
        <is>
          <t>CURAL</t>
        </is>
      </c>
      <c r="C3091" t="inlineStr">
        <is>
          <t>SHELVES</t>
        </is>
      </c>
      <c r="D3091" t="inlineStr">
        <is>
          <t>PR6019.O9 Z5334 1986</t>
        </is>
      </c>
      <c r="E3091" t="inlineStr">
        <is>
          <t>0                      PR 6019000O  9                  Z  5334        1986</t>
        </is>
      </c>
      <c r="F3091" t="inlineStr">
        <is>
          <t>James Joyce / Chester G. Anderson.</t>
        </is>
      </c>
      <c r="H3091" t="inlineStr">
        <is>
          <t>No</t>
        </is>
      </c>
      <c r="I3091" t="inlineStr">
        <is>
          <t>1</t>
        </is>
      </c>
      <c r="J3091" t="inlineStr">
        <is>
          <t>No</t>
        </is>
      </c>
      <c r="K3091" t="inlineStr">
        <is>
          <t>No</t>
        </is>
      </c>
      <c r="L3091" t="inlineStr">
        <is>
          <t>0</t>
        </is>
      </c>
      <c r="M3091" t="inlineStr">
        <is>
          <t>Anderson, Chester G.</t>
        </is>
      </c>
      <c r="N3091" t="inlineStr">
        <is>
          <t>New York : Thames and Hudson, 1986, c1967.</t>
        </is>
      </c>
      <c r="O3091" t="inlineStr">
        <is>
          <t>1986</t>
        </is>
      </c>
      <c r="Q3091" t="inlineStr">
        <is>
          <t>eng</t>
        </is>
      </c>
      <c r="R3091" t="inlineStr">
        <is>
          <t>nyu</t>
        </is>
      </c>
      <c r="S3091" t="inlineStr">
        <is>
          <t>Thames and Hudson literary lives</t>
        </is>
      </c>
      <c r="T3091" t="inlineStr">
        <is>
          <t xml:space="preserve">PR </t>
        </is>
      </c>
      <c r="U3091" t="n">
        <v>4</v>
      </c>
      <c r="V3091" t="n">
        <v>4</v>
      </c>
      <c r="W3091" t="inlineStr">
        <is>
          <t>2002-11-07</t>
        </is>
      </c>
      <c r="X3091" t="inlineStr">
        <is>
          <t>2002-11-07</t>
        </is>
      </c>
      <c r="Y3091" t="inlineStr">
        <is>
          <t>1992-07-08</t>
        </is>
      </c>
      <c r="Z3091" t="inlineStr">
        <is>
          <t>1992-07-08</t>
        </is>
      </c>
      <c r="AA3091" t="n">
        <v>305</v>
      </c>
      <c r="AB3091" t="n">
        <v>243</v>
      </c>
      <c r="AC3091" t="n">
        <v>247</v>
      </c>
      <c r="AD3091" t="n">
        <v>2</v>
      </c>
      <c r="AE3091" t="n">
        <v>2</v>
      </c>
      <c r="AF3091" t="n">
        <v>11</v>
      </c>
      <c r="AG3091" t="n">
        <v>11</v>
      </c>
      <c r="AH3091" t="n">
        <v>5</v>
      </c>
      <c r="AI3091" t="n">
        <v>5</v>
      </c>
      <c r="AJ3091" t="n">
        <v>1</v>
      </c>
      <c r="AK3091" t="n">
        <v>1</v>
      </c>
      <c r="AL3091" t="n">
        <v>6</v>
      </c>
      <c r="AM3091" t="n">
        <v>6</v>
      </c>
      <c r="AN3091" t="n">
        <v>1</v>
      </c>
      <c r="AO3091" t="n">
        <v>1</v>
      </c>
      <c r="AP3091" t="n">
        <v>0</v>
      </c>
      <c r="AQ3091" t="n">
        <v>0</v>
      </c>
      <c r="AR3091" t="inlineStr">
        <is>
          <t>No</t>
        </is>
      </c>
      <c r="AS3091" t="inlineStr">
        <is>
          <t>No</t>
        </is>
      </c>
      <c r="AU3091">
        <f>HYPERLINK("https://creighton-primo.hosted.exlibrisgroup.com/primo-explore/search?tab=default_tab&amp;search_scope=EVERYTHING&amp;vid=01CRU&amp;lang=en_US&amp;offset=0&amp;query=any,contains,991000865549702656","Catalog Record")</f>
        <v/>
      </c>
      <c r="AV3091">
        <f>HYPERLINK("http://www.worldcat.org/oclc/13741103","WorldCat Record")</f>
        <v/>
      </c>
      <c r="AW3091" t="inlineStr">
        <is>
          <t>5612671221:eng</t>
        </is>
      </c>
      <c r="AX3091" t="inlineStr">
        <is>
          <t>13741103</t>
        </is>
      </c>
      <c r="AY3091" t="inlineStr">
        <is>
          <t>991000865549702656</t>
        </is>
      </c>
      <c r="AZ3091" t="inlineStr">
        <is>
          <t>991000865549702656</t>
        </is>
      </c>
      <c r="BA3091" t="inlineStr">
        <is>
          <t>2268633350002656</t>
        </is>
      </c>
      <c r="BB3091" t="inlineStr">
        <is>
          <t>BOOK</t>
        </is>
      </c>
      <c r="BD3091" t="inlineStr">
        <is>
          <t>9780500260180</t>
        </is>
      </c>
      <c r="BE3091" t="inlineStr">
        <is>
          <t>32285001150829</t>
        </is>
      </c>
      <c r="BF3091" t="inlineStr">
        <is>
          <t>893243665</t>
        </is>
      </c>
    </row>
    <row r="3092">
      <c r="A3092" t="inlineStr">
        <is>
          <t>No</t>
        </is>
      </c>
      <c r="B3092" t="inlineStr">
        <is>
          <t>CURAL</t>
        </is>
      </c>
      <c r="C3092" t="inlineStr">
        <is>
          <t>SHELVES</t>
        </is>
      </c>
      <c r="D3092" t="inlineStr">
        <is>
          <t>PR6019.O9 Z53357 1983</t>
        </is>
      </c>
      <c r="E3092" t="inlineStr">
        <is>
          <t>0                      PR 6019000O  9                  Z  53357       1983</t>
        </is>
      </c>
      <c r="F3092" t="inlineStr">
        <is>
          <t>Inverted volumes improperly arranged : James Joyce and his Trieste library / by Michael Patrick Gillespie.</t>
        </is>
      </c>
      <c r="H3092" t="inlineStr">
        <is>
          <t>No</t>
        </is>
      </c>
      <c r="I3092" t="inlineStr">
        <is>
          <t>1</t>
        </is>
      </c>
      <c r="J3092" t="inlineStr">
        <is>
          <t>No</t>
        </is>
      </c>
      <c r="K3092" t="inlineStr">
        <is>
          <t>No</t>
        </is>
      </c>
      <c r="L3092" t="inlineStr">
        <is>
          <t>0</t>
        </is>
      </c>
      <c r="M3092" t="inlineStr">
        <is>
          <t>Gillespie, Michael Patrick.</t>
        </is>
      </c>
      <c r="N3092" t="inlineStr">
        <is>
          <t>Ann Arbor, Mich. : UMI Research Press, c1983.</t>
        </is>
      </c>
      <c r="O3092" t="inlineStr">
        <is>
          <t>1983</t>
        </is>
      </c>
      <c r="Q3092" t="inlineStr">
        <is>
          <t>eng</t>
        </is>
      </c>
      <c r="R3092" t="inlineStr">
        <is>
          <t>miu</t>
        </is>
      </c>
      <c r="S3092" t="inlineStr">
        <is>
          <t>Studies in modern literature ; no. 10</t>
        </is>
      </c>
      <c r="T3092" t="inlineStr">
        <is>
          <t xml:space="preserve">PR </t>
        </is>
      </c>
      <c r="U3092" t="n">
        <v>6</v>
      </c>
      <c r="V3092" t="n">
        <v>6</v>
      </c>
      <c r="W3092" t="inlineStr">
        <is>
          <t>2004-11-20</t>
        </is>
      </c>
      <c r="X3092" t="inlineStr">
        <is>
          <t>2004-11-20</t>
        </is>
      </c>
      <c r="Y3092" t="inlineStr">
        <is>
          <t>1992-07-08</t>
        </is>
      </c>
      <c r="Z3092" t="inlineStr">
        <is>
          <t>1992-07-08</t>
        </is>
      </c>
      <c r="AA3092" t="n">
        <v>237</v>
      </c>
      <c r="AB3092" t="n">
        <v>178</v>
      </c>
      <c r="AC3092" t="n">
        <v>179</v>
      </c>
      <c r="AD3092" t="n">
        <v>3</v>
      </c>
      <c r="AE3092" t="n">
        <v>3</v>
      </c>
      <c r="AF3092" t="n">
        <v>13</v>
      </c>
      <c r="AG3092" t="n">
        <v>13</v>
      </c>
      <c r="AH3092" t="n">
        <v>1</v>
      </c>
      <c r="AI3092" t="n">
        <v>1</v>
      </c>
      <c r="AJ3092" t="n">
        <v>4</v>
      </c>
      <c r="AK3092" t="n">
        <v>4</v>
      </c>
      <c r="AL3092" t="n">
        <v>8</v>
      </c>
      <c r="AM3092" t="n">
        <v>8</v>
      </c>
      <c r="AN3092" t="n">
        <v>2</v>
      </c>
      <c r="AO3092" t="n">
        <v>2</v>
      </c>
      <c r="AP3092" t="n">
        <v>0</v>
      </c>
      <c r="AQ3092" t="n">
        <v>0</v>
      </c>
      <c r="AR3092" t="inlineStr">
        <is>
          <t>No</t>
        </is>
      </c>
      <c r="AS3092" t="inlineStr">
        <is>
          <t>Yes</t>
        </is>
      </c>
      <c r="AT3092">
        <f>HYPERLINK("http://catalog.hathitrust.org/Record/000201472","HathiTrust Record")</f>
        <v/>
      </c>
      <c r="AU3092">
        <f>HYPERLINK("https://creighton-primo.hosted.exlibrisgroup.com/primo-explore/search?tab=default_tab&amp;search_scope=EVERYTHING&amp;vid=01CRU&amp;lang=en_US&amp;offset=0&amp;query=any,contains,991000180059702656","Catalog Record")</f>
        <v/>
      </c>
      <c r="AV3092">
        <f>HYPERLINK("http://www.worldcat.org/oclc/9371281","WorldCat Record")</f>
        <v/>
      </c>
      <c r="AW3092" t="inlineStr">
        <is>
          <t>810409570:eng</t>
        </is>
      </c>
      <c r="AX3092" t="inlineStr">
        <is>
          <t>9371281</t>
        </is>
      </c>
      <c r="AY3092" t="inlineStr">
        <is>
          <t>991000180059702656</t>
        </is>
      </c>
      <c r="AZ3092" t="inlineStr">
        <is>
          <t>991000180059702656</t>
        </is>
      </c>
      <c r="BA3092" t="inlineStr">
        <is>
          <t>2267066030002656</t>
        </is>
      </c>
      <c r="BB3092" t="inlineStr">
        <is>
          <t>BOOK</t>
        </is>
      </c>
      <c r="BD3092" t="inlineStr">
        <is>
          <t>9780835714150</t>
        </is>
      </c>
      <c r="BE3092" t="inlineStr">
        <is>
          <t>32285001150837</t>
        </is>
      </c>
      <c r="BF3092" t="inlineStr">
        <is>
          <t>893255247</t>
        </is>
      </c>
    </row>
    <row r="3093">
      <c r="A3093" t="inlineStr">
        <is>
          <t>No</t>
        </is>
      </c>
      <c r="B3093" t="inlineStr">
        <is>
          <t>CURAL</t>
        </is>
      </c>
      <c r="C3093" t="inlineStr">
        <is>
          <t>SHELVES</t>
        </is>
      </c>
      <c r="D3093" t="inlineStr">
        <is>
          <t>PR6019.O9 Z534 1948</t>
        </is>
      </c>
      <c r="E3093" t="inlineStr">
        <is>
          <t>0                      PR 6019000O  9                  Z  534         1948</t>
        </is>
      </c>
      <c r="F3093" t="inlineStr">
        <is>
          <t>James Joyce : two decades of criticism / by Eugene Jolas [and others]. Edited by Seon Givens.</t>
        </is>
      </c>
      <c r="H3093" t="inlineStr">
        <is>
          <t>No</t>
        </is>
      </c>
      <c r="I3093" t="inlineStr">
        <is>
          <t>1</t>
        </is>
      </c>
      <c r="J3093" t="inlineStr">
        <is>
          <t>No</t>
        </is>
      </c>
      <c r="K3093" t="inlineStr">
        <is>
          <t>No</t>
        </is>
      </c>
      <c r="L3093" t="inlineStr">
        <is>
          <t>0</t>
        </is>
      </c>
      <c r="M3093" t="inlineStr">
        <is>
          <t>Manley, Seon, editor.</t>
        </is>
      </c>
      <c r="N3093" t="inlineStr">
        <is>
          <t>New York : Vanguard Press, [1948]</t>
        </is>
      </c>
      <c r="O3093" t="inlineStr">
        <is>
          <t>1948</t>
        </is>
      </c>
      <c r="Q3093" t="inlineStr">
        <is>
          <t>eng</t>
        </is>
      </c>
      <c r="R3093" t="inlineStr">
        <is>
          <t>nyu</t>
        </is>
      </c>
      <c r="T3093" t="inlineStr">
        <is>
          <t xml:space="preserve">PR </t>
        </is>
      </c>
      <c r="U3093" t="n">
        <v>2</v>
      </c>
      <c r="V3093" t="n">
        <v>2</v>
      </c>
      <c r="W3093" t="inlineStr">
        <is>
          <t>2005-04-22</t>
        </is>
      </c>
      <c r="X3093" t="inlineStr">
        <is>
          <t>2005-04-22</t>
        </is>
      </c>
      <c r="Y3093" t="inlineStr">
        <is>
          <t>1991-09-05</t>
        </is>
      </c>
      <c r="Z3093" t="inlineStr">
        <is>
          <t>1991-09-05</t>
        </is>
      </c>
      <c r="AA3093" t="n">
        <v>469</v>
      </c>
      <c r="AB3093" t="n">
        <v>426</v>
      </c>
      <c r="AC3093" t="n">
        <v>434</v>
      </c>
      <c r="AD3093" t="n">
        <v>3</v>
      </c>
      <c r="AE3093" t="n">
        <v>3</v>
      </c>
      <c r="AF3093" t="n">
        <v>20</v>
      </c>
      <c r="AG3093" t="n">
        <v>20</v>
      </c>
      <c r="AH3093" t="n">
        <v>7</v>
      </c>
      <c r="AI3093" t="n">
        <v>7</v>
      </c>
      <c r="AJ3093" t="n">
        <v>4</v>
      </c>
      <c r="AK3093" t="n">
        <v>4</v>
      </c>
      <c r="AL3093" t="n">
        <v>13</v>
      </c>
      <c r="AM3093" t="n">
        <v>13</v>
      </c>
      <c r="AN3093" t="n">
        <v>2</v>
      </c>
      <c r="AO3093" t="n">
        <v>2</v>
      </c>
      <c r="AP3093" t="n">
        <v>0</v>
      </c>
      <c r="AQ3093" t="n">
        <v>0</v>
      </c>
      <c r="AR3093" t="inlineStr">
        <is>
          <t>No</t>
        </is>
      </c>
      <c r="AS3093" t="inlineStr">
        <is>
          <t>Yes</t>
        </is>
      </c>
      <c r="AT3093">
        <f>HYPERLINK("http://catalog.hathitrust.org/Record/000589100","HathiTrust Record")</f>
        <v/>
      </c>
      <c r="AU3093">
        <f>HYPERLINK("https://creighton-primo.hosted.exlibrisgroup.com/primo-explore/search?tab=default_tab&amp;search_scope=EVERYTHING&amp;vid=01CRU&amp;lang=en_US&amp;offset=0&amp;query=any,contains,991002188849702656","Catalog Record")</f>
        <v/>
      </c>
      <c r="AV3093">
        <f>HYPERLINK("http://www.worldcat.org/oclc/280646","WorldCat Record")</f>
        <v/>
      </c>
      <c r="AW3093" t="inlineStr">
        <is>
          <t>9593420395:eng</t>
        </is>
      </c>
      <c r="AX3093" t="inlineStr">
        <is>
          <t>280646</t>
        </is>
      </c>
      <c r="AY3093" t="inlineStr">
        <is>
          <t>991002188849702656</t>
        </is>
      </c>
      <c r="AZ3093" t="inlineStr">
        <is>
          <t>991002188849702656</t>
        </is>
      </c>
      <c r="BA3093" t="inlineStr">
        <is>
          <t>2265186320002656</t>
        </is>
      </c>
      <c r="BB3093" t="inlineStr">
        <is>
          <t>BOOK</t>
        </is>
      </c>
      <c r="BE3093" t="inlineStr">
        <is>
          <t>32285000736412</t>
        </is>
      </c>
      <c r="BF3093" t="inlineStr">
        <is>
          <t>893408795</t>
        </is>
      </c>
    </row>
    <row r="3094">
      <c r="A3094" t="inlineStr">
        <is>
          <t>No</t>
        </is>
      </c>
      <c r="B3094" t="inlineStr">
        <is>
          <t>CURAL</t>
        </is>
      </c>
      <c r="C3094" t="inlineStr">
        <is>
          <t>SHELVES</t>
        </is>
      </c>
      <c r="D3094" t="inlineStr">
        <is>
          <t>PR6019.O9 Z538 1972</t>
        </is>
      </c>
      <c r="E3094" t="inlineStr">
        <is>
          <t>0                      PR 6019000O  9                  Z  538         1972</t>
        </is>
      </c>
      <c r="F3094" t="inlineStr">
        <is>
          <t>Joyce / [by] S. L. Goldberg.</t>
        </is>
      </c>
      <c r="H3094" t="inlineStr">
        <is>
          <t>No</t>
        </is>
      </c>
      <c r="I3094" t="inlineStr">
        <is>
          <t>1</t>
        </is>
      </c>
      <c r="J3094" t="inlineStr">
        <is>
          <t>No</t>
        </is>
      </c>
      <c r="K3094" t="inlineStr">
        <is>
          <t>No</t>
        </is>
      </c>
      <c r="L3094" t="inlineStr">
        <is>
          <t>0</t>
        </is>
      </c>
      <c r="M3094" t="inlineStr">
        <is>
          <t>Goldberg, S. L. (Samuel Louis), 1926-</t>
        </is>
      </c>
      <c r="N3094" t="inlineStr">
        <is>
          <t>New York : Capricorn Books, [1972, c1962]</t>
        </is>
      </c>
      <c r="O3094" t="inlineStr">
        <is>
          <t>1972</t>
        </is>
      </c>
      <c r="Q3094" t="inlineStr">
        <is>
          <t>eng</t>
        </is>
      </c>
      <c r="R3094" t="inlineStr">
        <is>
          <t>nyu</t>
        </is>
      </c>
      <c r="S3094" t="inlineStr">
        <is>
          <t>Writers and critics</t>
        </is>
      </c>
      <c r="T3094" t="inlineStr">
        <is>
          <t xml:space="preserve">PR </t>
        </is>
      </c>
      <c r="U3094" t="n">
        <v>1</v>
      </c>
      <c r="V3094" t="n">
        <v>1</v>
      </c>
      <c r="W3094" t="inlineStr">
        <is>
          <t>1994-04-25</t>
        </is>
      </c>
      <c r="X3094" t="inlineStr">
        <is>
          <t>1994-04-25</t>
        </is>
      </c>
      <c r="Y3094" t="inlineStr">
        <is>
          <t>1992-07-09</t>
        </is>
      </c>
      <c r="Z3094" t="inlineStr">
        <is>
          <t>1992-07-09</t>
        </is>
      </c>
      <c r="AA3094" t="n">
        <v>161</v>
      </c>
      <c r="AB3094" t="n">
        <v>150</v>
      </c>
      <c r="AC3094" t="n">
        <v>394</v>
      </c>
      <c r="AD3094" t="n">
        <v>3</v>
      </c>
      <c r="AE3094" t="n">
        <v>4</v>
      </c>
      <c r="AF3094" t="n">
        <v>6</v>
      </c>
      <c r="AG3094" t="n">
        <v>17</v>
      </c>
      <c r="AH3094" t="n">
        <v>1</v>
      </c>
      <c r="AI3094" t="n">
        <v>4</v>
      </c>
      <c r="AJ3094" t="n">
        <v>2</v>
      </c>
      <c r="AK3094" t="n">
        <v>4</v>
      </c>
      <c r="AL3094" t="n">
        <v>2</v>
      </c>
      <c r="AM3094" t="n">
        <v>10</v>
      </c>
      <c r="AN3094" t="n">
        <v>2</v>
      </c>
      <c r="AO3094" t="n">
        <v>3</v>
      </c>
      <c r="AP3094" t="n">
        <v>0</v>
      </c>
      <c r="AQ3094" t="n">
        <v>0</v>
      </c>
      <c r="AR3094" t="inlineStr">
        <is>
          <t>No</t>
        </is>
      </c>
      <c r="AS3094" t="inlineStr">
        <is>
          <t>No</t>
        </is>
      </c>
      <c r="AU3094">
        <f>HYPERLINK("https://creighton-primo.hosted.exlibrisgroup.com/primo-explore/search?tab=default_tab&amp;search_scope=EVERYTHING&amp;vid=01CRU&amp;lang=en_US&amp;offset=0&amp;query=any,contains,991002839929702656","Catalog Record")</f>
        <v/>
      </c>
      <c r="AV3094">
        <f>HYPERLINK("http://www.worldcat.org/oclc/481469","WorldCat Record")</f>
        <v/>
      </c>
      <c r="AW3094" t="inlineStr">
        <is>
          <t>1789592:eng</t>
        </is>
      </c>
      <c r="AX3094" t="inlineStr">
        <is>
          <t>481469</t>
        </is>
      </c>
      <c r="AY3094" t="inlineStr">
        <is>
          <t>991002839929702656</t>
        </is>
      </c>
      <c r="AZ3094" t="inlineStr">
        <is>
          <t>991002839929702656</t>
        </is>
      </c>
      <c r="BA3094" t="inlineStr">
        <is>
          <t>2269475110002656</t>
        </is>
      </c>
      <c r="BB3094" t="inlineStr">
        <is>
          <t>BOOK</t>
        </is>
      </c>
      <c r="BD3094" t="inlineStr">
        <is>
          <t>9780399502651</t>
        </is>
      </c>
      <c r="BE3094" t="inlineStr">
        <is>
          <t>32285001150852</t>
        </is>
      </c>
      <c r="BF3094" t="inlineStr">
        <is>
          <t>893786624</t>
        </is>
      </c>
    </row>
    <row r="3095">
      <c r="A3095" t="inlineStr">
        <is>
          <t>No</t>
        </is>
      </c>
      <c r="B3095" t="inlineStr">
        <is>
          <t>CURAL</t>
        </is>
      </c>
      <c r="C3095" t="inlineStr">
        <is>
          <t>SHELVES</t>
        </is>
      </c>
      <c r="D3095" t="inlineStr">
        <is>
          <t>PR6019.O9 Z543 1966a</t>
        </is>
      </c>
      <c r="E3095" t="inlineStr">
        <is>
          <t>0                      PR 6019000O  9                  Z  543         1966a</t>
        </is>
      </c>
      <c r="F3095" t="inlineStr">
        <is>
          <t>The Joyce paradox; form and freedom in his fiction.</t>
        </is>
      </c>
      <c r="H3095" t="inlineStr">
        <is>
          <t>No</t>
        </is>
      </c>
      <c r="I3095" t="inlineStr">
        <is>
          <t>1</t>
        </is>
      </c>
      <c r="J3095" t="inlineStr">
        <is>
          <t>No</t>
        </is>
      </c>
      <c r="K3095" t="inlineStr">
        <is>
          <t>No</t>
        </is>
      </c>
      <c r="L3095" t="inlineStr">
        <is>
          <t>0</t>
        </is>
      </c>
      <c r="M3095" t="inlineStr">
        <is>
          <t>Goldman, Arnold.</t>
        </is>
      </c>
      <c r="N3095" t="inlineStr">
        <is>
          <t>[Evanston, Ill.] Northwestern University Press [1966]</t>
        </is>
      </c>
      <c r="O3095" t="inlineStr">
        <is>
          <t>1966</t>
        </is>
      </c>
      <c r="Q3095" t="inlineStr">
        <is>
          <t>eng</t>
        </is>
      </c>
      <c r="R3095" t="inlineStr">
        <is>
          <t>ilu</t>
        </is>
      </c>
      <c r="T3095" t="inlineStr">
        <is>
          <t xml:space="preserve">PR </t>
        </is>
      </c>
      <c r="U3095" t="n">
        <v>3</v>
      </c>
      <c r="V3095" t="n">
        <v>3</v>
      </c>
      <c r="W3095" t="inlineStr">
        <is>
          <t>2005-04-14</t>
        </is>
      </c>
      <c r="X3095" t="inlineStr">
        <is>
          <t>2005-04-14</t>
        </is>
      </c>
      <c r="Y3095" t="inlineStr">
        <is>
          <t>1991-12-30</t>
        </is>
      </c>
      <c r="Z3095" t="inlineStr">
        <is>
          <t>1991-12-30</t>
        </is>
      </c>
      <c r="AA3095" t="n">
        <v>573</v>
      </c>
      <c r="AB3095" t="n">
        <v>519</v>
      </c>
      <c r="AC3095" t="n">
        <v>586</v>
      </c>
      <c r="AD3095" t="n">
        <v>5</v>
      </c>
      <c r="AE3095" t="n">
        <v>5</v>
      </c>
      <c r="AF3095" t="n">
        <v>30</v>
      </c>
      <c r="AG3095" t="n">
        <v>31</v>
      </c>
      <c r="AH3095" t="n">
        <v>10</v>
      </c>
      <c r="AI3095" t="n">
        <v>10</v>
      </c>
      <c r="AJ3095" t="n">
        <v>7</v>
      </c>
      <c r="AK3095" t="n">
        <v>7</v>
      </c>
      <c r="AL3095" t="n">
        <v>17</v>
      </c>
      <c r="AM3095" t="n">
        <v>18</v>
      </c>
      <c r="AN3095" t="n">
        <v>4</v>
      </c>
      <c r="AO3095" t="n">
        <v>4</v>
      </c>
      <c r="AP3095" t="n">
        <v>0</v>
      </c>
      <c r="AQ3095" t="n">
        <v>0</v>
      </c>
      <c r="AR3095" t="inlineStr">
        <is>
          <t>No</t>
        </is>
      </c>
      <c r="AS3095" t="inlineStr">
        <is>
          <t>No</t>
        </is>
      </c>
      <c r="AU3095">
        <f>HYPERLINK("https://creighton-primo.hosted.exlibrisgroup.com/primo-explore/search?tab=default_tab&amp;search_scope=EVERYTHING&amp;vid=01CRU&amp;lang=en_US&amp;offset=0&amp;query=any,contains,991002519279702656","Catalog Record")</f>
        <v/>
      </c>
      <c r="AV3095">
        <f>HYPERLINK("http://www.worldcat.org/oclc/365726","WorldCat Record")</f>
        <v/>
      </c>
      <c r="AW3095" t="inlineStr">
        <is>
          <t>1425343:eng</t>
        </is>
      </c>
      <c r="AX3095" t="inlineStr">
        <is>
          <t>365726</t>
        </is>
      </c>
      <c r="AY3095" t="inlineStr">
        <is>
          <t>991002519279702656</t>
        </is>
      </c>
      <c r="AZ3095" t="inlineStr">
        <is>
          <t>991002519279702656</t>
        </is>
      </c>
      <c r="BA3095" t="inlineStr">
        <is>
          <t>2266105370002656</t>
        </is>
      </c>
      <c r="BB3095" t="inlineStr">
        <is>
          <t>BOOK</t>
        </is>
      </c>
      <c r="BE3095" t="inlineStr">
        <is>
          <t>32285000901586</t>
        </is>
      </c>
      <c r="BF3095" t="inlineStr">
        <is>
          <t>893329191</t>
        </is>
      </c>
    </row>
    <row r="3096">
      <c r="A3096" t="inlineStr">
        <is>
          <t>No</t>
        </is>
      </c>
      <c r="B3096" t="inlineStr">
        <is>
          <t>CURAL</t>
        </is>
      </c>
      <c r="C3096" t="inlineStr">
        <is>
          <t>SHELVES</t>
        </is>
      </c>
      <c r="D3096" t="inlineStr">
        <is>
          <t>PR6019.O9 Z546</t>
        </is>
      </c>
      <c r="E3096" t="inlineStr">
        <is>
          <t>0                      PR 6019000O  9                  Z  546</t>
        </is>
      </c>
      <c r="F3096" t="inlineStr">
        <is>
          <t>James Joyce's metamorphoses / John Gordon.</t>
        </is>
      </c>
      <c r="H3096" t="inlineStr">
        <is>
          <t>No</t>
        </is>
      </c>
      <c r="I3096" t="inlineStr">
        <is>
          <t>1</t>
        </is>
      </c>
      <c r="J3096" t="inlineStr">
        <is>
          <t>No</t>
        </is>
      </c>
      <c r="K3096" t="inlineStr">
        <is>
          <t>No</t>
        </is>
      </c>
      <c r="L3096" t="inlineStr">
        <is>
          <t>0</t>
        </is>
      </c>
      <c r="M3096" t="inlineStr">
        <is>
          <t>Gordon, John, 1945-</t>
        </is>
      </c>
      <c r="N3096" t="inlineStr">
        <is>
          <t>Dublin : Gill and Macmillan ; Totowa, N.J. : Barnes &amp; Noble, 1981.</t>
        </is>
      </c>
      <c r="O3096" t="inlineStr">
        <is>
          <t>1981</t>
        </is>
      </c>
      <c r="Q3096" t="inlineStr">
        <is>
          <t>eng</t>
        </is>
      </c>
      <c r="R3096" t="inlineStr">
        <is>
          <t xml:space="preserve">ir </t>
        </is>
      </c>
      <c r="T3096" t="inlineStr">
        <is>
          <t xml:space="preserve">PR </t>
        </is>
      </c>
      <c r="U3096" t="n">
        <v>2</v>
      </c>
      <c r="V3096" t="n">
        <v>2</v>
      </c>
      <c r="W3096" t="inlineStr">
        <is>
          <t>2005-04-11</t>
        </is>
      </c>
      <c r="X3096" t="inlineStr">
        <is>
          <t>2005-04-11</t>
        </is>
      </c>
      <c r="Y3096" t="inlineStr">
        <is>
          <t>1992-07-08</t>
        </is>
      </c>
      <c r="Z3096" t="inlineStr">
        <is>
          <t>1992-07-08</t>
        </is>
      </c>
      <c r="AA3096" t="n">
        <v>493</v>
      </c>
      <c r="AB3096" t="n">
        <v>370</v>
      </c>
      <c r="AC3096" t="n">
        <v>394</v>
      </c>
      <c r="AD3096" t="n">
        <v>3</v>
      </c>
      <c r="AE3096" t="n">
        <v>3</v>
      </c>
      <c r="AF3096" t="n">
        <v>17</v>
      </c>
      <c r="AG3096" t="n">
        <v>20</v>
      </c>
      <c r="AH3096" t="n">
        <v>7</v>
      </c>
      <c r="AI3096" t="n">
        <v>7</v>
      </c>
      <c r="AJ3096" t="n">
        <v>6</v>
      </c>
      <c r="AK3096" t="n">
        <v>8</v>
      </c>
      <c r="AL3096" t="n">
        <v>10</v>
      </c>
      <c r="AM3096" t="n">
        <v>11</v>
      </c>
      <c r="AN3096" t="n">
        <v>2</v>
      </c>
      <c r="AO3096" t="n">
        <v>2</v>
      </c>
      <c r="AP3096" t="n">
        <v>0</v>
      </c>
      <c r="AQ3096" t="n">
        <v>0</v>
      </c>
      <c r="AR3096" t="inlineStr">
        <is>
          <t>No</t>
        </is>
      </c>
      <c r="AS3096" t="inlineStr">
        <is>
          <t>Yes</t>
        </is>
      </c>
      <c r="AT3096">
        <f>HYPERLINK("http://catalog.hathitrust.org/Record/000760830","HathiTrust Record")</f>
        <v/>
      </c>
      <c r="AU3096">
        <f>HYPERLINK("https://creighton-primo.hosted.exlibrisgroup.com/primo-explore/search?tab=default_tab&amp;search_scope=EVERYTHING&amp;vid=01CRU&amp;lang=en_US&amp;offset=0&amp;query=any,contains,991005202059702656","Catalog Record")</f>
        <v/>
      </c>
      <c r="AV3096">
        <f>HYPERLINK("http://www.worldcat.org/oclc/8092000","WorldCat Record")</f>
        <v/>
      </c>
      <c r="AW3096" t="inlineStr">
        <is>
          <t>572871:eng</t>
        </is>
      </c>
      <c r="AX3096" t="inlineStr">
        <is>
          <t>8092000</t>
        </is>
      </c>
      <c r="AY3096" t="inlineStr">
        <is>
          <t>991005202059702656</t>
        </is>
      </c>
      <c r="AZ3096" t="inlineStr">
        <is>
          <t>991005202059702656</t>
        </is>
      </c>
      <c r="BA3096" t="inlineStr">
        <is>
          <t>2269982740002656</t>
        </is>
      </c>
      <c r="BB3096" t="inlineStr">
        <is>
          <t>BOOK</t>
        </is>
      </c>
      <c r="BD3096" t="inlineStr">
        <is>
          <t>9780389201670</t>
        </is>
      </c>
      <c r="BE3096" t="inlineStr">
        <is>
          <t>32285001150878</t>
        </is>
      </c>
      <c r="BF3096" t="inlineStr">
        <is>
          <t>893613295</t>
        </is>
      </c>
    </row>
    <row r="3097">
      <c r="A3097" t="inlineStr">
        <is>
          <t>No</t>
        </is>
      </c>
      <c r="B3097" t="inlineStr">
        <is>
          <t>CURAL</t>
        </is>
      </c>
      <c r="C3097" t="inlineStr">
        <is>
          <t>SHELVES</t>
        </is>
      </c>
      <c r="D3097" t="inlineStr">
        <is>
          <t>PR6019.O9 Z554 1980</t>
        </is>
      </c>
      <c r="E3097" t="inlineStr">
        <is>
          <t>0                      PR 6019000O  9                  Z  554         1980</t>
        </is>
      </c>
      <c r="F3097" t="inlineStr">
        <is>
          <t>James Joyce's manuscripts : an index / compiled by Michael Groden.</t>
        </is>
      </c>
      <c r="H3097" t="inlineStr">
        <is>
          <t>No</t>
        </is>
      </c>
      <c r="I3097" t="inlineStr">
        <is>
          <t>1</t>
        </is>
      </c>
      <c r="J3097" t="inlineStr">
        <is>
          <t>No</t>
        </is>
      </c>
      <c r="K3097" t="inlineStr">
        <is>
          <t>No</t>
        </is>
      </c>
      <c r="L3097" t="inlineStr">
        <is>
          <t>0</t>
        </is>
      </c>
      <c r="M3097" t="inlineStr">
        <is>
          <t>Groden, Michael.</t>
        </is>
      </c>
      <c r="N3097" t="inlineStr">
        <is>
          <t>New York : Garland Pub., 1980.</t>
        </is>
      </c>
      <c r="O3097" t="inlineStr">
        <is>
          <t>1980</t>
        </is>
      </c>
      <c r="Q3097" t="inlineStr">
        <is>
          <t>eng</t>
        </is>
      </c>
      <c r="R3097" t="inlineStr">
        <is>
          <t>nyu</t>
        </is>
      </c>
      <c r="S3097" t="inlineStr">
        <is>
          <t>Garland reference library of the humanities ; v. 186</t>
        </is>
      </c>
      <c r="T3097" t="inlineStr">
        <is>
          <t xml:space="preserve">PR </t>
        </is>
      </c>
      <c r="U3097" t="n">
        <v>1</v>
      </c>
      <c r="V3097" t="n">
        <v>1</v>
      </c>
      <c r="W3097" t="inlineStr">
        <is>
          <t>2001-01-17</t>
        </is>
      </c>
      <c r="X3097" t="inlineStr">
        <is>
          <t>2001-01-17</t>
        </is>
      </c>
      <c r="Y3097" t="inlineStr">
        <is>
          <t>1992-07-08</t>
        </is>
      </c>
      <c r="Z3097" t="inlineStr">
        <is>
          <t>1992-07-08</t>
        </is>
      </c>
      <c r="AA3097" t="n">
        <v>313</v>
      </c>
      <c r="AB3097" t="n">
        <v>227</v>
      </c>
      <c r="AC3097" t="n">
        <v>234</v>
      </c>
      <c r="AD3097" t="n">
        <v>3</v>
      </c>
      <c r="AE3097" t="n">
        <v>3</v>
      </c>
      <c r="AF3097" t="n">
        <v>12</v>
      </c>
      <c r="AG3097" t="n">
        <v>12</v>
      </c>
      <c r="AH3097" t="n">
        <v>1</v>
      </c>
      <c r="AI3097" t="n">
        <v>1</v>
      </c>
      <c r="AJ3097" t="n">
        <v>5</v>
      </c>
      <c r="AK3097" t="n">
        <v>5</v>
      </c>
      <c r="AL3097" t="n">
        <v>8</v>
      </c>
      <c r="AM3097" t="n">
        <v>8</v>
      </c>
      <c r="AN3097" t="n">
        <v>2</v>
      </c>
      <c r="AO3097" t="n">
        <v>2</v>
      </c>
      <c r="AP3097" t="n">
        <v>0</v>
      </c>
      <c r="AQ3097" t="n">
        <v>0</v>
      </c>
      <c r="AR3097" t="inlineStr">
        <is>
          <t>No</t>
        </is>
      </c>
      <c r="AS3097" t="inlineStr">
        <is>
          <t>Yes</t>
        </is>
      </c>
      <c r="AT3097">
        <f>HYPERLINK("http://catalog.hathitrust.org/Record/000127982","HathiTrust Record")</f>
        <v/>
      </c>
      <c r="AU3097">
        <f>HYPERLINK("https://creighton-primo.hosted.exlibrisgroup.com/primo-explore/search?tab=default_tab&amp;search_scope=EVERYTHING&amp;vid=01CRU&amp;lang=en_US&amp;offset=0&amp;query=any,contains,991004926589702656","Catalog Record")</f>
        <v/>
      </c>
      <c r="AV3097">
        <f>HYPERLINK("http://www.worldcat.org/oclc/6086550","WorldCat Record")</f>
        <v/>
      </c>
      <c r="AW3097" t="inlineStr">
        <is>
          <t>198706759:eng</t>
        </is>
      </c>
      <c r="AX3097" t="inlineStr">
        <is>
          <t>6086550</t>
        </is>
      </c>
      <c r="AY3097" t="inlineStr">
        <is>
          <t>991004926589702656</t>
        </is>
      </c>
      <c r="AZ3097" t="inlineStr">
        <is>
          <t>991004926589702656</t>
        </is>
      </c>
      <c r="BA3097" t="inlineStr">
        <is>
          <t>2257913940002656</t>
        </is>
      </c>
      <c r="BB3097" t="inlineStr">
        <is>
          <t>BOOK</t>
        </is>
      </c>
      <c r="BD3097" t="inlineStr">
        <is>
          <t>9780824095406</t>
        </is>
      </c>
      <c r="BE3097" t="inlineStr">
        <is>
          <t>32285001150886</t>
        </is>
      </c>
      <c r="BF3097" t="inlineStr">
        <is>
          <t>893325943</t>
        </is>
      </c>
    </row>
    <row r="3098">
      <c r="A3098" t="inlineStr">
        <is>
          <t>No</t>
        </is>
      </c>
      <c r="B3098" t="inlineStr">
        <is>
          <t>CURAL</t>
        </is>
      </c>
      <c r="C3098" t="inlineStr">
        <is>
          <t>SHELVES</t>
        </is>
      </c>
      <c r="D3098" t="inlineStr">
        <is>
          <t>PR6019.O9 Z578 1997</t>
        </is>
      </c>
      <c r="E3098" t="inlineStr">
        <is>
          <t>0                      PR 6019000O  9                  Z  578         1997</t>
        </is>
      </c>
      <c r="F3098" t="inlineStr">
        <is>
          <t>James Joyce and Trieste / Peter Hartshorn ; foreword by Zack Bowen.</t>
        </is>
      </c>
      <c r="H3098" t="inlineStr">
        <is>
          <t>No</t>
        </is>
      </c>
      <c r="I3098" t="inlineStr">
        <is>
          <t>1</t>
        </is>
      </c>
      <c r="J3098" t="inlineStr">
        <is>
          <t>No</t>
        </is>
      </c>
      <c r="K3098" t="inlineStr">
        <is>
          <t>No</t>
        </is>
      </c>
      <c r="L3098" t="inlineStr">
        <is>
          <t>0</t>
        </is>
      </c>
      <c r="M3098" t="inlineStr">
        <is>
          <t>Hartshorn, Peter, 1956-</t>
        </is>
      </c>
      <c r="N3098" t="inlineStr">
        <is>
          <t>Westport, Conn. : Greenwood Press, 1997.</t>
        </is>
      </c>
      <c r="O3098" t="inlineStr">
        <is>
          <t>1997</t>
        </is>
      </c>
      <c r="Q3098" t="inlineStr">
        <is>
          <t>eng</t>
        </is>
      </c>
      <c r="R3098" t="inlineStr">
        <is>
          <t>ctu</t>
        </is>
      </c>
      <c r="S3098" t="inlineStr">
        <is>
          <t>Contributions to the study of world literature, 0738-9345 ; no. 86</t>
        </is>
      </c>
      <c r="T3098" t="inlineStr">
        <is>
          <t xml:space="preserve">PR </t>
        </is>
      </c>
      <c r="U3098" t="n">
        <v>3</v>
      </c>
      <c r="V3098" t="n">
        <v>3</v>
      </c>
      <c r="W3098" t="inlineStr">
        <is>
          <t>2004-05-03</t>
        </is>
      </c>
      <c r="X3098" t="inlineStr">
        <is>
          <t>2004-05-03</t>
        </is>
      </c>
      <c r="Y3098" t="inlineStr">
        <is>
          <t>1999-04-21</t>
        </is>
      </c>
      <c r="Z3098" t="inlineStr">
        <is>
          <t>1999-04-21</t>
        </is>
      </c>
      <c r="AA3098" t="n">
        <v>292</v>
      </c>
      <c r="AB3098" t="n">
        <v>242</v>
      </c>
      <c r="AC3098" t="n">
        <v>244</v>
      </c>
      <c r="AD3098" t="n">
        <v>3</v>
      </c>
      <c r="AE3098" t="n">
        <v>3</v>
      </c>
      <c r="AF3098" t="n">
        <v>16</v>
      </c>
      <c r="AG3098" t="n">
        <v>16</v>
      </c>
      <c r="AH3098" t="n">
        <v>3</v>
      </c>
      <c r="AI3098" t="n">
        <v>3</v>
      </c>
      <c r="AJ3098" t="n">
        <v>5</v>
      </c>
      <c r="AK3098" t="n">
        <v>5</v>
      </c>
      <c r="AL3098" t="n">
        <v>10</v>
      </c>
      <c r="AM3098" t="n">
        <v>10</v>
      </c>
      <c r="AN3098" t="n">
        <v>2</v>
      </c>
      <c r="AO3098" t="n">
        <v>2</v>
      </c>
      <c r="AP3098" t="n">
        <v>0</v>
      </c>
      <c r="AQ3098" t="n">
        <v>0</v>
      </c>
      <c r="AR3098" t="inlineStr">
        <is>
          <t>No</t>
        </is>
      </c>
      <c r="AS3098" t="inlineStr">
        <is>
          <t>Yes</t>
        </is>
      </c>
      <c r="AT3098">
        <f>HYPERLINK("http://catalog.hathitrust.org/Record/003968839","HathiTrust Record")</f>
        <v/>
      </c>
      <c r="AU3098">
        <f>HYPERLINK("https://creighton-primo.hosted.exlibrisgroup.com/primo-explore/search?tab=default_tab&amp;search_scope=EVERYTHING&amp;vid=01CRU&amp;lang=en_US&amp;offset=0&amp;query=any,contains,991002787859702656","Catalog Record")</f>
        <v/>
      </c>
      <c r="AV3098">
        <f>HYPERLINK("http://www.worldcat.org/oclc/36621769","WorldCat Record")</f>
        <v/>
      </c>
      <c r="AW3098" t="inlineStr">
        <is>
          <t>611953:eng</t>
        </is>
      </c>
      <c r="AX3098" t="inlineStr">
        <is>
          <t>36621769</t>
        </is>
      </c>
      <c r="AY3098" t="inlineStr">
        <is>
          <t>991002787859702656</t>
        </is>
      </c>
      <c r="AZ3098" t="inlineStr">
        <is>
          <t>991002787859702656</t>
        </is>
      </c>
      <c r="BA3098" t="inlineStr">
        <is>
          <t>2265312450002656</t>
        </is>
      </c>
      <c r="BB3098" t="inlineStr">
        <is>
          <t>BOOK</t>
        </is>
      </c>
      <c r="BD3098" t="inlineStr">
        <is>
          <t>9780313302527</t>
        </is>
      </c>
      <c r="BE3098" t="inlineStr">
        <is>
          <t>32285003553970</t>
        </is>
      </c>
      <c r="BF3098" t="inlineStr">
        <is>
          <t>893329539</t>
        </is>
      </c>
    </row>
    <row r="3099">
      <c r="A3099" t="inlineStr">
        <is>
          <t>No</t>
        </is>
      </c>
      <c r="B3099" t="inlineStr">
        <is>
          <t>CURAL</t>
        </is>
      </c>
      <c r="C3099" t="inlineStr">
        <is>
          <t>SHELVES</t>
        </is>
      </c>
      <c r="D3099" t="inlineStr">
        <is>
          <t>PR6019.O9 Z5859</t>
        </is>
      </c>
      <c r="E3099" t="inlineStr">
        <is>
          <t>0                      PR 6019000O  9                  Z  5859</t>
        </is>
      </c>
      <c r="F3099" t="inlineStr">
        <is>
          <t>James Joyce : a student's guide / by Matthew Hodgart. --</t>
        </is>
      </c>
      <c r="H3099" t="inlineStr">
        <is>
          <t>No</t>
        </is>
      </c>
      <c r="I3099" t="inlineStr">
        <is>
          <t>1</t>
        </is>
      </c>
      <c r="J3099" t="inlineStr">
        <is>
          <t>No</t>
        </is>
      </c>
      <c r="K3099" t="inlineStr">
        <is>
          <t>No</t>
        </is>
      </c>
      <c r="L3099" t="inlineStr">
        <is>
          <t>0</t>
        </is>
      </c>
      <c r="M3099" t="inlineStr">
        <is>
          <t>Hodgart, Matthew John Caldwell.</t>
        </is>
      </c>
      <c r="N3099" t="inlineStr">
        <is>
          <t>London ; Boston : Routledge &amp; K. Paul, 1978.</t>
        </is>
      </c>
      <c r="O3099" t="inlineStr">
        <is>
          <t>1978</t>
        </is>
      </c>
      <c r="Q3099" t="inlineStr">
        <is>
          <t>eng</t>
        </is>
      </c>
      <c r="R3099" t="inlineStr">
        <is>
          <t xml:space="preserve">xx </t>
        </is>
      </c>
      <c r="T3099" t="inlineStr">
        <is>
          <t xml:space="preserve">PR </t>
        </is>
      </c>
      <c r="U3099" t="n">
        <v>3</v>
      </c>
      <c r="V3099" t="n">
        <v>3</v>
      </c>
      <c r="W3099" t="inlineStr">
        <is>
          <t>2004-11-03</t>
        </is>
      </c>
      <c r="X3099" t="inlineStr">
        <is>
          <t>2004-11-03</t>
        </is>
      </c>
      <c r="Y3099" t="inlineStr">
        <is>
          <t>1992-03-20</t>
        </is>
      </c>
      <c r="Z3099" t="inlineStr">
        <is>
          <t>1992-03-20</t>
        </is>
      </c>
      <c r="AA3099" t="n">
        <v>864</v>
      </c>
      <c r="AB3099" t="n">
        <v>615</v>
      </c>
      <c r="AC3099" t="n">
        <v>617</v>
      </c>
      <c r="AD3099" t="n">
        <v>8</v>
      </c>
      <c r="AE3099" t="n">
        <v>8</v>
      </c>
      <c r="AF3099" t="n">
        <v>31</v>
      </c>
      <c r="AG3099" t="n">
        <v>31</v>
      </c>
      <c r="AH3099" t="n">
        <v>11</v>
      </c>
      <c r="AI3099" t="n">
        <v>11</v>
      </c>
      <c r="AJ3099" t="n">
        <v>7</v>
      </c>
      <c r="AK3099" t="n">
        <v>7</v>
      </c>
      <c r="AL3099" t="n">
        <v>16</v>
      </c>
      <c r="AM3099" t="n">
        <v>16</v>
      </c>
      <c r="AN3099" t="n">
        <v>7</v>
      </c>
      <c r="AO3099" t="n">
        <v>7</v>
      </c>
      <c r="AP3099" t="n">
        <v>0</v>
      </c>
      <c r="AQ3099" t="n">
        <v>0</v>
      </c>
      <c r="AR3099" t="inlineStr">
        <is>
          <t>No</t>
        </is>
      </c>
      <c r="AS3099" t="inlineStr">
        <is>
          <t>Yes</t>
        </is>
      </c>
      <c r="AT3099">
        <f>HYPERLINK("http://catalog.hathitrust.org/Record/004481240","HathiTrust Record")</f>
        <v/>
      </c>
      <c r="AU3099">
        <f>HYPERLINK("https://creighton-primo.hosted.exlibrisgroup.com/primo-explore/search?tab=default_tab&amp;search_scope=EVERYTHING&amp;vid=01CRU&amp;lang=en_US&amp;offset=0&amp;query=any,contains,991004614779702656","Catalog Record")</f>
        <v/>
      </c>
      <c r="AV3099">
        <f>HYPERLINK("http://www.worldcat.org/oclc/4514955","WorldCat Record")</f>
        <v/>
      </c>
      <c r="AW3099" t="inlineStr">
        <is>
          <t>199013899:eng</t>
        </is>
      </c>
      <c r="AX3099" t="inlineStr">
        <is>
          <t>4514955</t>
        </is>
      </c>
      <c r="AY3099" t="inlineStr">
        <is>
          <t>991004614779702656</t>
        </is>
      </c>
      <c r="AZ3099" t="inlineStr">
        <is>
          <t>991004614779702656</t>
        </is>
      </c>
      <c r="BA3099" t="inlineStr">
        <is>
          <t>2264547160002656</t>
        </is>
      </c>
      <c r="BB3099" t="inlineStr">
        <is>
          <t>BOOK</t>
        </is>
      </c>
      <c r="BD3099" t="inlineStr">
        <is>
          <t>9780710088178</t>
        </is>
      </c>
      <c r="BE3099" t="inlineStr">
        <is>
          <t>32285001025534</t>
        </is>
      </c>
      <c r="BF3099" t="inlineStr">
        <is>
          <t>893411755</t>
        </is>
      </c>
    </row>
    <row r="3100">
      <c r="A3100" t="inlineStr">
        <is>
          <t>No</t>
        </is>
      </c>
      <c r="B3100" t="inlineStr">
        <is>
          <t>CURAL</t>
        </is>
      </c>
      <c r="C3100" t="inlineStr">
        <is>
          <t>SHELVES</t>
        </is>
      </c>
      <c r="D3100" t="inlineStr">
        <is>
          <t>PR6019.O9 Z615 1957</t>
        </is>
      </c>
      <c r="E3100" t="inlineStr">
        <is>
          <t>0                      PR 6019000O  9                  Z  615         1957</t>
        </is>
      </c>
      <c r="F3100" t="inlineStr">
        <is>
          <t>James Joyce's world.</t>
        </is>
      </c>
      <c r="H3100" t="inlineStr">
        <is>
          <t>No</t>
        </is>
      </c>
      <c r="I3100" t="inlineStr">
        <is>
          <t>1</t>
        </is>
      </c>
      <c r="J3100" t="inlineStr">
        <is>
          <t>No</t>
        </is>
      </c>
      <c r="K3100" t="inlineStr">
        <is>
          <t>No</t>
        </is>
      </c>
      <c r="L3100" t="inlineStr">
        <is>
          <t>0</t>
        </is>
      </c>
      <c r="M3100" t="inlineStr">
        <is>
          <t>Hutchins, Patricia.</t>
        </is>
      </c>
      <c r="N3100" t="inlineStr">
        <is>
          <t>London : Methuen, [1957]</t>
        </is>
      </c>
      <c r="O3100" t="inlineStr">
        <is>
          <t>1957</t>
        </is>
      </c>
      <c r="Q3100" t="inlineStr">
        <is>
          <t>eng</t>
        </is>
      </c>
      <c r="R3100" t="inlineStr">
        <is>
          <t>enk</t>
        </is>
      </c>
      <c r="T3100" t="inlineStr">
        <is>
          <t xml:space="preserve">PR </t>
        </is>
      </c>
      <c r="U3100" t="n">
        <v>3</v>
      </c>
      <c r="V3100" t="n">
        <v>3</v>
      </c>
      <c r="W3100" t="inlineStr">
        <is>
          <t>2001-04-03</t>
        </is>
      </c>
      <c r="X3100" t="inlineStr">
        <is>
          <t>2001-04-03</t>
        </is>
      </c>
      <c r="Y3100" t="inlineStr">
        <is>
          <t>1991-09-04</t>
        </is>
      </c>
      <c r="Z3100" t="inlineStr">
        <is>
          <t>1991-09-04</t>
        </is>
      </c>
      <c r="AA3100" t="n">
        <v>508</v>
      </c>
      <c r="AB3100" t="n">
        <v>389</v>
      </c>
      <c r="AC3100" t="n">
        <v>416</v>
      </c>
      <c r="AD3100" t="n">
        <v>2</v>
      </c>
      <c r="AE3100" t="n">
        <v>2</v>
      </c>
      <c r="AF3100" t="n">
        <v>24</v>
      </c>
      <c r="AG3100" t="n">
        <v>24</v>
      </c>
      <c r="AH3100" t="n">
        <v>8</v>
      </c>
      <c r="AI3100" t="n">
        <v>8</v>
      </c>
      <c r="AJ3100" t="n">
        <v>5</v>
      </c>
      <c r="AK3100" t="n">
        <v>5</v>
      </c>
      <c r="AL3100" t="n">
        <v>16</v>
      </c>
      <c r="AM3100" t="n">
        <v>16</v>
      </c>
      <c r="AN3100" t="n">
        <v>1</v>
      </c>
      <c r="AO3100" t="n">
        <v>1</v>
      </c>
      <c r="AP3100" t="n">
        <v>0</v>
      </c>
      <c r="AQ3100" t="n">
        <v>0</v>
      </c>
      <c r="AR3100" t="inlineStr">
        <is>
          <t>No</t>
        </is>
      </c>
      <c r="AS3100" t="inlineStr">
        <is>
          <t>Yes</t>
        </is>
      </c>
      <c r="AT3100">
        <f>HYPERLINK("http://catalog.hathitrust.org/Record/000588725","HathiTrust Record")</f>
        <v/>
      </c>
      <c r="AU3100">
        <f>HYPERLINK("https://creighton-primo.hosted.exlibrisgroup.com/primo-explore/search?tab=default_tab&amp;search_scope=EVERYTHING&amp;vid=01CRU&amp;lang=en_US&amp;offset=0&amp;query=any,contains,991003250299702656","Catalog Record")</f>
        <v/>
      </c>
      <c r="AV3100">
        <f>HYPERLINK("http://www.worldcat.org/oclc/775297","WorldCat Record")</f>
        <v/>
      </c>
      <c r="AW3100" t="inlineStr">
        <is>
          <t>1124135:eng</t>
        </is>
      </c>
      <c r="AX3100" t="inlineStr">
        <is>
          <t>775297</t>
        </is>
      </c>
      <c r="AY3100" t="inlineStr">
        <is>
          <t>991003250299702656</t>
        </is>
      </c>
      <c r="AZ3100" t="inlineStr">
        <is>
          <t>991003250299702656</t>
        </is>
      </c>
      <c r="BA3100" t="inlineStr">
        <is>
          <t>2266709010002656</t>
        </is>
      </c>
      <c r="BB3100" t="inlineStr">
        <is>
          <t>BOOK</t>
        </is>
      </c>
      <c r="BE3100" t="inlineStr">
        <is>
          <t>32285000734011</t>
        </is>
      </c>
      <c r="BF3100" t="inlineStr">
        <is>
          <t>893348481</t>
        </is>
      </c>
    </row>
    <row r="3101">
      <c r="A3101" t="inlineStr">
        <is>
          <t>No</t>
        </is>
      </c>
      <c r="B3101" t="inlineStr">
        <is>
          <t>CURAL</t>
        </is>
      </c>
      <c r="C3101" t="inlineStr">
        <is>
          <t>SHELVES</t>
        </is>
      </c>
      <c r="D3101" t="inlineStr">
        <is>
          <t>PR6019.O9 Z62 1986</t>
        </is>
      </c>
      <c r="E3101" t="inlineStr">
        <is>
          <t>0                      PR 6019000O  9                  Z  62          1986</t>
        </is>
      </c>
      <c r="F3101" t="inlineStr">
        <is>
          <t>International perspectives on James Joyce / edited by Gottlieb Gaiser.</t>
        </is>
      </c>
      <c r="H3101" t="inlineStr">
        <is>
          <t>No</t>
        </is>
      </c>
      <c r="I3101" t="inlineStr">
        <is>
          <t>1</t>
        </is>
      </c>
      <c r="J3101" t="inlineStr">
        <is>
          <t>No</t>
        </is>
      </c>
      <c r="K3101" t="inlineStr">
        <is>
          <t>No</t>
        </is>
      </c>
      <c r="L3101" t="inlineStr">
        <is>
          <t>0</t>
        </is>
      </c>
      <c r="N3101" t="inlineStr">
        <is>
          <t>Troy, N.Y. : Whitston Pub. Co., 1986.</t>
        </is>
      </c>
      <c r="O3101" t="inlineStr">
        <is>
          <t>1986</t>
        </is>
      </c>
      <c r="Q3101" t="inlineStr">
        <is>
          <t>eng</t>
        </is>
      </c>
      <c r="R3101" t="inlineStr">
        <is>
          <t>nyu</t>
        </is>
      </c>
      <c r="T3101" t="inlineStr">
        <is>
          <t xml:space="preserve">PR </t>
        </is>
      </c>
      <c r="U3101" t="n">
        <v>2</v>
      </c>
      <c r="V3101" t="n">
        <v>2</v>
      </c>
      <c r="W3101" t="inlineStr">
        <is>
          <t>2002-06-13</t>
        </is>
      </c>
      <c r="X3101" t="inlineStr">
        <is>
          <t>2002-06-13</t>
        </is>
      </c>
      <c r="Y3101" t="inlineStr">
        <is>
          <t>1991-12-06</t>
        </is>
      </c>
      <c r="Z3101" t="inlineStr">
        <is>
          <t>1991-12-06</t>
        </is>
      </c>
      <c r="AA3101" t="n">
        <v>350</v>
      </c>
      <c r="AB3101" t="n">
        <v>282</v>
      </c>
      <c r="AC3101" t="n">
        <v>373</v>
      </c>
      <c r="AD3101" t="n">
        <v>2</v>
      </c>
      <c r="AE3101" t="n">
        <v>2</v>
      </c>
      <c r="AF3101" t="n">
        <v>17</v>
      </c>
      <c r="AG3101" t="n">
        <v>24</v>
      </c>
      <c r="AH3101" t="n">
        <v>6</v>
      </c>
      <c r="AI3101" t="n">
        <v>12</v>
      </c>
      <c r="AJ3101" t="n">
        <v>4</v>
      </c>
      <c r="AK3101" t="n">
        <v>6</v>
      </c>
      <c r="AL3101" t="n">
        <v>11</v>
      </c>
      <c r="AM3101" t="n">
        <v>12</v>
      </c>
      <c r="AN3101" t="n">
        <v>1</v>
      </c>
      <c r="AO3101" t="n">
        <v>1</v>
      </c>
      <c r="AP3101" t="n">
        <v>0</v>
      </c>
      <c r="AQ3101" t="n">
        <v>0</v>
      </c>
      <c r="AR3101" t="inlineStr">
        <is>
          <t>No</t>
        </is>
      </c>
      <c r="AS3101" t="inlineStr">
        <is>
          <t>Yes</t>
        </is>
      </c>
      <c r="AT3101">
        <f>HYPERLINK("http://catalog.hathitrust.org/Record/000486256","HathiTrust Record")</f>
        <v/>
      </c>
      <c r="AU3101">
        <f>HYPERLINK("https://creighton-primo.hosted.exlibrisgroup.com/primo-explore/search?tab=default_tab&amp;search_scope=EVERYTHING&amp;vid=01CRU&amp;lang=en_US&amp;offset=0&amp;query=any,contains,991000847579702656","Catalog Record")</f>
        <v/>
      </c>
      <c r="AV3101">
        <f>HYPERLINK("http://www.worldcat.org/oclc/13573654","WorldCat Record")</f>
        <v/>
      </c>
      <c r="AW3101" t="inlineStr">
        <is>
          <t>7297522:eng</t>
        </is>
      </c>
      <c r="AX3101" t="inlineStr">
        <is>
          <t>13573654</t>
        </is>
      </c>
      <c r="AY3101" t="inlineStr">
        <is>
          <t>991000847579702656</t>
        </is>
      </c>
      <c r="AZ3101" t="inlineStr">
        <is>
          <t>991000847579702656</t>
        </is>
      </c>
      <c r="BA3101" t="inlineStr">
        <is>
          <t>2264059500002656</t>
        </is>
      </c>
      <c r="BB3101" t="inlineStr">
        <is>
          <t>BOOK</t>
        </is>
      </c>
      <c r="BD3101" t="inlineStr">
        <is>
          <t>9780878753123</t>
        </is>
      </c>
      <c r="BE3101" t="inlineStr">
        <is>
          <t>32285000828953</t>
        </is>
      </c>
      <c r="BF3101" t="inlineStr">
        <is>
          <t>893589794</t>
        </is>
      </c>
    </row>
    <row r="3102">
      <c r="A3102" t="inlineStr">
        <is>
          <t>No</t>
        </is>
      </c>
      <c r="B3102" t="inlineStr">
        <is>
          <t>CURAL</t>
        </is>
      </c>
      <c r="C3102" t="inlineStr">
        <is>
          <t>SHELVES</t>
        </is>
      </c>
      <c r="D3102" t="inlineStr">
        <is>
          <t>PR6019.O9 Z627 1984</t>
        </is>
      </c>
      <c r="E3102" t="inlineStr">
        <is>
          <t>0                      PR 6019000O  9                  Z  627         1984</t>
        </is>
      </c>
      <c r="F3102" t="inlineStr">
        <is>
          <t>James Joyce : the augmented ninth : proceedings of the Ninth International James Joyce Symposium, Frankfurt, 1984 / edited by Bernard Benstock.</t>
        </is>
      </c>
      <c r="H3102" t="inlineStr">
        <is>
          <t>No</t>
        </is>
      </c>
      <c r="I3102" t="inlineStr">
        <is>
          <t>1</t>
        </is>
      </c>
      <c r="J3102" t="inlineStr">
        <is>
          <t>No</t>
        </is>
      </c>
      <c r="K3102" t="inlineStr">
        <is>
          <t>No</t>
        </is>
      </c>
      <c r="L3102" t="inlineStr">
        <is>
          <t>0</t>
        </is>
      </c>
      <c r="M3102" t="inlineStr">
        <is>
          <t>International James Joyce Symposium (9th : 1984 : Frankfurt am Main, Germany)</t>
        </is>
      </c>
      <c r="N3102" t="inlineStr">
        <is>
          <t>Syracuse, N.Y. : Syracuse University Press, 1988.</t>
        </is>
      </c>
      <c r="O3102" t="inlineStr">
        <is>
          <t>1988</t>
        </is>
      </c>
      <c r="P3102" t="inlineStr">
        <is>
          <t>1st ed.</t>
        </is>
      </c>
      <c r="Q3102" t="inlineStr">
        <is>
          <t>eng</t>
        </is>
      </c>
      <c r="R3102" t="inlineStr">
        <is>
          <t>nyu</t>
        </is>
      </c>
      <c r="S3102" t="inlineStr">
        <is>
          <t>Irish studies</t>
        </is>
      </c>
      <c r="T3102" t="inlineStr">
        <is>
          <t xml:space="preserve">PR </t>
        </is>
      </c>
      <c r="U3102" t="n">
        <v>4</v>
      </c>
      <c r="V3102" t="n">
        <v>4</v>
      </c>
      <c r="W3102" t="inlineStr">
        <is>
          <t>2007-12-01</t>
        </is>
      </c>
      <c r="X3102" t="inlineStr">
        <is>
          <t>2007-12-01</t>
        </is>
      </c>
      <c r="Y3102" t="inlineStr">
        <is>
          <t>1992-07-08</t>
        </is>
      </c>
      <c r="Z3102" t="inlineStr">
        <is>
          <t>1992-07-08</t>
        </is>
      </c>
      <c r="AA3102" t="n">
        <v>470</v>
      </c>
      <c r="AB3102" t="n">
        <v>379</v>
      </c>
      <c r="AC3102" t="n">
        <v>381</v>
      </c>
      <c r="AD3102" t="n">
        <v>3</v>
      </c>
      <c r="AE3102" t="n">
        <v>3</v>
      </c>
      <c r="AF3102" t="n">
        <v>21</v>
      </c>
      <c r="AG3102" t="n">
        <v>21</v>
      </c>
      <c r="AH3102" t="n">
        <v>6</v>
      </c>
      <c r="AI3102" t="n">
        <v>6</v>
      </c>
      <c r="AJ3102" t="n">
        <v>5</v>
      </c>
      <c r="AK3102" t="n">
        <v>5</v>
      </c>
      <c r="AL3102" t="n">
        <v>14</v>
      </c>
      <c r="AM3102" t="n">
        <v>14</v>
      </c>
      <c r="AN3102" t="n">
        <v>2</v>
      </c>
      <c r="AO3102" t="n">
        <v>2</v>
      </c>
      <c r="AP3102" t="n">
        <v>0</v>
      </c>
      <c r="AQ3102" t="n">
        <v>0</v>
      </c>
      <c r="AR3102" t="inlineStr">
        <is>
          <t>No</t>
        </is>
      </c>
      <c r="AS3102" t="inlineStr">
        <is>
          <t>Yes</t>
        </is>
      </c>
      <c r="AT3102">
        <f>HYPERLINK("http://catalog.hathitrust.org/Record/001082805","HathiTrust Record")</f>
        <v/>
      </c>
      <c r="AU3102">
        <f>HYPERLINK("https://creighton-primo.hosted.exlibrisgroup.com/primo-explore/search?tab=default_tab&amp;search_scope=EVERYTHING&amp;vid=01CRU&amp;lang=en_US&amp;offset=0&amp;query=any,contains,991001295099702656","Catalog Record")</f>
        <v/>
      </c>
      <c r="AV3102">
        <f>HYPERLINK("http://www.worldcat.org/oclc/18020182","WorldCat Record")</f>
        <v/>
      </c>
      <c r="AW3102" t="inlineStr">
        <is>
          <t>2591051165:eng</t>
        </is>
      </c>
      <c r="AX3102" t="inlineStr">
        <is>
          <t>18020182</t>
        </is>
      </c>
      <c r="AY3102" t="inlineStr">
        <is>
          <t>991001295099702656</t>
        </is>
      </c>
      <c r="AZ3102" t="inlineStr">
        <is>
          <t>991001295099702656</t>
        </is>
      </c>
      <c r="BA3102" t="inlineStr">
        <is>
          <t>2265745990002656</t>
        </is>
      </c>
      <c r="BB3102" t="inlineStr">
        <is>
          <t>BOOK</t>
        </is>
      </c>
      <c r="BD3102" t="inlineStr">
        <is>
          <t>9780815624462</t>
        </is>
      </c>
      <c r="BE3102" t="inlineStr">
        <is>
          <t>32285001150928</t>
        </is>
      </c>
      <c r="BF3102" t="inlineStr">
        <is>
          <t>893522476</t>
        </is>
      </c>
    </row>
    <row r="3103">
      <c r="A3103" t="inlineStr">
        <is>
          <t>No</t>
        </is>
      </c>
      <c r="B3103" t="inlineStr">
        <is>
          <t>CURAL</t>
        </is>
      </c>
      <c r="C3103" t="inlineStr">
        <is>
          <t>SHELVES</t>
        </is>
      </c>
      <c r="D3103" t="inlineStr">
        <is>
          <t>PR6019.O9 Z632 1978</t>
        </is>
      </c>
      <c r="E3103" t="inlineStr">
        <is>
          <t>0                      PR 6019000O  9                  Z  632         1978</t>
        </is>
      </c>
      <c r="F3103" t="inlineStr">
        <is>
          <t>The poems of James Joyce and the use of poems in his novels / Selwyn Jackson.</t>
        </is>
      </c>
      <c r="H3103" t="inlineStr">
        <is>
          <t>No</t>
        </is>
      </c>
      <c r="I3103" t="inlineStr">
        <is>
          <t>1</t>
        </is>
      </c>
      <c r="J3103" t="inlineStr">
        <is>
          <t>No</t>
        </is>
      </c>
      <c r="K3103" t="inlineStr">
        <is>
          <t>No</t>
        </is>
      </c>
      <c r="L3103" t="inlineStr">
        <is>
          <t>0</t>
        </is>
      </c>
      <c r="M3103" t="inlineStr">
        <is>
          <t>Jackson, Selwyn, 1949-</t>
        </is>
      </c>
      <c r="N3103" t="inlineStr">
        <is>
          <t>Frankfurt/Main ; Berne ; Las Vegas : Lang, 1978.</t>
        </is>
      </c>
      <c r="O3103" t="inlineStr">
        <is>
          <t>1978</t>
        </is>
      </c>
      <c r="Q3103" t="inlineStr">
        <is>
          <t>eng</t>
        </is>
      </c>
      <c r="R3103" t="inlineStr">
        <is>
          <t xml:space="preserve">gw </t>
        </is>
      </c>
      <c r="S3103" t="inlineStr">
        <is>
          <t>European university papers : Series 14, Anglo-Saxon language and literature ; v. 56</t>
        </is>
      </c>
      <c r="T3103" t="inlineStr">
        <is>
          <t xml:space="preserve">PR </t>
        </is>
      </c>
      <c r="U3103" t="n">
        <v>2</v>
      </c>
      <c r="V3103" t="n">
        <v>2</v>
      </c>
      <c r="W3103" t="inlineStr">
        <is>
          <t>1997-03-20</t>
        </is>
      </c>
      <c r="X3103" t="inlineStr">
        <is>
          <t>1997-03-20</t>
        </is>
      </c>
      <c r="Y3103" t="inlineStr">
        <is>
          <t>1992-07-08</t>
        </is>
      </c>
      <c r="Z3103" t="inlineStr">
        <is>
          <t>1992-07-08</t>
        </is>
      </c>
      <c r="AA3103" t="n">
        <v>127</v>
      </c>
      <c r="AB3103" t="n">
        <v>75</v>
      </c>
      <c r="AC3103" t="n">
        <v>77</v>
      </c>
      <c r="AD3103" t="n">
        <v>2</v>
      </c>
      <c r="AE3103" t="n">
        <v>2</v>
      </c>
      <c r="AF3103" t="n">
        <v>5</v>
      </c>
      <c r="AG3103" t="n">
        <v>5</v>
      </c>
      <c r="AH3103" t="n">
        <v>1</v>
      </c>
      <c r="AI3103" t="n">
        <v>1</v>
      </c>
      <c r="AJ3103" t="n">
        <v>1</v>
      </c>
      <c r="AK3103" t="n">
        <v>1</v>
      </c>
      <c r="AL3103" t="n">
        <v>3</v>
      </c>
      <c r="AM3103" t="n">
        <v>3</v>
      </c>
      <c r="AN3103" t="n">
        <v>1</v>
      </c>
      <c r="AO3103" t="n">
        <v>1</v>
      </c>
      <c r="AP3103" t="n">
        <v>0</v>
      </c>
      <c r="AQ3103" t="n">
        <v>0</v>
      </c>
      <c r="AR3103" t="inlineStr">
        <is>
          <t>No</t>
        </is>
      </c>
      <c r="AS3103" t="inlineStr">
        <is>
          <t>Yes</t>
        </is>
      </c>
      <c r="AT3103">
        <f>HYPERLINK("http://catalog.hathitrust.org/Record/000298570","HathiTrust Record")</f>
        <v/>
      </c>
      <c r="AU3103">
        <f>HYPERLINK("https://creighton-primo.hosted.exlibrisgroup.com/primo-explore/search?tab=default_tab&amp;search_scope=EVERYTHING&amp;vid=01CRU&amp;lang=en_US&amp;offset=0&amp;query=any,contains,991004725539702656","Catalog Record")</f>
        <v/>
      </c>
      <c r="AV3103">
        <f>HYPERLINK("http://www.worldcat.org/oclc/4809020","WorldCat Record")</f>
        <v/>
      </c>
      <c r="AW3103" t="inlineStr">
        <is>
          <t>14983609:eng</t>
        </is>
      </c>
      <c r="AX3103" t="inlineStr">
        <is>
          <t>4809020</t>
        </is>
      </c>
      <c r="AY3103" t="inlineStr">
        <is>
          <t>991004725539702656</t>
        </is>
      </c>
      <c r="AZ3103" t="inlineStr">
        <is>
          <t>991004725539702656</t>
        </is>
      </c>
      <c r="BA3103" t="inlineStr">
        <is>
          <t>2272465220002656</t>
        </is>
      </c>
      <c r="BB3103" t="inlineStr">
        <is>
          <t>BOOK</t>
        </is>
      </c>
      <c r="BD3103" t="inlineStr">
        <is>
          <t>9783261024831</t>
        </is>
      </c>
      <c r="BE3103" t="inlineStr">
        <is>
          <t>32285001150936</t>
        </is>
      </c>
      <c r="BF3103" t="inlineStr">
        <is>
          <t>893319566</t>
        </is>
      </c>
    </row>
    <row r="3104">
      <c r="A3104" t="inlineStr">
        <is>
          <t>No</t>
        </is>
      </c>
      <c r="B3104" t="inlineStr">
        <is>
          <t>CURAL</t>
        </is>
      </c>
      <c r="C3104" t="inlineStr">
        <is>
          <t>SHELVES</t>
        </is>
      </c>
      <c r="D3104" t="inlineStr">
        <is>
          <t>PR6019.O9 Z63366 1989</t>
        </is>
      </c>
      <c r="E3104" t="inlineStr">
        <is>
          <t>0                      PR 6019000O  9                  Z  63366       1989</t>
        </is>
      </c>
      <c r="F3104" t="inlineStr">
        <is>
          <t>James Joyce and his contemporaries / edited by Diana A. Ben-Merre and Maureen Murphy.</t>
        </is>
      </c>
      <c r="H3104" t="inlineStr">
        <is>
          <t>No</t>
        </is>
      </c>
      <c r="I3104" t="inlineStr">
        <is>
          <t>1</t>
        </is>
      </c>
      <c r="J3104" t="inlineStr">
        <is>
          <t>No</t>
        </is>
      </c>
      <c r="K3104" t="inlineStr">
        <is>
          <t>No</t>
        </is>
      </c>
      <c r="L3104" t="inlineStr">
        <is>
          <t>0</t>
        </is>
      </c>
      <c r="N3104" t="inlineStr">
        <is>
          <t>New York : Greenwood Press, 1989.</t>
        </is>
      </c>
      <c r="O3104" t="inlineStr">
        <is>
          <t>1989</t>
        </is>
      </c>
      <c r="Q3104" t="inlineStr">
        <is>
          <t>eng</t>
        </is>
      </c>
      <c r="R3104" t="inlineStr">
        <is>
          <t>nyu</t>
        </is>
      </c>
      <c r="S3104" t="inlineStr">
        <is>
          <t>Contributions to the study of world literature, 0738-9345 ; no. 30</t>
        </is>
      </c>
      <c r="T3104" t="inlineStr">
        <is>
          <t xml:space="preserve">PR </t>
        </is>
      </c>
      <c r="U3104" t="n">
        <v>4</v>
      </c>
      <c r="V3104" t="n">
        <v>4</v>
      </c>
      <c r="W3104" t="inlineStr">
        <is>
          <t>2003-04-07</t>
        </is>
      </c>
      <c r="X3104" t="inlineStr">
        <is>
          <t>2003-04-07</t>
        </is>
      </c>
      <c r="Y3104" t="inlineStr">
        <is>
          <t>1990-04-20</t>
        </is>
      </c>
      <c r="Z3104" t="inlineStr">
        <is>
          <t>1990-04-20</t>
        </is>
      </c>
      <c r="AA3104" t="n">
        <v>426</v>
      </c>
      <c r="AB3104" t="n">
        <v>355</v>
      </c>
      <c r="AC3104" t="n">
        <v>363</v>
      </c>
      <c r="AD3104" t="n">
        <v>4</v>
      </c>
      <c r="AE3104" t="n">
        <v>4</v>
      </c>
      <c r="AF3104" t="n">
        <v>18</v>
      </c>
      <c r="AG3104" t="n">
        <v>18</v>
      </c>
      <c r="AH3104" t="n">
        <v>5</v>
      </c>
      <c r="AI3104" t="n">
        <v>5</v>
      </c>
      <c r="AJ3104" t="n">
        <v>6</v>
      </c>
      <c r="AK3104" t="n">
        <v>6</v>
      </c>
      <c r="AL3104" t="n">
        <v>11</v>
      </c>
      <c r="AM3104" t="n">
        <v>11</v>
      </c>
      <c r="AN3104" t="n">
        <v>3</v>
      </c>
      <c r="AO3104" t="n">
        <v>3</v>
      </c>
      <c r="AP3104" t="n">
        <v>0</v>
      </c>
      <c r="AQ3104" t="n">
        <v>0</v>
      </c>
      <c r="AR3104" t="inlineStr">
        <is>
          <t>No</t>
        </is>
      </c>
      <c r="AS3104" t="inlineStr">
        <is>
          <t>Yes</t>
        </is>
      </c>
      <c r="AT3104">
        <f>HYPERLINK("http://catalog.hathitrust.org/Record/001954732","HathiTrust Record")</f>
        <v/>
      </c>
      <c r="AU3104">
        <f>HYPERLINK("https://creighton-primo.hosted.exlibrisgroup.com/primo-explore/search?tab=default_tab&amp;search_scope=EVERYTHING&amp;vid=01CRU&amp;lang=en_US&amp;offset=0&amp;query=any,contains,991001392799702656","Catalog Record")</f>
        <v/>
      </c>
      <c r="AV3104">
        <f>HYPERLINK("http://www.worldcat.org/oclc/18779306","WorldCat Record")</f>
        <v/>
      </c>
      <c r="AW3104" t="inlineStr">
        <is>
          <t>347539125:eng</t>
        </is>
      </c>
      <c r="AX3104" t="inlineStr">
        <is>
          <t>18779306</t>
        </is>
      </c>
      <c r="AY3104" t="inlineStr">
        <is>
          <t>991001392799702656</t>
        </is>
      </c>
      <c r="AZ3104" t="inlineStr">
        <is>
          <t>991001392799702656</t>
        </is>
      </c>
      <c r="BA3104" t="inlineStr">
        <is>
          <t>2256543520002656</t>
        </is>
      </c>
      <c r="BB3104" t="inlineStr">
        <is>
          <t>BOOK</t>
        </is>
      </c>
      <c r="BD3104" t="inlineStr">
        <is>
          <t>9780313266676</t>
        </is>
      </c>
      <c r="BE3104" t="inlineStr">
        <is>
          <t>32285000104090</t>
        </is>
      </c>
      <c r="BF3104" t="inlineStr">
        <is>
          <t>893509598</t>
        </is>
      </c>
    </row>
    <row r="3105">
      <c r="A3105" t="inlineStr">
        <is>
          <t>No</t>
        </is>
      </c>
      <c r="B3105" t="inlineStr">
        <is>
          <t>CURAL</t>
        </is>
      </c>
      <c r="C3105" t="inlineStr">
        <is>
          <t>SHELVES</t>
        </is>
      </c>
      <c r="D3105" t="inlineStr">
        <is>
          <t>PR6019.O9 Z6337 1982</t>
        </is>
      </c>
      <c r="E3105" t="inlineStr">
        <is>
          <t>0                      PR 6019000O  9                  Z  6337        1982</t>
        </is>
      </c>
      <c r="F3105" t="inlineStr">
        <is>
          <t>James Joyce and modern literature / edited by W.J. McCormack and Alistair Stead.</t>
        </is>
      </c>
      <c r="H3105" t="inlineStr">
        <is>
          <t>No</t>
        </is>
      </c>
      <c r="I3105" t="inlineStr">
        <is>
          <t>1</t>
        </is>
      </c>
      <c r="J3105" t="inlineStr">
        <is>
          <t>No</t>
        </is>
      </c>
      <c r="K3105" t="inlineStr">
        <is>
          <t>No</t>
        </is>
      </c>
      <c r="L3105" t="inlineStr">
        <is>
          <t>0</t>
        </is>
      </c>
      <c r="N3105" t="inlineStr">
        <is>
          <t>London ; Boston : Routledge &amp; Kegan Paul, 1982.</t>
        </is>
      </c>
      <c r="O3105" t="inlineStr">
        <is>
          <t>1982</t>
        </is>
      </c>
      <c r="Q3105" t="inlineStr">
        <is>
          <t>eng</t>
        </is>
      </c>
      <c r="R3105" t="inlineStr">
        <is>
          <t>enk</t>
        </is>
      </c>
      <c r="T3105" t="inlineStr">
        <is>
          <t xml:space="preserve">PR </t>
        </is>
      </c>
      <c r="U3105" t="n">
        <v>9</v>
      </c>
      <c r="V3105" t="n">
        <v>9</v>
      </c>
      <c r="W3105" t="inlineStr">
        <is>
          <t>2007-04-17</t>
        </is>
      </c>
      <c r="X3105" t="inlineStr">
        <is>
          <t>2007-04-17</t>
        </is>
      </c>
      <c r="Y3105" t="inlineStr">
        <is>
          <t>1990-03-07</t>
        </is>
      </c>
      <c r="Z3105" t="inlineStr">
        <is>
          <t>1990-03-07</t>
        </is>
      </c>
      <c r="AA3105" t="n">
        <v>549</v>
      </c>
      <c r="AB3105" t="n">
        <v>372</v>
      </c>
      <c r="AC3105" t="n">
        <v>416</v>
      </c>
      <c r="AD3105" t="n">
        <v>4</v>
      </c>
      <c r="AE3105" t="n">
        <v>4</v>
      </c>
      <c r="AF3105" t="n">
        <v>19</v>
      </c>
      <c r="AG3105" t="n">
        <v>19</v>
      </c>
      <c r="AH3105" t="n">
        <v>8</v>
      </c>
      <c r="AI3105" t="n">
        <v>8</v>
      </c>
      <c r="AJ3105" t="n">
        <v>7</v>
      </c>
      <c r="AK3105" t="n">
        <v>7</v>
      </c>
      <c r="AL3105" t="n">
        <v>8</v>
      </c>
      <c r="AM3105" t="n">
        <v>8</v>
      </c>
      <c r="AN3105" t="n">
        <v>3</v>
      </c>
      <c r="AO3105" t="n">
        <v>3</v>
      </c>
      <c r="AP3105" t="n">
        <v>0</v>
      </c>
      <c r="AQ3105" t="n">
        <v>0</v>
      </c>
      <c r="AR3105" t="inlineStr">
        <is>
          <t>No</t>
        </is>
      </c>
      <c r="AS3105" t="inlineStr">
        <is>
          <t>Yes</t>
        </is>
      </c>
      <c r="AT3105">
        <f>HYPERLINK("http://catalog.hathitrust.org/Record/000764658","HathiTrust Record")</f>
        <v/>
      </c>
      <c r="AU3105">
        <f>HYPERLINK("https://creighton-primo.hosted.exlibrisgroup.com/primo-explore/search?tab=default_tab&amp;search_scope=EVERYTHING&amp;vid=01CRU&amp;lang=en_US&amp;offset=0&amp;query=any,contains,991005206029702656","Catalog Record")</f>
        <v/>
      </c>
      <c r="AV3105">
        <f>HYPERLINK("http://www.worldcat.org/oclc/8114716","WorldCat Record")</f>
        <v/>
      </c>
      <c r="AW3105" t="inlineStr">
        <is>
          <t>308930661:eng</t>
        </is>
      </c>
      <c r="AX3105" t="inlineStr">
        <is>
          <t>8114716</t>
        </is>
      </c>
      <c r="AY3105" t="inlineStr">
        <is>
          <t>991005206029702656</t>
        </is>
      </c>
      <c r="AZ3105" t="inlineStr">
        <is>
          <t>991005206029702656</t>
        </is>
      </c>
      <c r="BA3105" t="inlineStr">
        <is>
          <t>2255144510002656</t>
        </is>
      </c>
      <c r="BB3105" t="inlineStr">
        <is>
          <t>BOOK</t>
        </is>
      </c>
      <c r="BD3105" t="inlineStr">
        <is>
          <t>9780710090584</t>
        </is>
      </c>
      <c r="BE3105" t="inlineStr">
        <is>
          <t>32285000054170</t>
        </is>
      </c>
      <c r="BF3105" t="inlineStr">
        <is>
          <t>893431036</t>
        </is>
      </c>
    </row>
    <row r="3106">
      <c r="A3106" t="inlineStr">
        <is>
          <t>No</t>
        </is>
      </c>
      <c r="B3106" t="inlineStr">
        <is>
          <t>CURAL</t>
        </is>
      </c>
      <c r="C3106" t="inlineStr">
        <is>
          <t>SHELVES</t>
        </is>
      </c>
      <c r="D3106" t="inlineStr">
        <is>
          <t>PR6019.O9 Z6345 1990</t>
        </is>
      </c>
      <c r="E3106" t="inlineStr">
        <is>
          <t>0                      PR 6019000O  9                  Z  6345        1990</t>
        </is>
      </c>
      <c r="F3106" t="inlineStr">
        <is>
          <t>James Joyce, interviews and recollections / edited by E.H. Mikhail ; foreword by Frank Delaney.</t>
        </is>
      </c>
      <c r="H3106" t="inlineStr">
        <is>
          <t>No</t>
        </is>
      </c>
      <c r="I3106" t="inlineStr">
        <is>
          <t>1</t>
        </is>
      </c>
      <c r="J3106" t="inlineStr">
        <is>
          <t>No</t>
        </is>
      </c>
      <c r="K3106" t="inlineStr">
        <is>
          <t>No</t>
        </is>
      </c>
      <c r="L3106" t="inlineStr">
        <is>
          <t>0</t>
        </is>
      </c>
      <c r="N3106" t="inlineStr">
        <is>
          <t>New York : St. Martin's Press, 1990.</t>
        </is>
      </c>
      <c r="O3106" t="inlineStr">
        <is>
          <t>1990</t>
        </is>
      </c>
      <c r="Q3106" t="inlineStr">
        <is>
          <t>eng</t>
        </is>
      </c>
      <c r="R3106" t="inlineStr">
        <is>
          <t>nyu</t>
        </is>
      </c>
      <c r="T3106" t="inlineStr">
        <is>
          <t xml:space="preserve">PR </t>
        </is>
      </c>
      <c r="U3106" t="n">
        <v>6</v>
      </c>
      <c r="V3106" t="n">
        <v>6</v>
      </c>
      <c r="W3106" t="inlineStr">
        <is>
          <t>2002-04-17</t>
        </is>
      </c>
      <c r="X3106" t="inlineStr">
        <is>
          <t>2002-04-17</t>
        </is>
      </c>
      <c r="Y3106" t="inlineStr">
        <is>
          <t>1991-05-31</t>
        </is>
      </c>
      <c r="Z3106" t="inlineStr">
        <is>
          <t>1991-05-31</t>
        </is>
      </c>
      <c r="AA3106" t="n">
        <v>216</v>
      </c>
      <c r="AB3106" t="n">
        <v>183</v>
      </c>
      <c r="AC3106" t="n">
        <v>221</v>
      </c>
      <c r="AD3106" t="n">
        <v>2</v>
      </c>
      <c r="AE3106" t="n">
        <v>2</v>
      </c>
      <c r="AF3106" t="n">
        <v>14</v>
      </c>
      <c r="AG3106" t="n">
        <v>16</v>
      </c>
      <c r="AH3106" t="n">
        <v>6</v>
      </c>
      <c r="AI3106" t="n">
        <v>6</v>
      </c>
      <c r="AJ3106" t="n">
        <v>2</v>
      </c>
      <c r="AK3106" t="n">
        <v>3</v>
      </c>
      <c r="AL3106" t="n">
        <v>10</v>
      </c>
      <c r="AM3106" t="n">
        <v>12</v>
      </c>
      <c r="AN3106" t="n">
        <v>1</v>
      </c>
      <c r="AO3106" t="n">
        <v>1</v>
      </c>
      <c r="AP3106" t="n">
        <v>0</v>
      </c>
      <c r="AQ3106" t="n">
        <v>0</v>
      </c>
      <c r="AR3106" t="inlineStr">
        <is>
          <t>No</t>
        </is>
      </c>
      <c r="AS3106" t="inlineStr">
        <is>
          <t>No</t>
        </is>
      </c>
      <c r="AU3106">
        <f>HYPERLINK("https://creighton-primo.hosted.exlibrisgroup.com/primo-explore/search?tab=default_tab&amp;search_scope=EVERYTHING&amp;vid=01CRU&amp;lang=en_US&amp;offset=0&amp;query=any,contains,991001298929702656","Catalog Record")</f>
        <v/>
      </c>
      <c r="AV3106">
        <f>HYPERLINK("http://www.worldcat.org/oclc/18052461","WorldCat Record")</f>
        <v/>
      </c>
      <c r="AW3106" t="inlineStr">
        <is>
          <t>16326742:eng</t>
        </is>
      </c>
      <c r="AX3106" t="inlineStr">
        <is>
          <t>18052461</t>
        </is>
      </c>
      <c r="AY3106" t="inlineStr">
        <is>
          <t>991001298929702656</t>
        </is>
      </c>
      <c r="AZ3106" t="inlineStr">
        <is>
          <t>991001298929702656</t>
        </is>
      </c>
      <c r="BA3106" t="inlineStr">
        <is>
          <t>2267653070002656</t>
        </is>
      </c>
      <c r="BB3106" t="inlineStr">
        <is>
          <t>BOOK</t>
        </is>
      </c>
      <c r="BD3106" t="inlineStr">
        <is>
          <t>9780312024161</t>
        </is>
      </c>
      <c r="BE3106" t="inlineStr">
        <is>
          <t>32285000591288</t>
        </is>
      </c>
      <c r="BF3106" t="inlineStr">
        <is>
          <t>893328045</t>
        </is>
      </c>
    </row>
    <row r="3107">
      <c r="A3107" t="inlineStr">
        <is>
          <t>No</t>
        </is>
      </c>
      <c r="B3107" t="inlineStr">
        <is>
          <t>CURAL</t>
        </is>
      </c>
      <c r="C3107" t="inlineStr">
        <is>
          <t>SHELVES</t>
        </is>
      </c>
      <c r="D3107" t="inlineStr">
        <is>
          <t>PR6019.O9 Z6647 1992</t>
        </is>
      </c>
      <c r="E3107" t="inlineStr">
        <is>
          <t>0                      PR 6019000O  9                  Z  6647        1992</t>
        </is>
      </c>
      <c r="F3107" t="inlineStr">
        <is>
          <t>Joyce in context / edited by Vincent J. Cheng and Timothy Martin.</t>
        </is>
      </c>
      <c r="H3107" t="inlineStr">
        <is>
          <t>No</t>
        </is>
      </c>
      <c r="I3107" t="inlineStr">
        <is>
          <t>1</t>
        </is>
      </c>
      <c r="J3107" t="inlineStr">
        <is>
          <t>No</t>
        </is>
      </c>
      <c r="K3107" t="inlineStr">
        <is>
          <t>No</t>
        </is>
      </c>
      <c r="L3107" t="inlineStr">
        <is>
          <t>0</t>
        </is>
      </c>
      <c r="N3107" t="inlineStr">
        <is>
          <t>Cambridge ; New York : Cambridge University Press, c1992.</t>
        </is>
      </c>
      <c r="O3107" t="inlineStr">
        <is>
          <t>1992</t>
        </is>
      </c>
      <c r="Q3107" t="inlineStr">
        <is>
          <t>eng</t>
        </is>
      </c>
      <c r="R3107" t="inlineStr">
        <is>
          <t>enk</t>
        </is>
      </c>
      <c r="T3107" t="inlineStr">
        <is>
          <t xml:space="preserve">PR </t>
        </is>
      </c>
      <c r="U3107" t="n">
        <v>7</v>
      </c>
      <c r="V3107" t="n">
        <v>7</v>
      </c>
      <c r="W3107" t="inlineStr">
        <is>
          <t>2007-12-12</t>
        </is>
      </c>
      <c r="X3107" t="inlineStr">
        <is>
          <t>2007-12-12</t>
        </is>
      </c>
      <c r="Y3107" t="inlineStr">
        <is>
          <t>1993-03-24</t>
        </is>
      </c>
      <c r="Z3107" t="inlineStr">
        <is>
          <t>1993-03-24</t>
        </is>
      </c>
      <c r="AA3107" t="n">
        <v>492</v>
      </c>
      <c r="AB3107" t="n">
        <v>380</v>
      </c>
      <c r="AC3107" t="n">
        <v>384</v>
      </c>
      <c r="AD3107" t="n">
        <v>3</v>
      </c>
      <c r="AE3107" t="n">
        <v>3</v>
      </c>
      <c r="AF3107" t="n">
        <v>22</v>
      </c>
      <c r="AG3107" t="n">
        <v>23</v>
      </c>
      <c r="AH3107" t="n">
        <v>7</v>
      </c>
      <c r="AI3107" t="n">
        <v>7</v>
      </c>
      <c r="AJ3107" t="n">
        <v>7</v>
      </c>
      <c r="AK3107" t="n">
        <v>8</v>
      </c>
      <c r="AL3107" t="n">
        <v>11</v>
      </c>
      <c r="AM3107" t="n">
        <v>11</v>
      </c>
      <c r="AN3107" t="n">
        <v>2</v>
      </c>
      <c r="AO3107" t="n">
        <v>2</v>
      </c>
      <c r="AP3107" t="n">
        <v>0</v>
      </c>
      <c r="AQ3107" t="n">
        <v>0</v>
      </c>
      <c r="AR3107" t="inlineStr">
        <is>
          <t>No</t>
        </is>
      </c>
      <c r="AS3107" t="inlineStr">
        <is>
          <t>No</t>
        </is>
      </c>
      <c r="AU3107">
        <f>HYPERLINK("https://creighton-primo.hosted.exlibrisgroup.com/primo-explore/search?tab=default_tab&amp;search_scope=EVERYTHING&amp;vid=01CRU&amp;lang=en_US&amp;offset=0&amp;query=any,contains,991001930169702656","Catalog Record")</f>
        <v/>
      </c>
      <c r="AV3107">
        <f>HYPERLINK("http://www.worldcat.org/oclc/24376053","WorldCat Record")</f>
        <v/>
      </c>
      <c r="AW3107" t="inlineStr">
        <is>
          <t>365285615:eng</t>
        </is>
      </c>
      <c r="AX3107" t="inlineStr">
        <is>
          <t>24376053</t>
        </is>
      </c>
      <c r="AY3107" t="inlineStr">
        <is>
          <t>991001930169702656</t>
        </is>
      </c>
      <c r="AZ3107" t="inlineStr">
        <is>
          <t>991001930169702656</t>
        </is>
      </c>
      <c r="BA3107" t="inlineStr">
        <is>
          <t>2262549520002656</t>
        </is>
      </c>
      <c r="BB3107" t="inlineStr">
        <is>
          <t>BOOK</t>
        </is>
      </c>
      <c r="BD3107" t="inlineStr">
        <is>
          <t>9780521413589</t>
        </is>
      </c>
      <c r="BE3107" t="inlineStr">
        <is>
          <t>32285001498459</t>
        </is>
      </c>
      <c r="BF3107" t="inlineStr">
        <is>
          <t>893414636</t>
        </is>
      </c>
    </row>
    <row r="3108">
      <c r="A3108" t="inlineStr">
        <is>
          <t>No</t>
        </is>
      </c>
      <c r="B3108" t="inlineStr">
        <is>
          <t>CURAL</t>
        </is>
      </c>
      <c r="C3108" t="inlineStr">
        <is>
          <t>SHELVES</t>
        </is>
      </c>
      <c r="D3108" t="inlineStr">
        <is>
          <t>PR6019.O9 Z67</t>
        </is>
      </c>
      <c r="E3108" t="inlineStr">
        <is>
          <t>0                      PR 6019000O  9                  Z  67</t>
        </is>
      </c>
      <c r="F3108" t="inlineStr">
        <is>
          <t>Dublin's Joyce.</t>
        </is>
      </c>
      <c r="H3108" t="inlineStr">
        <is>
          <t>No</t>
        </is>
      </c>
      <c r="I3108" t="inlineStr">
        <is>
          <t>1</t>
        </is>
      </c>
      <c r="J3108" t="inlineStr">
        <is>
          <t>No</t>
        </is>
      </c>
      <c r="K3108" t="inlineStr">
        <is>
          <t>Yes</t>
        </is>
      </c>
      <c r="L3108" t="inlineStr">
        <is>
          <t>0</t>
        </is>
      </c>
      <c r="M3108" t="inlineStr">
        <is>
          <t>Kenner, Hugh.</t>
        </is>
      </c>
      <c r="N3108" t="inlineStr">
        <is>
          <t>Bloomington : Indiana University Press, 1956.</t>
        </is>
      </c>
      <c r="O3108" t="inlineStr">
        <is>
          <t>1956</t>
        </is>
      </c>
      <c r="Q3108" t="inlineStr">
        <is>
          <t>eng</t>
        </is>
      </c>
      <c r="R3108" t="inlineStr">
        <is>
          <t>inu</t>
        </is>
      </c>
      <c r="T3108" t="inlineStr">
        <is>
          <t xml:space="preserve">PR </t>
        </is>
      </c>
      <c r="U3108" t="n">
        <v>4</v>
      </c>
      <c r="V3108" t="n">
        <v>4</v>
      </c>
      <c r="W3108" t="inlineStr">
        <is>
          <t>2005-05-01</t>
        </is>
      </c>
      <c r="X3108" t="inlineStr">
        <is>
          <t>2005-05-01</t>
        </is>
      </c>
      <c r="Y3108" t="inlineStr">
        <is>
          <t>1994-12-14</t>
        </is>
      </c>
      <c r="Z3108" t="inlineStr">
        <is>
          <t>1994-12-14</t>
        </is>
      </c>
      <c r="AA3108" t="n">
        <v>536</v>
      </c>
      <c r="AB3108" t="n">
        <v>504</v>
      </c>
      <c r="AC3108" t="n">
        <v>1001</v>
      </c>
      <c r="AD3108" t="n">
        <v>5</v>
      </c>
      <c r="AE3108" t="n">
        <v>7</v>
      </c>
      <c r="AF3108" t="n">
        <v>32</v>
      </c>
      <c r="AG3108" t="n">
        <v>52</v>
      </c>
      <c r="AH3108" t="n">
        <v>12</v>
      </c>
      <c r="AI3108" t="n">
        <v>23</v>
      </c>
      <c r="AJ3108" t="n">
        <v>9</v>
      </c>
      <c r="AK3108" t="n">
        <v>10</v>
      </c>
      <c r="AL3108" t="n">
        <v>15</v>
      </c>
      <c r="AM3108" t="n">
        <v>26</v>
      </c>
      <c r="AN3108" t="n">
        <v>4</v>
      </c>
      <c r="AO3108" t="n">
        <v>6</v>
      </c>
      <c r="AP3108" t="n">
        <v>0</v>
      </c>
      <c r="AQ3108" t="n">
        <v>0</v>
      </c>
      <c r="AR3108" t="inlineStr">
        <is>
          <t>No</t>
        </is>
      </c>
      <c r="AS3108" t="inlineStr">
        <is>
          <t>No</t>
        </is>
      </c>
      <c r="AT3108">
        <f>HYPERLINK("http://catalog.hathitrust.org/Record/000588761","HathiTrust Record")</f>
        <v/>
      </c>
      <c r="AU3108">
        <f>HYPERLINK("https://creighton-primo.hosted.exlibrisgroup.com/primo-explore/search?tab=default_tab&amp;search_scope=EVERYTHING&amp;vid=01CRU&amp;lang=en_US&amp;offset=0&amp;query=any,contains,991003939869702656","Catalog Record")</f>
        <v/>
      </c>
      <c r="AV3108">
        <f>HYPERLINK("http://www.worldcat.org/oclc/1927449","WorldCat Record")</f>
        <v/>
      </c>
      <c r="AW3108" t="inlineStr">
        <is>
          <t>1061546:eng</t>
        </is>
      </c>
      <c r="AX3108" t="inlineStr">
        <is>
          <t>1927449</t>
        </is>
      </c>
      <c r="AY3108" t="inlineStr">
        <is>
          <t>991003939869702656</t>
        </is>
      </c>
      <c r="AZ3108" t="inlineStr">
        <is>
          <t>991003939869702656</t>
        </is>
      </c>
      <c r="BA3108" t="inlineStr">
        <is>
          <t>2255958400002656</t>
        </is>
      </c>
      <c r="BB3108" t="inlineStr">
        <is>
          <t>BOOK</t>
        </is>
      </c>
      <c r="BE3108" t="inlineStr">
        <is>
          <t>32285001982346</t>
        </is>
      </c>
      <c r="BF3108" t="inlineStr">
        <is>
          <t>893599229</t>
        </is>
      </c>
    </row>
    <row r="3109">
      <c r="A3109" t="inlineStr">
        <is>
          <t>No</t>
        </is>
      </c>
      <c r="B3109" t="inlineStr">
        <is>
          <t>CURAL</t>
        </is>
      </c>
      <c r="C3109" t="inlineStr">
        <is>
          <t>SHELVES</t>
        </is>
      </c>
      <c r="D3109" t="inlineStr">
        <is>
          <t>PR6019.O9 Z7 1960</t>
        </is>
      </c>
      <c r="E3109" t="inlineStr">
        <is>
          <t>0                      PR 6019000O  9                  Z  7           1960</t>
        </is>
      </c>
      <c r="F3109" t="inlineStr">
        <is>
          <t>James Joyce : a critical introduction.</t>
        </is>
      </c>
      <c r="H3109" t="inlineStr">
        <is>
          <t>No</t>
        </is>
      </c>
      <c r="I3109" t="inlineStr">
        <is>
          <t>1</t>
        </is>
      </c>
      <c r="J3109" t="inlineStr">
        <is>
          <t>No</t>
        </is>
      </c>
      <c r="K3109" t="inlineStr">
        <is>
          <t>No</t>
        </is>
      </c>
      <c r="L3109" t="inlineStr">
        <is>
          <t>0</t>
        </is>
      </c>
      <c r="M3109" t="inlineStr">
        <is>
          <t>Levin, Harry, 1912-1994.</t>
        </is>
      </c>
      <c r="N3109" t="inlineStr">
        <is>
          <t>[Norfolk, Conn. : New Directions, 1960]</t>
        </is>
      </c>
      <c r="O3109" t="inlineStr">
        <is>
          <t>1960</t>
        </is>
      </c>
      <c r="P3109" t="inlineStr">
        <is>
          <t>Rev. and augm. ed.</t>
        </is>
      </c>
      <c r="Q3109" t="inlineStr">
        <is>
          <t>eng</t>
        </is>
      </c>
      <c r="R3109" t="inlineStr">
        <is>
          <t>ctu</t>
        </is>
      </c>
      <c r="S3109" t="inlineStr">
        <is>
          <t>A New Directions paperbook, no. 87</t>
        </is>
      </c>
      <c r="T3109" t="inlineStr">
        <is>
          <t xml:space="preserve">PR </t>
        </is>
      </c>
      <c r="U3109" t="n">
        <v>2</v>
      </c>
      <c r="V3109" t="n">
        <v>2</v>
      </c>
      <c r="W3109" t="inlineStr">
        <is>
          <t>1994-03-23</t>
        </is>
      </c>
      <c r="X3109" t="inlineStr">
        <is>
          <t>1994-03-23</t>
        </is>
      </c>
      <c r="Y3109" t="inlineStr">
        <is>
          <t>1993-02-17</t>
        </is>
      </c>
      <c r="Z3109" t="inlineStr">
        <is>
          <t>1993-02-17</t>
        </is>
      </c>
      <c r="AA3109" t="n">
        <v>992</v>
      </c>
      <c r="AB3109" t="n">
        <v>896</v>
      </c>
      <c r="AC3109" t="n">
        <v>1345</v>
      </c>
      <c r="AD3109" t="n">
        <v>9</v>
      </c>
      <c r="AE3109" t="n">
        <v>12</v>
      </c>
      <c r="AF3109" t="n">
        <v>38</v>
      </c>
      <c r="AG3109" t="n">
        <v>57</v>
      </c>
      <c r="AH3109" t="n">
        <v>12</v>
      </c>
      <c r="AI3109" t="n">
        <v>23</v>
      </c>
      <c r="AJ3109" t="n">
        <v>8</v>
      </c>
      <c r="AK3109" t="n">
        <v>11</v>
      </c>
      <c r="AL3109" t="n">
        <v>16</v>
      </c>
      <c r="AM3109" t="n">
        <v>25</v>
      </c>
      <c r="AN3109" t="n">
        <v>9</v>
      </c>
      <c r="AO3109" t="n">
        <v>11</v>
      </c>
      <c r="AP3109" t="n">
        <v>0</v>
      </c>
      <c r="AQ3109" t="n">
        <v>0</v>
      </c>
      <c r="AR3109" t="inlineStr">
        <is>
          <t>No</t>
        </is>
      </c>
      <c r="AS3109" t="inlineStr">
        <is>
          <t>No</t>
        </is>
      </c>
      <c r="AU3109">
        <f>HYPERLINK("https://creighton-primo.hosted.exlibrisgroup.com/primo-explore/search?tab=default_tab&amp;search_scope=EVERYTHING&amp;vid=01CRU&amp;lang=en_US&amp;offset=0&amp;query=any,contains,991002512509702656","Catalog Record")</f>
        <v/>
      </c>
      <c r="AV3109">
        <f>HYPERLINK("http://www.worldcat.org/oclc/365452","WorldCat Record")</f>
        <v/>
      </c>
      <c r="AW3109" t="inlineStr">
        <is>
          <t>196050219:eng</t>
        </is>
      </c>
      <c r="AX3109" t="inlineStr">
        <is>
          <t>365452</t>
        </is>
      </c>
      <c r="AY3109" t="inlineStr">
        <is>
          <t>991002512509702656</t>
        </is>
      </c>
      <c r="AZ3109" t="inlineStr">
        <is>
          <t>991002512509702656</t>
        </is>
      </c>
      <c r="BA3109" t="inlineStr">
        <is>
          <t>2266042900002656</t>
        </is>
      </c>
      <c r="BB3109" t="inlineStr">
        <is>
          <t>BOOK</t>
        </is>
      </c>
      <c r="BE3109" t="inlineStr">
        <is>
          <t>32285001496503</t>
        </is>
      </c>
      <c r="BF3109" t="inlineStr">
        <is>
          <t>893445209</t>
        </is>
      </c>
    </row>
    <row r="3110">
      <c r="A3110" t="inlineStr">
        <is>
          <t>No</t>
        </is>
      </c>
      <c r="B3110" t="inlineStr">
        <is>
          <t>CURAL</t>
        </is>
      </c>
      <c r="C3110" t="inlineStr">
        <is>
          <t>SHELVES</t>
        </is>
      </c>
      <c r="D3110" t="inlineStr">
        <is>
          <t>PR6019.O9 Z715</t>
        </is>
      </c>
      <c r="E3110" t="inlineStr">
        <is>
          <t>0                      PR 6019000O  9                  Z  715</t>
        </is>
      </c>
      <c r="F3110" t="inlineStr">
        <is>
          <t>James Joyce / by A. Walton Litz.</t>
        </is>
      </c>
      <c r="H3110" t="inlineStr">
        <is>
          <t>No</t>
        </is>
      </c>
      <c r="I3110" t="inlineStr">
        <is>
          <t>1</t>
        </is>
      </c>
      <c r="J3110" t="inlineStr">
        <is>
          <t>No</t>
        </is>
      </c>
      <c r="K3110" t="inlineStr">
        <is>
          <t>No</t>
        </is>
      </c>
      <c r="L3110" t="inlineStr">
        <is>
          <t>0</t>
        </is>
      </c>
      <c r="M3110" t="inlineStr">
        <is>
          <t>Litz, A. Walton.</t>
        </is>
      </c>
      <c r="N3110" t="inlineStr">
        <is>
          <t>New York : Twayne Publishers, [1966]</t>
        </is>
      </c>
      <c r="O3110" t="inlineStr">
        <is>
          <t>1966</t>
        </is>
      </c>
      <c r="Q3110" t="inlineStr">
        <is>
          <t>eng</t>
        </is>
      </c>
      <c r="R3110" t="inlineStr">
        <is>
          <t>nyu</t>
        </is>
      </c>
      <c r="S3110" t="inlineStr">
        <is>
          <t>Twayne's English authors series, 31</t>
        </is>
      </c>
      <c r="T3110" t="inlineStr">
        <is>
          <t xml:space="preserve">PR </t>
        </is>
      </c>
      <c r="U3110" t="n">
        <v>8</v>
      </c>
      <c r="V3110" t="n">
        <v>8</v>
      </c>
      <c r="W3110" t="inlineStr">
        <is>
          <t>2005-05-01</t>
        </is>
      </c>
      <c r="X3110" t="inlineStr">
        <is>
          <t>2005-05-01</t>
        </is>
      </c>
      <c r="Y3110" t="inlineStr">
        <is>
          <t>1991-09-26</t>
        </is>
      </c>
      <c r="Z3110" t="inlineStr">
        <is>
          <t>1991-09-26</t>
        </is>
      </c>
      <c r="AA3110" t="n">
        <v>1540</v>
      </c>
      <c r="AB3110" t="n">
        <v>1432</v>
      </c>
      <c r="AC3110" t="n">
        <v>1624</v>
      </c>
      <c r="AD3110" t="n">
        <v>10</v>
      </c>
      <c r="AE3110" t="n">
        <v>11</v>
      </c>
      <c r="AF3110" t="n">
        <v>44</v>
      </c>
      <c r="AG3110" t="n">
        <v>51</v>
      </c>
      <c r="AH3110" t="n">
        <v>17</v>
      </c>
      <c r="AI3110" t="n">
        <v>19</v>
      </c>
      <c r="AJ3110" t="n">
        <v>7</v>
      </c>
      <c r="AK3110" t="n">
        <v>10</v>
      </c>
      <c r="AL3110" t="n">
        <v>20</v>
      </c>
      <c r="AM3110" t="n">
        <v>24</v>
      </c>
      <c r="AN3110" t="n">
        <v>8</v>
      </c>
      <c r="AO3110" t="n">
        <v>9</v>
      </c>
      <c r="AP3110" t="n">
        <v>0</v>
      </c>
      <c r="AQ3110" t="n">
        <v>0</v>
      </c>
      <c r="AR3110" t="inlineStr">
        <is>
          <t>No</t>
        </is>
      </c>
      <c r="AS3110" t="inlineStr">
        <is>
          <t>No</t>
        </is>
      </c>
      <c r="AU3110">
        <f>HYPERLINK("https://creighton-primo.hosted.exlibrisgroup.com/primo-explore/search?tab=default_tab&amp;search_scope=EVERYTHING&amp;vid=01CRU&amp;lang=en_US&amp;offset=0&amp;query=any,contains,991003182159702656","Catalog Record")</f>
        <v/>
      </c>
      <c r="AV3110">
        <f>HYPERLINK("http://www.worldcat.org/oclc/711954","WorldCat Record")</f>
        <v/>
      </c>
      <c r="AW3110" t="inlineStr">
        <is>
          <t>3901083921:eng</t>
        </is>
      </c>
      <c r="AX3110" t="inlineStr">
        <is>
          <t>711954</t>
        </is>
      </c>
      <c r="AY3110" t="inlineStr">
        <is>
          <t>991003182159702656</t>
        </is>
      </c>
      <c r="AZ3110" t="inlineStr">
        <is>
          <t>991003182159702656</t>
        </is>
      </c>
      <c r="BA3110" t="inlineStr">
        <is>
          <t>2261875570002656</t>
        </is>
      </c>
      <c r="BB3110" t="inlineStr">
        <is>
          <t>BOOK</t>
        </is>
      </c>
      <c r="BE3110" t="inlineStr">
        <is>
          <t>32285000761030</t>
        </is>
      </c>
      <c r="BF3110" t="inlineStr">
        <is>
          <t>893348407</t>
        </is>
      </c>
    </row>
    <row r="3111">
      <c r="A3111" t="inlineStr">
        <is>
          <t>No</t>
        </is>
      </c>
      <c r="B3111" t="inlineStr">
        <is>
          <t>CURAL</t>
        </is>
      </c>
      <c r="C3111" t="inlineStr">
        <is>
          <t>SHELVES</t>
        </is>
      </c>
      <c r="D3111" t="inlineStr">
        <is>
          <t>PR6019.O9 Z7167 1973</t>
        </is>
      </c>
      <c r="E3111" t="inlineStr">
        <is>
          <t>0                      PR 6019000O  9                  Z  7167        1973</t>
        </is>
      </c>
      <c r="F3111" t="inlineStr">
        <is>
          <t>James Joyce &amp; medicine [by] J. B. Lyons.</t>
        </is>
      </c>
      <c r="H3111" t="inlineStr">
        <is>
          <t>No</t>
        </is>
      </c>
      <c r="I3111" t="inlineStr">
        <is>
          <t>1</t>
        </is>
      </c>
      <c r="J3111" t="inlineStr">
        <is>
          <t>No</t>
        </is>
      </c>
      <c r="K3111" t="inlineStr">
        <is>
          <t>No</t>
        </is>
      </c>
      <c r="L3111" t="inlineStr">
        <is>
          <t>0</t>
        </is>
      </c>
      <c r="M3111" t="inlineStr">
        <is>
          <t>Lyons, J. B. (John Benignus)</t>
        </is>
      </c>
      <c r="N3111" t="inlineStr">
        <is>
          <t>[Dublin] Dolmen Press [1973]</t>
        </is>
      </c>
      <c r="O3111" t="inlineStr">
        <is>
          <t>1973</t>
        </is>
      </c>
      <c r="Q3111" t="inlineStr">
        <is>
          <t>eng</t>
        </is>
      </c>
      <c r="R3111" t="inlineStr">
        <is>
          <t xml:space="preserve">ie </t>
        </is>
      </c>
      <c r="T3111" t="inlineStr">
        <is>
          <t xml:space="preserve">PR </t>
        </is>
      </c>
      <c r="U3111" t="n">
        <v>2</v>
      </c>
      <c r="V3111" t="n">
        <v>2</v>
      </c>
      <c r="W3111" t="inlineStr">
        <is>
          <t>2001-04-03</t>
        </is>
      </c>
      <c r="X3111" t="inlineStr">
        <is>
          <t>2001-04-03</t>
        </is>
      </c>
      <c r="Y3111" t="inlineStr">
        <is>
          <t>1997-04-10</t>
        </is>
      </c>
      <c r="Z3111" t="inlineStr">
        <is>
          <t>1997-04-10</t>
        </is>
      </c>
      <c r="AA3111" t="n">
        <v>339</v>
      </c>
      <c r="AB3111" t="n">
        <v>232</v>
      </c>
      <c r="AC3111" t="n">
        <v>301</v>
      </c>
      <c r="AD3111" t="n">
        <v>2</v>
      </c>
      <c r="AE3111" t="n">
        <v>2</v>
      </c>
      <c r="AF3111" t="n">
        <v>14</v>
      </c>
      <c r="AG3111" t="n">
        <v>19</v>
      </c>
      <c r="AH3111" t="n">
        <v>2</v>
      </c>
      <c r="AI3111" t="n">
        <v>2</v>
      </c>
      <c r="AJ3111" t="n">
        <v>4</v>
      </c>
      <c r="AK3111" t="n">
        <v>8</v>
      </c>
      <c r="AL3111" t="n">
        <v>9</v>
      </c>
      <c r="AM3111" t="n">
        <v>12</v>
      </c>
      <c r="AN3111" t="n">
        <v>1</v>
      </c>
      <c r="AO3111" t="n">
        <v>1</v>
      </c>
      <c r="AP3111" t="n">
        <v>0</v>
      </c>
      <c r="AQ3111" t="n">
        <v>0</v>
      </c>
      <c r="AR3111" t="inlineStr">
        <is>
          <t>No</t>
        </is>
      </c>
      <c r="AS3111" t="inlineStr">
        <is>
          <t>Yes</t>
        </is>
      </c>
      <c r="AT3111">
        <f>HYPERLINK("http://catalog.hathitrust.org/Record/000588876","HathiTrust Record")</f>
        <v/>
      </c>
      <c r="AU3111">
        <f>HYPERLINK("https://creighton-primo.hosted.exlibrisgroup.com/primo-explore/search?tab=default_tab&amp;search_scope=EVERYTHING&amp;vid=01CRU&amp;lang=en_US&amp;offset=0&amp;query=any,contains,991003282109702656","Catalog Record")</f>
        <v/>
      </c>
      <c r="AV3111">
        <f>HYPERLINK("http://www.worldcat.org/oclc/804435","WorldCat Record")</f>
        <v/>
      </c>
      <c r="AW3111" t="inlineStr">
        <is>
          <t>1619828:eng</t>
        </is>
      </c>
      <c r="AX3111" t="inlineStr">
        <is>
          <t>804435</t>
        </is>
      </c>
      <c r="AY3111" t="inlineStr">
        <is>
          <t>991003282109702656</t>
        </is>
      </c>
      <c r="AZ3111" t="inlineStr">
        <is>
          <t>991003282109702656</t>
        </is>
      </c>
      <c r="BA3111" t="inlineStr">
        <is>
          <t>2269388380002656</t>
        </is>
      </c>
      <c r="BB3111" t="inlineStr">
        <is>
          <t>BOOK</t>
        </is>
      </c>
      <c r="BD3111" t="inlineStr">
        <is>
          <t>9780851052298</t>
        </is>
      </c>
      <c r="BE3111" t="inlineStr">
        <is>
          <t>32285002528361</t>
        </is>
      </c>
      <c r="BF3111" t="inlineStr">
        <is>
          <t>893317835</t>
        </is>
      </c>
    </row>
    <row r="3112">
      <c r="A3112" t="inlineStr">
        <is>
          <t>No</t>
        </is>
      </c>
      <c r="B3112" t="inlineStr">
        <is>
          <t>CURAL</t>
        </is>
      </c>
      <c r="C3112" t="inlineStr">
        <is>
          <t>SHELVES</t>
        </is>
      </c>
      <c r="D3112" t="inlineStr">
        <is>
          <t>PR6019.O9 Z7184 1988</t>
        </is>
      </c>
      <c r="E3112" t="inlineStr">
        <is>
          <t>0                      PR 6019000O  9                  Z  7184        1988</t>
        </is>
      </c>
      <c r="F3112" t="inlineStr">
        <is>
          <t>Nora : the real life of Molly Bloom / Brenda Maddox.</t>
        </is>
      </c>
      <c r="H3112" t="inlineStr">
        <is>
          <t>No</t>
        </is>
      </c>
      <c r="I3112" t="inlineStr">
        <is>
          <t>1</t>
        </is>
      </c>
      <c r="J3112" t="inlineStr">
        <is>
          <t>No</t>
        </is>
      </c>
      <c r="K3112" t="inlineStr">
        <is>
          <t>No</t>
        </is>
      </c>
      <c r="L3112" t="inlineStr">
        <is>
          <t>0</t>
        </is>
      </c>
      <c r="M3112" t="inlineStr">
        <is>
          <t>Maddox, Brenda.</t>
        </is>
      </c>
      <c r="N3112" t="inlineStr">
        <is>
          <t>Boston : Houghton Mifflin, 1988.</t>
        </is>
      </c>
      <c r="O3112" t="inlineStr">
        <is>
          <t>1988</t>
        </is>
      </c>
      <c r="Q3112" t="inlineStr">
        <is>
          <t>eng</t>
        </is>
      </c>
      <c r="R3112" t="inlineStr">
        <is>
          <t>mau</t>
        </is>
      </c>
      <c r="T3112" t="inlineStr">
        <is>
          <t xml:space="preserve">PR </t>
        </is>
      </c>
      <c r="U3112" t="n">
        <v>8</v>
      </c>
      <c r="V3112" t="n">
        <v>8</v>
      </c>
      <c r="W3112" t="inlineStr">
        <is>
          <t>2004-04-18</t>
        </is>
      </c>
      <c r="X3112" t="inlineStr">
        <is>
          <t>2004-04-18</t>
        </is>
      </c>
      <c r="Y3112" t="inlineStr">
        <is>
          <t>1992-07-08</t>
        </is>
      </c>
      <c r="Z3112" t="inlineStr">
        <is>
          <t>1992-07-08</t>
        </is>
      </c>
      <c r="AA3112" t="n">
        <v>1436</v>
      </c>
      <c r="AB3112" t="n">
        <v>1350</v>
      </c>
      <c r="AC3112" t="n">
        <v>1386</v>
      </c>
      <c r="AD3112" t="n">
        <v>8</v>
      </c>
      <c r="AE3112" t="n">
        <v>8</v>
      </c>
      <c r="AF3112" t="n">
        <v>46</v>
      </c>
      <c r="AG3112" t="n">
        <v>46</v>
      </c>
      <c r="AH3112" t="n">
        <v>20</v>
      </c>
      <c r="AI3112" t="n">
        <v>20</v>
      </c>
      <c r="AJ3112" t="n">
        <v>9</v>
      </c>
      <c r="AK3112" t="n">
        <v>9</v>
      </c>
      <c r="AL3112" t="n">
        <v>23</v>
      </c>
      <c r="AM3112" t="n">
        <v>23</v>
      </c>
      <c r="AN3112" t="n">
        <v>5</v>
      </c>
      <c r="AO3112" t="n">
        <v>5</v>
      </c>
      <c r="AP3112" t="n">
        <v>0</v>
      </c>
      <c r="AQ3112" t="n">
        <v>0</v>
      </c>
      <c r="AR3112" t="inlineStr">
        <is>
          <t>No</t>
        </is>
      </c>
      <c r="AS3112" t="inlineStr">
        <is>
          <t>Yes</t>
        </is>
      </c>
      <c r="AT3112">
        <f>HYPERLINK("http://catalog.hathitrust.org/Record/001072612","HathiTrust Record")</f>
        <v/>
      </c>
      <c r="AU3112">
        <f>HYPERLINK("https://creighton-primo.hosted.exlibrisgroup.com/primo-explore/search?tab=default_tab&amp;search_scope=EVERYTHING&amp;vid=01CRU&amp;lang=en_US&amp;offset=0&amp;query=any,contains,991001230189702656","Catalog Record")</f>
        <v/>
      </c>
      <c r="AV3112">
        <f>HYPERLINK("http://www.worldcat.org/oclc/17546253","WorldCat Record")</f>
        <v/>
      </c>
      <c r="AW3112" t="inlineStr">
        <is>
          <t>3855982573:eng</t>
        </is>
      </c>
      <c r="AX3112" t="inlineStr">
        <is>
          <t>17546253</t>
        </is>
      </c>
      <c r="AY3112" t="inlineStr">
        <is>
          <t>991001230189702656</t>
        </is>
      </c>
      <c r="AZ3112" t="inlineStr">
        <is>
          <t>991001230189702656</t>
        </is>
      </c>
      <c r="BA3112" t="inlineStr">
        <is>
          <t>2267831300002656</t>
        </is>
      </c>
      <c r="BB3112" t="inlineStr">
        <is>
          <t>BOOK</t>
        </is>
      </c>
      <c r="BD3112" t="inlineStr">
        <is>
          <t>9780395365106</t>
        </is>
      </c>
      <c r="BE3112" t="inlineStr">
        <is>
          <t>32285001150985</t>
        </is>
      </c>
      <c r="BF3112" t="inlineStr">
        <is>
          <t>893809002</t>
        </is>
      </c>
    </row>
    <row r="3113">
      <c r="A3113" t="inlineStr">
        <is>
          <t>No</t>
        </is>
      </c>
      <c r="B3113" t="inlineStr">
        <is>
          <t>CURAL</t>
        </is>
      </c>
      <c r="C3113" t="inlineStr">
        <is>
          <t>SHELVES</t>
        </is>
      </c>
      <c r="D3113" t="inlineStr">
        <is>
          <t>PR6019.O9 Z7192</t>
        </is>
      </c>
      <c r="E3113" t="inlineStr">
        <is>
          <t>0                      PR 6019000O  9                  Z  7192</t>
        </is>
      </c>
      <c r="F3113" t="inlineStr">
        <is>
          <t>A James Joyce miscellany. Second series.</t>
        </is>
      </c>
      <c r="H3113" t="inlineStr">
        <is>
          <t>No</t>
        </is>
      </c>
      <c r="I3113" t="inlineStr">
        <is>
          <t>1</t>
        </is>
      </c>
      <c r="J3113" t="inlineStr">
        <is>
          <t>No</t>
        </is>
      </c>
      <c r="K3113" t="inlineStr">
        <is>
          <t>Yes</t>
        </is>
      </c>
      <c r="L3113" t="inlineStr">
        <is>
          <t>0</t>
        </is>
      </c>
      <c r="M3113" t="inlineStr">
        <is>
          <t>Magalaner, Marvin, 1920-2004 editor.</t>
        </is>
      </c>
      <c r="N3113" t="inlineStr">
        <is>
          <t>Carbondale : Southern Illinois University, 1959.</t>
        </is>
      </c>
      <c r="O3113" t="inlineStr">
        <is>
          <t>1959</t>
        </is>
      </c>
      <c r="Q3113" t="inlineStr">
        <is>
          <t>eng</t>
        </is>
      </c>
      <c r="R3113" t="inlineStr">
        <is>
          <t>ilu</t>
        </is>
      </c>
      <c r="T3113" t="inlineStr">
        <is>
          <t xml:space="preserve">PR </t>
        </is>
      </c>
      <c r="U3113" t="n">
        <v>1</v>
      </c>
      <c r="V3113" t="n">
        <v>1</v>
      </c>
      <c r="W3113" t="inlineStr">
        <is>
          <t>2001-02-01</t>
        </is>
      </c>
      <c r="X3113" t="inlineStr">
        <is>
          <t>2001-02-01</t>
        </is>
      </c>
      <c r="Y3113" t="inlineStr">
        <is>
          <t>1991-10-23</t>
        </is>
      </c>
      <c r="Z3113" t="inlineStr">
        <is>
          <t>1991-10-23</t>
        </is>
      </c>
      <c r="AA3113" t="n">
        <v>747</v>
      </c>
      <c r="AB3113" t="n">
        <v>690</v>
      </c>
      <c r="AC3113" t="n">
        <v>922</v>
      </c>
      <c r="AD3113" t="n">
        <v>6</v>
      </c>
      <c r="AE3113" t="n">
        <v>9</v>
      </c>
      <c r="AF3113" t="n">
        <v>32</v>
      </c>
      <c r="AG3113" t="n">
        <v>47</v>
      </c>
      <c r="AH3113" t="n">
        <v>11</v>
      </c>
      <c r="AI3113" t="n">
        <v>17</v>
      </c>
      <c r="AJ3113" t="n">
        <v>9</v>
      </c>
      <c r="AK3113" t="n">
        <v>11</v>
      </c>
      <c r="AL3113" t="n">
        <v>15</v>
      </c>
      <c r="AM3113" t="n">
        <v>23</v>
      </c>
      <c r="AN3113" t="n">
        <v>5</v>
      </c>
      <c r="AO3113" t="n">
        <v>8</v>
      </c>
      <c r="AP3113" t="n">
        <v>0</v>
      </c>
      <c r="AQ3113" t="n">
        <v>0</v>
      </c>
      <c r="AR3113" t="inlineStr">
        <is>
          <t>No</t>
        </is>
      </c>
      <c r="AS3113" t="inlineStr">
        <is>
          <t>No</t>
        </is>
      </c>
      <c r="AT3113">
        <f>HYPERLINK("http://catalog.hathitrust.org/Record/000588897","HathiTrust Record")</f>
        <v/>
      </c>
      <c r="AU3113">
        <f>HYPERLINK("https://creighton-primo.hosted.exlibrisgroup.com/primo-explore/search?tab=default_tab&amp;search_scope=EVERYTHING&amp;vid=01CRU&amp;lang=en_US&amp;offset=0&amp;query=any,contains,991002252389702656","Catalog Record")</f>
        <v/>
      </c>
      <c r="AV3113">
        <f>HYPERLINK("http://www.worldcat.org/oclc/299698","WorldCat Record")</f>
        <v/>
      </c>
      <c r="AW3113" t="inlineStr">
        <is>
          <t>4160345183:eng</t>
        </is>
      </c>
      <c r="AX3113" t="inlineStr">
        <is>
          <t>299698</t>
        </is>
      </c>
      <c r="AY3113" t="inlineStr">
        <is>
          <t>991002252389702656</t>
        </is>
      </c>
      <c r="AZ3113" t="inlineStr">
        <is>
          <t>991002252389702656</t>
        </is>
      </c>
      <c r="BA3113" t="inlineStr">
        <is>
          <t>2264434190002656</t>
        </is>
      </c>
      <c r="BB3113" t="inlineStr">
        <is>
          <t>BOOK</t>
        </is>
      </c>
      <c r="BE3113" t="inlineStr">
        <is>
          <t>32285000776715</t>
        </is>
      </c>
      <c r="BF3113" t="inlineStr">
        <is>
          <t>893691389</t>
        </is>
      </c>
    </row>
    <row r="3114">
      <c r="A3114" t="inlineStr">
        <is>
          <t>No</t>
        </is>
      </c>
      <c r="B3114" t="inlineStr">
        <is>
          <t>CURAL</t>
        </is>
      </c>
      <c r="C3114" t="inlineStr">
        <is>
          <t>SHELVES</t>
        </is>
      </c>
      <c r="D3114" t="inlineStr">
        <is>
          <t>PR6019.O9 Z72</t>
        </is>
      </c>
      <c r="E3114" t="inlineStr">
        <is>
          <t>0                      PR 6019000O  9                  Z  72</t>
        </is>
      </c>
      <c r="F3114" t="inlineStr">
        <is>
          <t>Joyce : the man, the work, the reputation / [by] Marvin Magalaner and Richard M. Kain.</t>
        </is>
      </c>
      <c r="H3114" t="inlineStr">
        <is>
          <t>No</t>
        </is>
      </c>
      <c r="I3114" t="inlineStr">
        <is>
          <t>1</t>
        </is>
      </c>
      <c r="J3114" t="inlineStr">
        <is>
          <t>No</t>
        </is>
      </c>
      <c r="K3114" t="inlineStr">
        <is>
          <t>No</t>
        </is>
      </c>
      <c r="L3114" t="inlineStr">
        <is>
          <t>0</t>
        </is>
      </c>
      <c r="M3114" t="inlineStr">
        <is>
          <t>Magalaner, Marvin, 1920-2004.</t>
        </is>
      </c>
      <c r="N3114" t="inlineStr">
        <is>
          <t>New York : New York University Press, 1956.</t>
        </is>
      </c>
      <c r="O3114" t="inlineStr">
        <is>
          <t>1956</t>
        </is>
      </c>
      <c r="Q3114" t="inlineStr">
        <is>
          <t>eng</t>
        </is>
      </c>
      <c r="R3114" t="inlineStr">
        <is>
          <t>nyu</t>
        </is>
      </c>
      <c r="T3114" t="inlineStr">
        <is>
          <t xml:space="preserve">PR </t>
        </is>
      </c>
      <c r="U3114" t="n">
        <v>1</v>
      </c>
      <c r="V3114" t="n">
        <v>1</v>
      </c>
      <c r="W3114" t="inlineStr">
        <is>
          <t>2006-10-06</t>
        </is>
      </c>
      <c r="X3114" t="inlineStr">
        <is>
          <t>2006-10-06</t>
        </is>
      </c>
      <c r="Y3114" t="inlineStr">
        <is>
          <t>1991-01-15</t>
        </is>
      </c>
      <c r="Z3114" t="inlineStr">
        <is>
          <t>1991-01-15</t>
        </is>
      </c>
      <c r="AA3114" t="n">
        <v>1025</v>
      </c>
      <c r="AB3114" t="n">
        <v>910</v>
      </c>
      <c r="AC3114" t="n">
        <v>1065</v>
      </c>
      <c r="AD3114" t="n">
        <v>8</v>
      </c>
      <c r="AE3114" t="n">
        <v>8</v>
      </c>
      <c r="AF3114" t="n">
        <v>43</v>
      </c>
      <c r="AG3114" t="n">
        <v>49</v>
      </c>
      <c r="AH3114" t="n">
        <v>18</v>
      </c>
      <c r="AI3114" t="n">
        <v>21</v>
      </c>
      <c r="AJ3114" t="n">
        <v>7</v>
      </c>
      <c r="AK3114" t="n">
        <v>10</v>
      </c>
      <c r="AL3114" t="n">
        <v>23</v>
      </c>
      <c r="AM3114" t="n">
        <v>25</v>
      </c>
      <c r="AN3114" t="n">
        <v>6</v>
      </c>
      <c r="AO3114" t="n">
        <v>6</v>
      </c>
      <c r="AP3114" t="n">
        <v>0</v>
      </c>
      <c r="AQ3114" t="n">
        <v>0</v>
      </c>
      <c r="AR3114" t="inlineStr">
        <is>
          <t>No</t>
        </is>
      </c>
      <c r="AS3114" t="inlineStr">
        <is>
          <t>No</t>
        </is>
      </c>
      <c r="AU3114">
        <f>HYPERLINK("https://creighton-primo.hosted.exlibrisgroup.com/primo-explore/search?tab=default_tab&amp;search_scope=EVERYTHING&amp;vid=01CRU&amp;lang=en_US&amp;offset=0&amp;query=any,contains,991004888689702656","Catalog Record")</f>
        <v/>
      </c>
      <c r="AV3114">
        <f>HYPERLINK("http://www.worldcat.org/oclc/5848102","WorldCat Record")</f>
        <v/>
      </c>
      <c r="AW3114" t="inlineStr">
        <is>
          <t>1513736:eng</t>
        </is>
      </c>
      <c r="AX3114" t="inlineStr">
        <is>
          <t>5848102</t>
        </is>
      </c>
      <c r="AY3114" t="inlineStr">
        <is>
          <t>991004888689702656</t>
        </is>
      </c>
      <c r="AZ3114" t="inlineStr">
        <is>
          <t>991004888689702656</t>
        </is>
      </c>
      <c r="BA3114" t="inlineStr">
        <is>
          <t>2256055280002656</t>
        </is>
      </c>
      <c r="BB3114" t="inlineStr">
        <is>
          <t>BOOK</t>
        </is>
      </c>
      <c r="BE3114" t="inlineStr">
        <is>
          <t>32285000428713</t>
        </is>
      </c>
      <c r="BF3114" t="inlineStr">
        <is>
          <t>893688317</t>
        </is>
      </c>
    </row>
    <row r="3115">
      <c r="A3115" t="inlineStr">
        <is>
          <t>No</t>
        </is>
      </c>
      <c r="B3115" t="inlineStr">
        <is>
          <t>CURAL</t>
        </is>
      </c>
      <c r="C3115" t="inlineStr">
        <is>
          <t>SHELVES</t>
        </is>
      </c>
      <c r="D3115" t="inlineStr">
        <is>
          <t>PR6019.O9 Z7258</t>
        </is>
      </c>
      <c r="E3115" t="inlineStr">
        <is>
          <t>0                      PR 6019000O  9                  Z  7258</t>
        </is>
      </c>
      <c r="F3115" t="inlineStr">
        <is>
          <t>Joyce's politics / Dominic Manganiello.</t>
        </is>
      </c>
      <c r="H3115" t="inlineStr">
        <is>
          <t>No</t>
        </is>
      </c>
      <c r="I3115" t="inlineStr">
        <is>
          <t>1</t>
        </is>
      </c>
      <c r="J3115" t="inlineStr">
        <is>
          <t>No</t>
        </is>
      </c>
      <c r="K3115" t="inlineStr">
        <is>
          <t>No</t>
        </is>
      </c>
      <c r="L3115" t="inlineStr">
        <is>
          <t>0</t>
        </is>
      </c>
      <c r="M3115" t="inlineStr">
        <is>
          <t>Manganiello, Dominic.</t>
        </is>
      </c>
      <c r="N3115" t="inlineStr">
        <is>
          <t>London ; Boston : Routledge &amp; Kegan Paul, 1980.</t>
        </is>
      </c>
      <c r="O3115" t="inlineStr">
        <is>
          <t>1980</t>
        </is>
      </c>
      <c r="Q3115" t="inlineStr">
        <is>
          <t>eng</t>
        </is>
      </c>
      <c r="R3115" t="inlineStr">
        <is>
          <t>enk</t>
        </is>
      </c>
      <c r="T3115" t="inlineStr">
        <is>
          <t xml:space="preserve">PR </t>
        </is>
      </c>
      <c r="U3115" t="n">
        <v>1</v>
      </c>
      <c r="V3115" t="n">
        <v>1</v>
      </c>
      <c r="W3115" t="inlineStr">
        <is>
          <t>2007-04-11</t>
        </is>
      </c>
      <c r="X3115" t="inlineStr">
        <is>
          <t>2007-04-11</t>
        </is>
      </c>
      <c r="Y3115" t="inlineStr">
        <is>
          <t>1990-05-11</t>
        </is>
      </c>
      <c r="Z3115" t="inlineStr">
        <is>
          <t>1990-05-11</t>
        </is>
      </c>
      <c r="AA3115" t="n">
        <v>649</v>
      </c>
      <c r="AB3115" t="n">
        <v>486</v>
      </c>
      <c r="AC3115" t="n">
        <v>526</v>
      </c>
      <c r="AD3115" t="n">
        <v>3</v>
      </c>
      <c r="AE3115" t="n">
        <v>3</v>
      </c>
      <c r="AF3115" t="n">
        <v>25</v>
      </c>
      <c r="AG3115" t="n">
        <v>25</v>
      </c>
      <c r="AH3115" t="n">
        <v>8</v>
      </c>
      <c r="AI3115" t="n">
        <v>8</v>
      </c>
      <c r="AJ3115" t="n">
        <v>9</v>
      </c>
      <c r="AK3115" t="n">
        <v>9</v>
      </c>
      <c r="AL3115" t="n">
        <v>13</v>
      </c>
      <c r="AM3115" t="n">
        <v>13</v>
      </c>
      <c r="AN3115" t="n">
        <v>2</v>
      </c>
      <c r="AO3115" t="n">
        <v>2</v>
      </c>
      <c r="AP3115" t="n">
        <v>0</v>
      </c>
      <c r="AQ3115" t="n">
        <v>0</v>
      </c>
      <c r="AR3115" t="inlineStr">
        <is>
          <t>No</t>
        </is>
      </c>
      <c r="AS3115" t="inlineStr">
        <is>
          <t>Yes</t>
        </is>
      </c>
      <c r="AT3115">
        <f>HYPERLINK("http://catalog.hathitrust.org/Record/000740786","HathiTrust Record")</f>
        <v/>
      </c>
      <c r="AU3115">
        <f>HYPERLINK("https://creighton-primo.hosted.exlibrisgroup.com/primo-explore/search?tab=default_tab&amp;search_scope=EVERYTHING&amp;vid=01CRU&amp;lang=en_US&amp;offset=0&amp;query=any,contains,991005072379702656","Catalog Record")</f>
        <v/>
      </c>
      <c r="AV3115">
        <f>HYPERLINK("http://www.worldcat.org/oclc/7050004","WorldCat Record")</f>
        <v/>
      </c>
      <c r="AW3115" t="inlineStr">
        <is>
          <t>11647840:eng</t>
        </is>
      </c>
      <c r="AX3115" t="inlineStr">
        <is>
          <t>7050004</t>
        </is>
      </c>
      <c r="AY3115" t="inlineStr">
        <is>
          <t>991005072379702656</t>
        </is>
      </c>
      <c r="AZ3115" t="inlineStr">
        <is>
          <t>991005072379702656</t>
        </is>
      </c>
      <c r="BA3115" t="inlineStr">
        <is>
          <t>2267802530002656</t>
        </is>
      </c>
      <c r="BB3115" t="inlineStr">
        <is>
          <t>BOOK</t>
        </is>
      </c>
      <c r="BD3115" t="inlineStr">
        <is>
          <t>9780710005373</t>
        </is>
      </c>
      <c r="BE3115" t="inlineStr">
        <is>
          <t>32285000109008</t>
        </is>
      </c>
      <c r="BF3115" t="inlineStr">
        <is>
          <t>893319969</t>
        </is>
      </c>
    </row>
    <row r="3116">
      <c r="A3116" t="inlineStr">
        <is>
          <t>No</t>
        </is>
      </c>
      <c r="B3116" t="inlineStr">
        <is>
          <t>CURAL</t>
        </is>
      </c>
      <c r="C3116" t="inlineStr">
        <is>
          <t>SHELVES</t>
        </is>
      </c>
      <c r="D3116" t="inlineStr">
        <is>
          <t>PR6019.O9 Z7274 1999</t>
        </is>
      </c>
      <c r="E3116" t="inlineStr">
        <is>
          <t>0                      PR 6019000O  9                  Z  7274        1999</t>
        </is>
      </c>
      <c r="F3116" t="inlineStr">
        <is>
          <t>James Joyce : a passionate exile / John McCourt.</t>
        </is>
      </c>
      <c r="H3116" t="inlineStr">
        <is>
          <t>No</t>
        </is>
      </c>
      <c r="I3116" t="inlineStr">
        <is>
          <t>1</t>
        </is>
      </c>
      <c r="J3116" t="inlineStr">
        <is>
          <t>No</t>
        </is>
      </c>
      <c r="K3116" t="inlineStr">
        <is>
          <t>No</t>
        </is>
      </c>
      <c r="L3116" t="inlineStr">
        <is>
          <t>0</t>
        </is>
      </c>
      <c r="M3116" t="inlineStr">
        <is>
          <t>McCourt, John, 1965-</t>
        </is>
      </c>
      <c r="N3116" t="inlineStr">
        <is>
          <t>New York, N.Y. : St. Martin's Press, 1999.</t>
        </is>
      </c>
      <c r="O3116" t="inlineStr">
        <is>
          <t>1999</t>
        </is>
      </c>
      <c r="P3116" t="inlineStr">
        <is>
          <t>1st U.S. ed.</t>
        </is>
      </c>
      <c r="Q3116" t="inlineStr">
        <is>
          <t>eng</t>
        </is>
      </c>
      <c r="R3116" t="inlineStr">
        <is>
          <t>nyu</t>
        </is>
      </c>
      <c r="T3116" t="inlineStr">
        <is>
          <t xml:space="preserve">PR </t>
        </is>
      </c>
      <c r="U3116" t="n">
        <v>7</v>
      </c>
      <c r="V3116" t="n">
        <v>7</v>
      </c>
      <c r="W3116" t="inlineStr">
        <is>
          <t>2006-04-25</t>
        </is>
      </c>
      <c r="X3116" t="inlineStr">
        <is>
          <t>2006-04-25</t>
        </is>
      </c>
      <c r="Y3116" t="inlineStr">
        <is>
          <t>2001-07-09</t>
        </is>
      </c>
      <c r="Z3116" t="inlineStr">
        <is>
          <t>2001-07-09</t>
        </is>
      </c>
      <c r="AA3116" t="n">
        <v>388</v>
      </c>
      <c r="AB3116" t="n">
        <v>363</v>
      </c>
      <c r="AC3116" t="n">
        <v>452</v>
      </c>
      <c r="AD3116" t="n">
        <v>3</v>
      </c>
      <c r="AE3116" t="n">
        <v>3</v>
      </c>
      <c r="AF3116" t="n">
        <v>12</v>
      </c>
      <c r="AG3116" t="n">
        <v>16</v>
      </c>
      <c r="AH3116" t="n">
        <v>4</v>
      </c>
      <c r="AI3116" t="n">
        <v>6</v>
      </c>
      <c r="AJ3116" t="n">
        <v>4</v>
      </c>
      <c r="AK3116" t="n">
        <v>6</v>
      </c>
      <c r="AL3116" t="n">
        <v>6</v>
      </c>
      <c r="AM3116" t="n">
        <v>9</v>
      </c>
      <c r="AN3116" t="n">
        <v>1</v>
      </c>
      <c r="AO3116" t="n">
        <v>1</v>
      </c>
      <c r="AP3116" t="n">
        <v>0</v>
      </c>
      <c r="AQ3116" t="n">
        <v>0</v>
      </c>
      <c r="AR3116" t="inlineStr">
        <is>
          <t>No</t>
        </is>
      </c>
      <c r="AS3116" t="inlineStr">
        <is>
          <t>No</t>
        </is>
      </c>
      <c r="AU3116">
        <f>HYPERLINK("https://creighton-primo.hosted.exlibrisgroup.com/primo-explore/search?tab=default_tab&amp;search_scope=EVERYTHING&amp;vid=01CRU&amp;lang=en_US&amp;offset=0&amp;query=any,contains,991003538729702656","Catalog Record")</f>
        <v/>
      </c>
      <c r="AV3116">
        <f>HYPERLINK("http://www.worldcat.org/oclc/46476039","WorldCat Record")</f>
        <v/>
      </c>
      <c r="AW3116" t="inlineStr">
        <is>
          <t>370765670:eng</t>
        </is>
      </c>
      <c r="AX3116" t="inlineStr">
        <is>
          <t>46476039</t>
        </is>
      </c>
      <c r="AY3116" t="inlineStr">
        <is>
          <t>991003538729702656</t>
        </is>
      </c>
      <c r="AZ3116" t="inlineStr">
        <is>
          <t>991003538729702656</t>
        </is>
      </c>
      <c r="BA3116" t="inlineStr">
        <is>
          <t>2265460670002656</t>
        </is>
      </c>
      <c r="BB3116" t="inlineStr">
        <is>
          <t>BOOK</t>
        </is>
      </c>
      <c r="BD3116" t="inlineStr">
        <is>
          <t>9780312269418</t>
        </is>
      </c>
      <c r="BE3116" t="inlineStr">
        <is>
          <t>32285004330428</t>
        </is>
      </c>
      <c r="BF3116" t="inlineStr">
        <is>
          <t>893535504</t>
        </is>
      </c>
    </row>
    <row r="3117">
      <c r="A3117" t="inlineStr">
        <is>
          <t>No</t>
        </is>
      </c>
      <c r="B3117" t="inlineStr">
        <is>
          <t>CURAL</t>
        </is>
      </c>
      <c r="C3117" t="inlineStr">
        <is>
          <t>SHELVES</t>
        </is>
      </c>
      <c r="D3117" t="inlineStr">
        <is>
          <t>PR6019.O9 Z73</t>
        </is>
      </c>
      <c r="E3117" t="inlineStr">
        <is>
          <t>0                      PR 6019000O  9                  Z  73</t>
        </is>
      </c>
      <c r="F3117" t="inlineStr">
        <is>
          <t>The sympathetic alien : James Joyce and Catholicism.</t>
        </is>
      </c>
      <c r="H3117" t="inlineStr">
        <is>
          <t>No</t>
        </is>
      </c>
      <c r="I3117" t="inlineStr">
        <is>
          <t>1</t>
        </is>
      </c>
      <c r="J3117" t="inlineStr">
        <is>
          <t>No</t>
        </is>
      </c>
      <c r="K3117" t="inlineStr">
        <is>
          <t>No</t>
        </is>
      </c>
      <c r="L3117" t="inlineStr">
        <is>
          <t>0</t>
        </is>
      </c>
      <c r="M3117" t="inlineStr">
        <is>
          <t>Morse, J. Mitchell (Josiah Mitchell), 1912-</t>
        </is>
      </c>
      <c r="N3117" t="inlineStr">
        <is>
          <t>[New York] : New York University Press, 1959.</t>
        </is>
      </c>
      <c r="O3117" t="inlineStr">
        <is>
          <t>1959</t>
        </is>
      </c>
      <c r="Q3117" t="inlineStr">
        <is>
          <t>eng</t>
        </is>
      </c>
      <c r="R3117" t="inlineStr">
        <is>
          <t>nyu</t>
        </is>
      </c>
      <c r="T3117" t="inlineStr">
        <is>
          <t xml:space="preserve">PR </t>
        </is>
      </c>
      <c r="U3117" t="n">
        <v>4</v>
      </c>
      <c r="V3117" t="n">
        <v>4</v>
      </c>
      <c r="W3117" t="inlineStr">
        <is>
          <t>2006-10-06</t>
        </is>
      </c>
      <c r="X3117" t="inlineStr">
        <is>
          <t>2006-10-06</t>
        </is>
      </c>
      <c r="Y3117" t="inlineStr">
        <is>
          <t>1990-03-07</t>
        </is>
      </c>
      <c r="Z3117" t="inlineStr">
        <is>
          <t>1990-03-07</t>
        </is>
      </c>
      <c r="AA3117" t="n">
        <v>711</v>
      </c>
      <c r="AB3117" t="n">
        <v>638</v>
      </c>
      <c r="AC3117" t="n">
        <v>648</v>
      </c>
      <c r="AD3117" t="n">
        <v>5</v>
      </c>
      <c r="AE3117" t="n">
        <v>5</v>
      </c>
      <c r="AF3117" t="n">
        <v>38</v>
      </c>
      <c r="AG3117" t="n">
        <v>38</v>
      </c>
      <c r="AH3117" t="n">
        <v>16</v>
      </c>
      <c r="AI3117" t="n">
        <v>16</v>
      </c>
      <c r="AJ3117" t="n">
        <v>9</v>
      </c>
      <c r="AK3117" t="n">
        <v>9</v>
      </c>
      <c r="AL3117" t="n">
        <v>20</v>
      </c>
      <c r="AM3117" t="n">
        <v>20</v>
      </c>
      <c r="AN3117" t="n">
        <v>4</v>
      </c>
      <c r="AO3117" t="n">
        <v>4</v>
      </c>
      <c r="AP3117" t="n">
        <v>0</v>
      </c>
      <c r="AQ3117" t="n">
        <v>0</v>
      </c>
      <c r="AR3117" t="inlineStr">
        <is>
          <t>No</t>
        </is>
      </c>
      <c r="AS3117" t="inlineStr">
        <is>
          <t>No</t>
        </is>
      </c>
      <c r="AU3117">
        <f>HYPERLINK("https://creighton-primo.hosted.exlibrisgroup.com/primo-explore/search?tab=default_tab&amp;search_scope=EVERYTHING&amp;vid=01CRU&amp;lang=en_US&amp;offset=0&amp;query=any,contains,991001209739702656","Catalog Record")</f>
        <v/>
      </c>
      <c r="AV3117">
        <f>HYPERLINK("http://www.worldcat.org/oclc/193003","WorldCat Record")</f>
        <v/>
      </c>
      <c r="AW3117" t="inlineStr">
        <is>
          <t>197783292:eng</t>
        </is>
      </c>
      <c r="AX3117" t="inlineStr">
        <is>
          <t>193003</t>
        </is>
      </c>
      <c r="AY3117" t="inlineStr">
        <is>
          <t>991001209739702656</t>
        </is>
      </c>
      <c r="AZ3117" t="inlineStr">
        <is>
          <t>991001209739702656</t>
        </is>
      </c>
      <c r="BA3117" t="inlineStr">
        <is>
          <t>2268868640002656</t>
        </is>
      </c>
      <c r="BB3117" t="inlineStr">
        <is>
          <t>BOOK</t>
        </is>
      </c>
      <c r="BE3117" t="inlineStr">
        <is>
          <t>32285000080456</t>
        </is>
      </c>
      <c r="BF3117" t="inlineStr">
        <is>
          <t>893684151</t>
        </is>
      </c>
    </row>
    <row r="3118">
      <c r="A3118" t="inlineStr">
        <is>
          <t>No</t>
        </is>
      </c>
      <c r="B3118" t="inlineStr">
        <is>
          <t>CURAL</t>
        </is>
      </c>
      <c r="C3118" t="inlineStr">
        <is>
          <t>SHELVES</t>
        </is>
      </c>
      <c r="D3118" t="inlineStr">
        <is>
          <t>PR6019.O9 Z736 1987</t>
        </is>
      </c>
      <c r="E3118" t="inlineStr">
        <is>
          <t>0                      PR 6019000O  9                  Z  736         1987</t>
        </is>
      </c>
      <c r="F3118" t="inlineStr">
        <is>
          <t>James Joyce / Bonnie Kime Scott.</t>
        </is>
      </c>
      <c r="H3118" t="inlineStr">
        <is>
          <t>No</t>
        </is>
      </c>
      <c r="I3118" t="inlineStr">
        <is>
          <t>1</t>
        </is>
      </c>
      <c r="J3118" t="inlineStr">
        <is>
          <t>No</t>
        </is>
      </c>
      <c r="K3118" t="inlineStr">
        <is>
          <t>No</t>
        </is>
      </c>
      <c r="L3118" t="inlineStr">
        <is>
          <t>0</t>
        </is>
      </c>
      <c r="M3118" t="inlineStr">
        <is>
          <t>Scott, Bonnie Kime, 1944-</t>
        </is>
      </c>
      <c r="N3118" t="inlineStr">
        <is>
          <t>Brighton : Harvester, 1987.</t>
        </is>
      </c>
      <c r="O3118" t="inlineStr">
        <is>
          <t>1987</t>
        </is>
      </c>
      <c r="Q3118" t="inlineStr">
        <is>
          <t>eng</t>
        </is>
      </c>
      <c r="R3118" t="inlineStr">
        <is>
          <t>enk</t>
        </is>
      </c>
      <c r="S3118" t="inlineStr">
        <is>
          <t>Feminist readings</t>
        </is>
      </c>
      <c r="T3118" t="inlineStr">
        <is>
          <t xml:space="preserve">PR </t>
        </is>
      </c>
      <c r="U3118" t="n">
        <v>6</v>
      </c>
      <c r="V3118" t="n">
        <v>6</v>
      </c>
      <c r="W3118" t="inlineStr">
        <is>
          <t>1993-10-17</t>
        </is>
      </c>
      <c r="X3118" t="inlineStr">
        <is>
          <t>1993-10-17</t>
        </is>
      </c>
      <c r="Y3118" t="inlineStr">
        <is>
          <t>1992-07-08</t>
        </is>
      </c>
      <c r="Z3118" t="inlineStr">
        <is>
          <t>1992-07-08</t>
        </is>
      </c>
      <c r="AA3118" t="n">
        <v>165</v>
      </c>
      <c r="AB3118" t="n">
        <v>51</v>
      </c>
      <c r="AC3118" t="n">
        <v>449</v>
      </c>
      <c r="AD3118" t="n">
        <v>1</v>
      </c>
      <c r="AE3118" t="n">
        <v>5</v>
      </c>
      <c r="AF3118" t="n">
        <v>2</v>
      </c>
      <c r="AG3118" t="n">
        <v>25</v>
      </c>
      <c r="AH3118" t="n">
        <v>0</v>
      </c>
      <c r="AI3118" t="n">
        <v>8</v>
      </c>
      <c r="AJ3118" t="n">
        <v>1</v>
      </c>
      <c r="AK3118" t="n">
        <v>5</v>
      </c>
      <c r="AL3118" t="n">
        <v>2</v>
      </c>
      <c r="AM3118" t="n">
        <v>13</v>
      </c>
      <c r="AN3118" t="n">
        <v>0</v>
      </c>
      <c r="AO3118" t="n">
        <v>4</v>
      </c>
      <c r="AP3118" t="n">
        <v>0</v>
      </c>
      <c r="AQ3118" t="n">
        <v>0</v>
      </c>
      <c r="AR3118" t="inlineStr">
        <is>
          <t>No</t>
        </is>
      </c>
      <c r="AS3118" t="inlineStr">
        <is>
          <t>No</t>
        </is>
      </c>
      <c r="AU3118">
        <f>HYPERLINK("https://creighton-primo.hosted.exlibrisgroup.com/primo-explore/search?tab=default_tab&amp;search_scope=EVERYTHING&amp;vid=01CRU&amp;lang=en_US&amp;offset=0&amp;query=any,contains,991000859519702656","Catalog Record")</f>
        <v/>
      </c>
      <c r="AV3118">
        <f>HYPERLINK("http://www.worldcat.org/oclc/18463355","WorldCat Record")</f>
        <v/>
      </c>
      <c r="AW3118" t="inlineStr">
        <is>
          <t>10075028:eng</t>
        </is>
      </c>
      <c r="AX3118" t="inlineStr">
        <is>
          <t>18463355</t>
        </is>
      </c>
      <c r="AY3118" t="inlineStr">
        <is>
          <t>991000859519702656</t>
        </is>
      </c>
      <c r="AZ3118" t="inlineStr">
        <is>
          <t>991000859519702656</t>
        </is>
      </c>
      <c r="BA3118" t="inlineStr">
        <is>
          <t>2254862380002656</t>
        </is>
      </c>
      <c r="BB3118" t="inlineStr">
        <is>
          <t>BOOK</t>
        </is>
      </c>
      <c r="BD3118" t="inlineStr">
        <is>
          <t>9780710809155</t>
        </is>
      </c>
      <c r="BE3118" t="inlineStr">
        <is>
          <t>32285001150993</t>
        </is>
      </c>
      <c r="BF3118" t="inlineStr">
        <is>
          <t>893237672</t>
        </is>
      </c>
    </row>
    <row r="3119">
      <c r="A3119" t="inlineStr">
        <is>
          <t>No</t>
        </is>
      </c>
      <c r="B3119" t="inlineStr">
        <is>
          <t>CURAL</t>
        </is>
      </c>
      <c r="C3119" t="inlineStr">
        <is>
          <t>SHELVES</t>
        </is>
      </c>
      <c r="D3119" t="inlineStr">
        <is>
          <t>PR6019.O9 Z74</t>
        </is>
      </c>
      <c r="E3119" t="inlineStr">
        <is>
          <t>0                      PR 6019000O  9                  Z  74</t>
        </is>
      </c>
      <c r="F3119" t="inlineStr">
        <is>
          <t>Joyce and the Bible / [by] Virginia Moseley.</t>
        </is>
      </c>
      <c r="H3119" t="inlineStr">
        <is>
          <t>No</t>
        </is>
      </c>
      <c r="I3119" t="inlineStr">
        <is>
          <t>1</t>
        </is>
      </c>
      <c r="J3119" t="inlineStr">
        <is>
          <t>No</t>
        </is>
      </c>
      <c r="K3119" t="inlineStr">
        <is>
          <t>No</t>
        </is>
      </c>
      <c r="L3119" t="inlineStr">
        <is>
          <t>0</t>
        </is>
      </c>
      <c r="M3119" t="inlineStr">
        <is>
          <t>Moseley, Virginia Douglas, 1917-</t>
        </is>
      </c>
      <c r="N3119" t="inlineStr">
        <is>
          <t>De Kalb : Northern Illinois University Press, [1967]</t>
        </is>
      </c>
      <c r="O3119" t="inlineStr">
        <is>
          <t>1967</t>
        </is>
      </c>
      <c r="Q3119" t="inlineStr">
        <is>
          <t>eng</t>
        </is>
      </c>
      <c r="R3119" t="inlineStr">
        <is>
          <t>ilu</t>
        </is>
      </c>
      <c r="T3119" t="inlineStr">
        <is>
          <t xml:space="preserve">PR </t>
        </is>
      </c>
      <c r="U3119" t="n">
        <v>3</v>
      </c>
      <c r="V3119" t="n">
        <v>3</v>
      </c>
      <c r="W3119" t="inlineStr">
        <is>
          <t>2006-10-05</t>
        </is>
      </c>
      <c r="X3119" t="inlineStr">
        <is>
          <t>2006-10-05</t>
        </is>
      </c>
      <c r="Y3119" t="inlineStr">
        <is>
          <t>1993-04-03</t>
        </is>
      </c>
      <c r="Z3119" t="inlineStr">
        <is>
          <t>1993-04-03</t>
        </is>
      </c>
      <c r="AA3119" t="n">
        <v>688</v>
      </c>
      <c r="AB3119" t="n">
        <v>591</v>
      </c>
      <c r="AC3119" t="n">
        <v>599</v>
      </c>
      <c r="AD3119" t="n">
        <v>2</v>
      </c>
      <c r="AE3119" t="n">
        <v>2</v>
      </c>
      <c r="AF3119" t="n">
        <v>37</v>
      </c>
      <c r="AG3119" t="n">
        <v>37</v>
      </c>
      <c r="AH3119" t="n">
        <v>19</v>
      </c>
      <c r="AI3119" t="n">
        <v>19</v>
      </c>
      <c r="AJ3119" t="n">
        <v>10</v>
      </c>
      <c r="AK3119" t="n">
        <v>10</v>
      </c>
      <c r="AL3119" t="n">
        <v>19</v>
      </c>
      <c r="AM3119" t="n">
        <v>19</v>
      </c>
      <c r="AN3119" t="n">
        <v>1</v>
      </c>
      <c r="AO3119" t="n">
        <v>1</v>
      </c>
      <c r="AP3119" t="n">
        <v>0</v>
      </c>
      <c r="AQ3119" t="n">
        <v>0</v>
      </c>
      <c r="AR3119" t="inlineStr">
        <is>
          <t>No</t>
        </is>
      </c>
      <c r="AS3119" t="inlineStr">
        <is>
          <t>Yes</t>
        </is>
      </c>
      <c r="AT3119">
        <f>HYPERLINK("http://catalog.hathitrust.org/Record/000588922","HathiTrust Record")</f>
        <v/>
      </c>
      <c r="AU3119">
        <f>HYPERLINK("https://creighton-primo.hosted.exlibrisgroup.com/primo-explore/search?tab=default_tab&amp;search_scope=EVERYTHING&amp;vid=01CRU&amp;lang=en_US&amp;offset=0&amp;query=any,contains,991002154799702656","Catalog Record")</f>
        <v/>
      </c>
      <c r="AV3119">
        <f>HYPERLINK("http://www.worldcat.org/oclc/272435","WorldCat Record")</f>
        <v/>
      </c>
      <c r="AW3119" t="inlineStr">
        <is>
          <t>1402794:eng</t>
        </is>
      </c>
      <c r="AX3119" t="inlineStr">
        <is>
          <t>272435</t>
        </is>
      </c>
      <c r="AY3119" t="inlineStr">
        <is>
          <t>991002154799702656</t>
        </is>
      </c>
      <c r="AZ3119" t="inlineStr">
        <is>
          <t>991002154799702656</t>
        </is>
      </c>
      <c r="BA3119" t="inlineStr">
        <is>
          <t>2262485280002656</t>
        </is>
      </c>
      <c r="BB3119" t="inlineStr">
        <is>
          <t>BOOK</t>
        </is>
      </c>
      <c r="BE3119" t="inlineStr">
        <is>
          <t>32285001599397</t>
        </is>
      </c>
      <c r="BF3119" t="inlineStr">
        <is>
          <t>893408755</t>
        </is>
      </c>
    </row>
    <row r="3120">
      <c r="A3120" t="inlineStr">
        <is>
          <t>No</t>
        </is>
      </c>
      <c r="B3120" t="inlineStr">
        <is>
          <t>CURAL</t>
        </is>
      </c>
      <c r="C3120" t="inlineStr">
        <is>
          <t>SHELVES</t>
        </is>
      </c>
      <c r="D3120" t="inlineStr">
        <is>
          <t>PR6019.O9 Z744</t>
        </is>
      </c>
      <c r="E3120" t="inlineStr">
        <is>
          <t>0                      PR 6019000O  9                  Z  744</t>
        </is>
      </c>
      <c r="F3120" t="inlineStr">
        <is>
          <t>The cyclical night; irony in James Joyce and Jorge Luis Borges [by] L. A. Murillo.</t>
        </is>
      </c>
      <c r="H3120" t="inlineStr">
        <is>
          <t>No</t>
        </is>
      </c>
      <c r="I3120" t="inlineStr">
        <is>
          <t>1</t>
        </is>
      </c>
      <c r="J3120" t="inlineStr">
        <is>
          <t>No</t>
        </is>
      </c>
      <c r="K3120" t="inlineStr">
        <is>
          <t>No</t>
        </is>
      </c>
      <c r="L3120" t="inlineStr">
        <is>
          <t>0</t>
        </is>
      </c>
      <c r="M3120" t="inlineStr">
        <is>
          <t>Murillo, L. A. (Louis Andrew), 1922-</t>
        </is>
      </c>
      <c r="N3120" t="inlineStr">
        <is>
          <t>Cambridge, Harvard University Press, 1968.</t>
        </is>
      </c>
      <c r="O3120" t="inlineStr">
        <is>
          <t>1968</t>
        </is>
      </c>
      <c r="Q3120" t="inlineStr">
        <is>
          <t>eng</t>
        </is>
      </c>
      <c r="R3120" t="inlineStr">
        <is>
          <t>mau</t>
        </is>
      </c>
      <c r="T3120" t="inlineStr">
        <is>
          <t xml:space="preserve">PR </t>
        </is>
      </c>
      <c r="U3120" t="n">
        <v>1</v>
      </c>
      <c r="V3120" t="n">
        <v>1</v>
      </c>
      <c r="W3120" t="inlineStr">
        <is>
          <t>2000-12-06</t>
        </is>
      </c>
      <c r="X3120" t="inlineStr">
        <is>
          <t>2000-12-06</t>
        </is>
      </c>
      <c r="Y3120" t="inlineStr">
        <is>
          <t>1997-04-10</t>
        </is>
      </c>
      <c r="Z3120" t="inlineStr">
        <is>
          <t>1997-04-10</t>
        </is>
      </c>
      <c r="AA3120" t="n">
        <v>676</v>
      </c>
      <c r="AB3120" t="n">
        <v>576</v>
      </c>
      <c r="AC3120" t="n">
        <v>581</v>
      </c>
      <c r="AD3120" t="n">
        <v>4</v>
      </c>
      <c r="AE3120" t="n">
        <v>4</v>
      </c>
      <c r="AF3120" t="n">
        <v>25</v>
      </c>
      <c r="AG3120" t="n">
        <v>25</v>
      </c>
      <c r="AH3120" t="n">
        <v>5</v>
      </c>
      <c r="AI3120" t="n">
        <v>5</v>
      </c>
      <c r="AJ3120" t="n">
        <v>8</v>
      </c>
      <c r="AK3120" t="n">
        <v>8</v>
      </c>
      <c r="AL3120" t="n">
        <v>15</v>
      </c>
      <c r="AM3120" t="n">
        <v>15</v>
      </c>
      <c r="AN3120" t="n">
        <v>3</v>
      </c>
      <c r="AO3120" t="n">
        <v>3</v>
      </c>
      <c r="AP3120" t="n">
        <v>0</v>
      </c>
      <c r="AQ3120" t="n">
        <v>0</v>
      </c>
      <c r="AR3120" t="inlineStr">
        <is>
          <t>No</t>
        </is>
      </c>
      <c r="AS3120" t="inlineStr">
        <is>
          <t>Yes</t>
        </is>
      </c>
      <c r="AT3120">
        <f>HYPERLINK("http://catalog.hathitrust.org/Record/000588926","HathiTrust Record")</f>
        <v/>
      </c>
      <c r="AU3120">
        <f>HYPERLINK("https://creighton-primo.hosted.exlibrisgroup.com/primo-explore/search?tab=default_tab&amp;search_scope=EVERYTHING&amp;vid=01CRU&amp;lang=en_US&amp;offset=0&amp;query=any,contains,991002807909702656","Catalog Record")</f>
        <v/>
      </c>
      <c r="AV3120">
        <f>HYPERLINK("http://www.worldcat.org/oclc/451295","WorldCat Record")</f>
        <v/>
      </c>
      <c r="AW3120" t="inlineStr">
        <is>
          <t>10792711136:eng</t>
        </is>
      </c>
      <c r="AX3120" t="inlineStr">
        <is>
          <t>451295</t>
        </is>
      </c>
      <c r="AY3120" t="inlineStr">
        <is>
          <t>991002807909702656</t>
        </is>
      </c>
      <c r="AZ3120" t="inlineStr">
        <is>
          <t>991002807909702656</t>
        </is>
      </c>
      <c r="BA3120" t="inlineStr">
        <is>
          <t>2261090530002656</t>
        </is>
      </c>
      <c r="BB3120" t="inlineStr">
        <is>
          <t>BOOK</t>
        </is>
      </c>
      <c r="BD3120" t="inlineStr">
        <is>
          <t>9780196265469</t>
        </is>
      </c>
      <c r="BE3120" t="inlineStr">
        <is>
          <t>32285002528387</t>
        </is>
      </c>
      <c r="BF3120" t="inlineStr">
        <is>
          <t>893805065</t>
        </is>
      </c>
    </row>
    <row r="3121">
      <c r="A3121" t="inlineStr">
        <is>
          <t>No</t>
        </is>
      </c>
      <c r="B3121" t="inlineStr">
        <is>
          <t>CURAL</t>
        </is>
      </c>
      <c r="C3121" t="inlineStr">
        <is>
          <t>SHELVES</t>
        </is>
      </c>
      <c r="D3121" t="inlineStr">
        <is>
          <t>PR6019.O9 Z7445 2003</t>
        </is>
      </c>
      <c r="E3121" t="inlineStr">
        <is>
          <t>0                      PR 6019000O  9                  Z  7445        2003</t>
        </is>
      </c>
      <c r="F3121" t="inlineStr">
        <is>
          <t>James Joyce and victims : reading the logic of exclusion / Sean P. Murphy.</t>
        </is>
      </c>
      <c r="H3121" t="inlineStr">
        <is>
          <t>No</t>
        </is>
      </c>
      <c r="I3121" t="inlineStr">
        <is>
          <t>1</t>
        </is>
      </c>
      <c r="J3121" t="inlineStr">
        <is>
          <t>No</t>
        </is>
      </c>
      <c r="K3121" t="inlineStr">
        <is>
          <t>No</t>
        </is>
      </c>
      <c r="L3121" t="inlineStr">
        <is>
          <t>0</t>
        </is>
      </c>
      <c r="M3121" t="inlineStr">
        <is>
          <t>Murphy, Sean P., 1970-</t>
        </is>
      </c>
      <c r="N3121" t="inlineStr">
        <is>
          <t>Madison, N.J. : Fairleigh Dickinson University Press ; London : Associated University Presses, c2003.</t>
        </is>
      </c>
      <c r="O3121" t="inlineStr">
        <is>
          <t>2003</t>
        </is>
      </c>
      <c r="Q3121" t="inlineStr">
        <is>
          <t>eng</t>
        </is>
      </c>
      <c r="R3121" t="inlineStr">
        <is>
          <t>nju</t>
        </is>
      </c>
      <c r="T3121" t="inlineStr">
        <is>
          <t xml:space="preserve">PR </t>
        </is>
      </c>
      <c r="U3121" t="n">
        <v>5</v>
      </c>
      <c r="V3121" t="n">
        <v>5</v>
      </c>
      <c r="W3121" t="inlineStr">
        <is>
          <t>2007-11-09</t>
        </is>
      </c>
      <c r="X3121" t="inlineStr">
        <is>
          <t>2007-11-09</t>
        </is>
      </c>
      <c r="Y3121" t="inlineStr">
        <is>
          <t>2005-03-15</t>
        </is>
      </c>
      <c r="Z3121" t="inlineStr">
        <is>
          <t>2005-03-15</t>
        </is>
      </c>
      <c r="AA3121" t="n">
        <v>272</v>
      </c>
      <c r="AB3121" t="n">
        <v>229</v>
      </c>
      <c r="AC3121" t="n">
        <v>239</v>
      </c>
      <c r="AD3121" t="n">
        <v>2</v>
      </c>
      <c r="AE3121" t="n">
        <v>2</v>
      </c>
      <c r="AF3121" t="n">
        <v>12</v>
      </c>
      <c r="AG3121" t="n">
        <v>13</v>
      </c>
      <c r="AH3121" t="n">
        <v>3</v>
      </c>
      <c r="AI3121" t="n">
        <v>4</v>
      </c>
      <c r="AJ3121" t="n">
        <v>5</v>
      </c>
      <c r="AK3121" t="n">
        <v>6</v>
      </c>
      <c r="AL3121" t="n">
        <v>6</v>
      </c>
      <c r="AM3121" t="n">
        <v>6</v>
      </c>
      <c r="AN3121" t="n">
        <v>1</v>
      </c>
      <c r="AO3121" t="n">
        <v>1</v>
      </c>
      <c r="AP3121" t="n">
        <v>0</v>
      </c>
      <c r="AQ3121" t="n">
        <v>0</v>
      </c>
      <c r="AR3121" t="inlineStr">
        <is>
          <t>No</t>
        </is>
      </c>
      <c r="AS3121" t="inlineStr">
        <is>
          <t>Yes</t>
        </is>
      </c>
      <c r="AT3121">
        <f>HYPERLINK("http://catalog.hathitrust.org/Record/004355832","HathiTrust Record")</f>
        <v/>
      </c>
      <c r="AU3121">
        <f>HYPERLINK("https://creighton-primo.hosted.exlibrisgroup.com/primo-explore/search?tab=default_tab&amp;search_scope=EVERYTHING&amp;vid=01CRU&amp;lang=en_US&amp;offset=0&amp;query=any,contains,991004415959702656","Catalog Record")</f>
        <v/>
      </c>
      <c r="AV3121">
        <f>HYPERLINK("http://www.worldcat.org/oclc/51223659","WorldCat Record")</f>
        <v/>
      </c>
      <c r="AW3121" t="inlineStr">
        <is>
          <t>328235234:eng</t>
        </is>
      </c>
      <c r="AX3121" t="inlineStr">
        <is>
          <t>51223659</t>
        </is>
      </c>
      <c r="AY3121" t="inlineStr">
        <is>
          <t>991004415959702656</t>
        </is>
      </c>
      <c r="AZ3121" t="inlineStr">
        <is>
          <t>991004415959702656</t>
        </is>
      </c>
      <c r="BA3121" t="inlineStr">
        <is>
          <t>2269329660002656</t>
        </is>
      </c>
      <c r="BB3121" t="inlineStr">
        <is>
          <t>BOOK</t>
        </is>
      </c>
      <c r="BD3121" t="inlineStr">
        <is>
          <t>9780838639504</t>
        </is>
      </c>
      <c r="BE3121" t="inlineStr">
        <is>
          <t>32285005040919</t>
        </is>
      </c>
      <c r="BF3121" t="inlineStr">
        <is>
          <t>893235470</t>
        </is>
      </c>
    </row>
    <row r="3122">
      <c r="A3122" t="inlineStr">
        <is>
          <t>No</t>
        </is>
      </c>
      <c r="B3122" t="inlineStr">
        <is>
          <t>CURAL</t>
        </is>
      </c>
      <c r="C3122" t="inlineStr">
        <is>
          <t>SHELVES</t>
        </is>
      </c>
      <c r="D3122" t="inlineStr">
        <is>
          <t>PR6019.O9 Z76</t>
        </is>
      </c>
      <c r="E3122" t="inlineStr">
        <is>
          <t>0                      PR 6019000O  9                  Z  76</t>
        </is>
      </c>
      <c r="F3122" t="inlineStr">
        <is>
          <t>Joyce and Aquinas.</t>
        </is>
      </c>
      <c r="H3122" t="inlineStr">
        <is>
          <t>No</t>
        </is>
      </c>
      <c r="I3122" t="inlineStr">
        <is>
          <t>1</t>
        </is>
      </c>
      <c r="J3122" t="inlineStr">
        <is>
          <t>No</t>
        </is>
      </c>
      <c r="K3122" t="inlineStr">
        <is>
          <t>No</t>
        </is>
      </c>
      <c r="L3122" t="inlineStr">
        <is>
          <t>0</t>
        </is>
      </c>
      <c r="M3122" t="inlineStr">
        <is>
          <t>Noon, William T.</t>
        </is>
      </c>
      <c r="N3122" t="inlineStr">
        <is>
          <t>New Haven, Yale University Press, 1957.</t>
        </is>
      </c>
      <c r="O3122" t="inlineStr">
        <is>
          <t>1957</t>
        </is>
      </c>
      <c r="Q3122" t="inlineStr">
        <is>
          <t>eng</t>
        </is>
      </c>
      <c r="R3122" t="inlineStr">
        <is>
          <t>ctu</t>
        </is>
      </c>
      <c r="S3122" t="inlineStr">
        <is>
          <t>Yale studies in English ; v. 133</t>
        </is>
      </c>
      <c r="T3122" t="inlineStr">
        <is>
          <t xml:space="preserve">PR </t>
        </is>
      </c>
      <c r="U3122" t="n">
        <v>1</v>
      </c>
      <c r="V3122" t="n">
        <v>1</v>
      </c>
      <c r="W3122" t="inlineStr">
        <is>
          <t>2006-10-06</t>
        </is>
      </c>
      <c r="X3122" t="inlineStr">
        <is>
          <t>2006-10-06</t>
        </is>
      </c>
      <c r="Y3122" t="inlineStr">
        <is>
          <t>1998-06-22</t>
        </is>
      </c>
      <c r="Z3122" t="inlineStr">
        <is>
          <t>1998-06-22</t>
        </is>
      </c>
      <c r="AA3122" t="n">
        <v>591</v>
      </c>
      <c r="AB3122" t="n">
        <v>480</v>
      </c>
      <c r="AC3122" t="n">
        <v>755</v>
      </c>
      <c r="AD3122" t="n">
        <v>7</v>
      </c>
      <c r="AE3122" t="n">
        <v>8</v>
      </c>
      <c r="AF3122" t="n">
        <v>42</v>
      </c>
      <c r="AG3122" t="n">
        <v>49</v>
      </c>
      <c r="AH3122" t="n">
        <v>18</v>
      </c>
      <c r="AI3122" t="n">
        <v>20</v>
      </c>
      <c r="AJ3122" t="n">
        <v>8</v>
      </c>
      <c r="AK3122" t="n">
        <v>11</v>
      </c>
      <c r="AL3122" t="n">
        <v>21</v>
      </c>
      <c r="AM3122" t="n">
        <v>24</v>
      </c>
      <c r="AN3122" t="n">
        <v>6</v>
      </c>
      <c r="AO3122" t="n">
        <v>7</v>
      </c>
      <c r="AP3122" t="n">
        <v>0</v>
      </c>
      <c r="AQ3122" t="n">
        <v>0</v>
      </c>
      <c r="AR3122" t="inlineStr">
        <is>
          <t>No</t>
        </is>
      </c>
      <c r="AS3122" t="inlineStr">
        <is>
          <t>No</t>
        </is>
      </c>
      <c r="AU3122">
        <f>HYPERLINK("https://creighton-primo.hosted.exlibrisgroup.com/primo-explore/search?tab=default_tab&amp;search_scope=EVERYTHING&amp;vid=01CRU&amp;lang=en_US&amp;offset=0&amp;query=any,contains,991003046319702656","Catalog Record")</f>
        <v/>
      </c>
      <c r="AV3122">
        <f>HYPERLINK("http://www.worldcat.org/oclc/606772","WorldCat Record")</f>
        <v/>
      </c>
      <c r="AW3122" t="inlineStr">
        <is>
          <t>1303106:eng</t>
        </is>
      </c>
      <c r="AX3122" t="inlineStr">
        <is>
          <t>606772</t>
        </is>
      </c>
      <c r="AY3122" t="inlineStr">
        <is>
          <t>991003046319702656</t>
        </is>
      </c>
      <c r="AZ3122" t="inlineStr">
        <is>
          <t>991003046319702656</t>
        </is>
      </c>
      <c r="BA3122" t="inlineStr">
        <is>
          <t>2264021120002656</t>
        </is>
      </c>
      <c r="BB3122" t="inlineStr">
        <is>
          <t>BOOK</t>
        </is>
      </c>
      <c r="BD3122" t="inlineStr">
        <is>
          <t>9780208009289</t>
        </is>
      </c>
      <c r="BE3122" t="inlineStr">
        <is>
          <t>32285003422861</t>
        </is>
      </c>
      <c r="BF3122" t="inlineStr">
        <is>
          <t>893704858</t>
        </is>
      </c>
    </row>
    <row r="3123">
      <c r="A3123" t="inlineStr">
        <is>
          <t>No</t>
        </is>
      </c>
      <c r="B3123" t="inlineStr">
        <is>
          <t>CURAL</t>
        </is>
      </c>
      <c r="C3123" t="inlineStr">
        <is>
          <t>SHELVES</t>
        </is>
      </c>
      <c r="D3123" t="inlineStr">
        <is>
          <t>PR6019.O9 Z775 1987</t>
        </is>
      </c>
      <c r="E3123" t="inlineStr">
        <is>
          <t>0                      PR 6019000O  9                  Z  775         1987</t>
        </is>
      </c>
      <c r="F3123" t="inlineStr">
        <is>
          <t>Joyce's use of colors : Finnegans wake and the earlier works / by J. Colm O'Sullivan.</t>
        </is>
      </c>
      <c r="H3123" t="inlineStr">
        <is>
          <t>No</t>
        </is>
      </c>
      <c r="I3123" t="inlineStr">
        <is>
          <t>1</t>
        </is>
      </c>
      <c r="J3123" t="inlineStr">
        <is>
          <t>No</t>
        </is>
      </c>
      <c r="K3123" t="inlineStr">
        <is>
          <t>No</t>
        </is>
      </c>
      <c r="L3123" t="inlineStr">
        <is>
          <t>0</t>
        </is>
      </c>
      <c r="M3123" t="inlineStr">
        <is>
          <t>O'Sullivan, J. Colm (John Colm), 1935-</t>
        </is>
      </c>
      <c r="N3123" t="inlineStr">
        <is>
          <t>Ann Arbor : UMI Research Press, c1987.</t>
        </is>
      </c>
      <c r="O3123" t="inlineStr">
        <is>
          <t>1987</t>
        </is>
      </c>
      <c r="Q3123" t="inlineStr">
        <is>
          <t>eng</t>
        </is>
      </c>
      <c r="R3123" t="inlineStr">
        <is>
          <t>miu</t>
        </is>
      </c>
      <c r="S3123" t="inlineStr">
        <is>
          <t>Studies in modern literature ; no. 75</t>
        </is>
      </c>
      <c r="T3123" t="inlineStr">
        <is>
          <t xml:space="preserve">PR </t>
        </is>
      </c>
      <c r="U3123" t="n">
        <v>6</v>
      </c>
      <c r="V3123" t="n">
        <v>6</v>
      </c>
      <c r="W3123" t="inlineStr">
        <is>
          <t>2004-12-07</t>
        </is>
      </c>
      <c r="X3123" t="inlineStr">
        <is>
          <t>2004-12-07</t>
        </is>
      </c>
      <c r="Y3123" t="inlineStr">
        <is>
          <t>1992-07-08</t>
        </is>
      </c>
      <c r="Z3123" t="inlineStr">
        <is>
          <t>1992-07-08</t>
        </is>
      </c>
      <c r="AA3123" t="n">
        <v>265</v>
      </c>
      <c r="AB3123" t="n">
        <v>218</v>
      </c>
      <c r="AC3123" t="n">
        <v>220</v>
      </c>
      <c r="AD3123" t="n">
        <v>2</v>
      </c>
      <c r="AE3123" t="n">
        <v>2</v>
      </c>
      <c r="AF3123" t="n">
        <v>10</v>
      </c>
      <c r="AG3123" t="n">
        <v>10</v>
      </c>
      <c r="AH3123" t="n">
        <v>3</v>
      </c>
      <c r="AI3123" t="n">
        <v>3</v>
      </c>
      <c r="AJ3123" t="n">
        <v>2</v>
      </c>
      <c r="AK3123" t="n">
        <v>2</v>
      </c>
      <c r="AL3123" t="n">
        <v>6</v>
      </c>
      <c r="AM3123" t="n">
        <v>6</v>
      </c>
      <c r="AN3123" t="n">
        <v>1</v>
      </c>
      <c r="AO3123" t="n">
        <v>1</v>
      </c>
      <c r="AP3123" t="n">
        <v>0</v>
      </c>
      <c r="AQ3123" t="n">
        <v>0</v>
      </c>
      <c r="AR3123" t="inlineStr">
        <is>
          <t>No</t>
        </is>
      </c>
      <c r="AS3123" t="inlineStr">
        <is>
          <t>Yes</t>
        </is>
      </c>
      <c r="AT3123">
        <f>HYPERLINK("http://catalog.hathitrust.org/Record/000854742","HathiTrust Record")</f>
        <v/>
      </c>
      <c r="AU3123">
        <f>HYPERLINK("https://creighton-primo.hosted.exlibrisgroup.com/primo-explore/search?tab=default_tab&amp;search_scope=EVERYTHING&amp;vid=01CRU&amp;lang=en_US&amp;offset=0&amp;query=any,contains,991001057789702656","Catalog Record")</f>
        <v/>
      </c>
      <c r="AV3123">
        <f>HYPERLINK("http://www.worldcat.org/oclc/15697319","WorldCat Record")</f>
        <v/>
      </c>
      <c r="AW3123" t="inlineStr">
        <is>
          <t>234891673:eng</t>
        </is>
      </c>
      <c r="AX3123" t="inlineStr">
        <is>
          <t>15697319</t>
        </is>
      </c>
      <c r="AY3123" t="inlineStr">
        <is>
          <t>991001057789702656</t>
        </is>
      </c>
      <c r="AZ3123" t="inlineStr">
        <is>
          <t>991001057789702656</t>
        </is>
      </c>
      <c r="BA3123" t="inlineStr">
        <is>
          <t>2260460580002656</t>
        </is>
      </c>
      <c r="BB3123" t="inlineStr">
        <is>
          <t>BOOK</t>
        </is>
      </c>
      <c r="BD3123" t="inlineStr">
        <is>
          <t>9780835718165</t>
        </is>
      </c>
      <c r="BE3123" t="inlineStr">
        <is>
          <t>32285001151025</t>
        </is>
      </c>
      <c r="BF3123" t="inlineStr">
        <is>
          <t>893503062</t>
        </is>
      </c>
    </row>
    <row r="3124">
      <c r="A3124" t="inlineStr">
        <is>
          <t>No</t>
        </is>
      </c>
      <c r="B3124" t="inlineStr">
        <is>
          <t>CURAL</t>
        </is>
      </c>
      <c r="C3124" t="inlineStr">
        <is>
          <t>SHELVES</t>
        </is>
      </c>
      <c r="D3124" t="inlineStr">
        <is>
          <t>PR6019.O9 Z7775 2004</t>
        </is>
      </c>
      <c r="E3124" t="inlineStr">
        <is>
          <t>0                      PR 6019000O  9                  Z  7775        2004</t>
        </is>
      </c>
      <c r="F3124" t="inlineStr">
        <is>
          <t>Palgrave advances in James Joyce studies / edited by Jean-Michel Rabaté.</t>
        </is>
      </c>
      <c r="H3124" t="inlineStr">
        <is>
          <t>No</t>
        </is>
      </c>
      <c r="I3124" t="inlineStr">
        <is>
          <t>1</t>
        </is>
      </c>
      <c r="J3124" t="inlineStr">
        <is>
          <t>No</t>
        </is>
      </c>
      <c r="K3124" t="inlineStr">
        <is>
          <t>No</t>
        </is>
      </c>
      <c r="L3124" t="inlineStr">
        <is>
          <t>0</t>
        </is>
      </c>
      <c r="N3124" t="inlineStr">
        <is>
          <t>New York : Palgrave Macmillan, c2004.</t>
        </is>
      </c>
      <c r="O3124" t="inlineStr">
        <is>
          <t>2004</t>
        </is>
      </c>
      <c r="Q3124" t="inlineStr">
        <is>
          <t>eng</t>
        </is>
      </c>
      <c r="R3124" t="inlineStr">
        <is>
          <t>nyu</t>
        </is>
      </c>
      <c r="S3124" t="inlineStr">
        <is>
          <t>Palgrave advances</t>
        </is>
      </c>
      <c r="T3124" t="inlineStr">
        <is>
          <t xml:space="preserve">PR </t>
        </is>
      </c>
      <c r="U3124" t="n">
        <v>5</v>
      </c>
      <c r="V3124" t="n">
        <v>5</v>
      </c>
      <c r="W3124" t="inlineStr">
        <is>
          <t>2007-11-27</t>
        </is>
      </c>
      <c r="X3124" t="inlineStr">
        <is>
          <t>2007-11-27</t>
        </is>
      </c>
      <c r="Y3124" t="inlineStr">
        <is>
          <t>2005-04-12</t>
        </is>
      </c>
      <c r="Z3124" t="inlineStr">
        <is>
          <t>2005-04-12</t>
        </is>
      </c>
      <c r="AA3124" t="n">
        <v>399</v>
      </c>
      <c r="AB3124" t="n">
        <v>297</v>
      </c>
      <c r="AC3124" t="n">
        <v>305</v>
      </c>
      <c r="AD3124" t="n">
        <v>2</v>
      </c>
      <c r="AE3124" t="n">
        <v>2</v>
      </c>
      <c r="AF3124" t="n">
        <v>18</v>
      </c>
      <c r="AG3124" t="n">
        <v>18</v>
      </c>
      <c r="AH3124" t="n">
        <v>7</v>
      </c>
      <c r="AI3124" t="n">
        <v>7</v>
      </c>
      <c r="AJ3124" t="n">
        <v>7</v>
      </c>
      <c r="AK3124" t="n">
        <v>7</v>
      </c>
      <c r="AL3124" t="n">
        <v>9</v>
      </c>
      <c r="AM3124" t="n">
        <v>9</v>
      </c>
      <c r="AN3124" t="n">
        <v>1</v>
      </c>
      <c r="AO3124" t="n">
        <v>1</v>
      </c>
      <c r="AP3124" t="n">
        <v>0</v>
      </c>
      <c r="AQ3124" t="n">
        <v>0</v>
      </c>
      <c r="AR3124" t="inlineStr">
        <is>
          <t>No</t>
        </is>
      </c>
      <c r="AS3124" t="inlineStr">
        <is>
          <t>No</t>
        </is>
      </c>
      <c r="AU3124">
        <f>HYPERLINK("https://creighton-primo.hosted.exlibrisgroup.com/primo-explore/search?tab=default_tab&amp;search_scope=EVERYTHING&amp;vid=01CRU&amp;lang=en_US&amp;offset=0&amp;query=any,contains,991004487379702656","Catalog Record")</f>
        <v/>
      </c>
      <c r="AV3124">
        <f>HYPERLINK("http://www.worldcat.org/oclc/54073899","WorldCat Record")</f>
        <v/>
      </c>
      <c r="AW3124" t="inlineStr">
        <is>
          <t>57014360:eng</t>
        </is>
      </c>
      <c r="AX3124" t="inlineStr">
        <is>
          <t>54073899</t>
        </is>
      </c>
      <c r="AY3124" t="inlineStr">
        <is>
          <t>991004487379702656</t>
        </is>
      </c>
      <c r="AZ3124" t="inlineStr">
        <is>
          <t>991004487379702656</t>
        </is>
      </c>
      <c r="BA3124" t="inlineStr">
        <is>
          <t>2260940340002656</t>
        </is>
      </c>
      <c r="BB3124" t="inlineStr">
        <is>
          <t>BOOK</t>
        </is>
      </c>
      <c r="BD3124" t="inlineStr">
        <is>
          <t>9781403912107</t>
        </is>
      </c>
      <c r="BE3124" t="inlineStr">
        <is>
          <t>32285005049787</t>
        </is>
      </c>
      <c r="BF3124" t="inlineStr">
        <is>
          <t>893500626</t>
        </is>
      </c>
    </row>
    <row r="3125">
      <c r="A3125" t="inlineStr">
        <is>
          <t>No</t>
        </is>
      </c>
      <c r="B3125" t="inlineStr">
        <is>
          <t>CURAL</t>
        </is>
      </c>
      <c r="C3125" t="inlineStr">
        <is>
          <t>SHELVES</t>
        </is>
      </c>
      <c r="D3125" t="inlineStr">
        <is>
          <t>PR6019.O9 Z7813 1984</t>
        </is>
      </c>
      <c r="E3125" t="inlineStr">
        <is>
          <t>0                      PR 6019000O  9                  Z  7813        1984</t>
        </is>
      </c>
      <c r="F3125" t="inlineStr">
        <is>
          <t>James Joyce / Patrick Parrinder.</t>
        </is>
      </c>
      <c r="H3125" t="inlineStr">
        <is>
          <t>No</t>
        </is>
      </c>
      <c r="I3125" t="inlineStr">
        <is>
          <t>1</t>
        </is>
      </c>
      <c r="J3125" t="inlineStr">
        <is>
          <t>No</t>
        </is>
      </c>
      <c r="K3125" t="inlineStr">
        <is>
          <t>No</t>
        </is>
      </c>
      <c r="L3125" t="inlineStr">
        <is>
          <t>0</t>
        </is>
      </c>
      <c r="M3125" t="inlineStr">
        <is>
          <t>Parrinder, Patrick, 1944-</t>
        </is>
      </c>
      <c r="N3125" t="inlineStr">
        <is>
          <t>Cambridge [Cambridgeshire] ; New York : Cambridge University Press, 1984.</t>
        </is>
      </c>
      <c r="O3125" t="inlineStr">
        <is>
          <t>1984</t>
        </is>
      </c>
      <c r="Q3125" t="inlineStr">
        <is>
          <t>eng</t>
        </is>
      </c>
      <c r="R3125" t="inlineStr">
        <is>
          <t>enk</t>
        </is>
      </c>
      <c r="T3125" t="inlineStr">
        <is>
          <t xml:space="preserve">PR </t>
        </is>
      </c>
      <c r="U3125" t="n">
        <v>2</v>
      </c>
      <c r="V3125" t="n">
        <v>2</v>
      </c>
      <c r="W3125" t="inlineStr">
        <is>
          <t>1992-02-23</t>
        </is>
      </c>
      <c r="X3125" t="inlineStr">
        <is>
          <t>1992-02-23</t>
        </is>
      </c>
      <c r="Y3125" t="inlineStr">
        <is>
          <t>1991-12-06</t>
        </is>
      </c>
      <c r="Z3125" t="inlineStr">
        <is>
          <t>1991-12-06</t>
        </is>
      </c>
      <c r="AA3125" t="n">
        <v>694</v>
      </c>
      <c r="AB3125" t="n">
        <v>484</v>
      </c>
      <c r="AC3125" t="n">
        <v>496</v>
      </c>
      <c r="AD3125" t="n">
        <v>4</v>
      </c>
      <c r="AE3125" t="n">
        <v>4</v>
      </c>
      <c r="AF3125" t="n">
        <v>31</v>
      </c>
      <c r="AG3125" t="n">
        <v>31</v>
      </c>
      <c r="AH3125" t="n">
        <v>13</v>
      </c>
      <c r="AI3125" t="n">
        <v>13</v>
      </c>
      <c r="AJ3125" t="n">
        <v>6</v>
      </c>
      <c r="AK3125" t="n">
        <v>6</v>
      </c>
      <c r="AL3125" t="n">
        <v>17</v>
      </c>
      <c r="AM3125" t="n">
        <v>17</v>
      </c>
      <c r="AN3125" t="n">
        <v>3</v>
      </c>
      <c r="AO3125" t="n">
        <v>3</v>
      </c>
      <c r="AP3125" t="n">
        <v>0</v>
      </c>
      <c r="AQ3125" t="n">
        <v>0</v>
      </c>
      <c r="AR3125" t="inlineStr">
        <is>
          <t>No</t>
        </is>
      </c>
      <c r="AS3125" t="inlineStr">
        <is>
          <t>No</t>
        </is>
      </c>
      <c r="AU3125">
        <f>HYPERLINK("https://creighton-primo.hosted.exlibrisgroup.com/primo-explore/search?tab=default_tab&amp;search_scope=EVERYTHING&amp;vid=01CRU&amp;lang=en_US&amp;offset=0&amp;query=any,contains,991000424319702656","Catalog Record")</f>
        <v/>
      </c>
      <c r="AV3125">
        <f>HYPERLINK("http://www.worldcat.org/oclc/10752376","WorldCat Record")</f>
        <v/>
      </c>
      <c r="AW3125" t="inlineStr">
        <is>
          <t>2830052172:eng</t>
        </is>
      </c>
      <c r="AX3125" t="inlineStr">
        <is>
          <t>10752376</t>
        </is>
      </c>
      <c r="AY3125" t="inlineStr">
        <is>
          <t>991000424319702656</t>
        </is>
      </c>
      <c r="AZ3125" t="inlineStr">
        <is>
          <t>991000424319702656</t>
        </is>
      </c>
      <c r="BA3125" t="inlineStr">
        <is>
          <t>2265161020002656</t>
        </is>
      </c>
      <c r="BB3125" t="inlineStr">
        <is>
          <t>BOOK</t>
        </is>
      </c>
      <c r="BD3125" t="inlineStr">
        <is>
          <t>9780521283984</t>
        </is>
      </c>
      <c r="BE3125" t="inlineStr">
        <is>
          <t>32285000828961</t>
        </is>
      </c>
      <c r="BF3125" t="inlineStr">
        <is>
          <t>893508757</t>
        </is>
      </c>
    </row>
    <row r="3126">
      <c r="A3126" t="inlineStr">
        <is>
          <t>No</t>
        </is>
      </c>
      <c r="B3126" t="inlineStr">
        <is>
          <t>CURAL</t>
        </is>
      </c>
      <c r="C3126" t="inlineStr">
        <is>
          <t>SHELVES</t>
        </is>
      </c>
      <c r="D3126" t="inlineStr">
        <is>
          <t>PR6019.O9 Z7817 1992</t>
        </is>
      </c>
      <c r="E3126" t="inlineStr">
        <is>
          <t>0                      PR 6019000O  9                  Z  7817        1992</t>
        </is>
      </c>
      <c r="F3126" t="inlineStr">
        <is>
          <t>James Joyce's Ireland / David Pierce ; with contemporary photographs by Dan Harper.</t>
        </is>
      </c>
      <c r="H3126" t="inlineStr">
        <is>
          <t>No</t>
        </is>
      </c>
      <c r="I3126" t="inlineStr">
        <is>
          <t>1</t>
        </is>
      </c>
      <c r="J3126" t="inlineStr">
        <is>
          <t>No</t>
        </is>
      </c>
      <c r="K3126" t="inlineStr">
        <is>
          <t>No</t>
        </is>
      </c>
      <c r="L3126" t="inlineStr">
        <is>
          <t>0</t>
        </is>
      </c>
      <c r="M3126" t="inlineStr">
        <is>
          <t>Pierce, David.</t>
        </is>
      </c>
      <c r="N3126" t="inlineStr">
        <is>
          <t>New Haven : Yale University Press, 1992.</t>
        </is>
      </c>
      <c r="O3126" t="inlineStr">
        <is>
          <t>1992</t>
        </is>
      </c>
      <c r="Q3126" t="inlineStr">
        <is>
          <t>eng</t>
        </is>
      </c>
      <c r="R3126" t="inlineStr">
        <is>
          <t>ctu</t>
        </is>
      </c>
      <c r="T3126" t="inlineStr">
        <is>
          <t xml:space="preserve">PR </t>
        </is>
      </c>
      <c r="U3126" t="n">
        <v>4</v>
      </c>
      <c r="V3126" t="n">
        <v>4</v>
      </c>
      <c r="W3126" t="inlineStr">
        <is>
          <t>2006-12-11</t>
        </is>
      </c>
      <c r="X3126" t="inlineStr">
        <is>
          <t>2006-12-11</t>
        </is>
      </c>
      <c r="Y3126" t="inlineStr">
        <is>
          <t>1995-07-05</t>
        </is>
      </c>
      <c r="Z3126" t="inlineStr">
        <is>
          <t>1995-07-05</t>
        </is>
      </c>
      <c r="AA3126" t="n">
        <v>551</v>
      </c>
      <c r="AB3126" t="n">
        <v>407</v>
      </c>
      <c r="AC3126" t="n">
        <v>412</v>
      </c>
      <c r="AD3126" t="n">
        <v>5</v>
      </c>
      <c r="AE3126" t="n">
        <v>5</v>
      </c>
      <c r="AF3126" t="n">
        <v>28</v>
      </c>
      <c r="AG3126" t="n">
        <v>28</v>
      </c>
      <c r="AH3126" t="n">
        <v>13</v>
      </c>
      <c r="AI3126" t="n">
        <v>13</v>
      </c>
      <c r="AJ3126" t="n">
        <v>7</v>
      </c>
      <c r="AK3126" t="n">
        <v>7</v>
      </c>
      <c r="AL3126" t="n">
        <v>14</v>
      </c>
      <c r="AM3126" t="n">
        <v>14</v>
      </c>
      <c r="AN3126" t="n">
        <v>3</v>
      </c>
      <c r="AO3126" t="n">
        <v>3</v>
      </c>
      <c r="AP3126" t="n">
        <v>0</v>
      </c>
      <c r="AQ3126" t="n">
        <v>0</v>
      </c>
      <c r="AR3126" t="inlineStr">
        <is>
          <t>No</t>
        </is>
      </c>
      <c r="AS3126" t="inlineStr">
        <is>
          <t>No</t>
        </is>
      </c>
      <c r="AU3126">
        <f>HYPERLINK("https://creighton-primo.hosted.exlibrisgroup.com/primo-explore/search?tab=default_tab&amp;search_scope=EVERYTHING&amp;vid=01CRU&amp;lang=en_US&amp;offset=0&amp;query=any,contains,991001917799702656","Catalog Record")</f>
        <v/>
      </c>
      <c r="AV3126">
        <f>HYPERLINK("http://www.worldcat.org/oclc/24215346","WorldCat Record")</f>
        <v/>
      </c>
      <c r="AW3126" t="inlineStr">
        <is>
          <t>348962599:eng</t>
        </is>
      </c>
      <c r="AX3126" t="inlineStr">
        <is>
          <t>24215346</t>
        </is>
      </c>
      <c r="AY3126" t="inlineStr">
        <is>
          <t>991001917799702656</t>
        </is>
      </c>
      <c r="AZ3126" t="inlineStr">
        <is>
          <t>991001917799702656</t>
        </is>
      </c>
      <c r="BA3126" t="inlineStr">
        <is>
          <t>2272475930002656</t>
        </is>
      </c>
      <c r="BB3126" t="inlineStr">
        <is>
          <t>BOOK</t>
        </is>
      </c>
      <c r="BD3126" t="inlineStr">
        <is>
          <t>9780300050554</t>
        </is>
      </c>
      <c r="BE3126" t="inlineStr">
        <is>
          <t>32285002053691</t>
        </is>
      </c>
      <c r="BF3126" t="inlineStr">
        <is>
          <t>893529332</t>
        </is>
      </c>
    </row>
    <row r="3127">
      <c r="A3127" t="inlineStr">
        <is>
          <t>No</t>
        </is>
      </c>
      <c r="B3127" t="inlineStr">
        <is>
          <t>CURAL</t>
        </is>
      </c>
      <c r="C3127" t="inlineStr">
        <is>
          <t>SHELVES</t>
        </is>
      </c>
      <c r="D3127" t="inlineStr">
        <is>
          <t>PR6019.O9 Z7823</t>
        </is>
      </c>
      <c r="E3127" t="inlineStr">
        <is>
          <t>0                      PR 6019000O  9                  Z  7823</t>
        </is>
      </c>
      <c r="F3127" t="inlineStr">
        <is>
          <t>Portraits of the artist in exile : recollections of James Joyce by Europeans / edited by Willard Potts.</t>
        </is>
      </c>
      <c r="H3127" t="inlineStr">
        <is>
          <t>No</t>
        </is>
      </c>
      <c r="I3127" t="inlineStr">
        <is>
          <t>1</t>
        </is>
      </c>
      <c r="J3127" t="inlineStr">
        <is>
          <t>No</t>
        </is>
      </c>
      <c r="K3127" t="inlineStr">
        <is>
          <t>No</t>
        </is>
      </c>
      <c r="L3127" t="inlineStr">
        <is>
          <t>0</t>
        </is>
      </c>
      <c r="N3127" t="inlineStr">
        <is>
          <t>Seattle : University of Washington Press, c1978.</t>
        </is>
      </c>
      <c r="O3127" t="inlineStr">
        <is>
          <t>1978</t>
        </is>
      </c>
      <c r="Q3127" t="inlineStr">
        <is>
          <t>eng</t>
        </is>
      </c>
      <c r="R3127" t="inlineStr">
        <is>
          <t>wau</t>
        </is>
      </c>
      <c r="T3127" t="inlineStr">
        <is>
          <t xml:space="preserve">PR </t>
        </is>
      </c>
      <c r="U3127" t="n">
        <v>2</v>
      </c>
      <c r="V3127" t="n">
        <v>2</v>
      </c>
      <c r="W3127" t="inlineStr">
        <is>
          <t>2004-10-27</t>
        </is>
      </c>
      <c r="X3127" t="inlineStr">
        <is>
          <t>2004-10-27</t>
        </is>
      </c>
      <c r="Y3127" t="inlineStr">
        <is>
          <t>1992-07-08</t>
        </is>
      </c>
      <c r="Z3127" t="inlineStr">
        <is>
          <t>1992-07-08</t>
        </is>
      </c>
      <c r="AA3127" t="n">
        <v>774</v>
      </c>
      <c r="AB3127" t="n">
        <v>659</v>
      </c>
      <c r="AC3127" t="n">
        <v>705</v>
      </c>
      <c r="AD3127" t="n">
        <v>5</v>
      </c>
      <c r="AE3127" t="n">
        <v>5</v>
      </c>
      <c r="AF3127" t="n">
        <v>37</v>
      </c>
      <c r="AG3127" t="n">
        <v>39</v>
      </c>
      <c r="AH3127" t="n">
        <v>18</v>
      </c>
      <c r="AI3127" t="n">
        <v>18</v>
      </c>
      <c r="AJ3127" t="n">
        <v>7</v>
      </c>
      <c r="AK3127" t="n">
        <v>8</v>
      </c>
      <c r="AL3127" t="n">
        <v>20</v>
      </c>
      <c r="AM3127" t="n">
        <v>22</v>
      </c>
      <c r="AN3127" t="n">
        <v>4</v>
      </c>
      <c r="AO3127" t="n">
        <v>4</v>
      </c>
      <c r="AP3127" t="n">
        <v>0</v>
      </c>
      <c r="AQ3127" t="n">
        <v>0</v>
      </c>
      <c r="AR3127" t="inlineStr">
        <is>
          <t>No</t>
        </is>
      </c>
      <c r="AS3127" t="inlineStr">
        <is>
          <t>No</t>
        </is>
      </c>
      <c r="AU3127">
        <f>HYPERLINK("https://creighton-primo.hosted.exlibrisgroup.com/primo-explore/search?tab=default_tab&amp;search_scope=EVERYTHING&amp;vid=01CRU&amp;lang=en_US&amp;offset=0&amp;query=any,contains,991004658809702656","Catalog Record")</f>
        <v/>
      </c>
      <c r="AV3127">
        <f>HYPERLINK("http://www.worldcat.org/oclc/4496144","WorldCat Record")</f>
        <v/>
      </c>
      <c r="AW3127" t="inlineStr">
        <is>
          <t>353289721:eng</t>
        </is>
      </c>
      <c r="AX3127" t="inlineStr">
        <is>
          <t>4496144</t>
        </is>
      </c>
      <c r="AY3127" t="inlineStr">
        <is>
          <t>991004658809702656</t>
        </is>
      </c>
      <c r="AZ3127" t="inlineStr">
        <is>
          <t>991004658809702656</t>
        </is>
      </c>
      <c r="BA3127" t="inlineStr">
        <is>
          <t>2268712590002656</t>
        </is>
      </c>
      <c r="BB3127" t="inlineStr">
        <is>
          <t>BOOK</t>
        </is>
      </c>
      <c r="BD3127" t="inlineStr">
        <is>
          <t>9780295956145</t>
        </is>
      </c>
      <c r="BE3127" t="inlineStr">
        <is>
          <t>32285001151041</t>
        </is>
      </c>
      <c r="BF3127" t="inlineStr">
        <is>
          <t>893712874</t>
        </is>
      </c>
    </row>
    <row r="3128">
      <c r="A3128" t="inlineStr">
        <is>
          <t>No</t>
        </is>
      </c>
      <c r="B3128" t="inlineStr">
        <is>
          <t>CURAL</t>
        </is>
      </c>
      <c r="C3128" t="inlineStr">
        <is>
          <t>SHELVES</t>
        </is>
      </c>
      <c r="D3128" t="inlineStr">
        <is>
          <t>PR6019.O9 Z78234 1984</t>
        </is>
      </c>
      <c r="E3128" t="inlineStr">
        <is>
          <t>0                      PR 6019000O  9                  Z  78234       1984</t>
        </is>
      </c>
      <c r="F3128" t="inlineStr">
        <is>
          <t>Post-structuralist Joyce : essays from the French / edited by Derek Attridge and Daniel Ferrer.</t>
        </is>
      </c>
      <c r="H3128" t="inlineStr">
        <is>
          <t>No</t>
        </is>
      </c>
      <c r="I3128" t="inlineStr">
        <is>
          <t>1</t>
        </is>
      </c>
      <c r="J3128" t="inlineStr">
        <is>
          <t>No</t>
        </is>
      </c>
      <c r="K3128" t="inlineStr">
        <is>
          <t>No</t>
        </is>
      </c>
      <c r="L3128" t="inlineStr">
        <is>
          <t>0</t>
        </is>
      </c>
      <c r="N3128" t="inlineStr">
        <is>
          <t>Cambridge [Cambridgeshire] ; New York : Cambridge University Press, 1984.</t>
        </is>
      </c>
      <c r="O3128" t="inlineStr">
        <is>
          <t>1984</t>
        </is>
      </c>
      <c r="Q3128" t="inlineStr">
        <is>
          <t>eng</t>
        </is>
      </c>
      <c r="R3128" t="inlineStr">
        <is>
          <t>enk</t>
        </is>
      </c>
      <c r="T3128" t="inlineStr">
        <is>
          <t xml:space="preserve">PR </t>
        </is>
      </c>
      <c r="U3128" t="n">
        <v>5</v>
      </c>
      <c r="V3128" t="n">
        <v>5</v>
      </c>
      <c r="W3128" t="inlineStr">
        <is>
          <t>2010-12-08</t>
        </is>
      </c>
      <c r="X3128" t="inlineStr">
        <is>
          <t>2010-12-08</t>
        </is>
      </c>
      <c r="Y3128" t="inlineStr">
        <is>
          <t>1992-07-08</t>
        </is>
      </c>
      <c r="Z3128" t="inlineStr">
        <is>
          <t>1992-07-08</t>
        </is>
      </c>
      <c r="AA3128" t="n">
        <v>525</v>
      </c>
      <c r="AB3128" t="n">
        <v>385</v>
      </c>
      <c r="AC3128" t="n">
        <v>394</v>
      </c>
      <c r="AD3128" t="n">
        <v>3</v>
      </c>
      <c r="AE3128" t="n">
        <v>3</v>
      </c>
      <c r="AF3128" t="n">
        <v>22</v>
      </c>
      <c r="AG3128" t="n">
        <v>22</v>
      </c>
      <c r="AH3128" t="n">
        <v>7</v>
      </c>
      <c r="AI3128" t="n">
        <v>7</v>
      </c>
      <c r="AJ3128" t="n">
        <v>6</v>
      </c>
      <c r="AK3128" t="n">
        <v>6</v>
      </c>
      <c r="AL3128" t="n">
        <v>12</v>
      </c>
      <c r="AM3128" t="n">
        <v>12</v>
      </c>
      <c r="AN3128" t="n">
        <v>2</v>
      </c>
      <c r="AO3128" t="n">
        <v>2</v>
      </c>
      <c r="AP3128" t="n">
        <v>0</v>
      </c>
      <c r="AQ3128" t="n">
        <v>0</v>
      </c>
      <c r="AR3128" t="inlineStr">
        <is>
          <t>No</t>
        </is>
      </c>
      <c r="AS3128" t="inlineStr">
        <is>
          <t>No</t>
        </is>
      </c>
      <c r="AU3128">
        <f>HYPERLINK("https://creighton-primo.hosted.exlibrisgroup.com/primo-explore/search?tab=default_tab&amp;search_scope=EVERYTHING&amp;vid=01CRU&amp;lang=en_US&amp;offset=0&amp;query=any,contains,991000382669702656","Catalog Record")</f>
        <v/>
      </c>
      <c r="AV3128">
        <f>HYPERLINK("http://www.worldcat.org/oclc/10505802","WorldCat Record")</f>
        <v/>
      </c>
      <c r="AW3128" t="inlineStr">
        <is>
          <t>836657582:eng</t>
        </is>
      </c>
      <c r="AX3128" t="inlineStr">
        <is>
          <t>10505802</t>
        </is>
      </c>
      <c r="AY3128" t="inlineStr">
        <is>
          <t>991000382669702656</t>
        </is>
      </c>
      <c r="AZ3128" t="inlineStr">
        <is>
          <t>991000382669702656</t>
        </is>
      </c>
      <c r="BA3128" t="inlineStr">
        <is>
          <t>2255963190002656</t>
        </is>
      </c>
      <c r="BB3128" t="inlineStr">
        <is>
          <t>BOOK</t>
        </is>
      </c>
      <c r="BD3128" t="inlineStr">
        <is>
          <t>9780521319799</t>
        </is>
      </c>
      <c r="BE3128" t="inlineStr">
        <is>
          <t>32285001151058</t>
        </is>
      </c>
      <c r="BF3128" t="inlineStr">
        <is>
          <t>893802715</t>
        </is>
      </c>
    </row>
    <row r="3129">
      <c r="A3129" t="inlineStr">
        <is>
          <t>No</t>
        </is>
      </c>
      <c r="B3129" t="inlineStr">
        <is>
          <t>CURAL</t>
        </is>
      </c>
      <c r="C3129" t="inlineStr">
        <is>
          <t>SHELVES</t>
        </is>
      </c>
      <c r="D3129" t="inlineStr">
        <is>
          <t>PR6019.O9 Z7824</t>
        </is>
      </c>
      <c r="E3129" t="inlineStr">
        <is>
          <t>0                      PR 6019000O  9                  Z  7824</t>
        </is>
      </c>
      <c r="F3129" t="inlineStr">
        <is>
          <t>Conversations with James Joyce / Arthur Power ; edited by Clive Hart.</t>
        </is>
      </c>
      <c r="H3129" t="inlineStr">
        <is>
          <t>No</t>
        </is>
      </c>
      <c r="I3129" t="inlineStr">
        <is>
          <t>1</t>
        </is>
      </c>
      <c r="J3129" t="inlineStr">
        <is>
          <t>No</t>
        </is>
      </c>
      <c r="K3129" t="inlineStr">
        <is>
          <t>No</t>
        </is>
      </c>
      <c r="L3129" t="inlineStr">
        <is>
          <t>0</t>
        </is>
      </c>
      <c r="M3129" t="inlineStr">
        <is>
          <t>Power, Arthur.</t>
        </is>
      </c>
      <c r="N3129" t="inlineStr">
        <is>
          <t>New York : Barnes &amp; Noble Books, 1974.</t>
        </is>
      </c>
      <c r="O3129" t="inlineStr">
        <is>
          <t>1974</t>
        </is>
      </c>
      <c r="Q3129" t="inlineStr">
        <is>
          <t>eng</t>
        </is>
      </c>
      <c r="R3129" t="inlineStr">
        <is>
          <t>nyu</t>
        </is>
      </c>
      <c r="T3129" t="inlineStr">
        <is>
          <t xml:space="preserve">PR </t>
        </is>
      </c>
      <c r="U3129" t="n">
        <v>2</v>
      </c>
      <c r="V3129" t="n">
        <v>2</v>
      </c>
      <c r="W3129" t="inlineStr">
        <is>
          <t>2003-04-07</t>
        </is>
      </c>
      <c r="X3129" t="inlineStr">
        <is>
          <t>2003-04-07</t>
        </is>
      </c>
      <c r="Y3129" t="inlineStr">
        <is>
          <t>1999-02-16</t>
        </is>
      </c>
      <c r="Z3129" t="inlineStr">
        <is>
          <t>1999-02-16</t>
        </is>
      </c>
      <c r="AA3129" t="n">
        <v>92</v>
      </c>
      <c r="AB3129" t="n">
        <v>82</v>
      </c>
      <c r="AC3129" t="n">
        <v>659</v>
      </c>
      <c r="AD3129" t="n">
        <v>2</v>
      </c>
      <c r="AE3129" t="n">
        <v>4</v>
      </c>
      <c r="AF3129" t="n">
        <v>8</v>
      </c>
      <c r="AG3129" t="n">
        <v>33</v>
      </c>
      <c r="AH3129" t="n">
        <v>3</v>
      </c>
      <c r="AI3129" t="n">
        <v>11</v>
      </c>
      <c r="AJ3129" t="n">
        <v>3</v>
      </c>
      <c r="AK3129" t="n">
        <v>10</v>
      </c>
      <c r="AL3129" t="n">
        <v>3</v>
      </c>
      <c r="AM3129" t="n">
        <v>16</v>
      </c>
      <c r="AN3129" t="n">
        <v>1</v>
      </c>
      <c r="AO3129" t="n">
        <v>3</v>
      </c>
      <c r="AP3129" t="n">
        <v>0</v>
      </c>
      <c r="AQ3129" t="n">
        <v>0</v>
      </c>
      <c r="AR3129" t="inlineStr">
        <is>
          <t>No</t>
        </is>
      </c>
      <c r="AS3129" t="inlineStr">
        <is>
          <t>Yes</t>
        </is>
      </c>
      <c r="AT3129">
        <f>HYPERLINK("http://catalog.hathitrust.org/Record/004481268","HathiTrust Record")</f>
        <v/>
      </c>
      <c r="AU3129">
        <f>HYPERLINK("https://creighton-primo.hosted.exlibrisgroup.com/primo-explore/search?tab=default_tab&amp;search_scope=EVERYTHING&amp;vid=01CRU&amp;lang=en_US&amp;offset=0&amp;query=any,contains,991001337409702656","Catalog Record")</f>
        <v/>
      </c>
      <c r="AV3129">
        <f>HYPERLINK("http://www.worldcat.org/oclc/18361052","WorldCat Record")</f>
        <v/>
      </c>
      <c r="AW3129" t="inlineStr">
        <is>
          <t>419111:eng</t>
        </is>
      </c>
      <c r="AX3129" t="inlineStr">
        <is>
          <t>18361052</t>
        </is>
      </c>
      <c r="AY3129" t="inlineStr">
        <is>
          <t>991001337409702656</t>
        </is>
      </c>
      <c r="AZ3129" t="inlineStr">
        <is>
          <t>991001337409702656</t>
        </is>
      </c>
      <c r="BA3129" t="inlineStr">
        <is>
          <t>2266626810002656</t>
        </is>
      </c>
      <c r="BB3129" t="inlineStr">
        <is>
          <t>BOOK</t>
        </is>
      </c>
      <c r="BD3129" t="inlineStr">
        <is>
          <t>9780064956727</t>
        </is>
      </c>
      <c r="BE3129" t="inlineStr">
        <is>
          <t>32285003525663</t>
        </is>
      </c>
      <c r="BF3129" t="inlineStr">
        <is>
          <t>893328065</t>
        </is>
      </c>
    </row>
    <row r="3130">
      <c r="A3130" t="inlineStr">
        <is>
          <t>No</t>
        </is>
      </c>
      <c r="B3130" t="inlineStr">
        <is>
          <t>CURAL</t>
        </is>
      </c>
      <c r="C3130" t="inlineStr">
        <is>
          <t>SHELVES</t>
        </is>
      </c>
      <c r="D3130" t="inlineStr">
        <is>
          <t>PR6019.O9 Z78385 1991</t>
        </is>
      </c>
      <c r="E3130" t="inlineStr">
        <is>
          <t>0                      PR 6019000O  9                  Z  78385       1991</t>
        </is>
      </c>
      <c r="F3130" t="inlineStr">
        <is>
          <t>James Joyce, authorized reader / Jean-Michel Rabaté.</t>
        </is>
      </c>
      <c r="H3130" t="inlineStr">
        <is>
          <t>No</t>
        </is>
      </c>
      <c r="I3130" t="inlineStr">
        <is>
          <t>1</t>
        </is>
      </c>
      <c r="J3130" t="inlineStr">
        <is>
          <t>No</t>
        </is>
      </c>
      <c r="K3130" t="inlineStr">
        <is>
          <t>No</t>
        </is>
      </c>
      <c r="L3130" t="inlineStr">
        <is>
          <t>0</t>
        </is>
      </c>
      <c r="M3130" t="inlineStr">
        <is>
          <t>Rabaté, Jean-Michel, 1949-</t>
        </is>
      </c>
      <c r="N3130" t="inlineStr">
        <is>
          <t>Baltimore : Johns Hopkins University Press, c1991.</t>
        </is>
      </c>
      <c r="O3130" t="inlineStr">
        <is>
          <t>1991</t>
        </is>
      </c>
      <c r="Q3130" t="inlineStr">
        <is>
          <t>eng</t>
        </is>
      </c>
      <c r="R3130" t="inlineStr">
        <is>
          <t>mdu</t>
        </is>
      </c>
      <c r="T3130" t="inlineStr">
        <is>
          <t xml:space="preserve">PR </t>
        </is>
      </c>
      <c r="U3130" t="n">
        <v>3</v>
      </c>
      <c r="V3130" t="n">
        <v>3</v>
      </c>
      <c r="W3130" t="inlineStr">
        <is>
          <t>2004-05-27</t>
        </is>
      </c>
      <c r="X3130" t="inlineStr">
        <is>
          <t>2004-05-27</t>
        </is>
      </c>
      <c r="Y3130" t="inlineStr">
        <is>
          <t>1991-10-24</t>
        </is>
      </c>
      <c r="Z3130" t="inlineStr">
        <is>
          <t>1991-10-24</t>
        </is>
      </c>
      <c r="AA3130" t="n">
        <v>446</v>
      </c>
      <c r="AB3130" t="n">
        <v>344</v>
      </c>
      <c r="AC3130" t="n">
        <v>346</v>
      </c>
      <c r="AD3130" t="n">
        <v>4</v>
      </c>
      <c r="AE3130" t="n">
        <v>4</v>
      </c>
      <c r="AF3130" t="n">
        <v>24</v>
      </c>
      <c r="AG3130" t="n">
        <v>24</v>
      </c>
      <c r="AH3130" t="n">
        <v>8</v>
      </c>
      <c r="AI3130" t="n">
        <v>8</v>
      </c>
      <c r="AJ3130" t="n">
        <v>4</v>
      </c>
      <c r="AK3130" t="n">
        <v>4</v>
      </c>
      <c r="AL3130" t="n">
        <v>15</v>
      </c>
      <c r="AM3130" t="n">
        <v>15</v>
      </c>
      <c r="AN3130" t="n">
        <v>3</v>
      </c>
      <c r="AO3130" t="n">
        <v>3</v>
      </c>
      <c r="AP3130" t="n">
        <v>0</v>
      </c>
      <c r="AQ3130" t="n">
        <v>0</v>
      </c>
      <c r="AR3130" t="inlineStr">
        <is>
          <t>No</t>
        </is>
      </c>
      <c r="AS3130" t="inlineStr">
        <is>
          <t>Yes</t>
        </is>
      </c>
      <c r="AT3130">
        <f>HYPERLINK("http://catalog.hathitrust.org/Record/002465041","HathiTrust Record")</f>
        <v/>
      </c>
      <c r="AU3130">
        <f>HYPERLINK("https://creighton-primo.hosted.exlibrisgroup.com/primo-explore/search?tab=default_tab&amp;search_scope=EVERYTHING&amp;vid=01CRU&amp;lang=en_US&amp;offset=0&amp;query=any,contains,991001784159702656","Catalog Record")</f>
        <v/>
      </c>
      <c r="AV3130">
        <f>HYPERLINK("http://www.worldcat.org/oclc/22492057","WorldCat Record")</f>
        <v/>
      </c>
      <c r="AW3130" t="inlineStr">
        <is>
          <t>2928740643:eng</t>
        </is>
      </c>
      <c r="AX3130" t="inlineStr">
        <is>
          <t>22492057</t>
        </is>
      </c>
      <c r="AY3130" t="inlineStr">
        <is>
          <t>991001784159702656</t>
        </is>
      </c>
      <c r="AZ3130" t="inlineStr">
        <is>
          <t>991001784159702656</t>
        </is>
      </c>
      <c r="BA3130" t="inlineStr">
        <is>
          <t>2256893840002656</t>
        </is>
      </c>
      <c r="BB3130" t="inlineStr">
        <is>
          <t>BOOK</t>
        </is>
      </c>
      <c r="BD3130" t="inlineStr">
        <is>
          <t>9780801841408</t>
        </is>
      </c>
      <c r="BE3130" t="inlineStr">
        <is>
          <t>32285000728138</t>
        </is>
      </c>
      <c r="BF3130" t="inlineStr">
        <is>
          <t>893244412</t>
        </is>
      </c>
    </row>
    <row r="3131">
      <c r="A3131" t="inlineStr">
        <is>
          <t>No</t>
        </is>
      </c>
      <c r="B3131" t="inlineStr">
        <is>
          <t>CURAL</t>
        </is>
      </c>
      <c r="C3131" t="inlineStr">
        <is>
          <t>SHELVES</t>
        </is>
      </c>
      <c r="D3131" t="inlineStr">
        <is>
          <t>PR6019.O9 Z7847 1983</t>
        </is>
      </c>
      <c r="E3131" t="inlineStr">
        <is>
          <t>0                      PR 6019000O  9                  Z  7847        1983</t>
        </is>
      </c>
      <c r="F3131" t="inlineStr">
        <is>
          <t>Teller and tale in Joyce's fiction : oscillating perspectives / John Paul Riquelme.</t>
        </is>
      </c>
      <c r="H3131" t="inlineStr">
        <is>
          <t>No</t>
        </is>
      </c>
      <c r="I3131" t="inlineStr">
        <is>
          <t>1</t>
        </is>
      </c>
      <c r="J3131" t="inlineStr">
        <is>
          <t>No</t>
        </is>
      </c>
      <c r="K3131" t="inlineStr">
        <is>
          <t>No</t>
        </is>
      </c>
      <c r="L3131" t="inlineStr">
        <is>
          <t>0</t>
        </is>
      </c>
      <c r="M3131" t="inlineStr">
        <is>
          <t>Riquelme, John Paul.</t>
        </is>
      </c>
      <c r="N3131" t="inlineStr">
        <is>
          <t>Baltimore : Johns Hopkins University Press, c1983.</t>
        </is>
      </c>
      <c r="O3131" t="inlineStr">
        <is>
          <t>1983</t>
        </is>
      </c>
      <c r="Q3131" t="inlineStr">
        <is>
          <t>eng</t>
        </is>
      </c>
      <c r="R3131" t="inlineStr">
        <is>
          <t>mdu</t>
        </is>
      </c>
      <c r="T3131" t="inlineStr">
        <is>
          <t xml:space="preserve">PR </t>
        </is>
      </c>
      <c r="U3131" t="n">
        <v>1</v>
      </c>
      <c r="V3131" t="n">
        <v>1</v>
      </c>
      <c r="W3131" t="inlineStr">
        <is>
          <t>2005-04-11</t>
        </is>
      </c>
      <c r="X3131" t="inlineStr">
        <is>
          <t>2005-04-11</t>
        </is>
      </c>
      <c r="Y3131" t="inlineStr">
        <is>
          <t>1992-07-08</t>
        </is>
      </c>
      <c r="Z3131" t="inlineStr">
        <is>
          <t>1992-07-08</t>
        </is>
      </c>
      <c r="AA3131" t="n">
        <v>792</v>
      </c>
      <c r="AB3131" t="n">
        <v>670</v>
      </c>
      <c r="AC3131" t="n">
        <v>683</v>
      </c>
      <c r="AD3131" t="n">
        <v>5</v>
      </c>
      <c r="AE3131" t="n">
        <v>5</v>
      </c>
      <c r="AF3131" t="n">
        <v>40</v>
      </c>
      <c r="AG3131" t="n">
        <v>41</v>
      </c>
      <c r="AH3131" t="n">
        <v>20</v>
      </c>
      <c r="AI3131" t="n">
        <v>20</v>
      </c>
      <c r="AJ3131" t="n">
        <v>8</v>
      </c>
      <c r="AK3131" t="n">
        <v>9</v>
      </c>
      <c r="AL3131" t="n">
        <v>19</v>
      </c>
      <c r="AM3131" t="n">
        <v>20</v>
      </c>
      <c r="AN3131" t="n">
        <v>4</v>
      </c>
      <c r="AO3131" t="n">
        <v>4</v>
      </c>
      <c r="AP3131" t="n">
        <v>0</v>
      </c>
      <c r="AQ3131" t="n">
        <v>0</v>
      </c>
      <c r="AR3131" t="inlineStr">
        <is>
          <t>No</t>
        </is>
      </c>
      <c r="AS3131" t="inlineStr">
        <is>
          <t>Yes</t>
        </is>
      </c>
      <c r="AT3131">
        <f>HYPERLINK("http://catalog.hathitrust.org/Record/000107318","HathiTrust Record")</f>
        <v/>
      </c>
      <c r="AU3131">
        <f>HYPERLINK("https://creighton-primo.hosted.exlibrisgroup.com/primo-explore/search?tab=default_tab&amp;search_scope=EVERYTHING&amp;vid=01CRU&amp;lang=en_US&amp;offset=0&amp;query=any,contains,991005243279702656","Catalog Record")</f>
        <v/>
      </c>
      <c r="AV3131">
        <f>HYPERLINK("http://www.worldcat.org/oclc/8432329","WorldCat Record")</f>
        <v/>
      </c>
      <c r="AW3131" t="inlineStr">
        <is>
          <t>365065741:eng</t>
        </is>
      </c>
      <c r="AX3131" t="inlineStr">
        <is>
          <t>8432329</t>
        </is>
      </c>
      <c r="AY3131" t="inlineStr">
        <is>
          <t>991005243279702656</t>
        </is>
      </c>
      <c r="AZ3131" t="inlineStr">
        <is>
          <t>991005243279702656</t>
        </is>
      </c>
      <c r="BA3131" t="inlineStr">
        <is>
          <t>2260657550002656</t>
        </is>
      </c>
      <c r="BB3131" t="inlineStr">
        <is>
          <t>BOOK</t>
        </is>
      </c>
      <c r="BD3131" t="inlineStr">
        <is>
          <t>9780801828546</t>
        </is>
      </c>
      <c r="BE3131" t="inlineStr">
        <is>
          <t>32285001151074</t>
        </is>
      </c>
      <c r="BF3131" t="inlineStr">
        <is>
          <t>893902360</t>
        </is>
      </c>
    </row>
    <row r="3132">
      <c r="A3132" t="inlineStr">
        <is>
          <t>No</t>
        </is>
      </c>
      <c r="B3132" t="inlineStr">
        <is>
          <t>CURAL</t>
        </is>
      </c>
      <c r="C3132" t="inlineStr">
        <is>
          <t>SHELVES</t>
        </is>
      </c>
      <c r="D3132" t="inlineStr">
        <is>
          <t>PR6019.O9 Z79425 2003</t>
        </is>
      </c>
      <c r="E3132" t="inlineStr">
        <is>
          <t>0                      PR 6019000O  9                  Z  79425       2003</t>
        </is>
      </c>
      <c r="F3132" t="inlineStr">
        <is>
          <t>Lucia Joyce : to dance in the wake / Carol Loeb Shloss.</t>
        </is>
      </c>
      <c r="H3132" t="inlineStr">
        <is>
          <t>No</t>
        </is>
      </c>
      <c r="I3132" t="inlineStr">
        <is>
          <t>1</t>
        </is>
      </c>
      <c r="J3132" t="inlineStr">
        <is>
          <t>No</t>
        </is>
      </c>
      <c r="K3132" t="inlineStr">
        <is>
          <t>No</t>
        </is>
      </c>
      <c r="L3132" t="inlineStr">
        <is>
          <t>0</t>
        </is>
      </c>
      <c r="M3132" t="inlineStr">
        <is>
          <t>Shloss, Carol.</t>
        </is>
      </c>
      <c r="N3132" t="inlineStr">
        <is>
          <t>New York : Farrar, Straus and Giroux, 2003.</t>
        </is>
      </c>
      <c r="O3132" t="inlineStr">
        <is>
          <t>2003</t>
        </is>
      </c>
      <c r="P3132" t="inlineStr">
        <is>
          <t>1st ed.</t>
        </is>
      </c>
      <c r="Q3132" t="inlineStr">
        <is>
          <t>eng</t>
        </is>
      </c>
      <c r="R3132" t="inlineStr">
        <is>
          <t>nyu</t>
        </is>
      </c>
      <c r="T3132" t="inlineStr">
        <is>
          <t xml:space="preserve">PR </t>
        </is>
      </c>
      <c r="U3132" t="n">
        <v>1</v>
      </c>
      <c r="V3132" t="n">
        <v>1</v>
      </c>
      <c r="W3132" t="inlineStr">
        <is>
          <t>2004-11-29</t>
        </is>
      </c>
      <c r="X3132" t="inlineStr">
        <is>
          <t>2004-11-29</t>
        </is>
      </c>
      <c r="Y3132" t="inlineStr">
        <is>
          <t>2004-11-29</t>
        </is>
      </c>
      <c r="Z3132" t="inlineStr">
        <is>
          <t>2004-11-29</t>
        </is>
      </c>
      <c r="AA3132" t="n">
        <v>505</v>
      </c>
      <c r="AB3132" t="n">
        <v>450</v>
      </c>
      <c r="AC3132" t="n">
        <v>485</v>
      </c>
      <c r="AD3132" t="n">
        <v>4</v>
      </c>
      <c r="AE3132" t="n">
        <v>4</v>
      </c>
      <c r="AF3132" t="n">
        <v>20</v>
      </c>
      <c r="AG3132" t="n">
        <v>22</v>
      </c>
      <c r="AH3132" t="n">
        <v>8</v>
      </c>
      <c r="AI3132" t="n">
        <v>10</v>
      </c>
      <c r="AJ3132" t="n">
        <v>6</v>
      </c>
      <c r="AK3132" t="n">
        <v>7</v>
      </c>
      <c r="AL3132" t="n">
        <v>10</v>
      </c>
      <c r="AM3132" t="n">
        <v>10</v>
      </c>
      <c r="AN3132" t="n">
        <v>2</v>
      </c>
      <c r="AO3132" t="n">
        <v>2</v>
      </c>
      <c r="AP3132" t="n">
        <v>0</v>
      </c>
      <c r="AQ3132" t="n">
        <v>0</v>
      </c>
      <c r="AR3132" t="inlineStr">
        <is>
          <t>No</t>
        </is>
      </c>
      <c r="AS3132" t="inlineStr">
        <is>
          <t>No</t>
        </is>
      </c>
      <c r="AU3132">
        <f>HYPERLINK("https://creighton-primo.hosted.exlibrisgroup.com/primo-explore/search?tab=default_tab&amp;search_scope=EVERYTHING&amp;vid=01CRU&amp;lang=en_US&amp;offset=0&amp;query=any,contains,991004415899702656","Catalog Record")</f>
        <v/>
      </c>
      <c r="AV3132">
        <f>HYPERLINK("http://www.worldcat.org/oclc/50417335","WorldCat Record")</f>
        <v/>
      </c>
      <c r="AW3132" t="inlineStr">
        <is>
          <t>1007931:eng</t>
        </is>
      </c>
      <c r="AX3132" t="inlineStr">
        <is>
          <t>50417335</t>
        </is>
      </c>
      <c r="AY3132" t="inlineStr">
        <is>
          <t>991004415899702656</t>
        </is>
      </c>
      <c r="AZ3132" t="inlineStr">
        <is>
          <t>991004415899702656</t>
        </is>
      </c>
      <c r="BA3132" t="inlineStr">
        <is>
          <t>2256654080002656</t>
        </is>
      </c>
      <c r="BB3132" t="inlineStr">
        <is>
          <t>BOOK</t>
        </is>
      </c>
      <c r="BD3132" t="inlineStr">
        <is>
          <t>9780374194246</t>
        </is>
      </c>
      <c r="BE3132" t="inlineStr">
        <is>
          <t>32285005013262</t>
        </is>
      </c>
      <c r="BF3132" t="inlineStr">
        <is>
          <t>893782216</t>
        </is>
      </c>
    </row>
    <row r="3133">
      <c r="A3133" t="inlineStr">
        <is>
          <t>No</t>
        </is>
      </c>
      <c r="B3133" t="inlineStr">
        <is>
          <t>CURAL</t>
        </is>
      </c>
      <c r="C3133" t="inlineStr">
        <is>
          <t>SHELVES</t>
        </is>
      </c>
      <c r="D3133" t="inlineStr">
        <is>
          <t>PR6019.O9 Z7947 1982</t>
        </is>
      </c>
      <c r="E3133" t="inlineStr">
        <is>
          <t>0                      PR 6019000O  9                  Z  7947        1982</t>
        </is>
      </c>
      <c r="F3133" t="inlineStr">
        <is>
          <t>The Seventh of Joyce / edited by Bernard Benstock.</t>
        </is>
      </c>
      <c r="H3133" t="inlineStr">
        <is>
          <t>No</t>
        </is>
      </c>
      <c r="I3133" t="inlineStr">
        <is>
          <t>1</t>
        </is>
      </c>
      <c r="J3133" t="inlineStr">
        <is>
          <t>No</t>
        </is>
      </c>
      <c r="K3133" t="inlineStr">
        <is>
          <t>No</t>
        </is>
      </c>
      <c r="L3133" t="inlineStr">
        <is>
          <t>0</t>
        </is>
      </c>
      <c r="N3133" t="inlineStr">
        <is>
          <t>Bloomington : Indiana University Press, 1982.</t>
        </is>
      </c>
      <c r="O3133" t="inlineStr">
        <is>
          <t>1982</t>
        </is>
      </c>
      <c r="Q3133" t="inlineStr">
        <is>
          <t>eng</t>
        </is>
      </c>
      <c r="R3133" t="inlineStr">
        <is>
          <t>inu</t>
        </is>
      </c>
      <c r="T3133" t="inlineStr">
        <is>
          <t xml:space="preserve">PR </t>
        </is>
      </c>
      <c r="U3133" t="n">
        <v>2</v>
      </c>
      <c r="V3133" t="n">
        <v>2</v>
      </c>
      <c r="W3133" t="inlineStr">
        <is>
          <t>2005-04-26</t>
        </is>
      </c>
      <c r="X3133" t="inlineStr">
        <is>
          <t>2005-04-26</t>
        </is>
      </c>
      <c r="Y3133" t="inlineStr">
        <is>
          <t>1992-07-08</t>
        </is>
      </c>
      <c r="Z3133" t="inlineStr">
        <is>
          <t>1992-07-08</t>
        </is>
      </c>
      <c r="AA3133" t="n">
        <v>629</v>
      </c>
      <c r="AB3133" t="n">
        <v>501</v>
      </c>
      <c r="AC3133" t="n">
        <v>508</v>
      </c>
      <c r="AD3133" t="n">
        <v>4</v>
      </c>
      <c r="AE3133" t="n">
        <v>4</v>
      </c>
      <c r="AF3133" t="n">
        <v>28</v>
      </c>
      <c r="AG3133" t="n">
        <v>28</v>
      </c>
      <c r="AH3133" t="n">
        <v>12</v>
      </c>
      <c r="AI3133" t="n">
        <v>12</v>
      </c>
      <c r="AJ3133" t="n">
        <v>8</v>
      </c>
      <c r="AK3133" t="n">
        <v>8</v>
      </c>
      <c r="AL3133" t="n">
        <v>13</v>
      </c>
      <c r="AM3133" t="n">
        <v>13</v>
      </c>
      <c r="AN3133" t="n">
        <v>3</v>
      </c>
      <c r="AO3133" t="n">
        <v>3</v>
      </c>
      <c r="AP3133" t="n">
        <v>0</v>
      </c>
      <c r="AQ3133" t="n">
        <v>0</v>
      </c>
      <c r="AR3133" t="inlineStr">
        <is>
          <t>No</t>
        </is>
      </c>
      <c r="AS3133" t="inlineStr">
        <is>
          <t>Yes</t>
        </is>
      </c>
      <c r="AT3133">
        <f>HYPERLINK("http://catalog.hathitrust.org/Record/000228302","HathiTrust Record")</f>
        <v/>
      </c>
      <c r="AU3133">
        <f>HYPERLINK("https://creighton-primo.hosted.exlibrisgroup.com/primo-explore/search?tab=default_tab&amp;search_scope=EVERYTHING&amp;vid=01CRU&amp;lang=en_US&amp;offset=0&amp;query=any,contains,991005214139702656","Catalog Record")</f>
        <v/>
      </c>
      <c r="AV3133">
        <f>HYPERLINK("http://www.worldcat.org/oclc/8172036","WorldCat Record")</f>
        <v/>
      </c>
      <c r="AW3133" t="inlineStr">
        <is>
          <t>464765739:eng</t>
        </is>
      </c>
      <c r="AX3133" t="inlineStr">
        <is>
          <t>8172036</t>
        </is>
      </c>
      <c r="AY3133" t="inlineStr">
        <is>
          <t>991005214139702656</t>
        </is>
      </c>
      <c r="AZ3133" t="inlineStr">
        <is>
          <t>991005214139702656</t>
        </is>
      </c>
      <c r="BA3133" t="inlineStr">
        <is>
          <t>2256825680002656</t>
        </is>
      </c>
      <c r="BB3133" t="inlineStr">
        <is>
          <t>BOOK</t>
        </is>
      </c>
      <c r="BD3133" t="inlineStr">
        <is>
          <t>9780253202826</t>
        </is>
      </c>
      <c r="BE3133" t="inlineStr">
        <is>
          <t>32285001151090</t>
        </is>
      </c>
      <c r="BF3133" t="inlineStr">
        <is>
          <t>893883520</t>
        </is>
      </c>
    </row>
    <row r="3134">
      <c r="A3134" t="inlineStr">
        <is>
          <t>No</t>
        </is>
      </c>
      <c r="B3134" t="inlineStr">
        <is>
          <t>CURAL</t>
        </is>
      </c>
      <c r="C3134" t="inlineStr">
        <is>
          <t>SHELVES</t>
        </is>
      </c>
      <c r="D3134" t="inlineStr">
        <is>
          <t>PR6019.O9 Z8116 2002</t>
        </is>
      </c>
      <c r="E3134" t="inlineStr">
        <is>
          <t>0                      PR 6019000O  9                  Z  8116        2002</t>
        </is>
      </c>
      <c r="F3134" t="inlineStr">
        <is>
          <t>Joyce and the scene of modernity / David Spurr.</t>
        </is>
      </c>
      <c r="H3134" t="inlineStr">
        <is>
          <t>No</t>
        </is>
      </c>
      <c r="I3134" t="inlineStr">
        <is>
          <t>1</t>
        </is>
      </c>
      <c r="J3134" t="inlineStr">
        <is>
          <t>No</t>
        </is>
      </c>
      <c r="K3134" t="inlineStr">
        <is>
          <t>No</t>
        </is>
      </c>
      <c r="L3134" t="inlineStr">
        <is>
          <t>0</t>
        </is>
      </c>
      <c r="M3134" t="inlineStr">
        <is>
          <t>Spurr, David, 1949-</t>
        </is>
      </c>
      <c r="N3134" t="inlineStr">
        <is>
          <t>Gainesville : University Press of Florida, c2002.</t>
        </is>
      </c>
      <c r="O3134" t="inlineStr">
        <is>
          <t>2002</t>
        </is>
      </c>
      <c r="Q3134" t="inlineStr">
        <is>
          <t>eng</t>
        </is>
      </c>
      <c r="R3134" t="inlineStr">
        <is>
          <t>flu</t>
        </is>
      </c>
      <c r="S3134" t="inlineStr">
        <is>
          <t>The Florida James Joyce series</t>
        </is>
      </c>
      <c r="T3134" t="inlineStr">
        <is>
          <t xml:space="preserve">PR </t>
        </is>
      </c>
      <c r="U3134" t="n">
        <v>4</v>
      </c>
      <c r="V3134" t="n">
        <v>4</v>
      </c>
      <c r="W3134" t="inlineStr">
        <is>
          <t>2008-04-06</t>
        </is>
      </c>
      <c r="X3134" t="inlineStr">
        <is>
          <t>2008-04-06</t>
        </is>
      </c>
      <c r="Y3134" t="inlineStr">
        <is>
          <t>2004-03-22</t>
        </is>
      </c>
      <c r="Z3134" t="inlineStr">
        <is>
          <t>2004-03-22</t>
        </is>
      </c>
      <c r="AA3134" t="n">
        <v>430</v>
      </c>
      <c r="AB3134" t="n">
        <v>362</v>
      </c>
      <c r="AC3134" t="n">
        <v>363</v>
      </c>
      <c r="AD3134" t="n">
        <v>2</v>
      </c>
      <c r="AE3134" t="n">
        <v>2</v>
      </c>
      <c r="AF3134" t="n">
        <v>27</v>
      </c>
      <c r="AG3134" t="n">
        <v>27</v>
      </c>
      <c r="AH3134" t="n">
        <v>15</v>
      </c>
      <c r="AI3134" t="n">
        <v>15</v>
      </c>
      <c r="AJ3134" t="n">
        <v>7</v>
      </c>
      <c r="AK3134" t="n">
        <v>7</v>
      </c>
      <c r="AL3134" t="n">
        <v>12</v>
      </c>
      <c r="AM3134" t="n">
        <v>12</v>
      </c>
      <c r="AN3134" t="n">
        <v>1</v>
      </c>
      <c r="AO3134" t="n">
        <v>1</v>
      </c>
      <c r="AP3134" t="n">
        <v>0</v>
      </c>
      <c r="AQ3134" t="n">
        <v>0</v>
      </c>
      <c r="AR3134" t="inlineStr">
        <is>
          <t>No</t>
        </is>
      </c>
      <c r="AS3134" t="inlineStr">
        <is>
          <t>No</t>
        </is>
      </c>
      <c r="AU3134">
        <f>HYPERLINK("https://creighton-primo.hosted.exlibrisgroup.com/primo-explore/search?tab=default_tab&amp;search_scope=EVERYTHING&amp;vid=01CRU&amp;lang=en_US&amp;offset=0&amp;query=any,contains,991004252539702656","Catalog Record")</f>
        <v/>
      </c>
      <c r="AV3134">
        <f>HYPERLINK("http://www.worldcat.org/oclc/49288113","WorldCat Record")</f>
        <v/>
      </c>
      <c r="AW3134" t="inlineStr">
        <is>
          <t>1012236:eng</t>
        </is>
      </c>
      <c r="AX3134" t="inlineStr">
        <is>
          <t>49288113</t>
        </is>
      </c>
      <c r="AY3134" t="inlineStr">
        <is>
          <t>991004252539702656</t>
        </is>
      </c>
      <c r="AZ3134" t="inlineStr">
        <is>
          <t>991004252539702656</t>
        </is>
      </c>
      <c r="BA3134" t="inlineStr">
        <is>
          <t>2256294020002656</t>
        </is>
      </c>
      <c r="BB3134" t="inlineStr">
        <is>
          <t>BOOK</t>
        </is>
      </c>
      <c r="BD3134" t="inlineStr">
        <is>
          <t>9780813025506</t>
        </is>
      </c>
      <c r="BE3134" t="inlineStr">
        <is>
          <t>32285004895313</t>
        </is>
      </c>
      <c r="BF3134" t="inlineStr">
        <is>
          <t>893794654</t>
        </is>
      </c>
    </row>
    <row r="3135">
      <c r="A3135" t="inlineStr">
        <is>
          <t>No</t>
        </is>
      </c>
      <c r="B3135" t="inlineStr">
        <is>
          <t>CURAL</t>
        </is>
      </c>
      <c r="C3135" t="inlineStr">
        <is>
          <t>SHELVES</t>
        </is>
      </c>
      <c r="D3135" t="inlineStr">
        <is>
          <t>PR6019.O9 Z812</t>
        </is>
      </c>
      <c r="E3135" t="inlineStr">
        <is>
          <t>0                      PR 6019000O  9                  Z  812</t>
        </is>
      </c>
      <c r="F3135" t="inlineStr">
        <is>
          <t>James Joyce today: essays on the major works, commemorating the twenty-fifth anniversary of his death. Edited with a pref. by Thomas F. Staley.</t>
        </is>
      </c>
      <c r="H3135" t="inlineStr">
        <is>
          <t>No</t>
        </is>
      </c>
      <c r="I3135" t="inlineStr">
        <is>
          <t>1</t>
        </is>
      </c>
      <c r="J3135" t="inlineStr">
        <is>
          <t>No</t>
        </is>
      </c>
      <c r="K3135" t="inlineStr">
        <is>
          <t>No</t>
        </is>
      </c>
      <c r="L3135" t="inlineStr">
        <is>
          <t>0</t>
        </is>
      </c>
      <c r="M3135" t="inlineStr">
        <is>
          <t>Staley, Thomas F. editor.</t>
        </is>
      </c>
      <c r="N3135" t="inlineStr">
        <is>
          <t>Bloomington, Indiana University Press, 1966.</t>
        </is>
      </c>
      <c r="O3135" t="inlineStr">
        <is>
          <t>1966</t>
        </is>
      </c>
      <c r="Q3135" t="inlineStr">
        <is>
          <t>eng</t>
        </is>
      </c>
      <c r="R3135" t="inlineStr">
        <is>
          <t>inu</t>
        </is>
      </c>
      <c r="T3135" t="inlineStr">
        <is>
          <t xml:space="preserve">PR </t>
        </is>
      </c>
      <c r="U3135" t="n">
        <v>2</v>
      </c>
      <c r="V3135" t="n">
        <v>2</v>
      </c>
      <c r="W3135" t="inlineStr">
        <is>
          <t>2001-02-01</t>
        </is>
      </c>
      <c r="X3135" t="inlineStr">
        <is>
          <t>2001-02-01</t>
        </is>
      </c>
      <c r="Y3135" t="inlineStr">
        <is>
          <t>1997-04-10</t>
        </is>
      </c>
      <c r="Z3135" t="inlineStr">
        <is>
          <t>1997-04-10</t>
        </is>
      </c>
      <c r="AA3135" t="n">
        <v>1182</v>
      </c>
      <c r="AB3135" t="n">
        <v>1048</v>
      </c>
      <c r="AC3135" t="n">
        <v>1090</v>
      </c>
      <c r="AD3135" t="n">
        <v>7</v>
      </c>
      <c r="AE3135" t="n">
        <v>8</v>
      </c>
      <c r="AF3135" t="n">
        <v>42</v>
      </c>
      <c r="AG3135" t="n">
        <v>45</v>
      </c>
      <c r="AH3135" t="n">
        <v>17</v>
      </c>
      <c r="AI3135" t="n">
        <v>19</v>
      </c>
      <c r="AJ3135" t="n">
        <v>9</v>
      </c>
      <c r="AK3135" t="n">
        <v>9</v>
      </c>
      <c r="AL3135" t="n">
        <v>21</v>
      </c>
      <c r="AM3135" t="n">
        <v>22</v>
      </c>
      <c r="AN3135" t="n">
        <v>6</v>
      </c>
      <c r="AO3135" t="n">
        <v>7</v>
      </c>
      <c r="AP3135" t="n">
        <v>0</v>
      </c>
      <c r="AQ3135" t="n">
        <v>0</v>
      </c>
      <c r="AR3135" t="inlineStr">
        <is>
          <t>No</t>
        </is>
      </c>
      <c r="AS3135" t="inlineStr">
        <is>
          <t>Yes</t>
        </is>
      </c>
      <c r="AT3135">
        <f>HYPERLINK("http://catalog.hathitrust.org/Record/000589047","HathiTrust Record")</f>
        <v/>
      </c>
      <c r="AU3135">
        <f>HYPERLINK("https://creighton-primo.hosted.exlibrisgroup.com/primo-explore/search?tab=default_tab&amp;search_scope=EVERYTHING&amp;vid=01CRU&amp;lang=en_US&amp;offset=0&amp;query=any,contains,991003590779702656","Catalog Record")</f>
        <v/>
      </c>
      <c r="AV3135">
        <f>HYPERLINK("http://www.worldcat.org/oclc/1173550","WorldCat Record")</f>
        <v/>
      </c>
      <c r="AW3135" t="inlineStr">
        <is>
          <t>291475339:eng</t>
        </is>
      </c>
      <c r="AX3135" t="inlineStr">
        <is>
          <t>1173550</t>
        </is>
      </c>
      <c r="AY3135" t="inlineStr">
        <is>
          <t>991003590779702656</t>
        </is>
      </c>
      <c r="AZ3135" t="inlineStr">
        <is>
          <t>991003590779702656</t>
        </is>
      </c>
      <c r="BA3135" t="inlineStr">
        <is>
          <t>2271261880002656</t>
        </is>
      </c>
      <c r="BB3135" t="inlineStr">
        <is>
          <t>BOOK</t>
        </is>
      </c>
      <c r="BE3135" t="inlineStr">
        <is>
          <t>32285002528395</t>
        </is>
      </c>
      <c r="BF3135" t="inlineStr">
        <is>
          <t>893518651</t>
        </is>
      </c>
    </row>
    <row r="3136">
      <c r="A3136" t="inlineStr">
        <is>
          <t>No</t>
        </is>
      </c>
      <c r="B3136" t="inlineStr">
        <is>
          <t>CURAL</t>
        </is>
      </c>
      <c r="C3136" t="inlineStr">
        <is>
          <t>SHELVES</t>
        </is>
      </c>
      <c r="D3136" t="inlineStr">
        <is>
          <t>PR6019.O9 Z827 1998</t>
        </is>
      </c>
      <c r="E3136" t="inlineStr">
        <is>
          <t>0                      PR 6019000O  9                  Z  827         1998</t>
        </is>
      </c>
      <c r="F3136" t="inlineStr">
        <is>
          <t>Talking of Joyce : Umberto Eco, Liberato Santoro-Brienza / edited by Liberato Santoro-Brienza.</t>
        </is>
      </c>
      <c r="H3136" t="inlineStr">
        <is>
          <t>No</t>
        </is>
      </c>
      <c r="I3136" t="inlineStr">
        <is>
          <t>1</t>
        </is>
      </c>
      <c r="J3136" t="inlineStr">
        <is>
          <t>No</t>
        </is>
      </c>
      <c r="K3136" t="inlineStr">
        <is>
          <t>No</t>
        </is>
      </c>
      <c r="L3136" t="inlineStr">
        <is>
          <t>0</t>
        </is>
      </c>
      <c r="N3136" t="inlineStr">
        <is>
          <t>Dublin : University College Dublin Press, 1998.</t>
        </is>
      </c>
      <c r="O3136" t="inlineStr">
        <is>
          <t>1998</t>
        </is>
      </c>
      <c r="Q3136" t="inlineStr">
        <is>
          <t>eng</t>
        </is>
      </c>
      <c r="R3136" t="inlineStr">
        <is>
          <t xml:space="preserve">ie </t>
        </is>
      </c>
      <c r="T3136" t="inlineStr">
        <is>
          <t xml:space="preserve">PR </t>
        </is>
      </c>
      <c r="U3136" t="n">
        <v>3</v>
      </c>
      <c r="V3136" t="n">
        <v>3</v>
      </c>
      <c r="W3136" t="inlineStr">
        <is>
          <t>2006-04-29</t>
        </is>
      </c>
      <c r="X3136" t="inlineStr">
        <is>
          <t>2006-04-29</t>
        </is>
      </c>
      <c r="Y3136" t="inlineStr">
        <is>
          <t>1999-03-03</t>
        </is>
      </c>
      <c r="Z3136" t="inlineStr">
        <is>
          <t>1999-03-03</t>
        </is>
      </c>
      <c r="AA3136" t="n">
        <v>215</v>
      </c>
      <c r="AB3136" t="n">
        <v>168</v>
      </c>
      <c r="AC3136" t="n">
        <v>175</v>
      </c>
      <c r="AD3136" t="n">
        <v>1</v>
      </c>
      <c r="AE3136" t="n">
        <v>1</v>
      </c>
      <c r="AF3136" t="n">
        <v>10</v>
      </c>
      <c r="AG3136" t="n">
        <v>10</v>
      </c>
      <c r="AH3136" t="n">
        <v>3</v>
      </c>
      <c r="AI3136" t="n">
        <v>3</v>
      </c>
      <c r="AJ3136" t="n">
        <v>3</v>
      </c>
      <c r="AK3136" t="n">
        <v>3</v>
      </c>
      <c r="AL3136" t="n">
        <v>7</v>
      </c>
      <c r="AM3136" t="n">
        <v>7</v>
      </c>
      <c r="AN3136" t="n">
        <v>0</v>
      </c>
      <c r="AO3136" t="n">
        <v>0</v>
      </c>
      <c r="AP3136" t="n">
        <v>0</v>
      </c>
      <c r="AQ3136" t="n">
        <v>0</v>
      </c>
      <c r="AR3136" t="inlineStr">
        <is>
          <t>No</t>
        </is>
      </c>
      <c r="AS3136" t="inlineStr">
        <is>
          <t>Yes</t>
        </is>
      </c>
      <c r="AT3136">
        <f>HYPERLINK("http://catalog.hathitrust.org/Record/003975141","HathiTrust Record")</f>
        <v/>
      </c>
      <c r="AU3136">
        <f>HYPERLINK("https://creighton-primo.hosted.exlibrisgroup.com/primo-explore/search?tab=default_tab&amp;search_scope=EVERYTHING&amp;vid=01CRU&amp;lang=en_US&amp;offset=0&amp;query=any,contains,991002968209702656","Catalog Record")</f>
        <v/>
      </c>
      <c r="AV3136">
        <f>HYPERLINK("http://www.worldcat.org/oclc/39727795","WorldCat Record")</f>
        <v/>
      </c>
      <c r="AW3136" t="inlineStr">
        <is>
          <t>8908783248:eng</t>
        </is>
      </c>
      <c r="AX3136" t="inlineStr">
        <is>
          <t>39727795</t>
        </is>
      </c>
      <c r="AY3136" t="inlineStr">
        <is>
          <t>991002968209702656</t>
        </is>
      </c>
      <c r="AZ3136" t="inlineStr">
        <is>
          <t>991002968209702656</t>
        </is>
      </c>
      <c r="BA3136" t="inlineStr">
        <is>
          <t>2270730210002656</t>
        </is>
      </c>
      <c r="BB3136" t="inlineStr">
        <is>
          <t>BOOK</t>
        </is>
      </c>
      <c r="BD3136" t="inlineStr">
        <is>
          <t>9781900621137</t>
        </is>
      </c>
      <c r="BE3136" t="inlineStr">
        <is>
          <t>32285003528956</t>
        </is>
      </c>
      <c r="BF3136" t="inlineStr">
        <is>
          <t>893227508</t>
        </is>
      </c>
    </row>
    <row r="3137">
      <c r="A3137" t="inlineStr">
        <is>
          <t>No</t>
        </is>
      </c>
      <c r="B3137" t="inlineStr">
        <is>
          <t>CURAL</t>
        </is>
      </c>
      <c r="C3137" t="inlineStr">
        <is>
          <t>SHELVES</t>
        </is>
      </c>
      <c r="D3137" t="inlineStr">
        <is>
          <t>PR6019.O9 Z83</t>
        </is>
      </c>
      <c r="E3137" t="inlineStr">
        <is>
          <t>0                      PR 6019000O  9                  Z  83</t>
        </is>
      </c>
      <c r="F3137" t="inlineStr">
        <is>
          <t>James Joyce : his way of interpreting the modern world.</t>
        </is>
      </c>
      <c r="H3137" t="inlineStr">
        <is>
          <t>No</t>
        </is>
      </c>
      <c r="I3137" t="inlineStr">
        <is>
          <t>1</t>
        </is>
      </c>
      <c r="J3137" t="inlineStr">
        <is>
          <t>No</t>
        </is>
      </c>
      <c r="K3137" t="inlineStr">
        <is>
          <t>No</t>
        </is>
      </c>
      <c r="L3137" t="inlineStr">
        <is>
          <t>0</t>
        </is>
      </c>
      <c r="M3137" t="inlineStr">
        <is>
          <t>Tindall, William York, 1903-1981.</t>
        </is>
      </c>
      <c r="N3137" t="inlineStr">
        <is>
          <t>New York : Scribner, 1950.</t>
        </is>
      </c>
      <c r="O3137" t="inlineStr">
        <is>
          <t>1950</t>
        </is>
      </c>
      <c r="Q3137" t="inlineStr">
        <is>
          <t>eng</t>
        </is>
      </c>
      <c r="R3137" t="inlineStr">
        <is>
          <t>nyu</t>
        </is>
      </c>
      <c r="S3137" t="inlineStr">
        <is>
          <t>Scribner library (Series)</t>
        </is>
      </c>
      <c r="T3137" t="inlineStr">
        <is>
          <t xml:space="preserve">PR </t>
        </is>
      </c>
      <c r="U3137" t="n">
        <v>1</v>
      </c>
      <c r="V3137" t="n">
        <v>1</v>
      </c>
      <c r="W3137" t="inlineStr">
        <is>
          <t>2005-04-22</t>
        </is>
      </c>
      <c r="X3137" t="inlineStr">
        <is>
          <t>2005-04-22</t>
        </is>
      </c>
      <c r="Y3137" t="inlineStr">
        <is>
          <t>1997-04-10</t>
        </is>
      </c>
      <c r="Z3137" t="inlineStr">
        <is>
          <t>1997-04-10</t>
        </is>
      </c>
      <c r="AA3137" t="n">
        <v>1143</v>
      </c>
      <c r="AB3137" t="n">
        <v>1016</v>
      </c>
      <c r="AC3137" t="n">
        <v>1124</v>
      </c>
      <c r="AD3137" t="n">
        <v>10</v>
      </c>
      <c r="AE3137" t="n">
        <v>11</v>
      </c>
      <c r="AF3137" t="n">
        <v>49</v>
      </c>
      <c r="AG3137" t="n">
        <v>54</v>
      </c>
      <c r="AH3137" t="n">
        <v>19</v>
      </c>
      <c r="AI3137" t="n">
        <v>21</v>
      </c>
      <c r="AJ3137" t="n">
        <v>9</v>
      </c>
      <c r="AK3137" t="n">
        <v>10</v>
      </c>
      <c r="AL3137" t="n">
        <v>23</v>
      </c>
      <c r="AM3137" t="n">
        <v>25</v>
      </c>
      <c r="AN3137" t="n">
        <v>9</v>
      </c>
      <c r="AO3137" t="n">
        <v>10</v>
      </c>
      <c r="AP3137" t="n">
        <v>0</v>
      </c>
      <c r="AQ3137" t="n">
        <v>0</v>
      </c>
      <c r="AR3137" t="inlineStr">
        <is>
          <t>No</t>
        </is>
      </c>
      <c r="AS3137" t="inlineStr">
        <is>
          <t>No</t>
        </is>
      </c>
      <c r="AT3137">
        <f>HYPERLINK("http://catalog.hathitrust.org/Record/000589066","HathiTrust Record")</f>
        <v/>
      </c>
      <c r="AU3137">
        <f>HYPERLINK("https://creighton-primo.hosted.exlibrisgroup.com/primo-explore/search?tab=default_tab&amp;search_scope=EVERYTHING&amp;vid=01CRU&amp;lang=en_US&amp;offset=0&amp;query=any,contains,991002030889702656","Catalog Record")</f>
        <v/>
      </c>
      <c r="AV3137">
        <f>HYPERLINK("http://www.worldcat.org/oclc/25850261","WorldCat Record")</f>
        <v/>
      </c>
      <c r="AW3137" t="inlineStr">
        <is>
          <t>157655231:eng</t>
        </is>
      </c>
      <c r="AX3137" t="inlineStr">
        <is>
          <t>25850261</t>
        </is>
      </c>
      <c r="AY3137" t="inlineStr">
        <is>
          <t>991002030889702656</t>
        </is>
      </c>
      <c r="AZ3137" t="inlineStr">
        <is>
          <t>991002030889702656</t>
        </is>
      </c>
      <c r="BA3137" t="inlineStr">
        <is>
          <t>2258572740002656</t>
        </is>
      </c>
      <c r="BB3137" t="inlineStr">
        <is>
          <t>BOOK</t>
        </is>
      </c>
      <c r="BE3137" t="inlineStr">
        <is>
          <t>32285002528403</t>
        </is>
      </c>
      <c r="BF3137" t="inlineStr">
        <is>
          <t>893590844</t>
        </is>
      </c>
    </row>
    <row r="3138">
      <c r="A3138" t="inlineStr">
        <is>
          <t>No</t>
        </is>
      </c>
      <c r="B3138" t="inlineStr">
        <is>
          <t>CURAL</t>
        </is>
      </c>
      <c r="C3138" t="inlineStr">
        <is>
          <t>SHELVES</t>
        </is>
      </c>
      <c r="D3138" t="inlineStr">
        <is>
          <t>PR6019.O9 Z933 1992</t>
        </is>
      </c>
      <c r="E3138" t="inlineStr">
        <is>
          <t>0                      PR 6019000O  9                  Z  933         1992</t>
        </is>
      </c>
      <c r="F3138" t="inlineStr">
        <is>
          <t>The cracked lookingglass : James Joyce and the nightmare of history / Albert Wachtel.</t>
        </is>
      </c>
      <c r="H3138" t="inlineStr">
        <is>
          <t>No</t>
        </is>
      </c>
      <c r="I3138" t="inlineStr">
        <is>
          <t>1</t>
        </is>
      </c>
      <c r="J3138" t="inlineStr">
        <is>
          <t>No</t>
        </is>
      </c>
      <c r="K3138" t="inlineStr">
        <is>
          <t>No</t>
        </is>
      </c>
      <c r="L3138" t="inlineStr">
        <is>
          <t>0</t>
        </is>
      </c>
      <c r="M3138" t="inlineStr">
        <is>
          <t>Wachtel, Albert.</t>
        </is>
      </c>
      <c r="N3138" t="inlineStr">
        <is>
          <t>Selinsgrove, Pa. : Susquehanna University Press, c1992.</t>
        </is>
      </c>
      <c r="O3138" t="inlineStr">
        <is>
          <t>1992</t>
        </is>
      </c>
      <c r="Q3138" t="inlineStr">
        <is>
          <t>eng</t>
        </is>
      </c>
      <c r="R3138" t="inlineStr">
        <is>
          <t>pau</t>
        </is>
      </c>
      <c r="T3138" t="inlineStr">
        <is>
          <t xml:space="preserve">PR </t>
        </is>
      </c>
      <c r="U3138" t="n">
        <v>7</v>
      </c>
      <c r="V3138" t="n">
        <v>7</v>
      </c>
      <c r="W3138" t="inlineStr">
        <is>
          <t>2006-12-11</t>
        </is>
      </c>
      <c r="X3138" t="inlineStr">
        <is>
          <t>2006-12-11</t>
        </is>
      </c>
      <c r="Y3138" t="inlineStr">
        <is>
          <t>1992-06-30</t>
        </is>
      </c>
      <c r="Z3138" t="inlineStr">
        <is>
          <t>1992-06-30</t>
        </is>
      </c>
      <c r="AA3138" t="n">
        <v>269</v>
      </c>
      <c r="AB3138" t="n">
        <v>213</v>
      </c>
      <c r="AC3138" t="n">
        <v>215</v>
      </c>
      <c r="AD3138" t="n">
        <v>3</v>
      </c>
      <c r="AE3138" t="n">
        <v>3</v>
      </c>
      <c r="AF3138" t="n">
        <v>15</v>
      </c>
      <c r="AG3138" t="n">
        <v>15</v>
      </c>
      <c r="AH3138" t="n">
        <v>4</v>
      </c>
      <c r="AI3138" t="n">
        <v>4</v>
      </c>
      <c r="AJ3138" t="n">
        <v>4</v>
      </c>
      <c r="AK3138" t="n">
        <v>4</v>
      </c>
      <c r="AL3138" t="n">
        <v>10</v>
      </c>
      <c r="AM3138" t="n">
        <v>10</v>
      </c>
      <c r="AN3138" t="n">
        <v>2</v>
      </c>
      <c r="AO3138" t="n">
        <v>2</v>
      </c>
      <c r="AP3138" t="n">
        <v>0</v>
      </c>
      <c r="AQ3138" t="n">
        <v>0</v>
      </c>
      <c r="AR3138" t="inlineStr">
        <is>
          <t>No</t>
        </is>
      </c>
      <c r="AS3138" t="inlineStr">
        <is>
          <t>Yes</t>
        </is>
      </c>
      <c r="AT3138">
        <f>HYPERLINK("http://catalog.hathitrust.org/Record/002562123","HathiTrust Record")</f>
        <v/>
      </c>
      <c r="AU3138">
        <f>HYPERLINK("https://creighton-primo.hosted.exlibrisgroup.com/primo-explore/search?tab=default_tab&amp;search_scope=EVERYTHING&amp;vid=01CRU&amp;lang=en_US&amp;offset=0&amp;query=any,contains,991001914339702656","Catalog Record")</f>
        <v/>
      </c>
      <c r="AV3138">
        <f>HYPERLINK("http://www.worldcat.org/oclc/24173918","WorldCat Record")</f>
        <v/>
      </c>
      <c r="AW3138" t="inlineStr">
        <is>
          <t>20931201:eng</t>
        </is>
      </c>
      <c r="AX3138" t="inlineStr">
        <is>
          <t>24173918</t>
        </is>
      </c>
      <c r="AY3138" t="inlineStr">
        <is>
          <t>991001914339702656</t>
        </is>
      </c>
      <c r="AZ3138" t="inlineStr">
        <is>
          <t>991001914339702656</t>
        </is>
      </c>
      <c r="BA3138" t="inlineStr">
        <is>
          <t>2269003370002656</t>
        </is>
      </c>
      <c r="BB3138" t="inlineStr">
        <is>
          <t>BOOK</t>
        </is>
      </c>
      <c r="BD3138" t="inlineStr">
        <is>
          <t>9780945636274</t>
        </is>
      </c>
      <c r="BE3138" t="inlineStr">
        <is>
          <t>32285001157006</t>
        </is>
      </c>
      <c r="BF3138" t="inlineStr">
        <is>
          <t>893903621</t>
        </is>
      </c>
    </row>
    <row r="3139">
      <c r="A3139" t="inlineStr">
        <is>
          <t>No</t>
        </is>
      </c>
      <c r="B3139" t="inlineStr">
        <is>
          <t>CURAL</t>
        </is>
      </c>
      <c r="C3139" t="inlineStr">
        <is>
          <t>SHELVES</t>
        </is>
      </c>
      <c r="D3139" t="inlineStr">
        <is>
          <t>PR6019.O9 Z934 1992</t>
        </is>
      </c>
      <c r="E3139" t="inlineStr">
        <is>
          <t>0                      PR 6019000O  9                  Z  934         1992</t>
        </is>
      </c>
      <c r="F3139" t="inlineStr">
        <is>
          <t>The language of James Joyce / Katie Wales.</t>
        </is>
      </c>
      <c r="H3139" t="inlineStr">
        <is>
          <t>No</t>
        </is>
      </c>
      <c r="I3139" t="inlineStr">
        <is>
          <t>1</t>
        </is>
      </c>
      <c r="J3139" t="inlineStr">
        <is>
          <t>No</t>
        </is>
      </c>
      <c r="K3139" t="inlineStr">
        <is>
          <t>No</t>
        </is>
      </c>
      <c r="L3139" t="inlineStr">
        <is>
          <t>0</t>
        </is>
      </c>
      <c r="M3139" t="inlineStr">
        <is>
          <t>Wales, Katie.</t>
        </is>
      </c>
      <c r="N3139" t="inlineStr">
        <is>
          <t>New York : St. Martin's Press, 1992.</t>
        </is>
      </c>
      <c r="O3139" t="inlineStr">
        <is>
          <t>1992</t>
        </is>
      </c>
      <c r="Q3139" t="inlineStr">
        <is>
          <t>eng</t>
        </is>
      </c>
      <c r="R3139" t="inlineStr">
        <is>
          <t>nyu</t>
        </is>
      </c>
      <c r="S3139" t="inlineStr">
        <is>
          <t>The Language of literature</t>
        </is>
      </c>
      <c r="T3139" t="inlineStr">
        <is>
          <t xml:space="preserve">PR </t>
        </is>
      </c>
      <c r="U3139" t="n">
        <v>2</v>
      </c>
      <c r="V3139" t="n">
        <v>2</v>
      </c>
      <c r="W3139" t="inlineStr">
        <is>
          <t>1992-12-15</t>
        </is>
      </c>
      <c r="X3139" t="inlineStr">
        <is>
          <t>1992-12-15</t>
        </is>
      </c>
      <c r="Y3139" t="inlineStr">
        <is>
          <t>1992-06-01</t>
        </is>
      </c>
      <c r="Z3139" t="inlineStr">
        <is>
          <t>1992-06-01</t>
        </is>
      </c>
      <c r="AA3139" t="n">
        <v>330</v>
      </c>
      <c r="AB3139" t="n">
        <v>286</v>
      </c>
      <c r="AC3139" t="n">
        <v>317</v>
      </c>
      <c r="AD3139" t="n">
        <v>4</v>
      </c>
      <c r="AE3139" t="n">
        <v>4</v>
      </c>
      <c r="AF3139" t="n">
        <v>21</v>
      </c>
      <c r="AG3139" t="n">
        <v>21</v>
      </c>
      <c r="AH3139" t="n">
        <v>9</v>
      </c>
      <c r="AI3139" t="n">
        <v>9</v>
      </c>
      <c r="AJ3139" t="n">
        <v>4</v>
      </c>
      <c r="AK3139" t="n">
        <v>4</v>
      </c>
      <c r="AL3139" t="n">
        <v>11</v>
      </c>
      <c r="AM3139" t="n">
        <v>11</v>
      </c>
      <c r="AN3139" t="n">
        <v>3</v>
      </c>
      <c r="AO3139" t="n">
        <v>3</v>
      </c>
      <c r="AP3139" t="n">
        <v>0</v>
      </c>
      <c r="AQ3139" t="n">
        <v>0</v>
      </c>
      <c r="AR3139" t="inlineStr">
        <is>
          <t>No</t>
        </is>
      </c>
      <c r="AS3139" t="inlineStr">
        <is>
          <t>No</t>
        </is>
      </c>
      <c r="AU3139">
        <f>HYPERLINK("https://creighton-primo.hosted.exlibrisgroup.com/primo-explore/search?tab=default_tab&amp;search_scope=EVERYTHING&amp;vid=01CRU&amp;lang=en_US&amp;offset=0&amp;query=any,contains,991001888779702656","Catalog Record")</f>
        <v/>
      </c>
      <c r="AV3139">
        <f>HYPERLINK("http://www.worldcat.org/oclc/23771240","WorldCat Record")</f>
        <v/>
      </c>
      <c r="AW3139" t="inlineStr">
        <is>
          <t>20661957:eng</t>
        </is>
      </c>
      <c r="AX3139" t="inlineStr">
        <is>
          <t>23771240</t>
        </is>
      </c>
      <c r="AY3139" t="inlineStr">
        <is>
          <t>991001888779702656</t>
        </is>
      </c>
      <c r="AZ3139" t="inlineStr">
        <is>
          <t>991001888779702656</t>
        </is>
      </c>
      <c r="BA3139" t="inlineStr">
        <is>
          <t>2256146860002656</t>
        </is>
      </c>
      <c r="BB3139" t="inlineStr">
        <is>
          <t>BOOK</t>
        </is>
      </c>
      <c r="BD3139" t="inlineStr">
        <is>
          <t>9780312062378</t>
        </is>
      </c>
      <c r="BE3139" t="inlineStr">
        <is>
          <t>32285001125037</t>
        </is>
      </c>
      <c r="BF3139" t="inlineStr">
        <is>
          <t>893510034</t>
        </is>
      </c>
    </row>
    <row r="3140">
      <c r="A3140" t="inlineStr">
        <is>
          <t>No</t>
        </is>
      </c>
      <c r="B3140" t="inlineStr">
        <is>
          <t>CURAL</t>
        </is>
      </c>
      <c r="C3140" t="inlineStr">
        <is>
          <t>SHELVES</t>
        </is>
      </c>
      <c r="D3140" t="inlineStr">
        <is>
          <t>PR6019.O9 Z944 1983</t>
        </is>
      </c>
      <c r="E3140" t="inlineStr">
        <is>
          <t>0                      PR 6019000O  9                  Z  944         1983</t>
        </is>
      </c>
      <c r="F3140" t="inlineStr">
        <is>
          <t>The grand continuum : reflections on Joyce and metaphysics / David A. White.</t>
        </is>
      </c>
      <c r="H3140" t="inlineStr">
        <is>
          <t>No</t>
        </is>
      </c>
      <c r="I3140" t="inlineStr">
        <is>
          <t>1</t>
        </is>
      </c>
      <c r="J3140" t="inlineStr">
        <is>
          <t>No</t>
        </is>
      </c>
      <c r="K3140" t="inlineStr">
        <is>
          <t>No</t>
        </is>
      </c>
      <c r="L3140" t="inlineStr">
        <is>
          <t>0</t>
        </is>
      </c>
      <c r="M3140" t="inlineStr">
        <is>
          <t>White, David A., 1942-</t>
        </is>
      </c>
      <c r="N3140" t="inlineStr">
        <is>
          <t>Pittsburgh, Pa. : University of Pittsburgh Press, c1983.</t>
        </is>
      </c>
      <c r="O3140" t="inlineStr">
        <is>
          <t>1983</t>
        </is>
      </c>
      <c r="Q3140" t="inlineStr">
        <is>
          <t>eng</t>
        </is>
      </c>
      <c r="R3140" t="inlineStr">
        <is>
          <t>pau</t>
        </is>
      </c>
      <c r="S3140" t="inlineStr">
        <is>
          <t>Critical essays in modern literature</t>
        </is>
      </c>
      <c r="T3140" t="inlineStr">
        <is>
          <t xml:space="preserve">PR </t>
        </is>
      </c>
      <c r="U3140" t="n">
        <v>3</v>
      </c>
      <c r="V3140" t="n">
        <v>3</v>
      </c>
      <c r="W3140" t="inlineStr">
        <is>
          <t>2005-05-18</t>
        </is>
      </c>
      <c r="X3140" t="inlineStr">
        <is>
          <t>2005-05-18</t>
        </is>
      </c>
      <c r="Y3140" t="inlineStr">
        <is>
          <t>1992-07-08</t>
        </is>
      </c>
      <c r="Z3140" t="inlineStr">
        <is>
          <t>1992-07-08</t>
        </is>
      </c>
      <c r="AA3140" t="n">
        <v>508</v>
      </c>
      <c r="AB3140" t="n">
        <v>428</v>
      </c>
      <c r="AC3140" t="n">
        <v>460</v>
      </c>
      <c r="AD3140" t="n">
        <v>4</v>
      </c>
      <c r="AE3140" t="n">
        <v>4</v>
      </c>
      <c r="AF3140" t="n">
        <v>21</v>
      </c>
      <c r="AG3140" t="n">
        <v>21</v>
      </c>
      <c r="AH3140" t="n">
        <v>6</v>
      </c>
      <c r="AI3140" t="n">
        <v>6</v>
      </c>
      <c r="AJ3140" t="n">
        <v>8</v>
      </c>
      <c r="AK3140" t="n">
        <v>8</v>
      </c>
      <c r="AL3140" t="n">
        <v>10</v>
      </c>
      <c r="AM3140" t="n">
        <v>10</v>
      </c>
      <c r="AN3140" t="n">
        <v>3</v>
      </c>
      <c r="AO3140" t="n">
        <v>3</v>
      </c>
      <c r="AP3140" t="n">
        <v>0</v>
      </c>
      <c r="AQ3140" t="n">
        <v>0</v>
      </c>
      <c r="AR3140" t="inlineStr">
        <is>
          <t>No</t>
        </is>
      </c>
      <c r="AS3140" t="inlineStr">
        <is>
          <t>Yes</t>
        </is>
      </c>
      <c r="AT3140">
        <f>HYPERLINK("http://catalog.hathitrust.org/Record/000196898","HathiTrust Record")</f>
        <v/>
      </c>
      <c r="AU3140">
        <f>HYPERLINK("https://creighton-primo.hosted.exlibrisgroup.com/primo-explore/search?tab=default_tab&amp;search_scope=EVERYTHING&amp;vid=01CRU&amp;lang=en_US&amp;offset=0&amp;query=any,contains,991005233349702656","Catalog Record")</f>
        <v/>
      </c>
      <c r="AV3140">
        <f>HYPERLINK("http://www.worldcat.org/oclc/8346343","WorldCat Record")</f>
        <v/>
      </c>
      <c r="AW3140" t="inlineStr">
        <is>
          <t>483715617:eng</t>
        </is>
      </c>
      <c r="AX3140" t="inlineStr">
        <is>
          <t>8346343</t>
        </is>
      </c>
      <c r="AY3140" t="inlineStr">
        <is>
          <t>991005233349702656</t>
        </is>
      </c>
      <c r="AZ3140" t="inlineStr">
        <is>
          <t>991005233349702656</t>
        </is>
      </c>
      <c r="BA3140" t="inlineStr">
        <is>
          <t>2263864490002656</t>
        </is>
      </c>
      <c r="BB3140" t="inlineStr">
        <is>
          <t>BOOK</t>
        </is>
      </c>
      <c r="BD3140" t="inlineStr">
        <is>
          <t>9780822938033</t>
        </is>
      </c>
      <c r="BE3140" t="inlineStr">
        <is>
          <t>32285001151124</t>
        </is>
      </c>
      <c r="BF3140" t="inlineStr">
        <is>
          <t>893707495</t>
        </is>
      </c>
    </row>
    <row r="3141">
      <c r="A3141" t="inlineStr">
        <is>
          <t>No</t>
        </is>
      </c>
      <c r="B3141" t="inlineStr">
        <is>
          <t>CURAL</t>
        </is>
      </c>
      <c r="C3141" t="inlineStr">
        <is>
          <t>SHELVES</t>
        </is>
      </c>
      <c r="D3141" t="inlineStr">
        <is>
          <t>PR6019.O91 N53 1989</t>
        </is>
      </c>
      <c r="E3141" t="inlineStr">
        <is>
          <t>0                      PR 6019000O  91                 N  53          1989</t>
        </is>
      </c>
      <c r="F3141" t="inlineStr">
        <is>
          <t>The Ulysses guide : tours through Joyce's Dublin / Robert Nicholson.</t>
        </is>
      </c>
      <c r="H3141" t="inlineStr">
        <is>
          <t>No</t>
        </is>
      </c>
      <c r="I3141" t="inlineStr">
        <is>
          <t>1</t>
        </is>
      </c>
      <c r="J3141" t="inlineStr">
        <is>
          <t>No</t>
        </is>
      </c>
      <c r="K3141" t="inlineStr">
        <is>
          <t>No</t>
        </is>
      </c>
      <c r="L3141" t="inlineStr">
        <is>
          <t>0</t>
        </is>
      </c>
      <c r="M3141" t="inlineStr">
        <is>
          <t>Nicholson, Robert, 1954-</t>
        </is>
      </c>
      <c r="N3141" t="inlineStr">
        <is>
          <t>New York, N.Y. : Routledge, 1989.</t>
        </is>
      </c>
      <c r="O3141" t="inlineStr">
        <is>
          <t>1989</t>
        </is>
      </c>
      <c r="Q3141" t="inlineStr">
        <is>
          <t>eng</t>
        </is>
      </c>
      <c r="R3141" t="inlineStr">
        <is>
          <t>nyu</t>
        </is>
      </c>
      <c r="T3141" t="inlineStr">
        <is>
          <t xml:space="preserve">PR </t>
        </is>
      </c>
      <c r="U3141" t="n">
        <v>8</v>
      </c>
      <c r="V3141" t="n">
        <v>8</v>
      </c>
      <c r="W3141" t="inlineStr">
        <is>
          <t>1995-01-11</t>
        </is>
      </c>
      <c r="X3141" t="inlineStr">
        <is>
          <t>1995-01-11</t>
        </is>
      </c>
      <c r="Y3141" t="inlineStr">
        <is>
          <t>1992-07-09</t>
        </is>
      </c>
      <c r="Z3141" t="inlineStr">
        <is>
          <t>1992-07-09</t>
        </is>
      </c>
      <c r="AA3141" t="n">
        <v>159</v>
      </c>
      <c r="AB3141" t="n">
        <v>145</v>
      </c>
      <c r="AC3141" t="n">
        <v>259</v>
      </c>
      <c r="AD3141" t="n">
        <v>1</v>
      </c>
      <c r="AE3141" t="n">
        <v>3</v>
      </c>
      <c r="AF3141" t="n">
        <v>9</v>
      </c>
      <c r="AG3141" t="n">
        <v>15</v>
      </c>
      <c r="AH3141" t="n">
        <v>3</v>
      </c>
      <c r="AI3141" t="n">
        <v>5</v>
      </c>
      <c r="AJ3141" t="n">
        <v>1</v>
      </c>
      <c r="AK3141" t="n">
        <v>4</v>
      </c>
      <c r="AL3141" t="n">
        <v>7</v>
      </c>
      <c r="AM3141" t="n">
        <v>9</v>
      </c>
      <c r="AN3141" t="n">
        <v>0</v>
      </c>
      <c r="AO3141" t="n">
        <v>2</v>
      </c>
      <c r="AP3141" t="n">
        <v>0</v>
      </c>
      <c r="AQ3141" t="n">
        <v>0</v>
      </c>
      <c r="AR3141" t="inlineStr">
        <is>
          <t>No</t>
        </is>
      </c>
      <c r="AS3141" t="inlineStr">
        <is>
          <t>No</t>
        </is>
      </c>
      <c r="AU3141">
        <f>HYPERLINK("https://creighton-primo.hosted.exlibrisgroup.com/primo-explore/search?tab=default_tab&amp;search_scope=EVERYTHING&amp;vid=01CRU&amp;lang=en_US&amp;offset=0&amp;query=any,contains,991001485569702656","Catalog Record")</f>
        <v/>
      </c>
      <c r="AV3141">
        <f>HYPERLINK("http://www.worldcat.org/oclc/19648065","WorldCat Record")</f>
        <v/>
      </c>
      <c r="AW3141" t="inlineStr">
        <is>
          <t>9381502251:eng</t>
        </is>
      </c>
      <c r="AX3141" t="inlineStr">
        <is>
          <t>19648065</t>
        </is>
      </c>
      <c r="AY3141" t="inlineStr">
        <is>
          <t>991001485569702656</t>
        </is>
      </c>
      <c r="AZ3141" t="inlineStr">
        <is>
          <t>991001485569702656</t>
        </is>
      </c>
      <c r="BA3141" t="inlineStr">
        <is>
          <t>2263958980002656</t>
        </is>
      </c>
      <c r="BB3141" t="inlineStr">
        <is>
          <t>BOOK</t>
        </is>
      </c>
      <c r="BD3141" t="inlineStr">
        <is>
          <t>9780415901444</t>
        </is>
      </c>
      <c r="BE3141" t="inlineStr">
        <is>
          <t>32285001151140</t>
        </is>
      </c>
      <c r="BF3141" t="inlineStr">
        <is>
          <t>893328162</t>
        </is>
      </c>
    </row>
    <row r="3142">
      <c r="A3142" t="inlineStr">
        <is>
          <t>No</t>
        </is>
      </c>
      <c r="B3142" t="inlineStr">
        <is>
          <t>CURAL</t>
        </is>
      </c>
      <c r="C3142" t="inlineStr">
        <is>
          <t>SHELVES</t>
        </is>
      </c>
      <c r="D3142" t="inlineStr">
        <is>
          <t>PR6021.A74 Z79</t>
        </is>
      </c>
      <c r="E3142" t="inlineStr">
        <is>
          <t>0                      PR 6021000A  74                 Z  79</t>
        </is>
      </c>
      <c r="F3142" t="inlineStr">
        <is>
          <t>Patrick Kavanagh / John Nemo.</t>
        </is>
      </c>
      <c r="H3142" t="inlineStr">
        <is>
          <t>No</t>
        </is>
      </c>
      <c r="I3142" t="inlineStr">
        <is>
          <t>1</t>
        </is>
      </c>
      <c r="J3142" t="inlineStr">
        <is>
          <t>No</t>
        </is>
      </c>
      <c r="K3142" t="inlineStr">
        <is>
          <t>No</t>
        </is>
      </c>
      <c r="L3142" t="inlineStr">
        <is>
          <t>0</t>
        </is>
      </c>
      <c r="M3142" t="inlineStr">
        <is>
          <t>Nemo, John.</t>
        </is>
      </c>
      <c r="N3142" t="inlineStr">
        <is>
          <t>Boston : Twayne Publishers, 1979.</t>
        </is>
      </c>
      <c r="O3142" t="inlineStr">
        <is>
          <t>1979</t>
        </is>
      </c>
      <c r="Q3142" t="inlineStr">
        <is>
          <t>eng</t>
        </is>
      </c>
      <c r="R3142" t="inlineStr">
        <is>
          <t>mau</t>
        </is>
      </c>
      <c r="S3142" t="inlineStr">
        <is>
          <t>Twayne's English authors series ; TEAS 267</t>
        </is>
      </c>
      <c r="T3142" t="inlineStr">
        <is>
          <t xml:space="preserve">PR </t>
        </is>
      </c>
      <c r="U3142" t="n">
        <v>6</v>
      </c>
      <c r="V3142" t="n">
        <v>6</v>
      </c>
      <c r="W3142" t="inlineStr">
        <is>
          <t>1999-02-24</t>
        </is>
      </c>
      <c r="X3142" t="inlineStr">
        <is>
          <t>1999-02-24</t>
        </is>
      </c>
      <c r="Y3142" t="inlineStr">
        <is>
          <t>1993-04-20</t>
        </is>
      </c>
      <c r="Z3142" t="inlineStr">
        <is>
          <t>1993-04-20</t>
        </is>
      </c>
      <c r="AA3142" t="n">
        <v>585</v>
      </c>
      <c r="AB3142" t="n">
        <v>511</v>
      </c>
      <c r="AC3142" t="n">
        <v>521</v>
      </c>
      <c r="AD3142" t="n">
        <v>5</v>
      </c>
      <c r="AE3142" t="n">
        <v>5</v>
      </c>
      <c r="AF3142" t="n">
        <v>25</v>
      </c>
      <c r="AG3142" t="n">
        <v>26</v>
      </c>
      <c r="AH3142" t="n">
        <v>8</v>
      </c>
      <c r="AI3142" t="n">
        <v>8</v>
      </c>
      <c r="AJ3142" t="n">
        <v>8</v>
      </c>
      <c r="AK3142" t="n">
        <v>9</v>
      </c>
      <c r="AL3142" t="n">
        <v>11</v>
      </c>
      <c r="AM3142" t="n">
        <v>12</v>
      </c>
      <c r="AN3142" t="n">
        <v>4</v>
      </c>
      <c r="AO3142" t="n">
        <v>4</v>
      </c>
      <c r="AP3142" t="n">
        <v>0</v>
      </c>
      <c r="AQ3142" t="n">
        <v>0</v>
      </c>
      <c r="AR3142" t="inlineStr">
        <is>
          <t>No</t>
        </is>
      </c>
      <c r="AS3142" t="inlineStr">
        <is>
          <t>Yes</t>
        </is>
      </c>
      <c r="AT3142">
        <f>HYPERLINK("http://catalog.hathitrust.org/Record/000298384","HathiTrust Record")</f>
        <v/>
      </c>
      <c r="AU3142">
        <f>HYPERLINK("https://creighton-primo.hosted.exlibrisgroup.com/primo-explore/search?tab=default_tab&amp;search_scope=EVERYTHING&amp;vid=01CRU&amp;lang=en_US&amp;offset=0&amp;query=any,contains,991004724229702656","Catalog Record")</f>
        <v/>
      </c>
      <c r="AV3142">
        <f>HYPERLINK("http://www.worldcat.org/oclc/4805135","WorldCat Record")</f>
        <v/>
      </c>
      <c r="AW3142" t="inlineStr">
        <is>
          <t>5090873291:eng</t>
        </is>
      </c>
      <c r="AX3142" t="inlineStr">
        <is>
          <t>4805135</t>
        </is>
      </c>
      <c r="AY3142" t="inlineStr">
        <is>
          <t>991004724229702656</t>
        </is>
      </c>
      <c r="AZ3142" t="inlineStr">
        <is>
          <t>991004724229702656</t>
        </is>
      </c>
      <c r="BA3142" t="inlineStr">
        <is>
          <t>2270796870002656</t>
        </is>
      </c>
      <c r="BB3142" t="inlineStr">
        <is>
          <t>BOOK</t>
        </is>
      </c>
      <c r="BD3142" t="inlineStr">
        <is>
          <t>9780805767704</t>
        </is>
      </c>
      <c r="BE3142" t="inlineStr">
        <is>
          <t>32285001621498</t>
        </is>
      </c>
      <c r="BF3142" t="inlineStr">
        <is>
          <t>893519981</t>
        </is>
      </c>
    </row>
    <row r="3143">
      <c r="A3143" t="inlineStr">
        <is>
          <t>No</t>
        </is>
      </c>
      <c r="B3143" t="inlineStr">
        <is>
          <t>CURAL</t>
        </is>
      </c>
      <c r="C3143" t="inlineStr">
        <is>
          <t>SHELVES</t>
        </is>
      </c>
      <c r="D3143" t="inlineStr">
        <is>
          <t>PR6021.A74 Z84 1975</t>
        </is>
      </c>
      <c r="E3143" t="inlineStr">
        <is>
          <t>0                      PR 6021000A  74                 Z  84          1975</t>
        </is>
      </c>
      <c r="F3143" t="inlineStr">
        <is>
          <t>Patrick Kavanagh / Darcy O'Brien.</t>
        </is>
      </c>
      <c r="H3143" t="inlineStr">
        <is>
          <t>No</t>
        </is>
      </c>
      <c r="I3143" t="inlineStr">
        <is>
          <t>1</t>
        </is>
      </c>
      <c r="J3143" t="inlineStr">
        <is>
          <t>No</t>
        </is>
      </c>
      <c r="K3143" t="inlineStr">
        <is>
          <t>Yes</t>
        </is>
      </c>
      <c r="L3143" t="inlineStr">
        <is>
          <t>0</t>
        </is>
      </c>
      <c r="M3143" t="inlineStr">
        <is>
          <t>O'Brien, Darcy.</t>
        </is>
      </c>
      <c r="N3143" t="inlineStr">
        <is>
          <t>Lewisburg [Pa.] : Bucknell University Press, [1975]</t>
        </is>
      </c>
      <c r="O3143" t="inlineStr">
        <is>
          <t>1975</t>
        </is>
      </c>
      <c r="Q3143" t="inlineStr">
        <is>
          <t>eng</t>
        </is>
      </c>
      <c r="R3143" t="inlineStr">
        <is>
          <t>pau</t>
        </is>
      </c>
      <c r="S3143" t="inlineStr">
        <is>
          <t>The Irish writers series</t>
        </is>
      </c>
      <c r="T3143" t="inlineStr">
        <is>
          <t xml:space="preserve">PR </t>
        </is>
      </c>
      <c r="U3143" t="n">
        <v>11</v>
      </c>
      <c r="V3143" t="n">
        <v>11</v>
      </c>
      <c r="W3143" t="inlineStr">
        <is>
          <t>1999-04-22</t>
        </is>
      </c>
      <c r="X3143" t="inlineStr">
        <is>
          <t>1999-04-22</t>
        </is>
      </c>
      <c r="Y3143" t="inlineStr">
        <is>
          <t>1993-04-20</t>
        </is>
      </c>
      <c r="Z3143" t="inlineStr">
        <is>
          <t>1993-04-20</t>
        </is>
      </c>
      <c r="AA3143" t="n">
        <v>489</v>
      </c>
      <c r="AB3143" t="n">
        <v>400</v>
      </c>
      <c r="AC3143" t="n">
        <v>434</v>
      </c>
      <c r="AD3143" t="n">
        <v>5</v>
      </c>
      <c r="AE3143" t="n">
        <v>5</v>
      </c>
      <c r="AF3143" t="n">
        <v>28</v>
      </c>
      <c r="AG3143" t="n">
        <v>30</v>
      </c>
      <c r="AH3143" t="n">
        <v>10</v>
      </c>
      <c r="AI3143" t="n">
        <v>12</v>
      </c>
      <c r="AJ3143" t="n">
        <v>9</v>
      </c>
      <c r="AK3143" t="n">
        <v>9</v>
      </c>
      <c r="AL3143" t="n">
        <v>13</v>
      </c>
      <c r="AM3143" t="n">
        <v>14</v>
      </c>
      <c r="AN3143" t="n">
        <v>4</v>
      </c>
      <c r="AO3143" t="n">
        <v>4</v>
      </c>
      <c r="AP3143" t="n">
        <v>0</v>
      </c>
      <c r="AQ3143" t="n">
        <v>0</v>
      </c>
      <c r="AR3143" t="inlineStr">
        <is>
          <t>No</t>
        </is>
      </c>
      <c r="AS3143" t="inlineStr">
        <is>
          <t>Yes</t>
        </is>
      </c>
      <c r="AT3143">
        <f>HYPERLINK("http://catalog.hathitrust.org/Record/000033123","HathiTrust Record")</f>
        <v/>
      </c>
      <c r="AU3143">
        <f>HYPERLINK("https://creighton-primo.hosted.exlibrisgroup.com/primo-explore/search?tab=default_tab&amp;search_scope=EVERYTHING&amp;vid=01CRU&amp;lang=en_US&amp;offset=0&amp;query=any,contains,991003545199702656","Catalog Record")</f>
        <v/>
      </c>
      <c r="AV3143">
        <f>HYPERLINK("http://www.worldcat.org/oclc/1111253","WorldCat Record")</f>
        <v/>
      </c>
      <c r="AW3143" t="inlineStr">
        <is>
          <t>495622306:eng</t>
        </is>
      </c>
      <c r="AX3143" t="inlineStr">
        <is>
          <t>1111253</t>
        </is>
      </c>
      <c r="AY3143" t="inlineStr">
        <is>
          <t>991003545199702656</t>
        </is>
      </c>
      <c r="AZ3143" t="inlineStr">
        <is>
          <t>991003545199702656</t>
        </is>
      </c>
      <c r="BA3143" t="inlineStr">
        <is>
          <t>2269725560002656</t>
        </is>
      </c>
      <c r="BB3143" t="inlineStr">
        <is>
          <t>BOOK</t>
        </is>
      </c>
      <c r="BD3143" t="inlineStr">
        <is>
          <t>9780838778845</t>
        </is>
      </c>
      <c r="BE3143" t="inlineStr">
        <is>
          <t>32285001621480</t>
        </is>
      </c>
      <c r="BF3143" t="inlineStr">
        <is>
          <t>893617453</t>
        </is>
      </c>
    </row>
    <row r="3144">
      <c r="A3144" t="inlineStr">
        <is>
          <t>No</t>
        </is>
      </c>
      <c r="B3144" t="inlineStr">
        <is>
          <t>CURAL</t>
        </is>
      </c>
      <c r="C3144" t="inlineStr">
        <is>
          <t>SHELVES</t>
        </is>
      </c>
      <c r="D3144" t="inlineStr">
        <is>
          <t>PR6021.A74 Z85 1986</t>
        </is>
      </c>
      <c r="E3144" t="inlineStr">
        <is>
          <t>0                      PR 6021000A  74                 Z  85          1986</t>
        </is>
      </c>
      <c r="F3144" t="inlineStr">
        <is>
          <t>Patrick Kavanagh : man and poet / edited by Peter Kavanagh.</t>
        </is>
      </c>
      <c r="H3144" t="inlineStr">
        <is>
          <t>No</t>
        </is>
      </c>
      <c r="I3144" t="inlineStr">
        <is>
          <t>1</t>
        </is>
      </c>
      <c r="J3144" t="inlineStr">
        <is>
          <t>No</t>
        </is>
      </c>
      <c r="K3144" t="inlineStr">
        <is>
          <t>Yes</t>
        </is>
      </c>
      <c r="L3144" t="inlineStr">
        <is>
          <t>0</t>
        </is>
      </c>
      <c r="N3144" t="inlineStr">
        <is>
          <t>Orono, Me. : National Poetry Foundation, University of Maine at Orono, 1986.</t>
        </is>
      </c>
      <c r="O3144" t="inlineStr">
        <is>
          <t>1986</t>
        </is>
      </c>
      <c r="Q3144" t="inlineStr">
        <is>
          <t>eng</t>
        </is>
      </c>
      <c r="R3144" t="inlineStr">
        <is>
          <t>meu</t>
        </is>
      </c>
      <c r="S3144" t="inlineStr">
        <is>
          <t>The Man and poet series</t>
        </is>
      </c>
      <c r="T3144" t="inlineStr">
        <is>
          <t xml:space="preserve">PR </t>
        </is>
      </c>
      <c r="U3144" t="n">
        <v>12</v>
      </c>
      <c r="V3144" t="n">
        <v>12</v>
      </c>
      <c r="W3144" t="inlineStr">
        <is>
          <t>1999-03-28</t>
        </is>
      </c>
      <c r="X3144" t="inlineStr">
        <is>
          <t>1999-03-28</t>
        </is>
      </c>
      <c r="Y3144" t="inlineStr">
        <is>
          <t>1990-03-14</t>
        </is>
      </c>
      <c r="Z3144" t="inlineStr">
        <is>
          <t>1990-03-14</t>
        </is>
      </c>
      <c r="AA3144" t="n">
        <v>151</v>
      </c>
      <c r="AB3144" t="n">
        <v>118</v>
      </c>
      <c r="AC3144" t="n">
        <v>434</v>
      </c>
      <c r="AD3144" t="n">
        <v>2</v>
      </c>
      <c r="AE3144" t="n">
        <v>5</v>
      </c>
      <c r="AF3144" t="n">
        <v>9</v>
      </c>
      <c r="AG3144" t="n">
        <v>30</v>
      </c>
      <c r="AH3144" t="n">
        <v>4</v>
      </c>
      <c r="AI3144" t="n">
        <v>12</v>
      </c>
      <c r="AJ3144" t="n">
        <v>3</v>
      </c>
      <c r="AK3144" t="n">
        <v>9</v>
      </c>
      <c r="AL3144" t="n">
        <v>4</v>
      </c>
      <c r="AM3144" t="n">
        <v>14</v>
      </c>
      <c r="AN3144" t="n">
        <v>1</v>
      </c>
      <c r="AO3144" t="n">
        <v>4</v>
      </c>
      <c r="AP3144" t="n">
        <v>0</v>
      </c>
      <c r="AQ3144" t="n">
        <v>0</v>
      </c>
      <c r="AR3144" t="inlineStr">
        <is>
          <t>No</t>
        </is>
      </c>
      <c r="AS3144" t="inlineStr">
        <is>
          <t>Yes</t>
        </is>
      </c>
      <c r="AT3144">
        <f>HYPERLINK("http://catalog.hathitrust.org/Record/001073298","HathiTrust Record")</f>
        <v/>
      </c>
      <c r="AU3144">
        <f>HYPERLINK("https://creighton-primo.hosted.exlibrisgroup.com/primo-explore/search?tab=default_tab&amp;search_scope=EVERYTHING&amp;vid=01CRU&amp;lang=en_US&amp;offset=0&amp;query=any,contains,991000993779702656","Catalog Record")</f>
        <v/>
      </c>
      <c r="AV3144">
        <f>HYPERLINK("http://www.worldcat.org/oclc/15114005","WorldCat Record")</f>
        <v/>
      </c>
      <c r="AW3144" t="inlineStr">
        <is>
          <t>495622306:eng</t>
        </is>
      </c>
      <c r="AX3144" t="inlineStr">
        <is>
          <t>15114005</t>
        </is>
      </c>
      <c r="AY3144" t="inlineStr">
        <is>
          <t>991000993779702656</t>
        </is>
      </c>
      <c r="AZ3144" t="inlineStr">
        <is>
          <t>991000993779702656</t>
        </is>
      </c>
      <c r="BA3144" t="inlineStr">
        <is>
          <t>2264368880002656</t>
        </is>
      </c>
      <c r="BB3144" t="inlineStr">
        <is>
          <t>BOOK</t>
        </is>
      </c>
      <c r="BE3144" t="inlineStr">
        <is>
          <t>32285000084706</t>
        </is>
      </c>
      <c r="BF3144" t="inlineStr">
        <is>
          <t>893791066</t>
        </is>
      </c>
    </row>
    <row r="3145">
      <c r="A3145" t="inlineStr">
        <is>
          <t>No</t>
        </is>
      </c>
      <c r="B3145" t="inlineStr">
        <is>
          <t>CURAL</t>
        </is>
      </c>
      <c r="C3145" t="inlineStr">
        <is>
          <t>SHELVES</t>
        </is>
      </c>
      <c r="D3145" t="inlineStr">
        <is>
          <t>PR6021.A74 Z86 1995</t>
        </is>
      </c>
      <c r="E3145" t="inlineStr">
        <is>
          <t>0                      PR 6021000A  74                 Z  86          1995</t>
        </is>
      </c>
      <c r="F3145" t="inlineStr">
        <is>
          <t>Patrick Kavanagh : Midlands Conference papers / editors: Kathleen Rettig Collins, James Liddy, Eamonn Wall.</t>
        </is>
      </c>
      <c r="H3145" t="inlineStr">
        <is>
          <t>No</t>
        </is>
      </c>
      <c r="I3145" t="inlineStr">
        <is>
          <t>1</t>
        </is>
      </c>
      <c r="J3145" t="inlineStr">
        <is>
          <t>No</t>
        </is>
      </c>
      <c r="K3145" t="inlineStr">
        <is>
          <t>No</t>
        </is>
      </c>
      <c r="L3145" t="inlineStr">
        <is>
          <t>0</t>
        </is>
      </c>
      <c r="N3145" t="inlineStr">
        <is>
          <t>[Omaha, Neb.] : The Conference, 1995.</t>
        </is>
      </c>
      <c r="O3145" t="inlineStr">
        <is>
          <t>1995</t>
        </is>
      </c>
      <c r="Q3145" t="inlineStr">
        <is>
          <t>eng</t>
        </is>
      </c>
      <c r="R3145" t="inlineStr">
        <is>
          <t>nbu</t>
        </is>
      </c>
      <c r="T3145" t="inlineStr">
        <is>
          <t xml:space="preserve">PR </t>
        </is>
      </c>
      <c r="U3145" t="n">
        <v>9</v>
      </c>
      <c r="V3145" t="n">
        <v>9</v>
      </c>
      <c r="W3145" t="inlineStr">
        <is>
          <t>2000-01-18</t>
        </is>
      </c>
      <c r="X3145" t="inlineStr">
        <is>
          <t>2000-01-18</t>
        </is>
      </c>
      <c r="Y3145" t="inlineStr">
        <is>
          <t>1997-02-13</t>
        </is>
      </c>
      <c r="Z3145" t="inlineStr">
        <is>
          <t>1997-02-13</t>
        </is>
      </c>
      <c r="AA3145" t="n">
        <v>2</v>
      </c>
      <c r="AB3145" t="n">
        <v>2</v>
      </c>
      <c r="AC3145" t="n">
        <v>2</v>
      </c>
      <c r="AD3145" t="n">
        <v>1</v>
      </c>
      <c r="AE3145" t="n">
        <v>1</v>
      </c>
      <c r="AF3145" t="n">
        <v>0</v>
      </c>
      <c r="AG3145" t="n">
        <v>0</v>
      </c>
      <c r="AH3145" t="n">
        <v>0</v>
      </c>
      <c r="AI3145" t="n">
        <v>0</v>
      </c>
      <c r="AJ3145" t="n">
        <v>0</v>
      </c>
      <c r="AK3145" t="n">
        <v>0</v>
      </c>
      <c r="AL3145" t="n">
        <v>0</v>
      </c>
      <c r="AM3145" t="n">
        <v>0</v>
      </c>
      <c r="AN3145" t="n">
        <v>0</v>
      </c>
      <c r="AO3145" t="n">
        <v>0</v>
      </c>
      <c r="AP3145" t="n">
        <v>0</v>
      </c>
      <c r="AQ3145" t="n">
        <v>0</v>
      </c>
      <c r="AR3145" t="inlineStr">
        <is>
          <t>No</t>
        </is>
      </c>
      <c r="AS3145" t="inlineStr">
        <is>
          <t>No</t>
        </is>
      </c>
      <c r="AU3145">
        <f>HYPERLINK("https://creighton-primo.hosted.exlibrisgroup.com/primo-explore/search?tab=default_tab&amp;search_scope=EVERYTHING&amp;vid=01CRU&amp;lang=en_US&amp;offset=0&amp;query=any,contains,991002733319702656","Catalog Record")</f>
        <v/>
      </c>
      <c r="AV3145">
        <f>HYPERLINK("http://www.worldcat.org/oclc/35850235","WorldCat Record")</f>
        <v/>
      </c>
      <c r="AW3145" t="inlineStr">
        <is>
          <t>40012920:eng</t>
        </is>
      </c>
      <c r="AX3145" t="inlineStr">
        <is>
          <t>35850235</t>
        </is>
      </c>
      <c r="AY3145" t="inlineStr">
        <is>
          <t>991002733319702656</t>
        </is>
      </c>
      <c r="AZ3145" t="inlineStr">
        <is>
          <t>991002733319702656</t>
        </is>
      </c>
      <c r="BA3145" t="inlineStr">
        <is>
          <t>2265024890002656</t>
        </is>
      </c>
      <c r="BB3145" t="inlineStr">
        <is>
          <t>BOOK</t>
        </is>
      </c>
      <c r="BE3145" t="inlineStr">
        <is>
          <t>32285002398989</t>
        </is>
      </c>
      <c r="BF3145" t="inlineStr">
        <is>
          <t>893245565</t>
        </is>
      </c>
    </row>
    <row r="3146">
      <c r="A3146" t="inlineStr">
        <is>
          <t>No</t>
        </is>
      </c>
      <c r="B3146" t="inlineStr">
        <is>
          <t>CURAL</t>
        </is>
      </c>
      <c r="C3146" t="inlineStr">
        <is>
          <t>SHELVES</t>
        </is>
      </c>
      <c r="D3146" t="inlineStr">
        <is>
          <t>PR6021.I35 Z53 1996</t>
        </is>
      </c>
      <c r="E3146" t="inlineStr">
        <is>
          <t>0                      PR 6021000I  35                 Z  53          1996</t>
        </is>
      </c>
      <c r="F3146" t="inlineStr">
        <is>
          <t>Thomas Kinsella / Donatella Abbate Badin.</t>
        </is>
      </c>
      <c r="H3146" t="inlineStr">
        <is>
          <t>No</t>
        </is>
      </c>
      <c r="I3146" t="inlineStr">
        <is>
          <t>1</t>
        </is>
      </c>
      <c r="J3146" t="inlineStr">
        <is>
          <t>No</t>
        </is>
      </c>
      <c r="K3146" t="inlineStr">
        <is>
          <t>No</t>
        </is>
      </c>
      <c r="L3146" t="inlineStr">
        <is>
          <t>0</t>
        </is>
      </c>
      <c r="M3146" t="inlineStr">
        <is>
          <t>Abbate Badin, Donatella.</t>
        </is>
      </c>
      <c r="N3146" t="inlineStr">
        <is>
          <t>New York : Twayne Publishers, c1996.</t>
        </is>
      </c>
      <c r="O3146" t="inlineStr">
        <is>
          <t>1996</t>
        </is>
      </c>
      <c r="Q3146" t="inlineStr">
        <is>
          <t>eng</t>
        </is>
      </c>
      <c r="R3146" t="inlineStr">
        <is>
          <t>nyu</t>
        </is>
      </c>
      <c r="S3146" t="inlineStr">
        <is>
          <t>Twayne's English authors series ; TEAS 527</t>
        </is>
      </c>
      <c r="T3146" t="inlineStr">
        <is>
          <t xml:space="preserve">PR </t>
        </is>
      </c>
      <c r="U3146" t="n">
        <v>3</v>
      </c>
      <c r="V3146" t="n">
        <v>3</v>
      </c>
      <c r="W3146" t="inlineStr">
        <is>
          <t>1997-10-16</t>
        </is>
      </c>
      <c r="X3146" t="inlineStr">
        <is>
          <t>1997-10-16</t>
        </is>
      </c>
      <c r="Y3146" t="inlineStr">
        <is>
          <t>1996-10-29</t>
        </is>
      </c>
      <c r="Z3146" t="inlineStr">
        <is>
          <t>1996-10-29</t>
        </is>
      </c>
      <c r="AA3146" t="n">
        <v>436</v>
      </c>
      <c r="AB3146" t="n">
        <v>377</v>
      </c>
      <c r="AC3146" t="n">
        <v>478</v>
      </c>
      <c r="AD3146" t="n">
        <v>6</v>
      </c>
      <c r="AE3146" t="n">
        <v>6</v>
      </c>
      <c r="AF3146" t="n">
        <v>23</v>
      </c>
      <c r="AG3146" t="n">
        <v>25</v>
      </c>
      <c r="AH3146" t="n">
        <v>6</v>
      </c>
      <c r="AI3146" t="n">
        <v>7</v>
      </c>
      <c r="AJ3146" t="n">
        <v>4</v>
      </c>
      <c r="AK3146" t="n">
        <v>4</v>
      </c>
      <c r="AL3146" t="n">
        <v>13</v>
      </c>
      <c r="AM3146" t="n">
        <v>14</v>
      </c>
      <c r="AN3146" t="n">
        <v>5</v>
      </c>
      <c r="AO3146" t="n">
        <v>5</v>
      </c>
      <c r="AP3146" t="n">
        <v>0</v>
      </c>
      <c r="AQ3146" t="n">
        <v>0</v>
      </c>
      <c r="AR3146" t="inlineStr">
        <is>
          <t>No</t>
        </is>
      </c>
      <c r="AS3146" t="inlineStr">
        <is>
          <t>Yes</t>
        </is>
      </c>
      <c r="AT3146">
        <f>HYPERLINK("http://catalog.hathitrust.org/Record/003098200","HathiTrust Record")</f>
        <v/>
      </c>
      <c r="AU3146">
        <f>HYPERLINK("https://creighton-primo.hosted.exlibrisgroup.com/primo-explore/search?tab=default_tab&amp;search_scope=EVERYTHING&amp;vid=01CRU&amp;lang=en_US&amp;offset=0&amp;query=any,contains,991002667079702656","Catalog Record")</f>
        <v/>
      </c>
      <c r="AV3146">
        <f>HYPERLINK("http://www.worldcat.org/oclc/34886173","WorldCat Record")</f>
        <v/>
      </c>
      <c r="AW3146" t="inlineStr">
        <is>
          <t>5534341290:eng</t>
        </is>
      </c>
      <c r="AX3146" t="inlineStr">
        <is>
          <t>34886173</t>
        </is>
      </c>
      <c r="AY3146" t="inlineStr">
        <is>
          <t>991002667079702656</t>
        </is>
      </c>
      <c r="AZ3146" t="inlineStr">
        <is>
          <t>991002667079702656</t>
        </is>
      </c>
      <c r="BA3146" t="inlineStr">
        <is>
          <t>2259079640002656</t>
        </is>
      </c>
      <c r="BB3146" t="inlineStr">
        <is>
          <t>BOOK</t>
        </is>
      </c>
      <c r="BD3146" t="inlineStr">
        <is>
          <t>9780805770476</t>
        </is>
      </c>
      <c r="BE3146" t="inlineStr">
        <is>
          <t>32285002390317</t>
        </is>
      </c>
      <c r="BF3146" t="inlineStr">
        <is>
          <t>893597717</t>
        </is>
      </c>
    </row>
    <row r="3147">
      <c r="A3147" t="inlineStr">
        <is>
          <t>No</t>
        </is>
      </c>
      <c r="B3147" t="inlineStr">
        <is>
          <t>CURAL</t>
        </is>
      </c>
      <c r="C3147" t="inlineStr">
        <is>
          <t>SHELVES</t>
        </is>
      </c>
      <c r="D3147" t="inlineStr">
        <is>
          <t>PR6021.I35 Z73 1995</t>
        </is>
      </c>
      <c r="E3147" t="inlineStr">
        <is>
          <t>0                      PR 6021000I  35                 Z  73          1995</t>
        </is>
      </c>
      <c r="F3147" t="inlineStr">
        <is>
          <t>The whole matter : the poetic evolution of Thomas Kinsella / Thomas H. Jackson.</t>
        </is>
      </c>
      <c r="H3147" t="inlineStr">
        <is>
          <t>No</t>
        </is>
      </c>
      <c r="I3147" t="inlineStr">
        <is>
          <t>1</t>
        </is>
      </c>
      <c r="J3147" t="inlineStr">
        <is>
          <t>No</t>
        </is>
      </c>
      <c r="K3147" t="inlineStr">
        <is>
          <t>No</t>
        </is>
      </c>
      <c r="L3147" t="inlineStr">
        <is>
          <t>0</t>
        </is>
      </c>
      <c r="M3147" t="inlineStr">
        <is>
          <t>Jackson, Thomas H.</t>
        </is>
      </c>
      <c r="N3147" t="inlineStr">
        <is>
          <t>Syracuse, N.Y. : Syracuse University Press, 1995.</t>
        </is>
      </c>
      <c r="O3147" t="inlineStr">
        <is>
          <t>1995</t>
        </is>
      </c>
      <c r="P3147" t="inlineStr">
        <is>
          <t>1st ed.</t>
        </is>
      </c>
      <c r="Q3147" t="inlineStr">
        <is>
          <t>eng</t>
        </is>
      </c>
      <c r="R3147" t="inlineStr">
        <is>
          <t>nyu</t>
        </is>
      </c>
      <c r="S3147" t="inlineStr">
        <is>
          <t>Irish studies</t>
        </is>
      </c>
      <c r="T3147" t="inlineStr">
        <is>
          <t xml:space="preserve">PR </t>
        </is>
      </c>
      <c r="U3147" t="n">
        <v>3</v>
      </c>
      <c r="V3147" t="n">
        <v>3</v>
      </c>
      <c r="W3147" t="inlineStr">
        <is>
          <t>1997-09-17</t>
        </is>
      </c>
      <c r="X3147" t="inlineStr">
        <is>
          <t>1997-09-17</t>
        </is>
      </c>
      <c r="Y3147" t="inlineStr">
        <is>
          <t>1995-08-22</t>
        </is>
      </c>
      <c r="Z3147" t="inlineStr">
        <is>
          <t>1995-08-22</t>
        </is>
      </c>
      <c r="AA3147" t="n">
        <v>223</v>
      </c>
      <c r="AB3147" t="n">
        <v>192</v>
      </c>
      <c r="AC3147" t="n">
        <v>200</v>
      </c>
      <c r="AD3147" t="n">
        <v>2</v>
      </c>
      <c r="AE3147" t="n">
        <v>2</v>
      </c>
      <c r="AF3147" t="n">
        <v>14</v>
      </c>
      <c r="AG3147" t="n">
        <v>14</v>
      </c>
      <c r="AH3147" t="n">
        <v>5</v>
      </c>
      <c r="AI3147" t="n">
        <v>5</v>
      </c>
      <c r="AJ3147" t="n">
        <v>5</v>
      </c>
      <c r="AK3147" t="n">
        <v>5</v>
      </c>
      <c r="AL3147" t="n">
        <v>8</v>
      </c>
      <c r="AM3147" t="n">
        <v>8</v>
      </c>
      <c r="AN3147" t="n">
        <v>1</v>
      </c>
      <c r="AO3147" t="n">
        <v>1</v>
      </c>
      <c r="AP3147" t="n">
        <v>0</v>
      </c>
      <c r="AQ3147" t="n">
        <v>0</v>
      </c>
      <c r="AR3147" t="inlineStr">
        <is>
          <t>No</t>
        </is>
      </c>
      <c r="AS3147" t="inlineStr">
        <is>
          <t>Yes</t>
        </is>
      </c>
      <c r="AT3147">
        <f>HYPERLINK("http://catalog.hathitrust.org/Record/003003947","HathiTrust Record")</f>
        <v/>
      </c>
      <c r="AU3147">
        <f>HYPERLINK("https://creighton-primo.hosted.exlibrisgroup.com/primo-explore/search?tab=default_tab&amp;search_scope=EVERYTHING&amp;vid=01CRU&amp;lang=en_US&amp;offset=0&amp;query=any,contains,991002439159702656","Catalog Record")</f>
        <v/>
      </c>
      <c r="AV3147">
        <f>HYPERLINK("http://www.worldcat.org/oclc/31783081","WorldCat Record")</f>
        <v/>
      </c>
      <c r="AW3147" t="inlineStr">
        <is>
          <t>34269919:eng</t>
        </is>
      </c>
      <c r="AX3147" t="inlineStr">
        <is>
          <t>31783081</t>
        </is>
      </c>
      <c r="AY3147" t="inlineStr">
        <is>
          <t>991002439159702656</t>
        </is>
      </c>
      <c r="AZ3147" t="inlineStr">
        <is>
          <t>991002439159702656</t>
        </is>
      </c>
      <c r="BA3147" t="inlineStr">
        <is>
          <t>2260684130002656</t>
        </is>
      </c>
      <c r="BB3147" t="inlineStr">
        <is>
          <t>BOOK</t>
        </is>
      </c>
      <c r="BD3147" t="inlineStr">
        <is>
          <t>9780815626596</t>
        </is>
      </c>
      <c r="BE3147" t="inlineStr">
        <is>
          <t>32285002078664</t>
        </is>
      </c>
      <c r="BF3147" t="inlineStr">
        <is>
          <t>893523613</t>
        </is>
      </c>
    </row>
    <row r="3148">
      <c r="A3148" t="inlineStr">
        <is>
          <t>No</t>
        </is>
      </c>
      <c r="B3148" t="inlineStr">
        <is>
          <t>CURAL</t>
        </is>
      </c>
      <c r="C3148" t="inlineStr">
        <is>
          <t>SHELVES</t>
        </is>
      </c>
      <c r="D3148" t="inlineStr">
        <is>
          <t>PR6021.I35 Z735 1996</t>
        </is>
      </c>
      <c r="E3148" t="inlineStr">
        <is>
          <t>0                      PR 6021000I  35                 Z  735         1996</t>
        </is>
      </c>
      <c r="F3148" t="inlineStr">
        <is>
          <t>Reading the ground : the poetry of Thomas Kinsella / Brian John.</t>
        </is>
      </c>
      <c r="H3148" t="inlineStr">
        <is>
          <t>No</t>
        </is>
      </c>
      <c r="I3148" t="inlineStr">
        <is>
          <t>1</t>
        </is>
      </c>
      <c r="J3148" t="inlineStr">
        <is>
          <t>No</t>
        </is>
      </c>
      <c r="K3148" t="inlineStr">
        <is>
          <t>No</t>
        </is>
      </c>
      <c r="L3148" t="inlineStr">
        <is>
          <t>0</t>
        </is>
      </c>
      <c r="M3148" t="inlineStr">
        <is>
          <t>John, Brian, 1935-</t>
        </is>
      </c>
      <c r="N3148" t="inlineStr">
        <is>
          <t>Washington, D.C. : Catholic University of America Press, c1996.</t>
        </is>
      </c>
      <c r="O3148" t="inlineStr">
        <is>
          <t>1996</t>
        </is>
      </c>
      <c r="Q3148" t="inlineStr">
        <is>
          <t>eng</t>
        </is>
      </c>
      <c r="R3148" t="inlineStr">
        <is>
          <t>dcu</t>
        </is>
      </c>
      <c r="T3148" t="inlineStr">
        <is>
          <t xml:space="preserve">PR </t>
        </is>
      </c>
      <c r="U3148" t="n">
        <v>3</v>
      </c>
      <c r="V3148" t="n">
        <v>3</v>
      </c>
      <c r="W3148" t="inlineStr">
        <is>
          <t>1997-09-17</t>
        </is>
      </c>
      <c r="X3148" t="inlineStr">
        <is>
          <t>1997-09-17</t>
        </is>
      </c>
      <c r="Y3148" t="inlineStr">
        <is>
          <t>1997-03-18</t>
        </is>
      </c>
      <c r="Z3148" t="inlineStr">
        <is>
          <t>1997-03-18</t>
        </is>
      </c>
      <c r="AA3148" t="n">
        <v>357</v>
      </c>
      <c r="AB3148" t="n">
        <v>296</v>
      </c>
      <c r="AC3148" t="n">
        <v>304</v>
      </c>
      <c r="AD3148" t="n">
        <v>4</v>
      </c>
      <c r="AE3148" t="n">
        <v>4</v>
      </c>
      <c r="AF3148" t="n">
        <v>21</v>
      </c>
      <c r="AG3148" t="n">
        <v>21</v>
      </c>
      <c r="AH3148" t="n">
        <v>6</v>
      </c>
      <c r="AI3148" t="n">
        <v>6</v>
      </c>
      <c r="AJ3148" t="n">
        <v>6</v>
      </c>
      <c r="AK3148" t="n">
        <v>6</v>
      </c>
      <c r="AL3148" t="n">
        <v>11</v>
      </c>
      <c r="AM3148" t="n">
        <v>11</v>
      </c>
      <c r="AN3148" t="n">
        <v>3</v>
      </c>
      <c r="AO3148" t="n">
        <v>3</v>
      </c>
      <c r="AP3148" t="n">
        <v>0</v>
      </c>
      <c r="AQ3148" t="n">
        <v>0</v>
      </c>
      <c r="AR3148" t="inlineStr">
        <is>
          <t>No</t>
        </is>
      </c>
      <c r="AS3148" t="inlineStr">
        <is>
          <t>Yes</t>
        </is>
      </c>
      <c r="AT3148">
        <f>HYPERLINK("http://catalog.hathitrust.org/Record/003073080","HathiTrust Record")</f>
        <v/>
      </c>
      <c r="AU3148">
        <f>HYPERLINK("https://creighton-primo.hosted.exlibrisgroup.com/primo-explore/search?tab=default_tab&amp;search_scope=EVERYTHING&amp;vid=01CRU&amp;lang=en_US&amp;offset=0&amp;query=any,contains,991002492599702656","Catalog Record")</f>
        <v/>
      </c>
      <c r="AV3148">
        <f>HYPERLINK("http://www.worldcat.org/oclc/32430786","WorldCat Record")</f>
        <v/>
      </c>
      <c r="AW3148" t="inlineStr">
        <is>
          <t>230925281:eng</t>
        </is>
      </c>
      <c r="AX3148" t="inlineStr">
        <is>
          <t>32430786</t>
        </is>
      </c>
      <c r="AY3148" t="inlineStr">
        <is>
          <t>991002492599702656</t>
        </is>
      </c>
      <c r="AZ3148" t="inlineStr">
        <is>
          <t>991002492599702656</t>
        </is>
      </c>
      <c r="BA3148" t="inlineStr">
        <is>
          <t>2256534820002656</t>
        </is>
      </c>
      <c r="BB3148" t="inlineStr">
        <is>
          <t>BOOK</t>
        </is>
      </c>
      <c r="BD3148" t="inlineStr">
        <is>
          <t>9780813208374</t>
        </is>
      </c>
      <c r="BE3148" t="inlineStr">
        <is>
          <t>32285002443959</t>
        </is>
      </c>
      <c r="BF3148" t="inlineStr">
        <is>
          <t>893697868</t>
        </is>
      </c>
    </row>
    <row r="3149">
      <c r="A3149" t="inlineStr">
        <is>
          <t>No</t>
        </is>
      </c>
      <c r="B3149" t="inlineStr">
        <is>
          <t>CURAL</t>
        </is>
      </c>
      <c r="C3149" t="inlineStr">
        <is>
          <t>SHELVES</t>
        </is>
      </c>
      <c r="D3149" t="inlineStr">
        <is>
          <t>PR6023.A66 Z7 1988</t>
        </is>
      </c>
      <c r="E3149" t="inlineStr">
        <is>
          <t>0                      PR 6023000A  66                 Z  7           1988</t>
        </is>
      </c>
      <c r="F3149" t="inlineStr">
        <is>
          <t>Philip Larkin and his contemporaries : an air of authenticity / Salem K. Hassan ; foreword by Philip Hobsbaum.</t>
        </is>
      </c>
      <c r="H3149" t="inlineStr">
        <is>
          <t>No</t>
        </is>
      </c>
      <c r="I3149" t="inlineStr">
        <is>
          <t>1</t>
        </is>
      </c>
      <c r="J3149" t="inlineStr">
        <is>
          <t>No</t>
        </is>
      </c>
      <c r="K3149" t="inlineStr">
        <is>
          <t>No</t>
        </is>
      </c>
      <c r="L3149" t="inlineStr">
        <is>
          <t>0</t>
        </is>
      </c>
      <c r="M3149" t="inlineStr">
        <is>
          <t>Hassan, Salem K. (Salem Kadhem)</t>
        </is>
      </c>
      <c r="N3149" t="inlineStr">
        <is>
          <t>New York : St. Martin's Press, 1988.</t>
        </is>
      </c>
      <c r="O3149" t="inlineStr">
        <is>
          <t>1988</t>
        </is>
      </c>
      <c r="Q3149" t="inlineStr">
        <is>
          <t>eng</t>
        </is>
      </c>
      <c r="R3149" t="inlineStr">
        <is>
          <t>nyu</t>
        </is>
      </c>
      <c r="T3149" t="inlineStr">
        <is>
          <t xml:space="preserve">PR </t>
        </is>
      </c>
      <c r="U3149" t="n">
        <v>3</v>
      </c>
      <c r="V3149" t="n">
        <v>3</v>
      </c>
      <c r="W3149" t="inlineStr">
        <is>
          <t>1995-09-11</t>
        </is>
      </c>
      <c r="X3149" t="inlineStr">
        <is>
          <t>1995-09-11</t>
        </is>
      </c>
      <c r="Y3149" t="inlineStr">
        <is>
          <t>1992-02-26</t>
        </is>
      </c>
      <c r="Z3149" t="inlineStr">
        <is>
          <t>1992-02-26</t>
        </is>
      </c>
      <c r="AA3149" t="n">
        <v>209</v>
      </c>
      <c r="AB3149" t="n">
        <v>182</v>
      </c>
      <c r="AC3149" t="n">
        <v>240</v>
      </c>
      <c r="AD3149" t="n">
        <v>1</v>
      </c>
      <c r="AE3149" t="n">
        <v>3</v>
      </c>
      <c r="AF3149" t="n">
        <v>6</v>
      </c>
      <c r="AG3149" t="n">
        <v>10</v>
      </c>
      <c r="AH3149" t="n">
        <v>2</v>
      </c>
      <c r="AI3149" t="n">
        <v>3</v>
      </c>
      <c r="AJ3149" t="n">
        <v>0</v>
      </c>
      <c r="AK3149" t="n">
        <v>1</v>
      </c>
      <c r="AL3149" t="n">
        <v>5</v>
      </c>
      <c r="AM3149" t="n">
        <v>7</v>
      </c>
      <c r="AN3149" t="n">
        <v>0</v>
      </c>
      <c r="AO3149" t="n">
        <v>2</v>
      </c>
      <c r="AP3149" t="n">
        <v>0</v>
      </c>
      <c r="AQ3149" t="n">
        <v>0</v>
      </c>
      <c r="AR3149" t="inlineStr">
        <is>
          <t>No</t>
        </is>
      </c>
      <c r="AS3149" t="inlineStr">
        <is>
          <t>No</t>
        </is>
      </c>
      <c r="AU3149">
        <f>HYPERLINK("https://creighton-primo.hosted.exlibrisgroup.com/primo-explore/search?tab=default_tab&amp;search_scope=EVERYTHING&amp;vid=01CRU&amp;lang=en_US&amp;offset=0&amp;query=any,contains,991001091689702656","Catalog Record")</f>
        <v/>
      </c>
      <c r="AV3149">
        <f>HYPERLINK("http://www.worldcat.org/oclc/16224989","WorldCat Record")</f>
        <v/>
      </c>
      <c r="AW3149" t="inlineStr">
        <is>
          <t>815030157:eng</t>
        </is>
      </c>
      <c r="AX3149" t="inlineStr">
        <is>
          <t>16224989</t>
        </is>
      </c>
      <c r="AY3149" t="inlineStr">
        <is>
          <t>991001091689702656</t>
        </is>
      </c>
      <c r="AZ3149" t="inlineStr">
        <is>
          <t>991001091689702656</t>
        </is>
      </c>
      <c r="BA3149" t="inlineStr">
        <is>
          <t>2268226600002656</t>
        </is>
      </c>
      <c r="BB3149" t="inlineStr">
        <is>
          <t>BOOK</t>
        </is>
      </c>
      <c r="BD3149" t="inlineStr">
        <is>
          <t>9780312011840</t>
        </is>
      </c>
      <c r="BE3149" t="inlineStr">
        <is>
          <t>32285000977636</t>
        </is>
      </c>
      <c r="BF3149" t="inlineStr">
        <is>
          <t>893432588</t>
        </is>
      </c>
    </row>
    <row r="3150">
      <c r="A3150" t="inlineStr">
        <is>
          <t>No</t>
        </is>
      </c>
      <c r="B3150" t="inlineStr">
        <is>
          <t>CURAL</t>
        </is>
      </c>
      <c r="C3150" t="inlineStr">
        <is>
          <t>SHELVES</t>
        </is>
      </c>
      <c r="D3150" t="inlineStr">
        <is>
          <t>PR6023.A93 L3127 1988</t>
        </is>
      </c>
      <c r="E3150" t="inlineStr">
        <is>
          <t>0                      PR 6023000A  93                 L  3127        1988</t>
        </is>
      </c>
      <c r="F3150" t="inlineStr">
        <is>
          <t>Lady Chatterley : the making of the novel / Derek Britton.</t>
        </is>
      </c>
      <c r="H3150" t="inlineStr">
        <is>
          <t>No</t>
        </is>
      </c>
      <c r="I3150" t="inlineStr">
        <is>
          <t>1</t>
        </is>
      </c>
      <c r="J3150" t="inlineStr">
        <is>
          <t>No</t>
        </is>
      </c>
      <c r="K3150" t="inlineStr">
        <is>
          <t>No</t>
        </is>
      </c>
      <c r="L3150" t="inlineStr">
        <is>
          <t>0</t>
        </is>
      </c>
      <c r="M3150" t="inlineStr">
        <is>
          <t>Britton, Derek.</t>
        </is>
      </c>
      <c r="N3150" t="inlineStr">
        <is>
          <t>London ; Boston : Unwin Hyman, 1988.</t>
        </is>
      </c>
      <c r="O3150" t="inlineStr">
        <is>
          <t>1988</t>
        </is>
      </c>
      <c r="Q3150" t="inlineStr">
        <is>
          <t>eng</t>
        </is>
      </c>
      <c r="R3150" t="inlineStr">
        <is>
          <t>enk</t>
        </is>
      </c>
      <c r="T3150" t="inlineStr">
        <is>
          <t xml:space="preserve">PR </t>
        </is>
      </c>
      <c r="U3150" t="n">
        <v>2</v>
      </c>
      <c r="V3150" t="n">
        <v>2</v>
      </c>
      <c r="W3150" t="inlineStr">
        <is>
          <t>2004-04-01</t>
        </is>
      </c>
      <c r="X3150" t="inlineStr">
        <is>
          <t>2004-04-01</t>
        </is>
      </c>
      <c r="Y3150" t="inlineStr">
        <is>
          <t>1992-07-09</t>
        </is>
      </c>
      <c r="Z3150" t="inlineStr">
        <is>
          <t>1992-07-09</t>
        </is>
      </c>
      <c r="AA3150" t="n">
        <v>352</v>
      </c>
      <c r="AB3150" t="n">
        <v>254</v>
      </c>
      <c r="AC3150" t="n">
        <v>273</v>
      </c>
      <c r="AD3150" t="n">
        <v>2</v>
      </c>
      <c r="AE3150" t="n">
        <v>2</v>
      </c>
      <c r="AF3150" t="n">
        <v>13</v>
      </c>
      <c r="AG3150" t="n">
        <v>15</v>
      </c>
      <c r="AH3150" t="n">
        <v>3</v>
      </c>
      <c r="AI3150" t="n">
        <v>5</v>
      </c>
      <c r="AJ3150" t="n">
        <v>5</v>
      </c>
      <c r="AK3150" t="n">
        <v>5</v>
      </c>
      <c r="AL3150" t="n">
        <v>8</v>
      </c>
      <c r="AM3150" t="n">
        <v>9</v>
      </c>
      <c r="AN3150" t="n">
        <v>1</v>
      </c>
      <c r="AO3150" t="n">
        <v>1</v>
      </c>
      <c r="AP3150" t="n">
        <v>0</v>
      </c>
      <c r="AQ3150" t="n">
        <v>0</v>
      </c>
      <c r="AR3150" t="inlineStr">
        <is>
          <t>No</t>
        </is>
      </c>
      <c r="AS3150" t="inlineStr">
        <is>
          <t>Yes</t>
        </is>
      </c>
      <c r="AT3150">
        <f>HYPERLINK("http://catalog.hathitrust.org/Record/000920677","HathiTrust Record")</f>
        <v/>
      </c>
      <c r="AU3150">
        <f>HYPERLINK("https://creighton-primo.hosted.exlibrisgroup.com/primo-explore/search?tab=default_tab&amp;search_scope=EVERYTHING&amp;vid=01CRU&amp;lang=en_US&amp;offset=0&amp;query=any,contains,991001078289702656","Catalog Record")</f>
        <v/>
      </c>
      <c r="AV3150">
        <f>HYPERLINK("http://www.worldcat.org/oclc/16081541","WorldCat Record")</f>
        <v/>
      </c>
      <c r="AW3150" t="inlineStr">
        <is>
          <t>346127016:eng</t>
        </is>
      </c>
      <c r="AX3150" t="inlineStr">
        <is>
          <t>16081541</t>
        </is>
      </c>
      <c r="AY3150" t="inlineStr">
        <is>
          <t>991001078289702656</t>
        </is>
      </c>
      <c r="AZ3150" t="inlineStr">
        <is>
          <t>991001078289702656</t>
        </is>
      </c>
      <c r="BA3150" t="inlineStr">
        <is>
          <t>2260011400002656</t>
        </is>
      </c>
      <c r="BB3150" t="inlineStr">
        <is>
          <t>BOOK</t>
        </is>
      </c>
      <c r="BD3150" t="inlineStr">
        <is>
          <t>9780048000750</t>
        </is>
      </c>
      <c r="BE3150" t="inlineStr">
        <is>
          <t>32285001151348</t>
        </is>
      </c>
      <c r="BF3150" t="inlineStr">
        <is>
          <t>893596169</t>
        </is>
      </c>
    </row>
    <row r="3151">
      <c r="A3151" t="inlineStr">
        <is>
          <t>No</t>
        </is>
      </c>
      <c r="B3151" t="inlineStr">
        <is>
          <t>CURAL</t>
        </is>
      </c>
      <c r="C3151" t="inlineStr">
        <is>
          <t>SHELVES</t>
        </is>
      </c>
      <c r="D3151" t="inlineStr">
        <is>
          <t>PR6023.A93 P783</t>
        </is>
      </c>
      <c r="E3151" t="inlineStr">
        <is>
          <t>0                      PR 6023000A  93                 P  783</t>
        </is>
      </c>
      <c r="F3151" t="inlineStr">
        <is>
          <t>D. H. Lawrence at work : the emergence of the Prussian officer stories / Keith Cushman. --</t>
        </is>
      </c>
      <c r="H3151" t="inlineStr">
        <is>
          <t>No</t>
        </is>
      </c>
      <c r="I3151" t="inlineStr">
        <is>
          <t>1</t>
        </is>
      </c>
      <c r="J3151" t="inlineStr">
        <is>
          <t>No</t>
        </is>
      </c>
      <c r="K3151" t="inlineStr">
        <is>
          <t>No</t>
        </is>
      </c>
      <c r="L3151" t="inlineStr">
        <is>
          <t>0</t>
        </is>
      </c>
      <c r="M3151" t="inlineStr">
        <is>
          <t>Cushman, Keith.</t>
        </is>
      </c>
      <c r="N3151" t="inlineStr">
        <is>
          <t>Charlottesville : University Press of Virginia, 1978.</t>
        </is>
      </c>
      <c r="O3151" t="inlineStr">
        <is>
          <t>1978</t>
        </is>
      </c>
      <c r="Q3151" t="inlineStr">
        <is>
          <t>eng</t>
        </is>
      </c>
      <c r="R3151" t="inlineStr">
        <is>
          <t>vau</t>
        </is>
      </c>
      <c r="T3151" t="inlineStr">
        <is>
          <t xml:space="preserve">PR </t>
        </is>
      </c>
      <c r="U3151" t="n">
        <v>2</v>
      </c>
      <c r="V3151" t="n">
        <v>2</v>
      </c>
      <c r="W3151" t="inlineStr">
        <is>
          <t>1998-12-09</t>
        </is>
      </c>
      <c r="X3151" t="inlineStr">
        <is>
          <t>1998-12-09</t>
        </is>
      </c>
      <c r="Y3151" t="inlineStr">
        <is>
          <t>1992-07-09</t>
        </is>
      </c>
      <c r="Z3151" t="inlineStr">
        <is>
          <t>1992-07-09</t>
        </is>
      </c>
      <c r="AA3151" t="n">
        <v>495</v>
      </c>
      <c r="AB3151" t="n">
        <v>435</v>
      </c>
      <c r="AC3151" t="n">
        <v>457</v>
      </c>
      <c r="AD3151" t="n">
        <v>3</v>
      </c>
      <c r="AE3151" t="n">
        <v>3</v>
      </c>
      <c r="AF3151" t="n">
        <v>19</v>
      </c>
      <c r="AG3151" t="n">
        <v>20</v>
      </c>
      <c r="AH3151" t="n">
        <v>6</v>
      </c>
      <c r="AI3151" t="n">
        <v>6</v>
      </c>
      <c r="AJ3151" t="n">
        <v>5</v>
      </c>
      <c r="AK3151" t="n">
        <v>5</v>
      </c>
      <c r="AL3151" t="n">
        <v>11</v>
      </c>
      <c r="AM3151" t="n">
        <v>12</v>
      </c>
      <c r="AN3151" t="n">
        <v>2</v>
      </c>
      <c r="AO3151" t="n">
        <v>2</v>
      </c>
      <c r="AP3151" t="n">
        <v>0</v>
      </c>
      <c r="AQ3151" t="n">
        <v>0</v>
      </c>
      <c r="AR3151" t="inlineStr">
        <is>
          <t>No</t>
        </is>
      </c>
      <c r="AS3151" t="inlineStr">
        <is>
          <t>Yes</t>
        </is>
      </c>
      <c r="AT3151">
        <f>HYPERLINK("http://catalog.hathitrust.org/Record/000293579","HathiTrust Record")</f>
        <v/>
      </c>
      <c r="AU3151">
        <f>HYPERLINK("https://creighton-primo.hosted.exlibrisgroup.com/primo-explore/search?tab=default_tab&amp;search_scope=EVERYTHING&amp;vid=01CRU&amp;lang=en_US&amp;offset=0&amp;query=any,contains,991004362879702656","Catalog Record")</f>
        <v/>
      </c>
      <c r="AV3151">
        <f>HYPERLINK("http://www.worldcat.org/oclc/3168332","WorldCat Record")</f>
        <v/>
      </c>
      <c r="AW3151" t="inlineStr">
        <is>
          <t>1862458775:eng</t>
        </is>
      </c>
      <c r="AX3151" t="inlineStr">
        <is>
          <t>3168332</t>
        </is>
      </c>
      <c r="AY3151" t="inlineStr">
        <is>
          <t>991004362879702656</t>
        </is>
      </c>
      <c r="AZ3151" t="inlineStr">
        <is>
          <t>991004362879702656</t>
        </is>
      </c>
      <c r="BA3151" t="inlineStr">
        <is>
          <t>2262225240002656</t>
        </is>
      </c>
      <c r="BB3151" t="inlineStr">
        <is>
          <t>BOOK</t>
        </is>
      </c>
      <c r="BD3151" t="inlineStr">
        <is>
          <t>9780813907284</t>
        </is>
      </c>
      <c r="BE3151" t="inlineStr">
        <is>
          <t>32285001151389</t>
        </is>
      </c>
      <c r="BF3151" t="inlineStr">
        <is>
          <t>893423705</t>
        </is>
      </c>
    </row>
    <row r="3152">
      <c r="A3152" t="inlineStr">
        <is>
          <t>No</t>
        </is>
      </c>
      <c r="B3152" t="inlineStr">
        <is>
          <t>CURAL</t>
        </is>
      </c>
      <c r="C3152" t="inlineStr">
        <is>
          <t>SHELVES</t>
        </is>
      </c>
      <c r="D3152" t="inlineStr">
        <is>
          <t>PR6023.A93 Z34 1985</t>
        </is>
      </c>
      <c r="E3152" t="inlineStr">
        <is>
          <t>0                      PR 6023000A  93                 Z  34          1985</t>
        </is>
      </c>
      <c r="F3152" t="inlineStr">
        <is>
          <t>D.H. Lawrence : life into art / Keith Sagar.</t>
        </is>
      </c>
      <c r="H3152" t="inlineStr">
        <is>
          <t>No</t>
        </is>
      </c>
      <c r="I3152" t="inlineStr">
        <is>
          <t>1</t>
        </is>
      </c>
      <c r="J3152" t="inlineStr">
        <is>
          <t>No</t>
        </is>
      </c>
      <c r="K3152" t="inlineStr">
        <is>
          <t>Yes</t>
        </is>
      </c>
      <c r="L3152" t="inlineStr">
        <is>
          <t>0</t>
        </is>
      </c>
      <c r="M3152" t="inlineStr">
        <is>
          <t>Sagar, Keith, 1934-2013.</t>
        </is>
      </c>
      <c r="N3152" t="inlineStr">
        <is>
          <t>London : Viking, 1985.</t>
        </is>
      </c>
      <c r="O3152" t="inlineStr">
        <is>
          <t>1985</t>
        </is>
      </c>
      <c r="Q3152" t="inlineStr">
        <is>
          <t>eng</t>
        </is>
      </c>
      <c r="R3152" t="inlineStr">
        <is>
          <t>enk</t>
        </is>
      </c>
      <c r="T3152" t="inlineStr">
        <is>
          <t xml:space="preserve">PR </t>
        </is>
      </c>
      <c r="U3152" t="n">
        <v>3</v>
      </c>
      <c r="V3152" t="n">
        <v>3</v>
      </c>
      <c r="W3152" t="inlineStr">
        <is>
          <t>2004-11-04</t>
        </is>
      </c>
      <c r="X3152" t="inlineStr">
        <is>
          <t>2004-11-04</t>
        </is>
      </c>
      <c r="Y3152" t="inlineStr">
        <is>
          <t>1992-07-15</t>
        </is>
      </c>
      <c r="Z3152" t="inlineStr">
        <is>
          <t>1992-07-15</t>
        </is>
      </c>
      <c r="AA3152" t="n">
        <v>207</v>
      </c>
      <c r="AB3152" t="n">
        <v>89</v>
      </c>
      <c r="AC3152" t="n">
        <v>595</v>
      </c>
      <c r="AD3152" t="n">
        <v>3</v>
      </c>
      <c r="AE3152" t="n">
        <v>4</v>
      </c>
      <c r="AF3152" t="n">
        <v>5</v>
      </c>
      <c r="AG3152" t="n">
        <v>27</v>
      </c>
      <c r="AH3152" t="n">
        <v>2</v>
      </c>
      <c r="AI3152" t="n">
        <v>9</v>
      </c>
      <c r="AJ3152" t="n">
        <v>1</v>
      </c>
      <c r="AK3152" t="n">
        <v>9</v>
      </c>
      <c r="AL3152" t="n">
        <v>1</v>
      </c>
      <c r="AM3152" t="n">
        <v>14</v>
      </c>
      <c r="AN3152" t="n">
        <v>2</v>
      </c>
      <c r="AO3152" t="n">
        <v>3</v>
      </c>
      <c r="AP3152" t="n">
        <v>0</v>
      </c>
      <c r="AQ3152" t="n">
        <v>0</v>
      </c>
      <c r="AR3152" t="inlineStr">
        <is>
          <t>No</t>
        </is>
      </c>
      <c r="AS3152" t="inlineStr">
        <is>
          <t>Yes</t>
        </is>
      </c>
      <c r="AT3152">
        <f>HYPERLINK("http://catalog.hathitrust.org/Record/000351636","HathiTrust Record")</f>
        <v/>
      </c>
      <c r="AU3152">
        <f>HYPERLINK("https://creighton-primo.hosted.exlibrisgroup.com/primo-explore/search?tab=default_tab&amp;search_scope=EVERYTHING&amp;vid=01CRU&amp;lang=en_US&amp;offset=0&amp;query=any,contains,991000695029702656","Catalog Record")</f>
        <v/>
      </c>
      <c r="AV3152">
        <f>HYPERLINK("http://www.worldcat.org/oclc/13822384","WorldCat Record")</f>
        <v/>
      </c>
      <c r="AW3152" t="inlineStr">
        <is>
          <t>2863426153:eng</t>
        </is>
      </c>
      <c r="AX3152" t="inlineStr">
        <is>
          <t>13822384</t>
        </is>
      </c>
      <c r="AY3152" t="inlineStr">
        <is>
          <t>991000695029702656</t>
        </is>
      </c>
      <c r="AZ3152" t="inlineStr">
        <is>
          <t>991000695029702656</t>
        </is>
      </c>
      <c r="BA3152" t="inlineStr">
        <is>
          <t>2269799030002656</t>
        </is>
      </c>
      <c r="BB3152" t="inlineStr">
        <is>
          <t>BOOK</t>
        </is>
      </c>
      <c r="BD3152" t="inlineStr">
        <is>
          <t>9780670801640</t>
        </is>
      </c>
      <c r="BE3152" t="inlineStr">
        <is>
          <t>32285001152700</t>
        </is>
      </c>
      <c r="BF3152" t="inlineStr">
        <is>
          <t>893521922</t>
        </is>
      </c>
    </row>
    <row r="3153">
      <c r="A3153" t="inlineStr">
        <is>
          <t>No</t>
        </is>
      </c>
      <c r="B3153" t="inlineStr">
        <is>
          <t>CURAL</t>
        </is>
      </c>
      <c r="C3153" t="inlineStr">
        <is>
          <t>SHELVES</t>
        </is>
      </c>
      <c r="D3153" t="inlineStr">
        <is>
          <t>PR6023.A93 Z49 1976b</t>
        </is>
      </c>
      <c r="E3153" t="inlineStr">
        <is>
          <t>0                      PR 6023000A  93                 Z  49          1976b</t>
        </is>
      </c>
      <c r="F3153" t="inlineStr">
        <is>
          <t>Who's who in D. H. Lawrence / Graham Holderness.</t>
        </is>
      </c>
      <c r="H3153" t="inlineStr">
        <is>
          <t>No</t>
        </is>
      </c>
      <c r="I3153" t="inlineStr">
        <is>
          <t>1</t>
        </is>
      </c>
      <c r="J3153" t="inlineStr">
        <is>
          <t>No</t>
        </is>
      </c>
      <c r="K3153" t="inlineStr">
        <is>
          <t>No</t>
        </is>
      </c>
      <c r="L3153" t="inlineStr">
        <is>
          <t>0</t>
        </is>
      </c>
      <c r="M3153" t="inlineStr">
        <is>
          <t>Holderness, Graham.</t>
        </is>
      </c>
      <c r="N3153" t="inlineStr">
        <is>
          <t>New York : Taplinger Pub. Co., 1976.</t>
        </is>
      </c>
      <c r="O3153" t="inlineStr">
        <is>
          <t>1976</t>
        </is>
      </c>
      <c r="Q3153" t="inlineStr">
        <is>
          <t>eng</t>
        </is>
      </c>
      <c r="R3153" t="inlineStr">
        <is>
          <t>nyu</t>
        </is>
      </c>
      <c r="T3153" t="inlineStr">
        <is>
          <t xml:space="preserve">PR </t>
        </is>
      </c>
      <c r="U3153" t="n">
        <v>1</v>
      </c>
      <c r="V3153" t="n">
        <v>1</v>
      </c>
      <c r="W3153" t="inlineStr">
        <is>
          <t>2004-11-07</t>
        </is>
      </c>
      <c r="X3153" t="inlineStr">
        <is>
          <t>2004-11-07</t>
        </is>
      </c>
      <c r="Y3153" t="inlineStr">
        <is>
          <t>1992-07-15</t>
        </is>
      </c>
      <c r="Z3153" t="inlineStr">
        <is>
          <t>1992-07-15</t>
        </is>
      </c>
      <c r="AA3153" t="n">
        <v>322</v>
      </c>
      <c r="AB3153" t="n">
        <v>292</v>
      </c>
      <c r="AC3153" t="n">
        <v>357</v>
      </c>
      <c r="AD3153" t="n">
        <v>1</v>
      </c>
      <c r="AE3153" t="n">
        <v>3</v>
      </c>
      <c r="AF3153" t="n">
        <v>8</v>
      </c>
      <c r="AG3153" t="n">
        <v>11</v>
      </c>
      <c r="AH3153" t="n">
        <v>2</v>
      </c>
      <c r="AI3153" t="n">
        <v>2</v>
      </c>
      <c r="AJ3153" t="n">
        <v>4</v>
      </c>
      <c r="AK3153" t="n">
        <v>4</v>
      </c>
      <c r="AL3153" t="n">
        <v>4</v>
      </c>
      <c r="AM3153" t="n">
        <v>5</v>
      </c>
      <c r="AN3153" t="n">
        <v>0</v>
      </c>
      <c r="AO3153" t="n">
        <v>2</v>
      </c>
      <c r="AP3153" t="n">
        <v>0</v>
      </c>
      <c r="AQ3153" t="n">
        <v>0</v>
      </c>
      <c r="AR3153" t="inlineStr">
        <is>
          <t>No</t>
        </is>
      </c>
      <c r="AS3153" t="inlineStr">
        <is>
          <t>No</t>
        </is>
      </c>
      <c r="AU3153">
        <f>HYPERLINK("https://creighton-primo.hosted.exlibrisgroup.com/primo-explore/search?tab=default_tab&amp;search_scope=EVERYTHING&amp;vid=01CRU&amp;lang=en_US&amp;offset=0&amp;query=any,contains,991004154409702656","Catalog Record")</f>
        <v/>
      </c>
      <c r="AV3153">
        <f>HYPERLINK("http://www.worldcat.org/oclc/2536688","WorldCat Record")</f>
        <v/>
      </c>
      <c r="AW3153" t="inlineStr">
        <is>
          <t>4996908:eng</t>
        </is>
      </c>
      <c r="AX3153" t="inlineStr">
        <is>
          <t>2536688</t>
        </is>
      </c>
      <c r="AY3153" t="inlineStr">
        <is>
          <t>991004154409702656</t>
        </is>
      </c>
      <c r="AZ3153" t="inlineStr">
        <is>
          <t>991004154409702656</t>
        </is>
      </c>
      <c r="BA3153" t="inlineStr">
        <is>
          <t>2270758910002656</t>
        </is>
      </c>
      <c r="BB3153" t="inlineStr">
        <is>
          <t>BOOK</t>
        </is>
      </c>
      <c r="BD3153" t="inlineStr">
        <is>
          <t>9780800882723</t>
        </is>
      </c>
      <c r="BE3153" t="inlineStr">
        <is>
          <t>32285001152718</t>
        </is>
      </c>
      <c r="BF3153" t="inlineStr">
        <is>
          <t>893519308</t>
        </is>
      </c>
    </row>
    <row r="3154">
      <c r="A3154" t="inlineStr">
        <is>
          <t>No</t>
        </is>
      </c>
      <c r="B3154" t="inlineStr">
        <is>
          <t>CURAL</t>
        </is>
      </c>
      <c r="C3154" t="inlineStr">
        <is>
          <t>SHELVES</t>
        </is>
      </c>
      <c r="D3154" t="inlineStr">
        <is>
          <t>PR6023.A93 Z544 1985</t>
        </is>
      </c>
      <c r="E3154" t="inlineStr">
        <is>
          <t>0                      PR 6023000A  93                 Z  544         1985</t>
        </is>
      </c>
      <c r="F3154" t="inlineStr">
        <is>
          <t>D.H. Lawrence : a centenary consideration / edited by Peter Balbert and Phillip L. Marcus.</t>
        </is>
      </c>
      <c r="H3154" t="inlineStr">
        <is>
          <t>No</t>
        </is>
      </c>
      <c r="I3154" t="inlineStr">
        <is>
          <t>1</t>
        </is>
      </c>
      <c r="J3154" t="inlineStr">
        <is>
          <t>No</t>
        </is>
      </c>
      <c r="K3154" t="inlineStr">
        <is>
          <t>No</t>
        </is>
      </c>
      <c r="L3154" t="inlineStr">
        <is>
          <t>0</t>
        </is>
      </c>
      <c r="N3154" t="inlineStr">
        <is>
          <t>Ithaca, N.Y. : Cornell University Press, 1985.</t>
        </is>
      </c>
      <c r="O3154" t="inlineStr">
        <is>
          <t>1985</t>
        </is>
      </c>
      <c r="Q3154" t="inlineStr">
        <is>
          <t>eng</t>
        </is>
      </c>
      <c r="R3154" t="inlineStr">
        <is>
          <t>nyu</t>
        </is>
      </c>
      <c r="T3154" t="inlineStr">
        <is>
          <t xml:space="preserve">PR </t>
        </is>
      </c>
      <c r="U3154" t="n">
        <v>4</v>
      </c>
      <c r="V3154" t="n">
        <v>4</v>
      </c>
      <c r="W3154" t="inlineStr">
        <is>
          <t>2004-11-04</t>
        </is>
      </c>
      <c r="X3154" t="inlineStr">
        <is>
          <t>2004-11-04</t>
        </is>
      </c>
      <c r="Y3154" t="inlineStr">
        <is>
          <t>1992-07-15</t>
        </is>
      </c>
      <c r="Z3154" t="inlineStr">
        <is>
          <t>1992-07-15</t>
        </is>
      </c>
      <c r="AA3154" t="n">
        <v>701</v>
      </c>
      <c r="AB3154" t="n">
        <v>586</v>
      </c>
      <c r="AC3154" t="n">
        <v>747</v>
      </c>
      <c r="AD3154" t="n">
        <v>6</v>
      </c>
      <c r="AE3154" t="n">
        <v>6</v>
      </c>
      <c r="AF3154" t="n">
        <v>32</v>
      </c>
      <c r="AG3154" t="n">
        <v>37</v>
      </c>
      <c r="AH3154" t="n">
        <v>13</v>
      </c>
      <c r="AI3154" t="n">
        <v>17</v>
      </c>
      <c r="AJ3154" t="n">
        <v>8</v>
      </c>
      <c r="AK3154" t="n">
        <v>9</v>
      </c>
      <c r="AL3154" t="n">
        <v>15</v>
      </c>
      <c r="AM3154" t="n">
        <v>16</v>
      </c>
      <c r="AN3154" t="n">
        <v>5</v>
      </c>
      <c r="AO3154" t="n">
        <v>5</v>
      </c>
      <c r="AP3154" t="n">
        <v>0</v>
      </c>
      <c r="AQ3154" t="n">
        <v>0</v>
      </c>
      <c r="AR3154" t="inlineStr">
        <is>
          <t>No</t>
        </is>
      </c>
      <c r="AS3154" t="inlineStr">
        <is>
          <t>Yes</t>
        </is>
      </c>
      <c r="AT3154">
        <f>HYPERLINK("http://catalog.hathitrust.org/Record/000569911","HathiTrust Record")</f>
        <v/>
      </c>
      <c r="AU3154">
        <f>HYPERLINK("https://creighton-primo.hosted.exlibrisgroup.com/primo-explore/search?tab=default_tab&amp;search_scope=EVERYTHING&amp;vid=01CRU&amp;lang=en_US&amp;offset=0&amp;query=any,contains,991000538109702656","Catalog Record")</f>
        <v/>
      </c>
      <c r="AV3154">
        <f>HYPERLINK("http://www.worldcat.org/oclc/11468365","WorldCat Record")</f>
        <v/>
      </c>
      <c r="AW3154" t="inlineStr">
        <is>
          <t>836691272:eng</t>
        </is>
      </c>
      <c r="AX3154" t="inlineStr">
        <is>
          <t>11468365</t>
        </is>
      </c>
      <c r="AY3154" t="inlineStr">
        <is>
          <t>991000538109702656</t>
        </is>
      </c>
      <c r="AZ3154" t="inlineStr">
        <is>
          <t>991000538109702656</t>
        </is>
      </c>
      <c r="BA3154" t="inlineStr">
        <is>
          <t>2264732030002656</t>
        </is>
      </c>
      <c r="BB3154" t="inlineStr">
        <is>
          <t>BOOK</t>
        </is>
      </c>
      <c r="BD3154" t="inlineStr">
        <is>
          <t>9780801415968</t>
        </is>
      </c>
      <c r="BE3154" t="inlineStr">
        <is>
          <t>32285001152775</t>
        </is>
      </c>
      <c r="BF3154" t="inlineStr">
        <is>
          <t>893438349</t>
        </is>
      </c>
    </row>
    <row r="3155">
      <c r="A3155" t="inlineStr">
        <is>
          <t>No</t>
        </is>
      </c>
      <c r="B3155" t="inlineStr">
        <is>
          <t>CURAL</t>
        </is>
      </c>
      <c r="C3155" t="inlineStr">
        <is>
          <t>SHELVES</t>
        </is>
      </c>
      <c r="D3155" t="inlineStr">
        <is>
          <t>PR6023.A93 Z555 1971b</t>
        </is>
      </c>
      <c r="E3155" t="inlineStr">
        <is>
          <t>0                      PR 6023000A  93                 Z  555         1971b</t>
        </is>
      </c>
      <c r="F3155" t="inlineStr">
        <is>
          <t>The visual imagination of D. H. Lawrence.</t>
        </is>
      </c>
      <c r="H3155" t="inlineStr">
        <is>
          <t>No</t>
        </is>
      </c>
      <c r="I3155" t="inlineStr">
        <is>
          <t>1</t>
        </is>
      </c>
      <c r="J3155" t="inlineStr">
        <is>
          <t>No</t>
        </is>
      </c>
      <c r="K3155" t="inlineStr">
        <is>
          <t>No</t>
        </is>
      </c>
      <c r="L3155" t="inlineStr">
        <is>
          <t>0</t>
        </is>
      </c>
      <c r="M3155" t="inlineStr">
        <is>
          <t>Alldritt, Keith.</t>
        </is>
      </c>
      <c r="N3155" t="inlineStr">
        <is>
          <t>Evanston [Ill.] Northwestern University Press, 1971.</t>
        </is>
      </c>
      <c r="O3155" t="inlineStr">
        <is>
          <t>1971</t>
        </is>
      </c>
      <c r="Q3155" t="inlineStr">
        <is>
          <t>eng</t>
        </is>
      </c>
      <c r="R3155" t="inlineStr">
        <is>
          <t>ilu</t>
        </is>
      </c>
      <c r="T3155" t="inlineStr">
        <is>
          <t xml:space="preserve">PR </t>
        </is>
      </c>
      <c r="U3155" t="n">
        <v>1</v>
      </c>
      <c r="V3155" t="n">
        <v>1</v>
      </c>
      <c r="W3155" t="inlineStr">
        <is>
          <t>2004-10-31</t>
        </is>
      </c>
      <c r="X3155" t="inlineStr">
        <is>
          <t>2004-10-31</t>
        </is>
      </c>
      <c r="Y3155" t="inlineStr">
        <is>
          <t>1997-04-15</t>
        </is>
      </c>
      <c r="Z3155" t="inlineStr">
        <is>
          <t>1997-04-15</t>
        </is>
      </c>
      <c r="AA3155" t="n">
        <v>454</v>
      </c>
      <c r="AB3155" t="n">
        <v>414</v>
      </c>
      <c r="AC3155" t="n">
        <v>522</v>
      </c>
      <c r="AD3155" t="n">
        <v>3</v>
      </c>
      <c r="AE3155" t="n">
        <v>3</v>
      </c>
      <c r="AF3155" t="n">
        <v>20</v>
      </c>
      <c r="AG3155" t="n">
        <v>26</v>
      </c>
      <c r="AH3155" t="n">
        <v>9</v>
      </c>
      <c r="AI3155" t="n">
        <v>10</v>
      </c>
      <c r="AJ3155" t="n">
        <v>6</v>
      </c>
      <c r="AK3155" t="n">
        <v>8</v>
      </c>
      <c r="AL3155" t="n">
        <v>8</v>
      </c>
      <c r="AM3155" t="n">
        <v>13</v>
      </c>
      <c r="AN3155" t="n">
        <v>2</v>
      </c>
      <c r="AO3155" t="n">
        <v>2</v>
      </c>
      <c r="AP3155" t="n">
        <v>0</v>
      </c>
      <c r="AQ3155" t="n">
        <v>0</v>
      </c>
      <c r="AR3155" t="inlineStr">
        <is>
          <t>No</t>
        </is>
      </c>
      <c r="AS3155" t="inlineStr">
        <is>
          <t>No</t>
        </is>
      </c>
      <c r="AU3155">
        <f>HYPERLINK("https://creighton-primo.hosted.exlibrisgroup.com/primo-explore/search?tab=default_tab&amp;search_scope=EVERYTHING&amp;vid=01CRU&amp;lang=en_US&amp;offset=0&amp;query=any,contains,991001220209702656","Catalog Record")</f>
        <v/>
      </c>
      <c r="AV3155">
        <f>HYPERLINK("http://www.worldcat.org/oclc/196478","WorldCat Record")</f>
        <v/>
      </c>
      <c r="AW3155" t="inlineStr">
        <is>
          <t>1303067:eng</t>
        </is>
      </c>
      <c r="AX3155" t="inlineStr">
        <is>
          <t>196478</t>
        </is>
      </c>
      <c r="AY3155" t="inlineStr">
        <is>
          <t>991001220209702656</t>
        </is>
      </c>
      <c r="AZ3155" t="inlineStr">
        <is>
          <t>991001220209702656</t>
        </is>
      </c>
      <c r="BA3155" t="inlineStr">
        <is>
          <t>2270302690002656</t>
        </is>
      </c>
      <c r="BB3155" t="inlineStr">
        <is>
          <t>BOOK</t>
        </is>
      </c>
      <c r="BD3155" t="inlineStr">
        <is>
          <t>9780810103566</t>
        </is>
      </c>
      <c r="BE3155" t="inlineStr">
        <is>
          <t>32285002528957</t>
        </is>
      </c>
      <c r="BF3155" t="inlineStr">
        <is>
          <t>893696583</t>
        </is>
      </c>
    </row>
    <row r="3156">
      <c r="A3156" t="inlineStr">
        <is>
          <t>No</t>
        </is>
      </c>
      <c r="B3156" t="inlineStr">
        <is>
          <t>CURAL</t>
        </is>
      </c>
      <c r="C3156" t="inlineStr">
        <is>
          <t>SHELVES</t>
        </is>
      </c>
      <c r="D3156" t="inlineStr">
        <is>
          <t>PR6023.A93 Z556 1971b</t>
        </is>
      </c>
      <c r="E3156" t="inlineStr">
        <is>
          <t>0                      PR 6023000A  93                 Z  556         1971b</t>
        </is>
      </c>
      <c r="F3156" t="inlineStr">
        <is>
          <t>Critics on D. H. Lawrence. Edited by W. T. Andrews.</t>
        </is>
      </c>
      <c r="H3156" t="inlineStr">
        <is>
          <t>No</t>
        </is>
      </c>
      <c r="I3156" t="inlineStr">
        <is>
          <t>1</t>
        </is>
      </c>
      <c r="J3156" t="inlineStr">
        <is>
          <t>No</t>
        </is>
      </c>
      <c r="K3156" t="inlineStr">
        <is>
          <t>No</t>
        </is>
      </c>
      <c r="L3156" t="inlineStr">
        <is>
          <t>0</t>
        </is>
      </c>
      <c r="M3156" t="inlineStr">
        <is>
          <t>Andrews, W. T. (Wyndham Thomas), compiler.</t>
        </is>
      </c>
      <c r="N3156" t="inlineStr">
        <is>
          <t>Coral Gables, Fla., University of Miami Press [c1971]</t>
        </is>
      </c>
      <c r="O3156" t="inlineStr">
        <is>
          <t>1971</t>
        </is>
      </c>
      <c r="Q3156" t="inlineStr">
        <is>
          <t>eng</t>
        </is>
      </c>
      <c r="R3156" t="inlineStr">
        <is>
          <t>flu</t>
        </is>
      </c>
      <c r="S3156" t="inlineStr">
        <is>
          <t>Readings in literary criticism ; 9</t>
        </is>
      </c>
      <c r="T3156" t="inlineStr">
        <is>
          <t xml:space="preserve">PR </t>
        </is>
      </c>
      <c r="U3156" t="n">
        <v>1</v>
      </c>
      <c r="V3156" t="n">
        <v>1</v>
      </c>
      <c r="W3156" t="inlineStr">
        <is>
          <t>2004-10-31</t>
        </is>
      </c>
      <c r="X3156" t="inlineStr">
        <is>
          <t>2004-10-31</t>
        </is>
      </c>
      <c r="Y3156" t="inlineStr">
        <is>
          <t>1997-04-15</t>
        </is>
      </c>
      <c r="Z3156" t="inlineStr">
        <is>
          <t>1997-04-15</t>
        </is>
      </c>
      <c r="AA3156" t="n">
        <v>774</v>
      </c>
      <c r="AB3156" t="n">
        <v>734</v>
      </c>
      <c r="AC3156" t="n">
        <v>788</v>
      </c>
      <c r="AD3156" t="n">
        <v>7</v>
      </c>
      <c r="AE3156" t="n">
        <v>8</v>
      </c>
      <c r="AF3156" t="n">
        <v>31</v>
      </c>
      <c r="AG3156" t="n">
        <v>35</v>
      </c>
      <c r="AH3156" t="n">
        <v>11</v>
      </c>
      <c r="AI3156" t="n">
        <v>12</v>
      </c>
      <c r="AJ3156" t="n">
        <v>8</v>
      </c>
      <c r="AK3156" t="n">
        <v>8</v>
      </c>
      <c r="AL3156" t="n">
        <v>15</v>
      </c>
      <c r="AM3156" t="n">
        <v>18</v>
      </c>
      <c r="AN3156" t="n">
        <v>6</v>
      </c>
      <c r="AO3156" t="n">
        <v>7</v>
      </c>
      <c r="AP3156" t="n">
        <v>0</v>
      </c>
      <c r="AQ3156" t="n">
        <v>0</v>
      </c>
      <c r="AR3156" t="inlineStr">
        <is>
          <t>No</t>
        </is>
      </c>
      <c r="AS3156" t="inlineStr">
        <is>
          <t>Yes</t>
        </is>
      </c>
      <c r="AT3156">
        <f>HYPERLINK("http://catalog.hathitrust.org/Record/000591393","HathiTrust Record")</f>
        <v/>
      </c>
      <c r="AU3156">
        <f>HYPERLINK("https://creighton-primo.hosted.exlibrisgroup.com/primo-explore/search?tab=default_tab&amp;search_scope=EVERYTHING&amp;vid=01CRU&amp;lang=en_US&amp;offset=0&amp;query=any,contains,991003034919702656","Catalog Record")</f>
        <v/>
      </c>
      <c r="AV3156">
        <f>HYPERLINK("http://www.worldcat.org/oclc/597903","WorldCat Record")</f>
        <v/>
      </c>
      <c r="AW3156" t="inlineStr">
        <is>
          <t>476703816:eng</t>
        </is>
      </c>
      <c r="AX3156" t="inlineStr">
        <is>
          <t>597903</t>
        </is>
      </c>
      <c r="AY3156" t="inlineStr">
        <is>
          <t>991003034919702656</t>
        </is>
      </c>
      <c r="AZ3156" t="inlineStr">
        <is>
          <t>991003034919702656</t>
        </is>
      </c>
      <c r="BA3156" t="inlineStr">
        <is>
          <t>2271606190002656</t>
        </is>
      </c>
      <c r="BB3156" t="inlineStr">
        <is>
          <t>BOOK</t>
        </is>
      </c>
      <c r="BD3156" t="inlineStr">
        <is>
          <t>9780870242076</t>
        </is>
      </c>
      <c r="BE3156" t="inlineStr">
        <is>
          <t>32285002528965</t>
        </is>
      </c>
      <c r="BF3156" t="inlineStr">
        <is>
          <t>893530788</t>
        </is>
      </c>
    </row>
    <row r="3157">
      <c r="A3157" t="inlineStr">
        <is>
          <t>No</t>
        </is>
      </c>
      <c r="B3157" t="inlineStr">
        <is>
          <t>CURAL</t>
        </is>
      </c>
      <c r="C3157" t="inlineStr">
        <is>
          <t>SHELVES</t>
        </is>
      </c>
      <c r="D3157" t="inlineStr">
        <is>
          <t>PR6023.A93 Z564 1989</t>
        </is>
      </c>
      <c r="E3157" t="inlineStr">
        <is>
          <t>0                      PR 6023000A  93                 Z  564         1989</t>
        </is>
      </c>
      <c r="F3157" t="inlineStr">
        <is>
          <t>D.H. Lawrence and the phallic imagination : essays on sexual identity and feminist misreading / Peter Balbert.</t>
        </is>
      </c>
      <c r="H3157" t="inlineStr">
        <is>
          <t>No</t>
        </is>
      </c>
      <c r="I3157" t="inlineStr">
        <is>
          <t>1</t>
        </is>
      </c>
      <c r="J3157" t="inlineStr">
        <is>
          <t>No</t>
        </is>
      </c>
      <c r="K3157" t="inlineStr">
        <is>
          <t>No</t>
        </is>
      </c>
      <c r="L3157" t="inlineStr">
        <is>
          <t>0</t>
        </is>
      </c>
      <c r="M3157" t="inlineStr">
        <is>
          <t>Balbert, Peter, 1942-</t>
        </is>
      </c>
      <c r="N3157" t="inlineStr">
        <is>
          <t>New York : St. Martin's Press, 1989.</t>
        </is>
      </c>
      <c r="O3157" t="inlineStr">
        <is>
          <t>1989</t>
        </is>
      </c>
      <c r="Q3157" t="inlineStr">
        <is>
          <t>eng</t>
        </is>
      </c>
      <c r="R3157" t="inlineStr">
        <is>
          <t>nyu</t>
        </is>
      </c>
      <c r="T3157" t="inlineStr">
        <is>
          <t xml:space="preserve">PR </t>
        </is>
      </c>
      <c r="U3157" t="n">
        <v>4</v>
      </c>
      <c r="V3157" t="n">
        <v>4</v>
      </c>
      <c r="W3157" t="inlineStr">
        <is>
          <t>2004-10-31</t>
        </is>
      </c>
      <c r="X3157" t="inlineStr">
        <is>
          <t>2004-10-31</t>
        </is>
      </c>
      <c r="Y3157" t="inlineStr">
        <is>
          <t>1992-07-15</t>
        </is>
      </c>
      <c r="Z3157" t="inlineStr">
        <is>
          <t>1992-07-15</t>
        </is>
      </c>
      <c r="AA3157" t="n">
        <v>220</v>
      </c>
      <c r="AB3157" t="n">
        <v>195</v>
      </c>
      <c r="AC3157" t="n">
        <v>241</v>
      </c>
      <c r="AD3157" t="n">
        <v>1</v>
      </c>
      <c r="AE3157" t="n">
        <v>2</v>
      </c>
      <c r="AF3157" t="n">
        <v>9</v>
      </c>
      <c r="AG3157" t="n">
        <v>11</v>
      </c>
      <c r="AH3157" t="n">
        <v>1</v>
      </c>
      <c r="AI3157" t="n">
        <v>1</v>
      </c>
      <c r="AJ3157" t="n">
        <v>3</v>
      </c>
      <c r="AK3157" t="n">
        <v>4</v>
      </c>
      <c r="AL3157" t="n">
        <v>7</v>
      </c>
      <c r="AM3157" t="n">
        <v>8</v>
      </c>
      <c r="AN3157" t="n">
        <v>0</v>
      </c>
      <c r="AO3157" t="n">
        <v>1</v>
      </c>
      <c r="AP3157" t="n">
        <v>0</v>
      </c>
      <c r="AQ3157" t="n">
        <v>0</v>
      </c>
      <c r="AR3157" t="inlineStr">
        <is>
          <t>No</t>
        </is>
      </c>
      <c r="AS3157" t="inlineStr">
        <is>
          <t>No</t>
        </is>
      </c>
      <c r="AU3157">
        <f>HYPERLINK("https://creighton-primo.hosted.exlibrisgroup.com/primo-explore/search?tab=default_tab&amp;search_scope=EVERYTHING&amp;vid=01CRU&amp;lang=en_US&amp;offset=0&amp;query=any,contains,991001101469702656","Catalog Record")</f>
        <v/>
      </c>
      <c r="AV3157">
        <f>HYPERLINK("http://www.worldcat.org/oclc/16353658","WorldCat Record")</f>
        <v/>
      </c>
      <c r="AW3157" t="inlineStr">
        <is>
          <t>11888721:eng</t>
        </is>
      </c>
      <c r="AX3157" t="inlineStr">
        <is>
          <t>16353658</t>
        </is>
      </c>
      <c r="AY3157" t="inlineStr">
        <is>
          <t>991001101469702656</t>
        </is>
      </c>
      <c r="AZ3157" t="inlineStr">
        <is>
          <t>991001101469702656</t>
        </is>
      </c>
      <c r="BA3157" t="inlineStr">
        <is>
          <t>2255444180002656</t>
        </is>
      </c>
      <c r="BB3157" t="inlineStr">
        <is>
          <t>BOOK</t>
        </is>
      </c>
      <c r="BD3157" t="inlineStr">
        <is>
          <t>9780312013578</t>
        </is>
      </c>
      <c r="BE3157" t="inlineStr">
        <is>
          <t>32285001152783</t>
        </is>
      </c>
      <c r="BF3157" t="inlineStr">
        <is>
          <t>893407849</t>
        </is>
      </c>
    </row>
    <row r="3158">
      <c r="A3158" t="inlineStr">
        <is>
          <t>No</t>
        </is>
      </c>
      <c r="B3158" t="inlineStr">
        <is>
          <t>CURAL</t>
        </is>
      </c>
      <c r="C3158" t="inlineStr">
        <is>
          <t>SHELVES</t>
        </is>
      </c>
      <c r="D3158" t="inlineStr">
        <is>
          <t>PR6023.A93 Z5664</t>
        </is>
      </c>
      <c r="E3158" t="inlineStr">
        <is>
          <t>0                      PR 6023000A  93                 Z  5664</t>
        </is>
      </c>
      <c r="F3158" t="inlineStr">
        <is>
          <t>D. H. Lawrence / George J. Becker.</t>
        </is>
      </c>
      <c r="H3158" t="inlineStr">
        <is>
          <t>No</t>
        </is>
      </c>
      <c r="I3158" t="inlineStr">
        <is>
          <t>1</t>
        </is>
      </c>
      <c r="J3158" t="inlineStr">
        <is>
          <t>No</t>
        </is>
      </c>
      <c r="K3158" t="inlineStr">
        <is>
          <t>No</t>
        </is>
      </c>
      <c r="L3158" t="inlineStr">
        <is>
          <t>0</t>
        </is>
      </c>
      <c r="M3158" t="inlineStr">
        <is>
          <t>Becker, George J.</t>
        </is>
      </c>
      <c r="N3158" t="inlineStr">
        <is>
          <t>New York : F. Ungar, c1980.</t>
        </is>
      </c>
      <c r="O3158" t="inlineStr">
        <is>
          <t>1980</t>
        </is>
      </c>
      <c r="Q3158" t="inlineStr">
        <is>
          <t>eng</t>
        </is>
      </c>
      <c r="R3158" t="inlineStr">
        <is>
          <t>nyu</t>
        </is>
      </c>
      <c r="S3158" t="inlineStr">
        <is>
          <t>Modern literature monographs</t>
        </is>
      </c>
      <c r="T3158" t="inlineStr">
        <is>
          <t xml:space="preserve">PR </t>
        </is>
      </c>
      <c r="U3158" t="n">
        <v>9</v>
      </c>
      <c r="V3158" t="n">
        <v>9</v>
      </c>
      <c r="W3158" t="inlineStr">
        <is>
          <t>2004-11-03</t>
        </is>
      </c>
      <c r="X3158" t="inlineStr">
        <is>
          <t>2004-11-03</t>
        </is>
      </c>
      <c r="Y3158" t="inlineStr">
        <is>
          <t>1992-07-15</t>
        </is>
      </c>
      <c r="Z3158" t="inlineStr">
        <is>
          <t>1992-07-15</t>
        </is>
      </c>
      <c r="AA3158" t="n">
        <v>834</v>
      </c>
      <c r="AB3158" t="n">
        <v>745</v>
      </c>
      <c r="AC3158" t="n">
        <v>753</v>
      </c>
      <c r="AD3158" t="n">
        <v>3</v>
      </c>
      <c r="AE3158" t="n">
        <v>3</v>
      </c>
      <c r="AF3158" t="n">
        <v>24</v>
      </c>
      <c r="AG3158" t="n">
        <v>24</v>
      </c>
      <c r="AH3158" t="n">
        <v>10</v>
      </c>
      <c r="AI3158" t="n">
        <v>10</v>
      </c>
      <c r="AJ3158" t="n">
        <v>6</v>
      </c>
      <c r="AK3158" t="n">
        <v>6</v>
      </c>
      <c r="AL3158" t="n">
        <v>13</v>
      </c>
      <c r="AM3158" t="n">
        <v>13</v>
      </c>
      <c r="AN3158" t="n">
        <v>2</v>
      </c>
      <c r="AO3158" t="n">
        <v>2</v>
      </c>
      <c r="AP3158" t="n">
        <v>0</v>
      </c>
      <c r="AQ3158" t="n">
        <v>0</v>
      </c>
      <c r="AR3158" t="inlineStr">
        <is>
          <t>No</t>
        </is>
      </c>
      <c r="AS3158" t="inlineStr">
        <is>
          <t>Yes</t>
        </is>
      </c>
      <c r="AT3158">
        <f>HYPERLINK("http://catalog.hathitrust.org/Record/000086188","HathiTrust Record")</f>
        <v/>
      </c>
      <c r="AU3158">
        <f>HYPERLINK("https://creighton-primo.hosted.exlibrisgroup.com/primo-explore/search?tab=default_tab&amp;search_scope=EVERYTHING&amp;vid=01CRU&amp;lang=en_US&amp;offset=0&amp;query=any,contains,991004910699702656","Catalog Record")</f>
        <v/>
      </c>
      <c r="AV3158">
        <f>HYPERLINK("http://www.worldcat.org/oclc/5990568","WorldCat Record")</f>
        <v/>
      </c>
      <c r="AW3158" t="inlineStr">
        <is>
          <t>1863020366:eng</t>
        </is>
      </c>
      <c r="AX3158" t="inlineStr">
        <is>
          <t>5990568</t>
        </is>
      </c>
      <c r="AY3158" t="inlineStr">
        <is>
          <t>991004910699702656</t>
        </is>
      </c>
      <c r="AZ3158" t="inlineStr">
        <is>
          <t>991004910699702656</t>
        </is>
      </c>
      <c r="BA3158" t="inlineStr">
        <is>
          <t>2260710840002656</t>
        </is>
      </c>
      <c r="BB3158" t="inlineStr">
        <is>
          <t>BOOK</t>
        </is>
      </c>
      <c r="BD3158" t="inlineStr">
        <is>
          <t>9780804420297</t>
        </is>
      </c>
      <c r="BE3158" t="inlineStr">
        <is>
          <t>32285001152791</t>
        </is>
      </c>
      <c r="BF3158" t="inlineStr">
        <is>
          <t>893722659</t>
        </is>
      </c>
    </row>
    <row r="3159">
      <c r="A3159" t="inlineStr">
        <is>
          <t>No</t>
        </is>
      </c>
      <c r="B3159" t="inlineStr">
        <is>
          <t>CURAL</t>
        </is>
      </c>
      <c r="C3159" t="inlineStr">
        <is>
          <t>SHELVES</t>
        </is>
      </c>
      <c r="D3159" t="inlineStr">
        <is>
          <t>PR6023.A93 Z5666 1992</t>
        </is>
      </c>
      <c r="E3159" t="inlineStr">
        <is>
          <t>0                      PR 6023000A  93                 Z  5666        1992</t>
        </is>
      </c>
      <c r="F3159" t="inlineStr">
        <is>
          <t>D.H. Lawrence : language and being / Michael Bell.</t>
        </is>
      </c>
      <c r="H3159" t="inlineStr">
        <is>
          <t>No</t>
        </is>
      </c>
      <c r="I3159" t="inlineStr">
        <is>
          <t>1</t>
        </is>
      </c>
      <c r="J3159" t="inlineStr">
        <is>
          <t>No</t>
        </is>
      </c>
      <c r="K3159" t="inlineStr">
        <is>
          <t>No</t>
        </is>
      </c>
      <c r="L3159" t="inlineStr">
        <is>
          <t>0</t>
        </is>
      </c>
      <c r="M3159" t="inlineStr">
        <is>
          <t>Bell, Michael, 1941-</t>
        </is>
      </c>
      <c r="N3159" t="inlineStr">
        <is>
          <t>Cambridge, England ; New York : Cambridge University Press, 1992.</t>
        </is>
      </c>
      <c r="O3159" t="inlineStr">
        <is>
          <t>1992</t>
        </is>
      </c>
      <c r="Q3159" t="inlineStr">
        <is>
          <t>eng</t>
        </is>
      </c>
      <c r="R3159" t="inlineStr">
        <is>
          <t>enk</t>
        </is>
      </c>
      <c r="T3159" t="inlineStr">
        <is>
          <t xml:space="preserve">PR </t>
        </is>
      </c>
      <c r="U3159" t="n">
        <v>2</v>
      </c>
      <c r="V3159" t="n">
        <v>2</v>
      </c>
      <c r="W3159" t="inlineStr">
        <is>
          <t>2004-10-31</t>
        </is>
      </c>
      <c r="X3159" t="inlineStr">
        <is>
          <t>2004-10-31</t>
        </is>
      </c>
      <c r="Y3159" t="inlineStr">
        <is>
          <t>1992-08-12</t>
        </is>
      </c>
      <c r="Z3159" t="inlineStr">
        <is>
          <t>1992-08-12</t>
        </is>
      </c>
      <c r="AA3159" t="n">
        <v>423</v>
      </c>
      <c r="AB3159" t="n">
        <v>313</v>
      </c>
      <c r="AC3159" t="n">
        <v>328</v>
      </c>
      <c r="AD3159" t="n">
        <v>3</v>
      </c>
      <c r="AE3159" t="n">
        <v>3</v>
      </c>
      <c r="AF3159" t="n">
        <v>21</v>
      </c>
      <c r="AG3159" t="n">
        <v>21</v>
      </c>
      <c r="AH3159" t="n">
        <v>5</v>
      </c>
      <c r="AI3159" t="n">
        <v>5</v>
      </c>
      <c r="AJ3159" t="n">
        <v>8</v>
      </c>
      <c r="AK3159" t="n">
        <v>8</v>
      </c>
      <c r="AL3159" t="n">
        <v>13</v>
      </c>
      <c r="AM3159" t="n">
        <v>13</v>
      </c>
      <c r="AN3159" t="n">
        <v>2</v>
      </c>
      <c r="AO3159" t="n">
        <v>2</v>
      </c>
      <c r="AP3159" t="n">
        <v>0</v>
      </c>
      <c r="AQ3159" t="n">
        <v>0</v>
      </c>
      <c r="AR3159" t="inlineStr">
        <is>
          <t>No</t>
        </is>
      </c>
      <c r="AS3159" t="inlineStr">
        <is>
          <t>No</t>
        </is>
      </c>
      <c r="AU3159">
        <f>HYPERLINK("https://creighton-primo.hosted.exlibrisgroup.com/primo-explore/search?tab=default_tab&amp;search_scope=EVERYTHING&amp;vid=01CRU&amp;lang=en_US&amp;offset=0&amp;query=any,contains,991001845129702656","Catalog Record")</f>
        <v/>
      </c>
      <c r="AV3159">
        <f>HYPERLINK("http://www.worldcat.org/oclc/23177460","WorldCat Record")</f>
        <v/>
      </c>
      <c r="AW3159" t="inlineStr">
        <is>
          <t>143318922:eng</t>
        </is>
      </c>
      <c r="AX3159" t="inlineStr">
        <is>
          <t>23177460</t>
        </is>
      </c>
      <c r="AY3159" t="inlineStr">
        <is>
          <t>991001845129702656</t>
        </is>
      </c>
      <c r="AZ3159" t="inlineStr">
        <is>
          <t>991001845129702656</t>
        </is>
      </c>
      <c r="BA3159" t="inlineStr">
        <is>
          <t>2265624170002656</t>
        </is>
      </c>
      <c r="BB3159" t="inlineStr">
        <is>
          <t>BOOK</t>
        </is>
      </c>
      <c r="BD3159" t="inlineStr">
        <is>
          <t>9780521392006</t>
        </is>
      </c>
      <c r="BE3159" t="inlineStr">
        <is>
          <t>32285001196939</t>
        </is>
      </c>
      <c r="BF3159" t="inlineStr">
        <is>
          <t>893785442</t>
        </is>
      </c>
    </row>
    <row r="3160">
      <c r="A3160" t="inlineStr">
        <is>
          <t>No</t>
        </is>
      </c>
      <c r="B3160" t="inlineStr">
        <is>
          <t>CURAL</t>
        </is>
      </c>
      <c r="C3160" t="inlineStr">
        <is>
          <t>SHELVES</t>
        </is>
      </c>
      <c r="D3160" t="inlineStr">
        <is>
          <t>PR6023.A93 Z569 1987</t>
        </is>
      </c>
      <c r="E3160" t="inlineStr">
        <is>
          <t>0                      PR 6023000A  93                 Z  569         1987</t>
        </is>
      </c>
      <c r="F3160" t="inlineStr">
        <is>
          <t>Language and the self in D.H. Lawrence / by Diane S. Bonds.</t>
        </is>
      </c>
      <c r="H3160" t="inlineStr">
        <is>
          <t>No</t>
        </is>
      </c>
      <c r="I3160" t="inlineStr">
        <is>
          <t>1</t>
        </is>
      </c>
      <c r="J3160" t="inlineStr">
        <is>
          <t>No</t>
        </is>
      </c>
      <c r="K3160" t="inlineStr">
        <is>
          <t>No</t>
        </is>
      </c>
      <c r="L3160" t="inlineStr">
        <is>
          <t>0</t>
        </is>
      </c>
      <c r="M3160" t="inlineStr">
        <is>
          <t>Bonds, Diane S., 1946-</t>
        </is>
      </c>
      <c r="N3160" t="inlineStr">
        <is>
          <t>Ann Arbor, Mich. : UMI Research Press, c1987.</t>
        </is>
      </c>
      <c r="O3160" t="inlineStr">
        <is>
          <t>1987</t>
        </is>
      </c>
      <c r="Q3160" t="inlineStr">
        <is>
          <t>eng</t>
        </is>
      </c>
      <c r="R3160" t="inlineStr">
        <is>
          <t>miu</t>
        </is>
      </c>
      <c r="S3160" t="inlineStr">
        <is>
          <t>Studies in modern literature ; no. 68</t>
        </is>
      </c>
      <c r="T3160" t="inlineStr">
        <is>
          <t xml:space="preserve">PR </t>
        </is>
      </c>
      <c r="U3160" t="n">
        <v>4</v>
      </c>
      <c r="V3160" t="n">
        <v>4</v>
      </c>
      <c r="W3160" t="inlineStr">
        <is>
          <t>2004-10-31</t>
        </is>
      </c>
      <c r="X3160" t="inlineStr">
        <is>
          <t>2004-10-31</t>
        </is>
      </c>
      <c r="Y3160" t="inlineStr">
        <is>
          <t>1992-07-15</t>
        </is>
      </c>
      <c r="Z3160" t="inlineStr">
        <is>
          <t>1992-07-15</t>
        </is>
      </c>
      <c r="AA3160" t="n">
        <v>322</v>
      </c>
      <c r="AB3160" t="n">
        <v>248</v>
      </c>
      <c r="AC3160" t="n">
        <v>250</v>
      </c>
      <c r="AD3160" t="n">
        <v>2</v>
      </c>
      <c r="AE3160" t="n">
        <v>2</v>
      </c>
      <c r="AF3160" t="n">
        <v>11</v>
      </c>
      <c r="AG3160" t="n">
        <v>11</v>
      </c>
      <c r="AH3160" t="n">
        <v>4</v>
      </c>
      <c r="AI3160" t="n">
        <v>4</v>
      </c>
      <c r="AJ3160" t="n">
        <v>3</v>
      </c>
      <c r="AK3160" t="n">
        <v>3</v>
      </c>
      <c r="AL3160" t="n">
        <v>6</v>
      </c>
      <c r="AM3160" t="n">
        <v>6</v>
      </c>
      <c r="AN3160" t="n">
        <v>1</v>
      </c>
      <c r="AO3160" t="n">
        <v>1</v>
      </c>
      <c r="AP3160" t="n">
        <v>0</v>
      </c>
      <c r="AQ3160" t="n">
        <v>0</v>
      </c>
      <c r="AR3160" t="inlineStr">
        <is>
          <t>No</t>
        </is>
      </c>
      <c r="AS3160" t="inlineStr">
        <is>
          <t>Yes</t>
        </is>
      </c>
      <c r="AT3160">
        <f>HYPERLINK("http://catalog.hathitrust.org/Record/000827818","HathiTrust Record")</f>
        <v/>
      </c>
      <c r="AU3160">
        <f>HYPERLINK("https://creighton-primo.hosted.exlibrisgroup.com/primo-explore/search?tab=default_tab&amp;search_scope=EVERYTHING&amp;vid=01CRU&amp;lang=en_US&amp;offset=0&amp;query=any,contains,991000965649702656","Catalog Record")</f>
        <v/>
      </c>
      <c r="AV3160">
        <f>HYPERLINK("http://www.worldcat.org/oclc/14905931","WorldCat Record")</f>
        <v/>
      </c>
      <c r="AW3160" t="inlineStr">
        <is>
          <t>8220703:eng</t>
        </is>
      </c>
      <c r="AX3160" t="inlineStr">
        <is>
          <t>14905931</t>
        </is>
      </c>
      <c r="AY3160" t="inlineStr">
        <is>
          <t>991000965649702656</t>
        </is>
      </c>
      <c r="AZ3160" t="inlineStr">
        <is>
          <t>991000965649702656</t>
        </is>
      </c>
      <c r="BA3160" t="inlineStr">
        <is>
          <t>2267686320002656</t>
        </is>
      </c>
      <c r="BB3160" t="inlineStr">
        <is>
          <t>BOOK</t>
        </is>
      </c>
      <c r="BD3160" t="inlineStr">
        <is>
          <t>9780835717892</t>
        </is>
      </c>
      <c r="BE3160" t="inlineStr">
        <is>
          <t>32285001152809</t>
        </is>
      </c>
      <c r="BF3160" t="inlineStr">
        <is>
          <t>893897378</t>
        </is>
      </c>
    </row>
    <row r="3161">
      <c r="A3161" t="inlineStr">
        <is>
          <t>No</t>
        </is>
      </c>
      <c r="B3161" t="inlineStr">
        <is>
          <t>CURAL</t>
        </is>
      </c>
      <c r="C3161" t="inlineStr">
        <is>
          <t>SHELVES</t>
        </is>
      </c>
      <c r="D3161" t="inlineStr">
        <is>
          <t>PR6023.A93 Z587 2003</t>
        </is>
      </c>
      <c r="E3161" t="inlineStr">
        <is>
          <t>0                      PR 6023000A  93                 Z  587         2003</t>
        </is>
      </c>
      <c r="F3161" t="inlineStr">
        <is>
          <t>Body of truth : D.H. Lawrence, the nomadic years, 1919-1930 / Philip Callow.</t>
        </is>
      </c>
      <c r="H3161" t="inlineStr">
        <is>
          <t>No</t>
        </is>
      </c>
      <c r="I3161" t="inlineStr">
        <is>
          <t>1</t>
        </is>
      </c>
      <c r="J3161" t="inlineStr">
        <is>
          <t>No</t>
        </is>
      </c>
      <c r="K3161" t="inlineStr">
        <is>
          <t>No</t>
        </is>
      </c>
      <c r="L3161" t="inlineStr">
        <is>
          <t>0</t>
        </is>
      </c>
      <c r="M3161" t="inlineStr">
        <is>
          <t>Callow, Philip.</t>
        </is>
      </c>
      <c r="N3161" t="inlineStr">
        <is>
          <t>Chicago : Ivan R. Dee, 2003.</t>
        </is>
      </c>
      <c r="O3161" t="inlineStr">
        <is>
          <t>2003</t>
        </is>
      </c>
      <c r="Q3161" t="inlineStr">
        <is>
          <t>eng</t>
        </is>
      </c>
      <c r="R3161" t="inlineStr">
        <is>
          <t>ilu</t>
        </is>
      </c>
      <c r="T3161" t="inlineStr">
        <is>
          <t xml:space="preserve">PR </t>
        </is>
      </c>
      <c r="U3161" t="n">
        <v>1</v>
      </c>
      <c r="V3161" t="n">
        <v>1</v>
      </c>
      <c r="W3161" t="inlineStr">
        <is>
          <t>2003-11-05</t>
        </is>
      </c>
      <c r="X3161" t="inlineStr">
        <is>
          <t>2003-11-05</t>
        </is>
      </c>
      <c r="Y3161" t="inlineStr">
        <is>
          <t>2003-11-05</t>
        </is>
      </c>
      <c r="Z3161" t="inlineStr">
        <is>
          <t>2003-11-05</t>
        </is>
      </c>
      <c r="AA3161" t="n">
        <v>479</v>
      </c>
      <c r="AB3161" t="n">
        <v>421</v>
      </c>
      <c r="AC3161" t="n">
        <v>428</v>
      </c>
      <c r="AD3161" t="n">
        <v>4</v>
      </c>
      <c r="AE3161" t="n">
        <v>4</v>
      </c>
      <c r="AF3161" t="n">
        <v>23</v>
      </c>
      <c r="AG3161" t="n">
        <v>23</v>
      </c>
      <c r="AH3161" t="n">
        <v>8</v>
      </c>
      <c r="AI3161" t="n">
        <v>8</v>
      </c>
      <c r="AJ3161" t="n">
        <v>7</v>
      </c>
      <c r="AK3161" t="n">
        <v>7</v>
      </c>
      <c r="AL3161" t="n">
        <v>12</v>
      </c>
      <c r="AM3161" t="n">
        <v>12</v>
      </c>
      <c r="AN3161" t="n">
        <v>3</v>
      </c>
      <c r="AO3161" t="n">
        <v>3</v>
      </c>
      <c r="AP3161" t="n">
        <v>0</v>
      </c>
      <c r="AQ3161" t="n">
        <v>0</v>
      </c>
      <c r="AR3161" t="inlineStr">
        <is>
          <t>No</t>
        </is>
      </c>
      <c r="AS3161" t="inlineStr">
        <is>
          <t>Yes</t>
        </is>
      </c>
      <c r="AT3161">
        <f>HYPERLINK("http://catalog.hathitrust.org/Record/004314446","HathiTrust Record")</f>
        <v/>
      </c>
      <c r="AU3161">
        <f>HYPERLINK("https://creighton-primo.hosted.exlibrisgroup.com/primo-explore/search?tab=default_tab&amp;search_scope=EVERYTHING&amp;vid=01CRU&amp;lang=en_US&amp;offset=0&amp;query=any,contains,991004161819702656","Catalog Record")</f>
        <v/>
      </c>
      <c r="AV3161">
        <f>HYPERLINK("http://www.worldcat.org/oclc/50774302","WorldCat Record")</f>
        <v/>
      </c>
      <c r="AW3161" t="inlineStr">
        <is>
          <t>366985555:eng</t>
        </is>
      </c>
      <c r="AX3161" t="inlineStr">
        <is>
          <t>50774302</t>
        </is>
      </c>
      <c r="AY3161" t="inlineStr">
        <is>
          <t>991004161819702656</t>
        </is>
      </c>
      <c r="AZ3161" t="inlineStr">
        <is>
          <t>991004161819702656</t>
        </is>
      </c>
      <c r="BA3161" t="inlineStr">
        <is>
          <t>2263630120002656</t>
        </is>
      </c>
      <c r="BB3161" t="inlineStr">
        <is>
          <t>BOOK</t>
        </is>
      </c>
      <c r="BD3161" t="inlineStr">
        <is>
          <t>9781566634946</t>
        </is>
      </c>
      <c r="BE3161" t="inlineStr">
        <is>
          <t>32285004794375</t>
        </is>
      </c>
      <c r="BF3161" t="inlineStr">
        <is>
          <t>893353257</t>
        </is>
      </c>
    </row>
    <row r="3162">
      <c r="A3162" t="inlineStr">
        <is>
          <t>No</t>
        </is>
      </c>
      <c r="B3162" t="inlineStr">
        <is>
          <t>CURAL</t>
        </is>
      </c>
      <c r="C3162" t="inlineStr">
        <is>
          <t>SHELVES</t>
        </is>
      </c>
      <c r="D3162" t="inlineStr">
        <is>
          <t>PR6023.A93 Z621 1986</t>
        </is>
      </c>
      <c r="E3162" t="inlineStr">
        <is>
          <t>0                      PR 6023000A  93                 Z  621         1986</t>
        </is>
      </c>
      <c r="F3162" t="inlineStr">
        <is>
          <t>D.H. Lawrence : the early fiction : a commentary / Michael Black.</t>
        </is>
      </c>
      <c r="H3162" t="inlineStr">
        <is>
          <t>No</t>
        </is>
      </c>
      <c r="I3162" t="inlineStr">
        <is>
          <t>1</t>
        </is>
      </c>
      <c r="J3162" t="inlineStr">
        <is>
          <t>No</t>
        </is>
      </c>
      <c r="K3162" t="inlineStr">
        <is>
          <t>No</t>
        </is>
      </c>
      <c r="L3162" t="inlineStr">
        <is>
          <t>0</t>
        </is>
      </c>
      <c r="M3162" t="inlineStr">
        <is>
          <t>Black, Michael H.</t>
        </is>
      </c>
      <c r="N3162" t="inlineStr">
        <is>
          <t>Basingstoke : Macmillan, 1986.</t>
        </is>
      </c>
      <c r="O3162" t="inlineStr">
        <is>
          <t>1986</t>
        </is>
      </c>
      <c r="Q3162" t="inlineStr">
        <is>
          <t>eng</t>
        </is>
      </c>
      <c r="R3162" t="inlineStr">
        <is>
          <t>enk</t>
        </is>
      </c>
      <c r="S3162" t="inlineStr">
        <is>
          <t>Macmillan studies in twentieth-century literature</t>
        </is>
      </c>
      <c r="T3162" t="inlineStr">
        <is>
          <t xml:space="preserve">PR </t>
        </is>
      </c>
      <c r="U3162" t="n">
        <v>4</v>
      </c>
      <c r="V3162" t="n">
        <v>4</v>
      </c>
      <c r="W3162" t="inlineStr">
        <is>
          <t>2004-11-04</t>
        </is>
      </c>
      <c r="X3162" t="inlineStr">
        <is>
          <t>2004-11-04</t>
        </is>
      </c>
      <c r="Y3162" t="inlineStr">
        <is>
          <t>1992-07-15</t>
        </is>
      </c>
      <c r="Z3162" t="inlineStr">
        <is>
          <t>1992-07-15</t>
        </is>
      </c>
      <c r="AA3162" t="n">
        <v>191</v>
      </c>
      <c r="AB3162" t="n">
        <v>81</v>
      </c>
      <c r="AC3162" t="n">
        <v>561</v>
      </c>
      <c r="AD3162" t="n">
        <v>3</v>
      </c>
      <c r="AE3162" t="n">
        <v>4</v>
      </c>
      <c r="AF3162" t="n">
        <v>5</v>
      </c>
      <c r="AG3162" t="n">
        <v>34</v>
      </c>
      <c r="AH3162" t="n">
        <v>1</v>
      </c>
      <c r="AI3162" t="n">
        <v>14</v>
      </c>
      <c r="AJ3162" t="n">
        <v>1</v>
      </c>
      <c r="AK3162" t="n">
        <v>8</v>
      </c>
      <c r="AL3162" t="n">
        <v>2</v>
      </c>
      <c r="AM3162" t="n">
        <v>19</v>
      </c>
      <c r="AN3162" t="n">
        <v>2</v>
      </c>
      <c r="AO3162" t="n">
        <v>3</v>
      </c>
      <c r="AP3162" t="n">
        <v>0</v>
      </c>
      <c r="AQ3162" t="n">
        <v>0</v>
      </c>
      <c r="AR3162" t="inlineStr">
        <is>
          <t>No</t>
        </is>
      </c>
      <c r="AS3162" t="inlineStr">
        <is>
          <t>No</t>
        </is>
      </c>
      <c r="AU3162">
        <f>HYPERLINK("https://creighton-primo.hosted.exlibrisgroup.com/primo-explore/search?tab=default_tab&amp;search_scope=EVERYTHING&amp;vid=01CRU&amp;lang=en_US&amp;offset=0&amp;query=any,contains,991000711919702656","Catalog Record")</f>
        <v/>
      </c>
      <c r="AV3162">
        <f>HYPERLINK("http://www.worldcat.org/oclc/12584848","WorldCat Record")</f>
        <v/>
      </c>
      <c r="AW3162" t="inlineStr">
        <is>
          <t>151360266:eng</t>
        </is>
      </c>
      <c r="AX3162" t="inlineStr">
        <is>
          <t>12584848</t>
        </is>
      </c>
      <c r="AY3162" t="inlineStr">
        <is>
          <t>991000711919702656</t>
        </is>
      </c>
      <c r="AZ3162" t="inlineStr">
        <is>
          <t>991000711919702656</t>
        </is>
      </c>
      <c r="BA3162" t="inlineStr">
        <is>
          <t>2271531410002656</t>
        </is>
      </c>
      <c r="BB3162" t="inlineStr">
        <is>
          <t>BOOK</t>
        </is>
      </c>
      <c r="BD3162" t="inlineStr">
        <is>
          <t>9780333293775</t>
        </is>
      </c>
      <c r="BE3162" t="inlineStr">
        <is>
          <t>32285001152866</t>
        </is>
      </c>
      <c r="BF3162" t="inlineStr">
        <is>
          <t>893407444</t>
        </is>
      </c>
    </row>
    <row r="3163">
      <c r="A3163" t="inlineStr">
        <is>
          <t>No</t>
        </is>
      </c>
      <c r="B3163" t="inlineStr">
        <is>
          <t>CURAL</t>
        </is>
      </c>
      <c r="C3163" t="inlineStr">
        <is>
          <t>SHELVES</t>
        </is>
      </c>
      <c r="D3163" t="inlineStr">
        <is>
          <t>PR6023.A93 Z6213 1980</t>
        </is>
      </c>
      <c r="E3163" t="inlineStr">
        <is>
          <t>0                      PR 6023000A  93                 Z  6213        1980</t>
        </is>
      </c>
      <c r="F3163" t="inlineStr">
        <is>
          <t>D.H. Lawrence : a personal record / by E. T.</t>
        </is>
      </c>
      <c r="H3163" t="inlineStr">
        <is>
          <t>No</t>
        </is>
      </c>
      <c r="I3163" t="inlineStr">
        <is>
          <t>1</t>
        </is>
      </c>
      <c r="J3163" t="inlineStr">
        <is>
          <t>No</t>
        </is>
      </c>
      <c r="K3163" t="inlineStr">
        <is>
          <t>No</t>
        </is>
      </c>
      <c r="L3163" t="inlineStr">
        <is>
          <t>0</t>
        </is>
      </c>
      <c r="M3163" t="inlineStr">
        <is>
          <t>Chambers, Jessie.</t>
        </is>
      </c>
      <c r="N3163" t="inlineStr">
        <is>
          <t>Cambridge ; New York : Cambridge University Press, 1980.</t>
        </is>
      </c>
      <c r="O3163" t="inlineStr">
        <is>
          <t>1980</t>
        </is>
      </c>
      <c r="P3163" t="inlineStr">
        <is>
          <t>1st paperback edition.</t>
        </is>
      </c>
      <c r="Q3163" t="inlineStr">
        <is>
          <t>eng</t>
        </is>
      </c>
      <c r="R3163" t="inlineStr">
        <is>
          <t>enk</t>
        </is>
      </c>
      <c r="T3163" t="inlineStr">
        <is>
          <t xml:space="preserve">PR </t>
        </is>
      </c>
      <c r="U3163" t="n">
        <v>2</v>
      </c>
      <c r="V3163" t="n">
        <v>2</v>
      </c>
      <c r="W3163" t="inlineStr">
        <is>
          <t>2004-11-07</t>
        </is>
      </c>
      <c r="X3163" t="inlineStr">
        <is>
          <t>2004-11-07</t>
        </is>
      </c>
      <c r="Y3163" t="inlineStr">
        <is>
          <t>1992-01-20</t>
        </is>
      </c>
      <c r="Z3163" t="inlineStr">
        <is>
          <t>1992-01-20</t>
        </is>
      </c>
      <c r="AA3163" t="n">
        <v>148</v>
      </c>
      <c r="AB3163" t="n">
        <v>126</v>
      </c>
      <c r="AC3163" t="n">
        <v>667</v>
      </c>
      <c r="AD3163" t="n">
        <v>1</v>
      </c>
      <c r="AE3163" t="n">
        <v>2</v>
      </c>
      <c r="AF3163" t="n">
        <v>3</v>
      </c>
      <c r="AG3163" t="n">
        <v>26</v>
      </c>
      <c r="AH3163" t="n">
        <v>1</v>
      </c>
      <c r="AI3163" t="n">
        <v>12</v>
      </c>
      <c r="AJ3163" t="n">
        <v>2</v>
      </c>
      <c r="AK3163" t="n">
        <v>8</v>
      </c>
      <c r="AL3163" t="n">
        <v>2</v>
      </c>
      <c r="AM3163" t="n">
        <v>13</v>
      </c>
      <c r="AN3163" t="n">
        <v>0</v>
      </c>
      <c r="AO3163" t="n">
        <v>1</v>
      </c>
      <c r="AP3163" t="n">
        <v>0</v>
      </c>
      <c r="AQ3163" t="n">
        <v>0</v>
      </c>
      <c r="AR3163" t="inlineStr">
        <is>
          <t>No</t>
        </is>
      </c>
      <c r="AS3163" t="inlineStr">
        <is>
          <t>No</t>
        </is>
      </c>
      <c r="AU3163">
        <f>HYPERLINK("https://creighton-primo.hosted.exlibrisgroup.com/primo-explore/search?tab=default_tab&amp;search_scope=EVERYTHING&amp;vid=01CRU&amp;lang=en_US&amp;offset=0&amp;query=any,contains,991005075129702656","Catalog Record")</f>
        <v/>
      </c>
      <c r="AV3163">
        <f>HYPERLINK("http://www.worldcat.org/oclc/7102805","WorldCat Record")</f>
        <v/>
      </c>
      <c r="AW3163" t="inlineStr">
        <is>
          <t>1425234:eng</t>
        </is>
      </c>
      <c r="AX3163" t="inlineStr">
        <is>
          <t>7102805</t>
        </is>
      </c>
      <c r="AY3163" t="inlineStr">
        <is>
          <t>991005075129702656</t>
        </is>
      </c>
      <c r="AZ3163" t="inlineStr">
        <is>
          <t>991005075129702656</t>
        </is>
      </c>
      <c r="BA3163" t="inlineStr">
        <is>
          <t>2261937420002656</t>
        </is>
      </c>
      <c r="BB3163" t="inlineStr">
        <is>
          <t>BOOK</t>
        </is>
      </c>
      <c r="BD3163" t="inlineStr">
        <is>
          <t>9780521299190</t>
        </is>
      </c>
      <c r="BE3163" t="inlineStr">
        <is>
          <t>32285000915917</t>
        </is>
      </c>
      <c r="BF3163" t="inlineStr">
        <is>
          <t>893613077</t>
        </is>
      </c>
    </row>
    <row r="3164">
      <c r="A3164" t="inlineStr">
        <is>
          <t>No</t>
        </is>
      </c>
      <c r="B3164" t="inlineStr">
        <is>
          <t>CURAL</t>
        </is>
      </c>
      <c r="C3164" t="inlineStr">
        <is>
          <t>SHELVES</t>
        </is>
      </c>
      <c r="D3164" t="inlineStr">
        <is>
          <t>PR6023.A93 Z6214 1969</t>
        </is>
      </c>
      <c r="E3164" t="inlineStr">
        <is>
          <t>0                      PR 6023000A  93                 Z  6214        1969</t>
        </is>
      </c>
      <c r="F3164" t="inlineStr">
        <is>
          <t>River of dissolution : D. H. Lawrence &amp; English romanticism / [by] Colin Clarke.</t>
        </is>
      </c>
      <c r="H3164" t="inlineStr">
        <is>
          <t>No</t>
        </is>
      </c>
      <c r="I3164" t="inlineStr">
        <is>
          <t>1</t>
        </is>
      </c>
      <c r="J3164" t="inlineStr">
        <is>
          <t>No</t>
        </is>
      </c>
      <c r="K3164" t="inlineStr">
        <is>
          <t>No</t>
        </is>
      </c>
      <c r="L3164" t="inlineStr">
        <is>
          <t>0</t>
        </is>
      </c>
      <c r="M3164" t="inlineStr">
        <is>
          <t>Clarke, Colin (Colin C.)</t>
        </is>
      </c>
      <c r="N3164" t="inlineStr">
        <is>
          <t>New York : Barnes &amp; Noble, [1969]</t>
        </is>
      </c>
      <c r="O3164" t="inlineStr">
        <is>
          <t>1969</t>
        </is>
      </c>
      <c r="Q3164" t="inlineStr">
        <is>
          <t>eng</t>
        </is>
      </c>
      <c r="R3164" t="inlineStr">
        <is>
          <t>nyu</t>
        </is>
      </c>
      <c r="T3164" t="inlineStr">
        <is>
          <t xml:space="preserve">PR </t>
        </is>
      </c>
      <c r="U3164" t="n">
        <v>1</v>
      </c>
      <c r="V3164" t="n">
        <v>1</v>
      </c>
      <c r="W3164" t="inlineStr">
        <is>
          <t>2004-11-18</t>
        </is>
      </c>
      <c r="X3164" t="inlineStr">
        <is>
          <t>2004-11-18</t>
        </is>
      </c>
      <c r="Y3164" t="inlineStr">
        <is>
          <t>1992-07-16</t>
        </is>
      </c>
      <c r="Z3164" t="inlineStr">
        <is>
          <t>1992-07-16</t>
        </is>
      </c>
      <c r="AA3164" t="n">
        <v>644</v>
      </c>
      <c r="AB3164" t="n">
        <v>624</v>
      </c>
      <c r="AC3164" t="n">
        <v>776</v>
      </c>
      <c r="AD3164" t="n">
        <v>6</v>
      </c>
      <c r="AE3164" t="n">
        <v>6</v>
      </c>
      <c r="AF3164" t="n">
        <v>28</v>
      </c>
      <c r="AG3164" t="n">
        <v>38</v>
      </c>
      <c r="AH3164" t="n">
        <v>8</v>
      </c>
      <c r="AI3164" t="n">
        <v>14</v>
      </c>
      <c r="AJ3164" t="n">
        <v>7</v>
      </c>
      <c r="AK3164" t="n">
        <v>9</v>
      </c>
      <c r="AL3164" t="n">
        <v>11</v>
      </c>
      <c r="AM3164" t="n">
        <v>18</v>
      </c>
      <c r="AN3164" t="n">
        <v>5</v>
      </c>
      <c r="AO3164" t="n">
        <v>5</v>
      </c>
      <c r="AP3164" t="n">
        <v>0</v>
      </c>
      <c r="AQ3164" t="n">
        <v>0</v>
      </c>
      <c r="AR3164" t="inlineStr">
        <is>
          <t>No</t>
        </is>
      </c>
      <c r="AS3164" t="inlineStr">
        <is>
          <t>No</t>
        </is>
      </c>
      <c r="AU3164">
        <f>HYPERLINK("https://creighton-primo.hosted.exlibrisgroup.com/primo-explore/search?tab=default_tab&amp;search_scope=EVERYTHING&amp;vid=01CRU&amp;lang=en_US&amp;offset=0&amp;query=any,contains,991000067729702656","Catalog Record")</f>
        <v/>
      </c>
      <c r="AV3164">
        <f>HYPERLINK("http://www.worldcat.org/oclc/27452","WorldCat Record")</f>
        <v/>
      </c>
      <c r="AW3164" t="inlineStr">
        <is>
          <t>198403475:eng</t>
        </is>
      </c>
      <c r="AX3164" t="inlineStr">
        <is>
          <t>27452</t>
        </is>
      </c>
      <c r="AY3164" t="inlineStr">
        <is>
          <t>991000067729702656</t>
        </is>
      </c>
      <c r="AZ3164" t="inlineStr">
        <is>
          <t>991000067729702656</t>
        </is>
      </c>
      <c r="BA3164" t="inlineStr">
        <is>
          <t>2262649230002656</t>
        </is>
      </c>
      <c r="BB3164" t="inlineStr">
        <is>
          <t>BOOK</t>
        </is>
      </c>
      <c r="BE3164" t="inlineStr">
        <is>
          <t>32285001152890</t>
        </is>
      </c>
      <c r="BF3164" t="inlineStr">
        <is>
          <t>893508486</t>
        </is>
      </c>
    </row>
    <row r="3165">
      <c r="A3165" t="inlineStr">
        <is>
          <t>No</t>
        </is>
      </c>
      <c r="B3165" t="inlineStr">
        <is>
          <t>CURAL</t>
        </is>
      </c>
      <c r="C3165" t="inlineStr">
        <is>
          <t>SHELVES</t>
        </is>
      </c>
      <c r="D3165" t="inlineStr">
        <is>
          <t>PR6023.A93 Z6217</t>
        </is>
      </c>
      <c r="E3165" t="inlineStr">
        <is>
          <t>0                      PR 6023000A  93                 Z  6217</t>
        </is>
      </c>
      <c r="F3165" t="inlineStr">
        <is>
          <t>D. H. Lawrence, a critical anthology / edited by H. Coombes.</t>
        </is>
      </c>
      <c r="H3165" t="inlineStr">
        <is>
          <t>No</t>
        </is>
      </c>
      <c r="I3165" t="inlineStr">
        <is>
          <t>1</t>
        </is>
      </c>
      <c r="J3165" t="inlineStr">
        <is>
          <t>No</t>
        </is>
      </c>
      <c r="K3165" t="inlineStr">
        <is>
          <t>No</t>
        </is>
      </c>
      <c r="L3165" t="inlineStr">
        <is>
          <t>0</t>
        </is>
      </c>
      <c r="M3165" t="inlineStr">
        <is>
          <t>Coombes, H.</t>
        </is>
      </c>
      <c r="N3165" t="inlineStr">
        <is>
          <t>Harmondsworth : Penguin Education, 1973.</t>
        </is>
      </c>
      <c r="O3165" t="inlineStr">
        <is>
          <t>1973</t>
        </is>
      </c>
      <c r="Q3165" t="inlineStr">
        <is>
          <t>eng</t>
        </is>
      </c>
      <c r="R3165" t="inlineStr">
        <is>
          <t>enk</t>
        </is>
      </c>
      <c r="S3165" t="inlineStr">
        <is>
          <t>Penguin critical anthologies</t>
        </is>
      </c>
      <c r="T3165" t="inlineStr">
        <is>
          <t xml:space="preserve">PR </t>
        </is>
      </c>
      <c r="U3165" t="n">
        <v>1</v>
      </c>
      <c r="V3165" t="n">
        <v>1</v>
      </c>
      <c r="W3165" t="inlineStr">
        <is>
          <t>2004-11-07</t>
        </is>
      </c>
      <c r="X3165" t="inlineStr">
        <is>
          <t>2004-11-07</t>
        </is>
      </c>
      <c r="Y3165" t="inlineStr">
        <is>
          <t>1992-07-16</t>
        </is>
      </c>
      <c r="Z3165" t="inlineStr">
        <is>
          <t>1992-07-16</t>
        </is>
      </c>
      <c r="AA3165" t="n">
        <v>213</v>
      </c>
      <c r="AB3165" t="n">
        <v>89</v>
      </c>
      <c r="AC3165" t="n">
        <v>91</v>
      </c>
      <c r="AD3165" t="n">
        <v>2</v>
      </c>
      <c r="AE3165" t="n">
        <v>2</v>
      </c>
      <c r="AF3165" t="n">
        <v>6</v>
      </c>
      <c r="AG3165" t="n">
        <v>6</v>
      </c>
      <c r="AH3165" t="n">
        <v>1</v>
      </c>
      <c r="AI3165" t="n">
        <v>1</v>
      </c>
      <c r="AJ3165" t="n">
        <v>3</v>
      </c>
      <c r="AK3165" t="n">
        <v>3</v>
      </c>
      <c r="AL3165" t="n">
        <v>4</v>
      </c>
      <c r="AM3165" t="n">
        <v>4</v>
      </c>
      <c r="AN3165" t="n">
        <v>1</v>
      </c>
      <c r="AO3165" t="n">
        <v>1</v>
      </c>
      <c r="AP3165" t="n">
        <v>0</v>
      </c>
      <c r="AQ3165" t="n">
        <v>0</v>
      </c>
      <c r="AR3165" t="inlineStr">
        <is>
          <t>No</t>
        </is>
      </c>
      <c r="AS3165" t="inlineStr">
        <is>
          <t>Yes</t>
        </is>
      </c>
      <c r="AT3165">
        <f>HYPERLINK("http://catalog.hathitrust.org/Record/000024324","HathiTrust Record")</f>
        <v/>
      </c>
      <c r="AU3165">
        <f>HYPERLINK("https://creighton-primo.hosted.exlibrisgroup.com/primo-explore/search?tab=default_tab&amp;search_scope=EVERYTHING&amp;vid=01CRU&amp;lang=en_US&amp;offset=0&amp;query=any,contains,991003506119702656","Catalog Record")</f>
        <v/>
      </c>
      <c r="AV3165">
        <f>HYPERLINK("http://www.worldcat.org/oclc/1057394","WorldCat Record")</f>
        <v/>
      </c>
      <c r="AW3165" t="inlineStr">
        <is>
          <t>10252613288:eng</t>
        </is>
      </c>
      <c r="AX3165" t="inlineStr">
        <is>
          <t>1057394</t>
        </is>
      </c>
      <c r="AY3165" t="inlineStr">
        <is>
          <t>991003506119702656</t>
        </is>
      </c>
      <c r="AZ3165" t="inlineStr">
        <is>
          <t>991003506119702656</t>
        </is>
      </c>
      <c r="BA3165" t="inlineStr">
        <is>
          <t>2270992470002656</t>
        </is>
      </c>
      <c r="BB3165" t="inlineStr">
        <is>
          <t>BOOK</t>
        </is>
      </c>
      <c r="BD3165" t="inlineStr">
        <is>
          <t>9780140807929</t>
        </is>
      </c>
      <c r="BE3165" t="inlineStr">
        <is>
          <t>32285001152916</t>
        </is>
      </c>
      <c r="BF3165" t="inlineStr">
        <is>
          <t>893774793</t>
        </is>
      </c>
    </row>
    <row r="3166">
      <c r="A3166" t="inlineStr">
        <is>
          <t>No</t>
        </is>
      </c>
      <c r="B3166" t="inlineStr">
        <is>
          <t>CURAL</t>
        </is>
      </c>
      <c r="C3166" t="inlineStr">
        <is>
          <t>SHELVES</t>
        </is>
      </c>
      <c r="D3166" t="inlineStr">
        <is>
          <t>PR6023.A93 Z6232</t>
        </is>
      </c>
      <c r="E3166" t="inlineStr">
        <is>
          <t>0                      PR 6023000A  93                 Z  6232</t>
        </is>
      </c>
      <c r="F3166" t="inlineStr">
        <is>
          <t>D. H. Lawrence's American journey : a study in literature and myth / [by] James C. Cowan.</t>
        </is>
      </c>
      <c r="H3166" t="inlineStr">
        <is>
          <t>No</t>
        </is>
      </c>
      <c r="I3166" t="inlineStr">
        <is>
          <t>1</t>
        </is>
      </c>
      <c r="J3166" t="inlineStr">
        <is>
          <t>No</t>
        </is>
      </c>
      <c r="K3166" t="inlineStr">
        <is>
          <t>No</t>
        </is>
      </c>
      <c r="L3166" t="inlineStr">
        <is>
          <t>0</t>
        </is>
      </c>
      <c r="M3166" t="inlineStr">
        <is>
          <t>Cowan, James C.</t>
        </is>
      </c>
      <c r="N3166" t="inlineStr">
        <is>
          <t>Cleveland : Press of Case Western Reserve University, 1970.</t>
        </is>
      </c>
      <c r="O3166" t="inlineStr">
        <is>
          <t>1970</t>
        </is>
      </c>
      <c r="Q3166" t="inlineStr">
        <is>
          <t>eng</t>
        </is>
      </c>
      <c r="R3166" t="inlineStr">
        <is>
          <t>ohu</t>
        </is>
      </c>
      <c r="T3166" t="inlineStr">
        <is>
          <t xml:space="preserve">PR </t>
        </is>
      </c>
      <c r="U3166" t="n">
        <v>2</v>
      </c>
      <c r="V3166" t="n">
        <v>2</v>
      </c>
      <c r="W3166" t="inlineStr">
        <is>
          <t>1994-04-21</t>
        </is>
      </c>
      <c r="X3166" t="inlineStr">
        <is>
          <t>1994-04-21</t>
        </is>
      </c>
      <c r="Y3166" t="inlineStr">
        <is>
          <t>1992-07-16</t>
        </is>
      </c>
      <c r="Z3166" t="inlineStr">
        <is>
          <t>1992-07-16</t>
        </is>
      </c>
      <c r="AA3166" t="n">
        <v>811</v>
      </c>
      <c r="AB3166" t="n">
        <v>698</v>
      </c>
      <c r="AC3166" t="n">
        <v>706</v>
      </c>
      <c r="AD3166" t="n">
        <v>8</v>
      </c>
      <c r="AE3166" t="n">
        <v>8</v>
      </c>
      <c r="AF3166" t="n">
        <v>35</v>
      </c>
      <c r="AG3166" t="n">
        <v>35</v>
      </c>
      <c r="AH3166" t="n">
        <v>13</v>
      </c>
      <c r="AI3166" t="n">
        <v>13</v>
      </c>
      <c r="AJ3166" t="n">
        <v>9</v>
      </c>
      <c r="AK3166" t="n">
        <v>9</v>
      </c>
      <c r="AL3166" t="n">
        <v>17</v>
      </c>
      <c r="AM3166" t="n">
        <v>17</v>
      </c>
      <c r="AN3166" t="n">
        <v>7</v>
      </c>
      <c r="AO3166" t="n">
        <v>7</v>
      </c>
      <c r="AP3166" t="n">
        <v>0</v>
      </c>
      <c r="AQ3166" t="n">
        <v>0</v>
      </c>
      <c r="AR3166" t="inlineStr">
        <is>
          <t>No</t>
        </is>
      </c>
      <c r="AS3166" t="inlineStr">
        <is>
          <t>Yes</t>
        </is>
      </c>
      <c r="AT3166">
        <f>HYPERLINK("http://catalog.hathitrust.org/Record/000591463","HathiTrust Record")</f>
        <v/>
      </c>
      <c r="AU3166">
        <f>HYPERLINK("https://creighton-primo.hosted.exlibrisgroup.com/primo-explore/search?tab=default_tab&amp;search_scope=EVERYTHING&amp;vid=01CRU&amp;lang=en_US&amp;offset=0&amp;query=any,contains,991000539949702656","Catalog Record")</f>
        <v/>
      </c>
      <c r="AV3166">
        <f>HYPERLINK("http://www.worldcat.org/oclc/90395","WorldCat Record")</f>
        <v/>
      </c>
      <c r="AW3166" t="inlineStr">
        <is>
          <t>1863060827:eng</t>
        </is>
      </c>
      <c r="AX3166" t="inlineStr">
        <is>
          <t>90395</t>
        </is>
      </c>
      <c r="AY3166" t="inlineStr">
        <is>
          <t>991000539949702656</t>
        </is>
      </c>
      <c r="AZ3166" t="inlineStr">
        <is>
          <t>991000539949702656</t>
        </is>
      </c>
      <c r="BA3166" t="inlineStr">
        <is>
          <t>2266264470002656</t>
        </is>
      </c>
      <c r="BB3166" t="inlineStr">
        <is>
          <t>BOOK</t>
        </is>
      </c>
      <c r="BD3166" t="inlineStr">
        <is>
          <t>9780829501834</t>
        </is>
      </c>
      <c r="BE3166" t="inlineStr">
        <is>
          <t>32285001152924</t>
        </is>
      </c>
      <c r="BF3166" t="inlineStr">
        <is>
          <t>893438352</t>
        </is>
      </c>
    </row>
    <row r="3167">
      <c r="A3167" t="inlineStr">
        <is>
          <t>No</t>
        </is>
      </c>
      <c r="B3167" t="inlineStr">
        <is>
          <t>CURAL</t>
        </is>
      </c>
      <c r="C3167" t="inlineStr">
        <is>
          <t>SHELVES</t>
        </is>
      </c>
      <c r="D3167" t="inlineStr">
        <is>
          <t>PR6023.A93 Z62325 1988</t>
        </is>
      </c>
      <c r="E3167" t="inlineStr">
        <is>
          <t>0                      PR 6023000A  93                 Z  62325       1988</t>
        </is>
      </c>
      <c r="F3167" t="inlineStr">
        <is>
          <t>Critical essays on D.H. Lawrence / [edited by] Dennis Jackson and Fleda Brown Jackson.</t>
        </is>
      </c>
      <c r="H3167" t="inlineStr">
        <is>
          <t>No</t>
        </is>
      </c>
      <c r="I3167" t="inlineStr">
        <is>
          <t>1</t>
        </is>
      </c>
      <c r="J3167" t="inlineStr">
        <is>
          <t>No</t>
        </is>
      </c>
      <c r="K3167" t="inlineStr">
        <is>
          <t>No</t>
        </is>
      </c>
      <c r="L3167" t="inlineStr">
        <is>
          <t>0</t>
        </is>
      </c>
      <c r="N3167" t="inlineStr">
        <is>
          <t>Boston, Mass. : G.K. Hall, c1988.</t>
        </is>
      </c>
      <c r="O3167" t="inlineStr">
        <is>
          <t>1988</t>
        </is>
      </c>
      <c r="Q3167" t="inlineStr">
        <is>
          <t>eng</t>
        </is>
      </c>
      <c r="R3167" t="inlineStr">
        <is>
          <t>mau</t>
        </is>
      </c>
      <c r="S3167" t="inlineStr">
        <is>
          <t>Critical essays on British literature</t>
        </is>
      </c>
      <c r="T3167" t="inlineStr">
        <is>
          <t xml:space="preserve">PR </t>
        </is>
      </c>
      <c r="U3167" t="n">
        <v>5</v>
      </c>
      <c r="V3167" t="n">
        <v>5</v>
      </c>
      <c r="W3167" t="inlineStr">
        <is>
          <t>2004-11-04</t>
        </is>
      </c>
      <c r="X3167" t="inlineStr">
        <is>
          <t>2004-11-04</t>
        </is>
      </c>
      <c r="Y3167" t="inlineStr">
        <is>
          <t>1992-07-15</t>
        </is>
      </c>
      <c r="Z3167" t="inlineStr">
        <is>
          <t>1992-07-15</t>
        </is>
      </c>
      <c r="AA3167" t="n">
        <v>805</v>
      </c>
      <c r="AB3167" t="n">
        <v>689</v>
      </c>
      <c r="AC3167" t="n">
        <v>695</v>
      </c>
      <c r="AD3167" t="n">
        <v>7</v>
      </c>
      <c r="AE3167" t="n">
        <v>7</v>
      </c>
      <c r="AF3167" t="n">
        <v>36</v>
      </c>
      <c r="AG3167" t="n">
        <v>36</v>
      </c>
      <c r="AH3167" t="n">
        <v>15</v>
      </c>
      <c r="AI3167" t="n">
        <v>15</v>
      </c>
      <c r="AJ3167" t="n">
        <v>7</v>
      </c>
      <c r="AK3167" t="n">
        <v>7</v>
      </c>
      <c r="AL3167" t="n">
        <v>16</v>
      </c>
      <c r="AM3167" t="n">
        <v>16</v>
      </c>
      <c r="AN3167" t="n">
        <v>6</v>
      </c>
      <c r="AO3167" t="n">
        <v>6</v>
      </c>
      <c r="AP3167" t="n">
        <v>0</v>
      </c>
      <c r="AQ3167" t="n">
        <v>0</v>
      </c>
      <c r="AR3167" t="inlineStr">
        <is>
          <t>No</t>
        </is>
      </c>
      <c r="AS3167" t="inlineStr">
        <is>
          <t>Yes</t>
        </is>
      </c>
      <c r="AT3167">
        <f>HYPERLINK("http://catalog.hathitrust.org/Record/001079231","HathiTrust Record")</f>
        <v/>
      </c>
      <c r="AU3167">
        <f>HYPERLINK("https://creighton-primo.hosted.exlibrisgroup.com/primo-explore/search?tab=default_tab&amp;search_scope=EVERYTHING&amp;vid=01CRU&amp;lang=en_US&amp;offset=0&amp;query=any,contains,991001193439702656","Catalog Record")</f>
        <v/>
      </c>
      <c r="AV3167">
        <f>HYPERLINK("http://www.worldcat.org/oclc/17263130","WorldCat Record")</f>
        <v/>
      </c>
      <c r="AW3167" t="inlineStr">
        <is>
          <t>365183668:eng</t>
        </is>
      </c>
      <c r="AX3167" t="inlineStr">
        <is>
          <t>17263130</t>
        </is>
      </c>
      <c r="AY3167" t="inlineStr">
        <is>
          <t>991001193439702656</t>
        </is>
      </c>
      <c r="AZ3167" t="inlineStr">
        <is>
          <t>991001193439702656</t>
        </is>
      </c>
      <c r="BA3167" t="inlineStr">
        <is>
          <t>2266574550002656</t>
        </is>
      </c>
      <c r="BB3167" t="inlineStr">
        <is>
          <t>BOOK</t>
        </is>
      </c>
      <c r="BD3167" t="inlineStr">
        <is>
          <t>9780816187652</t>
        </is>
      </c>
      <c r="BE3167" t="inlineStr">
        <is>
          <t>32285001152932</t>
        </is>
      </c>
      <c r="BF3167" t="inlineStr">
        <is>
          <t>893334141</t>
        </is>
      </c>
    </row>
    <row r="3168">
      <c r="A3168" t="inlineStr">
        <is>
          <t>No</t>
        </is>
      </c>
      <c r="B3168" t="inlineStr">
        <is>
          <t>CURAL</t>
        </is>
      </c>
      <c r="C3168" t="inlineStr">
        <is>
          <t>SHELVES</t>
        </is>
      </c>
      <c r="D3168" t="inlineStr">
        <is>
          <t>PR6023.A93 Z623389 1989</t>
        </is>
      </c>
      <c r="E3168" t="inlineStr">
        <is>
          <t>0                      PR 6023000A  93                 Z  623389      1989</t>
        </is>
      </c>
      <c r="F3168" t="inlineStr">
        <is>
          <t>D.H. Lawrence in the modern world / edited by Peter Preston and Peter Hoare.</t>
        </is>
      </c>
      <c r="H3168" t="inlineStr">
        <is>
          <t>No</t>
        </is>
      </c>
      <c r="I3168" t="inlineStr">
        <is>
          <t>1</t>
        </is>
      </c>
      <c r="J3168" t="inlineStr">
        <is>
          <t>No</t>
        </is>
      </c>
      <c r="K3168" t="inlineStr">
        <is>
          <t>No</t>
        </is>
      </c>
      <c r="L3168" t="inlineStr">
        <is>
          <t>0</t>
        </is>
      </c>
      <c r="N3168" t="inlineStr">
        <is>
          <t>Cambridge [England] ; New York : Cambridge University Press, 1989.</t>
        </is>
      </c>
      <c r="O3168" t="inlineStr">
        <is>
          <t>1989</t>
        </is>
      </c>
      <c r="Q3168" t="inlineStr">
        <is>
          <t>eng</t>
        </is>
      </c>
      <c r="R3168" t="inlineStr">
        <is>
          <t>enk</t>
        </is>
      </c>
      <c r="T3168" t="inlineStr">
        <is>
          <t xml:space="preserve">PR </t>
        </is>
      </c>
      <c r="U3168" t="n">
        <v>2</v>
      </c>
      <c r="V3168" t="n">
        <v>2</v>
      </c>
      <c r="W3168" t="inlineStr">
        <is>
          <t>2004-11-04</t>
        </is>
      </c>
      <c r="X3168" t="inlineStr">
        <is>
          <t>2004-11-04</t>
        </is>
      </c>
      <c r="Y3168" t="inlineStr">
        <is>
          <t>1990-05-08</t>
        </is>
      </c>
      <c r="Z3168" t="inlineStr">
        <is>
          <t>1990-05-08</t>
        </is>
      </c>
      <c r="AA3168" t="n">
        <v>443</v>
      </c>
      <c r="AB3168" t="n">
        <v>389</v>
      </c>
      <c r="AC3168" t="n">
        <v>450</v>
      </c>
      <c r="AD3168" t="n">
        <v>4</v>
      </c>
      <c r="AE3168" t="n">
        <v>5</v>
      </c>
      <c r="AF3168" t="n">
        <v>25</v>
      </c>
      <c r="AG3168" t="n">
        <v>28</v>
      </c>
      <c r="AH3168" t="n">
        <v>10</v>
      </c>
      <c r="AI3168" t="n">
        <v>11</v>
      </c>
      <c r="AJ3168" t="n">
        <v>6</v>
      </c>
      <c r="AK3168" t="n">
        <v>7</v>
      </c>
      <c r="AL3168" t="n">
        <v>11</v>
      </c>
      <c r="AM3168" t="n">
        <v>13</v>
      </c>
      <c r="AN3168" t="n">
        <v>3</v>
      </c>
      <c r="AO3168" t="n">
        <v>4</v>
      </c>
      <c r="AP3168" t="n">
        <v>0</v>
      </c>
      <c r="AQ3168" t="n">
        <v>0</v>
      </c>
      <c r="AR3168" t="inlineStr">
        <is>
          <t>No</t>
        </is>
      </c>
      <c r="AS3168" t="inlineStr">
        <is>
          <t>No</t>
        </is>
      </c>
      <c r="AU3168">
        <f>HYPERLINK("https://creighton-primo.hosted.exlibrisgroup.com/primo-explore/search?tab=default_tab&amp;search_scope=EVERYTHING&amp;vid=01CRU&amp;lang=en_US&amp;offset=0&amp;query=any,contains,991001357849702656","Catalog Record")</f>
        <v/>
      </c>
      <c r="AV3168">
        <f>HYPERLINK("http://www.worldcat.org/oclc/18497301","WorldCat Record")</f>
        <v/>
      </c>
      <c r="AW3168" t="inlineStr">
        <is>
          <t>2096506324:eng</t>
        </is>
      </c>
      <c r="AX3168" t="inlineStr">
        <is>
          <t>18497301</t>
        </is>
      </c>
      <c r="AY3168" t="inlineStr">
        <is>
          <t>991001357849702656</t>
        </is>
      </c>
      <c r="AZ3168" t="inlineStr">
        <is>
          <t>991001357849702656</t>
        </is>
      </c>
      <c r="BA3168" t="inlineStr">
        <is>
          <t>2271057560002656</t>
        </is>
      </c>
      <c r="BB3168" t="inlineStr">
        <is>
          <t>BOOK</t>
        </is>
      </c>
      <c r="BD3168" t="inlineStr">
        <is>
          <t>9780521371698</t>
        </is>
      </c>
      <c r="BE3168" t="inlineStr">
        <is>
          <t>32285000119999</t>
        </is>
      </c>
      <c r="BF3168" t="inlineStr">
        <is>
          <t>893426538</t>
        </is>
      </c>
    </row>
    <row r="3169">
      <c r="A3169" t="inlineStr">
        <is>
          <t>No</t>
        </is>
      </c>
      <c r="B3169" t="inlineStr">
        <is>
          <t>CURAL</t>
        </is>
      </c>
      <c r="C3169" t="inlineStr">
        <is>
          <t>SHELVES</t>
        </is>
      </c>
      <c r="D3169" t="inlineStr">
        <is>
          <t>PR6023.A93 Z623613</t>
        </is>
      </c>
      <c r="E3169" t="inlineStr">
        <is>
          <t>0                      PR 6023000A  93                 Z  623613</t>
        </is>
      </c>
      <c r="F3169" t="inlineStr">
        <is>
          <t>D. H. Lawrence, the man and his work : the formative years: 1885-1919 / translated from the French by Katharine M. Delavenay.</t>
        </is>
      </c>
      <c r="H3169" t="inlineStr">
        <is>
          <t>No</t>
        </is>
      </c>
      <c r="I3169" t="inlineStr">
        <is>
          <t>1</t>
        </is>
      </c>
      <c r="J3169" t="inlineStr">
        <is>
          <t>No</t>
        </is>
      </c>
      <c r="K3169" t="inlineStr">
        <is>
          <t>No</t>
        </is>
      </c>
      <c r="L3169" t="inlineStr">
        <is>
          <t>0</t>
        </is>
      </c>
      <c r="M3169" t="inlineStr">
        <is>
          <t>Delavenay, Emile.</t>
        </is>
      </c>
      <c r="N3169" t="inlineStr">
        <is>
          <t>Carbondale : Southern Illinois University Press, [1972]</t>
        </is>
      </c>
      <c r="O3169" t="inlineStr">
        <is>
          <t>1972</t>
        </is>
      </c>
      <c r="Q3169" t="inlineStr">
        <is>
          <t>eng</t>
        </is>
      </c>
      <c r="R3169" t="inlineStr">
        <is>
          <t>ilu</t>
        </is>
      </c>
      <c r="T3169" t="inlineStr">
        <is>
          <t xml:space="preserve">PR </t>
        </is>
      </c>
      <c r="U3169" t="n">
        <v>3</v>
      </c>
      <c r="V3169" t="n">
        <v>3</v>
      </c>
      <c r="W3169" t="inlineStr">
        <is>
          <t>2004-11-04</t>
        </is>
      </c>
      <c r="X3169" t="inlineStr">
        <is>
          <t>2004-11-04</t>
        </is>
      </c>
      <c r="Y3169" t="inlineStr">
        <is>
          <t>1992-03-03</t>
        </is>
      </c>
      <c r="Z3169" t="inlineStr">
        <is>
          <t>1992-03-03</t>
        </is>
      </c>
      <c r="AA3169" t="n">
        <v>412</v>
      </c>
      <c r="AB3169" t="n">
        <v>387</v>
      </c>
      <c r="AC3169" t="n">
        <v>488</v>
      </c>
      <c r="AD3169" t="n">
        <v>5</v>
      </c>
      <c r="AE3169" t="n">
        <v>6</v>
      </c>
      <c r="AF3169" t="n">
        <v>20</v>
      </c>
      <c r="AG3169" t="n">
        <v>25</v>
      </c>
      <c r="AH3169" t="n">
        <v>6</v>
      </c>
      <c r="AI3169" t="n">
        <v>6</v>
      </c>
      <c r="AJ3169" t="n">
        <v>4</v>
      </c>
      <c r="AK3169" t="n">
        <v>6</v>
      </c>
      <c r="AL3169" t="n">
        <v>9</v>
      </c>
      <c r="AM3169" t="n">
        <v>13</v>
      </c>
      <c r="AN3169" t="n">
        <v>4</v>
      </c>
      <c r="AO3169" t="n">
        <v>5</v>
      </c>
      <c r="AP3169" t="n">
        <v>0</v>
      </c>
      <c r="AQ3169" t="n">
        <v>0</v>
      </c>
      <c r="AR3169" t="inlineStr">
        <is>
          <t>No</t>
        </is>
      </c>
      <c r="AS3169" t="inlineStr">
        <is>
          <t>No</t>
        </is>
      </c>
      <c r="AU3169">
        <f>HYPERLINK("https://creighton-primo.hosted.exlibrisgroup.com/primo-explore/search?tab=default_tab&amp;search_scope=EVERYTHING&amp;vid=01CRU&amp;lang=en_US&amp;offset=0&amp;query=any,contains,991002731469702656","Catalog Record")</f>
        <v/>
      </c>
      <c r="AV3169">
        <f>HYPERLINK("http://www.worldcat.org/oclc/416752","WorldCat Record")</f>
        <v/>
      </c>
      <c r="AW3169" t="inlineStr">
        <is>
          <t>3861467430:eng</t>
        </is>
      </c>
      <c r="AX3169" t="inlineStr">
        <is>
          <t>416752</t>
        </is>
      </c>
      <c r="AY3169" t="inlineStr">
        <is>
          <t>991002731469702656</t>
        </is>
      </c>
      <c r="AZ3169" t="inlineStr">
        <is>
          <t>991002731469702656</t>
        </is>
      </c>
      <c r="BA3169" t="inlineStr">
        <is>
          <t>2268825730002656</t>
        </is>
      </c>
      <c r="BB3169" t="inlineStr">
        <is>
          <t>BOOK</t>
        </is>
      </c>
      <c r="BD3169" t="inlineStr">
        <is>
          <t>9780809306039</t>
        </is>
      </c>
      <c r="BE3169" t="inlineStr">
        <is>
          <t>32285000990589</t>
        </is>
      </c>
      <c r="BF3169" t="inlineStr">
        <is>
          <t>893409453</t>
        </is>
      </c>
    </row>
    <row r="3170">
      <c r="A3170" t="inlineStr">
        <is>
          <t>No</t>
        </is>
      </c>
      <c r="B3170" t="inlineStr">
        <is>
          <t>CURAL</t>
        </is>
      </c>
      <c r="C3170" t="inlineStr">
        <is>
          <t>SHELVES</t>
        </is>
      </c>
      <c r="D3170" t="inlineStr">
        <is>
          <t>PR6023.A93 Z6245 1970b</t>
        </is>
      </c>
      <c r="E3170" t="inlineStr">
        <is>
          <t>0                      PR 6023000A  93                 Z  6245        1970b</t>
        </is>
      </c>
      <c r="F3170" t="inlineStr">
        <is>
          <t>D. H. Lawrence, the critical heritage / edited by R. P. Draper.</t>
        </is>
      </c>
      <c r="H3170" t="inlineStr">
        <is>
          <t>No</t>
        </is>
      </c>
      <c r="I3170" t="inlineStr">
        <is>
          <t>1</t>
        </is>
      </c>
      <c r="J3170" t="inlineStr">
        <is>
          <t>No</t>
        </is>
      </c>
      <c r="K3170" t="inlineStr">
        <is>
          <t>No</t>
        </is>
      </c>
      <c r="L3170" t="inlineStr">
        <is>
          <t>0</t>
        </is>
      </c>
      <c r="M3170" t="inlineStr">
        <is>
          <t>Draper, Ronald P., 1928- compiler.</t>
        </is>
      </c>
      <c r="N3170" t="inlineStr">
        <is>
          <t>New York : Barnes &amp; Noble, [1970]</t>
        </is>
      </c>
      <c r="O3170" t="inlineStr">
        <is>
          <t>1970</t>
        </is>
      </c>
      <c r="Q3170" t="inlineStr">
        <is>
          <t>eng</t>
        </is>
      </c>
      <c r="R3170" t="inlineStr">
        <is>
          <t>nyu</t>
        </is>
      </c>
      <c r="S3170" t="inlineStr">
        <is>
          <t>The Critical heritage series</t>
        </is>
      </c>
      <c r="T3170" t="inlineStr">
        <is>
          <t xml:space="preserve">PR </t>
        </is>
      </c>
      <c r="U3170" t="n">
        <v>6</v>
      </c>
      <c r="V3170" t="n">
        <v>6</v>
      </c>
      <c r="W3170" t="inlineStr">
        <is>
          <t>2004-11-03</t>
        </is>
      </c>
      <c r="X3170" t="inlineStr">
        <is>
          <t>2004-11-03</t>
        </is>
      </c>
      <c r="Y3170" t="inlineStr">
        <is>
          <t>1992-07-16</t>
        </is>
      </c>
      <c r="Z3170" t="inlineStr">
        <is>
          <t>1992-07-16</t>
        </is>
      </c>
      <c r="AA3170" t="n">
        <v>659</v>
      </c>
      <c r="AB3170" t="n">
        <v>634</v>
      </c>
      <c r="AC3170" t="n">
        <v>1617</v>
      </c>
      <c r="AD3170" t="n">
        <v>6</v>
      </c>
      <c r="AE3170" t="n">
        <v>15</v>
      </c>
      <c r="AF3170" t="n">
        <v>25</v>
      </c>
      <c r="AG3170" t="n">
        <v>58</v>
      </c>
      <c r="AH3170" t="n">
        <v>11</v>
      </c>
      <c r="AI3170" t="n">
        <v>23</v>
      </c>
      <c r="AJ3170" t="n">
        <v>6</v>
      </c>
      <c r="AK3170" t="n">
        <v>11</v>
      </c>
      <c r="AL3170" t="n">
        <v>11</v>
      </c>
      <c r="AM3170" t="n">
        <v>23</v>
      </c>
      <c r="AN3170" t="n">
        <v>5</v>
      </c>
      <c r="AO3170" t="n">
        <v>13</v>
      </c>
      <c r="AP3170" t="n">
        <v>0</v>
      </c>
      <c r="AQ3170" t="n">
        <v>2</v>
      </c>
      <c r="AR3170" t="inlineStr">
        <is>
          <t>No</t>
        </is>
      </c>
      <c r="AS3170" t="inlineStr">
        <is>
          <t>Yes</t>
        </is>
      </c>
      <c r="AT3170">
        <f>HYPERLINK("http://catalog.hathitrust.org/Record/007128044","HathiTrust Record")</f>
        <v/>
      </c>
      <c r="AU3170">
        <f>HYPERLINK("https://creighton-primo.hosted.exlibrisgroup.com/primo-explore/search?tab=default_tab&amp;search_scope=EVERYTHING&amp;vid=01CRU&amp;lang=en_US&amp;offset=0&amp;query=any,contains,991000542769702656","Catalog Record")</f>
        <v/>
      </c>
      <c r="AV3170">
        <f>HYPERLINK("http://www.worldcat.org/oclc/90920","WorldCat Record")</f>
        <v/>
      </c>
      <c r="AW3170" t="inlineStr">
        <is>
          <t>9462924773:eng</t>
        </is>
      </c>
      <c r="AX3170" t="inlineStr">
        <is>
          <t>90920</t>
        </is>
      </c>
      <c r="AY3170" t="inlineStr">
        <is>
          <t>991000542769702656</t>
        </is>
      </c>
      <c r="AZ3170" t="inlineStr">
        <is>
          <t>991000542769702656</t>
        </is>
      </c>
      <c r="BA3170" t="inlineStr">
        <is>
          <t>2266352720002656</t>
        </is>
      </c>
      <c r="BB3170" t="inlineStr">
        <is>
          <t>BOOK</t>
        </is>
      </c>
      <c r="BD3170" t="inlineStr">
        <is>
          <t>9780389010883</t>
        </is>
      </c>
      <c r="BE3170" t="inlineStr">
        <is>
          <t>32285001153005</t>
        </is>
      </c>
      <c r="BF3170" t="inlineStr">
        <is>
          <t>893237400</t>
        </is>
      </c>
    </row>
    <row r="3171">
      <c r="A3171" t="inlineStr">
        <is>
          <t>No</t>
        </is>
      </c>
      <c r="B3171" t="inlineStr">
        <is>
          <t>CURAL</t>
        </is>
      </c>
      <c r="C3171" t="inlineStr">
        <is>
          <t>SHELVES</t>
        </is>
      </c>
      <c r="D3171" t="inlineStr">
        <is>
          <t>PR6023.A93 Z626</t>
        </is>
      </c>
      <c r="E3171" t="inlineStr">
        <is>
          <t>0                      PR 6023000A  93                 Z  626</t>
        </is>
      </c>
      <c r="F3171" t="inlineStr">
        <is>
          <t>Boarding the ship of death : D. H. Lawrence's quester heroes / by Samuel A. Eisenstein.</t>
        </is>
      </c>
      <c r="H3171" t="inlineStr">
        <is>
          <t>No</t>
        </is>
      </c>
      <c r="I3171" t="inlineStr">
        <is>
          <t>1</t>
        </is>
      </c>
      <c r="J3171" t="inlineStr">
        <is>
          <t>No</t>
        </is>
      </c>
      <c r="K3171" t="inlineStr">
        <is>
          <t>No</t>
        </is>
      </c>
      <c r="L3171" t="inlineStr">
        <is>
          <t>0</t>
        </is>
      </c>
      <c r="M3171" t="inlineStr">
        <is>
          <t>Eisenstein, Samuel A. (Samuel Abraham)</t>
        </is>
      </c>
      <c r="N3171" t="inlineStr">
        <is>
          <t>The Hague : Mouton, 1974.</t>
        </is>
      </c>
      <c r="O3171" t="inlineStr">
        <is>
          <t>1974</t>
        </is>
      </c>
      <c r="Q3171" t="inlineStr">
        <is>
          <t>eng</t>
        </is>
      </c>
      <c r="R3171" t="inlineStr">
        <is>
          <t xml:space="preserve">ne </t>
        </is>
      </c>
      <c r="S3171" t="inlineStr">
        <is>
          <t>De proprietatibus litterarum. Series practica ; 42</t>
        </is>
      </c>
      <c r="T3171" t="inlineStr">
        <is>
          <t xml:space="preserve">PR </t>
        </is>
      </c>
      <c r="U3171" t="n">
        <v>2</v>
      </c>
      <c r="V3171" t="n">
        <v>2</v>
      </c>
      <c r="W3171" t="inlineStr">
        <is>
          <t>1995-04-19</t>
        </is>
      </c>
      <c r="X3171" t="inlineStr">
        <is>
          <t>1995-04-19</t>
        </is>
      </c>
      <c r="Y3171" t="inlineStr">
        <is>
          <t>1992-07-16</t>
        </is>
      </c>
      <c r="Z3171" t="inlineStr">
        <is>
          <t>1992-07-16</t>
        </is>
      </c>
      <c r="AA3171" t="n">
        <v>263</v>
      </c>
      <c r="AB3171" t="n">
        <v>179</v>
      </c>
      <c r="AC3171" t="n">
        <v>192</v>
      </c>
      <c r="AD3171" t="n">
        <v>1</v>
      </c>
      <c r="AE3171" t="n">
        <v>1</v>
      </c>
      <c r="AF3171" t="n">
        <v>9</v>
      </c>
      <c r="AG3171" t="n">
        <v>9</v>
      </c>
      <c r="AH3171" t="n">
        <v>2</v>
      </c>
      <c r="AI3171" t="n">
        <v>2</v>
      </c>
      <c r="AJ3171" t="n">
        <v>2</v>
      </c>
      <c r="AK3171" t="n">
        <v>2</v>
      </c>
      <c r="AL3171" t="n">
        <v>6</v>
      </c>
      <c r="AM3171" t="n">
        <v>6</v>
      </c>
      <c r="AN3171" t="n">
        <v>0</v>
      </c>
      <c r="AO3171" t="n">
        <v>0</v>
      </c>
      <c r="AP3171" t="n">
        <v>0</v>
      </c>
      <c r="AQ3171" t="n">
        <v>0</v>
      </c>
      <c r="AR3171" t="inlineStr">
        <is>
          <t>No</t>
        </is>
      </c>
      <c r="AS3171" t="inlineStr">
        <is>
          <t>Yes</t>
        </is>
      </c>
      <c r="AT3171">
        <f>HYPERLINK("http://catalog.hathitrust.org/Record/000591477","HathiTrust Record")</f>
        <v/>
      </c>
      <c r="AU3171">
        <f>HYPERLINK("https://creighton-primo.hosted.exlibrisgroup.com/primo-explore/search?tab=default_tab&amp;search_scope=EVERYTHING&amp;vid=01CRU&amp;lang=en_US&amp;offset=0&amp;query=any,contains,991003537159702656","Catalog Record")</f>
        <v/>
      </c>
      <c r="AV3171">
        <f>HYPERLINK("http://www.worldcat.org/oclc/1102838","WorldCat Record")</f>
        <v/>
      </c>
      <c r="AW3171" t="inlineStr">
        <is>
          <t>257542709:eng</t>
        </is>
      </c>
      <c r="AX3171" t="inlineStr">
        <is>
          <t>1102838</t>
        </is>
      </c>
      <c r="AY3171" t="inlineStr">
        <is>
          <t>991003537159702656</t>
        </is>
      </c>
      <c r="AZ3171" t="inlineStr">
        <is>
          <t>991003537159702656</t>
        </is>
      </c>
      <c r="BA3171" t="inlineStr">
        <is>
          <t>2270127220002656</t>
        </is>
      </c>
      <c r="BB3171" t="inlineStr">
        <is>
          <t>BOOK</t>
        </is>
      </c>
      <c r="BE3171" t="inlineStr">
        <is>
          <t>32285001153013</t>
        </is>
      </c>
      <c r="BF3171" t="inlineStr">
        <is>
          <t>893258533</t>
        </is>
      </c>
    </row>
    <row r="3172">
      <c r="A3172" t="inlineStr">
        <is>
          <t>No</t>
        </is>
      </c>
      <c r="B3172" t="inlineStr">
        <is>
          <t>CURAL</t>
        </is>
      </c>
      <c r="C3172" t="inlineStr">
        <is>
          <t>SHELVES</t>
        </is>
      </c>
      <c r="D3172" t="inlineStr">
        <is>
          <t>PR6023.A93 Z6262 1988</t>
        </is>
      </c>
      <c r="E3172" t="inlineStr">
        <is>
          <t>0                      PR 6023000A  93                 Z  6262        1988</t>
        </is>
      </c>
      <c r="F3172" t="inlineStr">
        <is>
          <t>D.H. Lawrence's non-fiction : art, thought, and genre / David Ellis and Howard Mills.</t>
        </is>
      </c>
      <c r="H3172" t="inlineStr">
        <is>
          <t>No</t>
        </is>
      </c>
      <c r="I3172" t="inlineStr">
        <is>
          <t>1</t>
        </is>
      </c>
      <c r="J3172" t="inlineStr">
        <is>
          <t>No</t>
        </is>
      </c>
      <c r="K3172" t="inlineStr">
        <is>
          <t>No</t>
        </is>
      </c>
      <c r="L3172" t="inlineStr">
        <is>
          <t>0</t>
        </is>
      </c>
      <c r="M3172" t="inlineStr">
        <is>
          <t>Ellis, David, 1939-</t>
        </is>
      </c>
      <c r="N3172" t="inlineStr">
        <is>
          <t>Cambridge [Cambridgeshire] ; New York : Cambridge University Press, 1988.</t>
        </is>
      </c>
      <c r="O3172" t="inlineStr">
        <is>
          <t>1988</t>
        </is>
      </c>
      <c r="Q3172" t="inlineStr">
        <is>
          <t>eng</t>
        </is>
      </c>
      <c r="R3172" t="inlineStr">
        <is>
          <t>enk</t>
        </is>
      </c>
      <c r="T3172" t="inlineStr">
        <is>
          <t xml:space="preserve">PR </t>
        </is>
      </c>
      <c r="U3172" t="n">
        <v>1</v>
      </c>
      <c r="V3172" t="n">
        <v>1</v>
      </c>
      <c r="W3172" t="inlineStr">
        <is>
          <t>2004-09-23</t>
        </is>
      </c>
      <c r="X3172" t="inlineStr">
        <is>
          <t>2004-09-23</t>
        </is>
      </c>
      <c r="Y3172" t="inlineStr">
        <is>
          <t>1992-07-15</t>
        </is>
      </c>
      <c r="Z3172" t="inlineStr">
        <is>
          <t>1992-07-15</t>
        </is>
      </c>
      <c r="AA3172" t="n">
        <v>446</v>
      </c>
      <c r="AB3172" t="n">
        <v>333</v>
      </c>
      <c r="AC3172" t="n">
        <v>340</v>
      </c>
      <c r="AD3172" t="n">
        <v>3</v>
      </c>
      <c r="AE3172" t="n">
        <v>3</v>
      </c>
      <c r="AF3172" t="n">
        <v>17</v>
      </c>
      <c r="AG3172" t="n">
        <v>17</v>
      </c>
      <c r="AH3172" t="n">
        <v>3</v>
      </c>
      <c r="AI3172" t="n">
        <v>3</v>
      </c>
      <c r="AJ3172" t="n">
        <v>5</v>
      </c>
      <c r="AK3172" t="n">
        <v>5</v>
      </c>
      <c r="AL3172" t="n">
        <v>12</v>
      </c>
      <c r="AM3172" t="n">
        <v>12</v>
      </c>
      <c r="AN3172" t="n">
        <v>2</v>
      </c>
      <c r="AO3172" t="n">
        <v>2</v>
      </c>
      <c r="AP3172" t="n">
        <v>0</v>
      </c>
      <c r="AQ3172" t="n">
        <v>0</v>
      </c>
      <c r="AR3172" t="inlineStr">
        <is>
          <t>No</t>
        </is>
      </c>
      <c r="AS3172" t="inlineStr">
        <is>
          <t>No</t>
        </is>
      </c>
      <c r="AU3172">
        <f>HYPERLINK("https://creighton-primo.hosted.exlibrisgroup.com/primo-explore/search?tab=default_tab&amp;search_scope=EVERYTHING&amp;vid=01CRU&amp;lang=en_US&amp;offset=0&amp;query=any,contains,991001131029702656","Catalog Record")</f>
        <v/>
      </c>
      <c r="AV3172">
        <f>HYPERLINK("http://www.worldcat.org/oclc/16683065","WorldCat Record")</f>
        <v/>
      </c>
      <c r="AW3172" t="inlineStr">
        <is>
          <t>363793656:eng</t>
        </is>
      </c>
      <c r="AX3172" t="inlineStr">
        <is>
          <t>16683065</t>
        </is>
      </c>
      <c r="AY3172" t="inlineStr">
        <is>
          <t>991001131029702656</t>
        </is>
      </c>
      <c r="AZ3172" t="inlineStr">
        <is>
          <t>991001131029702656</t>
        </is>
      </c>
      <c r="BA3172" t="inlineStr">
        <is>
          <t>2272112570002656</t>
        </is>
      </c>
      <c r="BB3172" t="inlineStr">
        <is>
          <t>BOOK</t>
        </is>
      </c>
      <c r="BD3172" t="inlineStr">
        <is>
          <t>9780521327398</t>
        </is>
      </c>
      <c r="BE3172" t="inlineStr">
        <is>
          <t>32285001153021</t>
        </is>
      </c>
      <c r="BF3172" t="inlineStr">
        <is>
          <t>893791190</t>
        </is>
      </c>
    </row>
    <row r="3173">
      <c r="A3173" t="inlineStr">
        <is>
          <t>No</t>
        </is>
      </c>
      <c r="B3173" t="inlineStr">
        <is>
          <t>CURAL</t>
        </is>
      </c>
      <c r="C3173" t="inlineStr">
        <is>
          <t>SHELVES</t>
        </is>
      </c>
      <c r="D3173" t="inlineStr">
        <is>
          <t>PR6023.A93 Z6293</t>
        </is>
      </c>
      <c r="E3173" t="inlineStr">
        <is>
          <t>0                      PR 6023000A  93                 Z  6293</t>
        </is>
      </c>
      <c r="F3173" t="inlineStr">
        <is>
          <t>Acts of attention : the poems of D. H. Lawrence / [by] Sandra M. Gilbert.</t>
        </is>
      </c>
      <c r="H3173" t="inlineStr">
        <is>
          <t>No</t>
        </is>
      </c>
      <c r="I3173" t="inlineStr">
        <is>
          <t>1</t>
        </is>
      </c>
      <c r="J3173" t="inlineStr">
        <is>
          <t>No</t>
        </is>
      </c>
      <c r="K3173" t="inlineStr">
        <is>
          <t>No</t>
        </is>
      </c>
      <c r="L3173" t="inlineStr">
        <is>
          <t>0</t>
        </is>
      </c>
      <c r="M3173" t="inlineStr">
        <is>
          <t>Gilbert, Sandra M.</t>
        </is>
      </c>
      <c r="N3173" t="inlineStr">
        <is>
          <t>Ithaca [N.Y.] : Cornell University Press, [1972]</t>
        </is>
      </c>
      <c r="O3173" t="inlineStr">
        <is>
          <t>1972</t>
        </is>
      </c>
      <c r="Q3173" t="inlineStr">
        <is>
          <t>eng</t>
        </is>
      </c>
      <c r="R3173" t="inlineStr">
        <is>
          <t>nyu</t>
        </is>
      </c>
      <c r="T3173" t="inlineStr">
        <is>
          <t xml:space="preserve">PR </t>
        </is>
      </c>
      <c r="U3173" t="n">
        <v>1</v>
      </c>
      <c r="V3173" t="n">
        <v>1</v>
      </c>
      <c r="W3173" t="inlineStr">
        <is>
          <t>1995-09-27</t>
        </is>
      </c>
      <c r="X3173" t="inlineStr">
        <is>
          <t>1995-09-27</t>
        </is>
      </c>
      <c r="Y3173" t="inlineStr">
        <is>
          <t>1992-07-16</t>
        </is>
      </c>
      <c r="Z3173" t="inlineStr">
        <is>
          <t>1992-07-16</t>
        </is>
      </c>
      <c r="AA3173" t="n">
        <v>907</v>
      </c>
      <c r="AB3173" t="n">
        <v>741</v>
      </c>
      <c r="AC3173" t="n">
        <v>819</v>
      </c>
      <c r="AD3173" t="n">
        <v>6</v>
      </c>
      <c r="AE3173" t="n">
        <v>6</v>
      </c>
      <c r="AF3173" t="n">
        <v>40</v>
      </c>
      <c r="AG3173" t="n">
        <v>45</v>
      </c>
      <c r="AH3173" t="n">
        <v>17</v>
      </c>
      <c r="AI3173" t="n">
        <v>20</v>
      </c>
      <c r="AJ3173" t="n">
        <v>9</v>
      </c>
      <c r="AK3173" t="n">
        <v>10</v>
      </c>
      <c r="AL3173" t="n">
        <v>19</v>
      </c>
      <c r="AM3173" t="n">
        <v>23</v>
      </c>
      <c r="AN3173" t="n">
        <v>4</v>
      </c>
      <c r="AO3173" t="n">
        <v>4</v>
      </c>
      <c r="AP3173" t="n">
        <v>0</v>
      </c>
      <c r="AQ3173" t="n">
        <v>0</v>
      </c>
      <c r="AR3173" t="inlineStr">
        <is>
          <t>No</t>
        </is>
      </c>
      <c r="AS3173" t="inlineStr">
        <is>
          <t>Yes</t>
        </is>
      </c>
      <c r="AT3173">
        <f>HYPERLINK("http://catalog.hathitrust.org/Record/000591483","HathiTrust Record")</f>
        <v/>
      </c>
      <c r="AU3173">
        <f>HYPERLINK("https://creighton-primo.hosted.exlibrisgroup.com/primo-explore/search?tab=default_tab&amp;search_scope=EVERYTHING&amp;vid=01CRU&amp;lang=en_US&amp;offset=0&amp;query=any,contains,991002759489702656","Catalog Record")</f>
        <v/>
      </c>
      <c r="AV3173">
        <f>HYPERLINK("http://www.worldcat.org/oclc/427444","WorldCat Record")</f>
        <v/>
      </c>
      <c r="AW3173" t="inlineStr">
        <is>
          <t>1075393:eng</t>
        </is>
      </c>
      <c r="AX3173" t="inlineStr">
        <is>
          <t>427444</t>
        </is>
      </c>
      <c r="AY3173" t="inlineStr">
        <is>
          <t>991002759489702656</t>
        </is>
      </c>
      <c r="AZ3173" t="inlineStr">
        <is>
          <t>991002759489702656</t>
        </is>
      </c>
      <c r="BA3173" t="inlineStr">
        <is>
          <t>2264601400002656</t>
        </is>
      </c>
      <c r="BB3173" t="inlineStr">
        <is>
          <t>BOOK</t>
        </is>
      </c>
      <c r="BD3173" t="inlineStr">
        <is>
          <t>9780801407314</t>
        </is>
      </c>
      <c r="BE3173" t="inlineStr">
        <is>
          <t>32285001153047</t>
        </is>
      </c>
      <c r="BF3173" t="inlineStr">
        <is>
          <t>893511158</t>
        </is>
      </c>
    </row>
    <row r="3174">
      <c r="A3174" t="inlineStr">
        <is>
          <t>No</t>
        </is>
      </c>
      <c r="B3174" t="inlineStr">
        <is>
          <t>CURAL</t>
        </is>
      </c>
      <c r="C3174" t="inlineStr">
        <is>
          <t>SHELVES</t>
        </is>
      </c>
      <c r="D3174" t="inlineStr">
        <is>
          <t>PR6023.A93 Z62975</t>
        </is>
      </c>
      <c r="E3174" t="inlineStr">
        <is>
          <t>0                      PR 6023000A  93                 Z  62975</t>
        </is>
      </c>
      <c r="F3174" t="inlineStr">
        <is>
          <t>D.H. Lawrence as a literary critic / [by] David J. Gordon.</t>
        </is>
      </c>
      <c r="H3174" t="inlineStr">
        <is>
          <t>No</t>
        </is>
      </c>
      <c r="I3174" t="inlineStr">
        <is>
          <t>1</t>
        </is>
      </c>
      <c r="J3174" t="inlineStr">
        <is>
          <t>No</t>
        </is>
      </c>
      <c r="K3174" t="inlineStr">
        <is>
          <t>No</t>
        </is>
      </c>
      <c r="L3174" t="inlineStr">
        <is>
          <t>0</t>
        </is>
      </c>
      <c r="M3174" t="inlineStr">
        <is>
          <t>Gordon, David J.</t>
        </is>
      </c>
      <c r="N3174" t="inlineStr">
        <is>
          <t>New Haven, Yale University Press [1966]</t>
        </is>
      </c>
      <c r="O3174" t="inlineStr">
        <is>
          <t>1966</t>
        </is>
      </c>
      <c r="Q3174" t="inlineStr">
        <is>
          <t>eng</t>
        </is>
      </c>
      <c r="R3174" t="inlineStr">
        <is>
          <t>ctu</t>
        </is>
      </c>
      <c r="S3174" t="inlineStr">
        <is>
          <t>Yale studies in English ; v. 161 [i.e. 162]</t>
        </is>
      </c>
      <c r="T3174" t="inlineStr">
        <is>
          <t xml:space="preserve">PR </t>
        </is>
      </c>
      <c r="U3174" t="n">
        <v>1</v>
      </c>
      <c r="V3174" t="n">
        <v>1</v>
      </c>
      <c r="W3174" t="inlineStr">
        <is>
          <t>2004-11-18</t>
        </is>
      </c>
      <c r="X3174" t="inlineStr">
        <is>
          <t>2004-11-18</t>
        </is>
      </c>
      <c r="Y3174" t="inlineStr">
        <is>
          <t>1998-04-14</t>
        </is>
      </c>
      <c r="Z3174" t="inlineStr">
        <is>
          <t>1998-04-14</t>
        </is>
      </c>
      <c r="AA3174" t="n">
        <v>724</v>
      </c>
      <c r="AB3174" t="n">
        <v>588</v>
      </c>
      <c r="AC3174" t="n">
        <v>595</v>
      </c>
      <c r="AD3174" t="n">
        <v>5</v>
      </c>
      <c r="AE3174" t="n">
        <v>5</v>
      </c>
      <c r="AF3174" t="n">
        <v>27</v>
      </c>
      <c r="AG3174" t="n">
        <v>27</v>
      </c>
      <c r="AH3174" t="n">
        <v>11</v>
      </c>
      <c r="AI3174" t="n">
        <v>11</v>
      </c>
      <c r="AJ3174" t="n">
        <v>5</v>
      </c>
      <c r="AK3174" t="n">
        <v>5</v>
      </c>
      <c r="AL3174" t="n">
        <v>16</v>
      </c>
      <c r="AM3174" t="n">
        <v>16</v>
      </c>
      <c r="AN3174" t="n">
        <v>4</v>
      </c>
      <c r="AO3174" t="n">
        <v>4</v>
      </c>
      <c r="AP3174" t="n">
        <v>0</v>
      </c>
      <c r="AQ3174" t="n">
        <v>0</v>
      </c>
      <c r="AR3174" t="inlineStr">
        <is>
          <t>No</t>
        </is>
      </c>
      <c r="AS3174" t="inlineStr">
        <is>
          <t>Yes</t>
        </is>
      </c>
      <c r="AT3174">
        <f>HYPERLINK("http://catalog.hathitrust.org/Record/000591807","HathiTrust Record")</f>
        <v/>
      </c>
      <c r="AU3174">
        <f>HYPERLINK("https://creighton-primo.hosted.exlibrisgroup.com/primo-explore/search?tab=default_tab&amp;search_scope=EVERYTHING&amp;vid=01CRU&amp;lang=en_US&amp;offset=0&amp;query=any,contains,991002183619702656","Catalog Record")</f>
        <v/>
      </c>
      <c r="AV3174">
        <f>HYPERLINK("http://www.worldcat.org/oclc/279505","WorldCat Record")</f>
        <v/>
      </c>
      <c r="AW3174" t="inlineStr">
        <is>
          <t>1423774:eng</t>
        </is>
      </c>
      <c r="AX3174" t="inlineStr">
        <is>
          <t>279505</t>
        </is>
      </c>
      <c r="AY3174" t="inlineStr">
        <is>
          <t>991002183619702656</t>
        </is>
      </c>
      <c r="AZ3174" t="inlineStr">
        <is>
          <t>991002183619702656</t>
        </is>
      </c>
      <c r="BA3174" t="inlineStr">
        <is>
          <t>2261816570002656</t>
        </is>
      </c>
      <c r="BB3174" t="inlineStr">
        <is>
          <t>BOOK</t>
        </is>
      </c>
      <c r="BE3174" t="inlineStr">
        <is>
          <t>32285003374807</t>
        </is>
      </c>
      <c r="BF3174" t="inlineStr">
        <is>
          <t>893615794</t>
        </is>
      </c>
    </row>
    <row r="3175">
      <c r="A3175" t="inlineStr">
        <is>
          <t>No</t>
        </is>
      </c>
      <c r="B3175" t="inlineStr">
        <is>
          <t>CURAL</t>
        </is>
      </c>
      <c r="C3175" t="inlineStr">
        <is>
          <t>SHELVES</t>
        </is>
      </c>
      <c r="D3175" t="inlineStr">
        <is>
          <t>PR6023.A93 Z6312 1973</t>
        </is>
      </c>
      <c r="E3175" t="inlineStr">
        <is>
          <t>0                      PR 6023000A  93                 Z  6312        1973</t>
        </is>
      </c>
      <c r="F3175" t="inlineStr">
        <is>
          <t>D. H. Lawrence : a collection of criticism / edited by Leo Hamalian.</t>
        </is>
      </c>
      <c r="H3175" t="inlineStr">
        <is>
          <t>No</t>
        </is>
      </c>
      <c r="I3175" t="inlineStr">
        <is>
          <t>1</t>
        </is>
      </c>
      <c r="J3175" t="inlineStr">
        <is>
          <t>No</t>
        </is>
      </c>
      <c r="K3175" t="inlineStr">
        <is>
          <t>No</t>
        </is>
      </c>
      <c r="L3175" t="inlineStr">
        <is>
          <t>0</t>
        </is>
      </c>
      <c r="M3175" t="inlineStr">
        <is>
          <t>Hamalian, Leo.</t>
        </is>
      </c>
      <c r="N3175" t="inlineStr">
        <is>
          <t>New York : McGraw-Hill, [1973]</t>
        </is>
      </c>
      <c r="O3175" t="inlineStr">
        <is>
          <t>1973</t>
        </is>
      </c>
      <c r="Q3175" t="inlineStr">
        <is>
          <t>eng</t>
        </is>
      </c>
      <c r="R3175" t="inlineStr">
        <is>
          <t>nyu</t>
        </is>
      </c>
      <c r="S3175" t="inlineStr">
        <is>
          <t>Contemporary studies in literature</t>
        </is>
      </c>
      <c r="T3175" t="inlineStr">
        <is>
          <t xml:space="preserve">PR </t>
        </is>
      </c>
      <c r="U3175" t="n">
        <v>8</v>
      </c>
      <c r="V3175" t="n">
        <v>8</v>
      </c>
      <c r="W3175" t="inlineStr">
        <is>
          <t>2004-11-03</t>
        </is>
      </c>
      <c r="X3175" t="inlineStr">
        <is>
          <t>2004-11-03</t>
        </is>
      </c>
      <c r="Y3175" t="inlineStr">
        <is>
          <t>1990-10-01</t>
        </is>
      </c>
      <c r="Z3175" t="inlineStr">
        <is>
          <t>1990-10-01</t>
        </is>
      </c>
      <c r="AA3175" t="n">
        <v>697</v>
      </c>
      <c r="AB3175" t="n">
        <v>590</v>
      </c>
      <c r="AC3175" t="n">
        <v>595</v>
      </c>
      <c r="AD3175" t="n">
        <v>6</v>
      </c>
      <c r="AE3175" t="n">
        <v>6</v>
      </c>
      <c r="AF3175" t="n">
        <v>24</v>
      </c>
      <c r="AG3175" t="n">
        <v>24</v>
      </c>
      <c r="AH3175" t="n">
        <v>6</v>
      </c>
      <c r="AI3175" t="n">
        <v>6</v>
      </c>
      <c r="AJ3175" t="n">
        <v>8</v>
      </c>
      <c r="AK3175" t="n">
        <v>8</v>
      </c>
      <c r="AL3175" t="n">
        <v>12</v>
      </c>
      <c r="AM3175" t="n">
        <v>12</v>
      </c>
      <c r="AN3175" t="n">
        <v>4</v>
      </c>
      <c r="AO3175" t="n">
        <v>4</v>
      </c>
      <c r="AP3175" t="n">
        <v>0</v>
      </c>
      <c r="AQ3175" t="n">
        <v>0</v>
      </c>
      <c r="AR3175" t="inlineStr">
        <is>
          <t>No</t>
        </is>
      </c>
      <c r="AS3175" t="inlineStr">
        <is>
          <t>Yes</t>
        </is>
      </c>
      <c r="AT3175">
        <f>HYPERLINK("http://catalog.hathitrust.org/Record/000631271","HathiTrust Record")</f>
        <v/>
      </c>
      <c r="AU3175">
        <f>HYPERLINK("https://creighton-primo.hosted.exlibrisgroup.com/primo-explore/search?tab=default_tab&amp;search_scope=EVERYTHING&amp;vid=01CRU&amp;lang=en_US&amp;offset=0&amp;query=any,contains,991003049859702656","Catalog Record")</f>
        <v/>
      </c>
      <c r="AV3175">
        <f>HYPERLINK("http://www.worldcat.org/oclc/609766","WorldCat Record")</f>
        <v/>
      </c>
      <c r="AW3175" t="inlineStr">
        <is>
          <t>366539170:eng</t>
        </is>
      </c>
      <c r="AX3175" t="inlineStr">
        <is>
          <t>609766</t>
        </is>
      </c>
      <c r="AY3175" t="inlineStr">
        <is>
          <t>991003049859702656</t>
        </is>
      </c>
      <c r="AZ3175" t="inlineStr">
        <is>
          <t>991003049859702656</t>
        </is>
      </c>
      <c r="BA3175" t="inlineStr">
        <is>
          <t>2254879150002656</t>
        </is>
      </c>
      <c r="BB3175" t="inlineStr">
        <is>
          <t>BOOK</t>
        </is>
      </c>
      <c r="BD3175" t="inlineStr">
        <is>
          <t>9780070256903</t>
        </is>
      </c>
      <c r="BE3175" t="inlineStr">
        <is>
          <t>32285000295666</t>
        </is>
      </c>
      <c r="BF3175" t="inlineStr">
        <is>
          <t>893239844</t>
        </is>
      </c>
    </row>
    <row r="3176">
      <c r="A3176" t="inlineStr">
        <is>
          <t>No</t>
        </is>
      </c>
      <c r="B3176" t="inlineStr">
        <is>
          <t>CURAL</t>
        </is>
      </c>
      <c r="C3176" t="inlineStr">
        <is>
          <t>SHELVES</t>
        </is>
      </c>
      <c r="D3176" t="inlineStr">
        <is>
          <t>PR6023.A93 Z63127</t>
        </is>
      </c>
      <c r="E3176" t="inlineStr">
        <is>
          <t>0                      PR 6023000A  93                 Z  63127</t>
        </is>
      </c>
      <c r="F3176" t="inlineStr">
        <is>
          <t>D.H. Lawrence in his time, 1908-1915 / Kim A. Herzinger.</t>
        </is>
      </c>
      <c r="H3176" t="inlineStr">
        <is>
          <t>No</t>
        </is>
      </c>
      <c r="I3176" t="inlineStr">
        <is>
          <t>1</t>
        </is>
      </c>
      <c r="J3176" t="inlineStr">
        <is>
          <t>No</t>
        </is>
      </c>
      <c r="K3176" t="inlineStr">
        <is>
          <t>No</t>
        </is>
      </c>
      <c r="L3176" t="inlineStr">
        <is>
          <t>0</t>
        </is>
      </c>
      <c r="M3176" t="inlineStr">
        <is>
          <t>Herzinger, Kim A., 1946-</t>
        </is>
      </c>
      <c r="N3176" t="inlineStr">
        <is>
          <t>Lewisburg : Bucknell University Press ; London : Associated University Presses, c1982.</t>
        </is>
      </c>
      <c r="O3176" t="inlineStr">
        <is>
          <t>1982</t>
        </is>
      </c>
      <c r="Q3176" t="inlineStr">
        <is>
          <t>eng</t>
        </is>
      </c>
      <c r="R3176" t="inlineStr">
        <is>
          <t>pau</t>
        </is>
      </c>
      <c r="T3176" t="inlineStr">
        <is>
          <t xml:space="preserve">PR </t>
        </is>
      </c>
      <c r="U3176" t="n">
        <v>3</v>
      </c>
      <c r="V3176" t="n">
        <v>3</v>
      </c>
      <c r="W3176" t="inlineStr">
        <is>
          <t>1995-10-22</t>
        </is>
      </c>
      <c r="X3176" t="inlineStr">
        <is>
          <t>1995-10-22</t>
        </is>
      </c>
      <c r="Y3176" t="inlineStr">
        <is>
          <t>1992-07-15</t>
        </is>
      </c>
      <c r="Z3176" t="inlineStr">
        <is>
          <t>1992-07-15</t>
        </is>
      </c>
      <c r="AA3176" t="n">
        <v>389</v>
      </c>
      <c r="AB3176" t="n">
        <v>309</v>
      </c>
      <c r="AC3176" t="n">
        <v>316</v>
      </c>
      <c r="AD3176" t="n">
        <v>3</v>
      </c>
      <c r="AE3176" t="n">
        <v>3</v>
      </c>
      <c r="AF3176" t="n">
        <v>20</v>
      </c>
      <c r="AG3176" t="n">
        <v>20</v>
      </c>
      <c r="AH3176" t="n">
        <v>8</v>
      </c>
      <c r="AI3176" t="n">
        <v>8</v>
      </c>
      <c r="AJ3176" t="n">
        <v>6</v>
      </c>
      <c r="AK3176" t="n">
        <v>6</v>
      </c>
      <c r="AL3176" t="n">
        <v>11</v>
      </c>
      <c r="AM3176" t="n">
        <v>11</v>
      </c>
      <c r="AN3176" t="n">
        <v>2</v>
      </c>
      <c r="AO3176" t="n">
        <v>2</v>
      </c>
      <c r="AP3176" t="n">
        <v>0</v>
      </c>
      <c r="AQ3176" t="n">
        <v>0</v>
      </c>
      <c r="AR3176" t="inlineStr">
        <is>
          <t>No</t>
        </is>
      </c>
      <c r="AS3176" t="inlineStr">
        <is>
          <t>Yes</t>
        </is>
      </c>
      <c r="AT3176">
        <f>HYPERLINK("http://catalog.hathitrust.org/Record/000271800","HathiTrust Record")</f>
        <v/>
      </c>
      <c r="AU3176">
        <f>HYPERLINK("https://creighton-primo.hosted.exlibrisgroup.com/primo-explore/search?tab=default_tab&amp;search_scope=EVERYTHING&amp;vid=01CRU&amp;lang=en_US&amp;offset=0&amp;query=any,contains,991005216519702656","Catalog Record")</f>
        <v/>
      </c>
      <c r="AV3176">
        <f>HYPERLINK("http://www.worldcat.org/oclc/8194999","WorldCat Record")</f>
        <v/>
      </c>
      <c r="AW3176" t="inlineStr">
        <is>
          <t>503700:eng</t>
        </is>
      </c>
      <c r="AX3176" t="inlineStr">
        <is>
          <t>8194999</t>
        </is>
      </c>
      <c r="AY3176" t="inlineStr">
        <is>
          <t>991005216519702656</t>
        </is>
      </c>
      <c r="AZ3176" t="inlineStr">
        <is>
          <t>991005216519702656</t>
        </is>
      </c>
      <c r="BA3176" t="inlineStr">
        <is>
          <t>2268597810002656</t>
        </is>
      </c>
      <c r="BB3176" t="inlineStr">
        <is>
          <t>BOOK</t>
        </is>
      </c>
      <c r="BD3176" t="inlineStr">
        <is>
          <t>9780838750285</t>
        </is>
      </c>
      <c r="BE3176" t="inlineStr">
        <is>
          <t>32285001153088</t>
        </is>
      </c>
      <c r="BF3176" t="inlineStr">
        <is>
          <t>893353769</t>
        </is>
      </c>
    </row>
    <row r="3177">
      <c r="A3177" t="inlineStr">
        <is>
          <t>No</t>
        </is>
      </c>
      <c r="B3177" t="inlineStr">
        <is>
          <t>CURAL</t>
        </is>
      </c>
      <c r="C3177" t="inlineStr">
        <is>
          <t>SHELVES</t>
        </is>
      </c>
      <c r="D3177" t="inlineStr">
        <is>
          <t>PR6023.A93 Z6314</t>
        </is>
      </c>
      <c r="E3177" t="inlineStr">
        <is>
          <t>0                      PR 6023000A  93                 Z  6314</t>
        </is>
      </c>
      <c r="F3177" t="inlineStr">
        <is>
          <t>Another ego; the changing view of self and society in the work of D. H. Lawrence [by] Baruch Hochman.</t>
        </is>
      </c>
      <c r="H3177" t="inlineStr">
        <is>
          <t>No</t>
        </is>
      </c>
      <c r="I3177" t="inlineStr">
        <is>
          <t>1</t>
        </is>
      </c>
      <c r="J3177" t="inlineStr">
        <is>
          <t>No</t>
        </is>
      </c>
      <c r="K3177" t="inlineStr">
        <is>
          <t>No</t>
        </is>
      </c>
      <c r="L3177" t="inlineStr">
        <is>
          <t>0</t>
        </is>
      </c>
      <c r="M3177" t="inlineStr">
        <is>
          <t>Hochman, Baruch, 1930-</t>
        </is>
      </c>
      <c r="N3177" t="inlineStr">
        <is>
          <t>Columbia, University of South Carolina Press [1970]</t>
        </is>
      </c>
      <c r="O3177" t="inlineStr">
        <is>
          <t>1970</t>
        </is>
      </c>
      <c r="P3177" t="inlineStr">
        <is>
          <t>[1st ed.]</t>
        </is>
      </c>
      <c r="Q3177" t="inlineStr">
        <is>
          <t>eng</t>
        </is>
      </c>
      <c r="R3177" t="inlineStr">
        <is>
          <t>scu</t>
        </is>
      </c>
      <c r="T3177" t="inlineStr">
        <is>
          <t xml:space="preserve">PR </t>
        </is>
      </c>
      <c r="U3177" t="n">
        <v>2</v>
      </c>
      <c r="V3177" t="n">
        <v>2</v>
      </c>
      <c r="W3177" t="inlineStr">
        <is>
          <t>2004-11-04</t>
        </is>
      </c>
      <c r="X3177" t="inlineStr">
        <is>
          <t>2004-11-04</t>
        </is>
      </c>
      <c r="Y3177" t="inlineStr">
        <is>
          <t>1992-07-15</t>
        </is>
      </c>
      <c r="Z3177" t="inlineStr">
        <is>
          <t>1992-07-15</t>
        </is>
      </c>
      <c r="AA3177" t="n">
        <v>679</v>
      </c>
      <c r="AB3177" t="n">
        <v>558</v>
      </c>
      <c r="AC3177" t="n">
        <v>560</v>
      </c>
      <c r="AD3177" t="n">
        <v>5</v>
      </c>
      <c r="AE3177" t="n">
        <v>5</v>
      </c>
      <c r="AF3177" t="n">
        <v>31</v>
      </c>
      <c r="AG3177" t="n">
        <v>31</v>
      </c>
      <c r="AH3177" t="n">
        <v>9</v>
      </c>
      <c r="AI3177" t="n">
        <v>9</v>
      </c>
      <c r="AJ3177" t="n">
        <v>8</v>
      </c>
      <c r="AK3177" t="n">
        <v>8</v>
      </c>
      <c r="AL3177" t="n">
        <v>16</v>
      </c>
      <c r="AM3177" t="n">
        <v>16</v>
      </c>
      <c r="AN3177" t="n">
        <v>4</v>
      </c>
      <c r="AO3177" t="n">
        <v>4</v>
      </c>
      <c r="AP3177" t="n">
        <v>0</v>
      </c>
      <c r="AQ3177" t="n">
        <v>0</v>
      </c>
      <c r="AR3177" t="inlineStr">
        <is>
          <t>No</t>
        </is>
      </c>
      <c r="AS3177" t="inlineStr">
        <is>
          <t>Yes</t>
        </is>
      </c>
      <c r="AT3177">
        <f>HYPERLINK("http://catalog.hathitrust.org/Record/000591662","HathiTrust Record")</f>
        <v/>
      </c>
      <c r="AU3177">
        <f>HYPERLINK("https://creighton-primo.hosted.exlibrisgroup.com/primo-explore/search?tab=default_tab&amp;search_scope=EVERYTHING&amp;vid=01CRU&amp;lang=en_US&amp;offset=0&amp;query=any,contains,991000455579702656","Catalog Record")</f>
        <v/>
      </c>
      <c r="AV3177">
        <f>HYPERLINK("http://www.worldcat.org/oclc/78255","WorldCat Record")</f>
        <v/>
      </c>
      <c r="AW3177" t="inlineStr">
        <is>
          <t>1254761:eng</t>
        </is>
      </c>
      <c r="AX3177" t="inlineStr">
        <is>
          <t>78255</t>
        </is>
      </c>
      <c r="AY3177" t="inlineStr">
        <is>
          <t>991000455579702656</t>
        </is>
      </c>
      <c r="AZ3177" t="inlineStr">
        <is>
          <t>991000455579702656</t>
        </is>
      </c>
      <c r="BA3177" t="inlineStr">
        <is>
          <t>2255237380002656</t>
        </is>
      </c>
      <c r="BB3177" t="inlineStr">
        <is>
          <t>BOOK</t>
        </is>
      </c>
      <c r="BD3177" t="inlineStr">
        <is>
          <t>9780872491687</t>
        </is>
      </c>
      <c r="BE3177" t="inlineStr">
        <is>
          <t>32285001153096</t>
        </is>
      </c>
      <c r="BF3177" t="inlineStr">
        <is>
          <t>893620490</t>
        </is>
      </c>
    </row>
    <row r="3178">
      <c r="A3178" t="inlineStr">
        <is>
          <t>No</t>
        </is>
      </c>
      <c r="B3178" t="inlineStr">
        <is>
          <t>CURAL</t>
        </is>
      </c>
      <c r="C3178" t="inlineStr">
        <is>
          <t>SHELVES</t>
        </is>
      </c>
      <c r="D3178" t="inlineStr">
        <is>
          <t>PR6023.A93 Z63168 1982</t>
        </is>
      </c>
      <c r="E3178" t="inlineStr">
        <is>
          <t>0                      PR 6023000A  93                 Z  63168       1982</t>
        </is>
      </c>
      <c r="F3178" t="inlineStr">
        <is>
          <t>D.H. Lawrence : history, ideology and fiction / Graham Holderness.</t>
        </is>
      </c>
      <c r="H3178" t="inlineStr">
        <is>
          <t>No</t>
        </is>
      </c>
      <c r="I3178" t="inlineStr">
        <is>
          <t>1</t>
        </is>
      </c>
      <c r="J3178" t="inlineStr">
        <is>
          <t>No</t>
        </is>
      </c>
      <c r="K3178" t="inlineStr">
        <is>
          <t>No</t>
        </is>
      </c>
      <c r="L3178" t="inlineStr">
        <is>
          <t>0</t>
        </is>
      </c>
      <c r="M3178" t="inlineStr">
        <is>
          <t>Holderness, Graham.</t>
        </is>
      </c>
      <c r="N3178" t="inlineStr">
        <is>
          <t>Dublin : Gill and Macmillan ; Atlantic Highlands, N.J. : Humanities Press, 1982.</t>
        </is>
      </c>
      <c r="O3178" t="inlineStr">
        <is>
          <t>1982</t>
        </is>
      </c>
      <c r="Q3178" t="inlineStr">
        <is>
          <t>eng</t>
        </is>
      </c>
      <c r="R3178" t="inlineStr">
        <is>
          <t xml:space="preserve">ie </t>
        </is>
      </c>
      <c r="T3178" t="inlineStr">
        <is>
          <t xml:space="preserve">PR </t>
        </is>
      </c>
      <c r="U3178" t="n">
        <v>1</v>
      </c>
      <c r="V3178" t="n">
        <v>1</v>
      </c>
      <c r="W3178" t="inlineStr">
        <is>
          <t>2004-11-04</t>
        </is>
      </c>
      <c r="X3178" t="inlineStr">
        <is>
          <t>2004-11-04</t>
        </is>
      </c>
      <c r="Y3178" t="inlineStr">
        <is>
          <t>1992-07-15</t>
        </is>
      </c>
      <c r="Z3178" t="inlineStr">
        <is>
          <t>1992-07-15</t>
        </is>
      </c>
      <c r="AA3178" t="n">
        <v>502</v>
      </c>
      <c r="AB3178" t="n">
        <v>349</v>
      </c>
      <c r="AC3178" t="n">
        <v>351</v>
      </c>
      <c r="AD3178" t="n">
        <v>3</v>
      </c>
      <c r="AE3178" t="n">
        <v>3</v>
      </c>
      <c r="AF3178" t="n">
        <v>19</v>
      </c>
      <c r="AG3178" t="n">
        <v>19</v>
      </c>
      <c r="AH3178" t="n">
        <v>7</v>
      </c>
      <c r="AI3178" t="n">
        <v>7</v>
      </c>
      <c r="AJ3178" t="n">
        <v>6</v>
      </c>
      <c r="AK3178" t="n">
        <v>6</v>
      </c>
      <c r="AL3178" t="n">
        <v>11</v>
      </c>
      <c r="AM3178" t="n">
        <v>11</v>
      </c>
      <c r="AN3178" t="n">
        <v>2</v>
      </c>
      <c r="AO3178" t="n">
        <v>2</v>
      </c>
      <c r="AP3178" t="n">
        <v>0</v>
      </c>
      <c r="AQ3178" t="n">
        <v>0</v>
      </c>
      <c r="AR3178" t="inlineStr">
        <is>
          <t>No</t>
        </is>
      </c>
      <c r="AS3178" t="inlineStr">
        <is>
          <t>Yes</t>
        </is>
      </c>
      <c r="AT3178">
        <f>HYPERLINK("http://catalog.hathitrust.org/Record/000104814","HathiTrust Record")</f>
        <v/>
      </c>
      <c r="AU3178">
        <f>HYPERLINK("https://creighton-primo.hosted.exlibrisgroup.com/primo-explore/search?tab=default_tab&amp;search_scope=EVERYTHING&amp;vid=01CRU&amp;lang=en_US&amp;offset=0&amp;query=any,contains,991000084509702656","Catalog Record")</f>
        <v/>
      </c>
      <c r="AV3178">
        <f>HYPERLINK("http://www.worldcat.org/oclc/9465244","WorldCat Record")</f>
        <v/>
      </c>
      <c r="AW3178" t="inlineStr">
        <is>
          <t>1909485253:eng</t>
        </is>
      </c>
      <c r="AX3178" t="inlineStr">
        <is>
          <t>9465244</t>
        </is>
      </c>
      <c r="AY3178" t="inlineStr">
        <is>
          <t>991000084509702656</t>
        </is>
      </c>
      <c r="AZ3178" t="inlineStr">
        <is>
          <t>991000084509702656</t>
        </is>
      </c>
      <c r="BA3178" t="inlineStr">
        <is>
          <t>2257151550002656</t>
        </is>
      </c>
      <c r="BB3178" t="inlineStr">
        <is>
          <t>BOOK</t>
        </is>
      </c>
      <c r="BD3178" t="inlineStr">
        <is>
          <t>9780391025790</t>
        </is>
      </c>
      <c r="BE3178" t="inlineStr">
        <is>
          <t>32285001153104</t>
        </is>
      </c>
      <c r="BF3178" t="inlineStr">
        <is>
          <t>893444188</t>
        </is>
      </c>
    </row>
    <row r="3179">
      <c r="A3179" t="inlineStr">
        <is>
          <t>No</t>
        </is>
      </c>
      <c r="B3179" t="inlineStr">
        <is>
          <t>CURAL</t>
        </is>
      </c>
      <c r="C3179" t="inlineStr">
        <is>
          <t>SHELVES</t>
        </is>
      </c>
      <c r="D3179" t="inlineStr">
        <is>
          <t>PR6023.A93 Z6318 1957</t>
        </is>
      </c>
      <c r="E3179" t="inlineStr">
        <is>
          <t>0                      PR 6023000A  93                 Z  6318        1957</t>
        </is>
      </c>
      <c r="F3179" t="inlineStr">
        <is>
          <t>The dark sun; a study of D. H. Lawrence.</t>
        </is>
      </c>
      <c r="H3179" t="inlineStr">
        <is>
          <t>No</t>
        </is>
      </c>
      <c r="I3179" t="inlineStr">
        <is>
          <t>1</t>
        </is>
      </c>
      <c r="J3179" t="inlineStr">
        <is>
          <t>No</t>
        </is>
      </c>
      <c r="K3179" t="inlineStr">
        <is>
          <t>No</t>
        </is>
      </c>
      <c r="L3179" t="inlineStr">
        <is>
          <t>0</t>
        </is>
      </c>
      <c r="M3179" t="inlineStr">
        <is>
          <t>Hough, Graham, 1908-1990.</t>
        </is>
      </c>
      <c r="N3179" t="inlineStr">
        <is>
          <t>New York, Macmillan 1957[c1956]</t>
        </is>
      </c>
      <c r="O3179" t="inlineStr">
        <is>
          <t>1957</t>
        </is>
      </c>
      <c r="Q3179" t="inlineStr">
        <is>
          <t>eng</t>
        </is>
      </c>
      <c r="R3179" t="inlineStr">
        <is>
          <t>nyu</t>
        </is>
      </c>
      <c r="T3179" t="inlineStr">
        <is>
          <t xml:space="preserve">PR </t>
        </is>
      </c>
      <c r="U3179" t="n">
        <v>2</v>
      </c>
      <c r="V3179" t="n">
        <v>2</v>
      </c>
      <c r="W3179" t="inlineStr">
        <is>
          <t>2004-11-18</t>
        </is>
      </c>
      <c r="X3179" t="inlineStr">
        <is>
          <t>2004-11-18</t>
        </is>
      </c>
      <c r="Y3179" t="inlineStr">
        <is>
          <t>1997-04-15</t>
        </is>
      </c>
      <c r="Z3179" t="inlineStr">
        <is>
          <t>1997-04-15</t>
        </is>
      </c>
      <c r="AA3179" t="n">
        <v>528</v>
      </c>
      <c r="AB3179" t="n">
        <v>509</v>
      </c>
      <c r="AC3179" t="n">
        <v>1052</v>
      </c>
      <c r="AD3179" t="n">
        <v>3</v>
      </c>
      <c r="AE3179" t="n">
        <v>8</v>
      </c>
      <c r="AF3179" t="n">
        <v>20</v>
      </c>
      <c r="AG3179" t="n">
        <v>48</v>
      </c>
      <c r="AH3179" t="n">
        <v>11</v>
      </c>
      <c r="AI3179" t="n">
        <v>23</v>
      </c>
      <c r="AJ3179" t="n">
        <v>3</v>
      </c>
      <c r="AK3179" t="n">
        <v>9</v>
      </c>
      <c r="AL3179" t="n">
        <v>9</v>
      </c>
      <c r="AM3179" t="n">
        <v>20</v>
      </c>
      <c r="AN3179" t="n">
        <v>2</v>
      </c>
      <c r="AO3179" t="n">
        <v>7</v>
      </c>
      <c r="AP3179" t="n">
        <v>0</v>
      </c>
      <c r="AQ3179" t="n">
        <v>0</v>
      </c>
      <c r="AR3179" t="inlineStr">
        <is>
          <t>No</t>
        </is>
      </c>
      <c r="AS3179" t="inlineStr">
        <is>
          <t>Yes</t>
        </is>
      </c>
      <c r="AT3179">
        <f>HYPERLINK("http://catalog.hathitrust.org/Record/001025471","HathiTrust Record")</f>
        <v/>
      </c>
      <c r="AU3179">
        <f>HYPERLINK("https://creighton-primo.hosted.exlibrisgroup.com/primo-explore/search?tab=default_tab&amp;search_scope=EVERYTHING&amp;vid=01CRU&amp;lang=en_US&amp;offset=0&amp;query=any,contains,991004005719702656","Catalog Record")</f>
        <v/>
      </c>
      <c r="AV3179">
        <f>HYPERLINK("http://www.worldcat.org/oclc/2083969","WorldCat Record")</f>
        <v/>
      </c>
      <c r="AW3179" t="inlineStr">
        <is>
          <t>1270036:eng</t>
        </is>
      </c>
      <c r="AX3179" t="inlineStr">
        <is>
          <t>2083969</t>
        </is>
      </c>
      <c r="AY3179" t="inlineStr">
        <is>
          <t>991004005719702656</t>
        </is>
      </c>
      <c r="AZ3179" t="inlineStr">
        <is>
          <t>991004005719702656</t>
        </is>
      </c>
      <c r="BA3179" t="inlineStr">
        <is>
          <t>2257772240002656</t>
        </is>
      </c>
      <c r="BB3179" t="inlineStr">
        <is>
          <t>BOOK</t>
        </is>
      </c>
      <c r="BE3179" t="inlineStr">
        <is>
          <t>32285002528999</t>
        </is>
      </c>
      <c r="BF3179" t="inlineStr">
        <is>
          <t>893499986</t>
        </is>
      </c>
    </row>
    <row r="3180">
      <c r="A3180" t="inlineStr">
        <is>
          <t>No</t>
        </is>
      </c>
      <c r="B3180" t="inlineStr">
        <is>
          <t>CURAL</t>
        </is>
      </c>
      <c r="C3180" t="inlineStr">
        <is>
          <t>SHELVES</t>
        </is>
      </c>
      <c r="D3180" t="inlineStr">
        <is>
          <t>PR6023.A93 Z63184</t>
        </is>
      </c>
      <c r="E3180" t="inlineStr">
        <is>
          <t>0                      PR 6023000A  93                 Z  63184</t>
        </is>
      </c>
      <c r="F3180" t="inlineStr">
        <is>
          <t>The art of the self in D. H. Lawrence / Marguerite Beede Howe.</t>
        </is>
      </c>
      <c r="H3180" t="inlineStr">
        <is>
          <t>No</t>
        </is>
      </c>
      <c r="I3180" t="inlineStr">
        <is>
          <t>1</t>
        </is>
      </c>
      <c r="J3180" t="inlineStr">
        <is>
          <t>No</t>
        </is>
      </c>
      <c r="K3180" t="inlineStr">
        <is>
          <t>No</t>
        </is>
      </c>
      <c r="L3180" t="inlineStr">
        <is>
          <t>0</t>
        </is>
      </c>
      <c r="M3180" t="inlineStr">
        <is>
          <t>Howe, Marguerite Beede.</t>
        </is>
      </c>
      <c r="N3180" t="inlineStr">
        <is>
          <t>Athens : Ohio University Press, 1977.</t>
        </is>
      </c>
      <c r="O3180" t="inlineStr">
        <is>
          <t>1977</t>
        </is>
      </c>
      <c r="Q3180" t="inlineStr">
        <is>
          <t>eng</t>
        </is>
      </c>
      <c r="R3180" t="inlineStr">
        <is>
          <t>ohu</t>
        </is>
      </c>
      <c r="T3180" t="inlineStr">
        <is>
          <t xml:space="preserve">PR </t>
        </is>
      </c>
      <c r="U3180" t="n">
        <v>4</v>
      </c>
      <c r="V3180" t="n">
        <v>4</v>
      </c>
      <c r="W3180" t="inlineStr">
        <is>
          <t>2004-11-04</t>
        </is>
      </c>
      <c r="X3180" t="inlineStr">
        <is>
          <t>2004-11-04</t>
        </is>
      </c>
      <c r="Y3180" t="inlineStr">
        <is>
          <t>1992-07-16</t>
        </is>
      </c>
      <c r="Z3180" t="inlineStr">
        <is>
          <t>1992-07-16</t>
        </is>
      </c>
      <c r="AA3180" t="n">
        <v>670</v>
      </c>
      <c r="AB3180" t="n">
        <v>576</v>
      </c>
      <c r="AC3180" t="n">
        <v>583</v>
      </c>
      <c r="AD3180" t="n">
        <v>3</v>
      </c>
      <c r="AE3180" t="n">
        <v>3</v>
      </c>
      <c r="AF3180" t="n">
        <v>31</v>
      </c>
      <c r="AG3180" t="n">
        <v>31</v>
      </c>
      <c r="AH3180" t="n">
        <v>13</v>
      </c>
      <c r="AI3180" t="n">
        <v>13</v>
      </c>
      <c r="AJ3180" t="n">
        <v>8</v>
      </c>
      <c r="AK3180" t="n">
        <v>8</v>
      </c>
      <c r="AL3180" t="n">
        <v>19</v>
      </c>
      <c r="AM3180" t="n">
        <v>19</v>
      </c>
      <c r="AN3180" t="n">
        <v>2</v>
      </c>
      <c r="AO3180" t="n">
        <v>2</v>
      </c>
      <c r="AP3180" t="n">
        <v>0</v>
      </c>
      <c r="AQ3180" t="n">
        <v>0</v>
      </c>
      <c r="AR3180" t="inlineStr">
        <is>
          <t>No</t>
        </is>
      </c>
      <c r="AS3180" t="inlineStr">
        <is>
          <t>Yes</t>
        </is>
      </c>
      <c r="AT3180">
        <f>HYPERLINK("http://catalog.hathitrust.org/Record/000172881","HathiTrust Record")</f>
        <v/>
      </c>
      <c r="AU3180">
        <f>HYPERLINK("https://creighton-primo.hosted.exlibrisgroup.com/primo-explore/search?tab=default_tab&amp;search_scope=EVERYTHING&amp;vid=01CRU&amp;lang=en_US&amp;offset=0&amp;query=any,contains,991004241689702656","Catalog Record")</f>
        <v/>
      </c>
      <c r="AV3180">
        <f>HYPERLINK("http://www.worldcat.org/oclc/2788433","WorldCat Record")</f>
        <v/>
      </c>
      <c r="AW3180" t="inlineStr">
        <is>
          <t>485248:eng</t>
        </is>
      </c>
      <c r="AX3180" t="inlineStr">
        <is>
          <t>2788433</t>
        </is>
      </c>
      <c r="AY3180" t="inlineStr">
        <is>
          <t>991004241689702656</t>
        </is>
      </c>
      <c r="AZ3180" t="inlineStr">
        <is>
          <t>991004241689702656</t>
        </is>
      </c>
      <c r="BA3180" t="inlineStr">
        <is>
          <t>2267347040002656</t>
        </is>
      </c>
      <c r="BB3180" t="inlineStr">
        <is>
          <t>BOOK</t>
        </is>
      </c>
      <c r="BD3180" t="inlineStr">
        <is>
          <t>9780821402344</t>
        </is>
      </c>
      <c r="BE3180" t="inlineStr">
        <is>
          <t>32285001153112</t>
        </is>
      </c>
      <c r="BF3180" t="inlineStr">
        <is>
          <t>893325111</t>
        </is>
      </c>
    </row>
    <row r="3181">
      <c r="A3181" t="inlineStr">
        <is>
          <t>No</t>
        </is>
      </c>
      <c r="B3181" t="inlineStr">
        <is>
          <t>CURAL</t>
        </is>
      </c>
      <c r="C3181" t="inlineStr">
        <is>
          <t>SHELVES</t>
        </is>
      </c>
      <c r="D3181" t="inlineStr">
        <is>
          <t>PR6023.A93 Z655 1987</t>
        </is>
      </c>
      <c r="E3181" t="inlineStr">
        <is>
          <t>0                      PR 6023000A  93                 Z  655         1987</t>
        </is>
      </c>
      <c r="F3181" t="inlineStr">
        <is>
          <t>The Legacy of D.H. Lawrence : new essays / edited by Jeffrey Meyers.</t>
        </is>
      </c>
      <c r="H3181" t="inlineStr">
        <is>
          <t>No</t>
        </is>
      </c>
      <c r="I3181" t="inlineStr">
        <is>
          <t>1</t>
        </is>
      </c>
      <c r="J3181" t="inlineStr">
        <is>
          <t>No</t>
        </is>
      </c>
      <c r="K3181" t="inlineStr">
        <is>
          <t>No</t>
        </is>
      </c>
      <c r="L3181" t="inlineStr">
        <is>
          <t>0</t>
        </is>
      </c>
      <c r="N3181" t="inlineStr">
        <is>
          <t>New York : St. Martin's Press, 1987.</t>
        </is>
      </c>
      <c r="O3181" t="inlineStr">
        <is>
          <t>1987</t>
        </is>
      </c>
      <c r="Q3181" t="inlineStr">
        <is>
          <t>eng</t>
        </is>
      </c>
      <c r="R3181" t="inlineStr">
        <is>
          <t>nyu</t>
        </is>
      </c>
      <c r="T3181" t="inlineStr">
        <is>
          <t xml:space="preserve">PR </t>
        </is>
      </c>
      <c r="U3181" t="n">
        <v>2</v>
      </c>
      <c r="V3181" t="n">
        <v>2</v>
      </c>
      <c r="W3181" t="inlineStr">
        <is>
          <t>2004-11-04</t>
        </is>
      </c>
      <c r="X3181" t="inlineStr">
        <is>
          <t>2004-11-04</t>
        </is>
      </c>
      <c r="Y3181" t="inlineStr">
        <is>
          <t>1992-07-15</t>
        </is>
      </c>
      <c r="Z3181" t="inlineStr">
        <is>
          <t>1992-07-15</t>
        </is>
      </c>
      <c r="AA3181" t="n">
        <v>216</v>
      </c>
      <c r="AB3181" t="n">
        <v>203</v>
      </c>
      <c r="AC3181" t="n">
        <v>262</v>
      </c>
      <c r="AD3181" t="n">
        <v>1</v>
      </c>
      <c r="AE3181" t="n">
        <v>3</v>
      </c>
      <c r="AF3181" t="n">
        <v>11</v>
      </c>
      <c r="AG3181" t="n">
        <v>14</v>
      </c>
      <c r="AH3181" t="n">
        <v>5</v>
      </c>
      <c r="AI3181" t="n">
        <v>5</v>
      </c>
      <c r="AJ3181" t="n">
        <v>4</v>
      </c>
      <c r="AK3181" t="n">
        <v>4</v>
      </c>
      <c r="AL3181" t="n">
        <v>8</v>
      </c>
      <c r="AM3181" t="n">
        <v>9</v>
      </c>
      <c r="AN3181" t="n">
        <v>0</v>
      </c>
      <c r="AO3181" t="n">
        <v>2</v>
      </c>
      <c r="AP3181" t="n">
        <v>0</v>
      </c>
      <c r="AQ3181" t="n">
        <v>0</v>
      </c>
      <c r="AR3181" t="inlineStr">
        <is>
          <t>No</t>
        </is>
      </c>
      <c r="AS3181" t="inlineStr">
        <is>
          <t>No</t>
        </is>
      </c>
      <c r="AU3181">
        <f>HYPERLINK("https://creighton-primo.hosted.exlibrisgroup.com/primo-explore/search?tab=default_tab&amp;search_scope=EVERYTHING&amp;vid=01CRU&amp;lang=en_US&amp;offset=0&amp;query=any,contains,991000821589702656","Catalog Record")</f>
        <v/>
      </c>
      <c r="AV3181">
        <f>HYPERLINK("http://www.worldcat.org/oclc/13395587","WorldCat Record")</f>
        <v/>
      </c>
      <c r="AW3181" t="inlineStr">
        <is>
          <t>836722403:eng</t>
        </is>
      </c>
      <c r="AX3181" t="inlineStr">
        <is>
          <t>13395587</t>
        </is>
      </c>
      <c r="AY3181" t="inlineStr">
        <is>
          <t>991000821589702656</t>
        </is>
      </c>
      <c r="AZ3181" t="inlineStr">
        <is>
          <t>991000821589702656</t>
        </is>
      </c>
      <c r="BA3181" t="inlineStr">
        <is>
          <t>2262084130002656</t>
        </is>
      </c>
      <c r="BB3181" t="inlineStr">
        <is>
          <t>BOOK</t>
        </is>
      </c>
      <c r="BD3181" t="inlineStr">
        <is>
          <t>9780312478049</t>
        </is>
      </c>
      <c r="BE3181" t="inlineStr">
        <is>
          <t>32285001153161</t>
        </is>
      </c>
      <c r="BF3181" t="inlineStr">
        <is>
          <t>893620823</t>
        </is>
      </c>
    </row>
    <row r="3182">
      <c r="A3182" t="inlineStr">
        <is>
          <t>No</t>
        </is>
      </c>
      <c r="B3182" t="inlineStr">
        <is>
          <t>CURAL</t>
        </is>
      </c>
      <c r="C3182" t="inlineStr">
        <is>
          <t>SHELVES</t>
        </is>
      </c>
      <c r="D3182" t="inlineStr">
        <is>
          <t>PR6023.A93 Z658 1987</t>
        </is>
      </c>
      <c r="E3182" t="inlineStr">
        <is>
          <t>0                      PR 6023000A  93                 Z  658         1987</t>
        </is>
      </c>
      <c r="F3182" t="inlineStr">
        <is>
          <t>A study of the poems of D.H. Lawrence : thinking in poetry / M.J. Lockwood.</t>
        </is>
      </c>
      <c r="H3182" t="inlineStr">
        <is>
          <t>No</t>
        </is>
      </c>
      <c r="I3182" t="inlineStr">
        <is>
          <t>1</t>
        </is>
      </c>
      <c r="J3182" t="inlineStr">
        <is>
          <t>No</t>
        </is>
      </c>
      <c r="K3182" t="inlineStr">
        <is>
          <t>No</t>
        </is>
      </c>
      <c r="L3182" t="inlineStr">
        <is>
          <t>0</t>
        </is>
      </c>
      <c r="M3182" t="inlineStr">
        <is>
          <t>Lockwood, M. J., 1950-</t>
        </is>
      </c>
      <c r="N3182" t="inlineStr">
        <is>
          <t>New York : St. Martin's Press, c1987.</t>
        </is>
      </c>
      <c r="O3182" t="inlineStr">
        <is>
          <t>1987</t>
        </is>
      </c>
      <c r="Q3182" t="inlineStr">
        <is>
          <t>eng</t>
        </is>
      </c>
      <c r="R3182" t="inlineStr">
        <is>
          <t>nyu</t>
        </is>
      </c>
      <c r="T3182" t="inlineStr">
        <is>
          <t xml:space="preserve">PR </t>
        </is>
      </c>
      <c r="U3182" t="n">
        <v>3</v>
      </c>
      <c r="V3182" t="n">
        <v>3</v>
      </c>
      <c r="W3182" t="inlineStr">
        <is>
          <t>1995-10-17</t>
        </is>
      </c>
      <c r="X3182" t="inlineStr">
        <is>
          <t>1995-10-17</t>
        </is>
      </c>
      <c r="Y3182" t="inlineStr">
        <is>
          <t>1990-03-12</t>
        </is>
      </c>
      <c r="Z3182" t="inlineStr">
        <is>
          <t>1990-03-12</t>
        </is>
      </c>
      <c r="AA3182" t="n">
        <v>269</v>
      </c>
      <c r="AB3182" t="n">
        <v>240</v>
      </c>
      <c r="AC3182" t="n">
        <v>313</v>
      </c>
      <c r="AD3182" t="n">
        <v>1</v>
      </c>
      <c r="AE3182" t="n">
        <v>3</v>
      </c>
      <c r="AF3182" t="n">
        <v>13</v>
      </c>
      <c r="AG3182" t="n">
        <v>16</v>
      </c>
      <c r="AH3182" t="n">
        <v>5</v>
      </c>
      <c r="AI3182" t="n">
        <v>5</v>
      </c>
      <c r="AJ3182" t="n">
        <v>5</v>
      </c>
      <c r="AK3182" t="n">
        <v>5</v>
      </c>
      <c r="AL3182" t="n">
        <v>9</v>
      </c>
      <c r="AM3182" t="n">
        <v>10</v>
      </c>
      <c r="AN3182" t="n">
        <v>0</v>
      </c>
      <c r="AO3182" t="n">
        <v>2</v>
      </c>
      <c r="AP3182" t="n">
        <v>0</v>
      </c>
      <c r="AQ3182" t="n">
        <v>0</v>
      </c>
      <c r="AR3182" t="inlineStr">
        <is>
          <t>No</t>
        </is>
      </c>
      <c r="AS3182" t="inlineStr">
        <is>
          <t>No</t>
        </is>
      </c>
      <c r="AU3182">
        <f>HYPERLINK("https://creighton-primo.hosted.exlibrisgroup.com/primo-explore/search?tab=default_tab&amp;search_scope=EVERYTHING&amp;vid=01CRU&amp;lang=en_US&amp;offset=0&amp;query=any,contains,991001049059702656","Catalog Record")</f>
        <v/>
      </c>
      <c r="AV3182">
        <f>HYPERLINK("http://www.worldcat.org/oclc/15632192","WorldCat Record")</f>
        <v/>
      </c>
      <c r="AW3182" t="inlineStr">
        <is>
          <t>10457226:eng</t>
        </is>
      </c>
      <c r="AX3182" t="inlineStr">
        <is>
          <t>15632192</t>
        </is>
      </c>
      <c r="AY3182" t="inlineStr">
        <is>
          <t>991001049059702656</t>
        </is>
      </c>
      <c r="AZ3182" t="inlineStr">
        <is>
          <t>991001049059702656</t>
        </is>
      </c>
      <c r="BA3182" t="inlineStr">
        <is>
          <t>2263978840002656</t>
        </is>
      </c>
      <c r="BB3182" t="inlineStr">
        <is>
          <t>BOOK</t>
        </is>
      </c>
      <c r="BD3182" t="inlineStr">
        <is>
          <t>9780312009830</t>
        </is>
      </c>
      <c r="BE3182" t="inlineStr">
        <is>
          <t>32285000044882</t>
        </is>
      </c>
      <c r="BF3182" t="inlineStr">
        <is>
          <t>893522243</t>
        </is>
      </c>
    </row>
    <row r="3183">
      <c r="A3183" t="inlineStr">
        <is>
          <t>No</t>
        </is>
      </c>
      <c r="B3183" t="inlineStr">
        <is>
          <t>CURAL</t>
        </is>
      </c>
      <c r="C3183" t="inlineStr">
        <is>
          <t>SHELVES</t>
        </is>
      </c>
      <c r="D3183" t="inlineStr">
        <is>
          <t>PR6023.A93 Z665 1985</t>
        </is>
      </c>
      <c r="E3183" t="inlineStr">
        <is>
          <t>0                      PR 6023000A  93                 Z  665         1985</t>
        </is>
      </c>
      <c r="F3183" t="inlineStr">
        <is>
          <t>Lawrence's men and women / Sheila MacLeod.</t>
        </is>
      </c>
      <c r="H3183" t="inlineStr">
        <is>
          <t>No</t>
        </is>
      </c>
      <c r="I3183" t="inlineStr">
        <is>
          <t>1</t>
        </is>
      </c>
      <c r="J3183" t="inlineStr">
        <is>
          <t>No</t>
        </is>
      </c>
      <c r="K3183" t="inlineStr">
        <is>
          <t>No</t>
        </is>
      </c>
      <c r="L3183" t="inlineStr">
        <is>
          <t>0</t>
        </is>
      </c>
      <c r="M3183" t="inlineStr">
        <is>
          <t>MacLeod, Sheila.</t>
        </is>
      </c>
      <c r="N3183" t="inlineStr">
        <is>
          <t>London : Heinemann, 1985.</t>
        </is>
      </c>
      <c r="O3183" t="inlineStr">
        <is>
          <t>1985</t>
        </is>
      </c>
      <c r="Q3183" t="inlineStr">
        <is>
          <t>eng</t>
        </is>
      </c>
      <c r="R3183" t="inlineStr">
        <is>
          <t>enk</t>
        </is>
      </c>
      <c r="T3183" t="inlineStr">
        <is>
          <t xml:space="preserve">PR </t>
        </is>
      </c>
      <c r="U3183" t="n">
        <v>9</v>
      </c>
      <c r="V3183" t="n">
        <v>9</v>
      </c>
      <c r="W3183" t="inlineStr">
        <is>
          <t>2006-11-29</t>
        </is>
      </c>
      <c r="X3183" t="inlineStr">
        <is>
          <t>2006-11-29</t>
        </is>
      </c>
      <c r="Y3183" t="inlineStr">
        <is>
          <t>1992-07-15</t>
        </is>
      </c>
      <c r="Z3183" t="inlineStr">
        <is>
          <t>1992-07-15</t>
        </is>
      </c>
      <c r="AA3183" t="n">
        <v>304</v>
      </c>
      <c r="AB3183" t="n">
        <v>159</v>
      </c>
      <c r="AC3183" t="n">
        <v>164</v>
      </c>
      <c r="AD3183" t="n">
        <v>3</v>
      </c>
      <c r="AE3183" t="n">
        <v>3</v>
      </c>
      <c r="AF3183" t="n">
        <v>8</v>
      </c>
      <c r="AG3183" t="n">
        <v>8</v>
      </c>
      <c r="AH3183" t="n">
        <v>2</v>
      </c>
      <c r="AI3183" t="n">
        <v>2</v>
      </c>
      <c r="AJ3183" t="n">
        <v>2</v>
      </c>
      <c r="AK3183" t="n">
        <v>2</v>
      </c>
      <c r="AL3183" t="n">
        <v>4</v>
      </c>
      <c r="AM3183" t="n">
        <v>4</v>
      </c>
      <c r="AN3183" t="n">
        <v>2</v>
      </c>
      <c r="AO3183" t="n">
        <v>2</v>
      </c>
      <c r="AP3183" t="n">
        <v>0</v>
      </c>
      <c r="AQ3183" t="n">
        <v>0</v>
      </c>
      <c r="AR3183" t="inlineStr">
        <is>
          <t>No</t>
        </is>
      </c>
      <c r="AS3183" t="inlineStr">
        <is>
          <t>Yes</t>
        </is>
      </c>
      <c r="AT3183">
        <f>HYPERLINK("http://catalog.hathitrust.org/Record/000348247","HathiTrust Record")</f>
        <v/>
      </c>
      <c r="AU3183">
        <f>HYPERLINK("https://creighton-primo.hosted.exlibrisgroup.com/primo-explore/search?tab=default_tab&amp;search_scope=EVERYTHING&amp;vid=01CRU&amp;lang=en_US&amp;offset=0&amp;query=any,contains,991000727789702656","Catalog Record")</f>
        <v/>
      </c>
      <c r="AV3183">
        <f>HYPERLINK("http://www.worldcat.org/oclc/16356702","WorldCat Record")</f>
        <v/>
      </c>
      <c r="AW3183" t="inlineStr">
        <is>
          <t>11982901:eng</t>
        </is>
      </c>
      <c r="AX3183" t="inlineStr">
        <is>
          <t>16356702</t>
        </is>
      </c>
      <c r="AY3183" t="inlineStr">
        <is>
          <t>991000727789702656</t>
        </is>
      </c>
      <c r="AZ3183" t="inlineStr">
        <is>
          <t>991000727789702656</t>
        </is>
      </c>
      <c r="BA3183" t="inlineStr">
        <is>
          <t>2265934250002656</t>
        </is>
      </c>
      <c r="BB3183" t="inlineStr">
        <is>
          <t>BOOK</t>
        </is>
      </c>
      <c r="BD3183" t="inlineStr">
        <is>
          <t>9780434440313</t>
        </is>
      </c>
      <c r="BE3183" t="inlineStr">
        <is>
          <t>32285001153187</t>
        </is>
      </c>
      <c r="BF3183" t="inlineStr">
        <is>
          <t>893708650</t>
        </is>
      </c>
    </row>
    <row r="3184">
      <c r="A3184" t="inlineStr">
        <is>
          <t>No</t>
        </is>
      </c>
      <c r="B3184" t="inlineStr">
        <is>
          <t>CURAL</t>
        </is>
      </c>
      <c r="C3184" t="inlineStr">
        <is>
          <t>SHELVES</t>
        </is>
      </c>
      <c r="D3184" t="inlineStr">
        <is>
          <t>PR6023.A93 Z679</t>
        </is>
      </c>
      <c r="E3184" t="inlineStr">
        <is>
          <t>0                      PR 6023000A  93                 Z  679</t>
        </is>
      </c>
      <c r="F3184" t="inlineStr">
        <is>
          <t>Psychoanalytic criticism of the short stories / [edited by] James C. Cowan.</t>
        </is>
      </c>
      <c r="H3184" t="inlineStr">
        <is>
          <t>No</t>
        </is>
      </c>
      <c r="I3184" t="inlineStr">
        <is>
          <t>1</t>
        </is>
      </c>
      <c r="J3184" t="inlineStr">
        <is>
          <t>No</t>
        </is>
      </c>
      <c r="K3184" t="inlineStr">
        <is>
          <t>No</t>
        </is>
      </c>
      <c r="L3184" t="inlineStr">
        <is>
          <t>0</t>
        </is>
      </c>
      <c r="N3184" t="inlineStr">
        <is>
          <t>Fayetteville, Ark. : University of Arkansas, 1977.</t>
        </is>
      </c>
      <c r="O3184" t="inlineStr">
        <is>
          <t>1977</t>
        </is>
      </c>
      <c r="Q3184" t="inlineStr">
        <is>
          <t>eng</t>
        </is>
      </c>
      <c r="R3184" t="inlineStr">
        <is>
          <t>aru</t>
        </is>
      </c>
      <c r="S3184" t="inlineStr">
        <is>
          <t>The D. H. Lawrence review ; v.10, no.3 (Fall 1977)</t>
        </is>
      </c>
      <c r="T3184" t="inlineStr">
        <is>
          <t xml:space="preserve">PR </t>
        </is>
      </c>
      <c r="U3184" t="n">
        <v>2</v>
      </c>
      <c r="V3184" t="n">
        <v>2</v>
      </c>
      <c r="W3184" t="inlineStr">
        <is>
          <t>1994-04-06</t>
        </is>
      </c>
      <c r="X3184" t="inlineStr">
        <is>
          <t>1994-04-06</t>
        </is>
      </c>
      <c r="Y3184" t="inlineStr">
        <is>
          <t>1992-07-15</t>
        </is>
      </c>
      <c r="Z3184" t="inlineStr">
        <is>
          <t>1992-07-15</t>
        </is>
      </c>
      <c r="AA3184" t="n">
        <v>1</v>
      </c>
      <c r="AB3184" t="n">
        <v>1</v>
      </c>
      <c r="AC3184" t="n">
        <v>1</v>
      </c>
      <c r="AD3184" t="n">
        <v>1</v>
      </c>
      <c r="AE3184" t="n">
        <v>1</v>
      </c>
      <c r="AF3184" t="n">
        <v>0</v>
      </c>
      <c r="AG3184" t="n">
        <v>0</v>
      </c>
      <c r="AH3184" t="n">
        <v>0</v>
      </c>
      <c r="AI3184" t="n">
        <v>0</v>
      </c>
      <c r="AJ3184" t="n">
        <v>0</v>
      </c>
      <c r="AK3184" t="n">
        <v>0</v>
      </c>
      <c r="AL3184" t="n">
        <v>0</v>
      </c>
      <c r="AM3184" t="n">
        <v>0</v>
      </c>
      <c r="AN3184" t="n">
        <v>0</v>
      </c>
      <c r="AO3184" t="n">
        <v>0</v>
      </c>
      <c r="AP3184" t="n">
        <v>0</v>
      </c>
      <c r="AQ3184" t="n">
        <v>0</v>
      </c>
      <c r="AR3184" t="inlineStr">
        <is>
          <t>No</t>
        </is>
      </c>
      <c r="AS3184" t="inlineStr">
        <is>
          <t>No</t>
        </is>
      </c>
      <c r="AU3184">
        <f>HYPERLINK("https://creighton-primo.hosted.exlibrisgroup.com/primo-explore/search?tab=default_tab&amp;search_scope=EVERYTHING&amp;vid=01CRU&amp;lang=en_US&amp;offset=0&amp;query=any,contains,991004892109702656","Catalog Record")</f>
        <v/>
      </c>
      <c r="AV3184">
        <f>HYPERLINK("http://www.worldcat.org/oclc/5881983","WorldCat Record")</f>
        <v/>
      </c>
      <c r="AW3184" t="inlineStr">
        <is>
          <t>20122295:eng</t>
        </is>
      </c>
      <c r="AX3184" t="inlineStr">
        <is>
          <t>5881983</t>
        </is>
      </c>
      <c r="AY3184" t="inlineStr">
        <is>
          <t>991004892109702656</t>
        </is>
      </c>
      <c r="AZ3184" t="inlineStr">
        <is>
          <t>991004892109702656</t>
        </is>
      </c>
      <c r="BA3184" t="inlineStr">
        <is>
          <t>2266962120002656</t>
        </is>
      </c>
      <c r="BB3184" t="inlineStr">
        <is>
          <t>BOOK</t>
        </is>
      </c>
      <c r="BE3184" t="inlineStr">
        <is>
          <t>32285001153211</t>
        </is>
      </c>
      <c r="BF3184" t="inlineStr">
        <is>
          <t>893443157</t>
        </is>
      </c>
    </row>
    <row r="3185">
      <c r="A3185" t="inlineStr">
        <is>
          <t>No</t>
        </is>
      </c>
      <c r="B3185" t="inlineStr">
        <is>
          <t>CURAL</t>
        </is>
      </c>
      <c r="C3185" t="inlineStr">
        <is>
          <t>SHELVES</t>
        </is>
      </c>
      <c r="D3185" t="inlineStr">
        <is>
          <t>PR6023.A93 Z687 1964</t>
        </is>
      </c>
      <c r="E3185" t="inlineStr">
        <is>
          <t>0                      PR 6023000A  93                 Z  687         1964</t>
        </is>
      </c>
      <c r="F3185" t="inlineStr">
        <is>
          <t>D.H. Lawrence, his life and works.</t>
        </is>
      </c>
      <c r="H3185" t="inlineStr">
        <is>
          <t>No</t>
        </is>
      </c>
      <c r="I3185" t="inlineStr">
        <is>
          <t>1</t>
        </is>
      </c>
      <c r="J3185" t="inlineStr">
        <is>
          <t>No</t>
        </is>
      </c>
      <c r="K3185" t="inlineStr">
        <is>
          <t>No</t>
        </is>
      </c>
      <c r="L3185" t="inlineStr">
        <is>
          <t>0</t>
        </is>
      </c>
      <c r="M3185" t="inlineStr">
        <is>
          <t>Moore, Harry T. (Harry Thornton), 1908-1981.</t>
        </is>
      </c>
      <c r="N3185" t="inlineStr">
        <is>
          <t>New York : Twayne Publishers, [1964]</t>
        </is>
      </c>
      <c r="O3185" t="inlineStr">
        <is>
          <t>1964</t>
        </is>
      </c>
      <c r="P3185" t="inlineStr">
        <is>
          <t>[Rev. ed.]</t>
        </is>
      </c>
      <c r="Q3185" t="inlineStr">
        <is>
          <t>eng</t>
        </is>
      </c>
      <c r="R3185" t="inlineStr">
        <is>
          <t>nyu</t>
        </is>
      </c>
      <c r="T3185" t="inlineStr">
        <is>
          <t xml:space="preserve">PR </t>
        </is>
      </c>
      <c r="U3185" t="n">
        <v>5</v>
      </c>
      <c r="V3185" t="n">
        <v>5</v>
      </c>
      <c r="W3185" t="inlineStr">
        <is>
          <t>1994-04-21</t>
        </is>
      </c>
      <c r="X3185" t="inlineStr">
        <is>
          <t>1994-04-21</t>
        </is>
      </c>
      <c r="Y3185" t="inlineStr">
        <is>
          <t>1991-10-07</t>
        </is>
      </c>
      <c r="Z3185" t="inlineStr">
        <is>
          <t>1991-10-07</t>
        </is>
      </c>
      <c r="AA3185" t="n">
        <v>574</v>
      </c>
      <c r="AB3185" t="n">
        <v>538</v>
      </c>
      <c r="AC3185" t="n">
        <v>610</v>
      </c>
      <c r="AD3185" t="n">
        <v>3</v>
      </c>
      <c r="AE3185" t="n">
        <v>3</v>
      </c>
      <c r="AF3185" t="n">
        <v>18</v>
      </c>
      <c r="AG3185" t="n">
        <v>21</v>
      </c>
      <c r="AH3185" t="n">
        <v>9</v>
      </c>
      <c r="AI3185" t="n">
        <v>9</v>
      </c>
      <c r="AJ3185" t="n">
        <v>1</v>
      </c>
      <c r="AK3185" t="n">
        <v>2</v>
      </c>
      <c r="AL3185" t="n">
        <v>8</v>
      </c>
      <c r="AM3185" t="n">
        <v>11</v>
      </c>
      <c r="AN3185" t="n">
        <v>2</v>
      </c>
      <c r="AO3185" t="n">
        <v>2</v>
      </c>
      <c r="AP3185" t="n">
        <v>0</v>
      </c>
      <c r="AQ3185" t="n">
        <v>0</v>
      </c>
      <c r="AR3185" t="inlineStr">
        <is>
          <t>No</t>
        </is>
      </c>
      <c r="AS3185" t="inlineStr">
        <is>
          <t>Yes</t>
        </is>
      </c>
      <c r="AT3185">
        <f>HYPERLINK("http://catalog.hathitrust.org/Record/000005197","HathiTrust Record")</f>
        <v/>
      </c>
      <c r="AU3185">
        <f>HYPERLINK("https://creighton-primo.hosted.exlibrisgroup.com/primo-explore/search?tab=default_tab&amp;search_scope=EVERYTHING&amp;vid=01CRU&amp;lang=en_US&amp;offset=0&amp;query=any,contains,991002523149702656","Catalog Record")</f>
        <v/>
      </c>
      <c r="AV3185">
        <f>HYPERLINK("http://www.worldcat.org/oclc/366303","WorldCat Record")</f>
        <v/>
      </c>
      <c r="AW3185" t="inlineStr">
        <is>
          <t>3863656674:eng</t>
        </is>
      </c>
      <c r="AX3185" t="inlineStr">
        <is>
          <t>366303</t>
        </is>
      </c>
      <c r="AY3185" t="inlineStr">
        <is>
          <t>991002523149702656</t>
        </is>
      </c>
      <c r="AZ3185" t="inlineStr">
        <is>
          <t>991002523149702656</t>
        </is>
      </c>
      <c r="BA3185" t="inlineStr">
        <is>
          <t>2264340860002656</t>
        </is>
      </c>
      <c r="BB3185" t="inlineStr">
        <is>
          <t>BOOK</t>
        </is>
      </c>
      <c r="BE3185" t="inlineStr">
        <is>
          <t>32285000760842</t>
        </is>
      </c>
      <c r="BF3185" t="inlineStr">
        <is>
          <t>893335407</t>
        </is>
      </c>
    </row>
    <row r="3186">
      <c r="A3186" t="inlineStr">
        <is>
          <t>No</t>
        </is>
      </c>
      <c r="B3186" t="inlineStr">
        <is>
          <t>CURAL</t>
        </is>
      </c>
      <c r="C3186" t="inlineStr">
        <is>
          <t>SHELVES</t>
        </is>
      </c>
      <c r="D3186" t="inlineStr">
        <is>
          <t>PR6023.A93 Z6897 1983</t>
        </is>
      </c>
      <c r="E3186" t="inlineStr">
        <is>
          <t>0                      PR 6023000A  93                 Z  6897        1983</t>
        </is>
      </c>
      <c r="F3186" t="inlineStr">
        <is>
          <t>The poetry of D.H. Lawrence : texts and contexts / by Ross C. Murfin.</t>
        </is>
      </c>
      <c r="H3186" t="inlineStr">
        <is>
          <t>No</t>
        </is>
      </c>
      <c r="I3186" t="inlineStr">
        <is>
          <t>1</t>
        </is>
      </c>
      <c r="J3186" t="inlineStr">
        <is>
          <t>No</t>
        </is>
      </c>
      <c r="K3186" t="inlineStr">
        <is>
          <t>No</t>
        </is>
      </c>
      <c r="L3186" t="inlineStr">
        <is>
          <t>0</t>
        </is>
      </c>
      <c r="M3186" t="inlineStr">
        <is>
          <t>Murfin, Ross C.</t>
        </is>
      </c>
      <c r="N3186" t="inlineStr">
        <is>
          <t>Lincoln : University of Nebraska Press, c1983.</t>
        </is>
      </c>
      <c r="O3186" t="inlineStr">
        <is>
          <t>1983</t>
        </is>
      </c>
      <c r="Q3186" t="inlineStr">
        <is>
          <t>eng</t>
        </is>
      </c>
      <c r="R3186" t="inlineStr">
        <is>
          <t>nbu</t>
        </is>
      </c>
      <c r="T3186" t="inlineStr">
        <is>
          <t xml:space="preserve">PR </t>
        </is>
      </c>
      <c r="U3186" t="n">
        <v>2</v>
      </c>
      <c r="V3186" t="n">
        <v>2</v>
      </c>
      <c r="W3186" t="inlineStr">
        <is>
          <t>2004-10-29</t>
        </is>
      </c>
      <c r="X3186" t="inlineStr">
        <is>
          <t>2004-10-29</t>
        </is>
      </c>
      <c r="Y3186" t="inlineStr">
        <is>
          <t>1992-07-15</t>
        </is>
      </c>
      <c r="Z3186" t="inlineStr">
        <is>
          <t>1992-07-15</t>
        </is>
      </c>
      <c r="AA3186" t="n">
        <v>550</v>
      </c>
      <c r="AB3186" t="n">
        <v>450</v>
      </c>
      <c r="AC3186" t="n">
        <v>454</v>
      </c>
      <c r="AD3186" t="n">
        <v>7</v>
      </c>
      <c r="AE3186" t="n">
        <v>7</v>
      </c>
      <c r="AF3186" t="n">
        <v>27</v>
      </c>
      <c r="AG3186" t="n">
        <v>27</v>
      </c>
      <c r="AH3186" t="n">
        <v>10</v>
      </c>
      <c r="AI3186" t="n">
        <v>10</v>
      </c>
      <c r="AJ3186" t="n">
        <v>7</v>
      </c>
      <c r="AK3186" t="n">
        <v>7</v>
      </c>
      <c r="AL3186" t="n">
        <v>13</v>
      </c>
      <c r="AM3186" t="n">
        <v>13</v>
      </c>
      <c r="AN3186" t="n">
        <v>5</v>
      </c>
      <c r="AO3186" t="n">
        <v>5</v>
      </c>
      <c r="AP3186" t="n">
        <v>0</v>
      </c>
      <c r="AQ3186" t="n">
        <v>0</v>
      </c>
      <c r="AR3186" t="inlineStr">
        <is>
          <t>No</t>
        </is>
      </c>
      <c r="AS3186" t="inlineStr">
        <is>
          <t>Yes</t>
        </is>
      </c>
      <c r="AT3186">
        <f>HYPERLINK("http://catalog.hathitrust.org/Record/000279955","HathiTrust Record")</f>
        <v/>
      </c>
      <c r="AU3186">
        <f>HYPERLINK("https://creighton-primo.hosted.exlibrisgroup.com/primo-explore/search?tab=default_tab&amp;search_scope=EVERYTHING&amp;vid=01CRU&amp;lang=en_US&amp;offset=0&amp;query=any,contains,991000027869702656","Catalog Record")</f>
        <v/>
      </c>
      <c r="AV3186">
        <f>HYPERLINK("http://www.worldcat.org/oclc/8590297","WorldCat Record")</f>
        <v/>
      </c>
      <c r="AW3186" t="inlineStr">
        <is>
          <t>293823595:eng</t>
        </is>
      </c>
      <c r="AX3186" t="inlineStr">
        <is>
          <t>8590297</t>
        </is>
      </c>
      <c r="AY3186" t="inlineStr">
        <is>
          <t>991000027869702656</t>
        </is>
      </c>
      <c r="AZ3186" t="inlineStr">
        <is>
          <t>991000027869702656</t>
        </is>
      </c>
      <c r="BA3186" t="inlineStr">
        <is>
          <t>2271992280002656</t>
        </is>
      </c>
      <c r="BB3186" t="inlineStr">
        <is>
          <t>BOOK</t>
        </is>
      </c>
      <c r="BD3186" t="inlineStr">
        <is>
          <t>9780803230804</t>
        </is>
      </c>
      <c r="BE3186" t="inlineStr">
        <is>
          <t>32285001153278</t>
        </is>
      </c>
      <c r="BF3186" t="inlineStr">
        <is>
          <t>893884038</t>
        </is>
      </c>
    </row>
    <row r="3187">
      <c r="A3187" t="inlineStr">
        <is>
          <t>No</t>
        </is>
      </c>
      <c r="B3187" t="inlineStr">
        <is>
          <t>CURAL</t>
        </is>
      </c>
      <c r="C3187" t="inlineStr">
        <is>
          <t>SHELVES</t>
        </is>
      </c>
      <c r="D3187" t="inlineStr">
        <is>
          <t>PR6023.A93 Z724 1971</t>
        </is>
      </c>
      <c r="E3187" t="inlineStr">
        <is>
          <t>0                      PR 6023000A  93                 Z  724         1971</t>
        </is>
      </c>
      <c r="F3187" t="inlineStr">
        <is>
          <t>D. H. Lawrence: an Eastern view [by] Chaman Nahal.</t>
        </is>
      </c>
      <c r="H3187" t="inlineStr">
        <is>
          <t>No</t>
        </is>
      </c>
      <c r="I3187" t="inlineStr">
        <is>
          <t>1</t>
        </is>
      </c>
      <c r="J3187" t="inlineStr">
        <is>
          <t>No</t>
        </is>
      </c>
      <c r="K3187" t="inlineStr">
        <is>
          <t>No</t>
        </is>
      </c>
      <c r="L3187" t="inlineStr">
        <is>
          <t>0</t>
        </is>
      </c>
      <c r="M3187" t="inlineStr">
        <is>
          <t>Nahal, Chaman Lal, 1927-</t>
        </is>
      </c>
      <c r="N3187" t="inlineStr">
        <is>
          <t>South Brunswick, Barnes [1971, c1970]</t>
        </is>
      </c>
      <c r="O3187" t="inlineStr">
        <is>
          <t>1971</t>
        </is>
      </c>
      <c r="Q3187" t="inlineStr">
        <is>
          <t>eng</t>
        </is>
      </c>
      <c r="R3187" t="inlineStr">
        <is>
          <t>nju</t>
        </is>
      </c>
      <c r="T3187" t="inlineStr">
        <is>
          <t xml:space="preserve">PR </t>
        </is>
      </c>
      <c r="U3187" t="n">
        <v>1</v>
      </c>
      <c r="V3187" t="n">
        <v>1</v>
      </c>
      <c r="W3187" t="inlineStr">
        <is>
          <t>2004-11-04</t>
        </is>
      </c>
      <c r="X3187" t="inlineStr">
        <is>
          <t>2004-11-04</t>
        </is>
      </c>
      <c r="Y3187" t="inlineStr">
        <is>
          <t>1997-04-15</t>
        </is>
      </c>
      <c r="Z3187" t="inlineStr">
        <is>
          <t>1997-04-15</t>
        </is>
      </c>
      <c r="AA3187" t="n">
        <v>239</v>
      </c>
      <c r="AB3187" t="n">
        <v>213</v>
      </c>
      <c r="AC3187" t="n">
        <v>251</v>
      </c>
      <c r="AD3187" t="n">
        <v>3</v>
      </c>
      <c r="AE3187" t="n">
        <v>3</v>
      </c>
      <c r="AF3187" t="n">
        <v>7</v>
      </c>
      <c r="AG3187" t="n">
        <v>9</v>
      </c>
      <c r="AH3187" t="n">
        <v>0</v>
      </c>
      <c r="AI3187" t="n">
        <v>1</v>
      </c>
      <c r="AJ3187" t="n">
        <v>2</v>
      </c>
      <c r="AK3187" t="n">
        <v>3</v>
      </c>
      <c r="AL3187" t="n">
        <v>4</v>
      </c>
      <c r="AM3187" t="n">
        <v>4</v>
      </c>
      <c r="AN3187" t="n">
        <v>2</v>
      </c>
      <c r="AO3187" t="n">
        <v>2</v>
      </c>
      <c r="AP3187" t="n">
        <v>0</v>
      </c>
      <c r="AQ3187" t="n">
        <v>0</v>
      </c>
      <c r="AR3187" t="inlineStr">
        <is>
          <t>No</t>
        </is>
      </c>
      <c r="AS3187" t="inlineStr">
        <is>
          <t>Yes</t>
        </is>
      </c>
      <c r="AT3187">
        <f>HYPERLINK("http://catalog.hathitrust.org/Record/000591878","HathiTrust Record")</f>
        <v/>
      </c>
      <c r="AU3187">
        <f>HYPERLINK("https://creighton-primo.hosted.exlibrisgroup.com/primo-explore/search?tab=default_tab&amp;search_scope=EVERYTHING&amp;vid=01CRU&amp;lang=en_US&amp;offset=0&amp;query=any,contains,991000678079702656","Catalog Record")</f>
        <v/>
      </c>
      <c r="AV3187">
        <f>HYPERLINK("http://www.worldcat.org/oclc/120585","WorldCat Record")</f>
        <v/>
      </c>
      <c r="AW3187" t="inlineStr">
        <is>
          <t>1241622:eng</t>
        </is>
      </c>
      <c r="AX3187" t="inlineStr">
        <is>
          <t>120585</t>
        </is>
      </c>
      <c r="AY3187" t="inlineStr">
        <is>
          <t>991000678079702656</t>
        </is>
      </c>
      <c r="AZ3187" t="inlineStr">
        <is>
          <t>991000678079702656</t>
        </is>
      </c>
      <c r="BA3187" t="inlineStr">
        <is>
          <t>2264118010002656</t>
        </is>
      </c>
      <c r="BB3187" t="inlineStr">
        <is>
          <t>BOOK</t>
        </is>
      </c>
      <c r="BD3187" t="inlineStr">
        <is>
          <t>9780498077203</t>
        </is>
      </c>
      <c r="BE3187" t="inlineStr">
        <is>
          <t>32285002529054</t>
        </is>
      </c>
      <c r="BF3187" t="inlineStr">
        <is>
          <t>893890930</t>
        </is>
      </c>
    </row>
    <row r="3188">
      <c r="A3188" t="inlineStr">
        <is>
          <t>No</t>
        </is>
      </c>
      <c r="B3188" t="inlineStr">
        <is>
          <t>CURAL</t>
        </is>
      </c>
      <c r="C3188" t="inlineStr">
        <is>
          <t>SHELVES</t>
        </is>
      </c>
      <c r="D3188" t="inlineStr">
        <is>
          <t>PR6023.A93 Z725 1979</t>
        </is>
      </c>
      <c r="E3188" t="inlineStr">
        <is>
          <t>0                      PR 6023000A  93                 Z  725         1979</t>
        </is>
      </c>
      <c r="F3188" t="inlineStr">
        <is>
          <t>D.H. Lawrence, the dramatist / Suresh Nath ; with a foreword by Amalendu Bose.</t>
        </is>
      </c>
      <c r="H3188" t="inlineStr">
        <is>
          <t>No</t>
        </is>
      </c>
      <c r="I3188" t="inlineStr">
        <is>
          <t>1</t>
        </is>
      </c>
      <c r="J3188" t="inlineStr">
        <is>
          <t>No</t>
        </is>
      </c>
      <c r="K3188" t="inlineStr">
        <is>
          <t>No</t>
        </is>
      </c>
      <c r="L3188" t="inlineStr">
        <is>
          <t>0</t>
        </is>
      </c>
      <c r="M3188" t="inlineStr">
        <is>
          <t>Nath, Suresh, 1941-</t>
        </is>
      </c>
      <c r="N3188" t="inlineStr">
        <is>
          <t>Ghaziabad : Vimal, 1979.</t>
        </is>
      </c>
      <c r="O3188" t="inlineStr">
        <is>
          <t>1979</t>
        </is>
      </c>
      <c r="P3188" t="inlineStr">
        <is>
          <t>1st ed.</t>
        </is>
      </c>
      <c r="Q3188" t="inlineStr">
        <is>
          <t>eng</t>
        </is>
      </c>
      <c r="R3188" t="inlineStr">
        <is>
          <t xml:space="preserve">ii </t>
        </is>
      </c>
      <c r="T3188" t="inlineStr">
        <is>
          <t xml:space="preserve">PR </t>
        </is>
      </c>
      <c r="U3188" t="n">
        <v>2</v>
      </c>
      <c r="V3188" t="n">
        <v>2</v>
      </c>
      <c r="W3188" t="inlineStr">
        <is>
          <t>1994-04-06</t>
        </is>
      </c>
      <c r="X3188" t="inlineStr">
        <is>
          <t>1994-04-06</t>
        </is>
      </c>
      <c r="Y3188" t="inlineStr">
        <is>
          <t>1992-07-15</t>
        </is>
      </c>
      <c r="Z3188" t="inlineStr">
        <is>
          <t>1992-07-15</t>
        </is>
      </c>
      <c r="AA3188" t="n">
        <v>49</v>
      </c>
      <c r="AB3188" t="n">
        <v>36</v>
      </c>
      <c r="AC3188" t="n">
        <v>60</v>
      </c>
      <c r="AD3188" t="n">
        <v>1</v>
      </c>
      <c r="AE3188" t="n">
        <v>1</v>
      </c>
      <c r="AF3188" t="n">
        <v>0</v>
      </c>
      <c r="AG3188" t="n">
        <v>0</v>
      </c>
      <c r="AH3188" t="n">
        <v>0</v>
      </c>
      <c r="AI3188" t="n">
        <v>0</v>
      </c>
      <c r="AJ3188" t="n">
        <v>0</v>
      </c>
      <c r="AK3188" t="n">
        <v>0</v>
      </c>
      <c r="AL3188" t="n">
        <v>0</v>
      </c>
      <c r="AM3188" t="n">
        <v>0</v>
      </c>
      <c r="AN3188" t="n">
        <v>0</v>
      </c>
      <c r="AO3188" t="n">
        <v>0</v>
      </c>
      <c r="AP3188" t="n">
        <v>0</v>
      </c>
      <c r="AQ3188" t="n">
        <v>0</v>
      </c>
      <c r="AR3188" t="inlineStr">
        <is>
          <t>No</t>
        </is>
      </c>
      <c r="AS3188" t="inlineStr">
        <is>
          <t>No</t>
        </is>
      </c>
      <c r="AU3188">
        <f>HYPERLINK("https://creighton-primo.hosted.exlibrisgroup.com/primo-explore/search?tab=default_tab&amp;search_scope=EVERYTHING&amp;vid=01CRU&amp;lang=en_US&amp;offset=0&amp;query=any,contains,991005123489702656","Catalog Record")</f>
        <v/>
      </c>
      <c r="AV3188">
        <f>HYPERLINK("http://www.worldcat.org/oclc/7551121","WorldCat Record")</f>
        <v/>
      </c>
      <c r="AW3188" t="inlineStr">
        <is>
          <t>28537002:eng</t>
        </is>
      </c>
      <c r="AX3188" t="inlineStr">
        <is>
          <t>7551121</t>
        </is>
      </c>
      <c r="AY3188" t="inlineStr">
        <is>
          <t>991005123489702656</t>
        </is>
      </c>
      <c r="AZ3188" t="inlineStr">
        <is>
          <t>991005123489702656</t>
        </is>
      </c>
      <c r="BA3188" t="inlineStr">
        <is>
          <t>2265992270002656</t>
        </is>
      </c>
      <c r="BB3188" t="inlineStr">
        <is>
          <t>BOOK</t>
        </is>
      </c>
      <c r="BE3188" t="inlineStr">
        <is>
          <t>32285001153302</t>
        </is>
      </c>
      <c r="BF3188" t="inlineStr">
        <is>
          <t>893446578</t>
        </is>
      </c>
    </row>
    <row r="3189">
      <c r="A3189" t="inlineStr">
        <is>
          <t>No</t>
        </is>
      </c>
      <c r="B3189" t="inlineStr">
        <is>
          <t>CURAL</t>
        </is>
      </c>
      <c r="C3189" t="inlineStr">
        <is>
          <t>SHELVES</t>
        </is>
      </c>
      <c r="D3189" t="inlineStr">
        <is>
          <t>PR6023.A93 Z754 1985</t>
        </is>
      </c>
      <c r="E3189" t="inlineStr">
        <is>
          <t>0                      PR 6023000A  93                 Z  754         1985</t>
        </is>
      </c>
      <c r="F3189" t="inlineStr">
        <is>
          <t>D.H. Lawrence : an unprofessional study / by Anais Nin ; with an introduction by Harry T. Moore.</t>
        </is>
      </c>
      <c r="H3189" t="inlineStr">
        <is>
          <t>No</t>
        </is>
      </c>
      <c r="I3189" t="inlineStr">
        <is>
          <t>1</t>
        </is>
      </c>
      <c r="J3189" t="inlineStr">
        <is>
          <t>No</t>
        </is>
      </c>
      <c r="K3189" t="inlineStr">
        <is>
          <t>No</t>
        </is>
      </c>
      <c r="L3189" t="inlineStr">
        <is>
          <t>0</t>
        </is>
      </c>
      <c r="M3189" t="inlineStr">
        <is>
          <t>Nin, Anaïs, 1903-1977.</t>
        </is>
      </c>
      <c r="N3189" t="inlineStr">
        <is>
          <t>London : Black Spring, 1985.</t>
        </is>
      </c>
      <c r="O3189" t="inlineStr">
        <is>
          <t>1985</t>
        </is>
      </c>
      <c r="Q3189" t="inlineStr">
        <is>
          <t>eng</t>
        </is>
      </c>
      <c r="R3189" t="inlineStr">
        <is>
          <t>enk</t>
        </is>
      </c>
      <c r="T3189" t="inlineStr">
        <is>
          <t xml:space="preserve">PR </t>
        </is>
      </c>
      <c r="U3189" t="n">
        <v>7</v>
      </c>
      <c r="V3189" t="n">
        <v>7</v>
      </c>
      <c r="W3189" t="inlineStr">
        <is>
          <t>2009-02-08</t>
        </is>
      </c>
      <c r="X3189" t="inlineStr">
        <is>
          <t>2009-02-08</t>
        </is>
      </c>
      <c r="Y3189" t="inlineStr">
        <is>
          <t>1992-07-15</t>
        </is>
      </c>
      <c r="Z3189" t="inlineStr">
        <is>
          <t>1992-07-15</t>
        </is>
      </c>
      <c r="AA3189" t="n">
        <v>86</v>
      </c>
      <c r="AB3189" t="n">
        <v>28</v>
      </c>
      <c r="AC3189" t="n">
        <v>767</v>
      </c>
      <c r="AD3189" t="n">
        <v>2</v>
      </c>
      <c r="AE3189" t="n">
        <v>7</v>
      </c>
      <c r="AF3189" t="n">
        <v>2</v>
      </c>
      <c r="AG3189" t="n">
        <v>32</v>
      </c>
      <c r="AH3189" t="n">
        <v>0</v>
      </c>
      <c r="AI3189" t="n">
        <v>12</v>
      </c>
      <c r="AJ3189" t="n">
        <v>0</v>
      </c>
      <c r="AK3189" t="n">
        <v>10</v>
      </c>
      <c r="AL3189" t="n">
        <v>1</v>
      </c>
      <c r="AM3189" t="n">
        <v>14</v>
      </c>
      <c r="AN3189" t="n">
        <v>1</v>
      </c>
      <c r="AO3189" t="n">
        <v>5</v>
      </c>
      <c r="AP3189" t="n">
        <v>0</v>
      </c>
      <c r="AQ3189" t="n">
        <v>0</v>
      </c>
      <c r="AR3189" t="inlineStr">
        <is>
          <t>No</t>
        </is>
      </c>
      <c r="AS3189" t="inlineStr">
        <is>
          <t>No</t>
        </is>
      </c>
      <c r="AU3189">
        <f>HYPERLINK("https://creighton-primo.hosted.exlibrisgroup.com/primo-explore/search?tab=default_tab&amp;search_scope=EVERYTHING&amp;vid=01CRU&amp;lang=en_US&amp;offset=0&amp;query=any,contains,991000698469702656","Catalog Record")</f>
        <v/>
      </c>
      <c r="AV3189">
        <f>HYPERLINK("http://www.worldcat.org/oclc/12523817","WorldCat Record")</f>
        <v/>
      </c>
      <c r="AW3189" t="inlineStr">
        <is>
          <t>457418:eng</t>
        </is>
      </c>
      <c r="AX3189" t="inlineStr">
        <is>
          <t>12523817</t>
        </is>
      </c>
      <c r="AY3189" t="inlineStr">
        <is>
          <t>991000698469702656</t>
        </is>
      </c>
      <c r="AZ3189" t="inlineStr">
        <is>
          <t>991000698469702656</t>
        </is>
      </c>
      <c r="BA3189" t="inlineStr">
        <is>
          <t>2261958600002656</t>
        </is>
      </c>
      <c r="BB3189" t="inlineStr">
        <is>
          <t>BOOK</t>
        </is>
      </c>
      <c r="BD3189" t="inlineStr">
        <is>
          <t>9780948238017</t>
        </is>
      </c>
      <c r="BE3189" t="inlineStr">
        <is>
          <t>32285001153351</t>
        </is>
      </c>
      <c r="BF3189" t="inlineStr">
        <is>
          <t>893419700</t>
        </is>
      </c>
    </row>
    <row r="3190">
      <c r="A3190" t="inlineStr">
        <is>
          <t>No</t>
        </is>
      </c>
      <c r="B3190" t="inlineStr">
        <is>
          <t>CURAL</t>
        </is>
      </c>
      <c r="C3190" t="inlineStr">
        <is>
          <t>SHELVES</t>
        </is>
      </c>
      <c r="D3190" t="inlineStr">
        <is>
          <t>PR6023.A93 Z7557</t>
        </is>
      </c>
      <c r="E3190" t="inlineStr">
        <is>
          <t>0                      PR 6023000A  93                 Z  7557</t>
        </is>
      </c>
      <c r="F3190" t="inlineStr">
        <is>
          <t>D. H. Lawrence : the novels / Alastair Niven.</t>
        </is>
      </c>
      <c r="H3190" t="inlineStr">
        <is>
          <t>No</t>
        </is>
      </c>
      <c r="I3190" t="inlineStr">
        <is>
          <t>1</t>
        </is>
      </c>
      <c r="J3190" t="inlineStr">
        <is>
          <t>No</t>
        </is>
      </c>
      <c r="K3190" t="inlineStr">
        <is>
          <t>No</t>
        </is>
      </c>
      <c r="L3190" t="inlineStr">
        <is>
          <t>0</t>
        </is>
      </c>
      <c r="M3190" t="inlineStr">
        <is>
          <t>Niven, Alastair.</t>
        </is>
      </c>
      <c r="N3190" t="inlineStr">
        <is>
          <t>Cambridge [Eng.] ; New York : Cambridge University Press, c1978.</t>
        </is>
      </c>
      <c r="O3190" t="inlineStr">
        <is>
          <t>1978</t>
        </is>
      </c>
      <c r="Q3190" t="inlineStr">
        <is>
          <t>eng</t>
        </is>
      </c>
      <c r="R3190" t="inlineStr">
        <is>
          <t>enk</t>
        </is>
      </c>
      <c r="S3190" t="inlineStr">
        <is>
          <t>British authors, introductory critical studies</t>
        </is>
      </c>
      <c r="T3190" t="inlineStr">
        <is>
          <t xml:space="preserve">PR </t>
        </is>
      </c>
      <c r="U3190" t="n">
        <v>2</v>
      </c>
      <c r="V3190" t="n">
        <v>2</v>
      </c>
      <c r="W3190" t="inlineStr">
        <is>
          <t>1996-02-29</t>
        </is>
      </c>
      <c r="X3190" t="inlineStr">
        <is>
          <t>1996-02-29</t>
        </is>
      </c>
      <c r="Y3190" t="inlineStr">
        <is>
          <t>1992-07-15</t>
        </is>
      </c>
      <c r="Z3190" t="inlineStr">
        <is>
          <t>1992-07-15</t>
        </is>
      </c>
      <c r="AA3190" t="n">
        <v>943</v>
      </c>
      <c r="AB3190" t="n">
        <v>675</v>
      </c>
      <c r="AC3190" t="n">
        <v>694</v>
      </c>
      <c r="AD3190" t="n">
        <v>7</v>
      </c>
      <c r="AE3190" t="n">
        <v>7</v>
      </c>
      <c r="AF3190" t="n">
        <v>32</v>
      </c>
      <c r="AG3190" t="n">
        <v>33</v>
      </c>
      <c r="AH3190" t="n">
        <v>13</v>
      </c>
      <c r="AI3190" t="n">
        <v>13</v>
      </c>
      <c r="AJ3190" t="n">
        <v>6</v>
      </c>
      <c r="AK3190" t="n">
        <v>7</v>
      </c>
      <c r="AL3190" t="n">
        <v>15</v>
      </c>
      <c r="AM3190" t="n">
        <v>16</v>
      </c>
      <c r="AN3190" t="n">
        <v>6</v>
      </c>
      <c r="AO3190" t="n">
        <v>6</v>
      </c>
      <c r="AP3190" t="n">
        <v>0</v>
      </c>
      <c r="AQ3190" t="n">
        <v>0</v>
      </c>
      <c r="AR3190" t="inlineStr">
        <is>
          <t>No</t>
        </is>
      </c>
      <c r="AS3190" t="inlineStr">
        <is>
          <t>No</t>
        </is>
      </c>
      <c r="AU3190">
        <f>HYPERLINK("https://creighton-primo.hosted.exlibrisgroup.com/primo-explore/search?tab=default_tab&amp;search_scope=EVERYTHING&amp;vid=01CRU&amp;lang=en_US&amp;offset=0&amp;query=any,contains,991004314319702656","Catalog Record")</f>
        <v/>
      </c>
      <c r="AV3190">
        <f>HYPERLINK("http://www.worldcat.org/oclc/3002994","WorldCat Record")</f>
        <v/>
      </c>
      <c r="AW3190" t="inlineStr">
        <is>
          <t>505934:eng</t>
        </is>
      </c>
      <c r="AX3190" t="inlineStr">
        <is>
          <t>3002994</t>
        </is>
      </c>
      <c r="AY3190" t="inlineStr">
        <is>
          <t>991004314319702656</t>
        </is>
      </c>
      <c r="AZ3190" t="inlineStr">
        <is>
          <t>991004314319702656</t>
        </is>
      </c>
      <c r="BA3190" t="inlineStr">
        <is>
          <t>2272175530002656</t>
        </is>
      </c>
      <c r="BB3190" t="inlineStr">
        <is>
          <t>BOOK</t>
        </is>
      </c>
      <c r="BD3190" t="inlineStr">
        <is>
          <t>9780521217446</t>
        </is>
      </c>
      <c r="BE3190" t="inlineStr">
        <is>
          <t>32285001153369</t>
        </is>
      </c>
      <c r="BF3190" t="inlineStr">
        <is>
          <t>893519486</t>
        </is>
      </c>
    </row>
    <row r="3191">
      <c r="A3191" t="inlineStr">
        <is>
          <t>No</t>
        </is>
      </c>
      <c r="B3191" t="inlineStr">
        <is>
          <t>CURAL</t>
        </is>
      </c>
      <c r="C3191" t="inlineStr">
        <is>
          <t>SHELVES</t>
        </is>
      </c>
      <c r="D3191" t="inlineStr">
        <is>
          <t>PR6023.A93 Z7558 1980</t>
        </is>
      </c>
      <c r="E3191" t="inlineStr">
        <is>
          <t>0                      PR 6023000A  93                 Z  7558        1980</t>
        </is>
      </c>
      <c r="F3191" t="inlineStr">
        <is>
          <t>D. H. Lawrence, the writer and his work / by Alastair Niven.</t>
        </is>
      </c>
      <c r="H3191" t="inlineStr">
        <is>
          <t>No</t>
        </is>
      </c>
      <c r="I3191" t="inlineStr">
        <is>
          <t>1</t>
        </is>
      </c>
      <c r="J3191" t="inlineStr">
        <is>
          <t>No</t>
        </is>
      </c>
      <c r="K3191" t="inlineStr">
        <is>
          <t>No</t>
        </is>
      </c>
      <c r="L3191" t="inlineStr">
        <is>
          <t>0</t>
        </is>
      </c>
      <c r="M3191" t="inlineStr">
        <is>
          <t>Niven, Alastair.</t>
        </is>
      </c>
      <c r="N3191" t="inlineStr">
        <is>
          <t>New York : Scribner, 1980.</t>
        </is>
      </c>
      <c r="O3191" t="inlineStr">
        <is>
          <t>1980</t>
        </is>
      </c>
      <c r="Q3191" t="inlineStr">
        <is>
          <t>eng</t>
        </is>
      </c>
      <c r="R3191" t="inlineStr">
        <is>
          <t>nyu</t>
        </is>
      </c>
      <c r="S3191" t="inlineStr">
        <is>
          <t>Writers and their work</t>
        </is>
      </c>
      <c r="T3191" t="inlineStr">
        <is>
          <t xml:space="preserve">PR </t>
        </is>
      </c>
      <c r="U3191" t="n">
        <v>6</v>
      </c>
      <c r="V3191" t="n">
        <v>6</v>
      </c>
      <c r="W3191" t="inlineStr">
        <is>
          <t>2004-11-15</t>
        </is>
      </c>
      <c r="X3191" t="inlineStr">
        <is>
          <t>2004-11-15</t>
        </is>
      </c>
      <c r="Y3191" t="inlineStr">
        <is>
          <t>1992-07-15</t>
        </is>
      </c>
      <c r="Z3191" t="inlineStr">
        <is>
          <t>1992-07-15</t>
        </is>
      </c>
      <c r="AA3191" t="n">
        <v>331</v>
      </c>
      <c r="AB3191" t="n">
        <v>308</v>
      </c>
      <c r="AC3191" t="n">
        <v>513</v>
      </c>
      <c r="AD3191" t="n">
        <v>3</v>
      </c>
      <c r="AE3191" t="n">
        <v>5</v>
      </c>
      <c r="AF3191" t="n">
        <v>10</v>
      </c>
      <c r="AG3191" t="n">
        <v>24</v>
      </c>
      <c r="AH3191" t="n">
        <v>5</v>
      </c>
      <c r="AI3191" t="n">
        <v>8</v>
      </c>
      <c r="AJ3191" t="n">
        <v>2</v>
      </c>
      <c r="AK3191" t="n">
        <v>6</v>
      </c>
      <c r="AL3191" t="n">
        <v>2</v>
      </c>
      <c r="AM3191" t="n">
        <v>10</v>
      </c>
      <c r="AN3191" t="n">
        <v>2</v>
      </c>
      <c r="AO3191" t="n">
        <v>4</v>
      </c>
      <c r="AP3191" t="n">
        <v>0</v>
      </c>
      <c r="AQ3191" t="n">
        <v>0</v>
      </c>
      <c r="AR3191" t="inlineStr">
        <is>
          <t>No</t>
        </is>
      </c>
      <c r="AS3191" t="inlineStr">
        <is>
          <t>No</t>
        </is>
      </c>
      <c r="AU3191">
        <f>HYPERLINK("https://creighton-primo.hosted.exlibrisgroup.com/primo-explore/search?tab=default_tab&amp;search_scope=EVERYTHING&amp;vid=01CRU&amp;lang=en_US&amp;offset=0&amp;query=any,contains,991004998529702656","Catalog Record")</f>
        <v/>
      </c>
      <c r="AV3191">
        <f>HYPERLINK("http://www.worldcat.org/oclc/6532570","WorldCat Record")</f>
        <v/>
      </c>
      <c r="AW3191" t="inlineStr">
        <is>
          <t>4820515923:eng</t>
        </is>
      </c>
      <c r="AX3191" t="inlineStr">
        <is>
          <t>6532570</t>
        </is>
      </c>
      <c r="AY3191" t="inlineStr">
        <is>
          <t>991004998529702656</t>
        </is>
      </c>
      <c r="AZ3191" t="inlineStr">
        <is>
          <t>991004998529702656</t>
        </is>
      </c>
      <c r="BA3191" t="inlineStr">
        <is>
          <t>2261982770002656</t>
        </is>
      </c>
      <c r="BB3191" t="inlineStr">
        <is>
          <t>BOOK</t>
        </is>
      </c>
      <c r="BD3191" t="inlineStr">
        <is>
          <t>9780684166667</t>
        </is>
      </c>
      <c r="BE3191" t="inlineStr">
        <is>
          <t>32285001153377</t>
        </is>
      </c>
      <c r="BF3191" t="inlineStr">
        <is>
          <t>893694600</t>
        </is>
      </c>
    </row>
    <row r="3192">
      <c r="A3192" t="inlineStr">
        <is>
          <t>No</t>
        </is>
      </c>
      <c r="B3192" t="inlineStr">
        <is>
          <t>CURAL</t>
        </is>
      </c>
      <c r="C3192" t="inlineStr">
        <is>
          <t>SHELVES</t>
        </is>
      </c>
      <c r="D3192" t="inlineStr">
        <is>
          <t>PR6023.A93 Z82 1971b</t>
        </is>
      </c>
      <c r="E3192" t="inlineStr">
        <is>
          <t>0                      PR 6023000A  93                 Z  82          1971b</t>
        </is>
      </c>
      <c r="F3192" t="inlineStr">
        <is>
          <t>D. H. Lawrence : body of darkness / [by] R. E. Pritchard.</t>
        </is>
      </c>
      <c r="H3192" t="inlineStr">
        <is>
          <t>No</t>
        </is>
      </c>
      <c r="I3192" t="inlineStr">
        <is>
          <t>1</t>
        </is>
      </c>
      <c r="J3192" t="inlineStr">
        <is>
          <t>No</t>
        </is>
      </c>
      <c r="K3192" t="inlineStr">
        <is>
          <t>No</t>
        </is>
      </c>
      <c r="L3192" t="inlineStr">
        <is>
          <t>0</t>
        </is>
      </c>
      <c r="M3192" t="inlineStr">
        <is>
          <t>Pritchard, R. E. (Ronald Edward)</t>
        </is>
      </c>
      <c r="N3192" t="inlineStr">
        <is>
          <t>[Pittsburgh] : University of Pittsburgh Press, [c1971]</t>
        </is>
      </c>
      <c r="O3192" t="inlineStr">
        <is>
          <t>1971</t>
        </is>
      </c>
      <c r="Q3192" t="inlineStr">
        <is>
          <t>eng</t>
        </is>
      </c>
      <c r="R3192" t="inlineStr">
        <is>
          <t>pau</t>
        </is>
      </c>
      <c r="S3192" t="inlineStr">
        <is>
          <t>Critical essays in modern literature</t>
        </is>
      </c>
      <c r="T3192" t="inlineStr">
        <is>
          <t xml:space="preserve">PR </t>
        </is>
      </c>
      <c r="U3192" t="n">
        <v>1</v>
      </c>
      <c r="V3192" t="n">
        <v>1</v>
      </c>
      <c r="W3192" t="inlineStr">
        <is>
          <t>1992-06-01</t>
        </is>
      </c>
      <c r="X3192" t="inlineStr">
        <is>
          <t>1992-06-01</t>
        </is>
      </c>
      <c r="Y3192" t="inlineStr">
        <is>
          <t>1992-05-29</t>
        </is>
      </c>
      <c r="Z3192" t="inlineStr">
        <is>
          <t>1992-05-29</t>
        </is>
      </c>
      <c r="AA3192" t="n">
        <v>465</v>
      </c>
      <c r="AB3192" t="n">
        <v>444</v>
      </c>
      <c r="AC3192" t="n">
        <v>605</v>
      </c>
      <c r="AD3192" t="n">
        <v>5</v>
      </c>
      <c r="AE3192" t="n">
        <v>6</v>
      </c>
      <c r="AF3192" t="n">
        <v>25</v>
      </c>
      <c r="AG3192" t="n">
        <v>32</v>
      </c>
      <c r="AH3192" t="n">
        <v>10</v>
      </c>
      <c r="AI3192" t="n">
        <v>14</v>
      </c>
      <c r="AJ3192" t="n">
        <v>5</v>
      </c>
      <c r="AK3192" t="n">
        <v>6</v>
      </c>
      <c r="AL3192" t="n">
        <v>12</v>
      </c>
      <c r="AM3192" t="n">
        <v>16</v>
      </c>
      <c r="AN3192" t="n">
        <v>3</v>
      </c>
      <c r="AO3192" t="n">
        <v>4</v>
      </c>
      <c r="AP3192" t="n">
        <v>0</v>
      </c>
      <c r="AQ3192" t="n">
        <v>0</v>
      </c>
      <c r="AR3192" t="inlineStr">
        <is>
          <t>No</t>
        </is>
      </c>
      <c r="AS3192" t="inlineStr">
        <is>
          <t>No</t>
        </is>
      </c>
      <c r="AU3192">
        <f>HYPERLINK("https://creighton-primo.hosted.exlibrisgroup.com/primo-explore/search?tab=default_tab&amp;search_scope=EVERYTHING&amp;vid=01CRU&amp;lang=en_US&amp;offset=0&amp;query=any,contains,991001926419702656","Catalog Record")</f>
        <v/>
      </c>
      <c r="AV3192">
        <f>HYPERLINK("http://www.worldcat.org/oclc/246807","WorldCat Record")</f>
        <v/>
      </c>
      <c r="AW3192" t="inlineStr">
        <is>
          <t>1308147:eng</t>
        </is>
      </c>
      <c r="AX3192" t="inlineStr">
        <is>
          <t>246807</t>
        </is>
      </c>
      <c r="AY3192" t="inlineStr">
        <is>
          <t>991001926419702656</t>
        </is>
      </c>
      <c r="AZ3192" t="inlineStr">
        <is>
          <t>991001926419702656</t>
        </is>
      </c>
      <c r="BA3192" t="inlineStr">
        <is>
          <t>2257517860002656</t>
        </is>
      </c>
      <c r="BB3192" t="inlineStr">
        <is>
          <t>BOOK</t>
        </is>
      </c>
      <c r="BD3192" t="inlineStr">
        <is>
          <t>9780822952275</t>
        </is>
      </c>
      <c r="BE3192" t="inlineStr">
        <is>
          <t>32285001126407</t>
        </is>
      </c>
      <c r="BF3192" t="inlineStr">
        <is>
          <t>893497547</t>
        </is>
      </c>
    </row>
    <row r="3193">
      <c r="A3193" t="inlineStr">
        <is>
          <t>No</t>
        </is>
      </c>
      <c r="B3193" t="inlineStr">
        <is>
          <t>CURAL</t>
        </is>
      </c>
      <c r="C3193" t="inlineStr">
        <is>
          <t>SHELVES</t>
        </is>
      </c>
      <c r="D3193" t="inlineStr">
        <is>
          <t>PR6023.A93 Z858 1984</t>
        </is>
      </c>
      <c r="E3193" t="inlineStr">
        <is>
          <t>0                      PR 6023000A  93                 Z  858         1984</t>
        </is>
      </c>
      <c r="F3193" t="inlineStr">
        <is>
          <t>D.H. Lawrence and the devouring mother : the search for a patriarchal ideal of leadership / Judith Ruderman.</t>
        </is>
      </c>
      <c r="H3193" t="inlineStr">
        <is>
          <t>No</t>
        </is>
      </c>
      <c r="I3193" t="inlineStr">
        <is>
          <t>1</t>
        </is>
      </c>
      <c r="J3193" t="inlineStr">
        <is>
          <t>No</t>
        </is>
      </c>
      <c r="K3193" t="inlineStr">
        <is>
          <t>No</t>
        </is>
      </c>
      <c r="L3193" t="inlineStr">
        <is>
          <t>0</t>
        </is>
      </c>
      <c r="M3193" t="inlineStr">
        <is>
          <t>Ruderman, Judith, 1943-</t>
        </is>
      </c>
      <c r="N3193" t="inlineStr">
        <is>
          <t>Durham, N.C. : Duke University Press, 1984.</t>
        </is>
      </c>
      <c r="O3193" t="inlineStr">
        <is>
          <t>1984</t>
        </is>
      </c>
      <c r="Q3193" t="inlineStr">
        <is>
          <t>eng</t>
        </is>
      </c>
      <c r="R3193" t="inlineStr">
        <is>
          <t>ncu</t>
        </is>
      </c>
      <c r="T3193" t="inlineStr">
        <is>
          <t xml:space="preserve">PR </t>
        </is>
      </c>
      <c r="U3193" t="n">
        <v>7</v>
      </c>
      <c r="V3193" t="n">
        <v>7</v>
      </c>
      <c r="W3193" t="inlineStr">
        <is>
          <t>2004-11-30</t>
        </is>
      </c>
      <c r="X3193" t="inlineStr">
        <is>
          <t>2004-11-30</t>
        </is>
      </c>
      <c r="Y3193" t="inlineStr">
        <is>
          <t>1992-07-16</t>
        </is>
      </c>
      <c r="Z3193" t="inlineStr">
        <is>
          <t>1992-07-16</t>
        </is>
      </c>
      <c r="AA3193" t="n">
        <v>422</v>
      </c>
      <c r="AB3193" t="n">
        <v>342</v>
      </c>
      <c r="AC3193" t="n">
        <v>344</v>
      </c>
      <c r="AD3193" t="n">
        <v>4</v>
      </c>
      <c r="AE3193" t="n">
        <v>4</v>
      </c>
      <c r="AF3193" t="n">
        <v>20</v>
      </c>
      <c r="AG3193" t="n">
        <v>20</v>
      </c>
      <c r="AH3193" t="n">
        <v>6</v>
      </c>
      <c r="AI3193" t="n">
        <v>6</v>
      </c>
      <c r="AJ3193" t="n">
        <v>6</v>
      </c>
      <c r="AK3193" t="n">
        <v>6</v>
      </c>
      <c r="AL3193" t="n">
        <v>11</v>
      </c>
      <c r="AM3193" t="n">
        <v>11</v>
      </c>
      <c r="AN3193" t="n">
        <v>3</v>
      </c>
      <c r="AO3193" t="n">
        <v>3</v>
      </c>
      <c r="AP3193" t="n">
        <v>0</v>
      </c>
      <c r="AQ3193" t="n">
        <v>0</v>
      </c>
      <c r="AR3193" t="inlineStr">
        <is>
          <t>No</t>
        </is>
      </c>
      <c r="AS3193" t="inlineStr">
        <is>
          <t>Yes</t>
        </is>
      </c>
      <c r="AT3193">
        <f>HYPERLINK("http://catalog.hathitrust.org/Record/000123341","HathiTrust Record")</f>
        <v/>
      </c>
      <c r="AU3193">
        <f>HYPERLINK("https://creighton-primo.hosted.exlibrisgroup.com/primo-explore/search?tab=default_tab&amp;search_scope=EVERYTHING&amp;vid=01CRU&amp;lang=en_US&amp;offset=0&amp;query=any,contains,991000417609702656","Catalog Record")</f>
        <v/>
      </c>
      <c r="AV3193">
        <f>HYPERLINK("http://www.worldcat.org/oclc/10725666","WorldCat Record")</f>
        <v/>
      </c>
      <c r="AW3193" t="inlineStr">
        <is>
          <t>292905885:eng</t>
        </is>
      </c>
      <c r="AX3193" t="inlineStr">
        <is>
          <t>10725666</t>
        </is>
      </c>
      <c r="AY3193" t="inlineStr">
        <is>
          <t>991000417609702656</t>
        </is>
      </c>
      <c r="AZ3193" t="inlineStr">
        <is>
          <t>991000417609702656</t>
        </is>
      </c>
      <c r="BA3193" t="inlineStr">
        <is>
          <t>2263753440002656</t>
        </is>
      </c>
      <c r="BB3193" t="inlineStr">
        <is>
          <t>BOOK</t>
        </is>
      </c>
      <c r="BD3193" t="inlineStr">
        <is>
          <t>9780822305989</t>
        </is>
      </c>
      <c r="BE3193" t="inlineStr">
        <is>
          <t>32285001153401</t>
        </is>
      </c>
      <c r="BF3193" t="inlineStr">
        <is>
          <t>893614162</t>
        </is>
      </c>
    </row>
    <row r="3194">
      <c r="A3194" t="inlineStr">
        <is>
          <t>No</t>
        </is>
      </c>
      <c r="B3194" t="inlineStr">
        <is>
          <t>CURAL</t>
        </is>
      </c>
      <c r="C3194" t="inlineStr">
        <is>
          <t>SHELVES</t>
        </is>
      </c>
      <c r="D3194" t="inlineStr">
        <is>
          <t>PR6023.A93 Z8654 1985</t>
        </is>
      </c>
      <c r="E3194" t="inlineStr">
        <is>
          <t>0                      PR 6023000A  93                 Z  8654        1985</t>
        </is>
      </c>
      <c r="F3194" t="inlineStr">
        <is>
          <t>Class, politics, and the individual : a study of the major works of D.H. Lawrence / Peter Scheckner.</t>
        </is>
      </c>
      <c r="H3194" t="inlineStr">
        <is>
          <t>No</t>
        </is>
      </c>
      <c r="I3194" t="inlineStr">
        <is>
          <t>1</t>
        </is>
      </c>
      <c r="J3194" t="inlineStr">
        <is>
          <t>No</t>
        </is>
      </c>
      <c r="K3194" t="inlineStr">
        <is>
          <t>No</t>
        </is>
      </c>
      <c r="L3194" t="inlineStr">
        <is>
          <t>0</t>
        </is>
      </c>
      <c r="M3194" t="inlineStr">
        <is>
          <t>Scheckner, Peter, 1943-</t>
        </is>
      </c>
      <c r="N3194" t="inlineStr">
        <is>
          <t>Rutherford [N.J.] : Fairleigh Dickinson University Press, c1985.</t>
        </is>
      </c>
      <c r="O3194" t="inlineStr">
        <is>
          <t>1985</t>
        </is>
      </c>
      <c r="Q3194" t="inlineStr">
        <is>
          <t>eng</t>
        </is>
      </c>
      <c r="R3194" t="inlineStr">
        <is>
          <t>nju</t>
        </is>
      </c>
      <c r="T3194" t="inlineStr">
        <is>
          <t xml:space="preserve">PR </t>
        </is>
      </c>
      <c r="U3194" t="n">
        <v>2</v>
      </c>
      <c r="V3194" t="n">
        <v>2</v>
      </c>
      <c r="W3194" t="inlineStr">
        <is>
          <t>2004-12-13</t>
        </is>
      </c>
      <c r="X3194" t="inlineStr">
        <is>
          <t>2004-12-13</t>
        </is>
      </c>
      <c r="Y3194" t="inlineStr">
        <is>
          <t>1992-07-16</t>
        </is>
      </c>
      <c r="Z3194" t="inlineStr">
        <is>
          <t>1992-07-16</t>
        </is>
      </c>
      <c r="AA3194" t="n">
        <v>579</v>
      </c>
      <c r="AB3194" t="n">
        <v>490</v>
      </c>
      <c r="AC3194" t="n">
        <v>497</v>
      </c>
      <c r="AD3194" t="n">
        <v>4</v>
      </c>
      <c r="AE3194" t="n">
        <v>4</v>
      </c>
      <c r="AF3194" t="n">
        <v>22</v>
      </c>
      <c r="AG3194" t="n">
        <v>22</v>
      </c>
      <c r="AH3194" t="n">
        <v>6</v>
      </c>
      <c r="AI3194" t="n">
        <v>6</v>
      </c>
      <c r="AJ3194" t="n">
        <v>6</v>
      </c>
      <c r="AK3194" t="n">
        <v>6</v>
      </c>
      <c r="AL3194" t="n">
        <v>11</v>
      </c>
      <c r="AM3194" t="n">
        <v>11</v>
      </c>
      <c r="AN3194" t="n">
        <v>3</v>
      </c>
      <c r="AO3194" t="n">
        <v>3</v>
      </c>
      <c r="AP3194" t="n">
        <v>0</v>
      </c>
      <c r="AQ3194" t="n">
        <v>0</v>
      </c>
      <c r="AR3194" t="inlineStr">
        <is>
          <t>No</t>
        </is>
      </c>
      <c r="AS3194" t="inlineStr">
        <is>
          <t>Yes</t>
        </is>
      </c>
      <c r="AT3194">
        <f>HYPERLINK("http://catalog.hathitrust.org/Record/000654241","HathiTrust Record")</f>
        <v/>
      </c>
      <c r="AU3194">
        <f>HYPERLINK("https://creighton-primo.hosted.exlibrisgroup.com/primo-explore/search?tab=default_tab&amp;search_scope=EVERYTHING&amp;vid=01CRU&amp;lang=en_US&amp;offset=0&amp;query=any,contains,991000553449702656","Catalog Record")</f>
        <v/>
      </c>
      <c r="AV3194">
        <f>HYPERLINK("http://www.worldcat.org/oclc/11548729","WorldCat Record")</f>
        <v/>
      </c>
      <c r="AW3194" t="inlineStr">
        <is>
          <t>4321620:eng</t>
        </is>
      </c>
      <c r="AX3194" t="inlineStr">
        <is>
          <t>11548729</t>
        </is>
      </c>
      <c r="AY3194" t="inlineStr">
        <is>
          <t>991000553449702656</t>
        </is>
      </c>
      <c r="AZ3194" t="inlineStr">
        <is>
          <t>991000553449702656</t>
        </is>
      </c>
      <c r="BA3194" t="inlineStr">
        <is>
          <t>2260071140002656</t>
        </is>
      </c>
      <c r="BB3194" t="inlineStr">
        <is>
          <t>BOOK</t>
        </is>
      </c>
      <c r="BD3194" t="inlineStr">
        <is>
          <t>9780838631973</t>
        </is>
      </c>
      <c r="BE3194" t="inlineStr">
        <is>
          <t>32285001153443</t>
        </is>
      </c>
      <c r="BF3194" t="inlineStr">
        <is>
          <t>893496343</t>
        </is>
      </c>
    </row>
    <row r="3195">
      <c r="A3195" t="inlineStr">
        <is>
          <t>No</t>
        </is>
      </c>
      <c r="B3195" t="inlineStr">
        <is>
          <t>CURAL</t>
        </is>
      </c>
      <c r="C3195" t="inlineStr">
        <is>
          <t>SHELVES</t>
        </is>
      </c>
      <c r="D3195" t="inlineStr">
        <is>
          <t>PR6023.A93 Z9</t>
        </is>
      </c>
      <c r="E3195" t="inlineStr">
        <is>
          <t>0                      PR 6023000A  93                 Z  9</t>
        </is>
      </c>
      <c r="F3195" t="inlineStr">
        <is>
          <t>The love ethic of D. H. Lawrence.</t>
        </is>
      </c>
      <c r="H3195" t="inlineStr">
        <is>
          <t>No</t>
        </is>
      </c>
      <c r="I3195" t="inlineStr">
        <is>
          <t>1</t>
        </is>
      </c>
      <c r="J3195" t="inlineStr">
        <is>
          <t>No</t>
        </is>
      </c>
      <c r="K3195" t="inlineStr">
        <is>
          <t>No</t>
        </is>
      </c>
      <c r="L3195" t="inlineStr">
        <is>
          <t>0</t>
        </is>
      </c>
      <c r="M3195" t="inlineStr">
        <is>
          <t>Spilka, Mark.</t>
        </is>
      </c>
      <c r="N3195" t="inlineStr">
        <is>
          <t>Bloomington : Indiana University Press, 1955.</t>
        </is>
      </c>
      <c r="O3195" t="inlineStr">
        <is>
          <t>1955</t>
        </is>
      </c>
      <c r="Q3195" t="inlineStr">
        <is>
          <t>eng</t>
        </is>
      </c>
      <c r="R3195" t="inlineStr">
        <is>
          <t>inu</t>
        </is>
      </c>
      <c r="T3195" t="inlineStr">
        <is>
          <t xml:space="preserve">PR </t>
        </is>
      </c>
      <c r="U3195" t="n">
        <v>7</v>
      </c>
      <c r="V3195" t="n">
        <v>7</v>
      </c>
      <c r="W3195" t="inlineStr">
        <is>
          <t>2004-11-30</t>
        </is>
      </c>
      <c r="X3195" t="inlineStr">
        <is>
          <t>2004-11-30</t>
        </is>
      </c>
      <c r="Y3195" t="inlineStr">
        <is>
          <t>1994-04-08</t>
        </is>
      </c>
      <c r="Z3195" t="inlineStr">
        <is>
          <t>1994-04-08</t>
        </is>
      </c>
      <c r="AA3195" t="n">
        <v>971</v>
      </c>
      <c r="AB3195" t="n">
        <v>870</v>
      </c>
      <c r="AC3195" t="n">
        <v>897</v>
      </c>
      <c r="AD3195" t="n">
        <v>9</v>
      </c>
      <c r="AE3195" t="n">
        <v>9</v>
      </c>
      <c r="AF3195" t="n">
        <v>47</v>
      </c>
      <c r="AG3195" t="n">
        <v>48</v>
      </c>
      <c r="AH3195" t="n">
        <v>19</v>
      </c>
      <c r="AI3195" t="n">
        <v>20</v>
      </c>
      <c r="AJ3195" t="n">
        <v>6</v>
      </c>
      <c r="AK3195" t="n">
        <v>6</v>
      </c>
      <c r="AL3195" t="n">
        <v>24</v>
      </c>
      <c r="AM3195" t="n">
        <v>24</v>
      </c>
      <c r="AN3195" t="n">
        <v>8</v>
      </c>
      <c r="AO3195" t="n">
        <v>8</v>
      </c>
      <c r="AP3195" t="n">
        <v>0</v>
      </c>
      <c r="AQ3195" t="n">
        <v>0</v>
      </c>
      <c r="AR3195" t="inlineStr">
        <is>
          <t>No</t>
        </is>
      </c>
      <c r="AS3195" t="inlineStr">
        <is>
          <t>Yes</t>
        </is>
      </c>
      <c r="AT3195">
        <f>HYPERLINK("http://catalog.hathitrust.org/Record/000592331","HathiTrust Record")</f>
        <v/>
      </c>
      <c r="AU3195">
        <f>HYPERLINK("https://creighton-primo.hosted.exlibrisgroup.com/primo-explore/search?tab=default_tab&amp;search_scope=EVERYTHING&amp;vid=01CRU&amp;lang=en_US&amp;offset=0&amp;query=any,contains,991001022349702656","Catalog Record")</f>
        <v/>
      </c>
      <c r="AV3195">
        <f>HYPERLINK("http://www.worldcat.org/oclc/174029","WorldCat Record")</f>
        <v/>
      </c>
      <c r="AW3195" t="inlineStr">
        <is>
          <t>20248:eng</t>
        </is>
      </c>
      <c r="AX3195" t="inlineStr">
        <is>
          <t>174029</t>
        </is>
      </c>
      <c r="AY3195" t="inlineStr">
        <is>
          <t>991001022349702656</t>
        </is>
      </c>
      <c r="AZ3195" t="inlineStr">
        <is>
          <t>991001022349702656</t>
        </is>
      </c>
      <c r="BA3195" t="inlineStr">
        <is>
          <t>2266430600002656</t>
        </is>
      </c>
      <c r="BB3195" t="inlineStr">
        <is>
          <t>BOOK</t>
        </is>
      </c>
      <c r="BE3195" t="inlineStr">
        <is>
          <t>32285001874543</t>
        </is>
      </c>
      <c r="BF3195" t="inlineStr">
        <is>
          <t>893255938</t>
        </is>
      </c>
    </row>
    <row r="3196">
      <c r="A3196" t="inlineStr">
        <is>
          <t>No</t>
        </is>
      </c>
      <c r="B3196" t="inlineStr">
        <is>
          <t>CURAL</t>
        </is>
      </c>
      <c r="C3196" t="inlineStr">
        <is>
          <t>SHELVES</t>
        </is>
      </c>
      <c r="D3196" t="inlineStr">
        <is>
          <t>PR6023.A93 Z924</t>
        </is>
      </c>
      <c r="E3196" t="inlineStr">
        <is>
          <t>0                      PR 6023000A  93                 Z  924</t>
        </is>
      </c>
      <c r="F3196" t="inlineStr">
        <is>
          <t>The novels of D. H. Lawrence; a search for integration [by] John E. Stoll.</t>
        </is>
      </c>
      <c r="H3196" t="inlineStr">
        <is>
          <t>No</t>
        </is>
      </c>
      <c r="I3196" t="inlineStr">
        <is>
          <t>1</t>
        </is>
      </c>
      <c r="J3196" t="inlineStr">
        <is>
          <t>No</t>
        </is>
      </c>
      <c r="K3196" t="inlineStr">
        <is>
          <t>No</t>
        </is>
      </c>
      <c r="L3196" t="inlineStr">
        <is>
          <t>0</t>
        </is>
      </c>
      <c r="M3196" t="inlineStr">
        <is>
          <t>Stoll, John E.</t>
        </is>
      </c>
      <c r="N3196" t="inlineStr">
        <is>
          <t>Columbia, University of Missouri Press [1971]</t>
        </is>
      </c>
      <c r="O3196" t="inlineStr">
        <is>
          <t>1971</t>
        </is>
      </c>
      <c r="Q3196" t="inlineStr">
        <is>
          <t>eng</t>
        </is>
      </c>
      <c r="R3196" t="inlineStr">
        <is>
          <t>mou</t>
        </is>
      </c>
      <c r="T3196" t="inlineStr">
        <is>
          <t xml:space="preserve">PR </t>
        </is>
      </c>
      <c r="U3196" t="n">
        <v>2</v>
      </c>
      <c r="V3196" t="n">
        <v>2</v>
      </c>
      <c r="W3196" t="inlineStr">
        <is>
          <t>2004-11-04</t>
        </is>
      </c>
      <c r="X3196" t="inlineStr">
        <is>
          <t>2004-11-04</t>
        </is>
      </c>
      <c r="Y3196" t="inlineStr">
        <is>
          <t>1997-04-15</t>
        </is>
      </c>
      <c r="Z3196" t="inlineStr">
        <is>
          <t>1997-04-15</t>
        </is>
      </c>
      <c r="AA3196" t="n">
        <v>913</v>
      </c>
      <c r="AB3196" t="n">
        <v>794</v>
      </c>
      <c r="AC3196" t="n">
        <v>801</v>
      </c>
      <c r="AD3196" t="n">
        <v>7</v>
      </c>
      <c r="AE3196" t="n">
        <v>7</v>
      </c>
      <c r="AF3196" t="n">
        <v>34</v>
      </c>
      <c r="AG3196" t="n">
        <v>34</v>
      </c>
      <c r="AH3196" t="n">
        <v>13</v>
      </c>
      <c r="AI3196" t="n">
        <v>13</v>
      </c>
      <c r="AJ3196" t="n">
        <v>7</v>
      </c>
      <c r="AK3196" t="n">
        <v>7</v>
      </c>
      <c r="AL3196" t="n">
        <v>16</v>
      </c>
      <c r="AM3196" t="n">
        <v>16</v>
      </c>
      <c r="AN3196" t="n">
        <v>6</v>
      </c>
      <c r="AO3196" t="n">
        <v>6</v>
      </c>
      <c r="AP3196" t="n">
        <v>0</v>
      </c>
      <c r="AQ3196" t="n">
        <v>0</v>
      </c>
      <c r="AR3196" t="inlineStr">
        <is>
          <t>No</t>
        </is>
      </c>
      <c r="AS3196" t="inlineStr">
        <is>
          <t>Yes</t>
        </is>
      </c>
      <c r="AT3196">
        <f>HYPERLINK("http://catalog.hathitrust.org/Record/000592335","HathiTrust Record")</f>
        <v/>
      </c>
      <c r="AU3196">
        <f>HYPERLINK("https://creighton-primo.hosted.exlibrisgroup.com/primo-explore/search?tab=default_tab&amp;search_scope=EVERYTHING&amp;vid=01CRU&amp;lang=en_US&amp;offset=0&amp;query=any,contains,991001296499702656","Catalog Record")</f>
        <v/>
      </c>
      <c r="AV3196">
        <f>HYPERLINK("http://www.worldcat.org/oclc/219931","WorldCat Record")</f>
        <v/>
      </c>
      <c r="AW3196" t="inlineStr">
        <is>
          <t>1320132:eng</t>
        </is>
      </c>
      <c r="AX3196" t="inlineStr">
        <is>
          <t>219931</t>
        </is>
      </c>
      <c r="AY3196" t="inlineStr">
        <is>
          <t>991001296499702656</t>
        </is>
      </c>
      <c r="AZ3196" t="inlineStr">
        <is>
          <t>991001296499702656</t>
        </is>
      </c>
      <c r="BA3196" t="inlineStr">
        <is>
          <t>2258090110002656</t>
        </is>
      </c>
      <c r="BB3196" t="inlineStr">
        <is>
          <t>BOOK</t>
        </is>
      </c>
      <c r="BD3196" t="inlineStr">
        <is>
          <t>9780826201102</t>
        </is>
      </c>
      <c r="BE3196" t="inlineStr">
        <is>
          <t>32285002529070</t>
        </is>
      </c>
      <c r="BF3196" t="inlineStr">
        <is>
          <t>893602501</t>
        </is>
      </c>
    </row>
    <row r="3197">
      <c r="A3197" t="inlineStr">
        <is>
          <t>No</t>
        </is>
      </c>
      <c r="B3197" t="inlineStr">
        <is>
          <t>CURAL</t>
        </is>
      </c>
      <c r="C3197" t="inlineStr">
        <is>
          <t>SHELVES</t>
        </is>
      </c>
      <c r="D3197" t="inlineStr">
        <is>
          <t>PR6023.A93 Z9265 1989</t>
        </is>
      </c>
      <c r="E3197" t="inlineStr">
        <is>
          <t>0                      PR 6023000A  93                 Z  9265        1989</t>
        </is>
      </c>
      <c r="F3197" t="inlineStr">
        <is>
          <t>States of estrangement : the novels of D.H. Lawrence, 1912-1917 / by Wayne Templeton.</t>
        </is>
      </c>
      <c r="H3197" t="inlineStr">
        <is>
          <t>No</t>
        </is>
      </c>
      <c r="I3197" t="inlineStr">
        <is>
          <t>1</t>
        </is>
      </c>
      <c r="J3197" t="inlineStr">
        <is>
          <t>No</t>
        </is>
      </c>
      <c r="K3197" t="inlineStr">
        <is>
          <t>No</t>
        </is>
      </c>
      <c r="L3197" t="inlineStr">
        <is>
          <t>0</t>
        </is>
      </c>
      <c r="M3197" t="inlineStr">
        <is>
          <t>Templeton, Wayne.</t>
        </is>
      </c>
      <c r="N3197" t="inlineStr">
        <is>
          <t>Troy, N.Y. : Whitston, 1989.</t>
        </is>
      </c>
      <c r="O3197" t="inlineStr">
        <is>
          <t>1989</t>
        </is>
      </c>
      <c r="Q3197" t="inlineStr">
        <is>
          <t>eng</t>
        </is>
      </c>
      <c r="R3197" t="inlineStr">
        <is>
          <t>nyu</t>
        </is>
      </c>
      <c r="T3197" t="inlineStr">
        <is>
          <t xml:space="preserve">PR </t>
        </is>
      </c>
      <c r="U3197" t="n">
        <v>4</v>
      </c>
      <c r="V3197" t="n">
        <v>4</v>
      </c>
      <c r="W3197" t="inlineStr">
        <is>
          <t>2004-11-04</t>
        </is>
      </c>
      <c r="X3197" t="inlineStr">
        <is>
          <t>2004-11-04</t>
        </is>
      </c>
      <c r="Y3197" t="inlineStr">
        <is>
          <t>1992-07-16</t>
        </is>
      </c>
      <c r="Z3197" t="inlineStr">
        <is>
          <t>1992-07-16</t>
        </is>
      </c>
      <c r="AA3197" t="n">
        <v>260</v>
      </c>
      <c r="AB3197" t="n">
        <v>209</v>
      </c>
      <c r="AC3197" t="n">
        <v>294</v>
      </c>
      <c r="AD3197" t="n">
        <v>1</v>
      </c>
      <c r="AE3197" t="n">
        <v>1</v>
      </c>
      <c r="AF3197" t="n">
        <v>7</v>
      </c>
      <c r="AG3197" t="n">
        <v>14</v>
      </c>
      <c r="AH3197" t="n">
        <v>2</v>
      </c>
      <c r="AI3197" t="n">
        <v>8</v>
      </c>
      <c r="AJ3197" t="n">
        <v>3</v>
      </c>
      <c r="AK3197" t="n">
        <v>5</v>
      </c>
      <c r="AL3197" t="n">
        <v>5</v>
      </c>
      <c r="AM3197" t="n">
        <v>6</v>
      </c>
      <c r="AN3197" t="n">
        <v>0</v>
      </c>
      <c r="AO3197" t="n">
        <v>0</v>
      </c>
      <c r="AP3197" t="n">
        <v>0</v>
      </c>
      <c r="AQ3197" t="n">
        <v>0</v>
      </c>
      <c r="AR3197" t="inlineStr">
        <is>
          <t>No</t>
        </is>
      </c>
      <c r="AS3197" t="inlineStr">
        <is>
          <t>Yes</t>
        </is>
      </c>
      <c r="AT3197">
        <f>HYPERLINK("http://catalog.hathitrust.org/Record/002446167","HathiTrust Record")</f>
        <v/>
      </c>
      <c r="AU3197">
        <f>HYPERLINK("https://creighton-primo.hosted.exlibrisgroup.com/primo-explore/search?tab=default_tab&amp;search_scope=EVERYTHING&amp;vid=01CRU&amp;lang=en_US&amp;offset=0&amp;query=any,contains,991001523429702656","Catalog Record")</f>
        <v/>
      </c>
      <c r="AV3197">
        <f>HYPERLINK("http://www.worldcat.org/oclc/20000742","WorldCat Record")</f>
        <v/>
      </c>
      <c r="AW3197" t="inlineStr">
        <is>
          <t>1862699206:eng</t>
        </is>
      </c>
      <c r="AX3197" t="inlineStr">
        <is>
          <t>20000742</t>
        </is>
      </c>
      <c r="AY3197" t="inlineStr">
        <is>
          <t>991001523429702656</t>
        </is>
      </c>
      <c r="AZ3197" t="inlineStr">
        <is>
          <t>991001523429702656</t>
        </is>
      </c>
      <c r="BA3197" t="inlineStr">
        <is>
          <t>2265128890002656</t>
        </is>
      </c>
      <c r="BB3197" t="inlineStr">
        <is>
          <t>BOOK</t>
        </is>
      </c>
      <c r="BD3197" t="inlineStr">
        <is>
          <t>9780878753628</t>
        </is>
      </c>
      <c r="BE3197" t="inlineStr">
        <is>
          <t>32285001153492</t>
        </is>
      </c>
      <c r="BF3197" t="inlineStr">
        <is>
          <t>893340494</t>
        </is>
      </c>
    </row>
    <row r="3198">
      <c r="A3198" t="inlineStr">
        <is>
          <t>No</t>
        </is>
      </c>
      <c r="B3198" t="inlineStr">
        <is>
          <t>CURAL</t>
        </is>
      </c>
      <c r="C3198" t="inlineStr">
        <is>
          <t>SHELVES</t>
        </is>
      </c>
      <c r="D3198" t="inlineStr">
        <is>
          <t>PR6023.A93 Z938 1983</t>
        </is>
      </c>
      <c r="E3198" t="inlineStr">
        <is>
          <t>0                      PR 6023000A  93                 Z  938         1983</t>
        </is>
      </c>
      <c r="F3198" t="inlineStr">
        <is>
          <t>Kindled in the flame : the apocalyptic scene in D.H. Lawrence / by Sarah Urang.</t>
        </is>
      </c>
      <c r="H3198" t="inlineStr">
        <is>
          <t>No</t>
        </is>
      </c>
      <c r="I3198" t="inlineStr">
        <is>
          <t>1</t>
        </is>
      </c>
      <c r="J3198" t="inlineStr">
        <is>
          <t>No</t>
        </is>
      </c>
      <c r="K3198" t="inlineStr">
        <is>
          <t>No</t>
        </is>
      </c>
      <c r="L3198" t="inlineStr">
        <is>
          <t>0</t>
        </is>
      </c>
      <c r="M3198" t="inlineStr">
        <is>
          <t>Urang, Sarah.</t>
        </is>
      </c>
      <c r="N3198" t="inlineStr">
        <is>
          <t>Ann Arbor, Mich. : UMI Research Press, c1983.</t>
        </is>
      </c>
      <c r="O3198" t="inlineStr">
        <is>
          <t>1983</t>
        </is>
      </c>
      <c r="Q3198" t="inlineStr">
        <is>
          <t>eng</t>
        </is>
      </c>
      <c r="R3198" t="inlineStr">
        <is>
          <t>miu</t>
        </is>
      </c>
      <c r="S3198" t="inlineStr">
        <is>
          <t>Studies in modern literature ; no. 21</t>
        </is>
      </c>
      <c r="T3198" t="inlineStr">
        <is>
          <t xml:space="preserve">PR </t>
        </is>
      </c>
      <c r="U3198" t="n">
        <v>3</v>
      </c>
      <c r="V3198" t="n">
        <v>3</v>
      </c>
      <c r="W3198" t="inlineStr">
        <is>
          <t>1999-09-18</t>
        </is>
      </c>
      <c r="X3198" t="inlineStr">
        <is>
          <t>1999-09-18</t>
        </is>
      </c>
      <c r="Y3198" t="inlineStr">
        <is>
          <t>1992-07-16</t>
        </is>
      </c>
      <c r="Z3198" t="inlineStr">
        <is>
          <t>1992-07-16</t>
        </is>
      </c>
      <c r="AA3198" t="n">
        <v>264</v>
      </c>
      <c r="AB3198" t="n">
        <v>188</v>
      </c>
      <c r="AC3198" t="n">
        <v>190</v>
      </c>
      <c r="AD3198" t="n">
        <v>3</v>
      </c>
      <c r="AE3198" t="n">
        <v>3</v>
      </c>
      <c r="AF3198" t="n">
        <v>10</v>
      </c>
      <c r="AG3198" t="n">
        <v>10</v>
      </c>
      <c r="AH3198" t="n">
        <v>1</v>
      </c>
      <c r="AI3198" t="n">
        <v>1</v>
      </c>
      <c r="AJ3198" t="n">
        <v>4</v>
      </c>
      <c r="AK3198" t="n">
        <v>4</v>
      </c>
      <c r="AL3198" t="n">
        <v>5</v>
      </c>
      <c r="AM3198" t="n">
        <v>5</v>
      </c>
      <c r="AN3198" t="n">
        <v>2</v>
      </c>
      <c r="AO3198" t="n">
        <v>2</v>
      </c>
      <c r="AP3198" t="n">
        <v>0</v>
      </c>
      <c r="AQ3198" t="n">
        <v>0</v>
      </c>
      <c r="AR3198" t="inlineStr">
        <is>
          <t>No</t>
        </is>
      </c>
      <c r="AS3198" t="inlineStr">
        <is>
          <t>Yes</t>
        </is>
      </c>
      <c r="AT3198">
        <f>HYPERLINK("http://catalog.hathitrust.org/Record/000163253","HathiTrust Record")</f>
        <v/>
      </c>
      <c r="AU3198">
        <f>HYPERLINK("https://creighton-primo.hosted.exlibrisgroup.com/primo-explore/search?tab=default_tab&amp;search_scope=EVERYTHING&amp;vid=01CRU&amp;lang=en_US&amp;offset=0&amp;query=any,contains,991000162379702656","Catalog Record")</f>
        <v/>
      </c>
      <c r="AV3198">
        <f>HYPERLINK("http://www.worldcat.org/oclc/9280821","WorldCat Record")</f>
        <v/>
      </c>
      <c r="AW3198" t="inlineStr">
        <is>
          <t>5028417:eng</t>
        </is>
      </c>
      <c r="AX3198" t="inlineStr">
        <is>
          <t>9280821</t>
        </is>
      </c>
      <c r="AY3198" t="inlineStr">
        <is>
          <t>991000162379702656</t>
        </is>
      </c>
      <c r="AZ3198" t="inlineStr">
        <is>
          <t>991000162379702656</t>
        </is>
      </c>
      <c r="BA3198" t="inlineStr">
        <is>
          <t>2260667610002656</t>
        </is>
      </c>
      <c r="BB3198" t="inlineStr">
        <is>
          <t>BOOK</t>
        </is>
      </c>
      <c r="BD3198" t="inlineStr">
        <is>
          <t>9780835714365</t>
        </is>
      </c>
      <c r="BE3198" t="inlineStr">
        <is>
          <t>32285001153518</t>
        </is>
      </c>
      <c r="BF3198" t="inlineStr">
        <is>
          <t>893413140</t>
        </is>
      </c>
    </row>
    <row r="3199">
      <c r="A3199" t="inlineStr">
        <is>
          <t>No</t>
        </is>
      </c>
      <c r="B3199" t="inlineStr">
        <is>
          <t>CURAL</t>
        </is>
      </c>
      <c r="C3199" t="inlineStr">
        <is>
          <t>SHELVES</t>
        </is>
      </c>
      <c r="D3199" t="inlineStr">
        <is>
          <t>PR6023.A93 Z944</t>
        </is>
      </c>
      <c r="E3199" t="inlineStr">
        <is>
          <t>0                      PR 6023000A  93                 Z  944</t>
        </is>
      </c>
      <c r="F3199" t="inlineStr">
        <is>
          <t>Oedipus in Nottingham : D.H. Lawrence / by Daniel A. Weiss.</t>
        </is>
      </c>
      <c r="H3199" t="inlineStr">
        <is>
          <t>No</t>
        </is>
      </c>
      <c r="I3199" t="inlineStr">
        <is>
          <t>1</t>
        </is>
      </c>
      <c r="J3199" t="inlineStr">
        <is>
          <t>No</t>
        </is>
      </c>
      <c r="K3199" t="inlineStr">
        <is>
          <t>No</t>
        </is>
      </c>
      <c r="L3199" t="inlineStr">
        <is>
          <t>0</t>
        </is>
      </c>
      <c r="M3199" t="inlineStr">
        <is>
          <t>Weiss, Daniel, 1917-1976.</t>
        </is>
      </c>
      <c r="N3199" t="inlineStr">
        <is>
          <t>Seattle : University of Washington, 1962.</t>
        </is>
      </c>
      <c r="O3199" t="inlineStr">
        <is>
          <t>1962</t>
        </is>
      </c>
      <c r="Q3199" t="inlineStr">
        <is>
          <t>eng</t>
        </is>
      </c>
      <c r="R3199" t="inlineStr">
        <is>
          <t>wau</t>
        </is>
      </c>
      <c r="T3199" t="inlineStr">
        <is>
          <t xml:space="preserve">PR </t>
        </is>
      </c>
      <c r="U3199" t="n">
        <v>2</v>
      </c>
      <c r="V3199" t="n">
        <v>2</v>
      </c>
      <c r="W3199" t="inlineStr">
        <is>
          <t>2004-11-30</t>
        </is>
      </c>
      <c r="X3199" t="inlineStr">
        <is>
          <t>2004-11-30</t>
        </is>
      </c>
      <c r="Y3199" t="inlineStr">
        <is>
          <t>1992-07-16</t>
        </is>
      </c>
      <c r="Z3199" t="inlineStr">
        <is>
          <t>1992-07-16</t>
        </is>
      </c>
      <c r="AA3199" t="n">
        <v>735</v>
      </c>
      <c r="AB3199" t="n">
        <v>648</v>
      </c>
      <c r="AC3199" t="n">
        <v>652</v>
      </c>
      <c r="AD3199" t="n">
        <v>6</v>
      </c>
      <c r="AE3199" t="n">
        <v>6</v>
      </c>
      <c r="AF3199" t="n">
        <v>27</v>
      </c>
      <c r="AG3199" t="n">
        <v>27</v>
      </c>
      <c r="AH3199" t="n">
        <v>8</v>
      </c>
      <c r="AI3199" t="n">
        <v>8</v>
      </c>
      <c r="AJ3199" t="n">
        <v>6</v>
      </c>
      <c r="AK3199" t="n">
        <v>6</v>
      </c>
      <c r="AL3199" t="n">
        <v>13</v>
      </c>
      <c r="AM3199" t="n">
        <v>13</v>
      </c>
      <c r="AN3199" t="n">
        <v>5</v>
      </c>
      <c r="AO3199" t="n">
        <v>5</v>
      </c>
      <c r="AP3199" t="n">
        <v>0</v>
      </c>
      <c r="AQ3199" t="n">
        <v>0</v>
      </c>
      <c r="AR3199" t="inlineStr">
        <is>
          <t>No</t>
        </is>
      </c>
      <c r="AS3199" t="inlineStr">
        <is>
          <t>No</t>
        </is>
      </c>
      <c r="AU3199">
        <f>HYPERLINK("https://creighton-primo.hosted.exlibrisgroup.com/primo-explore/search?tab=default_tab&amp;search_scope=EVERYTHING&amp;vid=01CRU&amp;lang=en_US&amp;offset=0&amp;query=any,contains,991002543669702656","Catalog Record")</f>
        <v/>
      </c>
      <c r="AV3199">
        <f>HYPERLINK("http://www.worldcat.org/oclc/368156","WorldCat Record")</f>
        <v/>
      </c>
      <c r="AW3199" t="inlineStr">
        <is>
          <t>1433918:eng</t>
        </is>
      </c>
      <c r="AX3199" t="inlineStr">
        <is>
          <t>368156</t>
        </is>
      </c>
      <c r="AY3199" t="inlineStr">
        <is>
          <t>991002543669702656</t>
        </is>
      </c>
      <c r="AZ3199" t="inlineStr">
        <is>
          <t>991002543669702656</t>
        </is>
      </c>
      <c r="BA3199" t="inlineStr">
        <is>
          <t>2264681310002656</t>
        </is>
      </c>
      <c r="BB3199" t="inlineStr">
        <is>
          <t>BOOK</t>
        </is>
      </c>
      <c r="BE3199" t="inlineStr">
        <is>
          <t>32285001153526</t>
        </is>
      </c>
      <c r="BF3199" t="inlineStr">
        <is>
          <t>893226966</t>
        </is>
      </c>
    </row>
    <row r="3200">
      <c r="A3200" t="inlineStr">
        <is>
          <t>No</t>
        </is>
      </c>
      <c r="B3200" t="inlineStr">
        <is>
          <t>CURAL</t>
        </is>
      </c>
      <c r="C3200" t="inlineStr">
        <is>
          <t>SHELVES</t>
        </is>
      </c>
      <c r="D3200" t="inlineStr">
        <is>
          <t>PR6023.A93 Z955 1989b</t>
        </is>
      </c>
      <c r="E3200" t="inlineStr">
        <is>
          <t>0                      PR 6023000A  93                 Z  955         1989b</t>
        </is>
      </c>
      <c r="F3200" t="inlineStr">
        <is>
          <t>D.H. Lawrence : a literary life / John Worthen.</t>
        </is>
      </c>
      <c r="H3200" t="inlineStr">
        <is>
          <t>No</t>
        </is>
      </c>
      <c r="I3200" t="inlineStr">
        <is>
          <t>1</t>
        </is>
      </c>
      <c r="J3200" t="inlineStr">
        <is>
          <t>No</t>
        </is>
      </c>
      <c r="K3200" t="inlineStr">
        <is>
          <t>No</t>
        </is>
      </c>
      <c r="L3200" t="inlineStr">
        <is>
          <t>0</t>
        </is>
      </c>
      <c r="M3200" t="inlineStr">
        <is>
          <t>Worthen, John.</t>
        </is>
      </c>
      <c r="N3200" t="inlineStr">
        <is>
          <t>London : Macmillan, 1989.</t>
        </is>
      </c>
      <c r="O3200" t="inlineStr">
        <is>
          <t>1989</t>
        </is>
      </c>
      <c r="Q3200" t="inlineStr">
        <is>
          <t>eng</t>
        </is>
      </c>
      <c r="R3200" t="inlineStr">
        <is>
          <t>enk</t>
        </is>
      </c>
      <c r="S3200" t="inlineStr">
        <is>
          <t>Macmillan literary lives</t>
        </is>
      </c>
      <c r="T3200" t="inlineStr">
        <is>
          <t xml:space="preserve">PR </t>
        </is>
      </c>
      <c r="U3200" t="n">
        <v>3</v>
      </c>
      <c r="V3200" t="n">
        <v>3</v>
      </c>
      <c r="W3200" t="inlineStr">
        <is>
          <t>1995-10-22</t>
        </is>
      </c>
      <c r="X3200" t="inlineStr">
        <is>
          <t>1995-10-22</t>
        </is>
      </c>
      <c r="Y3200" t="inlineStr">
        <is>
          <t>1990-06-04</t>
        </is>
      </c>
      <c r="Z3200" t="inlineStr">
        <is>
          <t>1990-06-04</t>
        </is>
      </c>
      <c r="AA3200" t="n">
        <v>139</v>
      </c>
      <c r="AB3200" t="n">
        <v>63</v>
      </c>
      <c r="AC3200" t="n">
        <v>646</v>
      </c>
      <c r="AD3200" t="n">
        <v>4</v>
      </c>
      <c r="AE3200" t="n">
        <v>5</v>
      </c>
      <c r="AF3200" t="n">
        <v>4</v>
      </c>
      <c r="AG3200" t="n">
        <v>32</v>
      </c>
      <c r="AH3200" t="n">
        <v>0</v>
      </c>
      <c r="AI3200" t="n">
        <v>16</v>
      </c>
      <c r="AJ3200" t="n">
        <v>1</v>
      </c>
      <c r="AK3200" t="n">
        <v>8</v>
      </c>
      <c r="AL3200" t="n">
        <v>1</v>
      </c>
      <c r="AM3200" t="n">
        <v>15</v>
      </c>
      <c r="AN3200" t="n">
        <v>3</v>
      </c>
      <c r="AO3200" t="n">
        <v>3</v>
      </c>
      <c r="AP3200" t="n">
        <v>0</v>
      </c>
      <c r="AQ3200" t="n">
        <v>0</v>
      </c>
      <c r="AR3200" t="inlineStr">
        <is>
          <t>No</t>
        </is>
      </c>
      <c r="AS3200" t="inlineStr">
        <is>
          <t>No</t>
        </is>
      </c>
      <c r="AU3200">
        <f>HYPERLINK("https://creighton-primo.hosted.exlibrisgroup.com/primo-explore/search?tab=default_tab&amp;search_scope=EVERYTHING&amp;vid=01CRU&amp;lang=en_US&amp;offset=0&amp;query=any,contains,991001486469702656","Catalog Record")</f>
        <v/>
      </c>
      <c r="AV3200">
        <f>HYPERLINK("http://www.worldcat.org/oclc/19669456","WorldCat Record")</f>
        <v/>
      </c>
      <c r="AW3200" t="inlineStr">
        <is>
          <t>3856285289:eng</t>
        </is>
      </c>
      <c r="AX3200" t="inlineStr">
        <is>
          <t>19669456</t>
        </is>
      </c>
      <c r="AY3200" t="inlineStr">
        <is>
          <t>991001486469702656</t>
        </is>
      </c>
      <c r="AZ3200" t="inlineStr">
        <is>
          <t>991001486469702656</t>
        </is>
      </c>
      <c r="BA3200" t="inlineStr">
        <is>
          <t>2261965640002656</t>
        </is>
      </c>
      <c r="BB3200" t="inlineStr">
        <is>
          <t>BOOK</t>
        </is>
      </c>
      <c r="BD3200" t="inlineStr">
        <is>
          <t>9780333433539</t>
        </is>
      </c>
      <c r="BE3200" t="inlineStr">
        <is>
          <t>32285000156744</t>
        </is>
      </c>
      <c r="BF3200" t="inlineStr">
        <is>
          <t>893602630</t>
        </is>
      </c>
    </row>
    <row r="3201">
      <c r="A3201" t="inlineStr">
        <is>
          <t>No</t>
        </is>
      </c>
      <c r="B3201" t="inlineStr">
        <is>
          <t>CURAL</t>
        </is>
      </c>
      <c r="C3201" t="inlineStr">
        <is>
          <t>SHELVES</t>
        </is>
      </c>
      <c r="D3201" t="inlineStr">
        <is>
          <t>PR6023.A93 Z957 1991</t>
        </is>
      </c>
      <c r="E3201" t="inlineStr">
        <is>
          <t>0                      PR 6023000A  93                 Z  957         1991</t>
        </is>
      </c>
      <c r="F3201" t="inlineStr">
        <is>
          <t>D.H. Lawrence : the early years, 1885-1912 / John Worthen.</t>
        </is>
      </c>
      <c r="H3201" t="inlineStr">
        <is>
          <t>No</t>
        </is>
      </c>
      <c r="I3201" t="inlineStr">
        <is>
          <t>1</t>
        </is>
      </c>
      <c r="J3201" t="inlineStr">
        <is>
          <t>No</t>
        </is>
      </c>
      <c r="K3201" t="inlineStr">
        <is>
          <t>No</t>
        </is>
      </c>
      <c r="L3201" t="inlineStr">
        <is>
          <t>0</t>
        </is>
      </c>
      <c r="M3201" t="inlineStr">
        <is>
          <t>Worthen, John.</t>
        </is>
      </c>
      <c r="N3201" t="inlineStr">
        <is>
          <t>Cambridge ; New York : Cambridge University Press, c1991.</t>
        </is>
      </c>
      <c r="O3201" t="inlineStr">
        <is>
          <t>1991</t>
        </is>
      </c>
      <c r="Q3201" t="inlineStr">
        <is>
          <t>eng</t>
        </is>
      </c>
      <c r="R3201" t="inlineStr">
        <is>
          <t>enk</t>
        </is>
      </c>
      <c r="S3201" t="inlineStr">
        <is>
          <t>The Cambridge biography</t>
        </is>
      </c>
      <c r="T3201" t="inlineStr">
        <is>
          <t xml:space="preserve">PR </t>
        </is>
      </c>
      <c r="U3201" t="n">
        <v>4</v>
      </c>
      <c r="V3201" t="n">
        <v>4</v>
      </c>
      <c r="W3201" t="inlineStr">
        <is>
          <t>1994-11-29</t>
        </is>
      </c>
      <c r="X3201" t="inlineStr">
        <is>
          <t>1994-11-29</t>
        </is>
      </c>
      <c r="Y3201" t="inlineStr">
        <is>
          <t>1991-08-26</t>
        </is>
      </c>
      <c r="Z3201" t="inlineStr">
        <is>
          <t>1991-08-26</t>
        </is>
      </c>
      <c r="AA3201" t="n">
        <v>1027</v>
      </c>
      <c r="AB3201" t="n">
        <v>811</v>
      </c>
      <c r="AC3201" t="n">
        <v>828</v>
      </c>
      <c r="AD3201" t="n">
        <v>8</v>
      </c>
      <c r="AE3201" t="n">
        <v>8</v>
      </c>
      <c r="AF3201" t="n">
        <v>35</v>
      </c>
      <c r="AG3201" t="n">
        <v>35</v>
      </c>
      <c r="AH3201" t="n">
        <v>13</v>
      </c>
      <c r="AI3201" t="n">
        <v>13</v>
      </c>
      <c r="AJ3201" t="n">
        <v>6</v>
      </c>
      <c r="AK3201" t="n">
        <v>6</v>
      </c>
      <c r="AL3201" t="n">
        <v>17</v>
      </c>
      <c r="AM3201" t="n">
        <v>17</v>
      </c>
      <c r="AN3201" t="n">
        <v>6</v>
      </c>
      <c r="AO3201" t="n">
        <v>6</v>
      </c>
      <c r="AP3201" t="n">
        <v>0</v>
      </c>
      <c r="AQ3201" t="n">
        <v>0</v>
      </c>
      <c r="AR3201" t="inlineStr">
        <is>
          <t>No</t>
        </is>
      </c>
      <c r="AS3201" t="inlineStr">
        <is>
          <t>No</t>
        </is>
      </c>
      <c r="AU3201">
        <f>HYPERLINK("https://creighton-primo.hosted.exlibrisgroup.com/primo-explore/search?tab=default_tab&amp;search_scope=EVERYTHING&amp;vid=01CRU&amp;lang=en_US&amp;offset=0&amp;query=any,contains,991001824519702656","Catalog Record")</f>
        <v/>
      </c>
      <c r="AV3201">
        <f>HYPERLINK("http://www.worldcat.org/oclc/22911021","WorldCat Record")</f>
        <v/>
      </c>
      <c r="AW3201" t="inlineStr">
        <is>
          <t>395459:eng</t>
        </is>
      </c>
      <c r="AX3201" t="inlineStr">
        <is>
          <t>22911021</t>
        </is>
      </c>
      <c r="AY3201" t="inlineStr">
        <is>
          <t>991001824519702656</t>
        </is>
      </c>
      <c r="AZ3201" t="inlineStr">
        <is>
          <t>991001824519702656</t>
        </is>
      </c>
      <c r="BA3201" t="inlineStr">
        <is>
          <t>2268473910002656</t>
        </is>
      </c>
      <c r="BB3201" t="inlineStr">
        <is>
          <t>BOOK</t>
        </is>
      </c>
      <c r="BD3201" t="inlineStr">
        <is>
          <t>9780521254199</t>
        </is>
      </c>
      <c r="BE3201" t="inlineStr">
        <is>
          <t>32285000702034</t>
        </is>
      </c>
      <c r="BF3201" t="inlineStr">
        <is>
          <t>893250537</t>
        </is>
      </c>
    </row>
    <row r="3202">
      <c r="A3202" t="inlineStr">
        <is>
          <t>No</t>
        </is>
      </c>
      <c r="B3202" t="inlineStr">
        <is>
          <t>CURAL</t>
        </is>
      </c>
      <c r="C3202" t="inlineStr">
        <is>
          <t>SHELVES</t>
        </is>
      </c>
      <c r="D3202" t="inlineStr">
        <is>
          <t>PR6023.A93 Z958 2000</t>
        </is>
      </c>
      <c r="E3202" t="inlineStr">
        <is>
          <t>0                      PR 6023000A  93                 Z  958         2000</t>
        </is>
      </c>
      <c r="F3202" t="inlineStr">
        <is>
          <t>D.H. Lawrence and the Bible / T.R. Wright.</t>
        </is>
      </c>
      <c r="H3202" t="inlineStr">
        <is>
          <t>No</t>
        </is>
      </c>
      <c r="I3202" t="inlineStr">
        <is>
          <t>1</t>
        </is>
      </c>
      <c r="J3202" t="inlineStr">
        <is>
          <t>No</t>
        </is>
      </c>
      <c r="K3202" t="inlineStr">
        <is>
          <t>No</t>
        </is>
      </c>
      <c r="L3202" t="inlineStr">
        <is>
          <t>0</t>
        </is>
      </c>
      <c r="M3202" t="inlineStr">
        <is>
          <t>Wright, T. R. (Terence R.), 1951-</t>
        </is>
      </c>
      <c r="N3202" t="inlineStr">
        <is>
          <t>Cambridge, UK ; New York : Cambridge University Press, 2000.</t>
        </is>
      </c>
      <c r="O3202" t="inlineStr">
        <is>
          <t>2000</t>
        </is>
      </c>
      <c r="Q3202" t="inlineStr">
        <is>
          <t>eng</t>
        </is>
      </c>
      <c r="R3202" t="inlineStr">
        <is>
          <t>enk</t>
        </is>
      </c>
      <c r="T3202" t="inlineStr">
        <is>
          <t xml:space="preserve">PR </t>
        </is>
      </c>
      <c r="U3202" t="n">
        <v>5</v>
      </c>
      <c r="V3202" t="n">
        <v>5</v>
      </c>
      <c r="W3202" t="inlineStr">
        <is>
          <t>2004-12-13</t>
        </is>
      </c>
      <c r="X3202" t="inlineStr">
        <is>
          <t>2004-12-13</t>
        </is>
      </c>
      <c r="Y3202" t="inlineStr">
        <is>
          <t>2001-03-29</t>
        </is>
      </c>
      <c r="Z3202" t="inlineStr">
        <is>
          <t>2001-03-29</t>
        </is>
      </c>
      <c r="AA3202" t="n">
        <v>496</v>
      </c>
      <c r="AB3202" t="n">
        <v>393</v>
      </c>
      <c r="AC3202" t="n">
        <v>397</v>
      </c>
      <c r="AD3202" t="n">
        <v>4</v>
      </c>
      <c r="AE3202" t="n">
        <v>4</v>
      </c>
      <c r="AF3202" t="n">
        <v>22</v>
      </c>
      <c r="AG3202" t="n">
        <v>22</v>
      </c>
      <c r="AH3202" t="n">
        <v>7</v>
      </c>
      <c r="AI3202" t="n">
        <v>7</v>
      </c>
      <c r="AJ3202" t="n">
        <v>6</v>
      </c>
      <c r="AK3202" t="n">
        <v>6</v>
      </c>
      <c r="AL3202" t="n">
        <v>12</v>
      </c>
      <c r="AM3202" t="n">
        <v>12</v>
      </c>
      <c r="AN3202" t="n">
        <v>3</v>
      </c>
      <c r="AO3202" t="n">
        <v>3</v>
      </c>
      <c r="AP3202" t="n">
        <v>0</v>
      </c>
      <c r="AQ3202" t="n">
        <v>0</v>
      </c>
      <c r="AR3202" t="inlineStr">
        <is>
          <t>No</t>
        </is>
      </c>
      <c r="AS3202" t="inlineStr">
        <is>
          <t>No</t>
        </is>
      </c>
      <c r="AU3202">
        <f>HYPERLINK("https://creighton-primo.hosted.exlibrisgroup.com/primo-explore/search?tab=default_tab&amp;search_scope=EVERYTHING&amp;vid=01CRU&amp;lang=en_US&amp;offset=0&amp;query=any,contains,991003517889702656","Catalog Record")</f>
        <v/>
      </c>
      <c r="AV3202">
        <f>HYPERLINK("http://www.worldcat.org/oclc/42980174","WorldCat Record")</f>
        <v/>
      </c>
      <c r="AW3202" t="inlineStr">
        <is>
          <t>28202877:eng</t>
        </is>
      </c>
      <c r="AX3202" t="inlineStr">
        <is>
          <t>42980174</t>
        </is>
      </c>
      <c r="AY3202" t="inlineStr">
        <is>
          <t>991003517889702656</t>
        </is>
      </c>
      <c r="AZ3202" t="inlineStr">
        <is>
          <t>991003517889702656</t>
        </is>
      </c>
      <c r="BA3202" t="inlineStr">
        <is>
          <t>2260415450002656</t>
        </is>
      </c>
      <c r="BB3202" t="inlineStr">
        <is>
          <t>BOOK</t>
        </is>
      </c>
      <c r="BD3202" t="inlineStr">
        <is>
          <t>9780521781893</t>
        </is>
      </c>
      <c r="BE3202" t="inlineStr">
        <is>
          <t>32285004308762</t>
        </is>
      </c>
      <c r="BF3202" t="inlineStr">
        <is>
          <t>893252450</t>
        </is>
      </c>
    </row>
    <row r="3203">
      <c r="A3203" t="inlineStr">
        <is>
          <t>No</t>
        </is>
      </c>
      <c r="B3203" t="inlineStr">
        <is>
          <t>CURAL</t>
        </is>
      </c>
      <c r="C3203" t="inlineStr">
        <is>
          <t>SHELVES</t>
        </is>
      </c>
      <c r="D3203" t="inlineStr">
        <is>
          <t>PR6023.A93 Z98 1969</t>
        </is>
      </c>
      <c r="E3203" t="inlineStr">
        <is>
          <t>0                      PR 6023000A  93                 Z  98          1969</t>
        </is>
      </c>
      <c r="F3203" t="inlineStr">
        <is>
          <t>Conflict in the novels of D. H. Lawrence.</t>
        </is>
      </c>
      <c r="H3203" t="inlineStr">
        <is>
          <t>No</t>
        </is>
      </c>
      <c r="I3203" t="inlineStr">
        <is>
          <t>1</t>
        </is>
      </c>
      <c r="J3203" t="inlineStr">
        <is>
          <t>No</t>
        </is>
      </c>
      <c r="K3203" t="inlineStr">
        <is>
          <t>No</t>
        </is>
      </c>
      <c r="L3203" t="inlineStr">
        <is>
          <t>0</t>
        </is>
      </c>
      <c r="M3203" t="inlineStr">
        <is>
          <t>Yudhishtar.</t>
        </is>
      </c>
      <c r="N3203" t="inlineStr">
        <is>
          <t>New York, Barnes &amp; Noble [1969]</t>
        </is>
      </c>
      <c r="O3203" t="inlineStr">
        <is>
          <t>1969</t>
        </is>
      </c>
      <c r="Q3203" t="inlineStr">
        <is>
          <t>eng</t>
        </is>
      </c>
      <c r="R3203" t="inlineStr">
        <is>
          <t>nyu</t>
        </is>
      </c>
      <c r="S3203" t="inlineStr">
        <is>
          <t>Biography and criticism</t>
        </is>
      </c>
      <c r="T3203" t="inlineStr">
        <is>
          <t xml:space="preserve">PR </t>
        </is>
      </c>
      <c r="U3203" t="n">
        <v>4</v>
      </c>
      <c r="V3203" t="n">
        <v>4</v>
      </c>
      <c r="W3203" t="inlineStr">
        <is>
          <t>2004-11-15</t>
        </is>
      </c>
      <c r="X3203" t="inlineStr">
        <is>
          <t>2004-11-15</t>
        </is>
      </c>
      <c r="Y3203" t="inlineStr">
        <is>
          <t>1997-04-15</t>
        </is>
      </c>
      <c r="Z3203" t="inlineStr">
        <is>
          <t>1997-04-15</t>
        </is>
      </c>
      <c r="AA3203" t="n">
        <v>364</v>
      </c>
      <c r="AB3203" t="n">
        <v>337</v>
      </c>
      <c r="AC3203" t="n">
        <v>463</v>
      </c>
      <c r="AD3203" t="n">
        <v>2</v>
      </c>
      <c r="AE3203" t="n">
        <v>2</v>
      </c>
      <c r="AF3203" t="n">
        <v>16</v>
      </c>
      <c r="AG3203" t="n">
        <v>17</v>
      </c>
      <c r="AH3203" t="n">
        <v>6</v>
      </c>
      <c r="AI3203" t="n">
        <v>6</v>
      </c>
      <c r="AJ3203" t="n">
        <v>3</v>
      </c>
      <c r="AK3203" t="n">
        <v>3</v>
      </c>
      <c r="AL3203" t="n">
        <v>8</v>
      </c>
      <c r="AM3203" t="n">
        <v>9</v>
      </c>
      <c r="AN3203" t="n">
        <v>1</v>
      </c>
      <c r="AO3203" t="n">
        <v>1</v>
      </c>
      <c r="AP3203" t="n">
        <v>0</v>
      </c>
      <c r="AQ3203" t="n">
        <v>0</v>
      </c>
      <c r="AR3203" t="inlineStr">
        <is>
          <t>No</t>
        </is>
      </c>
      <c r="AS3203" t="inlineStr">
        <is>
          <t>Yes</t>
        </is>
      </c>
      <c r="AT3203">
        <f>HYPERLINK("http://catalog.hathitrust.org/Record/007123966","HathiTrust Record")</f>
        <v/>
      </c>
      <c r="AU3203">
        <f>HYPERLINK("https://creighton-primo.hosted.exlibrisgroup.com/primo-explore/search?tab=default_tab&amp;search_scope=EVERYTHING&amp;vid=01CRU&amp;lang=en_US&amp;offset=0&amp;query=any,contains,991000013349702656","Catalog Record")</f>
        <v/>
      </c>
      <c r="AV3203">
        <f>HYPERLINK("http://www.worldcat.org/oclc/16054","WorldCat Record")</f>
        <v/>
      </c>
      <c r="AW3203" t="inlineStr">
        <is>
          <t>1138695:eng</t>
        </is>
      </c>
      <c r="AX3203" t="inlineStr">
        <is>
          <t>16054</t>
        </is>
      </c>
      <c r="AY3203" t="inlineStr">
        <is>
          <t>991000013349702656</t>
        </is>
      </c>
      <c r="AZ3203" t="inlineStr">
        <is>
          <t>991000013349702656</t>
        </is>
      </c>
      <c r="BA3203" t="inlineStr">
        <is>
          <t>2271607270002656</t>
        </is>
      </c>
      <c r="BB3203" t="inlineStr">
        <is>
          <t>BOOK</t>
        </is>
      </c>
      <c r="BE3203" t="inlineStr">
        <is>
          <t>32285002529096</t>
        </is>
      </c>
      <c r="BF3203" t="inlineStr">
        <is>
          <t>893351392</t>
        </is>
      </c>
    </row>
    <row r="3204">
      <c r="A3204" t="inlineStr">
        <is>
          <t>No</t>
        </is>
      </c>
      <c r="B3204" t="inlineStr">
        <is>
          <t>CURAL</t>
        </is>
      </c>
      <c r="C3204" t="inlineStr">
        <is>
          <t>SHELVES</t>
        </is>
      </c>
      <c r="D3204" t="inlineStr">
        <is>
          <t>PR6023.A937 Z83</t>
        </is>
      </c>
      <c r="E3204" t="inlineStr">
        <is>
          <t>0                      PR 6023000A  937                Z  83</t>
        </is>
      </c>
      <c r="F3204" t="inlineStr">
        <is>
          <t>The confessions of T. E. Lawrence : the romantic hero's presentation of self / by Thomas J. O'Donnell.</t>
        </is>
      </c>
      <c r="H3204" t="inlineStr">
        <is>
          <t>No</t>
        </is>
      </c>
      <c r="I3204" t="inlineStr">
        <is>
          <t>1</t>
        </is>
      </c>
      <c r="J3204" t="inlineStr">
        <is>
          <t>No</t>
        </is>
      </c>
      <c r="K3204" t="inlineStr">
        <is>
          <t>No</t>
        </is>
      </c>
      <c r="L3204" t="inlineStr">
        <is>
          <t>0</t>
        </is>
      </c>
      <c r="M3204" t="inlineStr">
        <is>
          <t>O'Donnell, Thomas J., 1938-</t>
        </is>
      </c>
      <c r="N3204" t="inlineStr">
        <is>
          <t>Athens : Ohio University Press, c1979.</t>
        </is>
      </c>
      <c r="O3204" t="inlineStr">
        <is>
          <t>1979</t>
        </is>
      </c>
      <c r="Q3204" t="inlineStr">
        <is>
          <t>eng</t>
        </is>
      </c>
      <c r="R3204" t="inlineStr">
        <is>
          <t>ohu</t>
        </is>
      </c>
      <c r="T3204" t="inlineStr">
        <is>
          <t xml:space="preserve">PR </t>
        </is>
      </c>
      <c r="U3204" t="n">
        <v>1</v>
      </c>
      <c r="V3204" t="n">
        <v>1</v>
      </c>
      <c r="W3204" t="inlineStr">
        <is>
          <t>2001-06-05</t>
        </is>
      </c>
      <c r="X3204" t="inlineStr">
        <is>
          <t>2001-06-05</t>
        </is>
      </c>
      <c r="Y3204" t="inlineStr">
        <is>
          <t>1992-07-16</t>
        </is>
      </c>
      <c r="Z3204" t="inlineStr">
        <is>
          <t>1992-07-16</t>
        </is>
      </c>
      <c r="AA3204" t="n">
        <v>488</v>
      </c>
      <c r="AB3204" t="n">
        <v>427</v>
      </c>
      <c r="AC3204" t="n">
        <v>434</v>
      </c>
      <c r="AD3204" t="n">
        <v>4</v>
      </c>
      <c r="AE3204" t="n">
        <v>4</v>
      </c>
      <c r="AF3204" t="n">
        <v>29</v>
      </c>
      <c r="AG3204" t="n">
        <v>29</v>
      </c>
      <c r="AH3204" t="n">
        <v>10</v>
      </c>
      <c r="AI3204" t="n">
        <v>10</v>
      </c>
      <c r="AJ3204" t="n">
        <v>10</v>
      </c>
      <c r="AK3204" t="n">
        <v>10</v>
      </c>
      <c r="AL3204" t="n">
        <v>16</v>
      </c>
      <c r="AM3204" t="n">
        <v>16</v>
      </c>
      <c r="AN3204" t="n">
        <v>3</v>
      </c>
      <c r="AO3204" t="n">
        <v>3</v>
      </c>
      <c r="AP3204" t="n">
        <v>0</v>
      </c>
      <c r="AQ3204" t="n">
        <v>0</v>
      </c>
      <c r="AR3204" t="inlineStr">
        <is>
          <t>No</t>
        </is>
      </c>
      <c r="AS3204" t="inlineStr">
        <is>
          <t>Yes</t>
        </is>
      </c>
      <c r="AT3204">
        <f>HYPERLINK("http://catalog.hathitrust.org/Record/000178525","HathiTrust Record")</f>
        <v/>
      </c>
      <c r="AU3204">
        <f>HYPERLINK("https://creighton-primo.hosted.exlibrisgroup.com/primo-explore/search?tab=default_tab&amp;search_scope=EVERYTHING&amp;vid=01CRU&amp;lang=en_US&amp;offset=0&amp;query=any,contains,991004580729702656","Catalog Record")</f>
        <v/>
      </c>
      <c r="AV3204">
        <f>HYPERLINK("http://www.worldcat.org/oclc/4057324","WorldCat Record")</f>
        <v/>
      </c>
      <c r="AW3204" t="inlineStr">
        <is>
          <t>876311772:eng</t>
        </is>
      </c>
      <c r="AX3204" t="inlineStr">
        <is>
          <t>4057324</t>
        </is>
      </c>
      <c r="AY3204" t="inlineStr">
        <is>
          <t>991004580729702656</t>
        </is>
      </c>
      <c r="AZ3204" t="inlineStr">
        <is>
          <t>991004580729702656</t>
        </is>
      </c>
      <c r="BA3204" t="inlineStr">
        <is>
          <t>2269705190002656</t>
        </is>
      </c>
      <c r="BB3204" t="inlineStr">
        <is>
          <t>BOOK</t>
        </is>
      </c>
      <c r="BD3204" t="inlineStr">
        <is>
          <t>9780821403709</t>
        </is>
      </c>
      <c r="BE3204" t="inlineStr">
        <is>
          <t>32285001153559</t>
        </is>
      </c>
      <c r="BF3204" t="inlineStr">
        <is>
          <t>893253841</t>
        </is>
      </c>
    </row>
    <row r="3205">
      <c r="A3205" t="inlineStr">
        <is>
          <t>No</t>
        </is>
      </c>
      <c r="B3205" t="inlineStr">
        <is>
          <t>CURAL</t>
        </is>
      </c>
      <c r="C3205" t="inlineStr">
        <is>
          <t>SHELVES</t>
        </is>
      </c>
      <c r="D3205" t="inlineStr">
        <is>
          <t>PR6023.A937 Z88 1997</t>
        </is>
      </c>
      <c r="E3205" t="inlineStr">
        <is>
          <t>0                      PR 6023000A  937                Z  88          1997</t>
        </is>
      </c>
      <c r="F3205" t="inlineStr">
        <is>
          <t>T.E. Lawrence / Stephen Ely Tabachnick.</t>
        </is>
      </c>
      <c r="H3205" t="inlineStr">
        <is>
          <t>No</t>
        </is>
      </c>
      <c r="I3205" t="inlineStr">
        <is>
          <t>1</t>
        </is>
      </c>
      <c r="J3205" t="inlineStr">
        <is>
          <t>No</t>
        </is>
      </c>
      <c r="K3205" t="inlineStr">
        <is>
          <t>Yes</t>
        </is>
      </c>
      <c r="L3205" t="inlineStr">
        <is>
          <t>0</t>
        </is>
      </c>
      <c r="M3205" t="inlineStr">
        <is>
          <t>Tabachnick, Stephen Ely.</t>
        </is>
      </c>
      <c r="N3205" t="inlineStr">
        <is>
          <t>New York : Twayne Publishers, 1997.</t>
        </is>
      </c>
      <c r="O3205" t="inlineStr">
        <is>
          <t>1997</t>
        </is>
      </c>
      <c r="P3205" t="inlineStr">
        <is>
          <t>Rev. ed.</t>
        </is>
      </c>
      <c r="Q3205" t="inlineStr">
        <is>
          <t>eng</t>
        </is>
      </c>
      <c r="R3205" t="inlineStr">
        <is>
          <t>nyu</t>
        </is>
      </c>
      <c r="S3205" t="inlineStr">
        <is>
          <t>Twayne's English authors series ; TEAS 543</t>
        </is>
      </c>
      <c r="T3205" t="inlineStr">
        <is>
          <t xml:space="preserve">PR </t>
        </is>
      </c>
      <c r="U3205" t="n">
        <v>3</v>
      </c>
      <c r="V3205" t="n">
        <v>3</v>
      </c>
      <c r="W3205" t="inlineStr">
        <is>
          <t>2001-06-05</t>
        </is>
      </c>
      <c r="X3205" t="inlineStr">
        <is>
          <t>2001-06-05</t>
        </is>
      </c>
      <c r="Y3205" t="inlineStr">
        <is>
          <t>1997-12-02</t>
        </is>
      </c>
      <c r="Z3205" t="inlineStr">
        <is>
          <t>1997-12-02</t>
        </is>
      </c>
      <c r="AA3205" t="n">
        <v>424</v>
      </c>
      <c r="AB3205" t="n">
        <v>383</v>
      </c>
      <c r="AC3205" t="n">
        <v>814</v>
      </c>
      <c r="AD3205" t="n">
        <v>5</v>
      </c>
      <c r="AE3205" t="n">
        <v>6</v>
      </c>
      <c r="AF3205" t="n">
        <v>26</v>
      </c>
      <c r="AG3205" t="n">
        <v>38</v>
      </c>
      <c r="AH3205" t="n">
        <v>9</v>
      </c>
      <c r="AI3205" t="n">
        <v>17</v>
      </c>
      <c r="AJ3205" t="n">
        <v>5</v>
      </c>
      <c r="AK3205" t="n">
        <v>9</v>
      </c>
      <c r="AL3205" t="n">
        <v>16</v>
      </c>
      <c r="AM3205" t="n">
        <v>18</v>
      </c>
      <c r="AN3205" t="n">
        <v>4</v>
      </c>
      <c r="AO3205" t="n">
        <v>4</v>
      </c>
      <c r="AP3205" t="n">
        <v>0</v>
      </c>
      <c r="AQ3205" t="n">
        <v>0</v>
      </c>
      <c r="AR3205" t="inlineStr">
        <is>
          <t>No</t>
        </is>
      </c>
      <c r="AS3205" t="inlineStr">
        <is>
          <t>Yes</t>
        </is>
      </c>
      <c r="AT3205">
        <f>HYPERLINK("http://catalog.hathitrust.org/Record/003269795","HathiTrust Record")</f>
        <v/>
      </c>
      <c r="AU3205">
        <f>HYPERLINK("https://creighton-primo.hosted.exlibrisgroup.com/primo-explore/search?tab=default_tab&amp;search_scope=EVERYTHING&amp;vid=01CRU&amp;lang=en_US&amp;offset=0&amp;query=any,contains,991002814449702656","Catalog Record")</f>
        <v/>
      </c>
      <c r="AV3205">
        <f>HYPERLINK("http://www.worldcat.org/oclc/36969750","WorldCat Record")</f>
        <v/>
      </c>
      <c r="AW3205" t="inlineStr">
        <is>
          <t>614673:eng</t>
        </is>
      </c>
      <c r="AX3205" t="inlineStr">
        <is>
          <t>36969750</t>
        </is>
      </c>
      <c r="AY3205" t="inlineStr">
        <is>
          <t>991002814449702656</t>
        </is>
      </c>
      <c r="AZ3205" t="inlineStr">
        <is>
          <t>991002814449702656</t>
        </is>
      </c>
      <c r="BA3205" t="inlineStr">
        <is>
          <t>2271020150002656</t>
        </is>
      </c>
      <c r="BB3205" t="inlineStr">
        <is>
          <t>BOOK</t>
        </is>
      </c>
      <c r="BD3205" t="inlineStr">
        <is>
          <t>9780805778007</t>
        </is>
      </c>
      <c r="BE3205" t="inlineStr">
        <is>
          <t>32285003280517</t>
        </is>
      </c>
      <c r="BF3205" t="inlineStr">
        <is>
          <t>893329576</t>
        </is>
      </c>
    </row>
    <row r="3206">
      <c r="A3206" t="inlineStr">
        <is>
          <t>No</t>
        </is>
      </c>
      <c r="B3206" t="inlineStr">
        <is>
          <t>CURAL</t>
        </is>
      </c>
      <c r="C3206" t="inlineStr">
        <is>
          <t>SHELVES</t>
        </is>
      </c>
      <c r="D3206" t="inlineStr">
        <is>
          <t>PR6023.A937 Z9</t>
        </is>
      </c>
      <c r="E3206" t="inlineStr">
        <is>
          <t>0                      PR 6023000A  937                Z  9</t>
        </is>
      </c>
      <c r="F3206" t="inlineStr">
        <is>
          <t>Lawrence of Arabia : the literary impulse / Stanley Weintraub &amp; Rodelle Weintraub.</t>
        </is>
      </c>
      <c r="H3206" t="inlineStr">
        <is>
          <t>No</t>
        </is>
      </c>
      <c r="I3206" t="inlineStr">
        <is>
          <t>1</t>
        </is>
      </c>
      <c r="J3206" t="inlineStr">
        <is>
          <t>No</t>
        </is>
      </c>
      <c r="K3206" t="inlineStr">
        <is>
          <t>No</t>
        </is>
      </c>
      <c r="L3206" t="inlineStr">
        <is>
          <t>0</t>
        </is>
      </c>
      <c r="M3206" t="inlineStr">
        <is>
          <t>Weintraub, Stanley, 1929-2019.</t>
        </is>
      </c>
      <c r="N3206" t="inlineStr">
        <is>
          <t>Baton Rouge : Louisiana State University Press, c1975.</t>
        </is>
      </c>
      <c r="O3206" t="inlineStr">
        <is>
          <t>1975</t>
        </is>
      </c>
      <c r="Q3206" t="inlineStr">
        <is>
          <t>eng</t>
        </is>
      </c>
      <c r="R3206" t="inlineStr">
        <is>
          <t>lau</t>
        </is>
      </c>
      <c r="T3206" t="inlineStr">
        <is>
          <t xml:space="preserve">PR </t>
        </is>
      </c>
      <c r="U3206" t="n">
        <v>1</v>
      </c>
      <c r="V3206" t="n">
        <v>1</v>
      </c>
      <c r="W3206" t="inlineStr">
        <is>
          <t>2001-06-05</t>
        </is>
      </c>
      <c r="X3206" t="inlineStr">
        <is>
          <t>2001-06-05</t>
        </is>
      </c>
      <c r="Y3206" t="inlineStr">
        <is>
          <t>1992-07-16</t>
        </is>
      </c>
      <c r="Z3206" t="inlineStr">
        <is>
          <t>1992-07-16</t>
        </is>
      </c>
      <c r="AA3206" t="n">
        <v>446</v>
      </c>
      <c r="AB3206" t="n">
        <v>370</v>
      </c>
      <c r="AC3206" t="n">
        <v>372</v>
      </c>
      <c r="AD3206" t="n">
        <v>4</v>
      </c>
      <c r="AE3206" t="n">
        <v>4</v>
      </c>
      <c r="AF3206" t="n">
        <v>19</v>
      </c>
      <c r="AG3206" t="n">
        <v>19</v>
      </c>
      <c r="AH3206" t="n">
        <v>6</v>
      </c>
      <c r="AI3206" t="n">
        <v>6</v>
      </c>
      <c r="AJ3206" t="n">
        <v>7</v>
      </c>
      <c r="AK3206" t="n">
        <v>7</v>
      </c>
      <c r="AL3206" t="n">
        <v>11</v>
      </c>
      <c r="AM3206" t="n">
        <v>11</v>
      </c>
      <c r="AN3206" t="n">
        <v>2</v>
      </c>
      <c r="AO3206" t="n">
        <v>2</v>
      </c>
      <c r="AP3206" t="n">
        <v>0</v>
      </c>
      <c r="AQ3206" t="n">
        <v>0</v>
      </c>
      <c r="AR3206" t="inlineStr">
        <is>
          <t>No</t>
        </is>
      </c>
      <c r="AS3206" t="inlineStr">
        <is>
          <t>Yes</t>
        </is>
      </c>
      <c r="AT3206">
        <f>HYPERLINK("http://catalog.hathitrust.org/Record/000693757","HathiTrust Record")</f>
        <v/>
      </c>
      <c r="AU3206">
        <f>HYPERLINK("https://creighton-primo.hosted.exlibrisgroup.com/primo-explore/search?tab=default_tab&amp;search_scope=EVERYTHING&amp;vid=01CRU&amp;lang=en_US&amp;offset=0&amp;query=any,contains,991003970049702656","Catalog Record")</f>
        <v/>
      </c>
      <c r="AV3206">
        <f>HYPERLINK("http://www.worldcat.org/oclc/1991924","WorldCat Record")</f>
        <v/>
      </c>
      <c r="AW3206" t="inlineStr">
        <is>
          <t>3354072:eng</t>
        </is>
      </c>
      <c r="AX3206" t="inlineStr">
        <is>
          <t>1991924</t>
        </is>
      </c>
      <c r="AY3206" t="inlineStr">
        <is>
          <t>991003970049702656</t>
        </is>
      </c>
      <c r="AZ3206" t="inlineStr">
        <is>
          <t>991003970049702656</t>
        </is>
      </c>
      <c r="BA3206" t="inlineStr">
        <is>
          <t>2263996290002656</t>
        </is>
      </c>
      <c r="BB3206" t="inlineStr">
        <is>
          <t>BOOK</t>
        </is>
      </c>
      <c r="BD3206" t="inlineStr">
        <is>
          <t>9780807101520</t>
        </is>
      </c>
      <c r="BE3206" t="inlineStr">
        <is>
          <t>32285001153575</t>
        </is>
      </c>
      <c r="BF3206" t="inlineStr">
        <is>
          <t>893699654</t>
        </is>
      </c>
    </row>
    <row r="3207">
      <c r="A3207" t="inlineStr">
        <is>
          <t>No</t>
        </is>
      </c>
      <c r="B3207" t="inlineStr">
        <is>
          <t>CURAL</t>
        </is>
      </c>
      <c r="C3207" t="inlineStr">
        <is>
          <t>SHELVES</t>
        </is>
      </c>
      <c r="D3207" t="inlineStr">
        <is>
          <t>PR6023.E833 Z597 2003</t>
        </is>
      </c>
      <c r="E3207" t="inlineStr">
        <is>
          <t>0                      PR 6023000E  833                Z  597         2003</t>
        </is>
      </c>
      <c r="F3207" t="inlineStr">
        <is>
          <t>Doris Lessing / edited and with an introduction by Harold Bloom.</t>
        </is>
      </c>
      <c r="H3207" t="inlineStr">
        <is>
          <t>No</t>
        </is>
      </c>
      <c r="I3207" t="inlineStr">
        <is>
          <t>1</t>
        </is>
      </c>
      <c r="J3207" t="inlineStr">
        <is>
          <t>No</t>
        </is>
      </c>
      <c r="K3207" t="inlineStr">
        <is>
          <t>No</t>
        </is>
      </c>
      <c r="L3207" t="inlineStr">
        <is>
          <t>0</t>
        </is>
      </c>
      <c r="N3207" t="inlineStr">
        <is>
          <t>Philadelphia : Chelsea House Publishers, c2003.</t>
        </is>
      </c>
      <c r="O3207" t="inlineStr">
        <is>
          <t>2003</t>
        </is>
      </c>
      <c r="Q3207" t="inlineStr">
        <is>
          <t>eng</t>
        </is>
      </c>
      <c r="R3207" t="inlineStr">
        <is>
          <t>pau</t>
        </is>
      </c>
      <c r="S3207" t="inlineStr">
        <is>
          <t>Bloom's modern critical views</t>
        </is>
      </c>
      <c r="T3207" t="inlineStr">
        <is>
          <t xml:space="preserve">PR </t>
        </is>
      </c>
      <c r="U3207" t="n">
        <v>1</v>
      </c>
      <c r="V3207" t="n">
        <v>1</v>
      </c>
      <c r="W3207" t="inlineStr">
        <is>
          <t>2003-11-01</t>
        </is>
      </c>
      <c r="X3207" t="inlineStr">
        <is>
          <t>2003-11-01</t>
        </is>
      </c>
      <c r="Y3207" t="inlineStr">
        <is>
          <t>2003-09-30</t>
        </is>
      </c>
      <c r="Z3207" t="inlineStr">
        <is>
          <t>2003-09-30</t>
        </is>
      </c>
      <c r="AA3207" t="n">
        <v>282</v>
      </c>
      <c r="AB3207" t="n">
        <v>240</v>
      </c>
      <c r="AC3207" t="n">
        <v>786</v>
      </c>
      <c r="AD3207" t="n">
        <v>2</v>
      </c>
      <c r="AE3207" t="n">
        <v>4</v>
      </c>
      <c r="AF3207" t="n">
        <v>5</v>
      </c>
      <c r="AG3207" t="n">
        <v>20</v>
      </c>
      <c r="AH3207" t="n">
        <v>1</v>
      </c>
      <c r="AI3207" t="n">
        <v>7</v>
      </c>
      <c r="AJ3207" t="n">
        <v>2</v>
      </c>
      <c r="AK3207" t="n">
        <v>6</v>
      </c>
      <c r="AL3207" t="n">
        <v>2</v>
      </c>
      <c r="AM3207" t="n">
        <v>9</v>
      </c>
      <c r="AN3207" t="n">
        <v>1</v>
      </c>
      <c r="AO3207" t="n">
        <v>3</v>
      </c>
      <c r="AP3207" t="n">
        <v>0</v>
      </c>
      <c r="AQ3207" t="n">
        <v>0</v>
      </c>
      <c r="AR3207" t="inlineStr">
        <is>
          <t>No</t>
        </is>
      </c>
      <c r="AS3207" t="inlineStr">
        <is>
          <t>No</t>
        </is>
      </c>
      <c r="AU3207">
        <f>HYPERLINK("https://creighton-primo.hosted.exlibrisgroup.com/primo-explore/search?tab=default_tab&amp;search_scope=EVERYTHING&amp;vid=01CRU&amp;lang=en_US&amp;offset=0&amp;query=any,contains,991004143849702656","Catalog Record")</f>
        <v/>
      </c>
      <c r="AV3207">
        <f>HYPERLINK("http://www.worldcat.org/oclc/51058964","WorldCat Record")</f>
        <v/>
      </c>
      <c r="AW3207" t="inlineStr">
        <is>
          <t>54815313:eng</t>
        </is>
      </c>
      <c r="AX3207" t="inlineStr">
        <is>
          <t>51058964</t>
        </is>
      </c>
      <c r="AY3207" t="inlineStr">
        <is>
          <t>991004143849702656</t>
        </is>
      </c>
      <c r="AZ3207" t="inlineStr">
        <is>
          <t>991004143849702656</t>
        </is>
      </c>
      <c r="BA3207" t="inlineStr">
        <is>
          <t>2264975600002656</t>
        </is>
      </c>
      <c r="BB3207" t="inlineStr">
        <is>
          <t>BOOK</t>
        </is>
      </c>
      <c r="BD3207" t="inlineStr">
        <is>
          <t>9780791074411</t>
        </is>
      </c>
      <c r="BE3207" t="inlineStr">
        <is>
          <t>32285004791611</t>
        </is>
      </c>
      <c r="BF3207" t="inlineStr">
        <is>
          <t>893869342</t>
        </is>
      </c>
    </row>
    <row r="3208">
      <c r="A3208" t="inlineStr">
        <is>
          <t>No</t>
        </is>
      </c>
      <c r="B3208" t="inlineStr">
        <is>
          <t>CURAL</t>
        </is>
      </c>
      <c r="C3208" t="inlineStr">
        <is>
          <t>SHELVES</t>
        </is>
      </c>
      <c r="D3208" t="inlineStr">
        <is>
          <t>PR6023.E833 Z88</t>
        </is>
      </c>
      <c r="E3208" t="inlineStr">
        <is>
          <t>0                      PR 6023000E  833                Z  88</t>
        </is>
      </c>
      <c r="F3208" t="inlineStr">
        <is>
          <t>The novels of Doris Lessing / with a pref. by Harry T. Moore.</t>
        </is>
      </c>
      <c r="H3208" t="inlineStr">
        <is>
          <t>No</t>
        </is>
      </c>
      <c r="I3208" t="inlineStr">
        <is>
          <t>1</t>
        </is>
      </c>
      <c r="J3208" t="inlineStr">
        <is>
          <t>No</t>
        </is>
      </c>
      <c r="K3208" t="inlineStr">
        <is>
          <t>No</t>
        </is>
      </c>
      <c r="L3208" t="inlineStr">
        <is>
          <t>0</t>
        </is>
      </c>
      <c r="M3208" t="inlineStr">
        <is>
          <t>Schlueter, Paul, 1933-</t>
        </is>
      </c>
      <c r="N3208" t="inlineStr">
        <is>
          <t>Carbondale : Southern Illinois University Press, [1973]</t>
        </is>
      </c>
      <c r="O3208" t="inlineStr">
        <is>
          <t>1973</t>
        </is>
      </c>
      <c r="Q3208" t="inlineStr">
        <is>
          <t>eng</t>
        </is>
      </c>
      <c r="R3208" t="inlineStr">
        <is>
          <t>ilu</t>
        </is>
      </c>
      <c r="S3208" t="inlineStr">
        <is>
          <t>Crosscurrents/modern critiques</t>
        </is>
      </c>
      <c r="T3208" t="inlineStr">
        <is>
          <t xml:space="preserve">PR </t>
        </is>
      </c>
      <c r="U3208" t="n">
        <v>2</v>
      </c>
      <c r="V3208" t="n">
        <v>2</v>
      </c>
      <c r="W3208" t="inlineStr">
        <is>
          <t>1995-04-13</t>
        </is>
      </c>
      <c r="X3208" t="inlineStr">
        <is>
          <t>1995-04-13</t>
        </is>
      </c>
      <c r="Y3208" t="inlineStr">
        <is>
          <t>1990-03-21</t>
        </is>
      </c>
      <c r="Z3208" t="inlineStr">
        <is>
          <t>1990-03-21</t>
        </is>
      </c>
      <c r="AA3208" t="n">
        <v>875</v>
      </c>
      <c r="AB3208" t="n">
        <v>776</v>
      </c>
      <c r="AC3208" t="n">
        <v>781</v>
      </c>
      <c r="AD3208" t="n">
        <v>7</v>
      </c>
      <c r="AE3208" t="n">
        <v>7</v>
      </c>
      <c r="AF3208" t="n">
        <v>28</v>
      </c>
      <c r="AG3208" t="n">
        <v>28</v>
      </c>
      <c r="AH3208" t="n">
        <v>12</v>
      </c>
      <c r="AI3208" t="n">
        <v>12</v>
      </c>
      <c r="AJ3208" t="n">
        <v>7</v>
      </c>
      <c r="AK3208" t="n">
        <v>7</v>
      </c>
      <c r="AL3208" t="n">
        <v>12</v>
      </c>
      <c r="AM3208" t="n">
        <v>12</v>
      </c>
      <c r="AN3208" t="n">
        <v>5</v>
      </c>
      <c r="AO3208" t="n">
        <v>5</v>
      </c>
      <c r="AP3208" t="n">
        <v>0</v>
      </c>
      <c r="AQ3208" t="n">
        <v>0</v>
      </c>
      <c r="AR3208" t="inlineStr">
        <is>
          <t>No</t>
        </is>
      </c>
      <c r="AS3208" t="inlineStr">
        <is>
          <t>Yes</t>
        </is>
      </c>
      <c r="AT3208">
        <f>HYPERLINK("http://catalog.hathitrust.org/Record/000536824","HathiTrust Record")</f>
        <v/>
      </c>
      <c r="AU3208">
        <f>HYPERLINK("https://creighton-primo.hosted.exlibrisgroup.com/primo-explore/search?tab=default_tab&amp;search_scope=EVERYTHING&amp;vid=01CRU&amp;lang=en_US&amp;offset=0&amp;query=any,contains,991002841539702656","Catalog Record")</f>
        <v/>
      </c>
      <c r="AV3208">
        <f>HYPERLINK("http://www.worldcat.org/oclc/482460","WorldCat Record")</f>
        <v/>
      </c>
      <c r="AW3208" t="inlineStr">
        <is>
          <t>1563137:eng</t>
        </is>
      </c>
      <c r="AX3208" t="inlineStr">
        <is>
          <t>482460</t>
        </is>
      </c>
      <c r="AY3208" t="inlineStr">
        <is>
          <t>991002841539702656</t>
        </is>
      </c>
      <c r="AZ3208" t="inlineStr">
        <is>
          <t>991002841539702656</t>
        </is>
      </c>
      <c r="BA3208" t="inlineStr">
        <is>
          <t>2258766900002656</t>
        </is>
      </c>
      <c r="BB3208" t="inlineStr">
        <is>
          <t>BOOK</t>
        </is>
      </c>
      <c r="BD3208" t="inlineStr">
        <is>
          <t>9780809306121</t>
        </is>
      </c>
      <c r="BE3208" t="inlineStr">
        <is>
          <t>32285000091362</t>
        </is>
      </c>
      <c r="BF3208" t="inlineStr">
        <is>
          <t>893622806</t>
        </is>
      </c>
    </row>
    <row r="3209">
      <c r="A3209" t="inlineStr">
        <is>
          <t>No</t>
        </is>
      </c>
      <c r="B3209" t="inlineStr">
        <is>
          <t>CURAL</t>
        </is>
      </c>
      <c r="C3209" t="inlineStr">
        <is>
          <t>SHELVES</t>
        </is>
      </c>
      <c r="D3209" t="inlineStr">
        <is>
          <t>PR6023.E926 Z4</t>
        </is>
      </c>
      <c r="E3209" t="inlineStr">
        <is>
          <t>0                      PR 6023000E  926                Z  4</t>
        </is>
      </c>
      <c r="F3209" t="inlineStr">
        <is>
          <t>C.S. Lewis : a biography / Roger Lancelyn Green &amp; Walter Hooper.</t>
        </is>
      </c>
      <c r="H3209" t="inlineStr">
        <is>
          <t>No</t>
        </is>
      </c>
      <c r="I3209" t="inlineStr">
        <is>
          <t>1</t>
        </is>
      </c>
      <c r="J3209" t="inlineStr">
        <is>
          <t>No</t>
        </is>
      </c>
      <c r="K3209" t="inlineStr">
        <is>
          <t>Yes</t>
        </is>
      </c>
      <c r="L3209" t="inlineStr">
        <is>
          <t>0</t>
        </is>
      </c>
      <c r="M3209" t="inlineStr">
        <is>
          <t>Green, Roger Lancelyn.</t>
        </is>
      </c>
      <c r="N3209" t="inlineStr">
        <is>
          <t>New York : Harcourt Brace Jovanovich, 1974.</t>
        </is>
      </c>
      <c r="O3209" t="inlineStr">
        <is>
          <t>1974</t>
        </is>
      </c>
      <c r="P3209" t="inlineStr">
        <is>
          <t>First American edition.</t>
        </is>
      </c>
      <c r="Q3209" t="inlineStr">
        <is>
          <t>eng</t>
        </is>
      </c>
      <c r="R3209" t="inlineStr">
        <is>
          <t>nyu</t>
        </is>
      </c>
      <c r="T3209" t="inlineStr">
        <is>
          <t xml:space="preserve">PR </t>
        </is>
      </c>
      <c r="U3209" t="n">
        <v>4</v>
      </c>
      <c r="V3209" t="n">
        <v>4</v>
      </c>
      <c r="W3209" t="inlineStr">
        <is>
          <t>2002-04-17</t>
        </is>
      </c>
      <c r="X3209" t="inlineStr">
        <is>
          <t>2002-04-17</t>
        </is>
      </c>
      <c r="Y3209" t="inlineStr">
        <is>
          <t>1997-04-15</t>
        </is>
      </c>
      <c r="Z3209" t="inlineStr">
        <is>
          <t>1997-04-15</t>
        </is>
      </c>
      <c r="AA3209" t="n">
        <v>1127</v>
      </c>
      <c r="AB3209" t="n">
        <v>1082</v>
      </c>
      <c r="AC3209" t="n">
        <v>1497</v>
      </c>
      <c r="AD3209" t="n">
        <v>9</v>
      </c>
      <c r="AE3209" t="n">
        <v>10</v>
      </c>
      <c r="AF3209" t="n">
        <v>31</v>
      </c>
      <c r="AG3209" t="n">
        <v>41</v>
      </c>
      <c r="AH3209" t="n">
        <v>11</v>
      </c>
      <c r="AI3209" t="n">
        <v>14</v>
      </c>
      <c r="AJ3209" t="n">
        <v>7</v>
      </c>
      <c r="AK3209" t="n">
        <v>9</v>
      </c>
      <c r="AL3209" t="n">
        <v>15</v>
      </c>
      <c r="AM3209" t="n">
        <v>21</v>
      </c>
      <c r="AN3209" t="n">
        <v>6</v>
      </c>
      <c r="AO3209" t="n">
        <v>7</v>
      </c>
      <c r="AP3209" t="n">
        <v>0</v>
      </c>
      <c r="AQ3209" t="n">
        <v>0</v>
      </c>
      <c r="AR3209" t="inlineStr">
        <is>
          <t>No</t>
        </is>
      </c>
      <c r="AS3209" t="inlineStr">
        <is>
          <t>No</t>
        </is>
      </c>
      <c r="AU3209">
        <f>HYPERLINK("https://creighton-primo.hosted.exlibrisgroup.com/primo-explore/search?tab=default_tab&amp;search_scope=EVERYTHING&amp;vid=01CRU&amp;lang=en_US&amp;offset=0&amp;query=any,contains,991004024479702656","Catalog Record")</f>
        <v/>
      </c>
      <c r="AV3209">
        <f>HYPERLINK("http://www.worldcat.org/oclc/940842","WorldCat Record")</f>
        <v/>
      </c>
      <c r="AW3209" t="inlineStr">
        <is>
          <t>62629096:eng</t>
        </is>
      </c>
      <c r="AX3209" t="inlineStr">
        <is>
          <t>940842</t>
        </is>
      </c>
      <c r="AY3209" t="inlineStr">
        <is>
          <t>991004024479702656</t>
        </is>
      </c>
      <c r="AZ3209" t="inlineStr">
        <is>
          <t>991004024479702656</t>
        </is>
      </c>
      <c r="BA3209" t="inlineStr">
        <is>
          <t>2256222190002656</t>
        </is>
      </c>
      <c r="BB3209" t="inlineStr">
        <is>
          <t>BOOK</t>
        </is>
      </c>
      <c r="BD3209" t="inlineStr">
        <is>
          <t>9780151231904</t>
        </is>
      </c>
      <c r="BE3209" t="inlineStr">
        <is>
          <t>32285002529427</t>
        </is>
      </c>
      <c r="BF3209" t="inlineStr">
        <is>
          <t>893247070</t>
        </is>
      </c>
    </row>
    <row r="3210">
      <c r="A3210" t="inlineStr">
        <is>
          <t>No</t>
        </is>
      </c>
      <c r="B3210" t="inlineStr">
        <is>
          <t>CURAL</t>
        </is>
      </c>
      <c r="C3210" t="inlineStr">
        <is>
          <t>SHELVES</t>
        </is>
      </c>
      <c r="D3210" t="inlineStr">
        <is>
          <t>PR6023.E926 Z6</t>
        </is>
      </c>
      <c r="E3210" t="inlineStr">
        <is>
          <t>0                      PR 6023000E  926                Z  6</t>
        </is>
      </c>
      <c r="F3210" t="inlineStr">
        <is>
          <t>Bright shadow of reality: C. S. Lewis and the feeling intellect, by Corbin Scott Carnell.</t>
        </is>
      </c>
      <c r="H3210" t="inlineStr">
        <is>
          <t>No</t>
        </is>
      </c>
      <c r="I3210" t="inlineStr">
        <is>
          <t>1</t>
        </is>
      </c>
      <c r="J3210" t="inlineStr">
        <is>
          <t>No</t>
        </is>
      </c>
      <c r="K3210" t="inlineStr">
        <is>
          <t>No</t>
        </is>
      </c>
      <c r="L3210" t="inlineStr">
        <is>
          <t>0</t>
        </is>
      </c>
      <c r="M3210" t="inlineStr">
        <is>
          <t>Carnell, Corbin Scott.</t>
        </is>
      </c>
      <c r="N3210" t="inlineStr">
        <is>
          <t>Grand Rapids, Mich., Eerdmans [1974]</t>
        </is>
      </c>
      <c r="O3210" t="inlineStr">
        <is>
          <t>1974</t>
        </is>
      </c>
      <c r="Q3210" t="inlineStr">
        <is>
          <t>eng</t>
        </is>
      </c>
      <c r="R3210" t="inlineStr">
        <is>
          <t>miu</t>
        </is>
      </c>
      <c r="T3210" t="inlineStr">
        <is>
          <t xml:space="preserve">PR </t>
        </is>
      </c>
      <c r="U3210" t="n">
        <v>2</v>
      </c>
      <c r="V3210" t="n">
        <v>2</v>
      </c>
      <c r="W3210" t="inlineStr">
        <is>
          <t>1997-09-08</t>
        </is>
      </c>
      <c r="X3210" t="inlineStr">
        <is>
          <t>1997-09-08</t>
        </is>
      </c>
      <c r="Y3210" t="inlineStr">
        <is>
          <t>1997-04-15</t>
        </is>
      </c>
      <c r="Z3210" t="inlineStr">
        <is>
          <t>1997-04-15</t>
        </is>
      </c>
      <c r="AA3210" t="n">
        <v>702</v>
      </c>
      <c r="AB3210" t="n">
        <v>626</v>
      </c>
      <c r="AC3210" t="n">
        <v>636</v>
      </c>
      <c r="AD3210" t="n">
        <v>7</v>
      </c>
      <c r="AE3210" t="n">
        <v>7</v>
      </c>
      <c r="AF3210" t="n">
        <v>30</v>
      </c>
      <c r="AG3210" t="n">
        <v>31</v>
      </c>
      <c r="AH3210" t="n">
        <v>12</v>
      </c>
      <c r="AI3210" t="n">
        <v>13</v>
      </c>
      <c r="AJ3210" t="n">
        <v>7</v>
      </c>
      <c r="AK3210" t="n">
        <v>7</v>
      </c>
      <c r="AL3210" t="n">
        <v>15</v>
      </c>
      <c r="AM3210" t="n">
        <v>16</v>
      </c>
      <c r="AN3210" t="n">
        <v>6</v>
      </c>
      <c r="AO3210" t="n">
        <v>6</v>
      </c>
      <c r="AP3210" t="n">
        <v>0</v>
      </c>
      <c r="AQ3210" t="n">
        <v>0</v>
      </c>
      <c r="AR3210" t="inlineStr">
        <is>
          <t>No</t>
        </is>
      </c>
      <c r="AS3210" t="inlineStr">
        <is>
          <t>Yes</t>
        </is>
      </c>
      <c r="AT3210">
        <f>HYPERLINK("http://catalog.hathitrust.org/Record/000537235","HathiTrust Record")</f>
        <v/>
      </c>
      <c r="AU3210">
        <f>HYPERLINK("https://creighton-primo.hosted.exlibrisgroup.com/primo-explore/search?tab=default_tab&amp;search_scope=EVERYTHING&amp;vid=01CRU&amp;lang=en_US&amp;offset=0&amp;query=any,contains,991003278629702656","Catalog Record")</f>
        <v/>
      </c>
      <c r="AV3210">
        <f>HYPERLINK("http://www.worldcat.org/oclc/801674","WorldCat Record")</f>
        <v/>
      </c>
      <c r="AW3210" t="inlineStr">
        <is>
          <t>3768629468:eng</t>
        </is>
      </c>
      <c r="AX3210" t="inlineStr">
        <is>
          <t>801674</t>
        </is>
      </c>
      <c r="AY3210" t="inlineStr">
        <is>
          <t>991003278629702656</t>
        </is>
      </c>
      <c r="AZ3210" t="inlineStr">
        <is>
          <t>991003278629702656</t>
        </is>
      </c>
      <c r="BA3210" t="inlineStr">
        <is>
          <t>2270013600002656</t>
        </is>
      </c>
      <c r="BB3210" t="inlineStr">
        <is>
          <t>BOOK</t>
        </is>
      </c>
      <c r="BD3210" t="inlineStr">
        <is>
          <t>9780802815613</t>
        </is>
      </c>
      <c r="BE3210" t="inlineStr">
        <is>
          <t>32285002529435</t>
        </is>
      </c>
      <c r="BF3210" t="inlineStr">
        <is>
          <t>893352757</t>
        </is>
      </c>
    </row>
    <row r="3211">
      <c r="A3211" t="inlineStr">
        <is>
          <t>No</t>
        </is>
      </c>
      <c r="B3211" t="inlineStr">
        <is>
          <t>CURAL</t>
        </is>
      </c>
      <c r="C3211" t="inlineStr">
        <is>
          <t>SHELVES</t>
        </is>
      </c>
      <c r="D3211" t="inlineStr">
        <is>
          <t>PR6023.E926 Z613 1979</t>
        </is>
      </c>
      <c r="E3211" t="inlineStr">
        <is>
          <t>0                      PR 6023000E  926                Z  613         1979</t>
        </is>
      </c>
      <c r="F3211" t="inlineStr">
        <is>
          <t>The inklings : C. S. Lewis, J. R. R. Tolkien, Charles Williams, and their friends / by Humphrey Carpenter.</t>
        </is>
      </c>
      <c r="H3211" t="inlineStr">
        <is>
          <t>No</t>
        </is>
      </c>
      <c r="I3211" t="inlineStr">
        <is>
          <t>1</t>
        </is>
      </c>
      <c r="J3211" t="inlineStr">
        <is>
          <t>No</t>
        </is>
      </c>
      <c r="K3211" t="inlineStr">
        <is>
          <t>No</t>
        </is>
      </c>
      <c r="L3211" t="inlineStr">
        <is>
          <t>0</t>
        </is>
      </c>
      <c r="M3211" t="inlineStr">
        <is>
          <t>Carpenter, Humphrey.</t>
        </is>
      </c>
      <c r="N3211" t="inlineStr">
        <is>
          <t>Boston : Houghton Mifflin, 1979, c1978.</t>
        </is>
      </c>
      <c r="O3211" t="inlineStr">
        <is>
          <t>1979</t>
        </is>
      </c>
      <c r="Q3211" t="inlineStr">
        <is>
          <t>eng</t>
        </is>
      </c>
      <c r="R3211" t="inlineStr">
        <is>
          <t>mau</t>
        </is>
      </c>
      <c r="T3211" t="inlineStr">
        <is>
          <t xml:space="preserve">PR </t>
        </is>
      </c>
      <c r="U3211" t="n">
        <v>6</v>
      </c>
      <c r="V3211" t="n">
        <v>6</v>
      </c>
      <c r="W3211" t="inlineStr">
        <is>
          <t>2009-06-12</t>
        </is>
      </c>
      <c r="X3211" t="inlineStr">
        <is>
          <t>2009-06-12</t>
        </is>
      </c>
      <c r="Y3211" t="inlineStr">
        <is>
          <t>1992-07-16</t>
        </is>
      </c>
      <c r="Z3211" t="inlineStr">
        <is>
          <t>1992-07-16</t>
        </is>
      </c>
      <c r="AA3211" t="n">
        <v>1303</v>
      </c>
      <c r="AB3211" t="n">
        <v>1258</v>
      </c>
      <c r="AC3211" t="n">
        <v>1424</v>
      </c>
      <c r="AD3211" t="n">
        <v>6</v>
      </c>
      <c r="AE3211" t="n">
        <v>8</v>
      </c>
      <c r="AF3211" t="n">
        <v>40</v>
      </c>
      <c r="AG3211" t="n">
        <v>45</v>
      </c>
      <c r="AH3211" t="n">
        <v>17</v>
      </c>
      <c r="AI3211" t="n">
        <v>19</v>
      </c>
      <c r="AJ3211" t="n">
        <v>7</v>
      </c>
      <c r="AK3211" t="n">
        <v>7</v>
      </c>
      <c r="AL3211" t="n">
        <v>23</v>
      </c>
      <c r="AM3211" t="n">
        <v>25</v>
      </c>
      <c r="AN3211" t="n">
        <v>4</v>
      </c>
      <c r="AO3211" t="n">
        <v>6</v>
      </c>
      <c r="AP3211" t="n">
        <v>0</v>
      </c>
      <c r="AQ3211" t="n">
        <v>0</v>
      </c>
      <c r="AR3211" t="inlineStr">
        <is>
          <t>No</t>
        </is>
      </c>
      <c r="AS3211" t="inlineStr">
        <is>
          <t>Yes</t>
        </is>
      </c>
      <c r="AT3211">
        <f>HYPERLINK("http://catalog.hathitrust.org/Record/000256041","HathiTrust Record")</f>
        <v/>
      </c>
      <c r="AU3211">
        <f>HYPERLINK("https://creighton-primo.hosted.exlibrisgroup.com/primo-explore/search?tab=default_tab&amp;search_scope=EVERYTHING&amp;vid=01CRU&amp;lang=en_US&amp;offset=0&amp;query=any,contains,991004653339702656","Catalog Record")</f>
        <v/>
      </c>
      <c r="AV3211">
        <f>HYPERLINK("http://www.worldcat.org/oclc/4494594","WorldCat Record")</f>
        <v/>
      </c>
      <c r="AW3211" t="inlineStr">
        <is>
          <t>449751:eng</t>
        </is>
      </c>
      <c r="AX3211" t="inlineStr">
        <is>
          <t>4494594</t>
        </is>
      </c>
      <c r="AY3211" t="inlineStr">
        <is>
          <t>991004653339702656</t>
        </is>
      </c>
      <c r="AZ3211" t="inlineStr">
        <is>
          <t>991004653339702656</t>
        </is>
      </c>
      <c r="BA3211" t="inlineStr">
        <is>
          <t>2265382200002656</t>
        </is>
      </c>
      <c r="BB3211" t="inlineStr">
        <is>
          <t>BOOK</t>
        </is>
      </c>
      <c r="BD3211" t="inlineStr">
        <is>
          <t>9780395276280</t>
        </is>
      </c>
      <c r="BE3211" t="inlineStr">
        <is>
          <t>32285001153823</t>
        </is>
      </c>
      <c r="BF3211" t="inlineStr">
        <is>
          <t>893801187</t>
        </is>
      </c>
    </row>
    <row r="3212">
      <c r="A3212" t="inlineStr">
        <is>
          <t>No</t>
        </is>
      </c>
      <c r="B3212" t="inlineStr">
        <is>
          <t>CURAL</t>
        </is>
      </c>
      <c r="C3212" t="inlineStr">
        <is>
          <t>SHELVES</t>
        </is>
      </c>
      <c r="D3212" t="inlineStr">
        <is>
          <t>PR6023.E926 Z64 1987</t>
        </is>
      </c>
      <c r="E3212" t="inlineStr">
        <is>
          <t>0                      PR 6023000E  926                Z  64          1987</t>
        </is>
      </c>
      <c r="F3212" t="inlineStr">
        <is>
          <t>C.S. Lewis / by Joe R. Christopher.</t>
        </is>
      </c>
      <c r="H3212" t="inlineStr">
        <is>
          <t>No</t>
        </is>
      </c>
      <c r="I3212" t="inlineStr">
        <is>
          <t>1</t>
        </is>
      </c>
      <c r="J3212" t="inlineStr">
        <is>
          <t>No</t>
        </is>
      </c>
      <c r="K3212" t="inlineStr">
        <is>
          <t>No</t>
        </is>
      </c>
      <c r="L3212" t="inlineStr">
        <is>
          <t>0</t>
        </is>
      </c>
      <c r="M3212" t="inlineStr">
        <is>
          <t>Christopher, Joe R.</t>
        </is>
      </c>
      <c r="N3212" t="inlineStr">
        <is>
          <t>Boston : Twayne Publishers, c1987.</t>
        </is>
      </c>
      <c r="O3212" t="inlineStr">
        <is>
          <t>1987</t>
        </is>
      </c>
      <c r="Q3212" t="inlineStr">
        <is>
          <t>eng</t>
        </is>
      </c>
      <c r="R3212" t="inlineStr">
        <is>
          <t>mau</t>
        </is>
      </c>
      <c r="S3212" t="inlineStr">
        <is>
          <t>Twayne's English authors series ; TEAS 442</t>
        </is>
      </c>
      <c r="T3212" t="inlineStr">
        <is>
          <t xml:space="preserve">PR </t>
        </is>
      </c>
      <c r="U3212" t="n">
        <v>7</v>
      </c>
      <c r="V3212" t="n">
        <v>7</v>
      </c>
      <c r="W3212" t="inlineStr">
        <is>
          <t>1997-10-28</t>
        </is>
      </c>
      <c r="X3212" t="inlineStr">
        <is>
          <t>1997-10-28</t>
        </is>
      </c>
      <c r="Y3212" t="inlineStr">
        <is>
          <t>1990-01-17</t>
        </is>
      </c>
      <c r="Z3212" t="inlineStr">
        <is>
          <t>1990-01-17</t>
        </is>
      </c>
      <c r="AA3212" t="n">
        <v>1138</v>
      </c>
      <c r="AB3212" t="n">
        <v>1027</v>
      </c>
      <c r="AC3212" t="n">
        <v>1152</v>
      </c>
      <c r="AD3212" t="n">
        <v>6</v>
      </c>
      <c r="AE3212" t="n">
        <v>8</v>
      </c>
      <c r="AF3212" t="n">
        <v>33</v>
      </c>
      <c r="AG3212" t="n">
        <v>37</v>
      </c>
      <c r="AH3212" t="n">
        <v>14</v>
      </c>
      <c r="AI3212" t="n">
        <v>15</v>
      </c>
      <c r="AJ3212" t="n">
        <v>6</v>
      </c>
      <c r="AK3212" t="n">
        <v>6</v>
      </c>
      <c r="AL3212" t="n">
        <v>17</v>
      </c>
      <c r="AM3212" t="n">
        <v>18</v>
      </c>
      <c r="AN3212" t="n">
        <v>4</v>
      </c>
      <c r="AO3212" t="n">
        <v>6</v>
      </c>
      <c r="AP3212" t="n">
        <v>0</v>
      </c>
      <c r="AQ3212" t="n">
        <v>0</v>
      </c>
      <c r="AR3212" t="inlineStr">
        <is>
          <t>No</t>
        </is>
      </c>
      <c r="AS3212" t="inlineStr">
        <is>
          <t>Yes</t>
        </is>
      </c>
      <c r="AT3212">
        <f>HYPERLINK("http://catalog.hathitrust.org/Record/000822434","HathiTrust Record")</f>
        <v/>
      </c>
      <c r="AU3212">
        <f>HYPERLINK("https://creighton-primo.hosted.exlibrisgroup.com/primo-explore/search?tab=default_tab&amp;search_scope=EVERYTHING&amp;vid=01CRU&amp;lang=en_US&amp;offset=0&amp;query=any,contains,991000938289702656","Catalog Record")</f>
        <v/>
      </c>
      <c r="AV3212">
        <f>HYPERLINK("http://www.worldcat.org/oclc/14377893","WorldCat Record")</f>
        <v/>
      </c>
      <c r="AW3212" t="inlineStr">
        <is>
          <t>3855495414:eng</t>
        </is>
      </c>
      <c r="AX3212" t="inlineStr">
        <is>
          <t>14377893</t>
        </is>
      </c>
      <c r="AY3212" t="inlineStr">
        <is>
          <t>991000938289702656</t>
        </is>
      </c>
      <c r="AZ3212" t="inlineStr">
        <is>
          <t>991000938289702656</t>
        </is>
      </c>
      <c r="BA3212" t="inlineStr">
        <is>
          <t>2262193130002656</t>
        </is>
      </c>
      <c r="BB3212" t="inlineStr">
        <is>
          <t>BOOK</t>
        </is>
      </c>
      <c r="BD3212" t="inlineStr">
        <is>
          <t>9780805769449</t>
        </is>
      </c>
      <c r="BE3212" t="inlineStr">
        <is>
          <t>32285000030725</t>
        </is>
      </c>
      <c r="BF3212" t="inlineStr">
        <is>
          <t>893231552</t>
        </is>
      </c>
    </row>
    <row r="3213">
      <c r="A3213" t="inlineStr">
        <is>
          <t>No</t>
        </is>
      </c>
      <c r="B3213" t="inlineStr">
        <is>
          <t>CURAL</t>
        </is>
      </c>
      <c r="C3213" t="inlineStr">
        <is>
          <t>SHELVES</t>
        </is>
      </c>
      <c r="D3213" t="inlineStr">
        <is>
          <t>PR6023.E926 Z65 1976</t>
        </is>
      </c>
      <c r="E3213" t="inlineStr">
        <is>
          <t>0                      PR 6023000E  926                Z  65          1976</t>
        </is>
      </c>
      <c r="F3213" t="inlineStr">
        <is>
          <t>Light on C. S. Lewis / Owen Barfield ... [et al.] ; edited by Jocelyn Gibb.</t>
        </is>
      </c>
      <c r="H3213" t="inlineStr">
        <is>
          <t>No</t>
        </is>
      </c>
      <c r="I3213" t="inlineStr">
        <is>
          <t>1</t>
        </is>
      </c>
      <c r="J3213" t="inlineStr">
        <is>
          <t>No</t>
        </is>
      </c>
      <c r="K3213" t="inlineStr">
        <is>
          <t>No</t>
        </is>
      </c>
      <c r="L3213" t="inlineStr">
        <is>
          <t>0</t>
        </is>
      </c>
      <c r="M3213" t="inlineStr">
        <is>
          <t>Gibb, Jocelyn, editor.</t>
        </is>
      </c>
      <c r="N3213" t="inlineStr">
        <is>
          <t>New York : Harcourt Brace Jovanovich, 1976, c1965.</t>
        </is>
      </c>
      <c r="O3213" t="inlineStr">
        <is>
          <t>1976</t>
        </is>
      </c>
      <c r="Q3213" t="inlineStr">
        <is>
          <t>eng</t>
        </is>
      </c>
      <c r="R3213" t="inlineStr">
        <is>
          <t>nyu</t>
        </is>
      </c>
      <c r="S3213" t="inlineStr">
        <is>
          <t>A Harvest book ; HB 341</t>
        </is>
      </c>
      <c r="T3213" t="inlineStr">
        <is>
          <t xml:space="preserve">PR </t>
        </is>
      </c>
      <c r="U3213" t="n">
        <v>4</v>
      </c>
      <c r="V3213" t="n">
        <v>4</v>
      </c>
      <c r="W3213" t="inlineStr">
        <is>
          <t>2002-10-29</t>
        </is>
      </c>
      <c r="X3213" t="inlineStr">
        <is>
          <t>2002-10-29</t>
        </is>
      </c>
      <c r="Y3213" t="inlineStr">
        <is>
          <t>1990-07-18</t>
        </is>
      </c>
      <c r="Z3213" t="inlineStr">
        <is>
          <t>1990-07-18</t>
        </is>
      </c>
      <c r="AA3213" t="n">
        <v>164</v>
      </c>
      <c r="AB3213" t="n">
        <v>150</v>
      </c>
      <c r="AC3213" t="n">
        <v>952</v>
      </c>
      <c r="AD3213" t="n">
        <v>1</v>
      </c>
      <c r="AE3213" t="n">
        <v>6</v>
      </c>
      <c r="AF3213" t="n">
        <v>4</v>
      </c>
      <c r="AG3213" t="n">
        <v>42</v>
      </c>
      <c r="AH3213" t="n">
        <v>3</v>
      </c>
      <c r="AI3213" t="n">
        <v>19</v>
      </c>
      <c r="AJ3213" t="n">
        <v>0</v>
      </c>
      <c r="AK3213" t="n">
        <v>7</v>
      </c>
      <c r="AL3213" t="n">
        <v>3</v>
      </c>
      <c r="AM3213" t="n">
        <v>23</v>
      </c>
      <c r="AN3213" t="n">
        <v>0</v>
      </c>
      <c r="AO3213" t="n">
        <v>5</v>
      </c>
      <c r="AP3213" t="n">
        <v>0</v>
      </c>
      <c r="AQ3213" t="n">
        <v>0</v>
      </c>
      <c r="AR3213" t="inlineStr">
        <is>
          <t>No</t>
        </is>
      </c>
      <c r="AS3213" t="inlineStr">
        <is>
          <t>No</t>
        </is>
      </c>
      <c r="AU3213">
        <f>HYPERLINK("https://creighton-primo.hosted.exlibrisgroup.com/primo-explore/search?tab=default_tab&amp;search_scope=EVERYTHING&amp;vid=01CRU&amp;lang=en_US&amp;offset=0&amp;query=any,contains,991004042389702656","Catalog Record")</f>
        <v/>
      </c>
      <c r="AV3213">
        <f>HYPERLINK("http://www.worldcat.org/oclc/2189331","WorldCat Record")</f>
        <v/>
      </c>
      <c r="AW3213" t="inlineStr">
        <is>
          <t>54021072:eng</t>
        </is>
      </c>
      <c r="AX3213" t="inlineStr">
        <is>
          <t>2189331</t>
        </is>
      </c>
      <c r="AY3213" t="inlineStr">
        <is>
          <t>991004042389702656</t>
        </is>
      </c>
      <c r="AZ3213" t="inlineStr">
        <is>
          <t>991004042389702656</t>
        </is>
      </c>
      <c r="BA3213" t="inlineStr">
        <is>
          <t>2265498540002656</t>
        </is>
      </c>
      <c r="BB3213" t="inlineStr">
        <is>
          <t>BOOK</t>
        </is>
      </c>
      <c r="BD3213" t="inlineStr">
        <is>
          <t>9780156520003</t>
        </is>
      </c>
      <c r="BE3213" t="inlineStr">
        <is>
          <t>32285000232636</t>
        </is>
      </c>
      <c r="BF3213" t="inlineStr">
        <is>
          <t>893423309</t>
        </is>
      </c>
    </row>
    <row r="3214">
      <c r="A3214" t="inlineStr">
        <is>
          <t>No</t>
        </is>
      </c>
      <c r="B3214" t="inlineStr">
        <is>
          <t>CURAL</t>
        </is>
      </c>
      <c r="C3214" t="inlineStr">
        <is>
          <t>SHELVES</t>
        </is>
      </c>
      <c r="D3214" t="inlineStr">
        <is>
          <t>PR6023.E926 Z652 1987</t>
        </is>
      </c>
      <c r="E3214" t="inlineStr">
        <is>
          <t>0                      PR 6023000E  926                Z  652         1987</t>
        </is>
      </c>
      <c r="F3214" t="inlineStr">
        <is>
          <t>C. S. Lewis, man of letters : a reading of his fiction / by Thomas Howard.</t>
        </is>
      </c>
      <c r="H3214" t="inlineStr">
        <is>
          <t>No</t>
        </is>
      </c>
      <c r="I3214" t="inlineStr">
        <is>
          <t>1</t>
        </is>
      </c>
      <c r="J3214" t="inlineStr">
        <is>
          <t>No</t>
        </is>
      </c>
      <c r="K3214" t="inlineStr">
        <is>
          <t>Yes</t>
        </is>
      </c>
      <c r="L3214" t="inlineStr">
        <is>
          <t>0</t>
        </is>
      </c>
      <c r="M3214" t="inlineStr">
        <is>
          <t>Howard, Thomas.</t>
        </is>
      </c>
      <c r="N3214" t="inlineStr">
        <is>
          <t>Worthing (West Sussex) : Churchman Publishing, 1987.</t>
        </is>
      </c>
      <c r="O3214" t="inlineStr">
        <is>
          <t>1987</t>
        </is>
      </c>
      <c r="Q3214" t="inlineStr">
        <is>
          <t>eng</t>
        </is>
      </c>
      <c r="R3214" t="inlineStr">
        <is>
          <t>enk</t>
        </is>
      </c>
      <c r="T3214" t="inlineStr">
        <is>
          <t xml:space="preserve">PR </t>
        </is>
      </c>
      <c r="U3214" t="n">
        <v>5</v>
      </c>
      <c r="V3214" t="n">
        <v>5</v>
      </c>
      <c r="W3214" t="inlineStr">
        <is>
          <t>1994-01-12</t>
        </is>
      </c>
      <c r="X3214" t="inlineStr">
        <is>
          <t>1994-01-12</t>
        </is>
      </c>
      <c r="Y3214" t="inlineStr">
        <is>
          <t>1992-07-16</t>
        </is>
      </c>
      <c r="Z3214" t="inlineStr">
        <is>
          <t>1992-07-16</t>
        </is>
      </c>
      <c r="AA3214" t="n">
        <v>67</v>
      </c>
      <c r="AB3214" t="n">
        <v>44</v>
      </c>
      <c r="AC3214" t="n">
        <v>229</v>
      </c>
      <c r="AD3214" t="n">
        <v>1</v>
      </c>
      <c r="AE3214" t="n">
        <v>3</v>
      </c>
      <c r="AF3214" t="n">
        <v>2</v>
      </c>
      <c r="AG3214" t="n">
        <v>20</v>
      </c>
      <c r="AH3214" t="n">
        <v>2</v>
      </c>
      <c r="AI3214" t="n">
        <v>10</v>
      </c>
      <c r="AJ3214" t="n">
        <v>0</v>
      </c>
      <c r="AK3214" t="n">
        <v>2</v>
      </c>
      <c r="AL3214" t="n">
        <v>1</v>
      </c>
      <c r="AM3214" t="n">
        <v>12</v>
      </c>
      <c r="AN3214" t="n">
        <v>0</v>
      </c>
      <c r="AO3214" t="n">
        <v>1</v>
      </c>
      <c r="AP3214" t="n">
        <v>0</v>
      </c>
      <c r="AQ3214" t="n">
        <v>0</v>
      </c>
      <c r="AR3214" t="inlineStr">
        <is>
          <t>No</t>
        </is>
      </c>
      <c r="AS3214" t="inlineStr">
        <is>
          <t>No</t>
        </is>
      </c>
      <c r="AU3214">
        <f>HYPERLINK("https://creighton-primo.hosted.exlibrisgroup.com/primo-explore/search?tab=default_tab&amp;search_scope=EVERYTHING&amp;vid=01CRU&amp;lang=en_US&amp;offset=0&amp;query=any,contains,991001258739702656","Catalog Record")</f>
        <v/>
      </c>
      <c r="AV3214">
        <f>HYPERLINK("http://www.worldcat.org/oclc/21045742","WorldCat Record")</f>
        <v/>
      </c>
      <c r="AW3214" t="inlineStr">
        <is>
          <t>57857406:eng</t>
        </is>
      </c>
      <c r="AX3214" t="inlineStr">
        <is>
          <t>21045742</t>
        </is>
      </c>
      <c r="AY3214" t="inlineStr">
        <is>
          <t>991001258739702656</t>
        </is>
      </c>
      <c r="AZ3214" t="inlineStr">
        <is>
          <t>991001258739702656</t>
        </is>
      </c>
      <c r="BA3214" t="inlineStr">
        <is>
          <t>2272245950002656</t>
        </is>
      </c>
      <c r="BB3214" t="inlineStr">
        <is>
          <t>BOOK</t>
        </is>
      </c>
      <c r="BD3214" t="inlineStr">
        <is>
          <t>9781850930808</t>
        </is>
      </c>
      <c r="BE3214" t="inlineStr">
        <is>
          <t>32285001153831</t>
        </is>
      </c>
      <c r="BF3214" t="inlineStr">
        <is>
          <t>893432736</t>
        </is>
      </c>
    </row>
    <row r="3215">
      <c r="A3215" t="inlineStr">
        <is>
          <t>No</t>
        </is>
      </c>
      <c r="B3215" t="inlineStr">
        <is>
          <t>CURAL</t>
        </is>
      </c>
      <c r="C3215" t="inlineStr">
        <is>
          <t>SHELVES</t>
        </is>
      </c>
      <c r="D3215" t="inlineStr">
        <is>
          <t>PR6023.E926 Z664</t>
        </is>
      </c>
      <c r="E3215" t="inlineStr">
        <is>
          <t>0                      PR 6023000E  926                Z  664</t>
        </is>
      </c>
      <c r="F3215" t="inlineStr">
        <is>
          <t>C. S. Lewis : the art of enchantment / Donald E. Glover.</t>
        </is>
      </c>
      <c r="H3215" t="inlineStr">
        <is>
          <t>No</t>
        </is>
      </c>
      <c r="I3215" t="inlineStr">
        <is>
          <t>1</t>
        </is>
      </c>
      <c r="J3215" t="inlineStr">
        <is>
          <t>No</t>
        </is>
      </c>
      <c r="K3215" t="inlineStr">
        <is>
          <t>No</t>
        </is>
      </c>
      <c r="L3215" t="inlineStr">
        <is>
          <t>0</t>
        </is>
      </c>
      <c r="M3215" t="inlineStr">
        <is>
          <t>Glover, Donald E., 1933-</t>
        </is>
      </c>
      <c r="N3215" t="inlineStr">
        <is>
          <t>Athens, Ohio : Ohio University Press, c1981.</t>
        </is>
      </c>
      <c r="O3215" t="inlineStr">
        <is>
          <t>1981</t>
        </is>
      </c>
      <c r="Q3215" t="inlineStr">
        <is>
          <t>eng</t>
        </is>
      </c>
      <c r="R3215" t="inlineStr">
        <is>
          <t>ohu</t>
        </is>
      </c>
      <c r="T3215" t="inlineStr">
        <is>
          <t xml:space="preserve">PR </t>
        </is>
      </c>
      <c r="U3215" t="n">
        <v>4</v>
      </c>
      <c r="V3215" t="n">
        <v>4</v>
      </c>
      <c r="W3215" t="inlineStr">
        <is>
          <t>1993-09-18</t>
        </is>
      </c>
      <c r="X3215" t="inlineStr">
        <is>
          <t>1993-09-18</t>
        </is>
      </c>
      <c r="Y3215" t="inlineStr">
        <is>
          <t>1992-07-16</t>
        </is>
      </c>
      <c r="Z3215" t="inlineStr">
        <is>
          <t>1992-07-16</t>
        </is>
      </c>
      <c r="AA3215" t="n">
        <v>814</v>
      </c>
      <c r="AB3215" t="n">
        <v>726</v>
      </c>
      <c r="AC3215" t="n">
        <v>732</v>
      </c>
      <c r="AD3215" t="n">
        <v>9</v>
      </c>
      <c r="AE3215" t="n">
        <v>9</v>
      </c>
      <c r="AF3215" t="n">
        <v>38</v>
      </c>
      <c r="AG3215" t="n">
        <v>38</v>
      </c>
      <c r="AH3215" t="n">
        <v>17</v>
      </c>
      <c r="AI3215" t="n">
        <v>17</v>
      </c>
      <c r="AJ3215" t="n">
        <v>8</v>
      </c>
      <c r="AK3215" t="n">
        <v>8</v>
      </c>
      <c r="AL3215" t="n">
        <v>13</v>
      </c>
      <c r="AM3215" t="n">
        <v>13</v>
      </c>
      <c r="AN3215" t="n">
        <v>8</v>
      </c>
      <c r="AO3215" t="n">
        <v>8</v>
      </c>
      <c r="AP3215" t="n">
        <v>0</v>
      </c>
      <c r="AQ3215" t="n">
        <v>0</v>
      </c>
      <c r="AR3215" t="inlineStr">
        <is>
          <t>No</t>
        </is>
      </c>
      <c r="AS3215" t="inlineStr">
        <is>
          <t>Yes</t>
        </is>
      </c>
      <c r="AT3215">
        <f>HYPERLINK("http://catalog.hathitrust.org/Record/000139720","HathiTrust Record")</f>
        <v/>
      </c>
      <c r="AU3215">
        <f>HYPERLINK("https://creighton-primo.hosted.exlibrisgroup.com/primo-explore/search?tab=default_tab&amp;search_scope=EVERYTHING&amp;vid=01CRU&amp;lang=en_US&amp;offset=0&amp;query=any,contains,991005022679702656","Catalog Record")</f>
        <v/>
      </c>
      <c r="AV3215">
        <f>HYPERLINK("http://www.worldcat.org/oclc/6666072","WorldCat Record")</f>
        <v/>
      </c>
      <c r="AW3215" t="inlineStr">
        <is>
          <t>375723773:eng</t>
        </is>
      </c>
      <c r="AX3215" t="inlineStr">
        <is>
          <t>6666072</t>
        </is>
      </c>
      <c r="AY3215" t="inlineStr">
        <is>
          <t>991005022679702656</t>
        </is>
      </c>
      <c r="AZ3215" t="inlineStr">
        <is>
          <t>991005022679702656</t>
        </is>
      </c>
      <c r="BA3215" t="inlineStr">
        <is>
          <t>2260212550002656</t>
        </is>
      </c>
      <c r="BB3215" t="inlineStr">
        <is>
          <t>BOOK</t>
        </is>
      </c>
      <c r="BD3215" t="inlineStr">
        <is>
          <t>9780821405666</t>
        </is>
      </c>
      <c r="BE3215" t="inlineStr">
        <is>
          <t>32285001153849</t>
        </is>
      </c>
      <c r="BF3215" t="inlineStr">
        <is>
          <t>893254337</t>
        </is>
      </c>
    </row>
    <row r="3216">
      <c r="A3216" t="inlineStr">
        <is>
          <t>No</t>
        </is>
      </c>
      <c r="B3216" t="inlineStr">
        <is>
          <t>CURAL</t>
        </is>
      </c>
      <c r="C3216" t="inlineStr">
        <is>
          <t>SHELVES</t>
        </is>
      </c>
      <c r="D3216" t="inlineStr">
        <is>
          <t>PR6023.E926 Z67</t>
        </is>
      </c>
      <c r="E3216" t="inlineStr">
        <is>
          <t>0                      PR 6023000E  926                Z  67</t>
        </is>
      </c>
      <c r="F3216" t="inlineStr">
        <is>
          <t>C.S. Lewis / Margaret Patterson Hannay.</t>
        </is>
      </c>
      <c r="H3216" t="inlineStr">
        <is>
          <t>No</t>
        </is>
      </c>
      <c r="I3216" t="inlineStr">
        <is>
          <t>1</t>
        </is>
      </c>
      <c r="J3216" t="inlineStr">
        <is>
          <t>No</t>
        </is>
      </c>
      <c r="K3216" t="inlineStr">
        <is>
          <t>No</t>
        </is>
      </c>
      <c r="L3216" t="inlineStr">
        <is>
          <t>0</t>
        </is>
      </c>
      <c r="M3216" t="inlineStr">
        <is>
          <t>Hannay, Margaret P., 1944-</t>
        </is>
      </c>
      <c r="N3216" t="inlineStr">
        <is>
          <t>New York : Ungar, c1981.</t>
        </is>
      </c>
      <c r="O3216" t="inlineStr">
        <is>
          <t>1981</t>
        </is>
      </c>
      <c r="Q3216" t="inlineStr">
        <is>
          <t>eng</t>
        </is>
      </c>
      <c r="R3216" t="inlineStr">
        <is>
          <t>nyu</t>
        </is>
      </c>
      <c r="S3216" t="inlineStr">
        <is>
          <t>Modern literature monographs</t>
        </is>
      </c>
      <c r="T3216" t="inlineStr">
        <is>
          <t xml:space="preserve">PR </t>
        </is>
      </c>
      <c r="U3216" t="n">
        <v>9</v>
      </c>
      <c r="V3216" t="n">
        <v>9</v>
      </c>
      <c r="W3216" t="inlineStr">
        <is>
          <t>2008-03-31</t>
        </is>
      </c>
      <c r="X3216" t="inlineStr">
        <is>
          <t>2008-03-31</t>
        </is>
      </c>
      <c r="Y3216" t="inlineStr">
        <is>
          <t>1992-07-16</t>
        </is>
      </c>
      <c r="Z3216" t="inlineStr">
        <is>
          <t>1992-07-16</t>
        </is>
      </c>
      <c r="AA3216" t="n">
        <v>1084</v>
      </c>
      <c r="AB3216" t="n">
        <v>991</v>
      </c>
      <c r="AC3216" t="n">
        <v>1006</v>
      </c>
      <c r="AD3216" t="n">
        <v>6</v>
      </c>
      <c r="AE3216" t="n">
        <v>6</v>
      </c>
      <c r="AF3216" t="n">
        <v>28</v>
      </c>
      <c r="AG3216" t="n">
        <v>29</v>
      </c>
      <c r="AH3216" t="n">
        <v>14</v>
      </c>
      <c r="AI3216" t="n">
        <v>15</v>
      </c>
      <c r="AJ3216" t="n">
        <v>4</v>
      </c>
      <c r="AK3216" t="n">
        <v>5</v>
      </c>
      <c r="AL3216" t="n">
        <v>14</v>
      </c>
      <c r="AM3216" t="n">
        <v>14</v>
      </c>
      <c r="AN3216" t="n">
        <v>3</v>
      </c>
      <c r="AO3216" t="n">
        <v>3</v>
      </c>
      <c r="AP3216" t="n">
        <v>0</v>
      </c>
      <c r="AQ3216" t="n">
        <v>0</v>
      </c>
      <c r="AR3216" t="inlineStr">
        <is>
          <t>No</t>
        </is>
      </c>
      <c r="AS3216" t="inlineStr">
        <is>
          <t>Yes</t>
        </is>
      </c>
      <c r="AT3216">
        <f>HYPERLINK("http://catalog.hathitrust.org/Record/000265719","HathiTrust Record")</f>
        <v/>
      </c>
      <c r="AU3216">
        <f>HYPERLINK("https://creighton-primo.hosted.exlibrisgroup.com/primo-explore/search?tab=default_tab&amp;search_scope=EVERYTHING&amp;vid=01CRU&amp;lang=en_US&amp;offset=0&amp;query=any,contains,991005114579702656","Catalog Record")</f>
        <v/>
      </c>
      <c r="AV3216">
        <f>HYPERLINK("http://www.worldcat.org/oclc/7461184","WorldCat Record")</f>
        <v/>
      </c>
      <c r="AW3216" t="inlineStr">
        <is>
          <t>457842:eng</t>
        </is>
      </c>
      <c r="AX3216" t="inlineStr">
        <is>
          <t>7461184</t>
        </is>
      </c>
      <c r="AY3216" t="inlineStr">
        <is>
          <t>991005114579702656</t>
        </is>
      </c>
      <c r="AZ3216" t="inlineStr">
        <is>
          <t>991005114579702656</t>
        </is>
      </c>
      <c r="BA3216" t="inlineStr">
        <is>
          <t>2266043290002656</t>
        </is>
      </c>
      <c r="BB3216" t="inlineStr">
        <is>
          <t>BOOK</t>
        </is>
      </c>
      <c r="BD3216" t="inlineStr">
        <is>
          <t>9780804423410</t>
        </is>
      </c>
      <c r="BE3216" t="inlineStr">
        <is>
          <t>32285001153856</t>
        </is>
      </c>
      <c r="BF3216" t="inlineStr">
        <is>
          <t>893619474</t>
        </is>
      </c>
    </row>
    <row r="3217">
      <c r="A3217" t="inlineStr">
        <is>
          <t>No</t>
        </is>
      </c>
      <c r="B3217" t="inlineStr">
        <is>
          <t>CURAL</t>
        </is>
      </c>
      <c r="C3217" t="inlineStr">
        <is>
          <t>SHELVES</t>
        </is>
      </c>
      <c r="D3217" t="inlineStr">
        <is>
          <t>PR6023.E926 Z674 1985</t>
        </is>
      </c>
      <c r="E3217" t="inlineStr">
        <is>
          <t>0                      PR 6023000E  926                Z  674         1985</t>
        </is>
      </c>
      <c r="F3217" t="inlineStr">
        <is>
          <t>C.S. Lewis : the man and his achievement / by John Peters.</t>
        </is>
      </c>
      <c r="H3217" t="inlineStr">
        <is>
          <t>No</t>
        </is>
      </c>
      <c r="I3217" t="inlineStr">
        <is>
          <t>1</t>
        </is>
      </c>
      <c r="J3217" t="inlineStr">
        <is>
          <t>No</t>
        </is>
      </c>
      <c r="K3217" t="inlineStr">
        <is>
          <t>No</t>
        </is>
      </c>
      <c r="L3217" t="inlineStr">
        <is>
          <t>0</t>
        </is>
      </c>
      <c r="M3217" t="inlineStr">
        <is>
          <t>Peters, John.</t>
        </is>
      </c>
      <c r="N3217" t="inlineStr">
        <is>
          <t>Exeter : Paternoster, c1985.</t>
        </is>
      </c>
      <c r="O3217" t="inlineStr">
        <is>
          <t>1985</t>
        </is>
      </c>
      <c r="Q3217" t="inlineStr">
        <is>
          <t>eng</t>
        </is>
      </c>
      <c r="R3217" t="inlineStr">
        <is>
          <t>enk</t>
        </is>
      </c>
      <c r="T3217" t="inlineStr">
        <is>
          <t xml:space="preserve">PR </t>
        </is>
      </c>
      <c r="U3217" t="n">
        <v>6</v>
      </c>
      <c r="V3217" t="n">
        <v>6</v>
      </c>
      <c r="W3217" t="inlineStr">
        <is>
          <t>2003-04-25</t>
        </is>
      </c>
      <c r="X3217" t="inlineStr">
        <is>
          <t>2003-04-25</t>
        </is>
      </c>
      <c r="Y3217" t="inlineStr">
        <is>
          <t>1990-08-08</t>
        </is>
      </c>
      <c r="Z3217" t="inlineStr">
        <is>
          <t>1990-08-08</t>
        </is>
      </c>
      <c r="AA3217" t="n">
        <v>218</v>
      </c>
      <c r="AB3217" t="n">
        <v>134</v>
      </c>
      <c r="AC3217" t="n">
        <v>136</v>
      </c>
      <c r="AD3217" t="n">
        <v>2</v>
      </c>
      <c r="AE3217" t="n">
        <v>2</v>
      </c>
      <c r="AF3217" t="n">
        <v>6</v>
      </c>
      <c r="AG3217" t="n">
        <v>6</v>
      </c>
      <c r="AH3217" t="n">
        <v>3</v>
      </c>
      <c r="AI3217" t="n">
        <v>3</v>
      </c>
      <c r="AJ3217" t="n">
        <v>0</v>
      </c>
      <c r="AK3217" t="n">
        <v>0</v>
      </c>
      <c r="AL3217" t="n">
        <v>2</v>
      </c>
      <c r="AM3217" t="n">
        <v>2</v>
      </c>
      <c r="AN3217" t="n">
        <v>1</v>
      </c>
      <c r="AO3217" t="n">
        <v>1</v>
      </c>
      <c r="AP3217" t="n">
        <v>0</v>
      </c>
      <c r="AQ3217" t="n">
        <v>0</v>
      </c>
      <c r="AR3217" t="inlineStr">
        <is>
          <t>No</t>
        </is>
      </c>
      <c r="AS3217" t="inlineStr">
        <is>
          <t>Yes</t>
        </is>
      </c>
      <c r="AT3217">
        <f>HYPERLINK("http://catalog.hathitrust.org/Record/000388300","HathiTrust Record")</f>
        <v/>
      </c>
      <c r="AU3217">
        <f>HYPERLINK("https://creighton-primo.hosted.exlibrisgroup.com/primo-explore/search?tab=default_tab&amp;search_scope=EVERYTHING&amp;vid=01CRU&amp;lang=en_US&amp;offset=0&amp;query=any,contains,991000694359702656","Catalog Record")</f>
        <v/>
      </c>
      <c r="AV3217">
        <f>HYPERLINK("http://www.worldcat.org/oclc/12509018","WorldCat Record")</f>
        <v/>
      </c>
      <c r="AW3217" t="inlineStr">
        <is>
          <t>324637277:eng</t>
        </is>
      </c>
      <c r="AX3217" t="inlineStr">
        <is>
          <t>12509018</t>
        </is>
      </c>
      <c r="AY3217" t="inlineStr">
        <is>
          <t>991000694359702656</t>
        </is>
      </c>
      <c r="AZ3217" t="inlineStr">
        <is>
          <t>991000694359702656</t>
        </is>
      </c>
      <c r="BA3217" t="inlineStr">
        <is>
          <t>2259844200002656</t>
        </is>
      </c>
      <c r="BB3217" t="inlineStr">
        <is>
          <t>BOOK</t>
        </is>
      </c>
      <c r="BD3217" t="inlineStr">
        <is>
          <t>9780853643654</t>
        </is>
      </c>
      <c r="BE3217" t="inlineStr">
        <is>
          <t>32285000270982</t>
        </is>
      </c>
      <c r="BF3217" t="inlineStr">
        <is>
          <t>893345891</t>
        </is>
      </c>
    </row>
    <row r="3218">
      <c r="A3218" t="inlineStr">
        <is>
          <t>No</t>
        </is>
      </c>
      <c r="B3218" t="inlineStr">
        <is>
          <t>CURAL</t>
        </is>
      </c>
      <c r="C3218" t="inlineStr">
        <is>
          <t>SHELVES</t>
        </is>
      </c>
      <c r="D3218" t="inlineStr">
        <is>
          <t>PR6023.E926 Z675 1991</t>
        </is>
      </c>
      <c r="E3218" t="inlineStr">
        <is>
          <t>0                      PR 6023000E  926                Z  675         1991</t>
        </is>
      </c>
      <c r="F3218" t="inlineStr">
        <is>
          <t>The skeleton in the wardrobe : C.S. Lewis's fantasies : a phenomenological study / David Holbrook.</t>
        </is>
      </c>
      <c r="H3218" t="inlineStr">
        <is>
          <t>No</t>
        </is>
      </c>
      <c r="I3218" t="inlineStr">
        <is>
          <t>1</t>
        </is>
      </c>
      <c r="J3218" t="inlineStr">
        <is>
          <t>No</t>
        </is>
      </c>
      <c r="K3218" t="inlineStr">
        <is>
          <t>No</t>
        </is>
      </c>
      <c r="L3218" t="inlineStr">
        <is>
          <t>0</t>
        </is>
      </c>
      <c r="M3218" t="inlineStr">
        <is>
          <t>Holbrook, David, 1923-2011.</t>
        </is>
      </c>
      <c r="N3218" t="inlineStr">
        <is>
          <t>Lewisburg : Bucknell University Press ; London ; Cranbury, NJ : Associated University Presses, c1991.</t>
        </is>
      </c>
      <c r="O3218" t="inlineStr">
        <is>
          <t>1991</t>
        </is>
      </c>
      <c r="Q3218" t="inlineStr">
        <is>
          <t>eng</t>
        </is>
      </c>
      <c r="R3218" t="inlineStr">
        <is>
          <t>pau</t>
        </is>
      </c>
      <c r="T3218" t="inlineStr">
        <is>
          <t xml:space="preserve">PR </t>
        </is>
      </c>
      <c r="U3218" t="n">
        <v>6</v>
      </c>
      <c r="V3218" t="n">
        <v>6</v>
      </c>
      <c r="W3218" t="inlineStr">
        <is>
          <t>1993-09-18</t>
        </is>
      </c>
      <c r="X3218" t="inlineStr">
        <is>
          <t>1993-09-18</t>
        </is>
      </c>
      <c r="Y3218" t="inlineStr">
        <is>
          <t>1991-04-29</t>
        </is>
      </c>
      <c r="Z3218" t="inlineStr">
        <is>
          <t>1991-04-29</t>
        </is>
      </c>
      <c r="AA3218" t="n">
        <v>521</v>
      </c>
      <c r="AB3218" t="n">
        <v>421</v>
      </c>
      <c r="AC3218" t="n">
        <v>424</v>
      </c>
      <c r="AD3218" t="n">
        <v>5</v>
      </c>
      <c r="AE3218" t="n">
        <v>5</v>
      </c>
      <c r="AF3218" t="n">
        <v>30</v>
      </c>
      <c r="AG3218" t="n">
        <v>30</v>
      </c>
      <c r="AH3218" t="n">
        <v>11</v>
      </c>
      <c r="AI3218" t="n">
        <v>11</v>
      </c>
      <c r="AJ3218" t="n">
        <v>5</v>
      </c>
      <c r="AK3218" t="n">
        <v>5</v>
      </c>
      <c r="AL3218" t="n">
        <v>17</v>
      </c>
      <c r="AM3218" t="n">
        <v>17</v>
      </c>
      <c r="AN3218" t="n">
        <v>4</v>
      </c>
      <c r="AO3218" t="n">
        <v>4</v>
      </c>
      <c r="AP3218" t="n">
        <v>0</v>
      </c>
      <c r="AQ3218" t="n">
        <v>0</v>
      </c>
      <c r="AR3218" t="inlineStr">
        <is>
          <t>No</t>
        </is>
      </c>
      <c r="AS3218" t="inlineStr">
        <is>
          <t>Yes</t>
        </is>
      </c>
      <c r="AT3218">
        <f>HYPERLINK("http://catalog.hathitrust.org/Record/002449980","HathiTrust Record")</f>
        <v/>
      </c>
      <c r="AU3218">
        <f>HYPERLINK("https://creighton-primo.hosted.exlibrisgroup.com/primo-explore/search?tab=default_tab&amp;search_scope=EVERYTHING&amp;vid=01CRU&amp;lang=en_US&amp;offset=0&amp;query=any,contains,991001680179702656","Catalog Record")</f>
        <v/>
      </c>
      <c r="AV3218">
        <f>HYPERLINK("http://www.worldcat.org/oclc/21337493","WorldCat Record")</f>
        <v/>
      </c>
      <c r="AW3218" t="inlineStr">
        <is>
          <t>347521283:eng</t>
        </is>
      </c>
      <c r="AX3218" t="inlineStr">
        <is>
          <t>21337493</t>
        </is>
      </c>
      <c r="AY3218" t="inlineStr">
        <is>
          <t>991001680179702656</t>
        </is>
      </c>
      <c r="AZ3218" t="inlineStr">
        <is>
          <t>991001680179702656</t>
        </is>
      </c>
      <c r="BA3218" t="inlineStr">
        <is>
          <t>2263073580002656</t>
        </is>
      </c>
      <c r="BB3218" t="inlineStr">
        <is>
          <t>BOOK</t>
        </is>
      </c>
      <c r="BD3218" t="inlineStr">
        <is>
          <t>9780838751831</t>
        </is>
      </c>
      <c r="BE3218" t="inlineStr">
        <is>
          <t>32285000569367</t>
        </is>
      </c>
      <c r="BF3218" t="inlineStr">
        <is>
          <t>893803801</t>
        </is>
      </c>
    </row>
    <row r="3219">
      <c r="A3219" t="inlineStr">
        <is>
          <t>No</t>
        </is>
      </c>
      <c r="B3219" t="inlineStr">
        <is>
          <t>CURAL</t>
        </is>
      </c>
      <c r="C3219" t="inlineStr">
        <is>
          <t>SHELVES</t>
        </is>
      </c>
      <c r="D3219" t="inlineStr">
        <is>
          <t>PR6023.E926 Z69 1990</t>
        </is>
      </c>
      <c r="E3219" t="inlineStr">
        <is>
          <t>0                      PR 6023000E  926                Z  69          1990</t>
        </is>
      </c>
      <c r="F3219" t="inlineStr">
        <is>
          <t>C.S. Lewis : man of letters : a reading of his fiction / by Thomas Howard.</t>
        </is>
      </c>
      <c r="H3219" t="inlineStr">
        <is>
          <t>No</t>
        </is>
      </c>
      <c r="I3219" t="inlineStr">
        <is>
          <t>1</t>
        </is>
      </c>
      <c r="J3219" t="inlineStr">
        <is>
          <t>No</t>
        </is>
      </c>
      <c r="K3219" t="inlineStr">
        <is>
          <t>Yes</t>
        </is>
      </c>
      <c r="L3219" t="inlineStr">
        <is>
          <t>0</t>
        </is>
      </c>
      <c r="M3219" t="inlineStr">
        <is>
          <t>Howard, Thomas.</t>
        </is>
      </c>
      <c r="N3219" t="inlineStr">
        <is>
          <t>San Francisco : Ignatius Press, [1990], c1987.</t>
        </is>
      </c>
      <c r="O3219" t="inlineStr">
        <is>
          <t>1990</t>
        </is>
      </c>
      <c r="Q3219" t="inlineStr">
        <is>
          <t>eng</t>
        </is>
      </c>
      <c r="R3219" t="inlineStr">
        <is>
          <t>cau</t>
        </is>
      </c>
      <c r="T3219" t="inlineStr">
        <is>
          <t xml:space="preserve">PR </t>
        </is>
      </c>
      <c r="U3219" t="n">
        <v>9</v>
      </c>
      <c r="V3219" t="n">
        <v>9</v>
      </c>
      <c r="W3219" t="inlineStr">
        <is>
          <t>2007-06-25</t>
        </is>
      </c>
      <c r="X3219" t="inlineStr">
        <is>
          <t>2007-06-25</t>
        </is>
      </c>
      <c r="Y3219" t="inlineStr">
        <is>
          <t>1991-02-22</t>
        </is>
      </c>
      <c r="Z3219" t="inlineStr">
        <is>
          <t>1991-02-22</t>
        </is>
      </c>
      <c r="AA3219" t="n">
        <v>42</v>
      </c>
      <c r="AB3219" t="n">
        <v>41</v>
      </c>
      <c r="AC3219" t="n">
        <v>229</v>
      </c>
      <c r="AD3219" t="n">
        <v>2</v>
      </c>
      <c r="AE3219" t="n">
        <v>3</v>
      </c>
      <c r="AF3219" t="n">
        <v>5</v>
      </c>
      <c r="AG3219" t="n">
        <v>20</v>
      </c>
      <c r="AH3219" t="n">
        <v>0</v>
      </c>
      <c r="AI3219" t="n">
        <v>10</v>
      </c>
      <c r="AJ3219" t="n">
        <v>1</v>
      </c>
      <c r="AK3219" t="n">
        <v>2</v>
      </c>
      <c r="AL3219" t="n">
        <v>3</v>
      </c>
      <c r="AM3219" t="n">
        <v>12</v>
      </c>
      <c r="AN3219" t="n">
        <v>1</v>
      </c>
      <c r="AO3219" t="n">
        <v>1</v>
      </c>
      <c r="AP3219" t="n">
        <v>0</v>
      </c>
      <c r="AQ3219" t="n">
        <v>0</v>
      </c>
      <c r="AR3219" t="inlineStr">
        <is>
          <t>No</t>
        </is>
      </c>
      <c r="AS3219" t="inlineStr">
        <is>
          <t>No</t>
        </is>
      </c>
      <c r="AU3219">
        <f>HYPERLINK("https://creighton-primo.hosted.exlibrisgroup.com/primo-explore/search?tab=default_tab&amp;search_scope=EVERYTHING&amp;vid=01CRU&amp;lang=en_US&amp;offset=0&amp;query=any,contains,991001785489702656","Catalog Record")</f>
        <v/>
      </c>
      <c r="AV3219">
        <f>HYPERLINK("http://www.worldcat.org/oclc/22502177","WorldCat Record")</f>
        <v/>
      </c>
      <c r="AW3219" t="inlineStr">
        <is>
          <t>57857406:eng</t>
        </is>
      </c>
      <c r="AX3219" t="inlineStr">
        <is>
          <t>22502177</t>
        </is>
      </c>
      <c r="AY3219" t="inlineStr">
        <is>
          <t>991001785489702656</t>
        </is>
      </c>
      <c r="AZ3219" t="inlineStr">
        <is>
          <t>991001785489702656</t>
        </is>
      </c>
      <c r="BA3219" t="inlineStr">
        <is>
          <t>2262515080002656</t>
        </is>
      </c>
      <c r="BB3219" t="inlineStr">
        <is>
          <t>BOOK</t>
        </is>
      </c>
      <c r="BD3219" t="inlineStr">
        <is>
          <t>9780898703054</t>
        </is>
      </c>
      <c r="BE3219" t="inlineStr">
        <is>
          <t>32285000492701</t>
        </is>
      </c>
      <c r="BF3219" t="inlineStr">
        <is>
          <t>893408355</t>
        </is>
      </c>
    </row>
    <row r="3220">
      <c r="A3220" t="inlineStr">
        <is>
          <t>No</t>
        </is>
      </c>
      <c r="B3220" t="inlineStr">
        <is>
          <t>CURAL</t>
        </is>
      </c>
      <c r="C3220" t="inlineStr">
        <is>
          <t>SHELVES</t>
        </is>
      </c>
      <c r="D3220" t="inlineStr">
        <is>
          <t>PR6023.E926 Z78</t>
        </is>
      </c>
      <c r="E3220" t="inlineStr">
        <is>
          <t>0                      PR 6023000E  926                Z  78</t>
        </is>
      </c>
      <c r="F3220" t="inlineStr">
        <is>
          <t>The Lion of Judah in never-never land : the theology of C. S. Lewis expressed in his fantasies for children.</t>
        </is>
      </c>
      <c r="H3220" t="inlineStr">
        <is>
          <t>No</t>
        </is>
      </c>
      <c r="I3220" t="inlineStr">
        <is>
          <t>1</t>
        </is>
      </c>
      <c r="J3220" t="inlineStr">
        <is>
          <t>No</t>
        </is>
      </c>
      <c r="K3220" t="inlineStr">
        <is>
          <t>No</t>
        </is>
      </c>
      <c r="L3220" t="inlineStr">
        <is>
          <t>0</t>
        </is>
      </c>
      <c r="M3220" t="inlineStr">
        <is>
          <t>Lindskoog, Kathryn Ann.</t>
        </is>
      </c>
      <c r="N3220" t="inlineStr">
        <is>
          <t>Grand Rapids : Eerdmans, [1973]</t>
        </is>
      </c>
      <c r="O3220" t="inlineStr">
        <is>
          <t>1973</t>
        </is>
      </c>
      <c r="Q3220" t="inlineStr">
        <is>
          <t>eng</t>
        </is>
      </c>
      <c r="R3220" t="inlineStr">
        <is>
          <t>miu</t>
        </is>
      </c>
      <c r="T3220" t="inlineStr">
        <is>
          <t xml:space="preserve">PR </t>
        </is>
      </c>
      <c r="U3220" t="n">
        <v>2</v>
      </c>
      <c r="V3220" t="n">
        <v>2</v>
      </c>
      <c r="W3220" t="inlineStr">
        <is>
          <t>2005-04-06</t>
        </is>
      </c>
      <c r="X3220" t="inlineStr">
        <is>
          <t>2005-04-06</t>
        </is>
      </c>
      <c r="Y3220" t="inlineStr">
        <is>
          <t>1993-10-13</t>
        </is>
      </c>
      <c r="Z3220" t="inlineStr">
        <is>
          <t>1993-10-13</t>
        </is>
      </c>
      <c r="AA3220" t="n">
        <v>631</v>
      </c>
      <c r="AB3220" t="n">
        <v>568</v>
      </c>
      <c r="AC3220" t="n">
        <v>570</v>
      </c>
      <c r="AD3220" t="n">
        <v>4</v>
      </c>
      <c r="AE3220" t="n">
        <v>4</v>
      </c>
      <c r="AF3220" t="n">
        <v>35</v>
      </c>
      <c r="AG3220" t="n">
        <v>35</v>
      </c>
      <c r="AH3220" t="n">
        <v>16</v>
      </c>
      <c r="AI3220" t="n">
        <v>16</v>
      </c>
      <c r="AJ3220" t="n">
        <v>9</v>
      </c>
      <c r="AK3220" t="n">
        <v>9</v>
      </c>
      <c r="AL3220" t="n">
        <v>16</v>
      </c>
      <c r="AM3220" t="n">
        <v>16</v>
      </c>
      <c r="AN3220" t="n">
        <v>3</v>
      </c>
      <c r="AO3220" t="n">
        <v>3</v>
      </c>
      <c r="AP3220" t="n">
        <v>0</v>
      </c>
      <c r="AQ3220" t="n">
        <v>0</v>
      </c>
      <c r="AR3220" t="inlineStr">
        <is>
          <t>No</t>
        </is>
      </c>
      <c r="AS3220" t="inlineStr">
        <is>
          <t>No</t>
        </is>
      </c>
      <c r="AU3220">
        <f>HYPERLINK("https://creighton-primo.hosted.exlibrisgroup.com/primo-explore/search?tab=default_tab&amp;search_scope=EVERYTHING&amp;vid=01CRU&amp;lang=en_US&amp;offset=0&amp;query=any,contains,991003155849702656","Catalog Record")</f>
        <v/>
      </c>
      <c r="AV3220">
        <f>HYPERLINK("http://www.worldcat.org/oclc/695251","WorldCat Record")</f>
        <v/>
      </c>
      <c r="AW3220" t="inlineStr">
        <is>
          <t>209443266:eng</t>
        </is>
      </c>
      <c r="AX3220" t="inlineStr">
        <is>
          <t>695251</t>
        </is>
      </c>
      <c r="AY3220" t="inlineStr">
        <is>
          <t>991003155849702656</t>
        </is>
      </c>
      <c r="AZ3220" t="inlineStr">
        <is>
          <t>991003155849702656</t>
        </is>
      </c>
      <c r="BA3220" t="inlineStr">
        <is>
          <t>2267766790002656</t>
        </is>
      </c>
      <c r="BB3220" t="inlineStr">
        <is>
          <t>BOOK</t>
        </is>
      </c>
      <c r="BD3220" t="inlineStr">
        <is>
          <t>9780802814951</t>
        </is>
      </c>
      <c r="BE3220" t="inlineStr">
        <is>
          <t>32285001791606</t>
        </is>
      </c>
      <c r="BF3220" t="inlineStr">
        <is>
          <t>893711106</t>
        </is>
      </c>
    </row>
    <row r="3221">
      <c r="A3221" t="inlineStr">
        <is>
          <t>No</t>
        </is>
      </c>
      <c r="B3221" t="inlineStr">
        <is>
          <t>CURAL</t>
        </is>
      </c>
      <c r="C3221" t="inlineStr">
        <is>
          <t>SHELVES</t>
        </is>
      </c>
      <c r="D3221" t="inlineStr">
        <is>
          <t>PR6023.E926 Z795</t>
        </is>
      </c>
      <c r="E3221" t="inlineStr">
        <is>
          <t>0                      PR 6023000E  926                Z  795</t>
        </is>
      </c>
      <c r="F3221" t="inlineStr">
        <is>
          <t>The taste for the other : the social and ethical thought of C. S. Lewis / by Gilbert Meilaender.</t>
        </is>
      </c>
      <c r="H3221" t="inlineStr">
        <is>
          <t>No</t>
        </is>
      </c>
      <c r="I3221" t="inlineStr">
        <is>
          <t>1</t>
        </is>
      </c>
      <c r="J3221" t="inlineStr">
        <is>
          <t>No</t>
        </is>
      </c>
      <c r="K3221" t="inlineStr">
        <is>
          <t>No</t>
        </is>
      </c>
      <c r="L3221" t="inlineStr">
        <is>
          <t>0</t>
        </is>
      </c>
      <c r="M3221" t="inlineStr">
        <is>
          <t>Meilaender, Gilbert, 1946-</t>
        </is>
      </c>
      <c r="N3221" t="inlineStr">
        <is>
          <t>Grand Rapids : Eerdmans, c1978.</t>
        </is>
      </c>
      <c r="O3221" t="inlineStr">
        <is>
          <t>1978</t>
        </is>
      </c>
      <c r="Q3221" t="inlineStr">
        <is>
          <t>eng</t>
        </is>
      </c>
      <c r="R3221" t="inlineStr">
        <is>
          <t>miu</t>
        </is>
      </c>
      <c r="T3221" t="inlineStr">
        <is>
          <t xml:space="preserve">PR </t>
        </is>
      </c>
      <c r="U3221" t="n">
        <v>4</v>
      </c>
      <c r="V3221" t="n">
        <v>4</v>
      </c>
      <c r="W3221" t="inlineStr">
        <is>
          <t>2005-06-02</t>
        </is>
      </c>
      <c r="X3221" t="inlineStr">
        <is>
          <t>2005-06-02</t>
        </is>
      </c>
      <c r="Y3221" t="inlineStr">
        <is>
          <t>1990-04-04</t>
        </is>
      </c>
      <c r="Z3221" t="inlineStr">
        <is>
          <t>1990-04-04</t>
        </is>
      </c>
      <c r="AA3221" t="n">
        <v>787</v>
      </c>
      <c r="AB3221" t="n">
        <v>688</v>
      </c>
      <c r="AC3221" t="n">
        <v>763</v>
      </c>
      <c r="AD3221" t="n">
        <v>5</v>
      </c>
      <c r="AE3221" t="n">
        <v>5</v>
      </c>
      <c r="AF3221" t="n">
        <v>32</v>
      </c>
      <c r="AG3221" t="n">
        <v>35</v>
      </c>
      <c r="AH3221" t="n">
        <v>10</v>
      </c>
      <c r="AI3221" t="n">
        <v>12</v>
      </c>
      <c r="AJ3221" t="n">
        <v>8</v>
      </c>
      <c r="AK3221" t="n">
        <v>8</v>
      </c>
      <c r="AL3221" t="n">
        <v>15</v>
      </c>
      <c r="AM3221" t="n">
        <v>17</v>
      </c>
      <c r="AN3221" t="n">
        <v>4</v>
      </c>
      <c r="AO3221" t="n">
        <v>4</v>
      </c>
      <c r="AP3221" t="n">
        <v>0</v>
      </c>
      <c r="AQ3221" t="n">
        <v>0</v>
      </c>
      <c r="AR3221" t="inlineStr">
        <is>
          <t>No</t>
        </is>
      </c>
      <c r="AS3221" t="inlineStr">
        <is>
          <t>Yes</t>
        </is>
      </c>
      <c r="AT3221">
        <f>HYPERLINK("http://catalog.hathitrust.org/Record/000177820","HathiTrust Record")</f>
        <v/>
      </c>
      <c r="AU3221">
        <f>HYPERLINK("https://creighton-primo.hosted.exlibrisgroup.com/primo-explore/search?tab=default_tab&amp;search_scope=EVERYTHING&amp;vid=01CRU&amp;lang=en_US&amp;offset=0&amp;query=any,contains,991004573199702656","Catalog Record")</f>
        <v/>
      </c>
      <c r="AV3221">
        <f>HYPERLINK("http://www.worldcat.org/oclc/4036677","WorldCat Record")</f>
        <v/>
      </c>
      <c r="AW3221" t="inlineStr">
        <is>
          <t>784433:eng</t>
        </is>
      </c>
      <c r="AX3221" t="inlineStr">
        <is>
          <t>4036677</t>
        </is>
      </c>
      <c r="AY3221" t="inlineStr">
        <is>
          <t>991004573199702656</t>
        </is>
      </c>
      <c r="AZ3221" t="inlineStr">
        <is>
          <t>991004573199702656</t>
        </is>
      </c>
      <c r="BA3221" t="inlineStr">
        <is>
          <t>2269539510002656</t>
        </is>
      </c>
      <c r="BB3221" t="inlineStr">
        <is>
          <t>BOOK</t>
        </is>
      </c>
      <c r="BD3221" t="inlineStr">
        <is>
          <t>9780802817518</t>
        </is>
      </c>
      <c r="BE3221" t="inlineStr">
        <is>
          <t>32285000109883</t>
        </is>
      </c>
      <c r="BF3221" t="inlineStr">
        <is>
          <t>893706578</t>
        </is>
      </c>
    </row>
    <row r="3222">
      <c r="A3222" t="inlineStr">
        <is>
          <t>No</t>
        </is>
      </c>
      <c r="B3222" t="inlineStr">
        <is>
          <t>CURAL</t>
        </is>
      </c>
      <c r="C3222" t="inlineStr">
        <is>
          <t>SHELVES</t>
        </is>
      </c>
      <c r="D3222" t="inlineStr">
        <is>
          <t>PR6023.E926 Z867 2000</t>
        </is>
      </c>
      <c r="E3222" t="inlineStr">
        <is>
          <t>0                      PR 6023000E  926                Z  867         2000</t>
        </is>
      </c>
      <c r="F3222" t="inlineStr">
        <is>
          <t>A far-off country : a guide to C.S. Lewis's fantasy fiction / Martha C. Sammons.</t>
        </is>
      </c>
      <c r="H3222" t="inlineStr">
        <is>
          <t>No</t>
        </is>
      </c>
      <c r="I3222" t="inlineStr">
        <is>
          <t>1</t>
        </is>
      </c>
      <c r="J3222" t="inlineStr">
        <is>
          <t>No</t>
        </is>
      </c>
      <c r="K3222" t="inlineStr">
        <is>
          <t>No</t>
        </is>
      </c>
      <c r="L3222" t="inlineStr">
        <is>
          <t>0</t>
        </is>
      </c>
      <c r="M3222" t="inlineStr">
        <is>
          <t>Sammons, Martha C., 1949-</t>
        </is>
      </c>
      <c r="N3222" t="inlineStr">
        <is>
          <t>Lanham, Md. : University Press of America, c2000.</t>
        </is>
      </c>
      <c r="O3222" t="inlineStr">
        <is>
          <t>2000</t>
        </is>
      </c>
      <c r="Q3222" t="inlineStr">
        <is>
          <t>eng</t>
        </is>
      </c>
      <c r="R3222" t="inlineStr">
        <is>
          <t>mdu</t>
        </is>
      </c>
      <c r="T3222" t="inlineStr">
        <is>
          <t xml:space="preserve">PR </t>
        </is>
      </c>
      <c r="U3222" t="n">
        <v>3</v>
      </c>
      <c r="V3222" t="n">
        <v>3</v>
      </c>
      <c r="W3222" t="inlineStr">
        <is>
          <t>2006-03-31</t>
        </is>
      </c>
      <c r="X3222" t="inlineStr">
        <is>
          <t>2006-03-31</t>
        </is>
      </c>
      <c r="Y3222" t="inlineStr">
        <is>
          <t>2001-03-01</t>
        </is>
      </c>
      <c r="Z3222" t="inlineStr">
        <is>
          <t>2001-03-01</t>
        </is>
      </c>
      <c r="AA3222" t="n">
        <v>270</v>
      </c>
      <c r="AB3222" t="n">
        <v>241</v>
      </c>
      <c r="AC3222" t="n">
        <v>243</v>
      </c>
      <c r="AD3222" t="n">
        <v>3</v>
      </c>
      <c r="AE3222" t="n">
        <v>3</v>
      </c>
      <c r="AF3222" t="n">
        <v>15</v>
      </c>
      <c r="AG3222" t="n">
        <v>15</v>
      </c>
      <c r="AH3222" t="n">
        <v>5</v>
      </c>
      <c r="AI3222" t="n">
        <v>5</v>
      </c>
      <c r="AJ3222" t="n">
        <v>2</v>
      </c>
      <c r="AK3222" t="n">
        <v>2</v>
      </c>
      <c r="AL3222" t="n">
        <v>10</v>
      </c>
      <c r="AM3222" t="n">
        <v>10</v>
      </c>
      <c r="AN3222" t="n">
        <v>2</v>
      </c>
      <c r="AO3222" t="n">
        <v>2</v>
      </c>
      <c r="AP3222" t="n">
        <v>0</v>
      </c>
      <c r="AQ3222" t="n">
        <v>0</v>
      </c>
      <c r="AR3222" t="inlineStr">
        <is>
          <t>No</t>
        </is>
      </c>
      <c r="AS3222" t="inlineStr">
        <is>
          <t>Yes</t>
        </is>
      </c>
      <c r="AT3222">
        <f>HYPERLINK("http://catalog.hathitrust.org/Record/004081664","HathiTrust Record")</f>
        <v/>
      </c>
      <c r="AU3222">
        <f>HYPERLINK("https://creighton-primo.hosted.exlibrisgroup.com/primo-explore/search?tab=default_tab&amp;search_scope=EVERYTHING&amp;vid=01CRU&amp;lang=en_US&amp;offset=0&amp;query=any,contains,991003470549702656","Catalog Record")</f>
        <v/>
      </c>
      <c r="AV3222">
        <f>HYPERLINK("http://www.worldcat.org/oclc/42772258","WorldCat Record")</f>
        <v/>
      </c>
      <c r="AW3222" t="inlineStr">
        <is>
          <t>372226805:eng</t>
        </is>
      </c>
      <c r="AX3222" t="inlineStr">
        <is>
          <t>42772258</t>
        </is>
      </c>
      <c r="AY3222" t="inlineStr">
        <is>
          <t>991003470549702656</t>
        </is>
      </c>
      <c r="AZ3222" t="inlineStr">
        <is>
          <t>991003470549702656</t>
        </is>
      </c>
      <c r="BA3222" t="inlineStr">
        <is>
          <t>2272621980002656</t>
        </is>
      </c>
      <c r="BB3222" t="inlineStr">
        <is>
          <t>BOOK</t>
        </is>
      </c>
      <c r="BD3222" t="inlineStr">
        <is>
          <t>9780761815860</t>
        </is>
      </c>
      <c r="BE3222" t="inlineStr">
        <is>
          <t>32285004298484</t>
        </is>
      </c>
      <c r="BF3222" t="inlineStr">
        <is>
          <t>893598604</t>
        </is>
      </c>
    </row>
    <row r="3223">
      <c r="A3223" t="inlineStr">
        <is>
          <t>No</t>
        </is>
      </c>
      <c r="B3223" t="inlineStr">
        <is>
          <t>CURAL</t>
        </is>
      </c>
      <c r="C3223" t="inlineStr">
        <is>
          <t>SHELVES</t>
        </is>
      </c>
      <c r="D3223" t="inlineStr">
        <is>
          <t>PR6023.E926 Z92 1988</t>
        </is>
      </c>
      <c r="E3223" t="inlineStr">
        <is>
          <t>0                      PR 6023000E  926                Z  92          1988</t>
        </is>
      </c>
      <c r="F3223" t="inlineStr">
        <is>
          <t>The Taste of the pineapple : essays on C.S. Lewis as reader, critic, and imaginative writer / edited by Bruce L. Edwards ; preface by Owen Barfield.</t>
        </is>
      </c>
      <c r="H3223" t="inlineStr">
        <is>
          <t>No</t>
        </is>
      </c>
      <c r="I3223" t="inlineStr">
        <is>
          <t>1</t>
        </is>
      </c>
      <c r="J3223" t="inlineStr">
        <is>
          <t>No</t>
        </is>
      </c>
      <c r="K3223" t="inlineStr">
        <is>
          <t>No</t>
        </is>
      </c>
      <c r="L3223" t="inlineStr">
        <is>
          <t>0</t>
        </is>
      </c>
      <c r="N3223" t="inlineStr">
        <is>
          <t>Bowling Green, Ohio : Bowling Green State University Popular Press, c1988.</t>
        </is>
      </c>
      <c r="O3223" t="inlineStr">
        <is>
          <t>1988</t>
        </is>
      </c>
      <c r="Q3223" t="inlineStr">
        <is>
          <t>eng</t>
        </is>
      </c>
      <c r="R3223" t="inlineStr">
        <is>
          <t>ohu</t>
        </is>
      </c>
      <c r="T3223" t="inlineStr">
        <is>
          <t xml:space="preserve">PR </t>
        </is>
      </c>
      <c r="U3223" t="n">
        <v>1</v>
      </c>
      <c r="V3223" t="n">
        <v>1</v>
      </c>
      <c r="W3223" t="inlineStr">
        <is>
          <t>2003-04-25</t>
        </is>
      </c>
      <c r="X3223" t="inlineStr">
        <is>
          <t>2003-04-25</t>
        </is>
      </c>
      <c r="Y3223" t="inlineStr">
        <is>
          <t>1992-07-16</t>
        </is>
      </c>
      <c r="Z3223" t="inlineStr">
        <is>
          <t>1992-07-16</t>
        </is>
      </c>
      <c r="AA3223" t="n">
        <v>445</v>
      </c>
      <c r="AB3223" t="n">
        <v>388</v>
      </c>
      <c r="AC3223" t="n">
        <v>390</v>
      </c>
      <c r="AD3223" t="n">
        <v>4</v>
      </c>
      <c r="AE3223" t="n">
        <v>4</v>
      </c>
      <c r="AF3223" t="n">
        <v>22</v>
      </c>
      <c r="AG3223" t="n">
        <v>22</v>
      </c>
      <c r="AH3223" t="n">
        <v>9</v>
      </c>
      <c r="AI3223" t="n">
        <v>9</v>
      </c>
      <c r="AJ3223" t="n">
        <v>6</v>
      </c>
      <c r="AK3223" t="n">
        <v>6</v>
      </c>
      <c r="AL3223" t="n">
        <v>10</v>
      </c>
      <c r="AM3223" t="n">
        <v>10</v>
      </c>
      <c r="AN3223" t="n">
        <v>3</v>
      </c>
      <c r="AO3223" t="n">
        <v>3</v>
      </c>
      <c r="AP3223" t="n">
        <v>0</v>
      </c>
      <c r="AQ3223" t="n">
        <v>0</v>
      </c>
      <c r="AR3223" t="inlineStr">
        <is>
          <t>No</t>
        </is>
      </c>
      <c r="AS3223" t="inlineStr">
        <is>
          <t>Yes</t>
        </is>
      </c>
      <c r="AT3223">
        <f>HYPERLINK("http://catalog.hathitrust.org/Record/000947996","HathiTrust Record")</f>
        <v/>
      </c>
      <c r="AU3223">
        <f>HYPERLINK("https://creighton-primo.hosted.exlibrisgroup.com/primo-explore/search?tab=default_tab&amp;search_scope=EVERYTHING&amp;vid=01CRU&amp;lang=en_US&amp;offset=0&amp;query=any,contains,991001322249702656","Catalog Record")</f>
        <v/>
      </c>
      <c r="AV3223">
        <f>HYPERLINK("http://www.worldcat.org/oclc/18254439","WorldCat Record")</f>
        <v/>
      </c>
      <c r="AW3223" t="inlineStr">
        <is>
          <t>1055571415:eng</t>
        </is>
      </c>
      <c r="AX3223" t="inlineStr">
        <is>
          <t>18254439</t>
        </is>
      </c>
      <c r="AY3223" t="inlineStr">
        <is>
          <t>991001322249702656</t>
        </is>
      </c>
      <c r="AZ3223" t="inlineStr">
        <is>
          <t>991001322249702656</t>
        </is>
      </c>
      <c r="BA3223" t="inlineStr">
        <is>
          <t>2258537390002656</t>
        </is>
      </c>
      <c r="BB3223" t="inlineStr">
        <is>
          <t>BOOK</t>
        </is>
      </c>
      <c r="BD3223" t="inlineStr">
        <is>
          <t>9780879724061</t>
        </is>
      </c>
      <c r="BE3223" t="inlineStr">
        <is>
          <t>32285001153898</t>
        </is>
      </c>
      <c r="BF3223" t="inlineStr">
        <is>
          <t>893528881</t>
        </is>
      </c>
    </row>
    <row r="3224">
      <c r="A3224" t="inlineStr">
        <is>
          <t>No</t>
        </is>
      </c>
      <c r="B3224" t="inlineStr">
        <is>
          <t>CURAL</t>
        </is>
      </c>
      <c r="C3224" t="inlineStr">
        <is>
          <t>SHELVES</t>
        </is>
      </c>
      <c r="D3224" t="inlineStr">
        <is>
          <t>PR6025.A316 A6 1987</t>
        </is>
      </c>
      <c r="E3224" t="inlineStr">
        <is>
          <t>0                      PR 6025000A  316                A  6           1987</t>
        </is>
      </c>
      <c r="F3224" t="inlineStr">
        <is>
          <t>Selected literary criticism of Louis MacNeice / edited by Alan Heuser.</t>
        </is>
      </c>
      <c r="H3224" t="inlineStr">
        <is>
          <t>No</t>
        </is>
      </c>
      <c r="I3224" t="inlineStr">
        <is>
          <t>1</t>
        </is>
      </c>
      <c r="J3224" t="inlineStr">
        <is>
          <t>No</t>
        </is>
      </c>
      <c r="K3224" t="inlineStr">
        <is>
          <t>No</t>
        </is>
      </c>
      <c r="L3224" t="inlineStr">
        <is>
          <t>0</t>
        </is>
      </c>
      <c r="M3224" t="inlineStr">
        <is>
          <t>MacNeice, Louis, 1907-1963.</t>
        </is>
      </c>
      <c r="N3224" t="inlineStr">
        <is>
          <t>Oxford [Oxfordshire] : Clarendon Press ; New York : Oxford University Press, 1987.</t>
        </is>
      </c>
      <c r="O3224" t="inlineStr">
        <is>
          <t>1987</t>
        </is>
      </c>
      <c r="Q3224" t="inlineStr">
        <is>
          <t>eng</t>
        </is>
      </c>
      <c r="R3224" t="inlineStr">
        <is>
          <t>enk</t>
        </is>
      </c>
      <c r="T3224" t="inlineStr">
        <is>
          <t xml:space="preserve">PR </t>
        </is>
      </c>
      <c r="U3224" t="n">
        <v>1</v>
      </c>
      <c r="V3224" t="n">
        <v>1</v>
      </c>
      <c r="W3224" t="inlineStr">
        <is>
          <t>1993-04-27</t>
        </is>
      </c>
      <c r="X3224" t="inlineStr">
        <is>
          <t>1993-04-27</t>
        </is>
      </c>
      <c r="Y3224" t="inlineStr">
        <is>
          <t>1992-07-16</t>
        </is>
      </c>
      <c r="Z3224" t="inlineStr">
        <is>
          <t>1992-07-16</t>
        </is>
      </c>
      <c r="AA3224" t="n">
        <v>372</v>
      </c>
      <c r="AB3224" t="n">
        <v>247</v>
      </c>
      <c r="AC3224" t="n">
        <v>249</v>
      </c>
      <c r="AD3224" t="n">
        <v>3</v>
      </c>
      <c r="AE3224" t="n">
        <v>3</v>
      </c>
      <c r="AF3224" t="n">
        <v>16</v>
      </c>
      <c r="AG3224" t="n">
        <v>16</v>
      </c>
      <c r="AH3224" t="n">
        <v>6</v>
      </c>
      <c r="AI3224" t="n">
        <v>6</v>
      </c>
      <c r="AJ3224" t="n">
        <v>5</v>
      </c>
      <c r="AK3224" t="n">
        <v>5</v>
      </c>
      <c r="AL3224" t="n">
        <v>9</v>
      </c>
      <c r="AM3224" t="n">
        <v>9</v>
      </c>
      <c r="AN3224" t="n">
        <v>2</v>
      </c>
      <c r="AO3224" t="n">
        <v>2</v>
      </c>
      <c r="AP3224" t="n">
        <v>0</v>
      </c>
      <c r="AQ3224" t="n">
        <v>0</v>
      </c>
      <c r="AR3224" t="inlineStr">
        <is>
          <t>No</t>
        </is>
      </c>
      <c r="AS3224" t="inlineStr">
        <is>
          <t>Yes</t>
        </is>
      </c>
      <c r="AT3224">
        <f>HYPERLINK("http://catalog.hathitrust.org/Record/000838706","HathiTrust Record")</f>
        <v/>
      </c>
      <c r="AU3224">
        <f>HYPERLINK("https://creighton-primo.hosted.exlibrisgroup.com/primo-explore/search?tab=default_tab&amp;search_scope=EVERYTHING&amp;vid=01CRU&amp;lang=en_US&amp;offset=0&amp;query=any,contains,991000885819702656","Catalog Record")</f>
        <v/>
      </c>
      <c r="AV3224">
        <f>HYPERLINK("http://www.worldcat.org/oclc/13861006","WorldCat Record")</f>
        <v/>
      </c>
      <c r="AW3224" t="inlineStr">
        <is>
          <t>7034143:eng</t>
        </is>
      </c>
      <c r="AX3224" t="inlineStr">
        <is>
          <t>13861006</t>
        </is>
      </c>
      <c r="AY3224" t="inlineStr">
        <is>
          <t>991000885819702656</t>
        </is>
      </c>
      <c r="AZ3224" t="inlineStr">
        <is>
          <t>991000885819702656</t>
        </is>
      </c>
      <c r="BA3224" t="inlineStr">
        <is>
          <t>2262371330002656</t>
        </is>
      </c>
      <c r="BB3224" t="inlineStr">
        <is>
          <t>BOOK</t>
        </is>
      </c>
      <c r="BD3224" t="inlineStr">
        <is>
          <t>9780198185734</t>
        </is>
      </c>
      <c r="BE3224" t="inlineStr">
        <is>
          <t>32285001154425</t>
        </is>
      </c>
      <c r="BF3224" t="inlineStr">
        <is>
          <t>893522098</t>
        </is>
      </c>
    </row>
    <row r="3225">
      <c r="A3225" t="inlineStr">
        <is>
          <t>No</t>
        </is>
      </c>
      <c r="B3225" t="inlineStr">
        <is>
          <t>CURAL</t>
        </is>
      </c>
      <c r="C3225" t="inlineStr">
        <is>
          <t>SHELVES</t>
        </is>
      </c>
      <c r="D3225" t="inlineStr">
        <is>
          <t>PR6025.A316 Z79 1991</t>
        </is>
      </c>
      <c r="E3225" t="inlineStr">
        <is>
          <t>0                      PR 6025000A  316                Z  79          1991</t>
        </is>
      </c>
      <c r="F3225" t="inlineStr">
        <is>
          <t>Louis MacNeice : the poet in his contexts / Peter McDonald.</t>
        </is>
      </c>
      <c r="H3225" t="inlineStr">
        <is>
          <t>No</t>
        </is>
      </c>
      <c r="I3225" t="inlineStr">
        <is>
          <t>1</t>
        </is>
      </c>
      <c r="J3225" t="inlineStr">
        <is>
          <t>No</t>
        </is>
      </c>
      <c r="K3225" t="inlineStr">
        <is>
          <t>No</t>
        </is>
      </c>
      <c r="L3225" t="inlineStr">
        <is>
          <t>0</t>
        </is>
      </c>
      <c r="M3225" t="inlineStr">
        <is>
          <t>McDonald, Peter.</t>
        </is>
      </c>
      <c r="N3225" t="inlineStr">
        <is>
          <t>Oxford [England] : Clarendon Press ; New York : Oxford University Press, 1991.</t>
        </is>
      </c>
      <c r="O3225" t="inlineStr">
        <is>
          <t>1991</t>
        </is>
      </c>
      <c r="Q3225" t="inlineStr">
        <is>
          <t>eng</t>
        </is>
      </c>
      <c r="R3225" t="inlineStr">
        <is>
          <t>enk</t>
        </is>
      </c>
      <c r="S3225" t="inlineStr">
        <is>
          <t>Oxford English monographs</t>
        </is>
      </c>
      <c r="T3225" t="inlineStr">
        <is>
          <t xml:space="preserve">PR </t>
        </is>
      </c>
      <c r="U3225" t="n">
        <v>1</v>
      </c>
      <c r="V3225" t="n">
        <v>1</v>
      </c>
      <c r="W3225" t="inlineStr">
        <is>
          <t>1993-04-27</t>
        </is>
      </c>
      <c r="X3225" t="inlineStr">
        <is>
          <t>1993-04-27</t>
        </is>
      </c>
      <c r="Y3225" t="inlineStr">
        <is>
          <t>1991-07-03</t>
        </is>
      </c>
      <c r="Z3225" t="inlineStr">
        <is>
          <t>1991-07-03</t>
        </is>
      </c>
      <c r="AA3225" t="n">
        <v>351</v>
      </c>
      <c r="AB3225" t="n">
        <v>252</v>
      </c>
      <c r="AC3225" t="n">
        <v>253</v>
      </c>
      <c r="AD3225" t="n">
        <v>4</v>
      </c>
      <c r="AE3225" t="n">
        <v>4</v>
      </c>
      <c r="AF3225" t="n">
        <v>15</v>
      </c>
      <c r="AG3225" t="n">
        <v>15</v>
      </c>
      <c r="AH3225" t="n">
        <v>4</v>
      </c>
      <c r="AI3225" t="n">
        <v>4</v>
      </c>
      <c r="AJ3225" t="n">
        <v>5</v>
      </c>
      <c r="AK3225" t="n">
        <v>5</v>
      </c>
      <c r="AL3225" t="n">
        <v>7</v>
      </c>
      <c r="AM3225" t="n">
        <v>7</v>
      </c>
      <c r="AN3225" t="n">
        <v>3</v>
      </c>
      <c r="AO3225" t="n">
        <v>3</v>
      </c>
      <c r="AP3225" t="n">
        <v>0</v>
      </c>
      <c r="AQ3225" t="n">
        <v>0</v>
      </c>
      <c r="AR3225" t="inlineStr">
        <is>
          <t>No</t>
        </is>
      </c>
      <c r="AS3225" t="inlineStr">
        <is>
          <t>Yes</t>
        </is>
      </c>
      <c r="AT3225">
        <f>HYPERLINK("http://catalog.hathitrust.org/Record/004513293","HathiTrust Record")</f>
        <v/>
      </c>
      <c r="AU3225">
        <f>HYPERLINK("https://creighton-primo.hosted.exlibrisgroup.com/primo-explore/search?tab=default_tab&amp;search_scope=EVERYTHING&amp;vid=01CRU&amp;lang=en_US&amp;offset=0&amp;query=any,contains,991001763249702656","Catalog Record")</f>
        <v/>
      </c>
      <c r="AV3225">
        <f>HYPERLINK("http://www.worldcat.org/oclc/22279388","WorldCat Record")</f>
        <v/>
      </c>
      <c r="AW3225" t="inlineStr">
        <is>
          <t>808763228:eng</t>
        </is>
      </c>
      <c r="AX3225" t="inlineStr">
        <is>
          <t>22279388</t>
        </is>
      </c>
      <c r="AY3225" t="inlineStr">
        <is>
          <t>991001763249702656</t>
        </is>
      </c>
      <c r="AZ3225" t="inlineStr">
        <is>
          <t>991001763249702656</t>
        </is>
      </c>
      <c r="BA3225" t="inlineStr">
        <is>
          <t>2260583590002656</t>
        </is>
      </c>
      <c r="BB3225" t="inlineStr">
        <is>
          <t>BOOK</t>
        </is>
      </c>
      <c r="BD3225" t="inlineStr">
        <is>
          <t>9780198117667</t>
        </is>
      </c>
      <c r="BE3225" t="inlineStr">
        <is>
          <t>32285000659572</t>
        </is>
      </c>
      <c r="BF3225" t="inlineStr">
        <is>
          <t>893408333</t>
        </is>
      </c>
    </row>
    <row r="3226">
      <c r="A3226" t="inlineStr">
        <is>
          <t>No</t>
        </is>
      </c>
      <c r="B3226" t="inlineStr">
        <is>
          <t>CURAL</t>
        </is>
      </c>
      <c r="C3226" t="inlineStr">
        <is>
          <t>SHELVES</t>
        </is>
      </c>
      <c r="D3226" t="inlineStr">
        <is>
          <t>PR6025.A316 Z9</t>
        </is>
      </c>
      <c r="E3226" t="inlineStr">
        <is>
          <t>0                      PR 6025000A  316                Z  9</t>
        </is>
      </c>
      <c r="F3226" t="inlineStr">
        <is>
          <t>Louis MacNeice.</t>
        </is>
      </c>
      <c r="H3226" t="inlineStr">
        <is>
          <t>No</t>
        </is>
      </c>
      <c r="I3226" t="inlineStr">
        <is>
          <t>1</t>
        </is>
      </c>
      <c r="J3226" t="inlineStr">
        <is>
          <t>No</t>
        </is>
      </c>
      <c r="K3226" t="inlineStr">
        <is>
          <t>No</t>
        </is>
      </c>
      <c r="L3226" t="inlineStr">
        <is>
          <t>0</t>
        </is>
      </c>
      <c r="M3226" t="inlineStr">
        <is>
          <t>Press, John.</t>
        </is>
      </c>
      <c r="N3226" t="inlineStr">
        <is>
          <t>[London] : Published for the British Council and the National Book League by Longmans, Green, [1965]</t>
        </is>
      </c>
      <c r="O3226" t="inlineStr">
        <is>
          <t>1965</t>
        </is>
      </c>
      <c r="Q3226" t="inlineStr">
        <is>
          <t>eng</t>
        </is>
      </c>
      <c r="R3226" t="inlineStr">
        <is>
          <t>enk</t>
        </is>
      </c>
      <c r="S3226" t="inlineStr">
        <is>
          <t>Bibliographical series of supplements to British book news on writers and their work ; no. 187</t>
        </is>
      </c>
      <c r="T3226" t="inlineStr">
        <is>
          <t xml:space="preserve">PR </t>
        </is>
      </c>
      <c r="U3226" t="n">
        <v>1</v>
      </c>
      <c r="V3226" t="n">
        <v>1</v>
      </c>
      <c r="W3226" t="inlineStr">
        <is>
          <t>1993-04-27</t>
        </is>
      </c>
      <c r="X3226" t="inlineStr">
        <is>
          <t>1993-04-27</t>
        </is>
      </c>
      <c r="Y3226" t="inlineStr">
        <is>
          <t>1992-01-31</t>
        </is>
      </c>
      <c r="Z3226" t="inlineStr">
        <is>
          <t>1992-01-31</t>
        </is>
      </c>
      <c r="AA3226" t="n">
        <v>604</v>
      </c>
      <c r="AB3226" t="n">
        <v>468</v>
      </c>
      <c r="AC3226" t="n">
        <v>504</v>
      </c>
      <c r="AD3226" t="n">
        <v>4</v>
      </c>
      <c r="AE3226" t="n">
        <v>4</v>
      </c>
      <c r="AF3226" t="n">
        <v>28</v>
      </c>
      <c r="AG3226" t="n">
        <v>29</v>
      </c>
      <c r="AH3226" t="n">
        <v>9</v>
      </c>
      <c r="AI3226" t="n">
        <v>10</v>
      </c>
      <c r="AJ3226" t="n">
        <v>7</v>
      </c>
      <c r="AK3226" t="n">
        <v>7</v>
      </c>
      <c r="AL3226" t="n">
        <v>16</v>
      </c>
      <c r="AM3226" t="n">
        <v>17</v>
      </c>
      <c r="AN3226" t="n">
        <v>3</v>
      </c>
      <c r="AO3226" t="n">
        <v>3</v>
      </c>
      <c r="AP3226" t="n">
        <v>0</v>
      </c>
      <c r="AQ3226" t="n">
        <v>0</v>
      </c>
      <c r="AR3226" t="inlineStr">
        <is>
          <t>No</t>
        </is>
      </c>
      <c r="AS3226" t="inlineStr">
        <is>
          <t>Yes</t>
        </is>
      </c>
      <c r="AT3226">
        <f>HYPERLINK("http://catalog.hathitrust.org/Record/000630077","HathiTrust Record")</f>
        <v/>
      </c>
      <c r="AU3226">
        <f>HYPERLINK("https://creighton-primo.hosted.exlibrisgroup.com/primo-explore/search?tab=default_tab&amp;search_scope=EVERYTHING&amp;vid=01CRU&amp;lang=en_US&amp;offset=0&amp;query=any,contains,991001038109702656","Catalog Record")</f>
        <v/>
      </c>
      <c r="AV3226">
        <f>HYPERLINK("http://www.worldcat.org/oclc/175678","WorldCat Record")</f>
        <v/>
      </c>
      <c r="AW3226" t="inlineStr">
        <is>
          <t>4020:eng</t>
        </is>
      </c>
      <c r="AX3226" t="inlineStr">
        <is>
          <t>175678</t>
        </is>
      </c>
      <c r="AY3226" t="inlineStr">
        <is>
          <t>991001038109702656</t>
        </is>
      </c>
      <c r="AZ3226" t="inlineStr">
        <is>
          <t>991001038109702656</t>
        </is>
      </c>
      <c r="BA3226" t="inlineStr">
        <is>
          <t>2265172510002656</t>
        </is>
      </c>
      <c r="BB3226" t="inlineStr">
        <is>
          <t>BOOK</t>
        </is>
      </c>
      <c r="BE3226" t="inlineStr">
        <is>
          <t>32285000931476</t>
        </is>
      </c>
      <c r="BF3226" t="inlineStr">
        <is>
          <t>893696405</t>
        </is>
      </c>
    </row>
    <row r="3227">
      <c r="A3227" t="inlineStr">
        <is>
          <t>No</t>
        </is>
      </c>
      <c r="B3227" t="inlineStr">
        <is>
          <t>CURAL</t>
        </is>
      </c>
      <c r="C3227" t="inlineStr">
        <is>
          <t>SHELVES</t>
        </is>
      </c>
      <c r="D3227" t="inlineStr">
        <is>
          <t>PR6025.A67 H38 1998</t>
        </is>
      </c>
      <c r="E3227" t="inlineStr">
        <is>
          <t>0                      PR 6025000A  67                 H  38          1998</t>
        </is>
      </c>
      <c r="F3227" t="inlineStr">
        <is>
          <t>The haunted major / Robert Marshall ; illustrated by Harry Furniss.</t>
        </is>
      </c>
      <c r="H3227" t="inlineStr">
        <is>
          <t>No</t>
        </is>
      </c>
      <c r="I3227" t="inlineStr">
        <is>
          <t>1</t>
        </is>
      </c>
      <c r="J3227" t="inlineStr">
        <is>
          <t>No</t>
        </is>
      </c>
      <c r="K3227" t="inlineStr">
        <is>
          <t>No</t>
        </is>
      </c>
      <c r="L3227" t="inlineStr">
        <is>
          <t>0</t>
        </is>
      </c>
      <c r="M3227" t="inlineStr">
        <is>
          <t>Marshall, Robert, 1863-1910.</t>
        </is>
      </c>
      <c r="N3227" t="inlineStr">
        <is>
          <t>Edinburgh : Canongate, 1998.</t>
        </is>
      </c>
      <c r="O3227" t="inlineStr">
        <is>
          <t>1998</t>
        </is>
      </c>
      <c r="Q3227" t="inlineStr">
        <is>
          <t>eng</t>
        </is>
      </c>
      <c r="R3227" t="inlineStr">
        <is>
          <t>stk</t>
        </is>
      </c>
      <c r="T3227" t="inlineStr">
        <is>
          <t xml:space="preserve">PR </t>
        </is>
      </c>
      <c r="U3227" t="n">
        <v>2</v>
      </c>
      <c r="V3227" t="n">
        <v>2</v>
      </c>
      <c r="W3227" t="inlineStr">
        <is>
          <t>2000-03-22</t>
        </is>
      </c>
      <c r="X3227" t="inlineStr">
        <is>
          <t>2000-03-22</t>
        </is>
      </c>
      <c r="Y3227" t="inlineStr">
        <is>
          <t>1999-01-18</t>
        </is>
      </c>
      <c r="Z3227" t="inlineStr">
        <is>
          <t>1999-01-18</t>
        </is>
      </c>
      <c r="AA3227" t="n">
        <v>11</v>
      </c>
      <c r="AB3227" t="n">
        <v>9</v>
      </c>
      <c r="AC3227" t="n">
        <v>295</v>
      </c>
      <c r="AD3227" t="n">
        <v>1</v>
      </c>
      <c r="AE3227" t="n">
        <v>2</v>
      </c>
      <c r="AF3227" t="n">
        <v>0</v>
      </c>
      <c r="AG3227" t="n">
        <v>7</v>
      </c>
      <c r="AH3227" t="n">
        <v>0</v>
      </c>
      <c r="AI3227" t="n">
        <v>2</v>
      </c>
      <c r="AJ3227" t="n">
        <v>0</v>
      </c>
      <c r="AK3227" t="n">
        <v>3</v>
      </c>
      <c r="AL3227" t="n">
        <v>0</v>
      </c>
      <c r="AM3227" t="n">
        <v>4</v>
      </c>
      <c r="AN3227" t="n">
        <v>0</v>
      </c>
      <c r="AO3227" t="n">
        <v>1</v>
      </c>
      <c r="AP3227" t="n">
        <v>0</v>
      </c>
      <c r="AQ3227" t="n">
        <v>0</v>
      </c>
      <c r="AR3227" t="inlineStr">
        <is>
          <t>No</t>
        </is>
      </c>
      <c r="AS3227" t="inlineStr">
        <is>
          <t>No</t>
        </is>
      </c>
      <c r="AU3227">
        <f>HYPERLINK("https://creighton-primo.hosted.exlibrisgroup.com/primo-explore/search?tab=default_tab&amp;search_scope=EVERYTHING&amp;vid=01CRU&amp;lang=en_US&amp;offset=0&amp;query=any,contains,991002999849702656","Catalog Record")</f>
        <v/>
      </c>
      <c r="AV3227">
        <f>HYPERLINK("http://www.worldcat.org/oclc/40625239","WorldCat Record")</f>
        <v/>
      </c>
      <c r="AW3227" t="inlineStr">
        <is>
          <t>2296735:eng</t>
        </is>
      </c>
      <c r="AX3227" t="inlineStr">
        <is>
          <t>40625239</t>
        </is>
      </c>
      <c r="AY3227" t="inlineStr">
        <is>
          <t>991002999849702656</t>
        </is>
      </c>
      <c r="AZ3227" t="inlineStr">
        <is>
          <t>991002999849702656</t>
        </is>
      </c>
      <c r="BA3227" t="inlineStr">
        <is>
          <t>2268243790002656</t>
        </is>
      </c>
      <c r="BB3227" t="inlineStr">
        <is>
          <t>BOOK</t>
        </is>
      </c>
      <c r="BD3227" t="inlineStr">
        <is>
          <t>9780862417864</t>
        </is>
      </c>
      <c r="BE3227" t="inlineStr">
        <is>
          <t>32285003513180</t>
        </is>
      </c>
      <c r="BF3227" t="inlineStr">
        <is>
          <t>893893265</t>
        </is>
      </c>
    </row>
    <row r="3228">
      <c r="A3228" t="inlineStr">
        <is>
          <t>No</t>
        </is>
      </c>
      <c r="B3228" t="inlineStr">
        <is>
          <t>CURAL</t>
        </is>
      </c>
      <c r="C3228" t="inlineStr">
        <is>
          <t>SHELVES</t>
        </is>
      </c>
      <c r="D3228" t="inlineStr">
        <is>
          <t>PR6025.A86 A6 1950a</t>
        </is>
      </c>
      <c r="E3228" t="inlineStr">
        <is>
          <t>0                      PR 6025000A  86                 A  6           1950a</t>
        </is>
      </c>
      <c r="F3228" t="inlineStr">
        <is>
          <t>The Maugham reader / W. Somerset Maugham ; with an introduction by Glenway Wescott.</t>
        </is>
      </c>
      <c r="H3228" t="inlineStr">
        <is>
          <t>No</t>
        </is>
      </c>
      <c r="I3228" t="inlineStr">
        <is>
          <t>1</t>
        </is>
      </c>
      <c r="J3228" t="inlineStr">
        <is>
          <t>No</t>
        </is>
      </c>
      <c r="K3228" t="inlineStr">
        <is>
          <t>No</t>
        </is>
      </c>
      <c r="L3228" t="inlineStr">
        <is>
          <t>0</t>
        </is>
      </c>
      <c r="M3228" t="inlineStr">
        <is>
          <t>Maugham, W. Somerset (William Somerset), 1874-1965.</t>
        </is>
      </c>
      <c r="N3228" t="inlineStr">
        <is>
          <t>Garden City, N. Y. : Doubleday [c1950]</t>
        </is>
      </c>
      <c r="O3228" t="inlineStr">
        <is>
          <t>1950</t>
        </is>
      </c>
      <c r="P3228" t="inlineStr">
        <is>
          <t>[Presentation ed.]</t>
        </is>
      </c>
      <c r="Q3228" t="inlineStr">
        <is>
          <t>eng</t>
        </is>
      </c>
      <c r="R3228" t="inlineStr">
        <is>
          <t>nyu</t>
        </is>
      </c>
      <c r="T3228" t="inlineStr">
        <is>
          <t xml:space="preserve">PR </t>
        </is>
      </c>
      <c r="U3228" t="n">
        <v>4</v>
      </c>
      <c r="V3228" t="n">
        <v>4</v>
      </c>
      <c r="W3228" t="inlineStr">
        <is>
          <t>2010-10-07</t>
        </is>
      </c>
      <c r="X3228" t="inlineStr">
        <is>
          <t>2010-10-07</t>
        </is>
      </c>
      <c r="Y3228" t="inlineStr">
        <is>
          <t>1992-04-24</t>
        </is>
      </c>
      <c r="Z3228" t="inlineStr">
        <is>
          <t>1992-04-24</t>
        </is>
      </c>
      <c r="AA3228" t="n">
        <v>416</v>
      </c>
      <c r="AB3228" t="n">
        <v>402</v>
      </c>
      <c r="AC3228" t="n">
        <v>979</v>
      </c>
      <c r="AD3228" t="n">
        <v>5</v>
      </c>
      <c r="AE3228" t="n">
        <v>9</v>
      </c>
      <c r="AF3228" t="n">
        <v>12</v>
      </c>
      <c r="AG3228" t="n">
        <v>29</v>
      </c>
      <c r="AH3228" t="n">
        <v>5</v>
      </c>
      <c r="AI3228" t="n">
        <v>13</v>
      </c>
      <c r="AJ3228" t="n">
        <v>4</v>
      </c>
      <c r="AK3228" t="n">
        <v>7</v>
      </c>
      <c r="AL3228" t="n">
        <v>6</v>
      </c>
      <c r="AM3228" t="n">
        <v>12</v>
      </c>
      <c r="AN3228" t="n">
        <v>2</v>
      </c>
      <c r="AO3228" t="n">
        <v>5</v>
      </c>
      <c r="AP3228" t="n">
        <v>0</v>
      </c>
      <c r="AQ3228" t="n">
        <v>0</v>
      </c>
      <c r="AR3228" t="inlineStr">
        <is>
          <t>No</t>
        </is>
      </c>
      <c r="AS3228" t="inlineStr">
        <is>
          <t>No</t>
        </is>
      </c>
      <c r="AU3228">
        <f>HYPERLINK("https://creighton-primo.hosted.exlibrisgroup.com/primo-explore/search?tab=default_tab&amp;search_scope=EVERYTHING&amp;vid=01CRU&amp;lang=en_US&amp;offset=0&amp;query=any,contains,991004997019702656","Catalog Record")</f>
        <v/>
      </c>
      <c r="AV3228">
        <f>HYPERLINK("http://www.worldcat.org/oclc/3464460","WorldCat Record")</f>
        <v/>
      </c>
      <c r="AW3228" t="inlineStr">
        <is>
          <t>1059174775:eng</t>
        </is>
      </c>
      <c r="AX3228" t="inlineStr">
        <is>
          <t>3464460</t>
        </is>
      </c>
      <c r="AY3228" t="inlineStr">
        <is>
          <t>991004997019702656</t>
        </is>
      </c>
      <c r="AZ3228" t="inlineStr">
        <is>
          <t>991004997019702656</t>
        </is>
      </c>
      <c r="BA3228" t="inlineStr">
        <is>
          <t>2268343470002656</t>
        </is>
      </c>
      <c r="BB3228" t="inlineStr">
        <is>
          <t>BOOK</t>
        </is>
      </c>
      <c r="BE3228" t="inlineStr">
        <is>
          <t>32285001086239</t>
        </is>
      </c>
      <c r="BF3228" t="inlineStr">
        <is>
          <t>893319868</t>
        </is>
      </c>
    </row>
    <row r="3229">
      <c r="A3229" t="inlineStr">
        <is>
          <t>No</t>
        </is>
      </c>
      <c r="B3229" t="inlineStr">
        <is>
          <t>CURAL</t>
        </is>
      </c>
      <c r="C3229" t="inlineStr">
        <is>
          <t>SHELVES</t>
        </is>
      </c>
      <c r="D3229" t="inlineStr">
        <is>
          <t>PR6025.A86 Z5585 1985</t>
        </is>
      </c>
      <c r="E3229" t="inlineStr">
        <is>
          <t>0                      PR 6025000A  86                 Z  5585        1985</t>
        </is>
      </c>
      <c r="F3229" t="inlineStr">
        <is>
          <t>W. Somerset Maugham / by Forrest D. Burt.</t>
        </is>
      </c>
      <c r="H3229" t="inlineStr">
        <is>
          <t>No</t>
        </is>
      </c>
      <c r="I3229" t="inlineStr">
        <is>
          <t>1</t>
        </is>
      </c>
      <c r="J3229" t="inlineStr">
        <is>
          <t>No</t>
        </is>
      </c>
      <c r="K3229" t="inlineStr">
        <is>
          <t>No</t>
        </is>
      </c>
      <c r="L3229" t="inlineStr">
        <is>
          <t>0</t>
        </is>
      </c>
      <c r="M3229" t="inlineStr">
        <is>
          <t>Burt, Forrest D.</t>
        </is>
      </c>
      <c r="N3229" t="inlineStr">
        <is>
          <t>Boston : Twayne, c1985.</t>
        </is>
      </c>
      <c r="O3229" t="inlineStr">
        <is>
          <t>1985</t>
        </is>
      </c>
      <c r="Q3229" t="inlineStr">
        <is>
          <t>eng</t>
        </is>
      </c>
      <c r="R3229" t="inlineStr">
        <is>
          <t>mau</t>
        </is>
      </c>
      <c r="S3229" t="inlineStr">
        <is>
          <t>Twayne's English authors series ; TEAS 399</t>
        </is>
      </c>
      <c r="T3229" t="inlineStr">
        <is>
          <t xml:space="preserve">PR </t>
        </is>
      </c>
      <c r="U3229" t="n">
        <v>2</v>
      </c>
      <c r="V3229" t="n">
        <v>2</v>
      </c>
      <c r="W3229" t="inlineStr">
        <is>
          <t>1995-02-24</t>
        </is>
      </c>
      <c r="X3229" t="inlineStr">
        <is>
          <t>1995-02-24</t>
        </is>
      </c>
      <c r="Y3229" t="inlineStr">
        <is>
          <t>1991-12-13</t>
        </is>
      </c>
      <c r="Z3229" t="inlineStr">
        <is>
          <t>1991-12-13</t>
        </is>
      </c>
      <c r="AA3229" t="n">
        <v>910</v>
      </c>
      <c r="AB3229" t="n">
        <v>818</v>
      </c>
      <c r="AC3229" t="n">
        <v>896</v>
      </c>
      <c r="AD3229" t="n">
        <v>5</v>
      </c>
      <c r="AE3229" t="n">
        <v>5</v>
      </c>
      <c r="AF3229" t="n">
        <v>29</v>
      </c>
      <c r="AG3229" t="n">
        <v>31</v>
      </c>
      <c r="AH3229" t="n">
        <v>9</v>
      </c>
      <c r="AI3229" t="n">
        <v>11</v>
      </c>
      <c r="AJ3229" t="n">
        <v>6</v>
      </c>
      <c r="AK3229" t="n">
        <v>6</v>
      </c>
      <c r="AL3229" t="n">
        <v>17</v>
      </c>
      <c r="AM3229" t="n">
        <v>19</v>
      </c>
      <c r="AN3229" t="n">
        <v>4</v>
      </c>
      <c r="AO3229" t="n">
        <v>4</v>
      </c>
      <c r="AP3229" t="n">
        <v>0</v>
      </c>
      <c r="AQ3229" t="n">
        <v>0</v>
      </c>
      <c r="AR3229" t="inlineStr">
        <is>
          <t>No</t>
        </is>
      </c>
      <c r="AS3229" t="inlineStr">
        <is>
          <t>Yes</t>
        </is>
      </c>
      <c r="AT3229">
        <f>HYPERLINK("http://catalog.hathitrust.org/Record/000574112","HathiTrust Record")</f>
        <v/>
      </c>
      <c r="AU3229">
        <f>HYPERLINK("https://creighton-primo.hosted.exlibrisgroup.com/primo-explore/search?tab=default_tab&amp;search_scope=EVERYTHING&amp;vid=01CRU&amp;lang=en_US&amp;offset=0&amp;query=any,contains,991000538809702656","Catalog Record")</f>
        <v/>
      </c>
      <c r="AV3229">
        <f>HYPERLINK("http://www.worldcat.org/oclc/11468854","WorldCat Record")</f>
        <v/>
      </c>
      <c r="AW3229" t="inlineStr">
        <is>
          <t>3945079:eng</t>
        </is>
      </c>
      <c r="AX3229" t="inlineStr">
        <is>
          <t>11468854</t>
        </is>
      </c>
      <c r="AY3229" t="inlineStr">
        <is>
          <t>991000538809702656</t>
        </is>
      </c>
      <c r="AZ3229" t="inlineStr">
        <is>
          <t>991000538809702656</t>
        </is>
      </c>
      <c r="BA3229" t="inlineStr">
        <is>
          <t>2264796450002656</t>
        </is>
      </c>
      <c r="BB3229" t="inlineStr">
        <is>
          <t>BOOK</t>
        </is>
      </c>
      <c r="BD3229" t="inlineStr">
        <is>
          <t>9780805768855</t>
        </is>
      </c>
      <c r="BE3229" t="inlineStr">
        <is>
          <t>32285000895812</t>
        </is>
      </c>
      <c r="BF3229" t="inlineStr">
        <is>
          <t>893521770</t>
        </is>
      </c>
    </row>
    <row r="3230">
      <c r="A3230" t="inlineStr">
        <is>
          <t>No</t>
        </is>
      </c>
      <c r="B3230" t="inlineStr">
        <is>
          <t>CURAL</t>
        </is>
      </c>
      <c r="C3230" t="inlineStr">
        <is>
          <t>SHELVES</t>
        </is>
      </c>
      <c r="D3230" t="inlineStr">
        <is>
          <t>PR6025.A86 Z559 1973</t>
        </is>
      </c>
      <c r="E3230" t="inlineStr">
        <is>
          <t>0                      PR 6025000A  86                 Z  559         1973</t>
        </is>
      </c>
      <c r="F3230" t="inlineStr">
        <is>
          <t>W. Somerset Maugham and the quest for freedom / Robert Lorin Calder.</t>
        </is>
      </c>
      <c r="H3230" t="inlineStr">
        <is>
          <t>No</t>
        </is>
      </c>
      <c r="I3230" t="inlineStr">
        <is>
          <t>1</t>
        </is>
      </c>
      <c r="J3230" t="inlineStr">
        <is>
          <t>No</t>
        </is>
      </c>
      <c r="K3230" t="inlineStr">
        <is>
          <t>No</t>
        </is>
      </c>
      <c r="L3230" t="inlineStr">
        <is>
          <t>0</t>
        </is>
      </c>
      <c r="M3230" t="inlineStr">
        <is>
          <t>Calder, Robert, 1941-</t>
        </is>
      </c>
      <c r="N3230" t="inlineStr">
        <is>
          <t>Garden City, N.Y., Doubleday [1973]</t>
        </is>
      </c>
      <c r="O3230" t="inlineStr">
        <is>
          <t>1973</t>
        </is>
      </c>
      <c r="Q3230" t="inlineStr">
        <is>
          <t>eng</t>
        </is>
      </c>
      <c r="R3230" t="inlineStr">
        <is>
          <t>___</t>
        </is>
      </c>
      <c r="T3230" t="inlineStr">
        <is>
          <t xml:space="preserve">PR </t>
        </is>
      </c>
      <c r="U3230" t="n">
        <v>3</v>
      </c>
      <c r="V3230" t="n">
        <v>3</v>
      </c>
      <c r="W3230" t="inlineStr">
        <is>
          <t>1995-02-24</t>
        </is>
      </c>
      <c r="X3230" t="inlineStr">
        <is>
          <t>1995-02-24</t>
        </is>
      </c>
      <c r="Y3230" t="inlineStr">
        <is>
          <t>1991-12-04</t>
        </is>
      </c>
      <c r="Z3230" t="inlineStr">
        <is>
          <t>1991-12-04</t>
        </is>
      </c>
      <c r="AA3230" t="n">
        <v>535</v>
      </c>
      <c r="AB3230" t="n">
        <v>506</v>
      </c>
      <c r="AC3230" t="n">
        <v>624</v>
      </c>
      <c r="AD3230" t="n">
        <v>3</v>
      </c>
      <c r="AE3230" t="n">
        <v>3</v>
      </c>
      <c r="AF3230" t="n">
        <v>17</v>
      </c>
      <c r="AG3230" t="n">
        <v>19</v>
      </c>
      <c r="AH3230" t="n">
        <v>6</v>
      </c>
      <c r="AI3230" t="n">
        <v>7</v>
      </c>
      <c r="AJ3230" t="n">
        <v>3</v>
      </c>
      <c r="AK3230" t="n">
        <v>3</v>
      </c>
      <c r="AL3230" t="n">
        <v>10</v>
      </c>
      <c r="AM3230" t="n">
        <v>11</v>
      </c>
      <c r="AN3230" t="n">
        <v>2</v>
      </c>
      <c r="AO3230" t="n">
        <v>2</v>
      </c>
      <c r="AP3230" t="n">
        <v>0</v>
      </c>
      <c r="AQ3230" t="n">
        <v>0</v>
      </c>
      <c r="AR3230" t="inlineStr">
        <is>
          <t>No</t>
        </is>
      </c>
      <c r="AS3230" t="inlineStr">
        <is>
          <t>Yes</t>
        </is>
      </c>
      <c r="AT3230">
        <f>HYPERLINK("http://catalog.hathitrust.org/Record/000631840","HathiTrust Record")</f>
        <v/>
      </c>
      <c r="AU3230">
        <f>HYPERLINK("https://creighton-primo.hosted.exlibrisgroup.com/primo-explore/search?tab=default_tab&amp;search_scope=EVERYTHING&amp;vid=01CRU&amp;lang=en_US&amp;offset=0&amp;query=any,contains,991003093409702656","Catalog Record")</f>
        <v/>
      </c>
      <c r="AV3230">
        <f>HYPERLINK("http://www.worldcat.org/oclc/643530","WorldCat Record")</f>
        <v/>
      </c>
      <c r="AW3230" t="inlineStr">
        <is>
          <t>1730640:eng</t>
        </is>
      </c>
      <c r="AX3230" t="inlineStr">
        <is>
          <t>643530</t>
        </is>
      </c>
      <c r="AY3230" t="inlineStr">
        <is>
          <t>991003093409702656</t>
        </is>
      </c>
      <c r="AZ3230" t="inlineStr">
        <is>
          <t>991003093409702656</t>
        </is>
      </c>
      <c r="BA3230" t="inlineStr">
        <is>
          <t>2258314780002656</t>
        </is>
      </c>
      <c r="BB3230" t="inlineStr">
        <is>
          <t>BOOK</t>
        </is>
      </c>
      <c r="BD3230" t="inlineStr">
        <is>
          <t>9780434105045</t>
        </is>
      </c>
      <c r="BE3230" t="inlineStr">
        <is>
          <t>32285000847565</t>
        </is>
      </c>
      <c r="BF3230" t="inlineStr">
        <is>
          <t>893422163</t>
        </is>
      </c>
    </row>
    <row r="3231">
      <c r="A3231" t="inlineStr">
        <is>
          <t>No</t>
        </is>
      </c>
      <c r="B3231" t="inlineStr">
        <is>
          <t>CURAL</t>
        </is>
      </c>
      <c r="C3231" t="inlineStr">
        <is>
          <t>SHELVES</t>
        </is>
      </c>
      <c r="D3231" t="inlineStr">
        <is>
          <t>PR6025.A86 Z5718 1977</t>
        </is>
      </c>
      <c r="E3231" t="inlineStr">
        <is>
          <t>0                      PR 6025000A  86                 Z  5718        1977</t>
        </is>
      </c>
      <c r="F3231" t="inlineStr">
        <is>
          <t>Somerset Maugham / Anthony Curtis.</t>
        </is>
      </c>
      <c r="H3231" t="inlineStr">
        <is>
          <t>No</t>
        </is>
      </c>
      <c r="I3231" t="inlineStr">
        <is>
          <t>1</t>
        </is>
      </c>
      <c r="J3231" t="inlineStr">
        <is>
          <t>No</t>
        </is>
      </c>
      <c r="K3231" t="inlineStr">
        <is>
          <t>No</t>
        </is>
      </c>
      <c r="L3231" t="inlineStr">
        <is>
          <t>0</t>
        </is>
      </c>
      <c r="M3231" t="inlineStr">
        <is>
          <t>Curtis, Anthony, 1926-2014.</t>
        </is>
      </c>
      <c r="N3231" t="inlineStr">
        <is>
          <t>London : Weidenfeld and Nicolson, 1977.</t>
        </is>
      </c>
      <c r="O3231" t="inlineStr">
        <is>
          <t>1977</t>
        </is>
      </c>
      <c r="Q3231" t="inlineStr">
        <is>
          <t>eng</t>
        </is>
      </c>
      <c r="R3231" t="inlineStr">
        <is>
          <t>enk</t>
        </is>
      </c>
      <c r="T3231" t="inlineStr">
        <is>
          <t xml:space="preserve">PR </t>
        </is>
      </c>
      <c r="U3231" t="n">
        <v>2</v>
      </c>
      <c r="V3231" t="n">
        <v>2</v>
      </c>
      <c r="W3231" t="inlineStr">
        <is>
          <t>2007-01-31</t>
        </is>
      </c>
      <c r="X3231" t="inlineStr">
        <is>
          <t>2007-01-31</t>
        </is>
      </c>
      <c r="Y3231" t="inlineStr">
        <is>
          <t>1992-07-16</t>
        </is>
      </c>
      <c r="Z3231" t="inlineStr">
        <is>
          <t>1992-07-16</t>
        </is>
      </c>
      <c r="AA3231" t="n">
        <v>201</v>
      </c>
      <c r="AB3231" t="n">
        <v>52</v>
      </c>
      <c r="AC3231" t="n">
        <v>917</v>
      </c>
      <c r="AD3231" t="n">
        <v>3</v>
      </c>
      <c r="AE3231" t="n">
        <v>8</v>
      </c>
      <c r="AF3231" t="n">
        <v>4</v>
      </c>
      <c r="AG3231" t="n">
        <v>32</v>
      </c>
      <c r="AH3231" t="n">
        <v>0</v>
      </c>
      <c r="AI3231" t="n">
        <v>10</v>
      </c>
      <c r="AJ3231" t="n">
        <v>1</v>
      </c>
      <c r="AK3231" t="n">
        <v>9</v>
      </c>
      <c r="AL3231" t="n">
        <v>2</v>
      </c>
      <c r="AM3231" t="n">
        <v>14</v>
      </c>
      <c r="AN3231" t="n">
        <v>2</v>
      </c>
      <c r="AO3231" t="n">
        <v>7</v>
      </c>
      <c r="AP3231" t="n">
        <v>0</v>
      </c>
      <c r="AQ3231" t="n">
        <v>0</v>
      </c>
      <c r="AR3231" t="inlineStr">
        <is>
          <t>No</t>
        </is>
      </c>
      <c r="AS3231" t="inlineStr">
        <is>
          <t>Yes</t>
        </is>
      </c>
      <c r="AT3231">
        <f>HYPERLINK("http://catalog.hathitrust.org/Record/000091854","HathiTrust Record")</f>
        <v/>
      </c>
      <c r="AU3231">
        <f>HYPERLINK("https://creighton-primo.hosted.exlibrisgroup.com/primo-explore/search?tab=default_tab&amp;search_scope=EVERYTHING&amp;vid=01CRU&amp;lang=en_US&amp;offset=0&amp;query=any,contains,991004478479702656","Catalog Record")</f>
        <v/>
      </c>
      <c r="AV3231">
        <f>HYPERLINK("http://www.worldcat.org/oclc/3618507","WorldCat Record")</f>
        <v/>
      </c>
      <c r="AW3231" t="inlineStr">
        <is>
          <t>3901262630:eng</t>
        </is>
      </c>
      <c r="AX3231" t="inlineStr">
        <is>
          <t>3618507</t>
        </is>
      </c>
      <c r="AY3231" t="inlineStr">
        <is>
          <t>991004478479702656</t>
        </is>
      </c>
      <c r="AZ3231" t="inlineStr">
        <is>
          <t>991004478479702656</t>
        </is>
      </c>
      <c r="BA3231" t="inlineStr">
        <is>
          <t>2270023720002656</t>
        </is>
      </c>
      <c r="BB3231" t="inlineStr">
        <is>
          <t>BOOK</t>
        </is>
      </c>
      <c r="BE3231" t="inlineStr">
        <is>
          <t>32285001154565</t>
        </is>
      </c>
      <c r="BF3231" t="inlineStr">
        <is>
          <t>893901273</t>
        </is>
      </c>
    </row>
    <row r="3232">
      <c r="A3232" t="inlineStr">
        <is>
          <t>No</t>
        </is>
      </c>
      <c r="B3232" t="inlineStr">
        <is>
          <t>CURAL</t>
        </is>
      </c>
      <c r="C3232" t="inlineStr">
        <is>
          <t>SHELVES</t>
        </is>
      </c>
      <c r="D3232" t="inlineStr">
        <is>
          <t>PR6025.A86 Z85 1977</t>
        </is>
      </c>
      <c r="E3232" t="inlineStr">
        <is>
          <t>0                      PR 6025000A  86                 Z  85          1977</t>
        </is>
      </c>
      <c r="F3232" t="inlineStr">
        <is>
          <t>W. Somerset Maugham and his world / Frederic Raphael.</t>
        </is>
      </c>
      <c r="H3232" t="inlineStr">
        <is>
          <t>No</t>
        </is>
      </c>
      <c r="I3232" t="inlineStr">
        <is>
          <t>1</t>
        </is>
      </c>
      <c r="J3232" t="inlineStr">
        <is>
          <t>No</t>
        </is>
      </c>
      <c r="K3232" t="inlineStr">
        <is>
          <t>No</t>
        </is>
      </c>
      <c r="L3232" t="inlineStr">
        <is>
          <t>0</t>
        </is>
      </c>
      <c r="M3232" t="inlineStr">
        <is>
          <t>Raphael, Frederic, 1931-</t>
        </is>
      </c>
      <c r="N3232" t="inlineStr">
        <is>
          <t>New York : Scribner, [1977]</t>
        </is>
      </c>
      <c r="O3232" t="inlineStr">
        <is>
          <t>1977</t>
        </is>
      </c>
      <c r="Q3232" t="inlineStr">
        <is>
          <t>eng</t>
        </is>
      </c>
      <c r="R3232" t="inlineStr">
        <is>
          <t>nyu</t>
        </is>
      </c>
      <c r="T3232" t="inlineStr">
        <is>
          <t xml:space="preserve">PR </t>
        </is>
      </c>
      <c r="U3232" t="n">
        <v>2</v>
      </c>
      <c r="V3232" t="n">
        <v>2</v>
      </c>
      <c r="W3232" t="inlineStr">
        <is>
          <t>1995-02-24</t>
        </is>
      </c>
      <c r="X3232" t="inlineStr">
        <is>
          <t>1995-02-24</t>
        </is>
      </c>
      <c r="Y3232" t="inlineStr">
        <is>
          <t>1992-07-16</t>
        </is>
      </c>
      <c r="Z3232" t="inlineStr">
        <is>
          <t>1992-07-16</t>
        </is>
      </c>
      <c r="AA3232" t="n">
        <v>677</v>
      </c>
      <c r="AB3232" t="n">
        <v>661</v>
      </c>
      <c r="AC3232" t="n">
        <v>735</v>
      </c>
      <c r="AD3232" t="n">
        <v>4</v>
      </c>
      <c r="AE3232" t="n">
        <v>6</v>
      </c>
      <c r="AF3232" t="n">
        <v>9</v>
      </c>
      <c r="AG3232" t="n">
        <v>16</v>
      </c>
      <c r="AH3232" t="n">
        <v>2</v>
      </c>
      <c r="AI3232" t="n">
        <v>4</v>
      </c>
      <c r="AJ3232" t="n">
        <v>2</v>
      </c>
      <c r="AK3232" t="n">
        <v>5</v>
      </c>
      <c r="AL3232" t="n">
        <v>4</v>
      </c>
      <c r="AM3232" t="n">
        <v>6</v>
      </c>
      <c r="AN3232" t="n">
        <v>2</v>
      </c>
      <c r="AO3232" t="n">
        <v>4</v>
      </c>
      <c r="AP3232" t="n">
        <v>0</v>
      </c>
      <c r="AQ3232" t="n">
        <v>0</v>
      </c>
      <c r="AR3232" t="inlineStr">
        <is>
          <t>No</t>
        </is>
      </c>
      <c r="AS3232" t="inlineStr">
        <is>
          <t>Yes</t>
        </is>
      </c>
      <c r="AT3232">
        <f>HYPERLINK("http://catalog.hathitrust.org/Record/000210994","HathiTrust Record")</f>
        <v/>
      </c>
      <c r="AU3232">
        <f>HYPERLINK("https://creighton-primo.hosted.exlibrisgroup.com/primo-explore/search?tab=default_tab&amp;search_scope=EVERYTHING&amp;vid=01CRU&amp;lang=en_US&amp;offset=0&amp;query=any,contains,991004256649702656","Catalog Record")</f>
        <v/>
      </c>
      <c r="AV3232">
        <f>HYPERLINK("http://www.worldcat.org/oclc/2827713","WorldCat Record")</f>
        <v/>
      </c>
      <c r="AW3232" t="inlineStr">
        <is>
          <t>433076:eng</t>
        </is>
      </c>
      <c r="AX3232" t="inlineStr">
        <is>
          <t>2827713</t>
        </is>
      </c>
      <c r="AY3232" t="inlineStr">
        <is>
          <t>991004256649702656</t>
        </is>
      </c>
      <c r="AZ3232" t="inlineStr">
        <is>
          <t>991004256649702656</t>
        </is>
      </c>
      <c r="BA3232" t="inlineStr">
        <is>
          <t>2256913520002656</t>
        </is>
      </c>
      <c r="BB3232" t="inlineStr">
        <is>
          <t>BOOK</t>
        </is>
      </c>
      <c r="BD3232" t="inlineStr">
        <is>
          <t>9780684148397</t>
        </is>
      </c>
      <c r="BE3232" t="inlineStr">
        <is>
          <t>32285001154599</t>
        </is>
      </c>
      <c r="BF3232" t="inlineStr">
        <is>
          <t>893782025</t>
        </is>
      </c>
    </row>
    <row r="3233">
      <c r="A3233" t="inlineStr">
        <is>
          <t>No</t>
        </is>
      </c>
      <c r="B3233" t="inlineStr">
        <is>
          <t>CURAL</t>
        </is>
      </c>
      <c r="C3233" t="inlineStr">
        <is>
          <t>SHELVES</t>
        </is>
      </c>
      <c r="D3233" t="inlineStr">
        <is>
          <t>PR6025.A86 Z93 1987</t>
        </is>
      </c>
      <c r="E3233" t="inlineStr">
        <is>
          <t>0                      PR 6025000A  86                 Z  93          1987</t>
        </is>
      </c>
      <c r="F3233" t="inlineStr">
        <is>
          <t>Maugham : a reappraisal / by John Whitehead.</t>
        </is>
      </c>
      <c r="H3233" t="inlineStr">
        <is>
          <t>No</t>
        </is>
      </c>
      <c r="I3233" t="inlineStr">
        <is>
          <t>1</t>
        </is>
      </c>
      <c r="J3233" t="inlineStr">
        <is>
          <t>No</t>
        </is>
      </c>
      <c r="K3233" t="inlineStr">
        <is>
          <t>No</t>
        </is>
      </c>
      <c r="L3233" t="inlineStr">
        <is>
          <t>0</t>
        </is>
      </c>
      <c r="M3233" t="inlineStr">
        <is>
          <t>Whitehead, John, 1924-</t>
        </is>
      </c>
      <c r="N3233" t="inlineStr">
        <is>
          <t>London : Vision ; Totowa, N.J. : Barnes &amp; Noble, 1987.</t>
        </is>
      </c>
      <c r="O3233" t="inlineStr">
        <is>
          <t>1987</t>
        </is>
      </c>
      <c r="Q3233" t="inlineStr">
        <is>
          <t>eng</t>
        </is>
      </c>
      <c r="R3233" t="inlineStr">
        <is>
          <t>nju</t>
        </is>
      </c>
      <c r="S3233" t="inlineStr">
        <is>
          <t>Critical studies series</t>
        </is>
      </c>
      <c r="T3233" t="inlineStr">
        <is>
          <t xml:space="preserve">PR </t>
        </is>
      </c>
      <c r="U3233" t="n">
        <v>2</v>
      </c>
      <c r="V3233" t="n">
        <v>2</v>
      </c>
      <c r="W3233" t="inlineStr">
        <is>
          <t>1995-02-24</t>
        </is>
      </c>
      <c r="X3233" t="inlineStr">
        <is>
          <t>1995-02-24</t>
        </is>
      </c>
      <c r="Y3233" t="inlineStr">
        <is>
          <t>1992-03-25</t>
        </is>
      </c>
      <c r="Z3233" t="inlineStr">
        <is>
          <t>1992-03-25</t>
        </is>
      </c>
      <c r="AA3233" t="n">
        <v>120</v>
      </c>
      <c r="AB3233" t="n">
        <v>99</v>
      </c>
      <c r="AC3233" t="n">
        <v>117</v>
      </c>
      <c r="AD3233" t="n">
        <v>3</v>
      </c>
      <c r="AE3233" t="n">
        <v>3</v>
      </c>
      <c r="AF3233" t="n">
        <v>4</v>
      </c>
      <c r="AG3233" t="n">
        <v>5</v>
      </c>
      <c r="AH3233" t="n">
        <v>0</v>
      </c>
      <c r="AI3233" t="n">
        <v>0</v>
      </c>
      <c r="AJ3233" t="n">
        <v>0</v>
      </c>
      <c r="AK3233" t="n">
        <v>0</v>
      </c>
      <c r="AL3233" t="n">
        <v>2</v>
      </c>
      <c r="AM3233" t="n">
        <v>3</v>
      </c>
      <c r="AN3233" t="n">
        <v>2</v>
      </c>
      <c r="AO3233" t="n">
        <v>2</v>
      </c>
      <c r="AP3233" t="n">
        <v>0</v>
      </c>
      <c r="AQ3233" t="n">
        <v>0</v>
      </c>
      <c r="AR3233" t="inlineStr">
        <is>
          <t>No</t>
        </is>
      </c>
      <c r="AS3233" t="inlineStr">
        <is>
          <t>Yes</t>
        </is>
      </c>
      <c r="AT3233">
        <f>HYPERLINK("http://catalog.hathitrust.org/Record/007105736","HathiTrust Record")</f>
        <v/>
      </c>
      <c r="AU3233">
        <f>HYPERLINK("https://creighton-primo.hosted.exlibrisgroup.com/primo-explore/search?tab=default_tab&amp;search_scope=EVERYTHING&amp;vid=01CRU&amp;lang=en_US&amp;offset=0&amp;query=any,contains,991001188099702656","Catalog Record")</f>
        <v/>
      </c>
      <c r="AV3233">
        <f>HYPERLINK("http://www.worldcat.org/oclc/17232251","WorldCat Record")</f>
        <v/>
      </c>
      <c r="AW3233" t="inlineStr">
        <is>
          <t>15944774:eng</t>
        </is>
      </c>
      <c r="AX3233" t="inlineStr">
        <is>
          <t>17232251</t>
        </is>
      </c>
      <c r="AY3233" t="inlineStr">
        <is>
          <t>991001188099702656</t>
        </is>
      </c>
      <c r="AZ3233" t="inlineStr">
        <is>
          <t>991001188099702656</t>
        </is>
      </c>
      <c r="BA3233" t="inlineStr">
        <is>
          <t>2271330780002656</t>
        </is>
      </c>
      <c r="BB3233" t="inlineStr">
        <is>
          <t>BOOK</t>
        </is>
      </c>
      <c r="BD3233" t="inlineStr">
        <is>
          <t>9780389207610</t>
        </is>
      </c>
      <c r="BE3233" t="inlineStr">
        <is>
          <t>32285001006633</t>
        </is>
      </c>
      <c r="BF3233" t="inlineStr">
        <is>
          <t>893438952</t>
        </is>
      </c>
    </row>
    <row r="3234">
      <c r="A3234" t="inlineStr">
        <is>
          <t>No</t>
        </is>
      </c>
      <c r="B3234" t="inlineStr">
        <is>
          <t>CURAL</t>
        </is>
      </c>
      <c r="C3234" t="inlineStr">
        <is>
          <t>SHELVES</t>
        </is>
      </c>
      <c r="D3234" t="inlineStr">
        <is>
          <t>PR6025.U6 Z77</t>
        </is>
      </c>
      <c r="E3234" t="inlineStr">
        <is>
          <t>0                      PR 6025000U  6                  Z  77</t>
        </is>
      </c>
      <c r="F3234" t="inlineStr">
        <is>
          <t>Edwin Muir / by Elgin W. Mellown. --</t>
        </is>
      </c>
      <c r="H3234" t="inlineStr">
        <is>
          <t>No</t>
        </is>
      </c>
      <c r="I3234" t="inlineStr">
        <is>
          <t>1</t>
        </is>
      </c>
      <c r="J3234" t="inlineStr">
        <is>
          <t>No</t>
        </is>
      </c>
      <c r="K3234" t="inlineStr">
        <is>
          <t>No</t>
        </is>
      </c>
      <c r="L3234" t="inlineStr">
        <is>
          <t>0</t>
        </is>
      </c>
      <c r="M3234" t="inlineStr">
        <is>
          <t>Mellown, Elgin W.</t>
        </is>
      </c>
      <c r="N3234" t="inlineStr">
        <is>
          <t>Boston : G. K. Hall, c1979.</t>
        </is>
      </c>
      <c r="O3234" t="inlineStr">
        <is>
          <t>1979</t>
        </is>
      </c>
      <c r="Q3234" t="inlineStr">
        <is>
          <t>eng</t>
        </is>
      </c>
      <c r="R3234" t="inlineStr">
        <is>
          <t>mau</t>
        </is>
      </c>
      <c r="S3234" t="inlineStr">
        <is>
          <t>Twayne's English authors series ; TEAS 248</t>
        </is>
      </c>
      <c r="T3234" t="inlineStr">
        <is>
          <t xml:space="preserve">PR </t>
        </is>
      </c>
      <c r="U3234" t="n">
        <v>1</v>
      </c>
      <c r="V3234" t="n">
        <v>1</v>
      </c>
      <c r="W3234" t="inlineStr">
        <is>
          <t>2005-09-14</t>
        </is>
      </c>
      <c r="X3234" t="inlineStr">
        <is>
          <t>2005-09-14</t>
        </is>
      </c>
      <c r="Y3234" t="inlineStr">
        <is>
          <t>1992-07-16</t>
        </is>
      </c>
      <c r="Z3234" t="inlineStr">
        <is>
          <t>1992-07-16</t>
        </is>
      </c>
      <c r="AA3234" t="n">
        <v>573</v>
      </c>
      <c r="AB3234" t="n">
        <v>508</v>
      </c>
      <c r="AC3234" t="n">
        <v>521</v>
      </c>
      <c r="AD3234" t="n">
        <v>6</v>
      </c>
      <c r="AE3234" t="n">
        <v>6</v>
      </c>
      <c r="AF3234" t="n">
        <v>28</v>
      </c>
      <c r="AG3234" t="n">
        <v>28</v>
      </c>
      <c r="AH3234" t="n">
        <v>13</v>
      </c>
      <c r="AI3234" t="n">
        <v>13</v>
      </c>
      <c r="AJ3234" t="n">
        <v>5</v>
      </c>
      <c r="AK3234" t="n">
        <v>5</v>
      </c>
      <c r="AL3234" t="n">
        <v>14</v>
      </c>
      <c r="AM3234" t="n">
        <v>14</v>
      </c>
      <c r="AN3234" t="n">
        <v>4</v>
      </c>
      <c r="AO3234" t="n">
        <v>4</v>
      </c>
      <c r="AP3234" t="n">
        <v>0</v>
      </c>
      <c r="AQ3234" t="n">
        <v>0</v>
      </c>
      <c r="AR3234" t="inlineStr">
        <is>
          <t>No</t>
        </is>
      </c>
      <c r="AS3234" t="inlineStr">
        <is>
          <t>Yes</t>
        </is>
      </c>
      <c r="AT3234">
        <f>HYPERLINK("http://catalog.hathitrust.org/Record/000178430","HathiTrust Record")</f>
        <v/>
      </c>
      <c r="AU3234">
        <f>HYPERLINK("https://creighton-primo.hosted.exlibrisgroup.com/primo-explore/search?tab=default_tab&amp;search_scope=EVERYTHING&amp;vid=01CRU&amp;lang=en_US&amp;offset=0&amp;query=any,contains,991004579829702656","Catalog Record")</f>
        <v/>
      </c>
      <c r="AV3234">
        <f>HYPERLINK("http://www.worldcat.org/oclc/4056427","WorldCat Record")</f>
        <v/>
      </c>
      <c r="AW3234" t="inlineStr">
        <is>
          <t>13716087:eng</t>
        </is>
      </c>
      <c r="AX3234" t="inlineStr">
        <is>
          <t>4056427</t>
        </is>
      </c>
      <c r="AY3234" t="inlineStr">
        <is>
          <t>991004579829702656</t>
        </is>
      </c>
      <c r="AZ3234" t="inlineStr">
        <is>
          <t>991004579829702656</t>
        </is>
      </c>
      <c r="BA3234" t="inlineStr">
        <is>
          <t>2271994070002656</t>
        </is>
      </c>
      <c r="BB3234" t="inlineStr">
        <is>
          <t>BOOK</t>
        </is>
      </c>
      <c r="BD3234" t="inlineStr">
        <is>
          <t>9780805766875</t>
        </is>
      </c>
      <c r="BE3234" t="inlineStr">
        <is>
          <t>32285001154789</t>
        </is>
      </c>
      <c r="BF3234" t="inlineStr">
        <is>
          <t>893612519</t>
        </is>
      </c>
    </row>
    <row r="3235">
      <c r="A3235" t="inlineStr">
        <is>
          <t>No</t>
        </is>
      </c>
      <c r="B3235" t="inlineStr">
        <is>
          <t>CURAL</t>
        </is>
      </c>
      <c r="C3235" t="inlineStr">
        <is>
          <t>SHELVES</t>
        </is>
      </c>
      <c r="D3235" t="inlineStr">
        <is>
          <t>PR6029.C33 M5 1985</t>
        </is>
      </c>
      <c r="E3235" t="inlineStr">
        <is>
          <t>0                      PR 6029000C  33                 M  5           1985</t>
        </is>
      </c>
      <c r="F3235" t="inlineStr">
        <is>
          <t>Sean O'Casey and his critics : an annotated bibliography, 1916-1982 / by E.H. Mikhail.</t>
        </is>
      </c>
      <c r="H3235" t="inlineStr">
        <is>
          <t>No</t>
        </is>
      </c>
      <c r="I3235" t="inlineStr">
        <is>
          <t>1</t>
        </is>
      </c>
      <c r="J3235" t="inlineStr">
        <is>
          <t>No</t>
        </is>
      </c>
      <c r="K3235" t="inlineStr">
        <is>
          <t>No</t>
        </is>
      </c>
      <c r="L3235" t="inlineStr">
        <is>
          <t>0</t>
        </is>
      </c>
      <c r="M3235" t="inlineStr">
        <is>
          <t>Mikhail, E. H.</t>
        </is>
      </c>
      <c r="N3235" t="inlineStr">
        <is>
          <t>Metuchen, N.J. : Scarecrow Press, 1985.</t>
        </is>
      </c>
      <c r="O3235" t="inlineStr">
        <is>
          <t>1985</t>
        </is>
      </c>
      <c r="Q3235" t="inlineStr">
        <is>
          <t>eng</t>
        </is>
      </c>
      <c r="R3235" t="inlineStr">
        <is>
          <t>nju</t>
        </is>
      </c>
      <c r="S3235" t="inlineStr">
        <is>
          <t>Scarecrow author bibliographies ; no. 67</t>
        </is>
      </c>
      <c r="T3235" t="inlineStr">
        <is>
          <t xml:space="preserve">PR </t>
        </is>
      </c>
      <c r="U3235" t="n">
        <v>6</v>
      </c>
      <c r="V3235" t="n">
        <v>6</v>
      </c>
      <c r="W3235" t="inlineStr">
        <is>
          <t>2005-03-13</t>
        </is>
      </c>
      <c r="X3235" t="inlineStr">
        <is>
          <t>2005-03-13</t>
        </is>
      </c>
      <c r="Y3235" t="inlineStr">
        <is>
          <t>1991-12-20</t>
        </is>
      </c>
      <c r="Z3235" t="inlineStr">
        <is>
          <t>1991-12-20</t>
        </is>
      </c>
      <c r="AA3235" t="n">
        <v>353</v>
      </c>
      <c r="AB3235" t="n">
        <v>279</v>
      </c>
      <c r="AC3235" t="n">
        <v>289</v>
      </c>
      <c r="AD3235" t="n">
        <v>2</v>
      </c>
      <c r="AE3235" t="n">
        <v>2</v>
      </c>
      <c r="AF3235" t="n">
        <v>13</v>
      </c>
      <c r="AG3235" t="n">
        <v>13</v>
      </c>
      <c r="AH3235" t="n">
        <v>2</v>
      </c>
      <c r="AI3235" t="n">
        <v>2</v>
      </c>
      <c r="AJ3235" t="n">
        <v>6</v>
      </c>
      <c r="AK3235" t="n">
        <v>6</v>
      </c>
      <c r="AL3235" t="n">
        <v>8</v>
      </c>
      <c r="AM3235" t="n">
        <v>8</v>
      </c>
      <c r="AN3235" t="n">
        <v>1</v>
      </c>
      <c r="AO3235" t="n">
        <v>1</v>
      </c>
      <c r="AP3235" t="n">
        <v>0</v>
      </c>
      <c r="AQ3235" t="n">
        <v>0</v>
      </c>
      <c r="AR3235" t="inlineStr">
        <is>
          <t>No</t>
        </is>
      </c>
      <c r="AS3235" t="inlineStr">
        <is>
          <t>Yes</t>
        </is>
      </c>
      <c r="AT3235">
        <f>HYPERLINK("http://catalog.hathitrust.org/Record/004469139","HathiTrust Record")</f>
        <v/>
      </c>
      <c r="AU3235">
        <f>HYPERLINK("https://creighton-primo.hosted.exlibrisgroup.com/primo-explore/search?tab=default_tab&amp;search_scope=EVERYTHING&amp;vid=01CRU&amp;lang=en_US&amp;offset=0&amp;query=any,contains,991000491679702656","Catalog Record")</f>
        <v/>
      </c>
      <c r="AV3235">
        <f>HYPERLINK("http://www.worldcat.org/oclc/11113223","WorldCat Record")</f>
        <v/>
      </c>
      <c r="AW3235" t="inlineStr">
        <is>
          <t>348648854:eng</t>
        </is>
      </c>
      <c r="AX3235" t="inlineStr">
        <is>
          <t>11113223</t>
        </is>
      </c>
      <c r="AY3235" t="inlineStr">
        <is>
          <t>991000491679702656</t>
        </is>
      </c>
      <c r="AZ3235" t="inlineStr">
        <is>
          <t>991000491679702656</t>
        </is>
      </c>
      <c r="BA3235" t="inlineStr">
        <is>
          <t>2258231640002656</t>
        </is>
      </c>
      <c r="BB3235" t="inlineStr">
        <is>
          <t>BOOK</t>
        </is>
      </c>
      <c r="BD3235" t="inlineStr">
        <is>
          <t>9780810817470</t>
        </is>
      </c>
      <c r="BE3235" t="inlineStr">
        <is>
          <t>32285000908599</t>
        </is>
      </c>
      <c r="BF3235" t="inlineStr">
        <is>
          <t>893871711</t>
        </is>
      </c>
    </row>
    <row r="3236">
      <c r="A3236" t="inlineStr">
        <is>
          <t>No</t>
        </is>
      </c>
      <c r="B3236" t="inlineStr">
        <is>
          <t>CURAL</t>
        </is>
      </c>
      <c r="C3236" t="inlineStr">
        <is>
          <t>SHELVES</t>
        </is>
      </c>
      <c r="D3236" t="inlineStr">
        <is>
          <t>PR6029.C33 Z459 1972</t>
        </is>
      </c>
      <c r="E3236" t="inlineStr">
        <is>
          <t>0                      PR 6029000C  33                 Z  459         1972</t>
        </is>
      </c>
      <c r="F3236" t="inlineStr">
        <is>
          <t>Sean O'Casey: a bibliography of criticism [by] E. H. Mikhail; with an introduction by Ronald Ayling.</t>
        </is>
      </c>
      <c r="H3236" t="inlineStr">
        <is>
          <t>No</t>
        </is>
      </c>
      <c r="I3236" t="inlineStr">
        <is>
          <t>1</t>
        </is>
      </c>
      <c r="J3236" t="inlineStr">
        <is>
          <t>No</t>
        </is>
      </c>
      <c r="K3236" t="inlineStr">
        <is>
          <t>No</t>
        </is>
      </c>
      <c r="L3236" t="inlineStr">
        <is>
          <t>0</t>
        </is>
      </c>
      <c r="M3236" t="inlineStr">
        <is>
          <t>Mikhail, E. H.</t>
        </is>
      </c>
      <c r="N3236" t="inlineStr">
        <is>
          <t>London, Macmillan, 1972.</t>
        </is>
      </c>
      <c r="O3236" t="inlineStr">
        <is>
          <t>1972</t>
        </is>
      </c>
      <c r="Q3236" t="inlineStr">
        <is>
          <t>eng</t>
        </is>
      </c>
      <c r="R3236" t="inlineStr">
        <is>
          <t>enk</t>
        </is>
      </c>
      <c r="T3236" t="inlineStr">
        <is>
          <t xml:space="preserve">PR </t>
        </is>
      </c>
      <c r="U3236" t="n">
        <v>3</v>
      </c>
      <c r="V3236" t="n">
        <v>3</v>
      </c>
      <c r="W3236" t="inlineStr">
        <is>
          <t>2004-02-25</t>
        </is>
      </c>
      <c r="X3236" t="inlineStr">
        <is>
          <t>2004-02-25</t>
        </is>
      </c>
      <c r="Y3236" t="inlineStr">
        <is>
          <t>1991-12-18</t>
        </is>
      </c>
      <c r="Z3236" t="inlineStr">
        <is>
          <t>1991-12-18</t>
        </is>
      </c>
      <c r="AA3236" t="n">
        <v>163</v>
      </c>
      <c r="AB3236" t="n">
        <v>40</v>
      </c>
      <c r="AC3236" t="n">
        <v>407</v>
      </c>
      <c r="AD3236" t="n">
        <v>1</v>
      </c>
      <c r="AE3236" t="n">
        <v>3</v>
      </c>
      <c r="AF3236" t="n">
        <v>6</v>
      </c>
      <c r="AG3236" t="n">
        <v>25</v>
      </c>
      <c r="AH3236" t="n">
        <v>3</v>
      </c>
      <c r="AI3236" t="n">
        <v>9</v>
      </c>
      <c r="AJ3236" t="n">
        <v>1</v>
      </c>
      <c r="AK3236" t="n">
        <v>7</v>
      </c>
      <c r="AL3236" t="n">
        <v>4</v>
      </c>
      <c r="AM3236" t="n">
        <v>13</v>
      </c>
      <c r="AN3236" t="n">
        <v>0</v>
      </c>
      <c r="AO3236" t="n">
        <v>2</v>
      </c>
      <c r="AP3236" t="n">
        <v>0</v>
      </c>
      <c r="AQ3236" t="n">
        <v>0</v>
      </c>
      <c r="AR3236" t="inlineStr">
        <is>
          <t>No</t>
        </is>
      </c>
      <c r="AS3236" t="inlineStr">
        <is>
          <t>Yes</t>
        </is>
      </c>
      <c r="AT3236">
        <f>HYPERLINK("http://catalog.hathitrust.org/Record/001373368","HathiTrust Record")</f>
        <v/>
      </c>
      <c r="AU3236">
        <f>HYPERLINK("https://creighton-primo.hosted.exlibrisgroup.com/primo-explore/search?tab=default_tab&amp;search_scope=EVERYTHING&amp;vid=01CRU&amp;lang=en_US&amp;offset=0&amp;query=any,contains,991004202999702656","Catalog Record")</f>
        <v/>
      </c>
      <c r="AV3236">
        <f>HYPERLINK("http://www.worldcat.org/oclc/2656530","WorldCat Record")</f>
        <v/>
      </c>
      <c r="AW3236" t="inlineStr">
        <is>
          <t>2102003:eng</t>
        </is>
      </c>
      <c r="AX3236" t="inlineStr">
        <is>
          <t>2656530</t>
        </is>
      </c>
      <c r="AY3236" t="inlineStr">
        <is>
          <t>991004202999702656</t>
        </is>
      </c>
      <c r="AZ3236" t="inlineStr">
        <is>
          <t>991004202999702656</t>
        </is>
      </c>
      <c r="BA3236" t="inlineStr">
        <is>
          <t>2255724940002656</t>
        </is>
      </c>
      <c r="BB3236" t="inlineStr">
        <is>
          <t>BOOK</t>
        </is>
      </c>
      <c r="BD3236" t="inlineStr">
        <is>
          <t>9780333131831</t>
        </is>
      </c>
      <c r="BE3236" t="inlineStr">
        <is>
          <t>32285000896372</t>
        </is>
      </c>
      <c r="BF3236" t="inlineStr">
        <is>
          <t>893706097</t>
        </is>
      </c>
    </row>
    <row r="3237">
      <c r="A3237" t="inlineStr">
        <is>
          <t>No</t>
        </is>
      </c>
      <c r="B3237" t="inlineStr">
        <is>
          <t>CURAL</t>
        </is>
      </c>
      <c r="C3237" t="inlineStr">
        <is>
          <t>SHELVES</t>
        </is>
      </c>
      <c r="D3237" t="inlineStr">
        <is>
          <t>PR6029.C33 Z4591</t>
        </is>
      </c>
      <c r="E3237" t="inlineStr">
        <is>
          <t>0                      PR 6029000C  33                 Z  4591</t>
        </is>
      </c>
      <c r="F3237" t="inlineStr">
        <is>
          <t>Sean O'Casey : a bibliography / Ronald Ayling and Michael J. Durkan.</t>
        </is>
      </c>
      <c r="H3237" t="inlineStr">
        <is>
          <t>No</t>
        </is>
      </c>
      <c r="I3237" t="inlineStr">
        <is>
          <t>1</t>
        </is>
      </c>
      <c r="J3237" t="inlineStr">
        <is>
          <t>No</t>
        </is>
      </c>
      <c r="K3237" t="inlineStr">
        <is>
          <t>No</t>
        </is>
      </c>
      <c r="L3237" t="inlineStr">
        <is>
          <t>0</t>
        </is>
      </c>
      <c r="M3237" t="inlineStr">
        <is>
          <t>Ayling, Ronald, 1932-</t>
        </is>
      </c>
      <c r="N3237" t="inlineStr">
        <is>
          <t>Seattle : University of Washington Press, 1978.</t>
        </is>
      </c>
      <c r="O3237" t="inlineStr">
        <is>
          <t>1978</t>
        </is>
      </c>
      <c r="Q3237" t="inlineStr">
        <is>
          <t>eng</t>
        </is>
      </c>
      <c r="R3237" t="inlineStr">
        <is>
          <t>wau</t>
        </is>
      </c>
      <c r="T3237" t="inlineStr">
        <is>
          <t xml:space="preserve">PR </t>
        </is>
      </c>
      <c r="U3237" t="n">
        <v>1</v>
      </c>
      <c r="V3237" t="n">
        <v>1</v>
      </c>
      <c r="W3237" t="inlineStr">
        <is>
          <t>2004-02-25</t>
        </is>
      </c>
      <c r="X3237" t="inlineStr">
        <is>
          <t>2004-02-25</t>
        </is>
      </c>
      <c r="Y3237" t="inlineStr">
        <is>
          <t>1992-07-16</t>
        </is>
      </c>
      <c r="Z3237" t="inlineStr">
        <is>
          <t>1992-07-16</t>
        </is>
      </c>
      <c r="AA3237" t="n">
        <v>370</v>
      </c>
      <c r="AB3237" t="n">
        <v>344</v>
      </c>
      <c r="AC3237" t="n">
        <v>564</v>
      </c>
      <c r="AD3237" t="n">
        <v>3</v>
      </c>
      <c r="AE3237" t="n">
        <v>4</v>
      </c>
      <c r="AF3237" t="n">
        <v>20</v>
      </c>
      <c r="AG3237" t="n">
        <v>28</v>
      </c>
      <c r="AH3237" t="n">
        <v>5</v>
      </c>
      <c r="AI3237" t="n">
        <v>9</v>
      </c>
      <c r="AJ3237" t="n">
        <v>7</v>
      </c>
      <c r="AK3237" t="n">
        <v>7</v>
      </c>
      <c r="AL3237" t="n">
        <v>12</v>
      </c>
      <c r="AM3237" t="n">
        <v>17</v>
      </c>
      <c r="AN3237" t="n">
        <v>2</v>
      </c>
      <c r="AO3237" t="n">
        <v>3</v>
      </c>
      <c r="AP3237" t="n">
        <v>0</v>
      </c>
      <c r="AQ3237" t="n">
        <v>0</v>
      </c>
      <c r="AR3237" t="inlineStr">
        <is>
          <t>No</t>
        </is>
      </c>
      <c r="AS3237" t="inlineStr">
        <is>
          <t>No</t>
        </is>
      </c>
      <c r="AU3237">
        <f>HYPERLINK("https://creighton-primo.hosted.exlibrisgroup.com/primo-explore/search?tab=default_tab&amp;search_scope=EVERYTHING&amp;vid=01CRU&amp;lang=en_US&amp;offset=0&amp;query=any,contains,991004675469702656","Catalog Record")</f>
        <v/>
      </c>
      <c r="AV3237">
        <f>HYPERLINK("http://www.worldcat.org/oclc/4907987","WorldCat Record")</f>
        <v/>
      </c>
      <c r="AW3237" t="inlineStr">
        <is>
          <t>3858002575:eng</t>
        </is>
      </c>
      <c r="AX3237" t="inlineStr">
        <is>
          <t>4907987</t>
        </is>
      </c>
      <c r="AY3237" t="inlineStr">
        <is>
          <t>991004675469702656</t>
        </is>
      </c>
      <c r="AZ3237" t="inlineStr">
        <is>
          <t>991004675469702656</t>
        </is>
      </c>
      <c r="BA3237" t="inlineStr">
        <is>
          <t>2270984560002656</t>
        </is>
      </c>
      <c r="BB3237" t="inlineStr">
        <is>
          <t>BOOK</t>
        </is>
      </c>
      <c r="BD3237" t="inlineStr">
        <is>
          <t>9780295955667</t>
        </is>
      </c>
      <c r="BE3237" t="inlineStr">
        <is>
          <t>32285001155000</t>
        </is>
      </c>
      <c r="BF3237" t="inlineStr">
        <is>
          <t>893700526</t>
        </is>
      </c>
    </row>
    <row r="3238">
      <c r="A3238" t="inlineStr">
        <is>
          <t>No</t>
        </is>
      </c>
      <c r="B3238" t="inlineStr">
        <is>
          <t>CURAL</t>
        </is>
      </c>
      <c r="C3238" t="inlineStr">
        <is>
          <t>SHELVES</t>
        </is>
      </c>
      <c r="D3238" t="inlineStr">
        <is>
          <t>PR6029.C33 Z587 1971</t>
        </is>
      </c>
      <c r="E3238" t="inlineStr">
        <is>
          <t>0                      PR 6029000C  33                 Z  587         1971</t>
        </is>
      </c>
      <c r="F3238" t="inlineStr">
        <is>
          <t>Sean O'Casey / by William A. Armstrong.</t>
        </is>
      </c>
      <c r="H3238" t="inlineStr">
        <is>
          <t>No</t>
        </is>
      </c>
      <c r="I3238" t="inlineStr">
        <is>
          <t>1</t>
        </is>
      </c>
      <c r="J3238" t="inlineStr">
        <is>
          <t>No</t>
        </is>
      </c>
      <c r="K3238" t="inlineStr">
        <is>
          <t>No</t>
        </is>
      </c>
      <c r="L3238" t="inlineStr">
        <is>
          <t>0</t>
        </is>
      </c>
      <c r="M3238" t="inlineStr">
        <is>
          <t>Armstrong, William A. (William Arthur), 1915-</t>
        </is>
      </c>
      <c r="N3238" t="inlineStr">
        <is>
          <t>[London] : Published for the British council by Longman Group, [1971, c1967]</t>
        </is>
      </c>
      <c r="O3238" t="inlineStr">
        <is>
          <t>1971</t>
        </is>
      </c>
      <c r="Q3238" t="inlineStr">
        <is>
          <t>eng</t>
        </is>
      </c>
      <c r="R3238" t="inlineStr">
        <is>
          <t xml:space="preserve">xx </t>
        </is>
      </c>
      <c r="S3238" t="inlineStr">
        <is>
          <t>Bibliographical series of supplements to British book news on writers and their work, no. 198</t>
        </is>
      </c>
      <c r="T3238" t="inlineStr">
        <is>
          <t xml:space="preserve">PR </t>
        </is>
      </c>
      <c r="U3238" t="n">
        <v>3</v>
      </c>
      <c r="V3238" t="n">
        <v>3</v>
      </c>
      <c r="W3238" t="inlineStr">
        <is>
          <t>2005-03-13</t>
        </is>
      </c>
      <c r="X3238" t="inlineStr">
        <is>
          <t>2005-03-13</t>
        </is>
      </c>
      <c r="Y3238" t="inlineStr">
        <is>
          <t>1992-04-03</t>
        </is>
      </c>
      <c r="Z3238" t="inlineStr">
        <is>
          <t>1992-04-03</t>
        </is>
      </c>
      <c r="AA3238" t="n">
        <v>115</v>
      </c>
      <c r="AB3238" t="n">
        <v>86</v>
      </c>
      <c r="AC3238" t="n">
        <v>530</v>
      </c>
      <c r="AD3238" t="n">
        <v>1</v>
      </c>
      <c r="AE3238" t="n">
        <v>4</v>
      </c>
      <c r="AF3238" t="n">
        <v>6</v>
      </c>
      <c r="AG3238" t="n">
        <v>30</v>
      </c>
      <c r="AH3238" t="n">
        <v>3</v>
      </c>
      <c r="AI3238" t="n">
        <v>12</v>
      </c>
      <c r="AJ3238" t="n">
        <v>2</v>
      </c>
      <c r="AK3238" t="n">
        <v>6</v>
      </c>
      <c r="AL3238" t="n">
        <v>3</v>
      </c>
      <c r="AM3238" t="n">
        <v>17</v>
      </c>
      <c r="AN3238" t="n">
        <v>0</v>
      </c>
      <c r="AO3238" t="n">
        <v>3</v>
      </c>
      <c r="AP3238" t="n">
        <v>0</v>
      </c>
      <c r="AQ3238" t="n">
        <v>0</v>
      </c>
      <c r="AR3238" t="inlineStr">
        <is>
          <t>No</t>
        </is>
      </c>
      <c r="AS3238" t="inlineStr">
        <is>
          <t>No</t>
        </is>
      </c>
      <c r="AU3238">
        <f>HYPERLINK("https://creighton-primo.hosted.exlibrisgroup.com/primo-explore/search?tab=default_tab&amp;search_scope=EVERYTHING&amp;vid=01CRU&amp;lang=en_US&amp;offset=0&amp;query=any,contains,991003542049702656","Catalog Record")</f>
        <v/>
      </c>
      <c r="AV3238">
        <f>HYPERLINK("http://www.worldcat.org/oclc/1106759","WorldCat Record")</f>
        <v/>
      </c>
      <c r="AW3238" t="inlineStr">
        <is>
          <t>9907047502:eng</t>
        </is>
      </c>
      <c r="AX3238" t="inlineStr">
        <is>
          <t>1106759</t>
        </is>
      </c>
      <c r="AY3238" t="inlineStr">
        <is>
          <t>991003542049702656</t>
        </is>
      </c>
      <c r="AZ3238" t="inlineStr">
        <is>
          <t>991003542049702656</t>
        </is>
      </c>
      <c r="BA3238" t="inlineStr">
        <is>
          <t>2259475460002656</t>
        </is>
      </c>
      <c r="BB3238" t="inlineStr">
        <is>
          <t>BOOK</t>
        </is>
      </c>
      <c r="BE3238" t="inlineStr">
        <is>
          <t>32285001033397</t>
        </is>
      </c>
      <c r="BF3238" t="inlineStr">
        <is>
          <t>893258540</t>
        </is>
      </c>
    </row>
    <row r="3239">
      <c r="A3239" t="inlineStr">
        <is>
          <t>No</t>
        </is>
      </c>
      <c r="B3239" t="inlineStr">
        <is>
          <t>CURAL</t>
        </is>
      </c>
      <c r="C3239" t="inlineStr">
        <is>
          <t>SHELVES</t>
        </is>
      </c>
      <c r="D3239" t="inlineStr">
        <is>
          <t>PR6029.C33 Z5874 1982</t>
        </is>
      </c>
      <c r="E3239" t="inlineStr">
        <is>
          <t>0                      PR 6029000C  33                 Z  5874        1982</t>
        </is>
      </c>
      <c r="F3239" t="inlineStr">
        <is>
          <t>Sean O'Casey, from times past / by Brooks Atkinson ; edited by Robert G. Lowery.</t>
        </is>
      </c>
      <c r="H3239" t="inlineStr">
        <is>
          <t>No</t>
        </is>
      </c>
      <c r="I3239" t="inlineStr">
        <is>
          <t>1</t>
        </is>
      </c>
      <c r="J3239" t="inlineStr">
        <is>
          <t>No</t>
        </is>
      </c>
      <c r="K3239" t="inlineStr">
        <is>
          <t>No</t>
        </is>
      </c>
      <c r="L3239" t="inlineStr">
        <is>
          <t>0</t>
        </is>
      </c>
      <c r="M3239" t="inlineStr">
        <is>
          <t>Atkinson, Brooks, 1894-1984.</t>
        </is>
      </c>
      <c r="N3239" t="inlineStr">
        <is>
          <t>Totowa, N.J. : Barnes &amp; Noble Books, 1982.</t>
        </is>
      </c>
      <c r="O3239" t="inlineStr">
        <is>
          <t>1982</t>
        </is>
      </c>
      <c r="Q3239" t="inlineStr">
        <is>
          <t>eng</t>
        </is>
      </c>
      <c r="R3239" t="inlineStr">
        <is>
          <t>nju</t>
        </is>
      </c>
      <c r="T3239" t="inlineStr">
        <is>
          <t xml:space="preserve">PR </t>
        </is>
      </c>
      <c r="U3239" t="n">
        <v>2</v>
      </c>
      <c r="V3239" t="n">
        <v>2</v>
      </c>
      <c r="W3239" t="inlineStr">
        <is>
          <t>1992-11-02</t>
        </is>
      </c>
      <c r="X3239" t="inlineStr">
        <is>
          <t>1992-11-02</t>
        </is>
      </c>
      <c r="Y3239" t="inlineStr">
        <is>
          <t>1990-04-06</t>
        </is>
      </c>
      <c r="Z3239" t="inlineStr">
        <is>
          <t>1990-04-06</t>
        </is>
      </c>
      <c r="AA3239" t="n">
        <v>374</v>
      </c>
      <c r="AB3239" t="n">
        <v>336</v>
      </c>
      <c r="AC3239" t="n">
        <v>364</v>
      </c>
      <c r="AD3239" t="n">
        <v>2</v>
      </c>
      <c r="AE3239" t="n">
        <v>2</v>
      </c>
      <c r="AF3239" t="n">
        <v>16</v>
      </c>
      <c r="AG3239" t="n">
        <v>18</v>
      </c>
      <c r="AH3239" t="n">
        <v>6</v>
      </c>
      <c r="AI3239" t="n">
        <v>7</v>
      </c>
      <c r="AJ3239" t="n">
        <v>6</v>
      </c>
      <c r="AK3239" t="n">
        <v>6</v>
      </c>
      <c r="AL3239" t="n">
        <v>9</v>
      </c>
      <c r="AM3239" t="n">
        <v>11</v>
      </c>
      <c r="AN3239" t="n">
        <v>1</v>
      </c>
      <c r="AO3239" t="n">
        <v>1</v>
      </c>
      <c r="AP3239" t="n">
        <v>0</v>
      </c>
      <c r="AQ3239" t="n">
        <v>0</v>
      </c>
      <c r="AR3239" t="inlineStr">
        <is>
          <t>No</t>
        </is>
      </c>
      <c r="AS3239" t="inlineStr">
        <is>
          <t>Yes</t>
        </is>
      </c>
      <c r="AT3239">
        <f>HYPERLINK("http://catalog.hathitrust.org/Record/000103031","HathiTrust Record")</f>
        <v/>
      </c>
      <c r="AU3239">
        <f>HYPERLINK("https://creighton-primo.hosted.exlibrisgroup.com/primo-explore/search?tab=default_tab&amp;search_scope=EVERYTHING&amp;vid=01CRU&amp;lang=en_US&amp;offset=0&amp;query=any,contains,991000100619702656","Catalog Record")</f>
        <v/>
      </c>
      <c r="AV3239">
        <f>HYPERLINK("http://www.worldcat.org/oclc/8952660","WorldCat Record")</f>
        <v/>
      </c>
      <c r="AW3239" t="inlineStr">
        <is>
          <t>3768754240:eng</t>
        </is>
      </c>
      <c r="AX3239" t="inlineStr">
        <is>
          <t>8952660</t>
        </is>
      </c>
      <c r="AY3239" t="inlineStr">
        <is>
          <t>991000100619702656</t>
        </is>
      </c>
      <c r="AZ3239" t="inlineStr">
        <is>
          <t>991000100619702656</t>
        </is>
      </c>
      <c r="BA3239" t="inlineStr">
        <is>
          <t>2272072680002656</t>
        </is>
      </c>
      <c r="BB3239" t="inlineStr">
        <is>
          <t>BOOK</t>
        </is>
      </c>
      <c r="BD3239" t="inlineStr">
        <is>
          <t>9780389200055</t>
        </is>
      </c>
      <c r="BE3239" t="inlineStr">
        <is>
          <t>32285000111939</t>
        </is>
      </c>
      <c r="BF3239" t="inlineStr">
        <is>
          <t>893714303</t>
        </is>
      </c>
    </row>
    <row r="3240">
      <c r="A3240" t="inlineStr">
        <is>
          <t>No</t>
        </is>
      </c>
      <c r="B3240" t="inlineStr">
        <is>
          <t>CURAL</t>
        </is>
      </c>
      <c r="C3240" t="inlineStr">
        <is>
          <t>SHELVES</t>
        </is>
      </c>
      <c r="D3240" t="inlineStr">
        <is>
          <t>PR6029.C33 Z589 1971</t>
        </is>
      </c>
      <c r="E3240" t="inlineStr">
        <is>
          <t>0                      PR 6029000C  33                 Z  589         1971</t>
        </is>
      </c>
      <c r="F3240" t="inlineStr">
        <is>
          <t>Sean O'Casey / Bernard Benstock.</t>
        </is>
      </c>
      <c r="H3240" t="inlineStr">
        <is>
          <t>No</t>
        </is>
      </c>
      <c r="I3240" t="inlineStr">
        <is>
          <t>1</t>
        </is>
      </c>
      <c r="J3240" t="inlineStr">
        <is>
          <t>No</t>
        </is>
      </c>
      <c r="K3240" t="inlineStr">
        <is>
          <t>No</t>
        </is>
      </c>
      <c r="L3240" t="inlineStr">
        <is>
          <t>0</t>
        </is>
      </c>
      <c r="M3240" t="inlineStr">
        <is>
          <t>Benstock, Bernard.</t>
        </is>
      </c>
      <c r="N3240" t="inlineStr">
        <is>
          <t>Lewisburg : Bucknell University Press, 1971, c1970, 1972 printing.</t>
        </is>
      </c>
      <c r="O3240" t="inlineStr">
        <is>
          <t>1971</t>
        </is>
      </c>
      <c r="Q3240" t="inlineStr">
        <is>
          <t>eng</t>
        </is>
      </c>
      <c r="R3240" t="inlineStr">
        <is>
          <t>pau</t>
        </is>
      </c>
      <c r="S3240" t="inlineStr">
        <is>
          <t>The Irish writers series</t>
        </is>
      </c>
      <c r="T3240" t="inlineStr">
        <is>
          <t xml:space="preserve">PR </t>
        </is>
      </c>
      <c r="U3240" t="n">
        <v>4</v>
      </c>
      <c r="V3240" t="n">
        <v>4</v>
      </c>
      <c r="W3240" t="inlineStr">
        <is>
          <t>1999-03-16</t>
        </is>
      </c>
      <c r="X3240" t="inlineStr">
        <is>
          <t>1999-03-16</t>
        </is>
      </c>
      <c r="Y3240" t="inlineStr">
        <is>
          <t>1990-04-06</t>
        </is>
      </c>
      <c r="Z3240" t="inlineStr">
        <is>
          <t>1990-04-06</t>
        </is>
      </c>
      <c r="AA3240" t="n">
        <v>630</v>
      </c>
      <c r="AB3240" t="n">
        <v>571</v>
      </c>
      <c r="AC3240" t="n">
        <v>583</v>
      </c>
      <c r="AD3240" t="n">
        <v>3</v>
      </c>
      <c r="AE3240" t="n">
        <v>3</v>
      </c>
      <c r="AF3240" t="n">
        <v>25</v>
      </c>
      <c r="AG3240" t="n">
        <v>25</v>
      </c>
      <c r="AH3240" t="n">
        <v>7</v>
      </c>
      <c r="AI3240" t="n">
        <v>7</v>
      </c>
      <c r="AJ3240" t="n">
        <v>10</v>
      </c>
      <c r="AK3240" t="n">
        <v>10</v>
      </c>
      <c r="AL3240" t="n">
        <v>13</v>
      </c>
      <c r="AM3240" t="n">
        <v>13</v>
      </c>
      <c r="AN3240" t="n">
        <v>2</v>
      </c>
      <c r="AO3240" t="n">
        <v>2</v>
      </c>
      <c r="AP3240" t="n">
        <v>0</v>
      </c>
      <c r="AQ3240" t="n">
        <v>0</v>
      </c>
      <c r="AR3240" t="inlineStr">
        <is>
          <t>No</t>
        </is>
      </c>
      <c r="AS3240" t="inlineStr">
        <is>
          <t>Yes</t>
        </is>
      </c>
      <c r="AT3240">
        <f>HYPERLINK("http://catalog.hathitrust.org/Record/009904890","HathiTrust Record")</f>
        <v/>
      </c>
      <c r="AU3240">
        <f>HYPERLINK("https://creighton-primo.hosted.exlibrisgroup.com/primo-explore/search?tab=default_tab&amp;search_scope=EVERYTHING&amp;vid=01CRU&amp;lang=en_US&amp;offset=0&amp;query=any,contains,991000654929702656","Catalog Record")</f>
        <v/>
      </c>
      <c r="AV3240">
        <f>HYPERLINK("http://www.worldcat.org/oclc/114898","WorldCat Record")</f>
        <v/>
      </c>
      <c r="AW3240" t="inlineStr">
        <is>
          <t>503739:eng</t>
        </is>
      </c>
      <c r="AX3240" t="inlineStr">
        <is>
          <t>114898</t>
        </is>
      </c>
      <c r="AY3240" t="inlineStr">
        <is>
          <t>991000654929702656</t>
        </is>
      </c>
      <c r="AZ3240" t="inlineStr">
        <is>
          <t>991000654929702656</t>
        </is>
      </c>
      <c r="BA3240" t="inlineStr">
        <is>
          <t>2259920050002656</t>
        </is>
      </c>
      <c r="BB3240" t="inlineStr">
        <is>
          <t>BOOK</t>
        </is>
      </c>
      <c r="BD3240" t="inlineStr">
        <is>
          <t>9780838777480</t>
        </is>
      </c>
      <c r="BE3240" t="inlineStr">
        <is>
          <t>32285000111947</t>
        </is>
      </c>
      <c r="BF3240" t="inlineStr">
        <is>
          <t>893438475</t>
        </is>
      </c>
    </row>
    <row r="3241">
      <c r="A3241" t="inlineStr">
        <is>
          <t>No</t>
        </is>
      </c>
      <c r="B3241" t="inlineStr">
        <is>
          <t>CURAL</t>
        </is>
      </c>
      <c r="C3241" t="inlineStr">
        <is>
          <t>SHELVES</t>
        </is>
      </c>
      <c r="D3241" t="inlineStr">
        <is>
          <t>PR6029.C33 Z59 1967</t>
        </is>
      </c>
      <c r="E3241" t="inlineStr">
        <is>
          <t>0                      PR 6029000C  33                 Z  59          1967</t>
        </is>
      </c>
      <c r="F3241" t="inlineStr">
        <is>
          <t>O'Casey.</t>
        </is>
      </c>
      <c r="H3241" t="inlineStr">
        <is>
          <t>No</t>
        </is>
      </c>
      <c r="I3241" t="inlineStr">
        <is>
          <t>1</t>
        </is>
      </c>
      <c r="J3241" t="inlineStr">
        <is>
          <t>No</t>
        </is>
      </c>
      <c r="K3241" t="inlineStr">
        <is>
          <t>No</t>
        </is>
      </c>
      <c r="L3241" t="inlineStr">
        <is>
          <t>0</t>
        </is>
      </c>
      <c r="M3241" t="inlineStr">
        <is>
          <t>Cowasjee, Saros.</t>
        </is>
      </c>
      <c r="N3241" t="inlineStr">
        <is>
          <t>New York : Barnes &amp; Noble, [1967, c1966]</t>
        </is>
      </c>
      <c r="O3241" t="inlineStr">
        <is>
          <t>1967</t>
        </is>
      </c>
      <c r="Q3241" t="inlineStr">
        <is>
          <t>eng</t>
        </is>
      </c>
      <c r="R3241" t="inlineStr">
        <is>
          <t>nyu</t>
        </is>
      </c>
      <c r="S3241" t="inlineStr">
        <is>
          <t>Writers and critics</t>
        </is>
      </c>
      <c r="T3241" t="inlineStr">
        <is>
          <t xml:space="preserve">PR </t>
        </is>
      </c>
      <c r="U3241" t="n">
        <v>1</v>
      </c>
      <c r="V3241" t="n">
        <v>1</v>
      </c>
      <c r="W3241" t="inlineStr">
        <is>
          <t>1992-03-30</t>
        </is>
      </c>
      <c r="X3241" t="inlineStr">
        <is>
          <t>1992-03-30</t>
        </is>
      </c>
      <c r="Y3241" t="inlineStr">
        <is>
          <t>1990-04-10</t>
        </is>
      </c>
      <c r="Z3241" t="inlineStr">
        <is>
          <t>1990-04-10</t>
        </is>
      </c>
      <c r="AA3241" t="n">
        <v>137</v>
      </c>
      <c r="AB3241" t="n">
        <v>130</v>
      </c>
      <c r="AC3241" t="n">
        <v>319</v>
      </c>
      <c r="AD3241" t="n">
        <v>2</v>
      </c>
      <c r="AE3241" t="n">
        <v>2</v>
      </c>
      <c r="AF3241" t="n">
        <v>3</v>
      </c>
      <c r="AG3241" t="n">
        <v>15</v>
      </c>
      <c r="AH3241" t="n">
        <v>0</v>
      </c>
      <c r="AI3241" t="n">
        <v>3</v>
      </c>
      <c r="AJ3241" t="n">
        <v>1</v>
      </c>
      <c r="AK3241" t="n">
        <v>5</v>
      </c>
      <c r="AL3241" t="n">
        <v>1</v>
      </c>
      <c r="AM3241" t="n">
        <v>10</v>
      </c>
      <c r="AN3241" t="n">
        <v>1</v>
      </c>
      <c r="AO3241" t="n">
        <v>1</v>
      </c>
      <c r="AP3241" t="n">
        <v>0</v>
      </c>
      <c r="AQ3241" t="n">
        <v>0</v>
      </c>
      <c r="AR3241" t="inlineStr">
        <is>
          <t>No</t>
        </is>
      </c>
      <c r="AS3241" t="inlineStr">
        <is>
          <t>No</t>
        </is>
      </c>
      <c r="AU3241">
        <f>HYPERLINK("https://creighton-primo.hosted.exlibrisgroup.com/primo-explore/search?tab=default_tab&amp;search_scope=EVERYTHING&amp;vid=01CRU&amp;lang=en_US&amp;offset=0&amp;query=any,contains,991003529149702656","Catalog Record")</f>
        <v/>
      </c>
      <c r="AV3241">
        <f>HYPERLINK("http://www.worldcat.org/oclc/1093018","WorldCat Record")</f>
        <v/>
      </c>
      <c r="AW3241" t="inlineStr">
        <is>
          <t>1433770:eng</t>
        </is>
      </c>
      <c r="AX3241" t="inlineStr">
        <is>
          <t>1093018</t>
        </is>
      </c>
      <c r="AY3241" t="inlineStr">
        <is>
          <t>991003529149702656</t>
        </is>
      </c>
      <c r="AZ3241" t="inlineStr">
        <is>
          <t>991003529149702656</t>
        </is>
      </c>
      <c r="BA3241" t="inlineStr">
        <is>
          <t>2264662490002656</t>
        </is>
      </c>
      <c r="BB3241" t="inlineStr">
        <is>
          <t>BOOK</t>
        </is>
      </c>
      <c r="BE3241" t="inlineStr">
        <is>
          <t>32285000103829</t>
        </is>
      </c>
      <c r="BF3241" t="inlineStr">
        <is>
          <t>893352867</t>
        </is>
      </c>
    </row>
    <row r="3242">
      <c r="A3242" t="inlineStr">
        <is>
          <t>No</t>
        </is>
      </c>
      <c r="B3242" t="inlineStr">
        <is>
          <t>CURAL</t>
        </is>
      </c>
      <c r="C3242" t="inlineStr">
        <is>
          <t>SHELVES</t>
        </is>
      </c>
      <c r="D3242" t="inlineStr">
        <is>
          <t>PR6029.C33 Z6</t>
        </is>
      </c>
      <c r="E3242" t="inlineStr">
        <is>
          <t>0                      PR 6029000C  33                 Z  6</t>
        </is>
      </c>
      <c r="F3242" t="inlineStr">
        <is>
          <t>Sean O'Casey; the man behind the plays.</t>
        </is>
      </c>
      <c r="H3242" t="inlineStr">
        <is>
          <t>No</t>
        </is>
      </c>
      <c r="I3242" t="inlineStr">
        <is>
          <t>1</t>
        </is>
      </c>
      <c r="J3242" t="inlineStr">
        <is>
          <t>No</t>
        </is>
      </c>
      <c r="K3242" t="inlineStr">
        <is>
          <t>No</t>
        </is>
      </c>
      <c r="L3242" t="inlineStr">
        <is>
          <t>0</t>
        </is>
      </c>
      <c r="M3242" t="inlineStr">
        <is>
          <t>Cowasjee, Saros.</t>
        </is>
      </c>
      <c r="N3242" t="inlineStr">
        <is>
          <t>New York, St Martin's Press, 1964 [c1963]</t>
        </is>
      </c>
      <c r="O3242" t="inlineStr">
        <is>
          <t>1964</t>
        </is>
      </c>
      <c r="Q3242" t="inlineStr">
        <is>
          <t>eng</t>
        </is>
      </c>
      <c r="R3242" t="inlineStr">
        <is>
          <t>nyu</t>
        </is>
      </c>
      <c r="S3242" t="inlineStr">
        <is>
          <t>Biography and criticism, 2</t>
        </is>
      </c>
      <c r="T3242" t="inlineStr">
        <is>
          <t xml:space="preserve">PR </t>
        </is>
      </c>
      <c r="U3242" t="n">
        <v>7</v>
      </c>
      <c r="V3242" t="n">
        <v>7</v>
      </c>
      <c r="W3242" t="inlineStr">
        <is>
          <t>2005-03-13</t>
        </is>
      </c>
      <c r="X3242" t="inlineStr">
        <is>
          <t>2005-03-13</t>
        </is>
      </c>
      <c r="Y3242" t="inlineStr">
        <is>
          <t>1991-12-18</t>
        </is>
      </c>
      <c r="Z3242" t="inlineStr">
        <is>
          <t>1991-12-18</t>
        </is>
      </c>
      <c r="AA3242" t="n">
        <v>499</v>
      </c>
      <c r="AB3242" t="n">
        <v>483</v>
      </c>
      <c r="AC3242" t="n">
        <v>606</v>
      </c>
      <c r="AD3242" t="n">
        <v>6</v>
      </c>
      <c r="AE3242" t="n">
        <v>8</v>
      </c>
      <c r="AF3242" t="n">
        <v>24</v>
      </c>
      <c r="AG3242" t="n">
        <v>32</v>
      </c>
      <c r="AH3242" t="n">
        <v>9</v>
      </c>
      <c r="AI3242" t="n">
        <v>11</v>
      </c>
      <c r="AJ3242" t="n">
        <v>4</v>
      </c>
      <c r="AK3242" t="n">
        <v>7</v>
      </c>
      <c r="AL3242" t="n">
        <v>12</v>
      </c>
      <c r="AM3242" t="n">
        <v>16</v>
      </c>
      <c r="AN3242" t="n">
        <v>4</v>
      </c>
      <c r="AO3242" t="n">
        <v>6</v>
      </c>
      <c r="AP3242" t="n">
        <v>0</v>
      </c>
      <c r="AQ3242" t="n">
        <v>0</v>
      </c>
      <c r="AR3242" t="inlineStr">
        <is>
          <t>No</t>
        </is>
      </c>
      <c r="AS3242" t="inlineStr">
        <is>
          <t>No</t>
        </is>
      </c>
      <c r="AU3242">
        <f>HYPERLINK("https://creighton-primo.hosted.exlibrisgroup.com/primo-explore/search?tab=default_tab&amp;search_scope=EVERYTHING&amp;vid=01CRU&amp;lang=en_US&amp;offset=0&amp;query=any,contains,991002533529702656","Catalog Record")</f>
        <v/>
      </c>
      <c r="AV3242">
        <f>HYPERLINK("http://www.worldcat.org/oclc/367288","WorldCat Record")</f>
        <v/>
      </c>
      <c r="AW3242" t="inlineStr">
        <is>
          <t>1430559:eng</t>
        </is>
      </c>
      <c r="AX3242" t="inlineStr">
        <is>
          <t>367288</t>
        </is>
      </c>
      <c r="AY3242" t="inlineStr">
        <is>
          <t>991002533529702656</t>
        </is>
      </c>
      <c r="AZ3242" t="inlineStr">
        <is>
          <t>991002533529702656</t>
        </is>
      </c>
      <c r="BA3242" t="inlineStr">
        <is>
          <t>2265010030002656</t>
        </is>
      </c>
      <c r="BB3242" t="inlineStr">
        <is>
          <t>BOOK</t>
        </is>
      </c>
      <c r="BE3242" t="inlineStr">
        <is>
          <t>32285000907377</t>
        </is>
      </c>
      <c r="BF3242" t="inlineStr">
        <is>
          <t>893510868</t>
        </is>
      </c>
    </row>
    <row r="3243">
      <c r="A3243" t="inlineStr">
        <is>
          <t>No</t>
        </is>
      </c>
      <c r="B3243" t="inlineStr">
        <is>
          <t>CURAL</t>
        </is>
      </c>
      <c r="C3243" t="inlineStr">
        <is>
          <t>SHELVES</t>
        </is>
      </c>
      <c r="D3243" t="inlineStr">
        <is>
          <t>PR6029.C33 Z63 1965</t>
        </is>
      </c>
      <c r="E3243" t="inlineStr">
        <is>
          <t>0                      PR 6029000C  33                 Z  63          1965</t>
        </is>
      </c>
      <c r="F3243" t="inlineStr">
        <is>
          <t>Sean O'Casey, the man I knew.</t>
        </is>
      </c>
      <c r="H3243" t="inlineStr">
        <is>
          <t>No</t>
        </is>
      </c>
      <c r="I3243" t="inlineStr">
        <is>
          <t>1</t>
        </is>
      </c>
      <c r="J3243" t="inlineStr">
        <is>
          <t>No</t>
        </is>
      </c>
      <c r="K3243" t="inlineStr">
        <is>
          <t>No</t>
        </is>
      </c>
      <c r="L3243" t="inlineStr">
        <is>
          <t>0</t>
        </is>
      </c>
      <c r="M3243" t="inlineStr">
        <is>
          <t>Fallon, Gabriel.</t>
        </is>
      </c>
      <c r="N3243" t="inlineStr">
        <is>
          <t>Boston : Little, Brown, [1965]</t>
        </is>
      </c>
      <c r="O3243" t="inlineStr">
        <is>
          <t>1965</t>
        </is>
      </c>
      <c r="P3243" t="inlineStr">
        <is>
          <t>[1st American ed.]</t>
        </is>
      </c>
      <c r="Q3243" t="inlineStr">
        <is>
          <t>eng</t>
        </is>
      </c>
      <c r="R3243" t="inlineStr">
        <is>
          <t>mau</t>
        </is>
      </c>
      <c r="T3243" t="inlineStr">
        <is>
          <t xml:space="preserve">PR </t>
        </is>
      </c>
      <c r="U3243" t="n">
        <v>1</v>
      </c>
      <c r="V3243" t="n">
        <v>1</v>
      </c>
      <c r="W3243" t="inlineStr">
        <is>
          <t>2004-12-02</t>
        </is>
      </c>
      <c r="X3243" t="inlineStr">
        <is>
          <t>2004-12-02</t>
        </is>
      </c>
      <c r="Y3243" t="inlineStr">
        <is>
          <t>1992-04-13</t>
        </is>
      </c>
      <c r="Z3243" t="inlineStr">
        <is>
          <t>1992-04-13</t>
        </is>
      </c>
      <c r="AA3243" t="n">
        <v>764</v>
      </c>
      <c r="AB3243" t="n">
        <v>727</v>
      </c>
      <c r="AC3243" t="n">
        <v>818</v>
      </c>
      <c r="AD3243" t="n">
        <v>6</v>
      </c>
      <c r="AE3243" t="n">
        <v>8</v>
      </c>
      <c r="AF3243" t="n">
        <v>36</v>
      </c>
      <c r="AG3243" t="n">
        <v>41</v>
      </c>
      <c r="AH3243" t="n">
        <v>15</v>
      </c>
      <c r="AI3243" t="n">
        <v>17</v>
      </c>
      <c r="AJ3243" t="n">
        <v>6</v>
      </c>
      <c r="AK3243" t="n">
        <v>7</v>
      </c>
      <c r="AL3243" t="n">
        <v>18</v>
      </c>
      <c r="AM3243" t="n">
        <v>20</v>
      </c>
      <c r="AN3243" t="n">
        <v>5</v>
      </c>
      <c r="AO3243" t="n">
        <v>6</v>
      </c>
      <c r="AP3243" t="n">
        <v>0</v>
      </c>
      <c r="AQ3243" t="n">
        <v>0</v>
      </c>
      <c r="AR3243" t="inlineStr">
        <is>
          <t>No</t>
        </is>
      </c>
      <c r="AS3243" t="inlineStr">
        <is>
          <t>Yes</t>
        </is>
      </c>
      <c r="AT3243">
        <f>HYPERLINK("http://catalog.hathitrust.org/Record/001025661","HathiTrust Record")</f>
        <v/>
      </c>
      <c r="AU3243">
        <f>HYPERLINK("https://creighton-primo.hosted.exlibrisgroup.com/primo-explore/search?tab=default_tab&amp;search_scope=EVERYTHING&amp;vid=01CRU&amp;lang=en_US&amp;offset=0&amp;query=any,contains,991003179969702656","Catalog Record")</f>
        <v/>
      </c>
      <c r="AV3243">
        <f>HYPERLINK("http://www.worldcat.org/oclc/711540","WorldCat Record")</f>
        <v/>
      </c>
      <c r="AW3243" t="inlineStr">
        <is>
          <t>1658834:eng</t>
        </is>
      </c>
      <c r="AX3243" t="inlineStr">
        <is>
          <t>711540</t>
        </is>
      </c>
      <c r="AY3243" t="inlineStr">
        <is>
          <t>991003179969702656</t>
        </is>
      </c>
      <c r="AZ3243" t="inlineStr">
        <is>
          <t>991003179969702656</t>
        </is>
      </c>
      <c r="BA3243" t="inlineStr">
        <is>
          <t>2261914000002656</t>
        </is>
      </c>
      <c r="BB3243" t="inlineStr">
        <is>
          <t>BOOK</t>
        </is>
      </c>
      <c r="BE3243" t="inlineStr">
        <is>
          <t>32285001059269</t>
        </is>
      </c>
      <c r="BF3243" t="inlineStr">
        <is>
          <t>893317715</t>
        </is>
      </c>
    </row>
    <row r="3244">
      <c r="A3244" t="inlineStr">
        <is>
          <t>No</t>
        </is>
      </c>
      <c r="B3244" t="inlineStr">
        <is>
          <t>CURAL</t>
        </is>
      </c>
      <c r="C3244" t="inlineStr">
        <is>
          <t>SHELVES</t>
        </is>
      </c>
      <c r="D3244" t="inlineStr">
        <is>
          <t>PR6029.C33 Z64</t>
        </is>
      </c>
      <c r="E3244" t="inlineStr">
        <is>
          <t>0                      PR 6029000C  33                 Z  64</t>
        </is>
      </c>
      <c r="F3244" t="inlineStr">
        <is>
          <t>The experiments of Sean O'Casey.</t>
        </is>
      </c>
      <c r="H3244" t="inlineStr">
        <is>
          <t>No</t>
        </is>
      </c>
      <c r="I3244" t="inlineStr">
        <is>
          <t>1</t>
        </is>
      </c>
      <c r="J3244" t="inlineStr">
        <is>
          <t>No</t>
        </is>
      </c>
      <c r="K3244" t="inlineStr">
        <is>
          <t>No</t>
        </is>
      </c>
      <c r="L3244" t="inlineStr">
        <is>
          <t>0</t>
        </is>
      </c>
      <c r="M3244" t="inlineStr">
        <is>
          <t>Hogan, Robert, 1930-1999.</t>
        </is>
      </c>
      <c r="N3244" t="inlineStr">
        <is>
          <t>New York : St. Martin's Press, [1960]</t>
        </is>
      </c>
      <c r="O3244" t="inlineStr">
        <is>
          <t>1960</t>
        </is>
      </c>
      <c r="Q3244" t="inlineStr">
        <is>
          <t>eng</t>
        </is>
      </c>
      <c r="R3244" t="inlineStr">
        <is>
          <t>nyu</t>
        </is>
      </c>
      <c r="T3244" t="inlineStr">
        <is>
          <t xml:space="preserve">PR </t>
        </is>
      </c>
      <c r="U3244" t="n">
        <v>3</v>
      </c>
      <c r="V3244" t="n">
        <v>3</v>
      </c>
      <c r="W3244" t="inlineStr">
        <is>
          <t>2005-03-14</t>
        </is>
      </c>
      <c r="X3244" t="inlineStr">
        <is>
          <t>2005-03-14</t>
        </is>
      </c>
      <c r="Y3244" t="inlineStr">
        <is>
          <t>1992-04-03</t>
        </is>
      </c>
      <c r="Z3244" t="inlineStr">
        <is>
          <t>1992-04-03</t>
        </is>
      </c>
      <c r="AA3244" t="n">
        <v>607</v>
      </c>
      <c r="AB3244" t="n">
        <v>536</v>
      </c>
      <c r="AC3244" t="n">
        <v>543</v>
      </c>
      <c r="AD3244" t="n">
        <v>5</v>
      </c>
      <c r="AE3244" t="n">
        <v>5</v>
      </c>
      <c r="AF3244" t="n">
        <v>28</v>
      </c>
      <c r="AG3244" t="n">
        <v>28</v>
      </c>
      <c r="AH3244" t="n">
        <v>9</v>
      </c>
      <c r="AI3244" t="n">
        <v>9</v>
      </c>
      <c r="AJ3244" t="n">
        <v>7</v>
      </c>
      <c r="AK3244" t="n">
        <v>7</v>
      </c>
      <c r="AL3244" t="n">
        <v>15</v>
      </c>
      <c r="AM3244" t="n">
        <v>15</v>
      </c>
      <c r="AN3244" t="n">
        <v>4</v>
      </c>
      <c r="AO3244" t="n">
        <v>4</v>
      </c>
      <c r="AP3244" t="n">
        <v>0</v>
      </c>
      <c r="AQ3244" t="n">
        <v>0</v>
      </c>
      <c r="AR3244" t="inlineStr">
        <is>
          <t>No</t>
        </is>
      </c>
      <c r="AS3244" t="inlineStr">
        <is>
          <t>No</t>
        </is>
      </c>
      <c r="AT3244">
        <f>HYPERLINK("http://catalog.hathitrust.org/Record/001020440","HathiTrust Record")</f>
        <v/>
      </c>
      <c r="AU3244">
        <f>HYPERLINK("https://creighton-primo.hosted.exlibrisgroup.com/primo-explore/search?tab=default_tab&amp;search_scope=EVERYTHING&amp;vid=01CRU&amp;lang=en_US&amp;offset=0&amp;query=any,contains,991002524579702656","Catalog Record")</f>
        <v/>
      </c>
      <c r="AV3244">
        <f>HYPERLINK("http://www.worldcat.org/oclc/366604","WorldCat Record")</f>
        <v/>
      </c>
      <c r="AW3244" t="inlineStr">
        <is>
          <t>1427986:eng</t>
        </is>
      </c>
      <c r="AX3244" t="inlineStr">
        <is>
          <t>366604</t>
        </is>
      </c>
      <c r="AY3244" t="inlineStr">
        <is>
          <t>991002524579702656</t>
        </is>
      </c>
      <c r="AZ3244" t="inlineStr">
        <is>
          <t>991002524579702656</t>
        </is>
      </c>
      <c r="BA3244" t="inlineStr">
        <is>
          <t>2264512520002656</t>
        </is>
      </c>
      <c r="BB3244" t="inlineStr">
        <is>
          <t>BOOK</t>
        </is>
      </c>
      <c r="BE3244" t="inlineStr">
        <is>
          <t>32285001033371</t>
        </is>
      </c>
      <c r="BF3244" t="inlineStr">
        <is>
          <t>893697907</t>
        </is>
      </c>
    </row>
    <row r="3245">
      <c r="A3245" t="inlineStr">
        <is>
          <t>No</t>
        </is>
      </c>
      <c r="B3245" t="inlineStr">
        <is>
          <t>CURAL</t>
        </is>
      </c>
      <c r="C3245" t="inlineStr">
        <is>
          <t>SHELVES</t>
        </is>
      </c>
      <c r="D3245" t="inlineStr">
        <is>
          <t>PR6029.C33 Z654 1986</t>
        </is>
      </c>
      <c r="E3245" t="inlineStr">
        <is>
          <t>0                      PR 6029000C  33                 Z  654         1986</t>
        </is>
      </c>
      <c r="F3245" t="inlineStr">
        <is>
          <t>File on O'Casey / compiled by Nesta Jones.</t>
        </is>
      </c>
      <c r="H3245" t="inlineStr">
        <is>
          <t>No</t>
        </is>
      </c>
      <c r="I3245" t="inlineStr">
        <is>
          <t>1</t>
        </is>
      </c>
      <c r="J3245" t="inlineStr">
        <is>
          <t>No</t>
        </is>
      </c>
      <c r="K3245" t="inlineStr">
        <is>
          <t>No</t>
        </is>
      </c>
      <c r="L3245" t="inlineStr">
        <is>
          <t>0</t>
        </is>
      </c>
      <c r="M3245" t="inlineStr">
        <is>
          <t>Jones, Nesta Wyn.</t>
        </is>
      </c>
      <c r="N3245" t="inlineStr">
        <is>
          <t>London ; New York : Methuen, 1986.</t>
        </is>
      </c>
      <c r="O3245" t="inlineStr">
        <is>
          <t>1986</t>
        </is>
      </c>
      <c r="Q3245" t="inlineStr">
        <is>
          <t>eng</t>
        </is>
      </c>
      <c r="R3245" t="inlineStr">
        <is>
          <t>enk</t>
        </is>
      </c>
      <c r="S3245" t="inlineStr">
        <is>
          <t>Writer-files</t>
        </is>
      </c>
      <c r="T3245" t="inlineStr">
        <is>
          <t xml:space="preserve">PR </t>
        </is>
      </c>
      <c r="U3245" t="n">
        <v>5</v>
      </c>
      <c r="V3245" t="n">
        <v>5</v>
      </c>
      <c r="W3245" t="inlineStr">
        <is>
          <t>2005-03-14</t>
        </is>
      </c>
      <c r="X3245" t="inlineStr">
        <is>
          <t>2005-03-14</t>
        </is>
      </c>
      <c r="Y3245" t="inlineStr">
        <is>
          <t>1990-04-06</t>
        </is>
      </c>
      <c r="Z3245" t="inlineStr">
        <is>
          <t>1990-04-06</t>
        </is>
      </c>
      <c r="AA3245" t="n">
        <v>327</v>
      </c>
      <c r="AB3245" t="n">
        <v>194</v>
      </c>
      <c r="AC3245" t="n">
        <v>196</v>
      </c>
      <c r="AD3245" t="n">
        <v>5</v>
      </c>
      <c r="AE3245" t="n">
        <v>5</v>
      </c>
      <c r="AF3245" t="n">
        <v>15</v>
      </c>
      <c r="AG3245" t="n">
        <v>15</v>
      </c>
      <c r="AH3245" t="n">
        <v>3</v>
      </c>
      <c r="AI3245" t="n">
        <v>3</v>
      </c>
      <c r="AJ3245" t="n">
        <v>3</v>
      </c>
      <c r="AK3245" t="n">
        <v>3</v>
      </c>
      <c r="AL3245" t="n">
        <v>8</v>
      </c>
      <c r="AM3245" t="n">
        <v>8</v>
      </c>
      <c r="AN3245" t="n">
        <v>4</v>
      </c>
      <c r="AO3245" t="n">
        <v>4</v>
      </c>
      <c r="AP3245" t="n">
        <v>0</v>
      </c>
      <c r="AQ3245" t="n">
        <v>0</v>
      </c>
      <c r="AR3245" t="inlineStr">
        <is>
          <t>No</t>
        </is>
      </c>
      <c r="AS3245" t="inlineStr">
        <is>
          <t>Yes</t>
        </is>
      </c>
      <c r="AT3245">
        <f>HYPERLINK("http://catalog.hathitrust.org/Record/000817159","HathiTrust Record")</f>
        <v/>
      </c>
      <c r="AU3245">
        <f>HYPERLINK("https://creighton-primo.hosted.exlibrisgroup.com/primo-explore/search?tab=default_tab&amp;search_scope=EVERYTHING&amp;vid=01CRU&amp;lang=en_US&amp;offset=0&amp;query=any,contains,991000916109702656","Catalog Record")</f>
        <v/>
      </c>
      <c r="AV3245">
        <f>HYPERLINK("http://www.worldcat.org/oclc/14168849","WorldCat Record")</f>
        <v/>
      </c>
      <c r="AW3245" t="inlineStr">
        <is>
          <t>7267123:eng</t>
        </is>
      </c>
      <c r="AX3245" t="inlineStr">
        <is>
          <t>14168849</t>
        </is>
      </c>
      <c r="AY3245" t="inlineStr">
        <is>
          <t>991000916109702656</t>
        </is>
      </c>
      <c r="AZ3245" t="inlineStr">
        <is>
          <t>991000916109702656</t>
        </is>
      </c>
      <c r="BA3245" t="inlineStr">
        <is>
          <t>2271579670002656</t>
        </is>
      </c>
      <c r="BB3245" t="inlineStr">
        <is>
          <t>BOOK</t>
        </is>
      </c>
      <c r="BD3245" t="inlineStr">
        <is>
          <t>9780413536501</t>
        </is>
      </c>
      <c r="BE3245" t="inlineStr">
        <is>
          <t>32285000111954</t>
        </is>
      </c>
      <c r="BF3245" t="inlineStr">
        <is>
          <t>893903209</t>
        </is>
      </c>
    </row>
    <row r="3246">
      <c r="A3246" t="inlineStr">
        <is>
          <t>No</t>
        </is>
      </c>
      <c r="B3246" t="inlineStr">
        <is>
          <t>CURAL</t>
        </is>
      </c>
      <c r="C3246" t="inlineStr">
        <is>
          <t>SHELVES</t>
        </is>
      </c>
      <c r="D3246" t="inlineStr">
        <is>
          <t>PR6029.C33 Z6566 2000</t>
        </is>
      </c>
      <c r="E3246" t="inlineStr">
        <is>
          <t>0                      PR 6029000C  33                 Z  6566        2000</t>
        </is>
      </c>
      <c r="F3246" t="inlineStr">
        <is>
          <t>The glamour of grammar : orality and politics and the emergence of Sean O'Casey / Colbert Kearney.</t>
        </is>
      </c>
      <c r="H3246" t="inlineStr">
        <is>
          <t>No</t>
        </is>
      </c>
      <c r="I3246" t="inlineStr">
        <is>
          <t>1</t>
        </is>
      </c>
      <c r="J3246" t="inlineStr">
        <is>
          <t>No</t>
        </is>
      </c>
      <c r="K3246" t="inlineStr">
        <is>
          <t>No</t>
        </is>
      </c>
      <c r="L3246" t="inlineStr">
        <is>
          <t>0</t>
        </is>
      </c>
      <c r="M3246" t="inlineStr">
        <is>
          <t>Kearney, Colbert.</t>
        </is>
      </c>
      <c r="N3246" t="inlineStr">
        <is>
          <t>Westport, Conn. : Greenwood Press, 2000.</t>
        </is>
      </c>
      <c r="O3246" t="inlineStr">
        <is>
          <t>2000</t>
        </is>
      </c>
      <c r="Q3246" t="inlineStr">
        <is>
          <t>eng</t>
        </is>
      </c>
      <c r="R3246" t="inlineStr">
        <is>
          <t>ctu</t>
        </is>
      </c>
      <c r="S3246" t="inlineStr">
        <is>
          <t>Contributions in drama and theatre studies, 0163-3821 ; no. 92</t>
        </is>
      </c>
      <c r="T3246" t="inlineStr">
        <is>
          <t xml:space="preserve">PR </t>
        </is>
      </c>
      <c r="U3246" t="n">
        <v>2</v>
      </c>
      <c r="V3246" t="n">
        <v>2</v>
      </c>
      <c r="W3246" t="inlineStr">
        <is>
          <t>2001-10-25</t>
        </is>
      </c>
      <c r="X3246" t="inlineStr">
        <is>
          <t>2001-10-25</t>
        </is>
      </c>
      <c r="Y3246" t="inlineStr">
        <is>
          <t>2001-10-24</t>
        </is>
      </c>
      <c r="Z3246" t="inlineStr">
        <is>
          <t>2001-10-24</t>
        </is>
      </c>
      <c r="AA3246" t="n">
        <v>281</v>
      </c>
      <c r="AB3246" t="n">
        <v>226</v>
      </c>
      <c r="AC3246" t="n">
        <v>228</v>
      </c>
      <c r="AD3246" t="n">
        <v>3</v>
      </c>
      <c r="AE3246" t="n">
        <v>3</v>
      </c>
      <c r="AF3246" t="n">
        <v>12</v>
      </c>
      <c r="AG3246" t="n">
        <v>12</v>
      </c>
      <c r="AH3246" t="n">
        <v>2</v>
      </c>
      <c r="AI3246" t="n">
        <v>2</v>
      </c>
      <c r="AJ3246" t="n">
        <v>5</v>
      </c>
      <c r="AK3246" t="n">
        <v>5</v>
      </c>
      <c r="AL3246" t="n">
        <v>7</v>
      </c>
      <c r="AM3246" t="n">
        <v>7</v>
      </c>
      <c r="AN3246" t="n">
        <v>2</v>
      </c>
      <c r="AO3246" t="n">
        <v>2</v>
      </c>
      <c r="AP3246" t="n">
        <v>0</v>
      </c>
      <c r="AQ3246" t="n">
        <v>0</v>
      </c>
      <c r="AR3246" t="inlineStr">
        <is>
          <t>No</t>
        </is>
      </c>
      <c r="AS3246" t="inlineStr">
        <is>
          <t>Yes</t>
        </is>
      </c>
      <c r="AT3246">
        <f>HYPERLINK("http://catalog.hathitrust.org/Record/003514836","HathiTrust Record")</f>
        <v/>
      </c>
      <c r="AU3246">
        <f>HYPERLINK("https://creighton-primo.hosted.exlibrisgroup.com/primo-explore/search?tab=default_tab&amp;search_scope=EVERYTHING&amp;vid=01CRU&amp;lang=en_US&amp;offset=0&amp;query=any,contains,991003643899702656","Catalog Record")</f>
        <v/>
      </c>
      <c r="AV3246">
        <f>HYPERLINK("http://www.worldcat.org/oclc/43521033","WorldCat Record")</f>
        <v/>
      </c>
      <c r="AW3246" t="inlineStr">
        <is>
          <t>203003013:eng</t>
        </is>
      </c>
      <c r="AX3246" t="inlineStr">
        <is>
          <t>43521033</t>
        </is>
      </c>
      <c r="AY3246" t="inlineStr">
        <is>
          <t>991003643899702656</t>
        </is>
      </c>
      <c r="AZ3246" t="inlineStr">
        <is>
          <t>991003643899702656</t>
        </is>
      </c>
      <c r="BA3246" t="inlineStr">
        <is>
          <t>2263296830002656</t>
        </is>
      </c>
      <c r="BB3246" t="inlineStr">
        <is>
          <t>BOOK</t>
        </is>
      </c>
      <c r="BD3246" t="inlineStr">
        <is>
          <t>9780313313035</t>
        </is>
      </c>
      <c r="BE3246" t="inlineStr">
        <is>
          <t>32285004415013</t>
        </is>
      </c>
      <c r="BF3246" t="inlineStr">
        <is>
          <t>893228271</t>
        </is>
      </c>
    </row>
    <row r="3247">
      <c r="A3247" t="inlineStr">
        <is>
          <t>No</t>
        </is>
      </c>
      <c r="B3247" t="inlineStr">
        <is>
          <t>CURAL</t>
        </is>
      </c>
      <c r="C3247" t="inlineStr">
        <is>
          <t>SHELVES</t>
        </is>
      </c>
      <c r="D3247" t="inlineStr">
        <is>
          <t>PR6029.C33 Z67</t>
        </is>
      </c>
      <c r="E3247" t="inlineStr">
        <is>
          <t>0                      PR 6029000C  33                 Z  67</t>
        </is>
      </c>
      <c r="F3247" t="inlineStr">
        <is>
          <t>The green and the red; Sean O'Casey, the man and his plays.</t>
        </is>
      </c>
      <c r="H3247" t="inlineStr">
        <is>
          <t>No</t>
        </is>
      </c>
      <c r="I3247" t="inlineStr">
        <is>
          <t>1</t>
        </is>
      </c>
      <c r="J3247" t="inlineStr">
        <is>
          <t>No</t>
        </is>
      </c>
      <c r="K3247" t="inlineStr">
        <is>
          <t>No</t>
        </is>
      </c>
      <c r="L3247" t="inlineStr">
        <is>
          <t>0</t>
        </is>
      </c>
      <c r="M3247" t="inlineStr">
        <is>
          <t>Koslow, Jules, 1916-2007.</t>
        </is>
      </c>
      <c r="N3247" t="inlineStr">
        <is>
          <t>[New York] Arts, inc. [1950]</t>
        </is>
      </c>
      <c r="O3247" t="inlineStr">
        <is>
          <t>1950</t>
        </is>
      </c>
      <c r="Q3247" t="inlineStr">
        <is>
          <t>eng</t>
        </is>
      </c>
      <c r="R3247" t="inlineStr">
        <is>
          <t>nyu</t>
        </is>
      </c>
      <c r="S3247" t="inlineStr">
        <is>
          <t>Golden griffin books, 4.</t>
        </is>
      </c>
      <c r="T3247" t="inlineStr">
        <is>
          <t xml:space="preserve">PR </t>
        </is>
      </c>
      <c r="U3247" t="n">
        <v>7</v>
      </c>
      <c r="V3247" t="n">
        <v>7</v>
      </c>
      <c r="W3247" t="inlineStr">
        <is>
          <t>2004-12-02</t>
        </is>
      </c>
      <c r="X3247" t="inlineStr">
        <is>
          <t>2004-12-02</t>
        </is>
      </c>
      <c r="Y3247" t="inlineStr">
        <is>
          <t>1991-12-20</t>
        </is>
      </c>
      <c r="Z3247" t="inlineStr">
        <is>
          <t>1991-12-20</t>
        </is>
      </c>
      <c r="AA3247" t="n">
        <v>435</v>
      </c>
      <c r="AB3247" t="n">
        <v>400</v>
      </c>
      <c r="AC3247" t="n">
        <v>408</v>
      </c>
      <c r="AD3247" t="n">
        <v>4</v>
      </c>
      <c r="AE3247" t="n">
        <v>4</v>
      </c>
      <c r="AF3247" t="n">
        <v>24</v>
      </c>
      <c r="AG3247" t="n">
        <v>24</v>
      </c>
      <c r="AH3247" t="n">
        <v>10</v>
      </c>
      <c r="AI3247" t="n">
        <v>10</v>
      </c>
      <c r="AJ3247" t="n">
        <v>8</v>
      </c>
      <c r="AK3247" t="n">
        <v>8</v>
      </c>
      <c r="AL3247" t="n">
        <v>12</v>
      </c>
      <c r="AM3247" t="n">
        <v>12</v>
      </c>
      <c r="AN3247" t="n">
        <v>3</v>
      </c>
      <c r="AO3247" t="n">
        <v>3</v>
      </c>
      <c r="AP3247" t="n">
        <v>0</v>
      </c>
      <c r="AQ3247" t="n">
        <v>0</v>
      </c>
      <c r="AR3247" t="inlineStr">
        <is>
          <t>Yes</t>
        </is>
      </c>
      <c r="AS3247" t="inlineStr">
        <is>
          <t>No</t>
        </is>
      </c>
      <c r="AT3247">
        <f>HYPERLINK("http://catalog.hathitrust.org/Record/001025662","HathiTrust Record")</f>
        <v/>
      </c>
      <c r="AU3247">
        <f>HYPERLINK("https://creighton-primo.hosted.exlibrisgroup.com/primo-explore/search?tab=default_tab&amp;search_scope=EVERYTHING&amp;vid=01CRU&amp;lang=en_US&amp;offset=0&amp;query=any,contains,991004025269702656","Catalog Record")</f>
        <v/>
      </c>
      <c r="AV3247">
        <f>HYPERLINK("http://www.worldcat.org/oclc/2135850","WorldCat Record")</f>
        <v/>
      </c>
      <c r="AW3247" t="inlineStr">
        <is>
          <t>3856355512:eng</t>
        </is>
      </c>
      <c r="AX3247" t="inlineStr">
        <is>
          <t>2135850</t>
        </is>
      </c>
      <c r="AY3247" t="inlineStr">
        <is>
          <t>991004025269702656</t>
        </is>
      </c>
      <c r="AZ3247" t="inlineStr">
        <is>
          <t>991004025269702656</t>
        </is>
      </c>
      <c r="BA3247" t="inlineStr">
        <is>
          <t>2270892780002656</t>
        </is>
      </c>
      <c r="BB3247" t="inlineStr">
        <is>
          <t>BOOK</t>
        </is>
      </c>
      <c r="BE3247" t="inlineStr">
        <is>
          <t>32285000908748</t>
        </is>
      </c>
      <c r="BF3247" t="inlineStr">
        <is>
          <t>893794393</t>
        </is>
      </c>
    </row>
    <row r="3248">
      <c r="A3248" t="inlineStr">
        <is>
          <t>No</t>
        </is>
      </c>
      <c r="B3248" t="inlineStr">
        <is>
          <t>CURAL</t>
        </is>
      </c>
      <c r="C3248" t="inlineStr">
        <is>
          <t>SHELVES</t>
        </is>
      </c>
      <c r="D3248" t="inlineStr">
        <is>
          <t>PR6029.C33 Z68 1962</t>
        </is>
      </c>
      <c r="E3248" t="inlineStr">
        <is>
          <t>0                      PR 6029000C  33                 Z  68          1962</t>
        </is>
      </c>
      <c r="F3248" t="inlineStr">
        <is>
          <t>Sean O'Casey : the man and his work / [by] David Krause.</t>
        </is>
      </c>
      <c r="H3248" t="inlineStr">
        <is>
          <t>No</t>
        </is>
      </c>
      <c r="I3248" t="inlineStr">
        <is>
          <t>1</t>
        </is>
      </c>
      <c r="J3248" t="inlineStr">
        <is>
          <t>No</t>
        </is>
      </c>
      <c r="K3248" t="inlineStr">
        <is>
          <t>No</t>
        </is>
      </c>
      <c r="L3248" t="inlineStr">
        <is>
          <t>0</t>
        </is>
      </c>
      <c r="M3248" t="inlineStr">
        <is>
          <t>Krause, David, 1917-</t>
        </is>
      </c>
      <c r="N3248" t="inlineStr">
        <is>
          <t>New York : Collier Books, 1962.</t>
        </is>
      </c>
      <c r="O3248" t="inlineStr">
        <is>
          <t>1962</t>
        </is>
      </c>
      <c r="P3248" t="inlineStr">
        <is>
          <t>1st Collier Books ed.</t>
        </is>
      </c>
      <c r="Q3248" t="inlineStr">
        <is>
          <t>eng</t>
        </is>
      </c>
      <c r="R3248" t="inlineStr">
        <is>
          <t>nyu</t>
        </is>
      </c>
      <c r="T3248" t="inlineStr">
        <is>
          <t xml:space="preserve">PR </t>
        </is>
      </c>
      <c r="U3248" t="n">
        <v>8</v>
      </c>
      <c r="V3248" t="n">
        <v>8</v>
      </c>
      <c r="W3248" t="inlineStr">
        <is>
          <t>1997-12-05</t>
        </is>
      </c>
      <c r="X3248" t="inlineStr">
        <is>
          <t>1997-12-05</t>
        </is>
      </c>
      <c r="Y3248" t="inlineStr">
        <is>
          <t>1992-04-13</t>
        </is>
      </c>
      <c r="Z3248" t="inlineStr">
        <is>
          <t>1992-04-13</t>
        </is>
      </c>
      <c r="AA3248" t="n">
        <v>162</v>
      </c>
      <c r="AB3248" t="n">
        <v>141</v>
      </c>
      <c r="AC3248" t="n">
        <v>1098</v>
      </c>
      <c r="AD3248" t="n">
        <v>2</v>
      </c>
      <c r="AE3248" t="n">
        <v>7</v>
      </c>
      <c r="AF3248" t="n">
        <v>6</v>
      </c>
      <c r="AG3248" t="n">
        <v>49</v>
      </c>
      <c r="AH3248" t="n">
        <v>2</v>
      </c>
      <c r="AI3248" t="n">
        <v>21</v>
      </c>
      <c r="AJ3248" t="n">
        <v>1</v>
      </c>
      <c r="AK3248" t="n">
        <v>9</v>
      </c>
      <c r="AL3248" t="n">
        <v>3</v>
      </c>
      <c r="AM3248" t="n">
        <v>24</v>
      </c>
      <c r="AN3248" t="n">
        <v>1</v>
      </c>
      <c r="AO3248" t="n">
        <v>6</v>
      </c>
      <c r="AP3248" t="n">
        <v>0</v>
      </c>
      <c r="AQ3248" t="n">
        <v>0</v>
      </c>
      <c r="AR3248" t="inlineStr">
        <is>
          <t>No</t>
        </is>
      </c>
      <c r="AS3248" t="inlineStr">
        <is>
          <t>No</t>
        </is>
      </c>
      <c r="AU3248">
        <f>HYPERLINK("https://creighton-primo.hosted.exlibrisgroup.com/primo-explore/search?tab=default_tab&amp;search_scope=EVERYTHING&amp;vid=01CRU&amp;lang=en_US&amp;offset=0&amp;query=any,contains,991001342389702656","Catalog Record")</f>
        <v/>
      </c>
      <c r="AV3248">
        <f>HYPERLINK("http://www.worldcat.org/oclc/18388084","WorldCat Record")</f>
        <v/>
      </c>
      <c r="AW3248" t="inlineStr">
        <is>
          <t>3855326342:eng</t>
        </is>
      </c>
      <c r="AX3248" t="inlineStr">
        <is>
          <t>18388084</t>
        </is>
      </c>
      <c r="AY3248" t="inlineStr">
        <is>
          <t>991001342389702656</t>
        </is>
      </c>
      <c r="AZ3248" t="inlineStr">
        <is>
          <t>991001342389702656</t>
        </is>
      </c>
      <c r="BA3248" t="inlineStr">
        <is>
          <t>2269113270002656</t>
        </is>
      </c>
      <c r="BB3248" t="inlineStr">
        <is>
          <t>BOOK</t>
        </is>
      </c>
      <c r="BE3248" t="inlineStr">
        <is>
          <t>32285001059236</t>
        </is>
      </c>
      <c r="BF3248" t="inlineStr">
        <is>
          <t>893503338</t>
        </is>
      </c>
    </row>
    <row r="3249">
      <c r="A3249" t="inlineStr">
        <is>
          <t>No</t>
        </is>
      </c>
      <c r="B3249" t="inlineStr">
        <is>
          <t>CURAL</t>
        </is>
      </c>
      <c r="C3249" t="inlineStr">
        <is>
          <t>SHELVES</t>
        </is>
      </c>
      <c r="D3249" t="inlineStr">
        <is>
          <t>PR6029.C33 Z78 1972</t>
        </is>
      </c>
      <c r="E3249" t="inlineStr">
        <is>
          <t>0                      PR 6029000C  33                 Z  78          1972</t>
        </is>
      </c>
      <c r="F3249" t="inlineStr">
        <is>
          <t>Sean. Edited with an introd. by J. C. Trewin.</t>
        </is>
      </c>
      <c r="H3249" t="inlineStr">
        <is>
          <t>No</t>
        </is>
      </c>
      <c r="I3249" t="inlineStr">
        <is>
          <t>1</t>
        </is>
      </c>
      <c r="J3249" t="inlineStr">
        <is>
          <t>No</t>
        </is>
      </c>
      <c r="K3249" t="inlineStr">
        <is>
          <t>No</t>
        </is>
      </c>
      <c r="L3249" t="inlineStr">
        <is>
          <t>0</t>
        </is>
      </c>
      <c r="M3249" t="inlineStr">
        <is>
          <t>O'Casey, Eileen.</t>
        </is>
      </c>
      <c r="N3249" t="inlineStr">
        <is>
          <t>New York, Coward, McCann &amp; Geoghegan [1972, c1971]</t>
        </is>
      </c>
      <c r="O3249" t="inlineStr">
        <is>
          <t>1972</t>
        </is>
      </c>
      <c r="P3249" t="inlineStr">
        <is>
          <t>[1st American ed.]</t>
        </is>
      </c>
      <c r="Q3249" t="inlineStr">
        <is>
          <t>eng</t>
        </is>
      </c>
      <c r="R3249" t="inlineStr">
        <is>
          <t>nyu</t>
        </is>
      </c>
      <c r="T3249" t="inlineStr">
        <is>
          <t xml:space="preserve">PR </t>
        </is>
      </c>
      <c r="U3249" t="n">
        <v>1</v>
      </c>
      <c r="V3249" t="n">
        <v>1</v>
      </c>
      <c r="W3249" t="inlineStr">
        <is>
          <t>2005-03-14</t>
        </is>
      </c>
      <c r="X3249" t="inlineStr">
        <is>
          <t>2005-03-14</t>
        </is>
      </c>
      <c r="Y3249" t="inlineStr">
        <is>
          <t>1997-04-17</t>
        </is>
      </c>
      <c r="Z3249" t="inlineStr">
        <is>
          <t>1997-04-17</t>
        </is>
      </c>
      <c r="AA3249" t="n">
        <v>921</v>
      </c>
      <c r="AB3249" t="n">
        <v>885</v>
      </c>
      <c r="AC3249" t="n">
        <v>974</v>
      </c>
      <c r="AD3249" t="n">
        <v>6</v>
      </c>
      <c r="AE3249" t="n">
        <v>7</v>
      </c>
      <c r="AF3249" t="n">
        <v>32</v>
      </c>
      <c r="AG3249" t="n">
        <v>37</v>
      </c>
      <c r="AH3249" t="n">
        <v>9</v>
      </c>
      <c r="AI3249" t="n">
        <v>11</v>
      </c>
      <c r="AJ3249" t="n">
        <v>8</v>
      </c>
      <c r="AK3249" t="n">
        <v>9</v>
      </c>
      <c r="AL3249" t="n">
        <v>17</v>
      </c>
      <c r="AM3249" t="n">
        <v>19</v>
      </c>
      <c r="AN3249" t="n">
        <v>5</v>
      </c>
      <c r="AO3249" t="n">
        <v>6</v>
      </c>
      <c r="AP3249" t="n">
        <v>0</v>
      </c>
      <c r="AQ3249" t="n">
        <v>0</v>
      </c>
      <c r="AR3249" t="inlineStr">
        <is>
          <t>No</t>
        </is>
      </c>
      <c r="AS3249" t="inlineStr">
        <is>
          <t>Yes</t>
        </is>
      </c>
      <c r="AT3249">
        <f>HYPERLINK("http://catalog.hathitrust.org/Record/001373371","HathiTrust Record")</f>
        <v/>
      </c>
      <c r="AU3249">
        <f>HYPERLINK("https://creighton-primo.hosted.exlibrisgroup.com/primo-explore/search?tab=default_tab&amp;search_scope=EVERYTHING&amp;vid=01CRU&amp;lang=en_US&amp;offset=0&amp;query=any,contains,991001365639702656","Catalog Record")</f>
        <v/>
      </c>
      <c r="AV3249">
        <f>HYPERLINK("http://www.worldcat.org/oclc/222334","WorldCat Record")</f>
        <v/>
      </c>
      <c r="AW3249" t="inlineStr">
        <is>
          <t>1328259:eng</t>
        </is>
      </c>
      <c r="AX3249" t="inlineStr">
        <is>
          <t>222334</t>
        </is>
      </c>
      <c r="AY3249" t="inlineStr">
        <is>
          <t>991001365639702656</t>
        </is>
      </c>
      <c r="AZ3249" t="inlineStr">
        <is>
          <t>991001365639702656</t>
        </is>
      </c>
      <c r="BA3249" t="inlineStr">
        <is>
          <t>2262199230002656</t>
        </is>
      </c>
      <c r="BB3249" t="inlineStr">
        <is>
          <t>BOOK</t>
        </is>
      </c>
      <c r="BE3249" t="inlineStr">
        <is>
          <t>32285002576493</t>
        </is>
      </c>
      <c r="BF3249" t="inlineStr">
        <is>
          <t>893872489</t>
        </is>
      </c>
    </row>
    <row r="3250">
      <c r="A3250" t="inlineStr">
        <is>
          <t>No</t>
        </is>
      </c>
      <c r="B3250" t="inlineStr">
        <is>
          <t>CURAL</t>
        </is>
      </c>
      <c r="C3250" t="inlineStr">
        <is>
          <t>SHELVES</t>
        </is>
      </c>
      <c r="D3250" t="inlineStr">
        <is>
          <t>PR6029.C33 Z7823 1988</t>
        </is>
      </c>
      <c r="E3250" t="inlineStr">
        <is>
          <t>0                      PR 6029000C  33                 Z  7823        1988</t>
        </is>
      </c>
      <c r="F3250" t="inlineStr">
        <is>
          <t>Sean O'Casey, a life / Garry O'Connor.</t>
        </is>
      </c>
      <c r="H3250" t="inlineStr">
        <is>
          <t>No</t>
        </is>
      </c>
      <c r="I3250" t="inlineStr">
        <is>
          <t>1</t>
        </is>
      </c>
      <c r="J3250" t="inlineStr">
        <is>
          <t>No</t>
        </is>
      </c>
      <c r="K3250" t="inlineStr">
        <is>
          <t>No</t>
        </is>
      </c>
      <c r="L3250" t="inlineStr">
        <is>
          <t>0</t>
        </is>
      </c>
      <c r="M3250" t="inlineStr">
        <is>
          <t>O'Connor, Garry.</t>
        </is>
      </c>
      <c r="N3250" t="inlineStr">
        <is>
          <t>New York : Atheneum, 1988.</t>
        </is>
      </c>
      <c r="O3250" t="inlineStr">
        <is>
          <t>1988</t>
        </is>
      </c>
      <c r="Q3250" t="inlineStr">
        <is>
          <t>eng</t>
        </is>
      </c>
      <c r="R3250" t="inlineStr">
        <is>
          <t>nyu</t>
        </is>
      </c>
      <c r="T3250" t="inlineStr">
        <is>
          <t xml:space="preserve">PR </t>
        </is>
      </c>
      <c r="U3250" t="n">
        <v>4</v>
      </c>
      <c r="V3250" t="n">
        <v>4</v>
      </c>
      <c r="W3250" t="inlineStr">
        <is>
          <t>1993-03-15</t>
        </is>
      </c>
      <c r="X3250" t="inlineStr">
        <is>
          <t>1993-03-15</t>
        </is>
      </c>
      <c r="Y3250" t="inlineStr">
        <is>
          <t>1992-04-13</t>
        </is>
      </c>
      <c r="Z3250" t="inlineStr">
        <is>
          <t>1992-04-13</t>
        </is>
      </c>
      <c r="AA3250" t="n">
        <v>623</v>
      </c>
      <c r="AB3250" t="n">
        <v>575</v>
      </c>
      <c r="AC3250" t="n">
        <v>623</v>
      </c>
      <c r="AD3250" t="n">
        <v>4</v>
      </c>
      <c r="AE3250" t="n">
        <v>4</v>
      </c>
      <c r="AF3250" t="n">
        <v>29</v>
      </c>
      <c r="AG3250" t="n">
        <v>33</v>
      </c>
      <c r="AH3250" t="n">
        <v>14</v>
      </c>
      <c r="AI3250" t="n">
        <v>14</v>
      </c>
      <c r="AJ3250" t="n">
        <v>6</v>
      </c>
      <c r="AK3250" t="n">
        <v>9</v>
      </c>
      <c r="AL3250" t="n">
        <v>15</v>
      </c>
      <c r="AM3250" t="n">
        <v>18</v>
      </c>
      <c r="AN3250" t="n">
        <v>3</v>
      </c>
      <c r="AO3250" t="n">
        <v>3</v>
      </c>
      <c r="AP3250" t="n">
        <v>0</v>
      </c>
      <c r="AQ3250" t="n">
        <v>0</v>
      </c>
      <c r="AR3250" t="inlineStr">
        <is>
          <t>No</t>
        </is>
      </c>
      <c r="AS3250" t="inlineStr">
        <is>
          <t>Yes</t>
        </is>
      </c>
      <c r="AT3250">
        <f>HYPERLINK("http://catalog.hathitrust.org/Record/004442775","HathiTrust Record")</f>
        <v/>
      </c>
      <c r="AU3250">
        <f>HYPERLINK("https://creighton-primo.hosted.exlibrisgroup.com/primo-explore/search?tab=default_tab&amp;search_scope=EVERYTHING&amp;vid=01CRU&amp;lang=en_US&amp;offset=0&amp;query=any,contains,991001177889702656","Catalog Record")</f>
        <v/>
      </c>
      <c r="AV3250">
        <f>HYPERLINK("http://www.worldcat.org/oclc/17104525","WorldCat Record")</f>
        <v/>
      </c>
      <c r="AW3250" t="inlineStr">
        <is>
          <t>800625819:eng</t>
        </is>
      </c>
      <c r="AX3250" t="inlineStr">
        <is>
          <t>17104525</t>
        </is>
      </c>
      <c r="AY3250" t="inlineStr">
        <is>
          <t>991001177889702656</t>
        </is>
      </c>
      <c r="AZ3250" t="inlineStr">
        <is>
          <t>991001177889702656</t>
        </is>
      </c>
      <c r="BA3250" t="inlineStr">
        <is>
          <t>2269243710002656</t>
        </is>
      </c>
      <c r="BB3250" t="inlineStr">
        <is>
          <t>BOOK</t>
        </is>
      </c>
      <c r="BD3250" t="inlineStr">
        <is>
          <t>9780689118869</t>
        </is>
      </c>
      <c r="BE3250" t="inlineStr">
        <is>
          <t>32285001059210</t>
        </is>
      </c>
      <c r="BF3250" t="inlineStr">
        <is>
          <t>893225658</t>
        </is>
      </c>
    </row>
    <row r="3251">
      <c r="A3251" t="inlineStr">
        <is>
          <t>No</t>
        </is>
      </c>
      <c r="B3251" t="inlineStr">
        <is>
          <t>CURAL</t>
        </is>
      </c>
      <c r="C3251" t="inlineStr">
        <is>
          <t>SHELVES</t>
        </is>
      </c>
      <c r="D3251" t="inlineStr">
        <is>
          <t>PR6029.C33 Z783 1984</t>
        </is>
      </c>
      <c r="E3251" t="inlineStr">
        <is>
          <t>0                      PR 6029000C  33                 Z  783         1984</t>
        </is>
      </c>
      <c r="F3251" t="inlineStr">
        <is>
          <t>A guide to O'Casey's plays : from the plough to the stars / John O'Riordan.</t>
        </is>
      </c>
      <c r="H3251" t="inlineStr">
        <is>
          <t>No</t>
        </is>
      </c>
      <c r="I3251" t="inlineStr">
        <is>
          <t>1</t>
        </is>
      </c>
      <c r="J3251" t="inlineStr">
        <is>
          <t>No</t>
        </is>
      </c>
      <c r="K3251" t="inlineStr">
        <is>
          <t>No</t>
        </is>
      </c>
      <c r="L3251" t="inlineStr">
        <is>
          <t>0</t>
        </is>
      </c>
      <c r="M3251" t="inlineStr">
        <is>
          <t>O'Riordan, John.</t>
        </is>
      </c>
      <c r="N3251" t="inlineStr">
        <is>
          <t>New York : St. Martin's Press, 1984.</t>
        </is>
      </c>
      <c r="O3251" t="inlineStr">
        <is>
          <t>1984</t>
        </is>
      </c>
      <c r="Q3251" t="inlineStr">
        <is>
          <t>eng</t>
        </is>
      </c>
      <c r="R3251" t="inlineStr">
        <is>
          <t>nyu</t>
        </is>
      </c>
      <c r="T3251" t="inlineStr">
        <is>
          <t xml:space="preserve">PR </t>
        </is>
      </c>
      <c r="U3251" t="n">
        <v>15</v>
      </c>
      <c r="V3251" t="n">
        <v>15</v>
      </c>
      <c r="W3251" t="inlineStr">
        <is>
          <t>2005-03-14</t>
        </is>
      </c>
      <c r="X3251" t="inlineStr">
        <is>
          <t>2005-03-14</t>
        </is>
      </c>
      <c r="Y3251" t="inlineStr">
        <is>
          <t>1992-04-03</t>
        </is>
      </c>
      <c r="Z3251" t="inlineStr">
        <is>
          <t>1992-04-03</t>
        </is>
      </c>
      <c r="AA3251" t="n">
        <v>398</v>
      </c>
      <c r="AB3251" t="n">
        <v>369</v>
      </c>
      <c r="AC3251" t="n">
        <v>481</v>
      </c>
      <c r="AD3251" t="n">
        <v>1</v>
      </c>
      <c r="AE3251" t="n">
        <v>3</v>
      </c>
      <c r="AF3251" t="n">
        <v>19</v>
      </c>
      <c r="AG3251" t="n">
        <v>23</v>
      </c>
      <c r="AH3251" t="n">
        <v>8</v>
      </c>
      <c r="AI3251" t="n">
        <v>10</v>
      </c>
      <c r="AJ3251" t="n">
        <v>8</v>
      </c>
      <c r="AK3251" t="n">
        <v>9</v>
      </c>
      <c r="AL3251" t="n">
        <v>11</v>
      </c>
      <c r="AM3251" t="n">
        <v>12</v>
      </c>
      <c r="AN3251" t="n">
        <v>0</v>
      </c>
      <c r="AO3251" t="n">
        <v>2</v>
      </c>
      <c r="AP3251" t="n">
        <v>0</v>
      </c>
      <c r="AQ3251" t="n">
        <v>0</v>
      </c>
      <c r="AR3251" t="inlineStr">
        <is>
          <t>No</t>
        </is>
      </c>
      <c r="AS3251" t="inlineStr">
        <is>
          <t>No</t>
        </is>
      </c>
      <c r="AU3251">
        <f>HYPERLINK("https://creighton-primo.hosted.exlibrisgroup.com/primo-explore/search?tab=default_tab&amp;search_scope=EVERYTHING&amp;vid=01CRU&amp;lang=en_US&amp;offset=0&amp;query=any,contains,991000371729702656","Catalog Record")</f>
        <v/>
      </c>
      <c r="AV3251">
        <f>HYPERLINK("http://www.worldcat.org/oclc/10432271","WorldCat Record")</f>
        <v/>
      </c>
      <c r="AW3251" t="inlineStr">
        <is>
          <t>3450996:eng</t>
        </is>
      </c>
      <c r="AX3251" t="inlineStr">
        <is>
          <t>10432271</t>
        </is>
      </c>
      <c r="AY3251" t="inlineStr">
        <is>
          <t>991000371729702656</t>
        </is>
      </c>
      <c r="AZ3251" t="inlineStr">
        <is>
          <t>991000371729702656</t>
        </is>
      </c>
      <c r="BA3251" t="inlineStr">
        <is>
          <t>2262857940002656</t>
        </is>
      </c>
      <c r="BB3251" t="inlineStr">
        <is>
          <t>BOOK</t>
        </is>
      </c>
      <c r="BD3251" t="inlineStr">
        <is>
          <t>9780312353001</t>
        </is>
      </c>
      <c r="BE3251" t="inlineStr">
        <is>
          <t>32285001033363</t>
        </is>
      </c>
      <c r="BF3251" t="inlineStr">
        <is>
          <t>893438193</t>
        </is>
      </c>
    </row>
    <row r="3252">
      <c r="A3252" t="inlineStr">
        <is>
          <t>No</t>
        </is>
      </c>
      <c r="B3252" t="inlineStr">
        <is>
          <t>CURAL</t>
        </is>
      </c>
      <c r="C3252" t="inlineStr">
        <is>
          <t>SHELVES</t>
        </is>
      </c>
      <c r="D3252" t="inlineStr">
        <is>
          <t>PR6029.C33 Z79 1979b</t>
        </is>
      </c>
      <c r="E3252" t="inlineStr">
        <is>
          <t>0                      PR 6029000C  33                 Z  79          1979b</t>
        </is>
      </c>
      <c r="F3252" t="inlineStr">
        <is>
          <t>Sean O'Casey's drama : verisimilitude and vision / Ronald Gene Rollins.</t>
        </is>
      </c>
      <c r="H3252" t="inlineStr">
        <is>
          <t>No</t>
        </is>
      </c>
      <c r="I3252" t="inlineStr">
        <is>
          <t>1</t>
        </is>
      </c>
      <c r="J3252" t="inlineStr">
        <is>
          <t>No</t>
        </is>
      </c>
      <c r="K3252" t="inlineStr">
        <is>
          <t>No</t>
        </is>
      </c>
      <c r="L3252" t="inlineStr">
        <is>
          <t>0</t>
        </is>
      </c>
      <c r="M3252" t="inlineStr">
        <is>
          <t>Rollins, Ronald Gene.</t>
        </is>
      </c>
      <c r="N3252" t="inlineStr">
        <is>
          <t>University : University of Alabama Press, c1979.</t>
        </is>
      </c>
      <c r="O3252" t="inlineStr">
        <is>
          <t>1978</t>
        </is>
      </c>
      <c r="Q3252" t="inlineStr">
        <is>
          <t>eng</t>
        </is>
      </c>
      <c r="R3252" t="inlineStr">
        <is>
          <t>alu</t>
        </is>
      </c>
      <c r="T3252" t="inlineStr">
        <is>
          <t xml:space="preserve">PR </t>
        </is>
      </c>
      <c r="U3252" t="n">
        <v>5</v>
      </c>
      <c r="V3252" t="n">
        <v>5</v>
      </c>
      <c r="W3252" t="inlineStr">
        <is>
          <t>2005-03-14</t>
        </is>
      </c>
      <c r="X3252" t="inlineStr">
        <is>
          <t>2005-03-14</t>
        </is>
      </c>
      <c r="Y3252" t="inlineStr">
        <is>
          <t>1992-04-03</t>
        </is>
      </c>
      <c r="Z3252" t="inlineStr">
        <is>
          <t>1992-04-03</t>
        </is>
      </c>
      <c r="AA3252" t="n">
        <v>557</v>
      </c>
      <c r="AB3252" t="n">
        <v>460</v>
      </c>
      <c r="AC3252" t="n">
        <v>471</v>
      </c>
      <c r="AD3252" t="n">
        <v>4</v>
      </c>
      <c r="AE3252" t="n">
        <v>4</v>
      </c>
      <c r="AF3252" t="n">
        <v>23</v>
      </c>
      <c r="AG3252" t="n">
        <v>23</v>
      </c>
      <c r="AH3252" t="n">
        <v>12</v>
      </c>
      <c r="AI3252" t="n">
        <v>12</v>
      </c>
      <c r="AJ3252" t="n">
        <v>6</v>
      </c>
      <c r="AK3252" t="n">
        <v>6</v>
      </c>
      <c r="AL3252" t="n">
        <v>11</v>
      </c>
      <c r="AM3252" t="n">
        <v>11</v>
      </c>
      <c r="AN3252" t="n">
        <v>3</v>
      </c>
      <c r="AO3252" t="n">
        <v>3</v>
      </c>
      <c r="AP3252" t="n">
        <v>0</v>
      </c>
      <c r="AQ3252" t="n">
        <v>0</v>
      </c>
      <c r="AR3252" t="inlineStr">
        <is>
          <t>No</t>
        </is>
      </c>
      <c r="AS3252" t="inlineStr">
        <is>
          <t>Yes</t>
        </is>
      </c>
      <c r="AT3252">
        <f>HYPERLINK("http://catalog.hathitrust.org/Record/000024908","HathiTrust Record")</f>
        <v/>
      </c>
      <c r="AU3252">
        <f>HYPERLINK("https://creighton-primo.hosted.exlibrisgroup.com/primo-explore/search?tab=default_tab&amp;search_scope=EVERYTHING&amp;vid=01CRU&amp;lang=en_US&amp;offset=0&amp;query=any,contains,991004393779702656","Catalog Record")</f>
        <v/>
      </c>
      <c r="AV3252">
        <f>HYPERLINK("http://www.worldcat.org/oclc/3273949","WorldCat Record")</f>
        <v/>
      </c>
      <c r="AW3252" t="inlineStr">
        <is>
          <t>365464672:eng</t>
        </is>
      </c>
      <c r="AX3252" t="inlineStr">
        <is>
          <t>3273949</t>
        </is>
      </c>
      <c r="AY3252" t="inlineStr">
        <is>
          <t>991004393779702656</t>
        </is>
      </c>
      <c r="AZ3252" t="inlineStr">
        <is>
          <t>991004393779702656</t>
        </is>
      </c>
      <c r="BA3252" t="inlineStr">
        <is>
          <t>2263196590002656</t>
        </is>
      </c>
      <c r="BB3252" t="inlineStr">
        <is>
          <t>BOOK</t>
        </is>
      </c>
      <c r="BD3252" t="inlineStr">
        <is>
          <t>9780817373276</t>
        </is>
      </c>
      <c r="BE3252" t="inlineStr">
        <is>
          <t>32285001033355</t>
        </is>
      </c>
      <c r="BF3252" t="inlineStr">
        <is>
          <t>893722407</t>
        </is>
      </c>
    </row>
    <row r="3253">
      <c r="A3253" t="inlineStr">
        <is>
          <t>No</t>
        </is>
      </c>
      <c r="B3253" t="inlineStr">
        <is>
          <t>CURAL</t>
        </is>
      </c>
      <c r="C3253" t="inlineStr">
        <is>
          <t>SHELVES</t>
        </is>
      </c>
      <c r="D3253" t="inlineStr">
        <is>
          <t>PR6029.C33 Z855 1984</t>
        </is>
      </c>
      <c r="E3253" t="inlineStr">
        <is>
          <t>0                      PR 6029000C  33                 Z  855         1984</t>
        </is>
      </c>
      <c r="F3253" t="inlineStr">
        <is>
          <t>Sean O'Casey / James Simmons.</t>
        </is>
      </c>
      <c r="H3253" t="inlineStr">
        <is>
          <t>No</t>
        </is>
      </c>
      <c r="I3253" t="inlineStr">
        <is>
          <t>1</t>
        </is>
      </c>
      <c r="J3253" t="inlineStr">
        <is>
          <t>No</t>
        </is>
      </c>
      <c r="K3253" t="inlineStr">
        <is>
          <t>No</t>
        </is>
      </c>
      <c r="L3253" t="inlineStr">
        <is>
          <t>0</t>
        </is>
      </c>
      <c r="M3253" t="inlineStr">
        <is>
          <t>Simmons, James, 1933-2001.</t>
        </is>
      </c>
      <c r="N3253" t="inlineStr">
        <is>
          <t>New York : Grove Press, 1984, c1983.</t>
        </is>
      </c>
      <c r="O3253" t="inlineStr">
        <is>
          <t>1984</t>
        </is>
      </c>
      <c r="P3253" t="inlineStr">
        <is>
          <t>1st Grove Press hardcover ed.</t>
        </is>
      </c>
      <c r="Q3253" t="inlineStr">
        <is>
          <t>eng</t>
        </is>
      </c>
      <c r="R3253" t="inlineStr">
        <is>
          <t>nyu</t>
        </is>
      </c>
      <c r="S3253" t="inlineStr">
        <is>
          <t>Grove Press modern dramatists</t>
        </is>
      </c>
      <c r="T3253" t="inlineStr">
        <is>
          <t xml:space="preserve">PR </t>
        </is>
      </c>
      <c r="U3253" t="n">
        <v>9</v>
      </c>
      <c r="V3253" t="n">
        <v>9</v>
      </c>
      <c r="W3253" t="inlineStr">
        <is>
          <t>2004-12-12</t>
        </is>
      </c>
      <c r="X3253" t="inlineStr">
        <is>
          <t>2004-12-12</t>
        </is>
      </c>
      <c r="Y3253" t="inlineStr">
        <is>
          <t>1992-04-03</t>
        </is>
      </c>
      <c r="Z3253" t="inlineStr">
        <is>
          <t>1992-04-03</t>
        </is>
      </c>
      <c r="AA3253" t="n">
        <v>205</v>
      </c>
      <c r="AB3253" t="n">
        <v>184</v>
      </c>
      <c r="AC3253" t="n">
        <v>264</v>
      </c>
      <c r="AD3253" t="n">
        <v>1</v>
      </c>
      <c r="AE3253" t="n">
        <v>2</v>
      </c>
      <c r="AF3253" t="n">
        <v>7</v>
      </c>
      <c r="AG3253" t="n">
        <v>11</v>
      </c>
      <c r="AH3253" t="n">
        <v>2</v>
      </c>
      <c r="AI3253" t="n">
        <v>3</v>
      </c>
      <c r="AJ3253" t="n">
        <v>3</v>
      </c>
      <c r="AK3253" t="n">
        <v>5</v>
      </c>
      <c r="AL3253" t="n">
        <v>3</v>
      </c>
      <c r="AM3253" t="n">
        <v>5</v>
      </c>
      <c r="AN3253" t="n">
        <v>0</v>
      </c>
      <c r="AO3253" t="n">
        <v>1</v>
      </c>
      <c r="AP3253" t="n">
        <v>0</v>
      </c>
      <c r="AQ3253" t="n">
        <v>0</v>
      </c>
      <c r="AR3253" t="inlineStr">
        <is>
          <t>No</t>
        </is>
      </c>
      <c r="AS3253" t="inlineStr">
        <is>
          <t>No</t>
        </is>
      </c>
      <c r="AU3253">
        <f>HYPERLINK("https://creighton-primo.hosted.exlibrisgroup.com/primo-explore/search?tab=default_tab&amp;search_scope=EVERYTHING&amp;vid=01CRU&amp;lang=en_US&amp;offset=0&amp;query=any,contains,991000414959702656","Catalog Record")</f>
        <v/>
      </c>
      <c r="AV3253">
        <f>HYPERLINK("http://www.worldcat.org/oclc/10724005","WorldCat Record")</f>
        <v/>
      </c>
      <c r="AW3253" t="inlineStr">
        <is>
          <t>1908960191:eng</t>
        </is>
      </c>
      <c r="AX3253" t="inlineStr">
        <is>
          <t>10724005</t>
        </is>
      </c>
      <c r="AY3253" t="inlineStr">
        <is>
          <t>991000414959702656</t>
        </is>
      </c>
      <c r="AZ3253" t="inlineStr">
        <is>
          <t>991000414959702656</t>
        </is>
      </c>
      <c r="BA3253" t="inlineStr">
        <is>
          <t>2263244220002656</t>
        </is>
      </c>
      <c r="BB3253" t="inlineStr">
        <is>
          <t>BOOK</t>
        </is>
      </c>
      <c r="BD3253" t="inlineStr">
        <is>
          <t>9780394620428</t>
        </is>
      </c>
      <c r="BE3253" t="inlineStr">
        <is>
          <t>32285001033348</t>
        </is>
      </c>
      <c r="BF3253" t="inlineStr">
        <is>
          <t>893683391</t>
        </is>
      </c>
    </row>
    <row r="3254">
      <c r="A3254" t="inlineStr">
        <is>
          <t>No</t>
        </is>
      </c>
      <c r="B3254" t="inlineStr">
        <is>
          <t>CURAL</t>
        </is>
      </c>
      <c r="C3254" t="inlineStr">
        <is>
          <t>SHELVES</t>
        </is>
      </c>
      <c r="D3254" t="inlineStr">
        <is>
          <t>PR6029.D58 Z75</t>
        </is>
      </c>
      <c r="E3254" t="inlineStr">
        <is>
          <t>0                      PR 6029000D  58                 Z  75</t>
        </is>
      </c>
      <c r="F3254" t="inlineStr">
        <is>
          <t>Frank O'Connor / James H. Matthews.</t>
        </is>
      </c>
      <c r="H3254" t="inlineStr">
        <is>
          <t>No</t>
        </is>
      </c>
      <c r="I3254" t="inlineStr">
        <is>
          <t>1</t>
        </is>
      </c>
      <c r="J3254" t="inlineStr">
        <is>
          <t>No</t>
        </is>
      </c>
      <c r="K3254" t="inlineStr">
        <is>
          <t>No</t>
        </is>
      </c>
      <c r="L3254" t="inlineStr">
        <is>
          <t>0</t>
        </is>
      </c>
      <c r="M3254" t="inlineStr">
        <is>
          <t>Matthews, James H., 1942-</t>
        </is>
      </c>
      <c r="N3254" t="inlineStr">
        <is>
          <t>Lewisburg, [Pa.] : Bucknell University Press, c1976.</t>
        </is>
      </c>
      <c r="O3254" t="inlineStr">
        <is>
          <t>1976</t>
        </is>
      </c>
      <c r="Q3254" t="inlineStr">
        <is>
          <t>eng</t>
        </is>
      </c>
      <c r="R3254" t="inlineStr">
        <is>
          <t>pau</t>
        </is>
      </c>
      <c r="S3254" t="inlineStr">
        <is>
          <t>The Irish writers series</t>
        </is>
      </c>
      <c r="T3254" t="inlineStr">
        <is>
          <t xml:space="preserve">PR </t>
        </is>
      </c>
      <c r="U3254" t="n">
        <v>5</v>
      </c>
      <c r="V3254" t="n">
        <v>5</v>
      </c>
      <c r="W3254" t="inlineStr">
        <is>
          <t>1993-11-29</t>
        </is>
      </c>
      <c r="X3254" t="inlineStr">
        <is>
          <t>1993-11-29</t>
        </is>
      </c>
      <c r="Y3254" t="inlineStr">
        <is>
          <t>1992-07-16</t>
        </is>
      </c>
      <c r="Z3254" t="inlineStr">
        <is>
          <t>1992-07-16</t>
        </is>
      </c>
      <c r="AA3254" t="n">
        <v>659</v>
      </c>
      <c r="AB3254" t="n">
        <v>558</v>
      </c>
      <c r="AC3254" t="n">
        <v>604</v>
      </c>
      <c r="AD3254" t="n">
        <v>6</v>
      </c>
      <c r="AE3254" t="n">
        <v>6</v>
      </c>
      <c r="AF3254" t="n">
        <v>27</v>
      </c>
      <c r="AG3254" t="n">
        <v>31</v>
      </c>
      <c r="AH3254" t="n">
        <v>9</v>
      </c>
      <c r="AI3254" t="n">
        <v>12</v>
      </c>
      <c r="AJ3254" t="n">
        <v>8</v>
      </c>
      <c r="AK3254" t="n">
        <v>8</v>
      </c>
      <c r="AL3254" t="n">
        <v>12</v>
      </c>
      <c r="AM3254" t="n">
        <v>15</v>
      </c>
      <c r="AN3254" t="n">
        <v>5</v>
      </c>
      <c r="AO3254" t="n">
        <v>5</v>
      </c>
      <c r="AP3254" t="n">
        <v>0</v>
      </c>
      <c r="AQ3254" t="n">
        <v>0</v>
      </c>
      <c r="AR3254" t="inlineStr">
        <is>
          <t>No</t>
        </is>
      </c>
      <c r="AS3254" t="inlineStr">
        <is>
          <t>Yes</t>
        </is>
      </c>
      <c r="AT3254">
        <f>HYPERLINK("http://catalog.hathitrust.org/Record/000736327","HathiTrust Record")</f>
        <v/>
      </c>
      <c r="AU3254">
        <f>HYPERLINK("https://creighton-primo.hosted.exlibrisgroup.com/primo-explore/search?tab=default_tab&amp;search_scope=EVERYTHING&amp;vid=01CRU&amp;lang=en_US&amp;offset=0&amp;query=any,contains,991004094609702656","Catalog Record")</f>
        <v/>
      </c>
      <c r="AV3254">
        <f>HYPERLINK("http://www.worldcat.org/oclc/2355448","WorldCat Record")</f>
        <v/>
      </c>
      <c r="AW3254" t="inlineStr">
        <is>
          <t>503719:eng</t>
        </is>
      </c>
      <c r="AX3254" t="inlineStr">
        <is>
          <t>2355448</t>
        </is>
      </c>
      <c r="AY3254" t="inlineStr">
        <is>
          <t>991004094609702656</t>
        </is>
      </c>
      <c r="AZ3254" t="inlineStr">
        <is>
          <t>991004094609702656</t>
        </is>
      </c>
      <c r="BA3254" t="inlineStr">
        <is>
          <t>2266883580002656</t>
        </is>
      </c>
      <c r="BB3254" t="inlineStr">
        <is>
          <t>BOOK</t>
        </is>
      </c>
      <c r="BD3254" t="inlineStr">
        <is>
          <t>9780838777565</t>
        </is>
      </c>
      <c r="BE3254" t="inlineStr">
        <is>
          <t>32285001200145</t>
        </is>
      </c>
      <c r="BF3254" t="inlineStr">
        <is>
          <t>893331201</t>
        </is>
      </c>
    </row>
    <row r="3255">
      <c r="A3255" t="inlineStr">
        <is>
          <t>No</t>
        </is>
      </c>
      <c r="B3255" t="inlineStr">
        <is>
          <t>CURAL</t>
        </is>
      </c>
      <c r="C3255" t="inlineStr">
        <is>
          <t>SHELVES</t>
        </is>
      </c>
      <c r="D3255" t="inlineStr">
        <is>
          <t>PR6029.D58 Z76 1983</t>
        </is>
      </c>
      <c r="E3255" t="inlineStr">
        <is>
          <t>0                      PR 6029000D  58                 Z  76          1983</t>
        </is>
      </c>
      <c r="F3255" t="inlineStr">
        <is>
          <t>Voices : a life of Frank O'Connor / James Matthews.</t>
        </is>
      </c>
      <c r="H3255" t="inlineStr">
        <is>
          <t>No</t>
        </is>
      </c>
      <c r="I3255" t="inlineStr">
        <is>
          <t>1</t>
        </is>
      </c>
      <c r="J3255" t="inlineStr">
        <is>
          <t>No</t>
        </is>
      </c>
      <c r="K3255" t="inlineStr">
        <is>
          <t>No</t>
        </is>
      </c>
      <c r="L3255" t="inlineStr">
        <is>
          <t>0</t>
        </is>
      </c>
      <c r="M3255" t="inlineStr">
        <is>
          <t>Matthews, James H., 1942-</t>
        </is>
      </c>
      <c r="N3255" t="inlineStr">
        <is>
          <t>New York : Atheneum, 1983.</t>
        </is>
      </c>
      <c r="O3255" t="inlineStr">
        <is>
          <t>1983</t>
        </is>
      </c>
      <c r="P3255" t="inlineStr">
        <is>
          <t>1st ed.</t>
        </is>
      </c>
      <c r="Q3255" t="inlineStr">
        <is>
          <t>eng</t>
        </is>
      </c>
      <c r="R3255" t="inlineStr">
        <is>
          <t>nyu</t>
        </is>
      </c>
      <c r="T3255" t="inlineStr">
        <is>
          <t xml:space="preserve">PR </t>
        </is>
      </c>
      <c r="U3255" t="n">
        <v>6</v>
      </c>
      <c r="V3255" t="n">
        <v>6</v>
      </c>
      <c r="W3255" t="inlineStr">
        <is>
          <t>1998-02-25</t>
        </is>
      </c>
      <c r="X3255" t="inlineStr">
        <is>
          <t>1998-02-25</t>
        </is>
      </c>
      <c r="Y3255" t="inlineStr">
        <is>
          <t>1992-07-16</t>
        </is>
      </c>
      <c r="Z3255" t="inlineStr">
        <is>
          <t>1992-07-16</t>
        </is>
      </c>
      <c r="AA3255" t="n">
        <v>775</v>
      </c>
      <c r="AB3255" t="n">
        <v>719</v>
      </c>
      <c r="AC3255" t="n">
        <v>756</v>
      </c>
      <c r="AD3255" t="n">
        <v>6</v>
      </c>
      <c r="AE3255" t="n">
        <v>6</v>
      </c>
      <c r="AF3255" t="n">
        <v>33</v>
      </c>
      <c r="AG3255" t="n">
        <v>35</v>
      </c>
      <c r="AH3255" t="n">
        <v>12</v>
      </c>
      <c r="AI3255" t="n">
        <v>12</v>
      </c>
      <c r="AJ3255" t="n">
        <v>8</v>
      </c>
      <c r="AK3255" t="n">
        <v>10</v>
      </c>
      <c r="AL3255" t="n">
        <v>16</v>
      </c>
      <c r="AM3255" t="n">
        <v>18</v>
      </c>
      <c r="AN3255" t="n">
        <v>5</v>
      </c>
      <c r="AO3255" t="n">
        <v>5</v>
      </c>
      <c r="AP3255" t="n">
        <v>0</v>
      </c>
      <c r="AQ3255" t="n">
        <v>0</v>
      </c>
      <c r="AR3255" t="inlineStr">
        <is>
          <t>No</t>
        </is>
      </c>
      <c r="AS3255" t="inlineStr">
        <is>
          <t>No</t>
        </is>
      </c>
      <c r="AU3255">
        <f>HYPERLINK("https://creighton-primo.hosted.exlibrisgroup.com/primo-explore/search?tab=default_tab&amp;search_scope=EVERYTHING&amp;vid=01CRU&amp;lang=en_US&amp;offset=0&amp;query=any,contains,991000065199702656","Catalog Record")</f>
        <v/>
      </c>
      <c r="AV3255">
        <f>HYPERLINK("http://www.worldcat.org/oclc/8763214","WorldCat Record")</f>
        <v/>
      </c>
      <c r="AW3255" t="inlineStr">
        <is>
          <t>5331941:eng</t>
        </is>
      </c>
      <c r="AX3255" t="inlineStr">
        <is>
          <t>8763214</t>
        </is>
      </c>
      <c r="AY3255" t="inlineStr">
        <is>
          <t>991000065199702656</t>
        </is>
      </c>
      <c r="AZ3255" t="inlineStr">
        <is>
          <t>991000065199702656</t>
        </is>
      </c>
      <c r="BA3255" t="inlineStr">
        <is>
          <t>2266704420002656</t>
        </is>
      </c>
      <c r="BB3255" t="inlineStr">
        <is>
          <t>BOOK</t>
        </is>
      </c>
      <c r="BD3255" t="inlineStr">
        <is>
          <t>9780689112720</t>
        </is>
      </c>
      <c r="BE3255" t="inlineStr">
        <is>
          <t>32285001200152</t>
        </is>
      </c>
      <c r="BF3255" t="inlineStr">
        <is>
          <t>893865049</t>
        </is>
      </c>
    </row>
    <row r="3256">
      <c r="A3256" t="inlineStr">
        <is>
          <t>No</t>
        </is>
      </c>
      <c r="B3256" t="inlineStr">
        <is>
          <t>CURAL</t>
        </is>
      </c>
      <c r="C3256" t="inlineStr">
        <is>
          <t>SHELVES</t>
        </is>
      </c>
      <c r="D3256" t="inlineStr">
        <is>
          <t>PR6029.D58 Z77 1969</t>
        </is>
      </c>
      <c r="E3256" t="inlineStr">
        <is>
          <t>0                      PR 6029000D  58                 Z  77          1969</t>
        </is>
      </c>
      <c r="F3256" t="inlineStr">
        <is>
          <t>Michael/Frank: studies on Frank O'Connor with a bibliography of his writing / edited by Maurice Sheehy.</t>
        </is>
      </c>
      <c r="H3256" t="inlineStr">
        <is>
          <t>No</t>
        </is>
      </c>
      <c r="I3256" t="inlineStr">
        <is>
          <t>1</t>
        </is>
      </c>
      <c r="J3256" t="inlineStr">
        <is>
          <t>No</t>
        </is>
      </c>
      <c r="K3256" t="inlineStr">
        <is>
          <t>No</t>
        </is>
      </c>
      <c r="L3256" t="inlineStr">
        <is>
          <t>0</t>
        </is>
      </c>
      <c r="N3256" t="inlineStr">
        <is>
          <t>Dublin : Gill &amp; Macmillan ; London : Macmillan, 1969.</t>
        </is>
      </c>
      <c r="O3256" t="inlineStr">
        <is>
          <t>1969</t>
        </is>
      </c>
      <c r="Q3256" t="inlineStr">
        <is>
          <t>eng</t>
        </is>
      </c>
      <c r="R3256" t="inlineStr">
        <is>
          <t xml:space="preserve">ie </t>
        </is>
      </c>
      <c r="T3256" t="inlineStr">
        <is>
          <t xml:space="preserve">PR </t>
        </is>
      </c>
      <c r="U3256" t="n">
        <v>5</v>
      </c>
      <c r="V3256" t="n">
        <v>5</v>
      </c>
      <c r="W3256" t="inlineStr">
        <is>
          <t>1998-02-25</t>
        </is>
      </c>
      <c r="X3256" t="inlineStr">
        <is>
          <t>1998-02-25</t>
        </is>
      </c>
      <c r="Y3256" t="inlineStr">
        <is>
          <t>1992-07-16</t>
        </is>
      </c>
      <c r="Z3256" t="inlineStr">
        <is>
          <t>1992-07-16</t>
        </is>
      </c>
      <c r="AA3256" t="n">
        <v>205</v>
      </c>
      <c r="AB3256" t="n">
        <v>129</v>
      </c>
      <c r="AC3256" t="n">
        <v>730</v>
      </c>
      <c r="AD3256" t="n">
        <v>1</v>
      </c>
      <c r="AE3256" t="n">
        <v>8</v>
      </c>
      <c r="AF3256" t="n">
        <v>11</v>
      </c>
      <c r="AG3256" t="n">
        <v>41</v>
      </c>
      <c r="AH3256" t="n">
        <v>3</v>
      </c>
      <c r="AI3256" t="n">
        <v>15</v>
      </c>
      <c r="AJ3256" t="n">
        <v>2</v>
      </c>
      <c r="AK3256" t="n">
        <v>9</v>
      </c>
      <c r="AL3256" t="n">
        <v>9</v>
      </c>
      <c r="AM3256" t="n">
        <v>22</v>
      </c>
      <c r="AN3256" t="n">
        <v>0</v>
      </c>
      <c r="AO3256" t="n">
        <v>7</v>
      </c>
      <c r="AP3256" t="n">
        <v>0</v>
      </c>
      <c r="AQ3256" t="n">
        <v>0</v>
      </c>
      <c r="AR3256" t="inlineStr">
        <is>
          <t>No</t>
        </is>
      </c>
      <c r="AS3256" t="inlineStr">
        <is>
          <t>Yes</t>
        </is>
      </c>
      <c r="AT3256">
        <f>HYPERLINK("http://catalog.hathitrust.org/Record/000672063","HathiTrust Record")</f>
        <v/>
      </c>
      <c r="AU3256">
        <f>HYPERLINK("https://creighton-primo.hosted.exlibrisgroup.com/primo-explore/search?tab=default_tab&amp;search_scope=EVERYTHING&amp;vid=01CRU&amp;lang=en_US&amp;offset=0&amp;query=any,contains,991000087119702656","Catalog Record")</f>
        <v/>
      </c>
      <c r="AV3256">
        <f>HYPERLINK("http://www.worldcat.org/oclc/33825","WorldCat Record")</f>
        <v/>
      </c>
      <c r="AW3256" t="inlineStr">
        <is>
          <t>573241002:eng</t>
        </is>
      </c>
      <c r="AX3256" t="inlineStr">
        <is>
          <t>33825</t>
        </is>
      </c>
      <c r="AY3256" t="inlineStr">
        <is>
          <t>991000087119702656</t>
        </is>
      </c>
      <c r="AZ3256" t="inlineStr">
        <is>
          <t>991000087119702656</t>
        </is>
      </c>
      <c r="BA3256" t="inlineStr">
        <is>
          <t>2261318970002656</t>
        </is>
      </c>
      <c r="BB3256" t="inlineStr">
        <is>
          <t>BOOK</t>
        </is>
      </c>
      <c r="BE3256" t="inlineStr">
        <is>
          <t>32285001200160</t>
        </is>
      </c>
      <c r="BF3256" t="inlineStr">
        <is>
          <t>893345368</t>
        </is>
      </c>
    </row>
    <row r="3257">
      <c r="A3257" t="inlineStr">
        <is>
          <t>No</t>
        </is>
      </c>
      <c r="B3257" t="inlineStr">
        <is>
          <t>CURAL</t>
        </is>
      </c>
      <c r="C3257" t="inlineStr">
        <is>
          <t>SHELVES</t>
        </is>
      </c>
      <c r="D3257" t="inlineStr">
        <is>
          <t>PR6029.D58 Z83 1990</t>
        </is>
      </c>
      <c r="E3257" t="inlineStr">
        <is>
          <t>0                      PR 6029000D  58                 Z  83          1990</t>
        </is>
      </c>
      <c r="F3257" t="inlineStr">
        <is>
          <t>Frank O'Connor at work / Michael Steinman.</t>
        </is>
      </c>
      <c r="H3257" t="inlineStr">
        <is>
          <t>No</t>
        </is>
      </c>
      <c r="I3257" t="inlineStr">
        <is>
          <t>1</t>
        </is>
      </c>
      <c r="J3257" t="inlineStr">
        <is>
          <t>No</t>
        </is>
      </c>
      <c r="K3257" t="inlineStr">
        <is>
          <t>No</t>
        </is>
      </c>
      <c r="L3257" t="inlineStr">
        <is>
          <t>0</t>
        </is>
      </c>
      <c r="M3257" t="inlineStr">
        <is>
          <t>Steinman, Michael (Michael A.)</t>
        </is>
      </c>
      <c r="N3257" t="inlineStr">
        <is>
          <t>Syracuse, N.Y. : Syracuse University Press, 1990.</t>
        </is>
      </c>
      <c r="O3257" t="inlineStr">
        <is>
          <t>1990</t>
        </is>
      </c>
      <c r="P3257" t="inlineStr">
        <is>
          <t>1st ed.</t>
        </is>
      </c>
      <c r="Q3257" t="inlineStr">
        <is>
          <t>eng</t>
        </is>
      </c>
      <c r="R3257" t="inlineStr">
        <is>
          <t>nyu</t>
        </is>
      </c>
      <c r="S3257" t="inlineStr">
        <is>
          <t>Irish studies</t>
        </is>
      </c>
      <c r="T3257" t="inlineStr">
        <is>
          <t xml:space="preserve">PR </t>
        </is>
      </c>
      <c r="U3257" t="n">
        <v>6</v>
      </c>
      <c r="V3257" t="n">
        <v>6</v>
      </c>
      <c r="W3257" t="inlineStr">
        <is>
          <t>1993-11-06</t>
        </is>
      </c>
      <c r="X3257" t="inlineStr">
        <is>
          <t>1993-11-06</t>
        </is>
      </c>
      <c r="Y3257" t="inlineStr">
        <is>
          <t>1990-11-20</t>
        </is>
      </c>
      <c r="Z3257" t="inlineStr">
        <is>
          <t>1990-11-20</t>
        </is>
      </c>
      <c r="AA3257" t="n">
        <v>398</v>
      </c>
      <c r="AB3257" t="n">
        <v>372</v>
      </c>
      <c r="AC3257" t="n">
        <v>417</v>
      </c>
      <c r="AD3257" t="n">
        <v>4</v>
      </c>
      <c r="AE3257" t="n">
        <v>4</v>
      </c>
      <c r="AF3257" t="n">
        <v>26</v>
      </c>
      <c r="AG3257" t="n">
        <v>28</v>
      </c>
      <c r="AH3257" t="n">
        <v>11</v>
      </c>
      <c r="AI3257" t="n">
        <v>13</v>
      </c>
      <c r="AJ3257" t="n">
        <v>5</v>
      </c>
      <c r="AK3257" t="n">
        <v>5</v>
      </c>
      <c r="AL3257" t="n">
        <v>16</v>
      </c>
      <c r="AM3257" t="n">
        <v>17</v>
      </c>
      <c r="AN3257" t="n">
        <v>3</v>
      </c>
      <c r="AO3257" t="n">
        <v>3</v>
      </c>
      <c r="AP3257" t="n">
        <v>0</v>
      </c>
      <c r="AQ3257" t="n">
        <v>0</v>
      </c>
      <c r="AR3257" t="inlineStr">
        <is>
          <t>No</t>
        </is>
      </c>
      <c r="AS3257" t="inlineStr">
        <is>
          <t>Yes</t>
        </is>
      </c>
      <c r="AT3257">
        <f>HYPERLINK("http://catalog.hathitrust.org/Record/004500523","HathiTrust Record")</f>
        <v/>
      </c>
      <c r="AU3257">
        <f>HYPERLINK("https://creighton-primo.hosted.exlibrisgroup.com/primo-explore/search?tab=default_tab&amp;search_scope=EVERYTHING&amp;vid=01CRU&amp;lang=en_US&amp;offset=0&amp;query=any,contains,991001458949702656","Catalog Record")</f>
        <v/>
      </c>
      <c r="AV3257">
        <f>HYPERLINK("http://www.worldcat.org/oclc/19397021","WorldCat Record")</f>
        <v/>
      </c>
      <c r="AW3257" t="inlineStr">
        <is>
          <t>21470148:eng</t>
        </is>
      </c>
      <c r="AX3257" t="inlineStr">
        <is>
          <t>19397021</t>
        </is>
      </c>
      <c r="AY3257" t="inlineStr">
        <is>
          <t>991001458949702656</t>
        </is>
      </c>
      <c r="AZ3257" t="inlineStr">
        <is>
          <t>991001458949702656</t>
        </is>
      </c>
      <c r="BA3257" t="inlineStr">
        <is>
          <t>2262373440002656</t>
        </is>
      </c>
      <c r="BB3257" t="inlineStr">
        <is>
          <t>BOOK</t>
        </is>
      </c>
      <c r="BD3257" t="inlineStr">
        <is>
          <t>9780815624752</t>
        </is>
      </c>
      <c r="BE3257" t="inlineStr">
        <is>
          <t>32285000356112</t>
        </is>
      </c>
      <c r="BF3257" t="inlineStr">
        <is>
          <t>893340460</t>
        </is>
      </c>
    </row>
    <row r="3258">
      <c r="A3258" t="inlineStr">
        <is>
          <t>No</t>
        </is>
      </c>
      <c r="B3258" t="inlineStr">
        <is>
          <t>CURAL</t>
        </is>
      </c>
      <c r="C3258" t="inlineStr">
        <is>
          <t>SHELVES</t>
        </is>
      </c>
      <c r="D3258" t="inlineStr">
        <is>
          <t>PR6029.D58 Z89</t>
        </is>
      </c>
      <c r="E3258" t="inlineStr">
        <is>
          <t>0                      PR 6029000D  58                 Z  89</t>
        </is>
      </c>
      <c r="F3258" t="inlineStr">
        <is>
          <t>Frank O'Connor / by William M. Tomory.</t>
        </is>
      </c>
      <c r="H3258" t="inlineStr">
        <is>
          <t>No</t>
        </is>
      </c>
      <c r="I3258" t="inlineStr">
        <is>
          <t>1</t>
        </is>
      </c>
      <c r="J3258" t="inlineStr">
        <is>
          <t>No</t>
        </is>
      </c>
      <c r="K3258" t="inlineStr">
        <is>
          <t>No</t>
        </is>
      </c>
      <c r="L3258" t="inlineStr">
        <is>
          <t>0</t>
        </is>
      </c>
      <c r="M3258" t="inlineStr">
        <is>
          <t>Tomory, William M.</t>
        </is>
      </c>
      <c r="N3258" t="inlineStr">
        <is>
          <t>Boston : Twayne Publishers, 1980.</t>
        </is>
      </c>
      <c r="O3258" t="inlineStr">
        <is>
          <t>1980</t>
        </is>
      </c>
      <c r="Q3258" t="inlineStr">
        <is>
          <t>eng</t>
        </is>
      </c>
      <c r="R3258" t="inlineStr">
        <is>
          <t>mau</t>
        </is>
      </c>
      <c r="S3258" t="inlineStr">
        <is>
          <t>Twayne's English authors series ; TEAS 297</t>
        </is>
      </c>
      <c r="T3258" t="inlineStr">
        <is>
          <t xml:space="preserve">PR </t>
        </is>
      </c>
      <c r="U3258" t="n">
        <v>6</v>
      </c>
      <c r="V3258" t="n">
        <v>6</v>
      </c>
      <c r="W3258" t="inlineStr">
        <is>
          <t>1998-02-25</t>
        </is>
      </c>
      <c r="X3258" t="inlineStr">
        <is>
          <t>1998-02-25</t>
        </is>
      </c>
      <c r="Y3258" t="inlineStr">
        <is>
          <t>1992-07-16</t>
        </is>
      </c>
      <c r="Z3258" t="inlineStr">
        <is>
          <t>1992-07-16</t>
        </is>
      </c>
      <c r="AA3258" t="n">
        <v>682</v>
      </c>
      <c r="AB3258" t="n">
        <v>612</v>
      </c>
      <c r="AC3258" t="n">
        <v>618</v>
      </c>
      <c r="AD3258" t="n">
        <v>6</v>
      </c>
      <c r="AE3258" t="n">
        <v>6</v>
      </c>
      <c r="AF3258" t="n">
        <v>26</v>
      </c>
      <c r="AG3258" t="n">
        <v>26</v>
      </c>
      <c r="AH3258" t="n">
        <v>9</v>
      </c>
      <c r="AI3258" t="n">
        <v>9</v>
      </c>
      <c r="AJ3258" t="n">
        <v>7</v>
      </c>
      <c r="AK3258" t="n">
        <v>7</v>
      </c>
      <c r="AL3258" t="n">
        <v>12</v>
      </c>
      <c r="AM3258" t="n">
        <v>12</v>
      </c>
      <c r="AN3258" t="n">
        <v>5</v>
      </c>
      <c r="AO3258" t="n">
        <v>5</v>
      </c>
      <c r="AP3258" t="n">
        <v>0</v>
      </c>
      <c r="AQ3258" t="n">
        <v>0</v>
      </c>
      <c r="AR3258" t="inlineStr">
        <is>
          <t>No</t>
        </is>
      </c>
      <c r="AS3258" t="inlineStr">
        <is>
          <t>Yes</t>
        </is>
      </c>
      <c r="AT3258">
        <f>HYPERLINK("http://catalog.hathitrust.org/Record/000692905","HathiTrust Record")</f>
        <v/>
      </c>
      <c r="AU3258">
        <f>HYPERLINK("https://creighton-primo.hosted.exlibrisgroup.com/primo-explore/search?tab=default_tab&amp;search_scope=EVERYTHING&amp;vid=01CRU&amp;lang=en_US&amp;offset=0&amp;query=any,contains,991004911809702656","Catalog Record")</f>
        <v/>
      </c>
      <c r="AV3258">
        <f>HYPERLINK("http://www.worldcat.org/oclc/5992507","WorldCat Record")</f>
        <v/>
      </c>
      <c r="AW3258" t="inlineStr">
        <is>
          <t>461569:eng</t>
        </is>
      </c>
      <c r="AX3258" t="inlineStr">
        <is>
          <t>5992507</t>
        </is>
      </c>
      <c r="AY3258" t="inlineStr">
        <is>
          <t>991004911809702656</t>
        </is>
      </c>
      <c r="AZ3258" t="inlineStr">
        <is>
          <t>991004911809702656</t>
        </is>
      </c>
      <c r="BA3258" t="inlineStr">
        <is>
          <t>2261648450002656</t>
        </is>
      </c>
      <c r="BB3258" t="inlineStr">
        <is>
          <t>BOOK</t>
        </is>
      </c>
      <c r="BD3258" t="inlineStr">
        <is>
          <t>9780805767896</t>
        </is>
      </c>
      <c r="BE3258" t="inlineStr">
        <is>
          <t>32285001200178</t>
        </is>
      </c>
      <c r="BF3258" t="inlineStr">
        <is>
          <t>893889418</t>
        </is>
      </c>
    </row>
    <row r="3259">
      <c r="A3259" t="inlineStr">
        <is>
          <t>No</t>
        </is>
      </c>
      <c r="B3259" t="inlineStr">
        <is>
          <t>CURAL</t>
        </is>
      </c>
      <c r="C3259" t="inlineStr">
        <is>
          <t>SHELVES</t>
        </is>
      </c>
      <c r="D3259" t="inlineStr">
        <is>
          <t>PR6029.F3 Z68</t>
        </is>
      </c>
      <c r="E3259" t="inlineStr">
        <is>
          <t>0                      PR 6029000F  3                  Z  68</t>
        </is>
      </c>
      <c r="F3259" t="inlineStr">
        <is>
          <t>Seán O'Faoláin; a critical introduction / Maurice Harmon.</t>
        </is>
      </c>
      <c r="H3259" t="inlineStr">
        <is>
          <t>No</t>
        </is>
      </c>
      <c r="I3259" t="inlineStr">
        <is>
          <t>1</t>
        </is>
      </c>
      <c r="J3259" t="inlineStr">
        <is>
          <t>No</t>
        </is>
      </c>
      <c r="K3259" t="inlineStr">
        <is>
          <t>Yes</t>
        </is>
      </c>
      <c r="L3259" t="inlineStr">
        <is>
          <t>0</t>
        </is>
      </c>
      <c r="M3259" t="inlineStr">
        <is>
          <t>Harmon, Maurice.</t>
        </is>
      </c>
      <c r="N3259" t="inlineStr">
        <is>
          <t>Notre Dame : University of Notre Dame Press, 1966 [c1967]</t>
        </is>
      </c>
      <c r="O3259" t="inlineStr">
        <is>
          <t>1966</t>
        </is>
      </c>
      <c r="Q3259" t="inlineStr">
        <is>
          <t>eng</t>
        </is>
      </c>
      <c r="R3259" t="inlineStr">
        <is>
          <t>inu</t>
        </is>
      </c>
      <c r="T3259" t="inlineStr">
        <is>
          <t xml:space="preserve">PR </t>
        </is>
      </c>
      <c r="U3259" t="n">
        <v>3</v>
      </c>
      <c r="V3259" t="n">
        <v>3</v>
      </c>
      <c r="W3259" t="inlineStr">
        <is>
          <t>1998-03-29</t>
        </is>
      </c>
      <c r="X3259" t="inlineStr">
        <is>
          <t>1998-03-29</t>
        </is>
      </c>
      <c r="Y3259" t="inlineStr">
        <is>
          <t>1992-07-16</t>
        </is>
      </c>
      <c r="Z3259" t="inlineStr">
        <is>
          <t>1992-07-16</t>
        </is>
      </c>
      <c r="AA3259" t="n">
        <v>810</v>
      </c>
      <c r="AB3259" t="n">
        <v>732</v>
      </c>
      <c r="AC3259" t="n">
        <v>764</v>
      </c>
      <c r="AD3259" t="n">
        <v>5</v>
      </c>
      <c r="AE3259" t="n">
        <v>5</v>
      </c>
      <c r="AF3259" t="n">
        <v>32</v>
      </c>
      <c r="AG3259" t="n">
        <v>34</v>
      </c>
      <c r="AH3259" t="n">
        <v>10</v>
      </c>
      <c r="AI3259" t="n">
        <v>12</v>
      </c>
      <c r="AJ3259" t="n">
        <v>10</v>
      </c>
      <c r="AK3259" t="n">
        <v>10</v>
      </c>
      <c r="AL3259" t="n">
        <v>17</v>
      </c>
      <c r="AM3259" t="n">
        <v>17</v>
      </c>
      <c r="AN3259" t="n">
        <v>4</v>
      </c>
      <c r="AO3259" t="n">
        <v>4</v>
      </c>
      <c r="AP3259" t="n">
        <v>0</v>
      </c>
      <c r="AQ3259" t="n">
        <v>0</v>
      </c>
      <c r="AR3259" t="inlineStr">
        <is>
          <t>No</t>
        </is>
      </c>
      <c r="AS3259" t="inlineStr">
        <is>
          <t>No</t>
        </is>
      </c>
      <c r="AU3259">
        <f>HYPERLINK("https://creighton-primo.hosted.exlibrisgroup.com/primo-explore/search?tab=default_tab&amp;search_scope=EVERYTHING&amp;vid=01CRU&amp;lang=en_US&amp;offset=0&amp;query=any,contains,991003559599702656","Catalog Record")</f>
        <v/>
      </c>
      <c r="AV3259">
        <f>HYPERLINK("http://www.worldcat.org/oclc/1129735","WorldCat Record")</f>
        <v/>
      </c>
      <c r="AW3259" t="inlineStr">
        <is>
          <t>2043147:eng</t>
        </is>
      </c>
      <c r="AX3259" t="inlineStr">
        <is>
          <t>1129735</t>
        </is>
      </c>
      <c r="AY3259" t="inlineStr">
        <is>
          <t>991003559599702656</t>
        </is>
      </c>
      <c r="AZ3259" t="inlineStr">
        <is>
          <t>991003559599702656</t>
        </is>
      </c>
      <c r="BA3259" t="inlineStr">
        <is>
          <t>2272357060002656</t>
        </is>
      </c>
      <c r="BB3259" t="inlineStr">
        <is>
          <t>BOOK</t>
        </is>
      </c>
      <c r="BE3259" t="inlineStr">
        <is>
          <t>32285001200285</t>
        </is>
      </c>
      <c r="BF3259" t="inlineStr">
        <is>
          <t>893318097</t>
        </is>
      </c>
    </row>
    <row r="3260">
      <c r="A3260" t="inlineStr">
        <is>
          <t>No</t>
        </is>
      </c>
      <c r="B3260" t="inlineStr">
        <is>
          <t>CURAL</t>
        </is>
      </c>
      <c r="C3260" t="inlineStr">
        <is>
          <t>SHELVES</t>
        </is>
      </c>
      <c r="D3260" t="inlineStr">
        <is>
          <t>PR6029.F5 Z64</t>
        </is>
      </c>
      <c r="E3260" t="inlineStr">
        <is>
          <t>0                      PR 6029000F  5                  Z  64</t>
        </is>
      </c>
      <c r="F3260" t="inlineStr">
        <is>
          <t>Liam O'Flaherty / by Paul A. Doyle.</t>
        </is>
      </c>
      <c r="H3260" t="inlineStr">
        <is>
          <t>No</t>
        </is>
      </c>
      <c r="I3260" t="inlineStr">
        <is>
          <t>1</t>
        </is>
      </c>
      <c r="J3260" t="inlineStr">
        <is>
          <t>No</t>
        </is>
      </c>
      <c r="K3260" t="inlineStr">
        <is>
          <t>No</t>
        </is>
      </c>
      <c r="L3260" t="inlineStr">
        <is>
          <t>0</t>
        </is>
      </c>
      <c r="M3260" t="inlineStr">
        <is>
          <t>Doyle, Paul A.</t>
        </is>
      </c>
      <c r="N3260" t="inlineStr">
        <is>
          <t>New York : Twayne Publishers, [1971]</t>
        </is>
      </c>
      <c r="O3260" t="inlineStr">
        <is>
          <t>1971</t>
        </is>
      </c>
      <c r="Q3260" t="inlineStr">
        <is>
          <t>eng</t>
        </is>
      </c>
      <c r="R3260" t="inlineStr">
        <is>
          <t>nyu</t>
        </is>
      </c>
      <c r="S3260" t="inlineStr">
        <is>
          <t>Twayne's English authors series ; TEAS 108</t>
        </is>
      </c>
      <c r="T3260" t="inlineStr">
        <is>
          <t xml:space="preserve">PR </t>
        </is>
      </c>
      <c r="U3260" t="n">
        <v>3</v>
      </c>
      <c r="V3260" t="n">
        <v>3</v>
      </c>
      <c r="W3260" t="inlineStr">
        <is>
          <t>1992-11-29</t>
        </is>
      </c>
      <c r="X3260" t="inlineStr">
        <is>
          <t>1992-11-29</t>
        </is>
      </c>
      <c r="Y3260" t="inlineStr">
        <is>
          <t>1992-08-20</t>
        </is>
      </c>
      <c r="Z3260" t="inlineStr">
        <is>
          <t>1992-08-20</t>
        </is>
      </c>
      <c r="AA3260" t="n">
        <v>759</v>
      </c>
      <c r="AB3260" t="n">
        <v>671</v>
      </c>
      <c r="AC3260" t="n">
        <v>801</v>
      </c>
      <c r="AD3260" t="n">
        <v>8</v>
      </c>
      <c r="AE3260" t="n">
        <v>8</v>
      </c>
      <c r="AF3260" t="n">
        <v>35</v>
      </c>
      <c r="AG3260" t="n">
        <v>41</v>
      </c>
      <c r="AH3260" t="n">
        <v>12</v>
      </c>
      <c r="AI3260" t="n">
        <v>17</v>
      </c>
      <c r="AJ3260" t="n">
        <v>8</v>
      </c>
      <c r="AK3260" t="n">
        <v>9</v>
      </c>
      <c r="AL3260" t="n">
        <v>18</v>
      </c>
      <c r="AM3260" t="n">
        <v>19</v>
      </c>
      <c r="AN3260" t="n">
        <v>7</v>
      </c>
      <c r="AO3260" t="n">
        <v>7</v>
      </c>
      <c r="AP3260" t="n">
        <v>0</v>
      </c>
      <c r="AQ3260" t="n">
        <v>0</v>
      </c>
      <c r="AR3260" t="inlineStr">
        <is>
          <t>No</t>
        </is>
      </c>
      <c r="AS3260" t="inlineStr">
        <is>
          <t>Yes</t>
        </is>
      </c>
      <c r="AT3260">
        <f>HYPERLINK("http://catalog.hathitrust.org/Record/000002689","HathiTrust Record")</f>
        <v/>
      </c>
      <c r="AU3260">
        <f>HYPERLINK("https://creighton-primo.hosted.exlibrisgroup.com/primo-explore/search?tab=default_tab&amp;search_scope=EVERYTHING&amp;vid=01CRU&amp;lang=en_US&amp;offset=0&amp;query=any,contains,991001093019702656","Catalog Record")</f>
        <v/>
      </c>
      <c r="AV3260">
        <f>HYPERLINK("http://www.worldcat.org/oclc/181855","WorldCat Record")</f>
        <v/>
      </c>
      <c r="AW3260" t="inlineStr">
        <is>
          <t>2287906417:eng</t>
        </is>
      </c>
      <c r="AX3260" t="inlineStr">
        <is>
          <t>181855</t>
        </is>
      </c>
      <c r="AY3260" t="inlineStr">
        <is>
          <t>991001093019702656</t>
        </is>
      </c>
      <c r="AZ3260" t="inlineStr">
        <is>
          <t>991001093019702656</t>
        </is>
      </c>
      <c r="BA3260" t="inlineStr">
        <is>
          <t>2272422930002656</t>
        </is>
      </c>
      <c r="BB3260" t="inlineStr">
        <is>
          <t>BOOK</t>
        </is>
      </c>
      <c r="BE3260" t="inlineStr">
        <is>
          <t>32285001200335</t>
        </is>
      </c>
      <c r="BF3260" t="inlineStr">
        <is>
          <t>893702720</t>
        </is>
      </c>
    </row>
    <row r="3261">
      <c r="A3261" t="inlineStr">
        <is>
          <t>No</t>
        </is>
      </c>
      <c r="B3261" t="inlineStr">
        <is>
          <t>CURAL</t>
        </is>
      </c>
      <c r="C3261" t="inlineStr">
        <is>
          <t>SHELVES</t>
        </is>
      </c>
      <c r="D3261" t="inlineStr">
        <is>
          <t>PR6029.F5 Z73 1976</t>
        </is>
      </c>
      <c r="E3261" t="inlineStr">
        <is>
          <t>0                      PR 6029000F  5                  Z  73          1976</t>
        </is>
      </c>
      <c r="F3261" t="inlineStr">
        <is>
          <t>Liam O'Flaherty the storyteller / A. A. Kelly.</t>
        </is>
      </c>
      <c r="H3261" t="inlineStr">
        <is>
          <t>No</t>
        </is>
      </c>
      <c r="I3261" t="inlineStr">
        <is>
          <t>1</t>
        </is>
      </c>
      <c r="J3261" t="inlineStr">
        <is>
          <t>No</t>
        </is>
      </c>
      <c r="K3261" t="inlineStr">
        <is>
          <t>No</t>
        </is>
      </c>
      <c r="L3261" t="inlineStr">
        <is>
          <t>0</t>
        </is>
      </c>
      <c r="M3261" t="inlineStr">
        <is>
          <t>Kelly, A. A. (Angeline A.)</t>
        </is>
      </c>
      <c r="N3261" t="inlineStr">
        <is>
          <t>New York : Barnes &amp; Noble Books, 1976.</t>
        </is>
      </c>
      <c r="O3261" t="inlineStr">
        <is>
          <t>1976</t>
        </is>
      </c>
      <c r="Q3261" t="inlineStr">
        <is>
          <t>eng</t>
        </is>
      </c>
      <c r="R3261" t="inlineStr">
        <is>
          <t>nyu</t>
        </is>
      </c>
      <c r="T3261" t="inlineStr">
        <is>
          <t xml:space="preserve">PR </t>
        </is>
      </c>
      <c r="U3261" t="n">
        <v>7</v>
      </c>
      <c r="V3261" t="n">
        <v>7</v>
      </c>
      <c r="W3261" t="inlineStr">
        <is>
          <t>1998-04-07</t>
        </is>
      </c>
      <c r="X3261" t="inlineStr">
        <is>
          <t>1998-04-07</t>
        </is>
      </c>
      <c r="Y3261" t="inlineStr">
        <is>
          <t>1991-01-11</t>
        </is>
      </c>
      <c r="Z3261" t="inlineStr">
        <is>
          <t>1991-01-11</t>
        </is>
      </c>
      <c r="AA3261" t="n">
        <v>321</v>
      </c>
      <c r="AB3261" t="n">
        <v>300</v>
      </c>
      <c r="AC3261" t="n">
        <v>358</v>
      </c>
      <c r="AD3261" t="n">
        <v>3</v>
      </c>
      <c r="AE3261" t="n">
        <v>4</v>
      </c>
      <c r="AF3261" t="n">
        <v>21</v>
      </c>
      <c r="AG3261" t="n">
        <v>24</v>
      </c>
      <c r="AH3261" t="n">
        <v>7</v>
      </c>
      <c r="AI3261" t="n">
        <v>8</v>
      </c>
      <c r="AJ3261" t="n">
        <v>7</v>
      </c>
      <c r="AK3261" t="n">
        <v>7</v>
      </c>
      <c r="AL3261" t="n">
        <v>11</v>
      </c>
      <c r="AM3261" t="n">
        <v>12</v>
      </c>
      <c r="AN3261" t="n">
        <v>2</v>
      </c>
      <c r="AO3261" t="n">
        <v>3</v>
      </c>
      <c r="AP3261" t="n">
        <v>0</v>
      </c>
      <c r="AQ3261" t="n">
        <v>0</v>
      </c>
      <c r="AR3261" t="inlineStr">
        <is>
          <t>No</t>
        </is>
      </c>
      <c r="AS3261" t="inlineStr">
        <is>
          <t>Yes</t>
        </is>
      </c>
      <c r="AT3261">
        <f>HYPERLINK("http://catalog.hathitrust.org/Record/000171767","HathiTrust Record")</f>
        <v/>
      </c>
      <c r="AU3261">
        <f>HYPERLINK("https://creighton-primo.hosted.exlibrisgroup.com/primo-explore/search?tab=default_tab&amp;search_scope=EVERYTHING&amp;vid=01CRU&amp;lang=en_US&amp;offset=0&amp;query=any,contains,991004227919702656","Catalog Record")</f>
        <v/>
      </c>
      <c r="AV3261">
        <f>HYPERLINK("http://www.worldcat.org/oclc/2736656","WorldCat Record")</f>
        <v/>
      </c>
      <c r="AW3261" t="inlineStr">
        <is>
          <t>6155607:eng</t>
        </is>
      </c>
      <c r="AX3261" t="inlineStr">
        <is>
          <t>2736656</t>
        </is>
      </c>
      <c r="AY3261" t="inlineStr">
        <is>
          <t>991004227919702656</t>
        </is>
      </c>
      <c r="AZ3261" t="inlineStr">
        <is>
          <t>991004227919702656</t>
        </is>
      </c>
      <c r="BA3261" t="inlineStr">
        <is>
          <t>2257631730002656</t>
        </is>
      </c>
      <c r="BB3261" t="inlineStr">
        <is>
          <t>BOOK</t>
        </is>
      </c>
      <c r="BD3261" t="inlineStr">
        <is>
          <t>9780064936163</t>
        </is>
      </c>
      <c r="BE3261" t="inlineStr">
        <is>
          <t>32285000428143</t>
        </is>
      </c>
      <c r="BF3261" t="inlineStr">
        <is>
          <t>893506581</t>
        </is>
      </c>
    </row>
    <row r="3262">
      <c r="A3262" t="inlineStr">
        <is>
          <t>No</t>
        </is>
      </c>
      <c r="B3262" t="inlineStr">
        <is>
          <t>CURAL</t>
        </is>
      </c>
      <c r="C3262" t="inlineStr">
        <is>
          <t>SHELVES</t>
        </is>
      </c>
      <c r="D3262" t="inlineStr">
        <is>
          <t>PR6029.F5 Z9</t>
        </is>
      </c>
      <c r="E3262" t="inlineStr">
        <is>
          <t>0                      PR 6029000F  5                  Z  9</t>
        </is>
      </c>
      <c r="F3262" t="inlineStr">
        <is>
          <t>The literary vision of Liam O'Flaherty.</t>
        </is>
      </c>
      <c r="H3262" t="inlineStr">
        <is>
          <t>No</t>
        </is>
      </c>
      <c r="I3262" t="inlineStr">
        <is>
          <t>1</t>
        </is>
      </c>
      <c r="J3262" t="inlineStr">
        <is>
          <t>No</t>
        </is>
      </c>
      <c r="K3262" t="inlineStr">
        <is>
          <t>No</t>
        </is>
      </c>
      <c r="L3262" t="inlineStr">
        <is>
          <t>0</t>
        </is>
      </c>
      <c r="M3262" t="inlineStr">
        <is>
          <t>Zneimer, John.</t>
        </is>
      </c>
      <c r="N3262" t="inlineStr">
        <is>
          <t>Syracuse, N.Y.] : Syracuse University Press, [1970]</t>
        </is>
      </c>
      <c r="O3262" t="inlineStr">
        <is>
          <t>1970</t>
        </is>
      </c>
      <c r="P3262" t="inlineStr">
        <is>
          <t>[1st ed.</t>
        </is>
      </c>
      <c r="Q3262" t="inlineStr">
        <is>
          <t>eng</t>
        </is>
      </c>
      <c r="R3262" t="inlineStr">
        <is>
          <t>nyu</t>
        </is>
      </c>
      <c r="T3262" t="inlineStr">
        <is>
          <t xml:space="preserve">PR </t>
        </is>
      </c>
      <c r="U3262" t="n">
        <v>3</v>
      </c>
      <c r="V3262" t="n">
        <v>3</v>
      </c>
      <c r="W3262" t="inlineStr">
        <is>
          <t>1992-11-29</t>
        </is>
      </c>
      <c r="X3262" t="inlineStr">
        <is>
          <t>1992-11-29</t>
        </is>
      </c>
      <c r="Y3262" t="inlineStr">
        <is>
          <t>1991-10-23</t>
        </is>
      </c>
      <c r="Z3262" t="inlineStr">
        <is>
          <t>1991-10-23</t>
        </is>
      </c>
      <c r="AA3262" t="n">
        <v>780</v>
      </c>
      <c r="AB3262" t="n">
        <v>692</v>
      </c>
      <c r="AC3262" t="n">
        <v>699</v>
      </c>
      <c r="AD3262" t="n">
        <v>6</v>
      </c>
      <c r="AE3262" t="n">
        <v>6</v>
      </c>
      <c r="AF3262" t="n">
        <v>31</v>
      </c>
      <c r="AG3262" t="n">
        <v>31</v>
      </c>
      <c r="AH3262" t="n">
        <v>13</v>
      </c>
      <c r="AI3262" t="n">
        <v>13</v>
      </c>
      <c r="AJ3262" t="n">
        <v>7</v>
      </c>
      <c r="AK3262" t="n">
        <v>7</v>
      </c>
      <c r="AL3262" t="n">
        <v>13</v>
      </c>
      <c r="AM3262" t="n">
        <v>13</v>
      </c>
      <c r="AN3262" t="n">
        <v>5</v>
      </c>
      <c r="AO3262" t="n">
        <v>5</v>
      </c>
      <c r="AP3262" t="n">
        <v>0</v>
      </c>
      <c r="AQ3262" t="n">
        <v>0</v>
      </c>
      <c r="AR3262" t="inlineStr">
        <is>
          <t>No</t>
        </is>
      </c>
      <c r="AS3262" t="inlineStr">
        <is>
          <t>Yes</t>
        </is>
      </c>
      <c r="AT3262">
        <f>HYPERLINK("http://catalog.hathitrust.org/Record/001376208","HathiTrust Record")</f>
        <v/>
      </c>
      <c r="AU3262">
        <f>HYPERLINK("https://creighton-primo.hosted.exlibrisgroup.com/primo-explore/search?tab=default_tab&amp;search_scope=EVERYTHING&amp;vid=01CRU&amp;lang=en_US&amp;offset=0&amp;query=any,contains,991000627089702656","Catalog Record")</f>
        <v/>
      </c>
      <c r="AV3262">
        <f>HYPERLINK("http://www.worldcat.org/oclc/104629","WorldCat Record")</f>
        <v/>
      </c>
      <c r="AW3262" t="inlineStr">
        <is>
          <t>1183127:eng</t>
        </is>
      </c>
      <c r="AX3262" t="inlineStr">
        <is>
          <t>104629</t>
        </is>
      </c>
      <c r="AY3262" t="inlineStr">
        <is>
          <t>991000627089702656</t>
        </is>
      </c>
      <c r="AZ3262" t="inlineStr">
        <is>
          <t>991000627089702656</t>
        </is>
      </c>
      <c r="BA3262" t="inlineStr">
        <is>
          <t>2260631890002656</t>
        </is>
      </c>
      <c r="BB3262" t="inlineStr">
        <is>
          <t>BOOK</t>
        </is>
      </c>
      <c r="BD3262" t="inlineStr">
        <is>
          <t>9780815600732</t>
        </is>
      </c>
      <c r="BE3262" t="inlineStr">
        <is>
          <t>32285000776707</t>
        </is>
      </c>
      <c r="BF3262" t="inlineStr">
        <is>
          <t>893237476</t>
        </is>
      </c>
    </row>
    <row r="3263">
      <c r="A3263" t="inlineStr">
        <is>
          <t>No</t>
        </is>
      </c>
      <c r="B3263" t="inlineStr">
        <is>
          <t>CURAL</t>
        </is>
      </c>
      <c r="C3263" t="inlineStr">
        <is>
          <t>SHELVES</t>
        </is>
      </c>
      <c r="D3263" t="inlineStr">
        <is>
          <t>PR6029.N56 Z514 1991</t>
        </is>
      </c>
      <c r="E3263" t="inlineStr">
        <is>
          <t>0                      PR 6029000N  56                 Z  514         1991</t>
        </is>
      </c>
      <c r="F3263" t="inlineStr">
        <is>
          <t>Flann O'Brien / Sue Asbee.</t>
        </is>
      </c>
      <c r="H3263" t="inlineStr">
        <is>
          <t>No</t>
        </is>
      </c>
      <c r="I3263" t="inlineStr">
        <is>
          <t>1</t>
        </is>
      </c>
      <c r="J3263" t="inlineStr">
        <is>
          <t>No</t>
        </is>
      </c>
      <c r="K3263" t="inlineStr">
        <is>
          <t>No</t>
        </is>
      </c>
      <c r="L3263" t="inlineStr">
        <is>
          <t>0</t>
        </is>
      </c>
      <c r="M3263" t="inlineStr">
        <is>
          <t>Asbee, Sue.</t>
        </is>
      </c>
      <c r="N3263" t="inlineStr">
        <is>
          <t>Boston : Twayne Publishers, 1991.</t>
        </is>
      </c>
      <c r="O3263" t="inlineStr">
        <is>
          <t>1991</t>
        </is>
      </c>
      <c r="Q3263" t="inlineStr">
        <is>
          <t>eng</t>
        </is>
      </c>
      <c r="R3263" t="inlineStr">
        <is>
          <t>mau</t>
        </is>
      </c>
      <c r="S3263" t="inlineStr">
        <is>
          <t>Twayne's English authors series ; TEAS 485</t>
        </is>
      </c>
      <c r="T3263" t="inlineStr">
        <is>
          <t xml:space="preserve">PR </t>
        </is>
      </c>
      <c r="U3263" t="n">
        <v>18</v>
      </c>
      <c r="V3263" t="n">
        <v>18</v>
      </c>
      <c r="W3263" t="inlineStr">
        <is>
          <t>2003-11-12</t>
        </is>
      </c>
      <c r="X3263" t="inlineStr">
        <is>
          <t>2003-11-12</t>
        </is>
      </c>
      <c r="Y3263" t="inlineStr">
        <is>
          <t>1991-06-20</t>
        </is>
      </c>
      <c r="Z3263" t="inlineStr">
        <is>
          <t>1991-06-20</t>
        </is>
      </c>
      <c r="AA3263" t="n">
        <v>503</v>
      </c>
      <c r="AB3263" t="n">
        <v>419</v>
      </c>
      <c r="AC3263" t="n">
        <v>568</v>
      </c>
      <c r="AD3263" t="n">
        <v>5</v>
      </c>
      <c r="AE3263" t="n">
        <v>7</v>
      </c>
      <c r="AF3263" t="n">
        <v>26</v>
      </c>
      <c r="AG3263" t="n">
        <v>31</v>
      </c>
      <c r="AH3263" t="n">
        <v>10</v>
      </c>
      <c r="AI3263" t="n">
        <v>11</v>
      </c>
      <c r="AJ3263" t="n">
        <v>5</v>
      </c>
      <c r="AK3263" t="n">
        <v>5</v>
      </c>
      <c r="AL3263" t="n">
        <v>15</v>
      </c>
      <c r="AM3263" t="n">
        <v>17</v>
      </c>
      <c r="AN3263" t="n">
        <v>4</v>
      </c>
      <c r="AO3263" t="n">
        <v>6</v>
      </c>
      <c r="AP3263" t="n">
        <v>0</v>
      </c>
      <c r="AQ3263" t="n">
        <v>0</v>
      </c>
      <c r="AR3263" t="inlineStr">
        <is>
          <t>No</t>
        </is>
      </c>
      <c r="AS3263" t="inlineStr">
        <is>
          <t>Yes</t>
        </is>
      </c>
      <c r="AT3263">
        <f>HYPERLINK("http://catalog.hathitrust.org/Record/002461371","HathiTrust Record")</f>
        <v/>
      </c>
      <c r="AU3263">
        <f>HYPERLINK("https://creighton-primo.hosted.exlibrisgroup.com/primo-explore/search?tab=default_tab&amp;search_scope=EVERYTHING&amp;vid=01CRU&amp;lang=en_US&amp;offset=0&amp;query=any,contains,991001808829702656","Catalog Record")</f>
        <v/>
      </c>
      <c r="AV3263">
        <f>HYPERLINK("http://www.worldcat.org/oclc/22731605","WorldCat Record")</f>
        <v/>
      </c>
      <c r="AW3263" t="inlineStr">
        <is>
          <t>17676979:eng</t>
        </is>
      </c>
      <c r="AX3263" t="inlineStr">
        <is>
          <t>22731605</t>
        </is>
      </c>
      <c r="AY3263" t="inlineStr">
        <is>
          <t>991001808829702656</t>
        </is>
      </c>
      <c r="AZ3263" t="inlineStr">
        <is>
          <t>991001808829702656</t>
        </is>
      </c>
      <c r="BA3263" t="inlineStr">
        <is>
          <t>2270842230002656</t>
        </is>
      </c>
      <c r="BB3263" t="inlineStr">
        <is>
          <t>BOOK</t>
        </is>
      </c>
      <c r="BD3263" t="inlineStr">
        <is>
          <t>9780805770018</t>
        </is>
      </c>
      <c r="BE3263" t="inlineStr">
        <is>
          <t>32285000648245</t>
        </is>
      </c>
      <c r="BF3263" t="inlineStr">
        <is>
          <t>893866504</t>
        </is>
      </c>
    </row>
    <row r="3264">
      <c r="A3264" t="inlineStr">
        <is>
          <t>No</t>
        </is>
      </c>
      <c r="B3264" t="inlineStr">
        <is>
          <t>CURAL</t>
        </is>
      </c>
      <c r="C3264" t="inlineStr">
        <is>
          <t>SHELVES</t>
        </is>
      </c>
      <c r="D3264" t="inlineStr">
        <is>
          <t>PR6029.N56 Z64 1998</t>
        </is>
      </c>
      <c r="E3264" t="inlineStr">
        <is>
          <t>0                      PR 6029000N  56                 Z  64          1998</t>
        </is>
      </c>
      <c r="F3264" t="inlineStr">
        <is>
          <t>No laughing matter : the life and times of Flann O'Brien / Anthony Cronin.</t>
        </is>
      </c>
      <c r="H3264" t="inlineStr">
        <is>
          <t>No</t>
        </is>
      </c>
      <c r="I3264" t="inlineStr">
        <is>
          <t>1</t>
        </is>
      </c>
      <c r="J3264" t="inlineStr">
        <is>
          <t>No</t>
        </is>
      </c>
      <c r="K3264" t="inlineStr">
        <is>
          <t>No</t>
        </is>
      </c>
      <c r="L3264" t="inlineStr">
        <is>
          <t>0</t>
        </is>
      </c>
      <c r="M3264" t="inlineStr">
        <is>
          <t>Cronin, Anthony.</t>
        </is>
      </c>
      <c r="N3264" t="inlineStr">
        <is>
          <t>New York : Fromm International Pub., 1998.</t>
        </is>
      </c>
      <c r="O3264" t="inlineStr">
        <is>
          <t>1998</t>
        </is>
      </c>
      <c r="P3264" t="inlineStr">
        <is>
          <t>1st Fromm International ed.</t>
        </is>
      </c>
      <c r="Q3264" t="inlineStr">
        <is>
          <t>eng</t>
        </is>
      </c>
      <c r="R3264" t="inlineStr">
        <is>
          <t>nyu</t>
        </is>
      </c>
      <c r="T3264" t="inlineStr">
        <is>
          <t xml:space="preserve">PR </t>
        </is>
      </c>
      <c r="U3264" t="n">
        <v>4</v>
      </c>
      <c r="V3264" t="n">
        <v>4</v>
      </c>
      <c r="W3264" t="inlineStr">
        <is>
          <t>2009-11-02</t>
        </is>
      </c>
      <c r="X3264" t="inlineStr">
        <is>
          <t>2009-11-02</t>
        </is>
      </c>
      <c r="Y3264" t="inlineStr">
        <is>
          <t>2000-11-06</t>
        </is>
      </c>
      <c r="Z3264" t="inlineStr">
        <is>
          <t>2000-11-06</t>
        </is>
      </c>
      <c r="AA3264" t="n">
        <v>305</v>
      </c>
      <c r="AB3264" t="n">
        <v>278</v>
      </c>
      <c r="AC3264" t="n">
        <v>483</v>
      </c>
      <c r="AD3264" t="n">
        <v>1</v>
      </c>
      <c r="AE3264" t="n">
        <v>3</v>
      </c>
      <c r="AF3264" t="n">
        <v>11</v>
      </c>
      <c r="AG3264" t="n">
        <v>31</v>
      </c>
      <c r="AH3264" t="n">
        <v>5</v>
      </c>
      <c r="AI3264" t="n">
        <v>14</v>
      </c>
      <c r="AJ3264" t="n">
        <v>3</v>
      </c>
      <c r="AK3264" t="n">
        <v>10</v>
      </c>
      <c r="AL3264" t="n">
        <v>6</v>
      </c>
      <c r="AM3264" t="n">
        <v>17</v>
      </c>
      <c r="AN3264" t="n">
        <v>0</v>
      </c>
      <c r="AO3264" t="n">
        <v>2</v>
      </c>
      <c r="AP3264" t="n">
        <v>0</v>
      </c>
      <c r="AQ3264" t="n">
        <v>0</v>
      </c>
      <c r="AR3264" t="inlineStr">
        <is>
          <t>No</t>
        </is>
      </c>
      <c r="AS3264" t="inlineStr">
        <is>
          <t>Yes</t>
        </is>
      </c>
      <c r="AT3264">
        <f>HYPERLINK("http://catalog.hathitrust.org/Record/004574579","HathiTrust Record")</f>
        <v/>
      </c>
      <c r="AU3264">
        <f>HYPERLINK("https://creighton-primo.hosted.exlibrisgroup.com/primo-explore/search?tab=default_tab&amp;search_scope=EVERYTHING&amp;vid=01CRU&amp;lang=en_US&amp;offset=0&amp;query=any,contains,991003322279702656","Catalog Record")</f>
        <v/>
      </c>
      <c r="AV3264">
        <f>HYPERLINK("http://www.worldcat.org/oclc/37640567","WorldCat Record")</f>
        <v/>
      </c>
      <c r="AW3264" t="inlineStr">
        <is>
          <t>645327:eng</t>
        </is>
      </c>
      <c r="AX3264" t="inlineStr">
        <is>
          <t>37640567</t>
        </is>
      </c>
      <c r="AY3264" t="inlineStr">
        <is>
          <t>991003322279702656</t>
        </is>
      </c>
      <c r="AZ3264" t="inlineStr">
        <is>
          <t>991003322279702656</t>
        </is>
      </c>
      <c r="BA3264" t="inlineStr">
        <is>
          <t>2269204120002656</t>
        </is>
      </c>
      <c r="BB3264" t="inlineStr">
        <is>
          <t>BOOK</t>
        </is>
      </c>
      <c r="BD3264" t="inlineStr">
        <is>
          <t>9780880641838</t>
        </is>
      </c>
      <c r="BE3264" t="inlineStr">
        <is>
          <t>32285004263181</t>
        </is>
      </c>
      <c r="BF3264" t="inlineStr">
        <is>
          <t>893721897</t>
        </is>
      </c>
    </row>
    <row r="3265">
      <c r="A3265" t="inlineStr">
        <is>
          <t>No</t>
        </is>
      </c>
      <c r="B3265" t="inlineStr">
        <is>
          <t>CURAL</t>
        </is>
      </c>
      <c r="C3265" t="inlineStr">
        <is>
          <t>SHELVES</t>
        </is>
      </c>
      <c r="D3265" t="inlineStr">
        <is>
          <t>PR6029.N56 Z8</t>
        </is>
      </c>
      <c r="E3265" t="inlineStr">
        <is>
          <t>0                      PR 6029000N  56                 Z  8</t>
        </is>
      </c>
      <c r="F3265" t="inlineStr">
        <is>
          <t>Myles : portraits of Brian O'Nolan / edited by Timothy O'Keeffe.</t>
        </is>
      </c>
      <c r="H3265" t="inlineStr">
        <is>
          <t>No</t>
        </is>
      </c>
      <c r="I3265" t="inlineStr">
        <is>
          <t>1</t>
        </is>
      </c>
      <c r="J3265" t="inlineStr">
        <is>
          <t>No</t>
        </is>
      </c>
      <c r="K3265" t="inlineStr">
        <is>
          <t>No</t>
        </is>
      </c>
      <c r="L3265" t="inlineStr">
        <is>
          <t>0</t>
        </is>
      </c>
      <c r="M3265" t="inlineStr">
        <is>
          <t>O'Keeffe, Timothy.</t>
        </is>
      </c>
      <c r="N3265" t="inlineStr">
        <is>
          <t>London : Martin Brian and O'Keeffe Ltd, 1973.</t>
        </is>
      </c>
      <c r="O3265" t="inlineStr">
        <is>
          <t>1973</t>
        </is>
      </c>
      <c r="Q3265" t="inlineStr">
        <is>
          <t>eng</t>
        </is>
      </c>
      <c r="R3265" t="inlineStr">
        <is>
          <t>enk</t>
        </is>
      </c>
      <c r="T3265" t="inlineStr">
        <is>
          <t xml:space="preserve">PR </t>
        </is>
      </c>
      <c r="U3265" t="n">
        <v>9</v>
      </c>
      <c r="V3265" t="n">
        <v>9</v>
      </c>
      <c r="W3265" t="inlineStr">
        <is>
          <t>2003-11-12</t>
        </is>
      </c>
      <c r="X3265" t="inlineStr">
        <is>
          <t>2003-11-12</t>
        </is>
      </c>
      <c r="Y3265" t="inlineStr">
        <is>
          <t>1992-12-04</t>
        </is>
      </c>
      <c r="Z3265" t="inlineStr">
        <is>
          <t>1992-12-04</t>
        </is>
      </c>
      <c r="AA3265" t="n">
        <v>169</v>
      </c>
      <c r="AB3265" t="n">
        <v>97</v>
      </c>
      <c r="AC3265" t="n">
        <v>99</v>
      </c>
      <c r="AD3265" t="n">
        <v>1</v>
      </c>
      <c r="AE3265" t="n">
        <v>1</v>
      </c>
      <c r="AF3265" t="n">
        <v>10</v>
      </c>
      <c r="AG3265" t="n">
        <v>10</v>
      </c>
      <c r="AH3265" t="n">
        <v>3</v>
      </c>
      <c r="AI3265" t="n">
        <v>3</v>
      </c>
      <c r="AJ3265" t="n">
        <v>4</v>
      </c>
      <c r="AK3265" t="n">
        <v>4</v>
      </c>
      <c r="AL3265" t="n">
        <v>6</v>
      </c>
      <c r="AM3265" t="n">
        <v>6</v>
      </c>
      <c r="AN3265" t="n">
        <v>0</v>
      </c>
      <c r="AO3265" t="n">
        <v>0</v>
      </c>
      <c r="AP3265" t="n">
        <v>0</v>
      </c>
      <c r="AQ3265" t="n">
        <v>0</v>
      </c>
      <c r="AR3265" t="inlineStr">
        <is>
          <t>No</t>
        </is>
      </c>
      <c r="AS3265" t="inlineStr">
        <is>
          <t>Yes</t>
        </is>
      </c>
      <c r="AT3265">
        <f>HYPERLINK("http://catalog.hathitrust.org/Record/000777443","HathiTrust Record")</f>
        <v/>
      </c>
      <c r="AU3265">
        <f>HYPERLINK("https://creighton-primo.hosted.exlibrisgroup.com/primo-explore/search?tab=default_tab&amp;search_scope=EVERYTHING&amp;vid=01CRU&amp;lang=en_US&amp;offset=0&amp;query=any,contains,991003201369702656","Catalog Record")</f>
        <v/>
      </c>
      <c r="AV3265">
        <f>HYPERLINK("http://www.worldcat.org/oclc/726144","WorldCat Record")</f>
        <v/>
      </c>
      <c r="AW3265" t="inlineStr">
        <is>
          <t>1736732:eng</t>
        </is>
      </c>
      <c r="AX3265" t="inlineStr">
        <is>
          <t>726144</t>
        </is>
      </c>
      <c r="AY3265" t="inlineStr">
        <is>
          <t>991003201369702656</t>
        </is>
      </c>
      <c r="AZ3265" t="inlineStr">
        <is>
          <t>991003201369702656</t>
        </is>
      </c>
      <c r="BA3265" t="inlineStr">
        <is>
          <t>2264099440002656</t>
        </is>
      </c>
      <c r="BB3265" t="inlineStr">
        <is>
          <t>BOOK</t>
        </is>
      </c>
      <c r="BD3265" t="inlineStr">
        <is>
          <t>9780856161506</t>
        </is>
      </c>
      <c r="BE3265" t="inlineStr">
        <is>
          <t>32285001412682</t>
        </is>
      </c>
      <c r="BF3265" t="inlineStr">
        <is>
          <t>893705001</t>
        </is>
      </c>
    </row>
    <row r="3266">
      <c r="A3266" t="inlineStr">
        <is>
          <t>No</t>
        </is>
      </c>
      <c r="B3266" t="inlineStr">
        <is>
          <t>CURAL</t>
        </is>
      </c>
      <c r="C3266" t="inlineStr">
        <is>
          <t>SHELVES</t>
        </is>
      </c>
      <c r="D3266" t="inlineStr">
        <is>
          <t>PR6029.R8 N55</t>
        </is>
      </c>
      <c r="E3266" t="inlineStr">
        <is>
          <t>0                      PR 6029000R  8                  N  55</t>
        </is>
      </c>
      <c r="F3266" t="inlineStr">
        <is>
          <t>Twentieth century interpretations of 1984; a collection of critical essays. Edited by Samuel Hynes.</t>
        </is>
      </c>
      <c r="H3266" t="inlineStr">
        <is>
          <t>No</t>
        </is>
      </c>
      <c r="I3266" t="inlineStr">
        <is>
          <t>1</t>
        </is>
      </c>
      <c r="J3266" t="inlineStr">
        <is>
          <t>No</t>
        </is>
      </c>
      <c r="K3266" t="inlineStr">
        <is>
          <t>No</t>
        </is>
      </c>
      <c r="L3266" t="inlineStr">
        <is>
          <t>0</t>
        </is>
      </c>
      <c r="M3266" t="inlineStr">
        <is>
          <t>Hynes, Samuel, 1924-2019 compiler.</t>
        </is>
      </c>
      <c r="N3266" t="inlineStr">
        <is>
          <t>Englewood Cliffs, N.J., Prentice-Hall [1971]</t>
        </is>
      </c>
      <c r="O3266" t="inlineStr">
        <is>
          <t>1971</t>
        </is>
      </c>
      <c r="Q3266" t="inlineStr">
        <is>
          <t>eng</t>
        </is>
      </c>
      <c r="R3266" t="inlineStr">
        <is>
          <t>nju</t>
        </is>
      </c>
      <c r="S3266" t="inlineStr">
        <is>
          <t>A Spectrum book</t>
        </is>
      </c>
      <c r="T3266" t="inlineStr">
        <is>
          <t xml:space="preserve">PR </t>
        </is>
      </c>
      <c r="U3266" t="n">
        <v>3</v>
      </c>
      <c r="V3266" t="n">
        <v>3</v>
      </c>
      <c r="W3266" t="inlineStr">
        <is>
          <t>2007-01-04</t>
        </is>
      </c>
      <c r="X3266" t="inlineStr">
        <is>
          <t>2007-01-04</t>
        </is>
      </c>
      <c r="Y3266" t="inlineStr">
        <is>
          <t>1997-04-17</t>
        </is>
      </c>
      <c r="Z3266" t="inlineStr">
        <is>
          <t>1997-04-17</t>
        </is>
      </c>
      <c r="AA3266" t="n">
        <v>1322</v>
      </c>
      <c r="AB3266" t="n">
        <v>1192</v>
      </c>
      <c r="AC3266" t="n">
        <v>1209</v>
      </c>
      <c r="AD3266" t="n">
        <v>13</v>
      </c>
      <c r="AE3266" t="n">
        <v>13</v>
      </c>
      <c r="AF3266" t="n">
        <v>41</v>
      </c>
      <c r="AG3266" t="n">
        <v>42</v>
      </c>
      <c r="AH3266" t="n">
        <v>15</v>
      </c>
      <c r="AI3266" t="n">
        <v>16</v>
      </c>
      <c r="AJ3266" t="n">
        <v>5</v>
      </c>
      <c r="AK3266" t="n">
        <v>5</v>
      </c>
      <c r="AL3266" t="n">
        <v>17</v>
      </c>
      <c r="AM3266" t="n">
        <v>17</v>
      </c>
      <c r="AN3266" t="n">
        <v>11</v>
      </c>
      <c r="AO3266" t="n">
        <v>11</v>
      </c>
      <c r="AP3266" t="n">
        <v>0</v>
      </c>
      <c r="AQ3266" t="n">
        <v>0</v>
      </c>
      <c r="AR3266" t="inlineStr">
        <is>
          <t>No</t>
        </is>
      </c>
      <c r="AS3266" t="inlineStr">
        <is>
          <t>Yes</t>
        </is>
      </c>
      <c r="AT3266">
        <f>HYPERLINK("http://catalog.hathitrust.org/Record/000672926","HathiTrust Record")</f>
        <v/>
      </c>
      <c r="AU3266">
        <f>HYPERLINK("https://creighton-primo.hosted.exlibrisgroup.com/primo-explore/search?tab=default_tab&amp;search_scope=EVERYTHING&amp;vid=01CRU&amp;lang=en_US&amp;offset=0&amp;query=any,contains,991001181849702656","Catalog Record")</f>
        <v/>
      </c>
      <c r="AV3266">
        <f>HYPERLINK("http://www.worldcat.org/oclc/190610","WorldCat Record")</f>
        <v/>
      </c>
      <c r="AW3266" t="inlineStr">
        <is>
          <t>889538375:eng</t>
        </is>
      </c>
      <c r="AX3266" t="inlineStr">
        <is>
          <t>190610</t>
        </is>
      </c>
      <c r="AY3266" t="inlineStr">
        <is>
          <t>991001181849702656</t>
        </is>
      </c>
      <c r="AZ3266" t="inlineStr">
        <is>
          <t>991001181849702656</t>
        </is>
      </c>
      <c r="BA3266" t="inlineStr">
        <is>
          <t>2259428000002656</t>
        </is>
      </c>
      <c r="BB3266" t="inlineStr">
        <is>
          <t>BOOK</t>
        </is>
      </c>
      <c r="BD3266" t="inlineStr">
        <is>
          <t>9780136226055</t>
        </is>
      </c>
      <c r="BE3266" t="inlineStr">
        <is>
          <t>32285002576865</t>
        </is>
      </c>
      <c r="BF3266" t="inlineStr">
        <is>
          <t>893432660</t>
        </is>
      </c>
    </row>
    <row r="3267">
      <c r="A3267" t="inlineStr">
        <is>
          <t>No</t>
        </is>
      </c>
      <c r="B3267" t="inlineStr">
        <is>
          <t>CURAL</t>
        </is>
      </c>
      <c r="C3267" t="inlineStr">
        <is>
          <t>SHELVES</t>
        </is>
      </c>
      <c r="D3267" t="inlineStr">
        <is>
          <t>PR6029.R8 Z588 1984</t>
        </is>
      </c>
      <c r="E3267" t="inlineStr">
        <is>
          <t>0                      PR 6029000R  8                  Z  588         1984</t>
        </is>
      </c>
      <c r="F3267" t="inlineStr">
        <is>
          <t>The language of 1984 : Orwell's English and ours / W.F. Bolton.</t>
        </is>
      </c>
      <c r="H3267" t="inlineStr">
        <is>
          <t>No</t>
        </is>
      </c>
      <c r="I3267" t="inlineStr">
        <is>
          <t>1</t>
        </is>
      </c>
      <c r="J3267" t="inlineStr">
        <is>
          <t>No</t>
        </is>
      </c>
      <c r="K3267" t="inlineStr">
        <is>
          <t>No</t>
        </is>
      </c>
      <c r="L3267" t="inlineStr">
        <is>
          <t>0</t>
        </is>
      </c>
      <c r="M3267" t="inlineStr">
        <is>
          <t>Bolton, W. F. (Whitney French), 1930-</t>
        </is>
      </c>
      <c r="N3267" t="inlineStr">
        <is>
          <t>Knoxville : University of Tennessee Press, c1984.</t>
        </is>
      </c>
      <c r="O3267" t="inlineStr">
        <is>
          <t>1984</t>
        </is>
      </c>
      <c r="Q3267" t="inlineStr">
        <is>
          <t>eng</t>
        </is>
      </c>
      <c r="R3267" t="inlineStr">
        <is>
          <t>tnu</t>
        </is>
      </c>
      <c r="T3267" t="inlineStr">
        <is>
          <t xml:space="preserve">PR </t>
        </is>
      </c>
      <c r="U3267" t="n">
        <v>6</v>
      </c>
      <c r="V3267" t="n">
        <v>6</v>
      </c>
      <c r="W3267" t="inlineStr">
        <is>
          <t>1998-09-08</t>
        </is>
      </c>
      <c r="X3267" t="inlineStr">
        <is>
          <t>1998-09-08</t>
        </is>
      </c>
      <c r="Y3267" t="inlineStr">
        <is>
          <t>1992-07-17</t>
        </is>
      </c>
      <c r="Z3267" t="inlineStr">
        <is>
          <t>1992-07-17</t>
        </is>
      </c>
      <c r="AA3267" t="n">
        <v>569</v>
      </c>
      <c r="AB3267" t="n">
        <v>523</v>
      </c>
      <c r="AC3267" t="n">
        <v>572</v>
      </c>
      <c r="AD3267" t="n">
        <v>6</v>
      </c>
      <c r="AE3267" t="n">
        <v>6</v>
      </c>
      <c r="AF3267" t="n">
        <v>27</v>
      </c>
      <c r="AG3267" t="n">
        <v>27</v>
      </c>
      <c r="AH3267" t="n">
        <v>12</v>
      </c>
      <c r="AI3267" t="n">
        <v>12</v>
      </c>
      <c r="AJ3267" t="n">
        <v>8</v>
      </c>
      <c r="AK3267" t="n">
        <v>8</v>
      </c>
      <c r="AL3267" t="n">
        <v>12</v>
      </c>
      <c r="AM3267" t="n">
        <v>12</v>
      </c>
      <c r="AN3267" t="n">
        <v>5</v>
      </c>
      <c r="AO3267" t="n">
        <v>5</v>
      </c>
      <c r="AP3267" t="n">
        <v>0</v>
      </c>
      <c r="AQ3267" t="n">
        <v>0</v>
      </c>
      <c r="AR3267" t="inlineStr">
        <is>
          <t>No</t>
        </is>
      </c>
      <c r="AS3267" t="inlineStr">
        <is>
          <t>No</t>
        </is>
      </c>
      <c r="AU3267">
        <f>HYPERLINK("https://creighton-primo.hosted.exlibrisgroup.com/primo-explore/search?tab=default_tab&amp;search_scope=EVERYTHING&amp;vid=01CRU&amp;lang=en_US&amp;offset=0&amp;query=any,contains,991000304829702656","Catalog Record")</f>
        <v/>
      </c>
      <c r="AV3267">
        <f>HYPERLINK("http://www.worldcat.org/oclc/10046349","WorldCat Record")</f>
        <v/>
      </c>
      <c r="AW3267" t="inlineStr">
        <is>
          <t>799516727:eng</t>
        </is>
      </c>
      <c r="AX3267" t="inlineStr">
        <is>
          <t>10046349</t>
        </is>
      </c>
      <c r="AY3267" t="inlineStr">
        <is>
          <t>991000304829702656</t>
        </is>
      </c>
      <c r="AZ3267" t="inlineStr">
        <is>
          <t>991000304829702656</t>
        </is>
      </c>
      <c r="BA3267" t="inlineStr">
        <is>
          <t>2256467190002656</t>
        </is>
      </c>
      <c r="BB3267" t="inlineStr">
        <is>
          <t>BOOK</t>
        </is>
      </c>
      <c r="BD3267" t="inlineStr">
        <is>
          <t>9780870494123</t>
        </is>
      </c>
      <c r="BE3267" t="inlineStr">
        <is>
          <t>32285001200491</t>
        </is>
      </c>
      <c r="BF3267" t="inlineStr">
        <is>
          <t>893790399</t>
        </is>
      </c>
    </row>
    <row r="3268">
      <c r="A3268" t="inlineStr">
        <is>
          <t>No</t>
        </is>
      </c>
      <c r="B3268" t="inlineStr">
        <is>
          <t>CURAL</t>
        </is>
      </c>
      <c r="C3268" t="inlineStr">
        <is>
          <t>SHELVES</t>
        </is>
      </c>
      <c r="D3268" t="inlineStr">
        <is>
          <t>PR6029.R8 Z5893 2003</t>
        </is>
      </c>
      <c r="E3268" t="inlineStr">
        <is>
          <t>0                      PR 6029000R  8                  Z  5893        2003</t>
        </is>
      </c>
      <c r="F3268" t="inlineStr">
        <is>
          <t>Inside George Orwell / Gordon Bowker.</t>
        </is>
      </c>
      <c r="H3268" t="inlineStr">
        <is>
          <t>No</t>
        </is>
      </c>
      <c r="I3268" t="inlineStr">
        <is>
          <t>1</t>
        </is>
      </c>
      <c r="J3268" t="inlineStr">
        <is>
          <t>No</t>
        </is>
      </c>
      <c r="K3268" t="inlineStr">
        <is>
          <t>No</t>
        </is>
      </c>
      <c r="L3268" t="inlineStr">
        <is>
          <t>0</t>
        </is>
      </c>
      <c r="M3268" t="inlineStr">
        <is>
          <t>Bowker, Gordon, 1934-</t>
        </is>
      </c>
      <c r="N3268" t="inlineStr">
        <is>
          <t>New York : Palgrave Macmillan, 2003.</t>
        </is>
      </c>
      <c r="O3268" t="inlineStr">
        <is>
          <t>2003</t>
        </is>
      </c>
      <c r="P3268" t="inlineStr">
        <is>
          <t>1st Palgrave Macmillan ed.</t>
        </is>
      </c>
      <c r="Q3268" t="inlineStr">
        <is>
          <t>eng</t>
        </is>
      </c>
      <c r="R3268" t="inlineStr">
        <is>
          <t>nyu</t>
        </is>
      </c>
      <c r="T3268" t="inlineStr">
        <is>
          <t xml:space="preserve">PR </t>
        </is>
      </c>
      <c r="U3268" t="n">
        <v>6</v>
      </c>
      <c r="V3268" t="n">
        <v>6</v>
      </c>
      <c r="W3268" t="inlineStr">
        <is>
          <t>2010-11-19</t>
        </is>
      </c>
      <c r="X3268" t="inlineStr">
        <is>
          <t>2010-11-19</t>
        </is>
      </c>
      <c r="Y3268" t="inlineStr">
        <is>
          <t>2003-09-22</t>
        </is>
      </c>
      <c r="Z3268" t="inlineStr">
        <is>
          <t>2003-09-22</t>
        </is>
      </c>
      <c r="AA3268" t="n">
        <v>802</v>
      </c>
      <c r="AB3268" t="n">
        <v>748</v>
      </c>
      <c r="AC3268" t="n">
        <v>756</v>
      </c>
      <c r="AD3268" t="n">
        <v>5</v>
      </c>
      <c r="AE3268" t="n">
        <v>5</v>
      </c>
      <c r="AF3268" t="n">
        <v>21</v>
      </c>
      <c r="AG3268" t="n">
        <v>22</v>
      </c>
      <c r="AH3268" t="n">
        <v>9</v>
      </c>
      <c r="AI3268" t="n">
        <v>9</v>
      </c>
      <c r="AJ3268" t="n">
        <v>7</v>
      </c>
      <c r="AK3268" t="n">
        <v>7</v>
      </c>
      <c r="AL3268" t="n">
        <v>7</v>
      </c>
      <c r="AM3268" t="n">
        <v>8</v>
      </c>
      <c r="AN3268" t="n">
        <v>4</v>
      </c>
      <c r="AO3268" t="n">
        <v>4</v>
      </c>
      <c r="AP3268" t="n">
        <v>0</v>
      </c>
      <c r="AQ3268" t="n">
        <v>0</v>
      </c>
      <c r="AR3268" t="inlineStr">
        <is>
          <t>No</t>
        </is>
      </c>
      <c r="AS3268" t="inlineStr">
        <is>
          <t>No</t>
        </is>
      </c>
      <c r="AU3268">
        <f>HYPERLINK("https://creighton-primo.hosted.exlibrisgroup.com/primo-explore/search?tab=default_tab&amp;search_scope=EVERYTHING&amp;vid=01CRU&amp;lang=en_US&amp;offset=0&amp;query=any,contains,991004118909702656","Catalog Record")</f>
        <v/>
      </c>
      <c r="AV3268">
        <f>HYPERLINK("http://www.worldcat.org/oclc/52410583","WorldCat Record")</f>
        <v/>
      </c>
      <c r="AW3268" t="inlineStr">
        <is>
          <t>674615:eng</t>
        </is>
      </c>
      <c r="AX3268" t="inlineStr">
        <is>
          <t>52410583</t>
        </is>
      </c>
      <c r="AY3268" t="inlineStr">
        <is>
          <t>991004118909702656</t>
        </is>
      </c>
      <c r="AZ3268" t="inlineStr">
        <is>
          <t>991004118909702656</t>
        </is>
      </c>
      <c r="BA3268" t="inlineStr">
        <is>
          <t>2268425700002656</t>
        </is>
      </c>
      <c r="BB3268" t="inlineStr">
        <is>
          <t>BOOK</t>
        </is>
      </c>
      <c r="BD3268" t="inlineStr">
        <is>
          <t>9780312238414</t>
        </is>
      </c>
      <c r="BE3268" t="inlineStr">
        <is>
          <t>32285004784046</t>
        </is>
      </c>
      <c r="BF3268" t="inlineStr">
        <is>
          <t>893706018</t>
        </is>
      </c>
    </row>
    <row r="3269">
      <c r="A3269" t="inlineStr">
        <is>
          <t>No</t>
        </is>
      </c>
      <c r="B3269" t="inlineStr">
        <is>
          <t>CURAL</t>
        </is>
      </c>
      <c r="C3269" t="inlineStr">
        <is>
          <t>SHELVES</t>
        </is>
      </c>
      <c r="D3269" t="inlineStr">
        <is>
          <t>PR6029.R8 Z6 1968b</t>
        </is>
      </c>
      <c r="E3269" t="inlineStr">
        <is>
          <t>0                      PR 6029000R  8                  Z  6           1968b</t>
        </is>
      </c>
      <c r="F3269" t="inlineStr">
        <is>
          <t>Chronicles of conscience; a study of George Orwell and Arthur Koestler / Jenni Calder.</t>
        </is>
      </c>
      <c r="H3269" t="inlineStr">
        <is>
          <t>No</t>
        </is>
      </c>
      <c r="I3269" t="inlineStr">
        <is>
          <t>1</t>
        </is>
      </c>
      <c r="J3269" t="inlineStr">
        <is>
          <t>No</t>
        </is>
      </c>
      <c r="K3269" t="inlineStr">
        <is>
          <t>No</t>
        </is>
      </c>
      <c r="L3269" t="inlineStr">
        <is>
          <t>0</t>
        </is>
      </c>
      <c r="M3269" t="inlineStr">
        <is>
          <t>Calder, Jenni.</t>
        </is>
      </c>
      <c r="N3269" t="inlineStr">
        <is>
          <t>[Pittsburgh] : University of Pittsburgh Press, 1968.</t>
        </is>
      </c>
      <c r="O3269" t="inlineStr">
        <is>
          <t>1968</t>
        </is>
      </c>
      <c r="Q3269" t="inlineStr">
        <is>
          <t>eng</t>
        </is>
      </c>
      <c r="R3269" t="inlineStr">
        <is>
          <t>pau</t>
        </is>
      </c>
      <c r="S3269" t="inlineStr">
        <is>
          <t>Critical essays in modern literature</t>
        </is>
      </c>
      <c r="T3269" t="inlineStr">
        <is>
          <t xml:space="preserve">PR </t>
        </is>
      </c>
      <c r="U3269" t="n">
        <v>9</v>
      </c>
      <c r="V3269" t="n">
        <v>9</v>
      </c>
      <c r="W3269" t="inlineStr">
        <is>
          <t>1998-02-06</t>
        </is>
      </c>
      <c r="X3269" t="inlineStr">
        <is>
          <t>1998-02-06</t>
        </is>
      </c>
      <c r="Y3269" t="inlineStr">
        <is>
          <t>1992-07-17</t>
        </is>
      </c>
      <c r="Z3269" t="inlineStr">
        <is>
          <t>1992-07-17</t>
        </is>
      </c>
      <c r="AA3269" t="n">
        <v>578</v>
      </c>
      <c r="AB3269" t="n">
        <v>540</v>
      </c>
      <c r="AC3269" t="n">
        <v>610</v>
      </c>
      <c r="AD3269" t="n">
        <v>9</v>
      </c>
      <c r="AE3269" t="n">
        <v>9</v>
      </c>
      <c r="AF3269" t="n">
        <v>24</v>
      </c>
      <c r="AG3269" t="n">
        <v>31</v>
      </c>
      <c r="AH3269" t="n">
        <v>9</v>
      </c>
      <c r="AI3269" t="n">
        <v>10</v>
      </c>
      <c r="AJ3269" t="n">
        <v>3</v>
      </c>
      <c r="AK3269" t="n">
        <v>6</v>
      </c>
      <c r="AL3269" t="n">
        <v>10</v>
      </c>
      <c r="AM3269" t="n">
        <v>16</v>
      </c>
      <c r="AN3269" t="n">
        <v>7</v>
      </c>
      <c r="AO3269" t="n">
        <v>7</v>
      </c>
      <c r="AP3269" t="n">
        <v>0</v>
      </c>
      <c r="AQ3269" t="n">
        <v>0</v>
      </c>
      <c r="AR3269" t="inlineStr">
        <is>
          <t>No</t>
        </is>
      </c>
      <c r="AS3269" t="inlineStr">
        <is>
          <t>No</t>
        </is>
      </c>
      <c r="AU3269">
        <f>HYPERLINK("https://creighton-primo.hosted.exlibrisgroup.com/primo-explore/search?tab=default_tab&amp;search_scope=EVERYTHING&amp;vid=01CRU&amp;lang=en_US&amp;offset=0&amp;query=any,contains,991000049369702656","Catalog Record")</f>
        <v/>
      </c>
      <c r="AV3269">
        <f>HYPERLINK("http://www.worldcat.org/oclc/22687","WorldCat Record")</f>
        <v/>
      </c>
      <c r="AW3269" t="inlineStr">
        <is>
          <t>1144898:eng</t>
        </is>
      </c>
      <c r="AX3269" t="inlineStr">
        <is>
          <t>22687</t>
        </is>
      </c>
      <c r="AY3269" t="inlineStr">
        <is>
          <t>991000049369702656</t>
        </is>
      </c>
      <c r="AZ3269" t="inlineStr">
        <is>
          <t>991000049369702656</t>
        </is>
      </c>
      <c r="BA3269" t="inlineStr">
        <is>
          <t>2268206830002656</t>
        </is>
      </c>
      <c r="BB3269" t="inlineStr">
        <is>
          <t>BOOK</t>
        </is>
      </c>
      <c r="BE3269" t="inlineStr">
        <is>
          <t>32285001200509</t>
        </is>
      </c>
      <c r="BF3269" t="inlineStr">
        <is>
          <t>893695539</t>
        </is>
      </c>
    </row>
    <row r="3270">
      <c r="A3270" t="inlineStr">
        <is>
          <t>No</t>
        </is>
      </c>
      <c r="B3270" t="inlineStr">
        <is>
          <t>CURAL</t>
        </is>
      </c>
      <c r="C3270" t="inlineStr">
        <is>
          <t>SHELVES</t>
        </is>
      </c>
      <c r="D3270" t="inlineStr">
        <is>
          <t>PR6029.R8 Z62 1955</t>
        </is>
      </c>
      <c r="E3270" t="inlineStr">
        <is>
          <t>0                      PR 6029000R  8                  Z  62          1955</t>
        </is>
      </c>
      <c r="F3270" t="inlineStr">
        <is>
          <t>George Orwell.</t>
        </is>
      </c>
      <c r="H3270" t="inlineStr">
        <is>
          <t>No</t>
        </is>
      </c>
      <c r="I3270" t="inlineStr">
        <is>
          <t>1</t>
        </is>
      </c>
      <c r="J3270" t="inlineStr">
        <is>
          <t>No</t>
        </is>
      </c>
      <c r="K3270" t="inlineStr">
        <is>
          <t>Yes</t>
        </is>
      </c>
      <c r="L3270" t="inlineStr">
        <is>
          <t>0</t>
        </is>
      </c>
      <c r="M3270" t="inlineStr">
        <is>
          <t>Hopkinson, Tom, 1905-1990.</t>
        </is>
      </c>
      <c r="N3270" t="inlineStr">
        <is>
          <t>London ; New York : Published for the British Council and the National Book League by Longmans, Green, [1955].</t>
        </is>
      </c>
      <c r="O3270" t="inlineStr">
        <is>
          <t>1955</t>
        </is>
      </c>
      <c r="P3270" t="inlineStr">
        <is>
          <t>Rev. ed.</t>
        </is>
      </c>
      <c r="Q3270" t="inlineStr">
        <is>
          <t>eng</t>
        </is>
      </c>
      <c r="R3270" t="inlineStr">
        <is>
          <t xml:space="preserve">xx </t>
        </is>
      </c>
      <c r="S3270" t="inlineStr">
        <is>
          <t>Bibliographical series of supplements to British book news</t>
        </is>
      </c>
      <c r="T3270" t="inlineStr">
        <is>
          <t xml:space="preserve">PR </t>
        </is>
      </c>
      <c r="U3270" t="n">
        <v>2</v>
      </c>
      <c r="V3270" t="n">
        <v>2</v>
      </c>
      <c r="W3270" t="inlineStr">
        <is>
          <t>1998-02-06</t>
        </is>
      </c>
      <c r="X3270" t="inlineStr">
        <is>
          <t>1998-02-06</t>
        </is>
      </c>
      <c r="Y3270" t="inlineStr">
        <is>
          <t>1993-04-03</t>
        </is>
      </c>
      <c r="Z3270" t="inlineStr">
        <is>
          <t>1993-04-03</t>
        </is>
      </c>
      <c r="AA3270" t="n">
        <v>88</v>
      </c>
      <c r="AB3270" t="n">
        <v>67</v>
      </c>
      <c r="AC3270" t="n">
        <v>503</v>
      </c>
      <c r="AD3270" t="n">
        <v>1</v>
      </c>
      <c r="AE3270" t="n">
        <v>5</v>
      </c>
      <c r="AF3270" t="n">
        <v>6</v>
      </c>
      <c r="AG3270" t="n">
        <v>29</v>
      </c>
      <c r="AH3270" t="n">
        <v>3</v>
      </c>
      <c r="AI3270" t="n">
        <v>12</v>
      </c>
      <c r="AJ3270" t="n">
        <v>3</v>
      </c>
      <c r="AK3270" t="n">
        <v>7</v>
      </c>
      <c r="AL3270" t="n">
        <v>2</v>
      </c>
      <c r="AM3270" t="n">
        <v>14</v>
      </c>
      <c r="AN3270" t="n">
        <v>0</v>
      </c>
      <c r="AO3270" t="n">
        <v>4</v>
      </c>
      <c r="AP3270" t="n">
        <v>0</v>
      </c>
      <c r="AQ3270" t="n">
        <v>0</v>
      </c>
      <c r="AR3270" t="inlineStr">
        <is>
          <t>No</t>
        </is>
      </c>
      <c r="AS3270" t="inlineStr">
        <is>
          <t>Yes</t>
        </is>
      </c>
      <c r="AT3270">
        <f>HYPERLINK("http://catalog.hathitrust.org/Record/006285516","HathiTrust Record")</f>
        <v/>
      </c>
      <c r="AU3270">
        <f>HYPERLINK("https://creighton-primo.hosted.exlibrisgroup.com/primo-explore/search?tab=default_tab&amp;search_scope=EVERYTHING&amp;vid=01CRU&amp;lang=en_US&amp;offset=0&amp;query=any,contains,991004500999702656","Catalog Record")</f>
        <v/>
      </c>
      <c r="AV3270">
        <f>HYPERLINK("http://www.worldcat.org/oclc/3718765","WorldCat Record")</f>
        <v/>
      </c>
      <c r="AW3270" t="inlineStr">
        <is>
          <t>155734470:eng</t>
        </is>
      </c>
      <c r="AX3270" t="inlineStr">
        <is>
          <t>3718765</t>
        </is>
      </c>
      <c r="AY3270" t="inlineStr">
        <is>
          <t>991004500999702656</t>
        </is>
      </c>
      <c r="AZ3270" t="inlineStr">
        <is>
          <t>991004500999702656</t>
        </is>
      </c>
      <c r="BA3270" t="inlineStr">
        <is>
          <t>2264836460002656</t>
        </is>
      </c>
      <c r="BB3270" t="inlineStr">
        <is>
          <t>BOOK</t>
        </is>
      </c>
      <c r="BE3270" t="inlineStr">
        <is>
          <t>32285001599389</t>
        </is>
      </c>
      <c r="BF3270" t="inlineStr">
        <is>
          <t>893712673</t>
        </is>
      </c>
    </row>
    <row r="3271">
      <c r="A3271" t="inlineStr">
        <is>
          <t>No</t>
        </is>
      </c>
      <c r="B3271" t="inlineStr">
        <is>
          <t>CURAL</t>
        </is>
      </c>
      <c r="C3271" t="inlineStr">
        <is>
          <t>SHELVES</t>
        </is>
      </c>
      <c r="D3271" t="inlineStr">
        <is>
          <t>PR6029.R8 Z62 1977</t>
        </is>
      </c>
      <c r="E3271" t="inlineStr">
        <is>
          <t>0                      PR 6029000R  8                  Z  62          1977</t>
        </is>
      </c>
      <c r="F3271" t="inlineStr">
        <is>
          <t>George Orwell / by Tom Hopkinson.</t>
        </is>
      </c>
      <c r="H3271" t="inlineStr">
        <is>
          <t>No</t>
        </is>
      </c>
      <c r="I3271" t="inlineStr">
        <is>
          <t>1</t>
        </is>
      </c>
      <c r="J3271" t="inlineStr">
        <is>
          <t>No</t>
        </is>
      </c>
      <c r="K3271" t="inlineStr">
        <is>
          <t>Yes</t>
        </is>
      </c>
      <c r="L3271" t="inlineStr">
        <is>
          <t>0</t>
        </is>
      </c>
      <c r="M3271" t="inlineStr">
        <is>
          <t>Hopkinson, Tom, 1905-1990.</t>
        </is>
      </c>
      <c r="N3271" t="inlineStr">
        <is>
          <t>Harlow, Essex : Published for the British Council by Longman Group Ltd., 1977.</t>
        </is>
      </c>
      <c r="O3271" t="inlineStr">
        <is>
          <t>1977</t>
        </is>
      </c>
      <c r="Q3271" t="inlineStr">
        <is>
          <t>eng</t>
        </is>
      </c>
      <c r="R3271" t="inlineStr">
        <is>
          <t>enk</t>
        </is>
      </c>
      <c r="S3271" t="inlineStr">
        <is>
          <t>Writers and their work ; 39</t>
        </is>
      </c>
      <c r="T3271" t="inlineStr">
        <is>
          <t xml:space="preserve">PR </t>
        </is>
      </c>
      <c r="U3271" t="n">
        <v>5</v>
      </c>
      <c r="V3271" t="n">
        <v>5</v>
      </c>
      <c r="W3271" t="inlineStr">
        <is>
          <t>1995-03-26</t>
        </is>
      </c>
      <c r="X3271" t="inlineStr">
        <is>
          <t>1995-03-26</t>
        </is>
      </c>
      <c r="Y3271" t="inlineStr">
        <is>
          <t>1992-07-17</t>
        </is>
      </c>
      <c r="Z3271" t="inlineStr">
        <is>
          <t>1992-07-17</t>
        </is>
      </c>
      <c r="AA3271" t="n">
        <v>49</v>
      </c>
      <c r="AB3271" t="n">
        <v>28</v>
      </c>
      <c r="AC3271" t="n">
        <v>503</v>
      </c>
      <c r="AD3271" t="n">
        <v>1</v>
      </c>
      <c r="AE3271" t="n">
        <v>5</v>
      </c>
      <c r="AF3271" t="n">
        <v>2</v>
      </c>
      <c r="AG3271" t="n">
        <v>29</v>
      </c>
      <c r="AH3271" t="n">
        <v>0</v>
      </c>
      <c r="AI3271" t="n">
        <v>12</v>
      </c>
      <c r="AJ3271" t="n">
        <v>1</v>
      </c>
      <c r="AK3271" t="n">
        <v>7</v>
      </c>
      <c r="AL3271" t="n">
        <v>1</v>
      </c>
      <c r="AM3271" t="n">
        <v>14</v>
      </c>
      <c r="AN3271" t="n">
        <v>0</v>
      </c>
      <c r="AO3271" t="n">
        <v>4</v>
      </c>
      <c r="AP3271" t="n">
        <v>0</v>
      </c>
      <c r="AQ3271" t="n">
        <v>0</v>
      </c>
      <c r="AR3271" t="inlineStr">
        <is>
          <t>No</t>
        </is>
      </c>
      <c r="AS3271" t="inlineStr">
        <is>
          <t>No</t>
        </is>
      </c>
      <c r="AU3271">
        <f>HYPERLINK("https://creighton-primo.hosted.exlibrisgroup.com/primo-explore/search?tab=default_tab&amp;search_scope=EVERYTHING&amp;vid=01CRU&amp;lang=en_US&amp;offset=0&amp;query=any,contains,991004494809702656","Catalog Record")</f>
        <v/>
      </c>
      <c r="AV3271">
        <f>HYPERLINK("http://www.worldcat.org/oclc/3688843","WorldCat Record")</f>
        <v/>
      </c>
      <c r="AW3271" t="inlineStr">
        <is>
          <t>155734470:eng</t>
        </is>
      </c>
      <c r="AX3271" t="inlineStr">
        <is>
          <t>3688843</t>
        </is>
      </c>
      <c r="AY3271" t="inlineStr">
        <is>
          <t>991004494809702656</t>
        </is>
      </c>
      <c r="AZ3271" t="inlineStr">
        <is>
          <t>991004494809702656</t>
        </is>
      </c>
      <c r="BA3271" t="inlineStr">
        <is>
          <t>2263133470002656</t>
        </is>
      </c>
      <c r="BB3271" t="inlineStr">
        <is>
          <t>BOOK</t>
        </is>
      </c>
      <c r="BD3271" t="inlineStr">
        <is>
          <t>9780582010390</t>
        </is>
      </c>
      <c r="BE3271" t="inlineStr">
        <is>
          <t>32285001200525</t>
        </is>
      </c>
      <c r="BF3271" t="inlineStr">
        <is>
          <t>893506916</t>
        </is>
      </c>
    </row>
    <row r="3272">
      <c r="A3272" t="inlineStr">
        <is>
          <t>No</t>
        </is>
      </c>
      <c r="B3272" t="inlineStr">
        <is>
          <t>CURAL</t>
        </is>
      </c>
      <c r="C3272" t="inlineStr">
        <is>
          <t>SHELVES</t>
        </is>
      </c>
      <c r="D3272" t="inlineStr">
        <is>
          <t>PR6029.R8 Z637 1987</t>
        </is>
      </c>
      <c r="E3272" t="inlineStr">
        <is>
          <t>0                      PR 6029000R  8                  Z  637         1987</t>
        </is>
      </c>
      <c r="F3272" t="inlineStr">
        <is>
          <t>George Orwell / by Averil Gardner.</t>
        </is>
      </c>
      <c r="H3272" t="inlineStr">
        <is>
          <t>No</t>
        </is>
      </c>
      <c r="I3272" t="inlineStr">
        <is>
          <t>1</t>
        </is>
      </c>
      <c r="J3272" t="inlineStr">
        <is>
          <t>No</t>
        </is>
      </c>
      <c r="K3272" t="inlineStr">
        <is>
          <t>No</t>
        </is>
      </c>
      <c r="L3272" t="inlineStr">
        <is>
          <t>0</t>
        </is>
      </c>
      <c r="M3272" t="inlineStr">
        <is>
          <t>Gardner, Averil.</t>
        </is>
      </c>
      <c r="N3272" t="inlineStr">
        <is>
          <t>Boston : Twayne, c1987.</t>
        </is>
      </c>
      <c r="O3272" t="inlineStr">
        <is>
          <t>1987</t>
        </is>
      </c>
      <c r="Q3272" t="inlineStr">
        <is>
          <t>eng</t>
        </is>
      </c>
      <c r="R3272" t="inlineStr">
        <is>
          <t>mau</t>
        </is>
      </c>
      <c r="S3272" t="inlineStr">
        <is>
          <t>Twayne's English authors series ; TEAS 455</t>
        </is>
      </c>
      <c r="T3272" t="inlineStr">
        <is>
          <t xml:space="preserve">PR </t>
        </is>
      </c>
      <c r="U3272" t="n">
        <v>8</v>
      </c>
      <c r="V3272" t="n">
        <v>8</v>
      </c>
      <c r="W3272" t="inlineStr">
        <is>
          <t>1995-04-02</t>
        </is>
      </c>
      <c r="X3272" t="inlineStr">
        <is>
          <t>1995-04-02</t>
        </is>
      </c>
      <c r="Y3272" t="inlineStr">
        <is>
          <t>1992-07-17</t>
        </is>
      </c>
      <c r="Z3272" t="inlineStr">
        <is>
          <t>1992-07-17</t>
        </is>
      </c>
      <c r="AA3272" t="n">
        <v>925</v>
      </c>
      <c r="AB3272" t="n">
        <v>830</v>
      </c>
      <c r="AC3272" t="n">
        <v>1003</v>
      </c>
      <c r="AD3272" t="n">
        <v>5</v>
      </c>
      <c r="AE3272" t="n">
        <v>7</v>
      </c>
      <c r="AF3272" t="n">
        <v>26</v>
      </c>
      <c r="AG3272" t="n">
        <v>29</v>
      </c>
      <c r="AH3272" t="n">
        <v>9</v>
      </c>
      <c r="AI3272" t="n">
        <v>10</v>
      </c>
      <c r="AJ3272" t="n">
        <v>6</v>
      </c>
      <c r="AK3272" t="n">
        <v>6</v>
      </c>
      <c r="AL3272" t="n">
        <v>15</v>
      </c>
      <c r="AM3272" t="n">
        <v>16</v>
      </c>
      <c r="AN3272" t="n">
        <v>3</v>
      </c>
      <c r="AO3272" t="n">
        <v>4</v>
      </c>
      <c r="AP3272" t="n">
        <v>0</v>
      </c>
      <c r="AQ3272" t="n">
        <v>0</v>
      </c>
      <c r="AR3272" t="inlineStr">
        <is>
          <t>No</t>
        </is>
      </c>
      <c r="AS3272" t="inlineStr">
        <is>
          <t>Yes</t>
        </is>
      </c>
      <c r="AT3272">
        <f>HYPERLINK("http://catalog.hathitrust.org/Record/000886460","HathiTrust Record")</f>
        <v/>
      </c>
      <c r="AU3272">
        <f>HYPERLINK("https://creighton-primo.hosted.exlibrisgroup.com/primo-explore/search?tab=default_tab&amp;search_scope=EVERYTHING&amp;vid=01CRU&amp;lang=en_US&amp;offset=0&amp;query=any,contains,991001064039702656","Catalog Record")</f>
        <v/>
      </c>
      <c r="AV3272">
        <f>HYPERLINK("http://www.worldcat.org/oclc/15792090","WorldCat Record")</f>
        <v/>
      </c>
      <c r="AW3272" t="inlineStr">
        <is>
          <t>11580624:eng</t>
        </is>
      </c>
      <c r="AX3272" t="inlineStr">
        <is>
          <t>15792090</t>
        </is>
      </c>
      <c r="AY3272" t="inlineStr">
        <is>
          <t>991001064039702656</t>
        </is>
      </c>
      <c r="AZ3272" t="inlineStr">
        <is>
          <t>991001064039702656</t>
        </is>
      </c>
      <c r="BA3272" t="inlineStr">
        <is>
          <t>2261703630002656</t>
        </is>
      </c>
      <c r="BB3272" t="inlineStr">
        <is>
          <t>BOOK</t>
        </is>
      </c>
      <c r="BD3272" t="inlineStr">
        <is>
          <t>9780805769562</t>
        </is>
      </c>
      <c r="BE3272" t="inlineStr">
        <is>
          <t>32285001200541</t>
        </is>
      </c>
      <c r="BF3272" t="inlineStr">
        <is>
          <t>893534417</t>
        </is>
      </c>
    </row>
    <row r="3273">
      <c r="A3273" t="inlineStr">
        <is>
          <t>No</t>
        </is>
      </c>
      <c r="B3273" t="inlineStr">
        <is>
          <t>CURAL</t>
        </is>
      </c>
      <c r="C3273" t="inlineStr">
        <is>
          <t>SHELVES</t>
        </is>
      </c>
      <c r="D3273" t="inlineStr">
        <is>
          <t>PR6029.R8 Z663 1982b</t>
        </is>
      </c>
      <c r="E3273" t="inlineStr">
        <is>
          <t>0                      PR 6029000R  8                  Z  663         1982b</t>
        </is>
      </c>
      <c r="F3273" t="inlineStr">
        <is>
          <t>A George Orwell companion : a guide to the novels, documentaries, and essays / J.R. Hammond.</t>
        </is>
      </c>
      <c r="H3273" t="inlineStr">
        <is>
          <t>No</t>
        </is>
      </c>
      <c r="I3273" t="inlineStr">
        <is>
          <t>1</t>
        </is>
      </c>
      <c r="J3273" t="inlineStr">
        <is>
          <t>No</t>
        </is>
      </c>
      <c r="K3273" t="inlineStr">
        <is>
          <t>No</t>
        </is>
      </c>
      <c r="L3273" t="inlineStr">
        <is>
          <t>0</t>
        </is>
      </c>
      <c r="M3273" t="inlineStr">
        <is>
          <t>Hammond, J. R. (John R.), 1933-</t>
        </is>
      </c>
      <c r="N3273" t="inlineStr">
        <is>
          <t>London : Macmillan, 1982.</t>
        </is>
      </c>
      <c r="O3273" t="inlineStr">
        <is>
          <t>1982</t>
        </is>
      </c>
      <c r="Q3273" t="inlineStr">
        <is>
          <t>eng</t>
        </is>
      </c>
      <c r="R3273" t="inlineStr">
        <is>
          <t>enk</t>
        </is>
      </c>
      <c r="T3273" t="inlineStr">
        <is>
          <t xml:space="preserve">PR </t>
        </is>
      </c>
      <c r="U3273" t="n">
        <v>7</v>
      </c>
      <c r="V3273" t="n">
        <v>7</v>
      </c>
      <c r="W3273" t="inlineStr">
        <is>
          <t>2008-04-13</t>
        </is>
      </c>
      <c r="X3273" t="inlineStr">
        <is>
          <t>2008-04-13</t>
        </is>
      </c>
      <c r="Y3273" t="inlineStr">
        <is>
          <t>1992-08-26</t>
        </is>
      </c>
      <c r="Z3273" t="inlineStr">
        <is>
          <t>1992-08-26</t>
        </is>
      </c>
      <c r="AA3273" t="n">
        <v>378</v>
      </c>
      <c r="AB3273" t="n">
        <v>232</v>
      </c>
      <c r="AC3273" t="n">
        <v>829</v>
      </c>
      <c r="AD3273" t="n">
        <v>2</v>
      </c>
      <c r="AE3273" t="n">
        <v>6</v>
      </c>
      <c r="AF3273" t="n">
        <v>12</v>
      </c>
      <c r="AG3273" t="n">
        <v>36</v>
      </c>
      <c r="AH3273" t="n">
        <v>5</v>
      </c>
      <c r="AI3273" t="n">
        <v>16</v>
      </c>
      <c r="AJ3273" t="n">
        <v>3</v>
      </c>
      <c r="AK3273" t="n">
        <v>8</v>
      </c>
      <c r="AL3273" t="n">
        <v>5</v>
      </c>
      <c r="AM3273" t="n">
        <v>17</v>
      </c>
      <c r="AN3273" t="n">
        <v>1</v>
      </c>
      <c r="AO3273" t="n">
        <v>5</v>
      </c>
      <c r="AP3273" t="n">
        <v>0</v>
      </c>
      <c r="AQ3273" t="n">
        <v>0</v>
      </c>
      <c r="AR3273" t="inlineStr">
        <is>
          <t>No</t>
        </is>
      </c>
      <c r="AS3273" t="inlineStr">
        <is>
          <t>No</t>
        </is>
      </c>
      <c r="AU3273">
        <f>HYPERLINK("https://creighton-primo.hosted.exlibrisgroup.com/primo-explore/search?tab=default_tab&amp;search_scope=EVERYTHING&amp;vid=01CRU&amp;lang=en_US&amp;offset=0&amp;query=any,contains,991000151039702656","Catalog Record")</f>
        <v/>
      </c>
      <c r="AV3273">
        <f>HYPERLINK("http://www.worldcat.org/oclc/9206518","WorldCat Record")</f>
        <v/>
      </c>
      <c r="AW3273" t="inlineStr">
        <is>
          <t>442550:eng</t>
        </is>
      </c>
      <c r="AX3273" t="inlineStr">
        <is>
          <t>9206518</t>
        </is>
      </c>
      <c r="AY3273" t="inlineStr">
        <is>
          <t>991000151039702656</t>
        </is>
      </c>
      <c r="AZ3273" t="inlineStr">
        <is>
          <t>991000151039702656</t>
        </is>
      </c>
      <c r="BA3273" t="inlineStr">
        <is>
          <t>2267140550002656</t>
        </is>
      </c>
      <c r="BB3273" t="inlineStr">
        <is>
          <t>BOOK</t>
        </is>
      </c>
      <c r="BD3273" t="inlineStr">
        <is>
          <t>9780333286685</t>
        </is>
      </c>
      <c r="BE3273" t="inlineStr">
        <is>
          <t>32285001273142</t>
        </is>
      </c>
      <c r="BF3273" t="inlineStr">
        <is>
          <t>893771432</t>
        </is>
      </c>
    </row>
    <row r="3274">
      <c r="A3274" t="inlineStr">
        <is>
          <t>No</t>
        </is>
      </c>
      <c r="B3274" t="inlineStr">
        <is>
          <t>CURAL</t>
        </is>
      </c>
      <c r="C3274" t="inlineStr">
        <is>
          <t>SHELVES</t>
        </is>
      </c>
      <c r="D3274" t="inlineStr">
        <is>
          <t>PR6029.R8 Z73</t>
        </is>
      </c>
      <c r="E3274" t="inlineStr">
        <is>
          <t>0                      PR 6029000R  8                  Z  73</t>
        </is>
      </c>
      <c r="F3274" t="inlineStr">
        <is>
          <t>Homage to Oceania; the prophetic vision of George Orwell.</t>
        </is>
      </c>
      <c r="H3274" t="inlineStr">
        <is>
          <t>No</t>
        </is>
      </c>
      <c r="I3274" t="inlineStr">
        <is>
          <t>1</t>
        </is>
      </c>
      <c r="J3274" t="inlineStr">
        <is>
          <t>No</t>
        </is>
      </c>
      <c r="K3274" t="inlineStr">
        <is>
          <t>No</t>
        </is>
      </c>
      <c r="L3274" t="inlineStr">
        <is>
          <t>0</t>
        </is>
      </c>
      <c r="M3274" t="inlineStr">
        <is>
          <t>Lief, Ruth Ann.</t>
        </is>
      </c>
      <c r="N3274" t="inlineStr">
        <is>
          <t>[Columbus] Ohio State University Press [1969]</t>
        </is>
      </c>
      <c r="O3274" t="inlineStr">
        <is>
          <t>1969</t>
        </is>
      </c>
      <c r="Q3274" t="inlineStr">
        <is>
          <t>eng</t>
        </is>
      </c>
      <c r="R3274" t="inlineStr">
        <is>
          <t>ohu</t>
        </is>
      </c>
      <c r="T3274" t="inlineStr">
        <is>
          <t xml:space="preserve">PR </t>
        </is>
      </c>
      <c r="U3274" t="n">
        <v>7</v>
      </c>
      <c r="V3274" t="n">
        <v>7</v>
      </c>
      <c r="W3274" t="inlineStr">
        <is>
          <t>1998-02-06</t>
        </is>
      </c>
      <c r="X3274" t="inlineStr">
        <is>
          <t>1998-02-06</t>
        </is>
      </c>
      <c r="Y3274" t="inlineStr">
        <is>
          <t>1997-04-17</t>
        </is>
      </c>
      <c r="Z3274" t="inlineStr">
        <is>
          <t>1997-04-17</t>
        </is>
      </c>
      <c r="AA3274" t="n">
        <v>870</v>
      </c>
      <c r="AB3274" t="n">
        <v>769</v>
      </c>
      <c r="AC3274" t="n">
        <v>779</v>
      </c>
      <c r="AD3274" t="n">
        <v>5</v>
      </c>
      <c r="AE3274" t="n">
        <v>5</v>
      </c>
      <c r="AF3274" t="n">
        <v>31</v>
      </c>
      <c r="AG3274" t="n">
        <v>31</v>
      </c>
      <c r="AH3274" t="n">
        <v>12</v>
      </c>
      <c r="AI3274" t="n">
        <v>12</v>
      </c>
      <c r="AJ3274" t="n">
        <v>8</v>
      </c>
      <c r="AK3274" t="n">
        <v>8</v>
      </c>
      <c r="AL3274" t="n">
        <v>16</v>
      </c>
      <c r="AM3274" t="n">
        <v>16</v>
      </c>
      <c r="AN3274" t="n">
        <v>3</v>
      </c>
      <c r="AO3274" t="n">
        <v>3</v>
      </c>
      <c r="AP3274" t="n">
        <v>0</v>
      </c>
      <c r="AQ3274" t="n">
        <v>0</v>
      </c>
      <c r="AR3274" t="inlineStr">
        <is>
          <t>No</t>
        </is>
      </c>
      <c r="AS3274" t="inlineStr">
        <is>
          <t>Yes</t>
        </is>
      </c>
      <c r="AT3274">
        <f>HYPERLINK("http://catalog.hathitrust.org/Record/001376267","HathiTrust Record")</f>
        <v/>
      </c>
      <c r="AU3274">
        <f>HYPERLINK("https://creighton-primo.hosted.exlibrisgroup.com/primo-explore/search?tab=default_tab&amp;search_scope=EVERYTHING&amp;vid=01CRU&amp;lang=en_US&amp;offset=0&amp;query=any,contains,991000099389702656","Catalog Record")</f>
        <v/>
      </c>
      <c r="AV3274">
        <f>HYPERLINK("http://www.worldcat.org/oclc/44351","WorldCat Record")</f>
        <v/>
      </c>
      <c r="AW3274" t="inlineStr">
        <is>
          <t>294222735:eng</t>
        </is>
      </c>
      <c r="AX3274" t="inlineStr">
        <is>
          <t>44351</t>
        </is>
      </c>
      <c r="AY3274" t="inlineStr">
        <is>
          <t>991000099389702656</t>
        </is>
      </c>
      <c r="AZ3274" t="inlineStr">
        <is>
          <t>991000099389702656</t>
        </is>
      </c>
      <c r="BA3274" t="inlineStr">
        <is>
          <t>2260982670002656</t>
        </is>
      </c>
      <c r="BB3274" t="inlineStr">
        <is>
          <t>BOOK</t>
        </is>
      </c>
      <c r="BE3274" t="inlineStr">
        <is>
          <t>32285002576600</t>
        </is>
      </c>
      <c r="BF3274" t="inlineStr">
        <is>
          <t>893521398</t>
        </is>
      </c>
    </row>
    <row r="3275">
      <c r="A3275" t="inlineStr">
        <is>
          <t>No</t>
        </is>
      </c>
      <c r="B3275" t="inlineStr">
        <is>
          <t>CURAL</t>
        </is>
      </c>
      <c r="C3275" t="inlineStr">
        <is>
          <t>SHELVES</t>
        </is>
      </c>
      <c r="D3275" t="inlineStr">
        <is>
          <t>PR6029.R8 Z736 2000</t>
        </is>
      </c>
      <c r="E3275" t="inlineStr">
        <is>
          <t>0                      PR 6029000R  8                  Z  736         2000</t>
        </is>
      </c>
      <c r="F3275" t="inlineStr">
        <is>
          <t>Orwell : wintry conscience of a generation / Jeffrey Meyers.</t>
        </is>
      </c>
      <c r="H3275" t="inlineStr">
        <is>
          <t>No</t>
        </is>
      </c>
      <c r="I3275" t="inlineStr">
        <is>
          <t>1</t>
        </is>
      </c>
      <c r="J3275" t="inlineStr">
        <is>
          <t>No</t>
        </is>
      </c>
      <c r="K3275" t="inlineStr">
        <is>
          <t>No</t>
        </is>
      </c>
      <c r="L3275" t="inlineStr">
        <is>
          <t>0</t>
        </is>
      </c>
      <c r="M3275" t="inlineStr">
        <is>
          <t>Meyers, Jeffrey.</t>
        </is>
      </c>
      <c r="N3275" t="inlineStr">
        <is>
          <t>New York : W.W. Norton &amp; Co., c2000.</t>
        </is>
      </c>
      <c r="O3275" t="inlineStr">
        <is>
          <t>2000</t>
        </is>
      </c>
      <c r="P3275" t="inlineStr">
        <is>
          <t>1st ed.</t>
        </is>
      </c>
      <c r="Q3275" t="inlineStr">
        <is>
          <t>eng</t>
        </is>
      </c>
      <c r="R3275" t="inlineStr">
        <is>
          <t>nyu</t>
        </is>
      </c>
      <c r="T3275" t="inlineStr">
        <is>
          <t xml:space="preserve">PR </t>
        </is>
      </c>
      <c r="U3275" t="n">
        <v>1</v>
      </c>
      <c r="V3275" t="n">
        <v>1</v>
      </c>
      <c r="W3275" t="inlineStr">
        <is>
          <t>2001-01-09</t>
        </is>
      </c>
      <c r="X3275" t="inlineStr">
        <is>
          <t>2001-01-09</t>
        </is>
      </c>
      <c r="Y3275" t="inlineStr">
        <is>
          <t>2001-01-09</t>
        </is>
      </c>
      <c r="Z3275" t="inlineStr">
        <is>
          <t>2001-01-09</t>
        </is>
      </c>
      <c r="AA3275" t="n">
        <v>1146</v>
      </c>
      <c r="AB3275" t="n">
        <v>975</v>
      </c>
      <c r="AC3275" t="n">
        <v>992</v>
      </c>
      <c r="AD3275" t="n">
        <v>9</v>
      </c>
      <c r="AE3275" t="n">
        <v>10</v>
      </c>
      <c r="AF3275" t="n">
        <v>35</v>
      </c>
      <c r="AG3275" t="n">
        <v>36</v>
      </c>
      <c r="AH3275" t="n">
        <v>14</v>
      </c>
      <c r="AI3275" t="n">
        <v>14</v>
      </c>
      <c r="AJ3275" t="n">
        <v>8</v>
      </c>
      <c r="AK3275" t="n">
        <v>8</v>
      </c>
      <c r="AL3275" t="n">
        <v>16</v>
      </c>
      <c r="AM3275" t="n">
        <v>16</v>
      </c>
      <c r="AN3275" t="n">
        <v>5</v>
      </c>
      <c r="AO3275" t="n">
        <v>6</v>
      </c>
      <c r="AP3275" t="n">
        <v>0</v>
      </c>
      <c r="AQ3275" t="n">
        <v>0</v>
      </c>
      <c r="AR3275" t="inlineStr">
        <is>
          <t>No</t>
        </is>
      </c>
      <c r="AS3275" t="inlineStr">
        <is>
          <t>No</t>
        </is>
      </c>
      <c r="AU3275">
        <f>HYPERLINK("https://creighton-primo.hosted.exlibrisgroup.com/primo-explore/search?tab=default_tab&amp;search_scope=EVERYTHING&amp;vid=01CRU&amp;lang=en_US&amp;offset=0&amp;query=any,contains,991003360509702656","Catalog Record")</f>
        <v/>
      </c>
      <c r="AV3275">
        <f>HYPERLINK("http://www.worldcat.org/oclc/43913229","WorldCat Record")</f>
        <v/>
      </c>
      <c r="AW3275" t="inlineStr">
        <is>
          <t>11341878:eng</t>
        </is>
      </c>
      <c r="AX3275" t="inlineStr">
        <is>
          <t>43913229</t>
        </is>
      </c>
      <c r="AY3275" t="inlineStr">
        <is>
          <t>991003360509702656</t>
        </is>
      </c>
      <c r="AZ3275" t="inlineStr">
        <is>
          <t>991003360509702656</t>
        </is>
      </c>
      <c r="BA3275" t="inlineStr">
        <is>
          <t>2263936390002656</t>
        </is>
      </c>
      <c r="BB3275" t="inlineStr">
        <is>
          <t>BOOK</t>
        </is>
      </c>
      <c r="BD3275" t="inlineStr">
        <is>
          <t>9780393047929</t>
        </is>
      </c>
      <c r="BE3275" t="inlineStr">
        <is>
          <t>32285004281191</t>
        </is>
      </c>
      <c r="BF3275" t="inlineStr">
        <is>
          <t>893598523</t>
        </is>
      </c>
    </row>
    <row r="3276">
      <c r="A3276" t="inlineStr">
        <is>
          <t>No</t>
        </is>
      </c>
      <c r="B3276" t="inlineStr">
        <is>
          <t>CURAL</t>
        </is>
      </c>
      <c r="C3276" t="inlineStr">
        <is>
          <t>SHELVES</t>
        </is>
      </c>
      <c r="D3276" t="inlineStr">
        <is>
          <t>PR6029.R8 Z776 1989</t>
        </is>
      </c>
      <c r="E3276" t="inlineStr">
        <is>
          <t>0                      PR 6029000R  8                  Z  776         1989</t>
        </is>
      </c>
      <c r="F3276" t="inlineStr">
        <is>
          <t>The politics of literary reputation : the making and claiming of "St. George" Orwell / John Rodden.</t>
        </is>
      </c>
      <c r="H3276" t="inlineStr">
        <is>
          <t>No</t>
        </is>
      </c>
      <c r="I3276" t="inlineStr">
        <is>
          <t>1</t>
        </is>
      </c>
      <c r="J3276" t="inlineStr">
        <is>
          <t>No</t>
        </is>
      </c>
      <c r="K3276" t="inlineStr">
        <is>
          <t>No</t>
        </is>
      </c>
      <c r="L3276" t="inlineStr">
        <is>
          <t>0</t>
        </is>
      </c>
      <c r="M3276" t="inlineStr">
        <is>
          <t>Rodden, John.</t>
        </is>
      </c>
      <c r="N3276" t="inlineStr">
        <is>
          <t>New York : Oxford University Press, 1989.</t>
        </is>
      </c>
      <c r="O3276" t="inlineStr">
        <is>
          <t>1989</t>
        </is>
      </c>
      <c r="Q3276" t="inlineStr">
        <is>
          <t>eng</t>
        </is>
      </c>
      <c r="R3276" t="inlineStr">
        <is>
          <t>nyu</t>
        </is>
      </c>
      <c r="T3276" t="inlineStr">
        <is>
          <t xml:space="preserve">PR </t>
        </is>
      </c>
      <c r="U3276" t="n">
        <v>2</v>
      </c>
      <c r="V3276" t="n">
        <v>2</v>
      </c>
      <c r="W3276" t="inlineStr">
        <is>
          <t>1992-02-26</t>
        </is>
      </c>
      <c r="X3276" t="inlineStr">
        <is>
          <t>1992-02-26</t>
        </is>
      </c>
      <c r="Y3276" t="inlineStr">
        <is>
          <t>1990-02-13</t>
        </is>
      </c>
      <c r="Z3276" t="inlineStr">
        <is>
          <t>1990-02-13</t>
        </is>
      </c>
      <c r="AA3276" t="n">
        <v>713</v>
      </c>
      <c r="AB3276" t="n">
        <v>575</v>
      </c>
      <c r="AC3276" t="n">
        <v>583</v>
      </c>
      <c r="AD3276" t="n">
        <v>4</v>
      </c>
      <c r="AE3276" t="n">
        <v>4</v>
      </c>
      <c r="AF3276" t="n">
        <v>30</v>
      </c>
      <c r="AG3276" t="n">
        <v>30</v>
      </c>
      <c r="AH3276" t="n">
        <v>10</v>
      </c>
      <c r="AI3276" t="n">
        <v>10</v>
      </c>
      <c r="AJ3276" t="n">
        <v>8</v>
      </c>
      <c r="AK3276" t="n">
        <v>8</v>
      </c>
      <c r="AL3276" t="n">
        <v>18</v>
      </c>
      <c r="AM3276" t="n">
        <v>18</v>
      </c>
      <c r="AN3276" t="n">
        <v>2</v>
      </c>
      <c r="AO3276" t="n">
        <v>2</v>
      </c>
      <c r="AP3276" t="n">
        <v>1</v>
      </c>
      <c r="AQ3276" t="n">
        <v>1</v>
      </c>
      <c r="AR3276" t="inlineStr">
        <is>
          <t>No</t>
        </is>
      </c>
      <c r="AS3276" t="inlineStr">
        <is>
          <t>Yes</t>
        </is>
      </c>
      <c r="AT3276">
        <f>HYPERLINK("http://catalog.hathitrust.org/Record/001529518","HathiTrust Record")</f>
        <v/>
      </c>
      <c r="AU3276">
        <f>HYPERLINK("https://creighton-primo.hosted.exlibrisgroup.com/primo-explore/search?tab=default_tab&amp;search_scope=EVERYTHING&amp;vid=01CRU&amp;lang=en_US&amp;offset=0&amp;query=any,contains,991001322809702656","Catalog Record")</f>
        <v/>
      </c>
      <c r="AV3276">
        <f>HYPERLINK("http://www.worldcat.org/oclc/18255276","WorldCat Record")</f>
        <v/>
      </c>
      <c r="AW3276" t="inlineStr">
        <is>
          <t>287697457:eng</t>
        </is>
      </c>
      <c r="AX3276" t="inlineStr">
        <is>
          <t>18255276</t>
        </is>
      </c>
      <c r="AY3276" t="inlineStr">
        <is>
          <t>991001322809702656</t>
        </is>
      </c>
      <c r="AZ3276" t="inlineStr">
        <is>
          <t>991001322809702656</t>
        </is>
      </c>
      <c r="BA3276" t="inlineStr">
        <is>
          <t>2259045190002656</t>
        </is>
      </c>
      <c r="BB3276" t="inlineStr">
        <is>
          <t>BOOK</t>
        </is>
      </c>
      <c r="BD3276" t="inlineStr">
        <is>
          <t>9780195039542</t>
        </is>
      </c>
      <c r="BE3276" t="inlineStr">
        <is>
          <t>32285000037266</t>
        </is>
      </c>
      <c r="BF3276" t="inlineStr">
        <is>
          <t>893408041</t>
        </is>
      </c>
    </row>
    <row r="3277">
      <c r="A3277" t="inlineStr">
        <is>
          <t>No</t>
        </is>
      </c>
      <c r="B3277" t="inlineStr">
        <is>
          <t>CURAL</t>
        </is>
      </c>
      <c r="C3277" t="inlineStr">
        <is>
          <t>SHELVES</t>
        </is>
      </c>
      <c r="D3277" t="inlineStr">
        <is>
          <t>PR6029.R8 Z7762 2003</t>
        </is>
      </c>
      <c r="E3277" t="inlineStr">
        <is>
          <t>0                      PR 6029000R  8                  Z  7762        2003</t>
        </is>
      </c>
      <c r="F3277" t="inlineStr">
        <is>
          <t>Scenes from an afterlife : the legacy of George Orwell / John Rodden.</t>
        </is>
      </c>
      <c r="H3277" t="inlineStr">
        <is>
          <t>No</t>
        </is>
      </c>
      <c r="I3277" t="inlineStr">
        <is>
          <t>1</t>
        </is>
      </c>
      <c r="J3277" t="inlineStr">
        <is>
          <t>No</t>
        </is>
      </c>
      <c r="K3277" t="inlineStr">
        <is>
          <t>No</t>
        </is>
      </c>
      <c r="L3277" t="inlineStr">
        <is>
          <t>0</t>
        </is>
      </c>
      <c r="M3277" t="inlineStr">
        <is>
          <t>Rodden, John.</t>
        </is>
      </c>
      <c r="N3277" t="inlineStr">
        <is>
          <t>Wilmington, Del. : ISI Books, 2003.</t>
        </is>
      </c>
      <c r="O3277" t="inlineStr">
        <is>
          <t>2003</t>
        </is>
      </c>
      <c r="Q3277" t="inlineStr">
        <is>
          <t>eng</t>
        </is>
      </c>
      <c r="R3277" t="inlineStr">
        <is>
          <t>deu</t>
        </is>
      </c>
      <c r="T3277" t="inlineStr">
        <is>
          <t xml:space="preserve">PR </t>
        </is>
      </c>
      <c r="U3277" t="n">
        <v>3</v>
      </c>
      <c r="V3277" t="n">
        <v>3</v>
      </c>
      <c r="W3277" t="inlineStr">
        <is>
          <t>2009-02-01</t>
        </is>
      </c>
      <c r="X3277" t="inlineStr">
        <is>
          <t>2009-02-01</t>
        </is>
      </c>
      <c r="Y3277" t="inlineStr">
        <is>
          <t>2003-12-10</t>
        </is>
      </c>
      <c r="Z3277" t="inlineStr">
        <is>
          <t>2003-12-10</t>
        </is>
      </c>
      <c r="AA3277" t="n">
        <v>508</v>
      </c>
      <c r="AB3277" t="n">
        <v>450</v>
      </c>
      <c r="AC3277" t="n">
        <v>457</v>
      </c>
      <c r="AD3277" t="n">
        <v>1</v>
      </c>
      <c r="AE3277" t="n">
        <v>1</v>
      </c>
      <c r="AF3277" t="n">
        <v>21</v>
      </c>
      <c r="AG3277" t="n">
        <v>21</v>
      </c>
      <c r="AH3277" t="n">
        <v>11</v>
      </c>
      <c r="AI3277" t="n">
        <v>11</v>
      </c>
      <c r="AJ3277" t="n">
        <v>7</v>
      </c>
      <c r="AK3277" t="n">
        <v>7</v>
      </c>
      <c r="AL3277" t="n">
        <v>11</v>
      </c>
      <c r="AM3277" t="n">
        <v>11</v>
      </c>
      <c r="AN3277" t="n">
        <v>0</v>
      </c>
      <c r="AO3277" t="n">
        <v>0</v>
      </c>
      <c r="AP3277" t="n">
        <v>0</v>
      </c>
      <c r="AQ3277" t="n">
        <v>0</v>
      </c>
      <c r="AR3277" t="inlineStr">
        <is>
          <t>No</t>
        </is>
      </c>
      <c r="AS3277" t="inlineStr">
        <is>
          <t>Yes</t>
        </is>
      </c>
      <c r="AT3277">
        <f>HYPERLINK("http://catalog.hathitrust.org/Record/004343423","HathiTrust Record")</f>
        <v/>
      </c>
      <c r="AU3277">
        <f>HYPERLINK("https://creighton-primo.hosted.exlibrisgroup.com/primo-explore/search?tab=default_tab&amp;search_scope=EVERYTHING&amp;vid=01CRU&amp;lang=en_US&amp;offset=0&amp;query=any,contains,991004176079702656","Catalog Record")</f>
        <v/>
      </c>
      <c r="AV3277">
        <f>HYPERLINK("http://www.worldcat.org/oclc/53118972","WorldCat Record")</f>
        <v/>
      </c>
      <c r="AW3277" t="inlineStr">
        <is>
          <t>366379364:eng</t>
        </is>
      </c>
      <c r="AX3277" t="inlineStr">
        <is>
          <t>53118972</t>
        </is>
      </c>
      <c r="AY3277" t="inlineStr">
        <is>
          <t>991004176079702656</t>
        </is>
      </c>
      <c r="AZ3277" t="inlineStr">
        <is>
          <t>991004176079702656</t>
        </is>
      </c>
      <c r="BA3277" t="inlineStr">
        <is>
          <t>2263372730002656</t>
        </is>
      </c>
      <c r="BB3277" t="inlineStr">
        <is>
          <t>BOOK</t>
        </is>
      </c>
      <c r="BD3277" t="inlineStr">
        <is>
          <t>9781932236019</t>
        </is>
      </c>
      <c r="BE3277" t="inlineStr">
        <is>
          <t>32285004845961</t>
        </is>
      </c>
      <c r="BF3277" t="inlineStr">
        <is>
          <t>893417327</t>
        </is>
      </c>
    </row>
    <row r="3278">
      <c r="A3278" t="inlineStr">
        <is>
          <t>No</t>
        </is>
      </c>
      <c r="B3278" t="inlineStr">
        <is>
          <t>CURAL</t>
        </is>
      </c>
      <c r="C3278" t="inlineStr">
        <is>
          <t>SHELVES</t>
        </is>
      </c>
      <c r="D3278" t="inlineStr">
        <is>
          <t>PR6029.R8 Z789</t>
        </is>
      </c>
      <c r="E3278" t="inlineStr">
        <is>
          <t>0                      PR 6029000R  8                  Z  789</t>
        </is>
      </c>
      <c r="F3278" t="inlineStr">
        <is>
          <t>Primal dream and primal crime : Orwell's development as a psychological novelist / Richard I. Smyer.</t>
        </is>
      </c>
      <c r="H3278" t="inlineStr">
        <is>
          <t>No</t>
        </is>
      </c>
      <c r="I3278" t="inlineStr">
        <is>
          <t>1</t>
        </is>
      </c>
      <c r="J3278" t="inlineStr">
        <is>
          <t>No</t>
        </is>
      </c>
      <c r="K3278" t="inlineStr">
        <is>
          <t>No</t>
        </is>
      </c>
      <c r="L3278" t="inlineStr">
        <is>
          <t>0</t>
        </is>
      </c>
      <c r="M3278" t="inlineStr">
        <is>
          <t>Smyer, Richard I., 1935-</t>
        </is>
      </c>
      <c r="N3278" t="inlineStr">
        <is>
          <t>Columbia : University of Missouri Press, 1979.</t>
        </is>
      </c>
      <c r="O3278" t="inlineStr">
        <is>
          <t>1979</t>
        </is>
      </c>
      <c r="Q3278" t="inlineStr">
        <is>
          <t>eng</t>
        </is>
      </c>
      <c r="R3278" t="inlineStr">
        <is>
          <t>mou</t>
        </is>
      </c>
      <c r="T3278" t="inlineStr">
        <is>
          <t xml:space="preserve">PR </t>
        </is>
      </c>
      <c r="U3278" t="n">
        <v>2</v>
      </c>
      <c r="V3278" t="n">
        <v>2</v>
      </c>
      <c r="W3278" t="inlineStr">
        <is>
          <t>2000-10-31</t>
        </is>
      </c>
      <c r="X3278" t="inlineStr">
        <is>
          <t>2000-10-31</t>
        </is>
      </c>
      <c r="Y3278" t="inlineStr">
        <is>
          <t>1992-07-17</t>
        </is>
      </c>
      <c r="Z3278" t="inlineStr">
        <is>
          <t>1992-07-17</t>
        </is>
      </c>
      <c r="AA3278" t="n">
        <v>537</v>
      </c>
      <c r="AB3278" t="n">
        <v>439</v>
      </c>
      <c r="AC3278" t="n">
        <v>446</v>
      </c>
      <c r="AD3278" t="n">
        <v>3</v>
      </c>
      <c r="AE3278" t="n">
        <v>3</v>
      </c>
      <c r="AF3278" t="n">
        <v>23</v>
      </c>
      <c r="AG3278" t="n">
        <v>23</v>
      </c>
      <c r="AH3278" t="n">
        <v>9</v>
      </c>
      <c r="AI3278" t="n">
        <v>9</v>
      </c>
      <c r="AJ3278" t="n">
        <v>6</v>
      </c>
      <c r="AK3278" t="n">
        <v>6</v>
      </c>
      <c r="AL3278" t="n">
        <v>13</v>
      </c>
      <c r="AM3278" t="n">
        <v>13</v>
      </c>
      <c r="AN3278" t="n">
        <v>2</v>
      </c>
      <c r="AO3278" t="n">
        <v>2</v>
      </c>
      <c r="AP3278" t="n">
        <v>0</v>
      </c>
      <c r="AQ3278" t="n">
        <v>0</v>
      </c>
      <c r="AR3278" t="inlineStr">
        <is>
          <t>No</t>
        </is>
      </c>
      <c r="AS3278" t="inlineStr">
        <is>
          <t>Yes</t>
        </is>
      </c>
      <c r="AT3278">
        <f>HYPERLINK("http://catalog.hathitrust.org/Record/000700259","HathiTrust Record")</f>
        <v/>
      </c>
      <c r="AU3278">
        <f>HYPERLINK("https://creighton-primo.hosted.exlibrisgroup.com/primo-explore/search?tab=default_tab&amp;search_scope=EVERYTHING&amp;vid=01CRU&amp;lang=en_US&amp;offset=0&amp;query=any,contains,991004746149702656","Catalog Record")</f>
        <v/>
      </c>
      <c r="AV3278">
        <f>HYPERLINK("http://www.worldcat.org/oclc/4908126","WorldCat Record")</f>
        <v/>
      </c>
      <c r="AW3278" t="inlineStr">
        <is>
          <t>198781370:eng</t>
        </is>
      </c>
      <c r="AX3278" t="inlineStr">
        <is>
          <t>4908126</t>
        </is>
      </c>
      <c r="AY3278" t="inlineStr">
        <is>
          <t>991004746149702656</t>
        </is>
      </c>
      <c r="AZ3278" t="inlineStr">
        <is>
          <t>991004746149702656</t>
        </is>
      </c>
      <c r="BA3278" t="inlineStr">
        <is>
          <t>2256355770002656</t>
        </is>
      </c>
      <c r="BB3278" t="inlineStr">
        <is>
          <t>BOOK</t>
        </is>
      </c>
      <c r="BD3278" t="inlineStr">
        <is>
          <t>9780826202826</t>
        </is>
      </c>
      <c r="BE3278" t="inlineStr">
        <is>
          <t>32285001200566</t>
        </is>
      </c>
      <c r="BF3278" t="inlineStr">
        <is>
          <t>893801294</t>
        </is>
      </c>
    </row>
    <row r="3279">
      <c r="A3279" t="inlineStr">
        <is>
          <t>No</t>
        </is>
      </c>
      <c r="B3279" t="inlineStr">
        <is>
          <t>CURAL</t>
        </is>
      </c>
      <c r="C3279" t="inlineStr">
        <is>
          <t>SHELVES</t>
        </is>
      </c>
      <c r="D3279" t="inlineStr">
        <is>
          <t>PR6029.R8 Z7892</t>
        </is>
      </c>
      <c r="E3279" t="inlineStr">
        <is>
          <t>0                      PR 6029000R  8                  Z  7892</t>
        </is>
      </c>
      <c r="F3279" t="inlineStr">
        <is>
          <t>George Orwell : a life / Bernard Crick.</t>
        </is>
      </c>
      <c r="H3279" t="inlineStr">
        <is>
          <t>No</t>
        </is>
      </c>
      <c r="I3279" t="inlineStr">
        <is>
          <t>1</t>
        </is>
      </c>
      <c r="J3279" t="inlineStr">
        <is>
          <t>No</t>
        </is>
      </c>
      <c r="K3279" t="inlineStr">
        <is>
          <t>No</t>
        </is>
      </c>
      <c r="L3279" t="inlineStr">
        <is>
          <t>0</t>
        </is>
      </c>
      <c r="M3279" t="inlineStr">
        <is>
          <t>Crick, Bernard, 1929-2008.</t>
        </is>
      </c>
      <c r="N3279" t="inlineStr">
        <is>
          <t>Boston : Little, Brown, c1980.</t>
        </is>
      </c>
      <c r="O3279" t="inlineStr">
        <is>
          <t>1980</t>
        </is>
      </c>
      <c r="P3279" t="inlineStr">
        <is>
          <t>1st American ed.</t>
        </is>
      </c>
      <c r="Q3279" t="inlineStr">
        <is>
          <t>eng</t>
        </is>
      </c>
      <c r="R3279" t="inlineStr">
        <is>
          <t>mau</t>
        </is>
      </c>
      <c r="T3279" t="inlineStr">
        <is>
          <t xml:space="preserve">PR </t>
        </is>
      </c>
      <c r="U3279" t="n">
        <v>5</v>
      </c>
      <c r="V3279" t="n">
        <v>5</v>
      </c>
      <c r="W3279" t="inlineStr">
        <is>
          <t>1993-06-01</t>
        </is>
      </c>
      <c r="X3279" t="inlineStr">
        <is>
          <t>1993-06-01</t>
        </is>
      </c>
      <c r="Y3279" t="inlineStr">
        <is>
          <t>1993-06-01</t>
        </is>
      </c>
      <c r="Z3279" t="inlineStr">
        <is>
          <t>1993-06-01</t>
        </is>
      </c>
      <c r="AA3279" t="n">
        <v>1530</v>
      </c>
      <c r="AB3279" t="n">
        <v>1457</v>
      </c>
      <c r="AC3279" t="n">
        <v>1656</v>
      </c>
      <c r="AD3279" t="n">
        <v>13</v>
      </c>
      <c r="AE3279" t="n">
        <v>15</v>
      </c>
      <c r="AF3279" t="n">
        <v>49</v>
      </c>
      <c r="AG3279" t="n">
        <v>52</v>
      </c>
      <c r="AH3279" t="n">
        <v>26</v>
      </c>
      <c r="AI3279" t="n">
        <v>26</v>
      </c>
      <c r="AJ3279" t="n">
        <v>8</v>
      </c>
      <c r="AK3279" t="n">
        <v>9</v>
      </c>
      <c r="AL3279" t="n">
        <v>20</v>
      </c>
      <c r="AM3279" t="n">
        <v>20</v>
      </c>
      <c r="AN3279" t="n">
        <v>8</v>
      </c>
      <c r="AO3279" t="n">
        <v>10</v>
      </c>
      <c r="AP3279" t="n">
        <v>0</v>
      </c>
      <c r="AQ3279" t="n">
        <v>0</v>
      </c>
      <c r="AR3279" t="inlineStr">
        <is>
          <t>No</t>
        </is>
      </c>
      <c r="AS3279" t="inlineStr">
        <is>
          <t>No</t>
        </is>
      </c>
      <c r="AU3279">
        <f>HYPERLINK("https://creighton-primo.hosted.exlibrisgroup.com/primo-explore/search?tab=default_tab&amp;search_scope=EVERYTHING&amp;vid=01CRU&amp;lang=en_US&amp;offset=0&amp;query=any,contains,991005091239702656","Catalog Record")</f>
        <v/>
      </c>
      <c r="AV3279">
        <f>HYPERLINK("http://www.worldcat.org/oclc/7671889","WorldCat Record")</f>
        <v/>
      </c>
      <c r="AW3279" t="inlineStr">
        <is>
          <t>228371619:eng</t>
        </is>
      </c>
      <c r="AX3279" t="inlineStr">
        <is>
          <t>7671889</t>
        </is>
      </c>
      <c r="AY3279" t="inlineStr">
        <is>
          <t>991005091239702656</t>
        </is>
      </c>
      <c r="AZ3279" t="inlineStr">
        <is>
          <t>991005091239702656</t>
        </is>
      </c>
      <c r="BA3279" t="inlineStr">
        <is>
          <t>2267941550002656</t>
        </is>
      </c>
      <c r="BB3279" t="inlineStr">
        <is>
          <t>BOOK</t>
        </is>
      </c>
      <c r="BD3279" t="inlineStr">
        <is>
          <t>9780316161121</t>
        </is>
      </c>
      <c r="BE3279" t="inlineStr">
        <is>
          <t>32285001716348</t>
        </is>
      </c>
      <c r="BF3279" t="inlineStr">
        <is>
          <t>893807805</t>
        </is>
      </c>
    </row>
    <row r="3280">
      <c r="A3280" t="inlineStr">
        <is>
          <t>No</t>
        </is>
      </c>
      <c r="B3280" t="inlineStr">
        <is>
          <t>CURAL</t>
        </is>
      </c>
      <c r="C3280" t="inlineStr">
        <is>
          <t>SHELVES</t>
        </is>
      </c>
      <c r="D3280" t="inlineStr">
        <is>
          <t>PR6029.R8 Z7896 1984</t>
        </is>
      </c>
      <c r="E3280" t="inlineStr">
        <is>
          <t>0                      PR 6029000R  8                  Z  7896        1984</t>
        </is>
      </c>
      <c r="F3280" t="inlineStr">
        <is>
          <t>Orwell remembered / [compiled by] Audrey Coppard &amp; Bernard Crick.</t>
        </is>
      </c>
      <c r="H3280" t="inlineStr">
        <is>
          <t>No</t>
        </is>
      </c>
      <c r="I3280" t="inlineStr">
        <is>
          <t>1</t>
        </is>
      </c>
      <c r="J3280" t="inlineStr">
        <is>
          <t>No</t>
        </is>
      </c>
      <c r="K3280" t="inlineStr">
        <is>
          <t>No</t>
        </is>
      </c>
      <c r="L3280" t="inlineStr">
        <is>
          <t>0</t>
        </is>
      </c>
      <c r="N3280" t="inlineStr">
        <is>
          <t>London : British Broadcasting Corporation : Ariel, c1984.</t>
        </is>
      </c>
      <c r="O3280" t="inlineStr">
        <is>
          <t>1984</t>
        </is>
      </c>
      <c r="Q3280" t="inlineStr">
        <is>
          <t>eng</t>
        </is>
      </c>
      <c r="R3280" t="inlineStr">
        <is>
          <t>enk</t>
        </is>
      </c>
      <c r="T3280" t="inlineStr">
        <is>
          <t xml:space="preserve">PR </t>
        </is>
      </c>
      <c r="U3280" t="n">
        <v>3</v>
      </c>
      <c r="V3280" t="n">
        <v>3</v>
      </c>
      <c r="W3280" t="inlineStr">
        <is>
          <t>1998-04-08</t>
        </is>
      </c>
      <c r="X3280" t="inlineStr">
        <is>
          <t>1998-04-08</t>
        </is>
      </c>
      <c r="Y3280" t="inlineStr">
        <is>
          <t>1991-11-19</t>
        </is>
      </c>
      <c r="Z3280" t="inlineStr">
        <is>
          <t>1991-11-19</t>
        </is>
      </c>
      <c r="AA3280" t="n">
        <v>199</v>
      </c>
      <c r="AB3280" t="n">
        <v>91</v>
      </c>
      <c r="AC3280" t="n">
        <v>472</v>
      </c>
      <c r="AD3280" t="n">
        <v>3</v>
      </c>
      <c r="AE3280" t="n">
        <v>5</v>
      </c>
      <c r="AF3280" t="n">
        <v>4</v>
      </c>
      <c r="AG3280" t="n">
        <v>16</v>
      </c>
      <c r="AH3280" t="n">
        <v>1</v>
      </c>
      <c r="AI3280" t="n">
        <v>8</v>
      </c>
      <c r="AJ3280" t="n">
        <v>1</v>
      </c>
      <c r="AK3280" t="n">
        <v>3</v>
      </c>
      <c r="AL3280" t="n">
        <v>1</v>
      </c>
      <c r="AM3280" t="n">
        <v>5</v>
      </c>
      <c r="AN3280" t="n">
        <v>2</v>
      </c>
      <c r="AO3280" t="n">
        <v>3</v>
      </c>
      <c r="AP3280" t="n">
        <v>0</v>
      </c>
      <c r="AQ3280" t="n">
        <v>0</v>
      </c>
      <c r="AR3280" t="inlineStr">
        <is>
          <t>No</t>
        </is>
      </c>
      <c r="AS3280" t="inlineStr">
        <is>
          <t>Yes</t>
        </is>
      </c>
      <c r="AT3280">
        <f>HYPERLINK("http://catalog.hathitrust.org/Record/000781576","HathiTrust Record")</f>
        <v/>
      </c>
      <c r="AU3280">
        <f>HYPERLINK("https://creighton-primo.hosted.exlibrisgroup.com/primo-explore/search?tab=default_tab&amp;search_scope=EVERYTHING&amp;vid=01CRU&amp;lang=en_US&amp;offset=0&amp;query=any,contains,991000396259702656","Catalog Record")</f>
        <v/>
      </c>
      <c r="AV3280">
        <f>HYPERLINK("http://www.worldcat.org/oclc/12456169","WorldCat Record")</f>
        <v/>
      </c>
      <c r="AW3280" t="inlineStr">
        <is>
          <t>366787413:eng</t>
        </is>
      </c>
      <c r="AX3280" t="inlineStr">
        <is>
          <t>12456169</t>
        </is>
      </c>
      <c r="AY3280" t="inlineStr">
        <is>
          <t>991000396259702656</t>
        </is>
      </c>
      <c r="AZ3280" t="inlineStr">
        <is>
          <t>991000396259702656</t>
        </is>
      </c>
      <c r="BA3280" t="inlineStr">
        <is>
          <t>2267229450002656</t>
        </is>
      </c>
      <c r="BB3280" t="inlineStr">
        <is>
          <t>BOOK</t>
        </is>
      </c>
      <c r="BD3280" t="inlineStr">
        <is>
          <t>9780563202004</t>
        </is>
      </c>
      <c r="BE3280" t="inlineStr">
        <is>
          <t>32285000824697</t>
        </is>
      </c>
      <c r="BF3280" t="inlineStr">
        <is>
          <t>893224949</t>
        </is>
      </c>
    </row>
    <row r="3281">
      <c r="A3281" t="inlineStr">
        <is>
          <t>No</t>
        </is>
      </c>
      <c r="B3281" t="inlineStr">
        <is>
          <t>CURAL</t>
        </is>
      </c>
      <c r="C3281" t="inlineStr">
        <is>
          <t>SHELVES</t>
        </is>
      </c>
      <c r="D3281" t="inlineStr">
        <is>
          <t>PR6029.R8 Z7898</t>
        </is>
      </c>
      <c r="E3281" t="inlineStr">
        <is>
          <t>0                      PR 6029000R  8                  Z  7898</t>
        </is>
      </c>
      <c r="F3281" t="inlineStr">
        <is>
          <t>Orwell, the transformation / Peter Stansky and William Abrahams.</t>
        </is>
      </c>
      <c r="H3281" t="inlineStr">
        <is>
          <t>No</t>
        </is>
      </c>
      <c r="I3281" t="inlineStr">
        <is>
          <t>1</t>
        </is>
      </c>
      <c r="J3281" t="inlineStr">
        <is>
          <t>No</t>
        </is>
      </c>
      <c r="K3281" t="inlineStr">
        <is>
          <t>No</t>
        </is>
      </c>
      <c r="L3281" t="inlineStr">
        <is>
          <t>0</t>
        </is>
      </c>
      <c r="M3281" t="inlineStr">
        <is>
          <t>Štanský, Peter.</t>
        </is>
      </c>
      <c r="N3281" t="inlineStr">
        <is>
          <t>London : Constable, 1979.</t>
        </is>
      </c>
      <c r="O3281" t="inlineStr">
        <is>
          <t>1979</t>
        </is>
      </c>
      <c r="Q3281" t="inlineStr">
        <is>
          <t>eng</t>
        </is>
      </c>
      <c r="R3281" t="inlineStr">
        <is>
          <t>enk</t>
        </is>
      </c>
      <c r="T3281" t="inlineStr">
        <is>
          <t xml:space="preserve">PR </t>
        </is>
      </c>
      <c r="U3281" t="n">
        <v>3</v>
      </c>
      <c r="V3281" t="n">
        <v>3</v>
      </c>
      <c r="W3281" t="inlineStr">
        <is>
          <t>1993-06-01</t>
        </is>
      </c>
      <c r="X3281" t="inlineStr">
        <is>
          <t>1993-06-01</t>
        </is>
      </c>
      <c r="Y3281" t="inlineStr">
        <is>
          <t>1993-06-01</t>
        </is>
      </c>
      <c r="Z3281" t="inlineStr">
        <is>
          <t>1993-06-01</t>
        </is>
      </c>
      <c r="AA3281" t="n">
        <v>258</v>
      </c>
      <c r="AB3281" t="n">
        <v>76</v>
      </c>
      <c r="AC3281" t="n">
        <v>1040</v>
      </c>
      <c r="AD3281" t="n">
        <v>3</v>
      </c>
      <c r="AE3281" t="n">
        <v>11</v>
      </c>
      <c r="AF3281" t="n">
        <v>3</v>
      </c>
      <c r="AG3281" t="n">
        <v>37</v>
      </c>
      <c r="AH3281" t="n">
        <v>0</v>
      </c>
      <c r="AI3281" t="n">
        <v>13</v>
      </c>
      <c r="AJ3281" t="n">
        <v>1</v>
      </c>
      <c r="AK3281" t="n">
        <v>9</v>
      </c>
      <c r="AL3281" t="n">
        <v>1</v>
      </c>
      <c r="AM3281" t="n">
        <v>16</v>
      </c>
      <c r="AN3281" t="n">
        <v>2</v>
      </c>
      <c r="AO3281" t="n">
        <v>9</v>
      </c>
      <c r="AP3281" t="n">
        <v>0</v>
      </c>
      <c r="AQ3281" t="n">
        <v>0</v>
      </c>
      <c r="AR3281" t="inlineStr">
        <is>
          <t>No</t>
        </is>
      </c>
      <c r="AS3281" t="inlineStr">
        <is>
          <t>Yes</t>
        </is>
      </c>
      <c r="AT3281">
        <f>HYPERLINK("http://catalog.hathitrust.org/Record/000020506","HathiTrust Record")</f>
        <v/>
      </c>
      <c r="AU3281">
        <f>HYPERLINK("https://creighton-primo.hosted.exlibrisgroup.com/primo-explore/search?tab=default_tab&amp;search_scope=EVERYTHING&amp;vid=01CRU&amp;lang=en_US&amp;offset=0&amp;query=any,contains,991004862719702656","Catalog Record")</f>
        <v/>
      </c>
      <c r="AV3281">
        <f>HYPERLINK("http://www.worldcat.org/oclc/16496445","WorldCat Record")</f>
        <v/>
      </c>
      <c r="AW3281" t="inlineStr">
        <is>
          <t>2945946782:eng</t>
        </is>
      </c>
      <c r="AX3281" t="inlineStr">
        <is>
          <t>16496445</t>
        </is>
      </c>
      <c r="AY3281" t="inlineStr">
        <is>
          <t>991004862719702656</t>
        </is>
      </c>
      <c r="AZ3281" t="inlineStr">
        <is>
          <t>991004862719702656</t>
        </is>
      </c>
      <c r="BA3281" t="inlineStr">
        <is>
          <t>2263975820002656</t>
        </is>
      </c>
      <c r="BB3281" t="inlineStr">
        <is>
          <t>BOOK</t>
        </is>
      </c>
      <c r="BD3281" t="inlineStr">
        <is>
          <t>9780094622500</t>
        </is>
      </c>
      <c r="BE3281" t="inlineStr">
        <is>
          <t>32285001716355</t>
        </is>
      </c>
      <c r="BF3281" t="inlineStr">
        <is>
          <t>893619167</t>
        </is>
      </c>
    </row>
    <row r="3282">
      <c r="A3282" t="inlineStr">
        <is>
          <t>No</t>
        </is>
      </c>
      <c r="B3282" t="inlineStr">
        <is>
          <t>CURAL</t>
        </is>
      </c>
      <c r="C3282" t="inlineStr">
        <is>
          <t>SHELVES</t>
        </is>
      </c>
      <c r="D3282" t="inlineStr">
        <is>
          <t>PR6029.R8 Z79</t>
        </is>
      </c>
      <c r="E3282" t="inlineStr">
        <is>
          <t>0                      PR 6029000R  8                  Z  79</t>
        </is>
      </c>
      <c r="F3282" t="inlineStr">
        <is>
          <t>The unknown Orwell / [by] Peter Stansky and William Abrahams.</t>
        </is>
      </c>
      <c r="H3282" t="inlineStr">
        <is>
          <t>No</t>
        </is>
      </c>
      <c r="I3282" t="inlineStr">
        <is>
          <t>1</t>
        </is>
      </c>
      <c r="J3282" t="inlineStr">
        <is>
          <t>No</t>
        </is>
      </c>
      <c r="K3282" t="inlineStr">
        <is>
          <t>No</t>
        </is>
      </c>
      <c r="L3282" t="inlineStr">
        <is>
          <t>0</t>
        </is>
      </c>
      <c r="M3282" t="inlineStr">
        <is>
          <t>Štanský, Peter.</t>
        </is>
      </c>
      <c r="N3282" t="inlineStr">
        <is>
          <t>New York : Knopf, 1972.</t>
        </is>
      </c>
      <c r="O3282" t="inlineStr">
        <is>
          <t>1972</t>
        </is>
      </c>
      <c r="P3282" t="inlineStr">
        <is>
          <t>[1st ed.]</t>
        </is>
      </c>
      <c r="Q3282" t="inlineStr">
        <is>
          <t>eng</t>
        </is>
      </c>
      <c r="R3282" t="inlineStr">
        <is>
          <t>nyu</t>
        </is>
      </c>
      <c r="T3282" t="inlineStr">
        <is>
          <t xml:space="preserve">PR </t>
        </is>
      </c>
      <c r="U3282" t="n">
        <v>2</v>
      </c>
      <c r="V3282" t="n">
        <v>2</v>
      </c>
      <c r="W3282" t="inlineStr">
        <is>
          <t>1993-06-01</t>
        </is>
      </c>
      <c r="X3282" t="inlineStr">
        <is>
          <t>1993-06-01</t>
        </is>
      </c>
      <c r="Y3282" t="inlineStr">
        <is>
          <t>1993-06-01</t>
        </is>
      </c>
      <c r="Z3282" t="inlineStr">
        <is>
          <t>1993-06-01</t>
        </is>
      </c>
      <c r="AA3282" t="n">
        <v>1348</v>
      </c>
      <c r="AB3282" t="n">
        <v>1286</v>
      </c>
      <c r="AC3282" t="n">
        <v>1368</v>
      </c>
      <c r="AD3282" t="n">
        <v>11</v>
      </c>
      <c r="AE3282" t="n">
        <v>12</v>
      </c>
      <c r="AF3282" t="n">
        <v>41</v>
      </c>
      <c r="AG3282" t="n">
        <v>44</v>
      </c>
      <c r="AH3282" t="n">
        <v>15</v>
      </c>
      <c r="AI3282" t="n">
        <v>16</v>
      </c>
      <c r="AJ3282" t="n">
        <v>8</v>
      </c>
      <c r="AK3282" t="n">
        <v>10</v>
      </c>
      <c r="AL3282" t="n">
        <v>17</v>
      </c>
      <c r="AM3282" t="n">
        <v>19</v>
      </c>
      <c r="AN3282" t="n">
        <v>9</v>
      </c>
      <c r="AO3282" t="n">
        <v>9</v>
      </c>
      <c r="AP3282" t="n">
        <v>0</v>
      </c>
      <c r="AQ3282" t="n">
        <v>0</v>
      </c>
      <c r="AR3282" t="inlineStr">
        <is>
          <t>No</t>
        </is>
      </c>
      <c r="AS3282" t="inlineStr">
        <is>
          <t>Yes</t>
        </is>
      </c>
      <c r="AT3282">
        <f>HYPERLINK("http://catalog.hathitrust.org/Record/001020449","HathiTrust Record")</f>
        <v/>
      </c>
      <c r="AU3282">
        <f>HYPERLINK("https://creighton-primo.hosted.exlibrisgroup.com/primo-explore/search?tab=default_tab&amp;search_scope=EVERYTHING&amp;vid=01CRU&amp;lang=en_US&amp;offset=0&amp;query=any,contains,991002383509702656","Catalog Record")</f>
        <v/>
      </c>
      <c r="AV3282">
        <f>HYPERLINK("http://www.worldcat.org/oclc/328943","WorldCat Record")</f>
        <v/>
      </c>
      <c r="AW3282" t="inlineStr">
        <is>
          <t>20414981:eng</t>
        </is>
      </c>
      <c r="AX3282" t="inlineStr">
        <is>
          <t>328943</t>
        </is>
      </c>
      <c r="AY3282" t="inlineStr">
        <is>
          <t>991002383509702656</t>
        </is>
      </c>
      <c r="AZ3282" t="inlineStr">
        <is>
          <t>991002383509702656</t>
        </is>
      </c>
      <c r="BA3282" t="inlineStr">
        <is>
          <t>2271439830002656</t>
        </is>
      </c>
      <c r="BB3282" t="inlineStr">
        <is>
          <t>BOOK</t>
        </is>
      </c>
      <c r="BD3282" t="inlineStr">
        <is>
          <t>9780394473932</t>
        </is>
      </c>
      <c r="BE3282" t="inlineStr">
        <is>
          <t>32285001716363</t>
        </is>
      </c>
      <c r="BF3282" t="inlineStr">
        <is>
          <t>893879847</t>
        </is>
      </c>
    </row>
    <row r="3283">
      <c r="A3283" t="inlineStr">
        <is>
          <t>No</t>
        </is>
      </c>
      <c r="B3283" t="inlineStr">
        <is>
          <t>CURAL</t>
        </is>
      </c>
      <c r="C3283" t="inlineStr">
        <is>
          <t>SHELVES</t>
        </is>
      </c>
      <c r="D3283" t="inlineStr">
        <is>
          <t>PR6029.R8 Z86</t>
        </is>
      </c>
      <c r="E3283" t="inlineStr">
        <is>
          <t>0                      PR 6029000R  8                  Z  86</t>
        </is>
      </c>
      <c r="F3283" t="inlineStr">
        <is>
          <t>George Orwell.</t>
        </is>
      </c>
      <c r="H3283" t="inlineStr">
        <is>
          <t>No</t>
        </is>
      </c>
      <c r="I3283" t="inlineStr">
        <is>
          <t>1</t>
        </is>
      </c>
      <c r="J3283" t="inlineStr">
        <is>
          <t>No</t>
        </is>
      </c>
      <c r="K3283" t="inlineStr">
        <is>
          <t>No</t>
        </is>
      </c>
      <c r="L3283" t="inlineStr">
        <is>
          <t>0</t>
        </is>
      </c>
      <c r="M3283" t="inlineStr">
        <is>
          <t>Williams, Raymond.</t>
        </is>
      </c>
      <c r="N3283" t="inlineStr">
        <is>
          <t>New York : Viking Press, [1971]</t>
        </is>
      </c>
      <c r="O3283" t="inlineStr">
        <is>
          <t>1971</t>
        </is>
      </c>
      <c r="Q3283" t="inlineStr">
        <is>
          <t>eng</t>
        </is>
      </c>
      <c r="R3283" t="inlineStr">
        <is>
          <t>nyu</t>
        </is>
      </c>
      <c r="S3283" t="inlineStr">
        <is>
          <t>Modern masters</t>
        </is>
      </c>
      <c r="T3283" t="inlineStr">
        <is>
          <t xml:space="preserve">PR </t>
        </is>
      </c>
      <c r="U3283" t="n">
        <v>7</v>
      </c>
      <c r="V3283" t="n">
        <v>7</v>
      </c>
      <c r="W3283" t="inlineStr">
        <is>
          <t>1995-04-02</t>
        </is>
      </c>
      <c r="X3283" t="inlineStr">
        <is>
          <t>1995-04-02</t>
        </is>
      </c>
      <c r="Y3283" t="inlineStr">
        <is>
          <t>1992-03-26</t>
        </is>
      </c>
      <c r="Z3283" t="inlineStr">
        <is>
          <t>1992-03-26</t>
        </is>
      </c>
      <c r="AA3283" t="n">
        <v>721</v>
      </c>
      <c r="AB3283" t="n">
        <v>672</v>
      </c>
      <c r="AC3283" t="n">
        <v>908</v>
      </c>
      <c r="AD3283" t="n">
        <v>6</v>
      </c>
      <c r="AE3283" t="n">
        <v>6</v>
      </c>
      <c r="AF3283" t="n">
        <v>29</v>
      </c>
      <c r="AG3283" t="n">
        <v>36</v>
      </c>
      <c r="AH3283" t="n">
        <v>12</v>
      </c>
      <c r="AI3283" t="n">
        <v>16</v>
      </c>
      <c r="AJ3283" t="n">
        <v>7</v>
      </c>
      <c r="AK3283" t="n">
        <v>7</v>
      </c>
      <c r="AL3283" t="n">
        <v>14</v>
      </c>
      <c r="AM3283" t="n">
        <v>18</v>
      </c>
      <c r="AN3283" t="n">
        <v>4</v>
      </c>
      <c r="AO3283" t="n">
        <v>4</v>
      </c>
      <c r="AP3283" t="n">
        <v>0</v>
      </c>
      <c r="AQ3283" t="n">
        <v>0</v>
      </c>
      <c r="AR3283" t="inlineStr">
        <is>
          <t>No</t>
        </is>
      </c>
      <c r="AS3283" t="inlineStr">
        <is>
          <t>Yes</t>
        </is>
      </c>
      <c r="AT3283">
        <f>HYPERLINK("http://catalog.hathitrust.org/Record/001376274","HathiTrust Record")</f>
        <v/>
      </c>
      <c r="AU3283">
        <f>HYPERLINK("https://creighton-primo.hosted.exlibrisgroup.com/primo-explore/search?tab=default_tab&amp;search_scope=EVERYTHING&amp;vid=01CRU&amp;lang=en_US&amp;offset=0&amp;query=any,contains,991000943009702656","Catalog Record")</f>
        <v/>
      </c>
      <c r="AV3283">
        <f>HYPERLINK("http://www.worldcat.org/oclc/166544","WorldCat Record")</f>
        <v/>
      </c>
      <c r="AW3283" t="inlineStr">
        <is>
          <t>8907463695:eng</t>
        </is>
      </c>
      <c r="AX3283" t="inlineStr">
        <is>
          <t>166544</t>
        </is>
      </c>
      <c r="AY3283" t="inlineStr">
        <is>
          <t>991000943009702656</t>
        </is>
      </c>
      <c r="AZ3283" t="inlineStr">
        <is>
          <t>991000943009702656</t>
        </is>
      </c>
      <c r="BA3283" t="inlineStr">
        <is>
          <t>2271347290002656</t>
        </is>
      </c>
      <c r="BB3283" t="inlineStr">
        <is>
          <t>BOOK</t>
        </is>
      </c>
      <c r="BD3283" t="inlineStr">
        <is>
          <t>9780670337026</t>
        </is>
      </c>
      <c r="BE3283" t="inlineStr">
        <is>
          <t>32285001028983</t>
        </is>
      </c>
      <c r="BF3283" t="inlineStr">
        <is>
          <t>893419911</t>
        </is>
      </c>
    </row>
    <row r="3284">
      <c r="A3284" t="inlineStr">
        <is>
          <t>No</t>
        </is>
      </c>
      <c r="B3284" t="inlineStr">
        <is>
          <t>CURAL</t>
        </is>
      </c>
      <c r="C3284" t="inlineStr">
        <is>
          <t>SHELVES</t>
        </is>
      </c>
      <c r="D3284" t="inlineStr">
        <is>
          <t>PR6029.R8 Z865</t>
        </is>
      </c>
      <c r="E3284" t="inlineStr">
        <is>
          <t>0                      PR 6029000R  8                  Z  865</t>
        </is>
      </c>
      <c r="F3284" t="inlineStr">
        <is>
          <t>George Orwell : a collection of critical essays.</t>
        </is>
      </c>
      <c r="H3284" t="inlineStr">
        <is>
          <t>No</t>
        </is>
      </c>
      <c r="I3284" t="inlineStr">
        <is>
          <t>1</t>
        </is>
      </c>
      <c r="J3284" t="inlineStr">
        <is>
          <t>No</t>
        </is>
      </c>
      <c r="K3284" t="inlineStr">
        <is>
          <t>No</t>
        </is>
      </c>
      <c r="L3284" t="inlineStr">
        <is>
          <t>0</t>
        </is>
      </c>
      <c r="M3284" t="inlineStr">
        <is>
          <t>Williams, Raymond compiler.</t>
        </is>
      </c>
      <c r="N3284" t="inlineStr">
        <is>
          <t>Englewood Cliffs, N.J. : Prentice-Hall, [1974]</t>
        </is>
      </c>
      <c r="O3284" t="inlineStr">
        <is>
          <t>1974</t>
        </is>
      </c>
      <c r="Q3284" t="inlineStr">
        <is>
          <t>eng</t>
        </is>
      </c>
      <c r="R3284" t="inlineStr">
        <is>
          <t>nju</t>
        </is>
      </c>
      <c r="S3284" t="inlineStr">
        <is>
          <t>A Spectrum book. Twentieth century views</t>
        </is>
      </c>
      <c r="T3284" t="inlineStr">
        <is>
          <t xml:space="preserve">PR </t>
        </is>
      </c>
      <c r="U3284" t="n">
        <v>12</v>
      </c>
      <c r="V3284" t="n">
        <v>12</v>
      </c>
      <c r="W3284" t="inlineStr">
        <is>
          <t>2002-12-09</t>
        </is>
      </c>
      <c r="X3284" t="inlineStr">
        <is>
          <t>2002-12-09</t>
        </is>
      </c>
      <c r="Y3284" t="inlineStr">
        <is>
          <t>1992-09-14</t>
        </is>
      </c>
      <c r="Z3284" t="inlineStr">
        <is>
          <t>1992-09-14</t>
        </is>
      </c>
      <c r="AA3284" t="n">
        <v>1222</v>
      </c>
      <c r="AB3284" t="n">
        <v>994</v>
      </c>
      <c r="AC3284" t="n">
        <v>996</v>
      </c>
      <c r="AD3284" t="n">
        <v>6</v>
      </c>
      <c r="AE3284" t="n">
        <v>6</v>
      </c>
      <c r="AF3284" t="n">
        <v>27</v>
      </c>
      <c r="AG3284" t="n">
        <v>27</v>
      </c>
      <c r="AH3284" t="n">
        <v>12</v>
      </c>
      <c r="AI3284" t="n">
        <v>12</v>
      </c>
      <c r="AJ3284" t="n">
        <v>6</v>
      </c>
      <c r="AK3284" t="n">
        <v>6</v>
      </c>
      <c r="AL3284" t="n">
        <v>14</v>
      </c>
      <c r="AM3284" t="n">
        <v>14</v>
      </c>
      <c r="AN3284" t="n">
        <v>5</v>
      </c>
      <c r="AO3284" t="n">
        <v>5</v>
      </c>
      <c r="AP3284" t="n">
        <v>0</v>
      </c>
      <c r="AQ3284" t="n">
        <v>0</v>
      </c>
      <c r="AR3284" t="inlineStr">
        <is>
          <t>No</t>
        </is>
      </c>
      <c r="AS3284" t="inlineStr">
        <is>
          <t>Yes</t>
        </is>
      </c>
      <c r="AT3284">
        <f>HYPERLINK("http://catalog.hathitrust.org/Record/001020446","HathiTrust Record")</f>
        <v/>
      </c>
      <c r="AU3284">
        <f>HYPERLINK("https://creighton-primo.hosted.exlibrisgroup.com/primo-explore/search?tab=default_tab&amp;search_scope=EVERYTHING&amp;vid=01CRU&amp;lang=en_US&amp;offset=0&amp;query=any,contains,991003409669702656","Catalog Record")</f>
        <v/>
      </c>
      <c r="AV3284">
        <f>HYPERLINK("http://www.worldcat.org/oclc/948078","WorldCat Record")</f>
        <v/>
      </c>
      <c r="AW3284" t="inlineStr">
        <is>
          <t>3857833346:eng</t>
        </is>
      </c>
      <c r="AX3284" t="inlineStr">
        <is>
          <t>948078</t>
        </is>
      </c>
      <c r="AY3284" t="inlineStr">
        <is>
          <t>991003409669702656</t>
        </is>
      </c>
      <c r="AZ3284" t="inlineStr">
        <is>
          <t>991003409669702656</t>
        </is>
      </c>
      <c r="BA3284" t="inlineStr">
        <is>
          <t>2264925150002656</t>
        </is>
      </c>
      <c r="BB3284" t="inlineStr">
        <is>
          <t>BOOK</t>
        </is>
      </c>
      <c r="BD3284" t="inlineStr">
        <is>
          <t>9780136477198</t>
        </is>
      </c>
      <c r="BE3284" t="inlineStr">
        <is>
          <t>32285001300267</t>
        </is>
      </c>
      <c r="BF3284" t="inlineStr">
        <is>
          <t>893422544</t>
        </is>
      </c>
    </row>
    <row r="3285">
      <c r="A3285" t="inlineStr">
        <is>
          <t>No</t>
        </is>
      </c>
      <c r="B3285" t="inlineStr">
        <is>
          <t>CURAL</t>
        </is>
      </c>
      <c r="C3285" t="inlineStr">
        <is>
          <t>SHELVES</t>
        </is>
      </c>
      <c r="D3285" t="inlineStr">
        <is>
          <t>PR6029.R8 Z9</t>
        </is>
      </c>
      <c r="E3285" t="inlineStr">
        <is>
          <t>0                      PR 6029000R  8                  Z  9</t>
        </is>
      </c>
      <c r="F3285" t="inlineStr">
        <is>
          <t>The crystal spirit : a study of George Orwell.</t>
        </is>
      </c>
      <c r="H3285" t="inlineStr">
        <is>
          <t>No</t>
        </is>
      </c>
      <c r="I3285" t="inlineStr">
        <is>
          <t>1</t>
        </is>
      </c>
      <c r="J3285" t="inlineStr">
        <is>
          <t>No</t>
        </is>
      </c>
      <c r="K3285" t="inlineStr">
        <is>
          <t>No</t>
        </is>
      </c>
      <c r="L3285" t="inlineStr">
        <is>
          <t>0</t>
        </is>
      </c>
      <c r="M3285" t="inlineStr">
        <is>
          <t>Woodcock, George, 1912-1995.</t>
        </is>
      </c>
      <c r="N3285" t="inlineStr">
        <is>
          <t>Boston : Little, Brown, [1966]</t>
        </is>
      </c>
      <c r="O3285" t="inlineStr">
        <is>
          <t>1966</t>
        </is>
      </c>
      <c r="P3285" t="inlineStr">
        <is>
          <t>[1st ed.]</t>
        </is>
      </c>
      <c r="Q3285" t="inlineStr">
        <is>
          <t>eng</t>
        </is>
      </c>
      <c r="R3285" t="inlineStr">
        <is>
          <t>mau</t>
        </is>
      </c>
      <c r="T3285" t="inlineStr">
        <is>
          <t xml:space="preserve">PR </t>
        </is>
      </c>
      <c r="U3285" t="n">
        <v>5</v>
      </c>
      <c r="V3285" t="n">
        <v>5</v>
      </c>
      <c r="W3285" t="inlineStr">
        <is>
          <t>1996-11-04</t>
        </is>
      </c>
      <c r="X3285" t="inlineStr">
        <is>
          <t>1996-11-04</t>
        </is>
      </c>
      <c r="Y3285" t="inlineStr">
        <is>
          <t>1992-02-19</t>
        </is>
      </c>
      <c r="Z3285" t="inlineStr">
        <is>
          <t>1992-02-19</t>
        </is>
      </c>
      <c r="AA3285" t="n">
        <v>1221</v>
      </c>
      <c r="AB3285" t="n">
        <v>1132</v>
      </c>
      <c r="AC3285" t="n">
        <v>1301</v>
      </c>
      <c r="AD3285" t="n">
        <v>9</v>
      </c>
      <c r="AE3285" t="n">
        <v>10</v>
      </c>
      <c r="AF3285" t="n">
        <v>42</v>
      </c>
      <c r="AG3285" t="n">
        <v>48</v>
      </c>
      <c r="AH3285" t="n">
        <v>20</v>
      </c>
      <c r="AI3285" t="n">
        <v>21</v>
      </c>
      <c r="AJ3285" t="n">
        <v>9</v>
      </c>
      <c r="AK3285" t="n">
        <v>10</v>
      </c>
      <c r="AL3285" t="n">
        <v>20</v>
      </c>
      <c r="AM3285" t="n">
        <v>23</v>
      </c>
      <c r="AN3285" t="n">
        <v>6</v>
      </c>
      <c r="AO3285" t="n">
        <v>7</v>
      </c>
      <c r="AP3285" t="n">
        <v>0</v>
      </c>
      <c r="AQ3285" t="n">
        <v>0</v>
      </c>
      <c r="AR3285" t="inlineStr">
        <is>
          <t>No</t>
        </is>
      </c>
      <c r="AS3285" t="inlineStr">
        <is>
          <t>Yes</t>
        </is>
      </c>
      <c r="AT3285">
        <f>HYPERLINK("http://catalog.hathitrust.org/Record/001025697","HathiTrust Record")</f>
        <v/>
      </c>
      <c r="AU3285">
        <f>HYPERLINK("https://creighton-primo.hosted.exlibrisgroup.com/primo-explore/search?tab=default_tab&amp;search_scope=EVERYTHING&amp;vid=01CRU&amp;lang=en_US&amp;offset=0&amp;query=any,contains,991001091419702656","Catalog Record")</f>
        <v/>
      </c>
      <c r="AV3285">
        <f>HYPERLINK("http://www.worldcat.org/oclc/181291","WorldCat Record")</f>
        <v/>
      </c>
      <c r="AW3285" t="inlineStr">
        <is>
          <t>196778968:eng</t>
        </is>
      </c>
      <c r="AX3285" t="inlineStr">
        <is>
          <t>181291</t>
        </is>
      </c>
      <c r="AY3285" t="inlineStr">
        <is>
          <t>991001091419702656</t>
        </is>
      </c>
      <c r="AZ3285" t="inlineStr">
        <is>
          <t>991001091419702656</t>
        </is>
      </c>
      <c r="BA3285" t="inlineStr">
        <is>
          <t>2272638230002656</t>
        </is>
      </c>
      <c r="BB3285" t="inlineStr">
        <is>
          <t>BOOK</t>
        </is>
      </c>
      <c r="BE3285" t="inlineStr">
        <is>
          <t>32285000970755</t>
        </is>
      </c>
      <c r="BF3285" t="inlineStr">
        <is>
          <t>893346232</t>
        </is>
      </c>
    </row>
    <row r="3286">
      <c r="A3286" t="inlineStr">
        <is>
          <t>No</t>
        </is>
      </c>
      <c r="B3286" t="inlineStr">
        <is>
          <t>CURAL</t>
        </is>
      </c>
      <c r="C3286" t="inlineStr">
        <is>
          <t>SHELVES</t>
        </is>
      </c>
      <c r="D3286" t="inlineStr">
        <is>
          <t>PR6029.R8 Z92</t>
        </is>
      </c>
      <c r="E3286" t="inlineStr">
        <is>
          <t>0                      PR 6029000R  8                  Z  92</t>
        </is>
      </c>
      <c r="F3286" t="inlineStr">
        <is>
          <t>The World of George Orwell; edited by Miriam Gross.</t>
        </is>
      </c>
      <c r="H3286" t="inlineStr">
        <is>
          <t>No</t>
        </is>
      </c>
      <c r="I3286" t="inlineStr">
        <is>
          <t>1</t>
        </is>
      </c>
      <c r="J3286" t="inlineStr">
        <is>
          <t>No</t>
        </is>
      </c>
      <c r="K3286" t="inlineStr">
        <is>
          <t>No</t>
        </is>
      </c>
      <c r="L3286" t="inlineStr">
        <is>
          <t>0</t>
        </is>
      </c>
      <c r="N3286" t="inlineStr">
        <is>
          <t>London, Weidenfeld and Nicolson, 1971.</t>
        </is>
      </c>
      <c r="O3286" t="inlineStr">
        <is>
          <t>1971</t>
        </is>
      </c>
      <c r="Q3286" t="inlineStr">
        <is>
          <t>eng</t>
        </is>
      </c>
      <c r="R3286" t="inlineStr">
        <is>
          <t>enk</t>
        </is>
      </c>
      <c r="T3286" t="inlineStr">
        <is>
          <t xml:space="preserve">PR </t>
        </is>
      </c>
      <c r="U3286" t="n">
        <v>8</v>
      </c>
      <c r="V3286" t="n">
        <v>8</v>
      </c>
      <c r="W3286" t="inlineStr">
        <is>
          <t>1993-04-16</t>
        </is>
      </c>
      <c r="X3286" t="inlineStr">
        <is>
          <t>1993-04-16</t>
        </is>
      </c>
      <c r="Y3286" t="inlineStr">
        <is>
          <t>1992-04-13</t>
        </is>
      </c>
      <c r="Z3286" t="inlineStr">
        <is>
          <t>1992-04-13</t>
        </is>
      </c>
      <c r="AA3286" t="n">
        <v>493</v>
      </c>
      <c r="AB3286" t="n">
        <v>303</v>
      </c>
      <c r="AC3286" t="n">
        <v>1143</v>
      </c>
      <c r="AD3286" t="n">
        <v>5</v>
      </c>
      <c r="AE3286" t="n">
        <v>10</v>
      </c>
      <c r="AF3286" t="n">
        <v>17</v>
      </c>
      <c r="AG3286" t="n">
        <v>39</v>
      </c>
      <c r="AH3286" t="n">
        <v>4</v>
      </c>
      <c r="AI3286" t="n">
        <v>14</v>
      </c>
      <c r="AJ3286" t="n">
        <v>4</v>
      </c>
      <c r="AK3286" t="n">
        <v>8</v>
      </c>
      <c r="AL3286" t="n">
        <v>12</v>
      </c>
      <c r="AM3286" t="n">
        <v>20</v>
      </c>
      <c r="AN3286" t="n">
        <v>3</v>
      </c>
      <c r="AO3286" t="n">
        <v>7</v>
      </c>
      <c r="AP3286" t="n">
        <v>0</v>
      </c>
      <c r="AQ3286" t="n">
        <v>0</v>
      </c>
      <c r="AR3286" t="inlineStr">
        <is>
          <t>No</t>
        </is>
      </c>
      <c r="AS3286" t="inlineStr">
        <is>
          <t>Yes</t>
        </is>
      </c>
      <c r="AT3286">
        <f>HYPERLINK("http://catalog.hathitrust.org/Record/001376275","HathiTrust Record")</f>
        <v/>
      </c>
      <c r="AU3286">
        <f>HYPERLINK("https://creighton-primo.hosted.exlibrisgroup.com/primo-explore/search?tab=default_tab&amp;search_scope=EVERYTHING&amp;vid=01CRU&amp;lang=en_US&amp;offset=0&amp;query=any,contains,991001357649702656","Catalog Record")</f>
        <v/>
      </c>
      <c r="AV3286">
        <f>HYPERLINK("http://www.worldcat.org/oclc/221701","WorldCat Record")</f>
        <v/>
      </c>
      <c r="AW3286" t="inlineStr">
        <is>
          <t>53951542:eng</t>
        </is>
      </c>
      <c r="AX3286" t="inlineStr">
        <is>
          <t>221701</t>
        </is>
      </c>
      <c r="AY3286" t="inlineStr">
        <is>
          <t>991001357649702656</t>
        </is>
      </c>
      <c r="AZ3286" t="inlineStr">
        <is>
          <t>991001357649702656</t>
        </is>
      </c>
      <c r="BA3286" t="inlineStr">
        <is>
          <t>2258410430002656</t>
        </is>
      </c>
      <c r="BB3286" t="inlineStr">
        <is>
          <t>BOOK</t>
        </is>
      </c>
      <c r="BD3286" t="inlineStr">
        <is>
          <t>9780297004790</t>
        </is>
      </c>
      <c r="BE3286" t="inlineStr">
        <is>
          <t>32285001052165</t>
        </is>
      </c>
      <c r="BF3286" t="inlineStr">
        <is>
          <t>893414184</t>
        </is>
      </c>
    </row>
    <row r="3287">
      <c r="A3287" t="inlineStr">
        <is>
          <t>No</t>
        </is>
      </c>
      <c r="B3287" t="inlineStr">
        <is>
          <t>CURAL</t>
        </is>
      </c>
      <c r="C3287" t="inlineStr">
        <is>
          <t>SHELVES</t>
        </is>
      </c>
      <c r="D3287" t="inlineStr">
        <is>
          <t>PR6029.W4 P6 1993</t>
        </is>
      </c>
      <c r="E3287" t="inlineStr">
        <is>
          <t>0                      PR 6029000W  4                  P  6           1993</t>
        </is>
      </c>
      <c r="F3287" t="inlineStr">
        <is>
          <t>Portrait of Wilfred Owen : poet and soldier, 1893-1918 / Helen McPhail.</t>
        </is>
      </c>
      <c r="H3287" t="inlineStr">
        <is>
          <t>No</t>
        </is>
      </c>
      <c r="I3287" t="inlineStr">
        <is>
          <t>1</t>
        </is>
      </c>
      <c r="J3287" t="inlineStr">
        <is>
          <t>No</t>
        </is>
      </c>
      <c r="K3287" t="inlineStr">
        <is>
          <t>No</t>
        </is>
      </c>
      <c r="L3287" t="inlineStr">
        <is>
          <t>0</t>
        </is>
      </c>
      <c r="M3287" t="inlineStr">
        <is>
          <t>McPhail, Helen.</t>
        </is>
      </c>
      <c r="N3287" t="inlineStr">
        <is>
          <t>Petersfield : Gliddon Books in association with The Wilfred Owen Association, 1993.</t>
        </is>
      </c>
      <c r="O3287" t="inlineStr">
        <is>
          <t>1993</t>
        </is>
      </c>
      <c r="Q3287" t="inlineStr">
        <is>
          <t>eng</t>
        </is>
      </c>
      <c r="R3287" t="inlineStr">
        <is>
          <t>enk</t>
        </is>
      </c>
      <c r="T3287" t="inlineStr">
        <is>
          <t xml:space="preserve">PR </t>
        </is>
      </c>
      <c r="U3287" t="n">
        <v>3</v>
      </c>
      <c r="V3287" t="n">
        <v>3</v>
      </c>
      <c r="W3287" t="inlineStr">
        <is>
          <t>2005-10-11</t>
        </is>
      </c>
      <c r="X3287" t="inlineStr">
        <is>
          <t>2005-10-11</t>
        </is>
      </c>
      <c r="Y3287" t="inlineStr">
        <is>
          <t>1994-04-13</t>
        </is>
      </c>
      <c r="Z3287" t="inlineStr">
        <is>
          <t>1994-04-13</t>
        </is>
      </c>
      <c r="AA3287" t="n">
        <v>75</v>
      </c>
      <c r="AB3287" t="n">
        <v>33</v>
      </c>
      <c r="AC3287" t="n">
        <v>33</v>
      </c>
      <c r="AD3287" t="n">
        <v>1</v>
      </c>
      <c r="AE3287" t="n">
        <v>1</v>
      </c>
      <c r="AF3287" t="n">
        <v>2</v>
      </c>
      <c r="AG3287" t="n">
        <v>2</v>
      </c>
      <c r="AH3287" t="n">
        <v>1</v>
      </c>
      <c r="AI3287" t="n">
        <v>1</v>
      </c>
      <c r="AJ3287" t="n">
        <v>1</v>
      </c>
      <c r="AK3287" t="n">
        <v>1</v>
      </c>
      <c r="AL3287" t="n">
        <v>1</v>
      </c>
      <c r="AM3287" t="n">
        <v>1</v>
      </c>
      <c r="AN3287" t="n">
        <v>0</v>
      </c>
      <c r="AO3287" t="n">
        <v>0</v>
      </c>
      <c r="AP3287" t="n">
        <v>0</v>
      </c>
      <c r="AQ3287" t="n">
        <v>0</v>
      </c>
      <c r="AR3287" t="inlineStr">
        <is>
          <t>No</t>
        </is>
      </c>
      <c r="AS3287" t="inlineStr">
        <is>
          <t>No</t>
        </is>
      </c>
      <c r="AU3287">
        <f>HYPERLINK("https://creighton-primo.hosted.exlibrisgroup.com/primo-explore/search?tab=default_tab&amp;search_scope=EVERYTHING&amp;vid=01CRU&amp;lang=en_US&amp;offset=0&amp;query=any,contains,991002285989702656","Catalog Record")</f>
        <v/>
      </c>
      <c r="AV3287">
        <f>HYPERLINK("http://www.worldcat.org/oclc/29636675","WorldCat Record")</f>
        <v/>
      </c>
      <c r="AW3287" t="inlineStr">
        <is>
          <t>3769232388:eng</t>
        </is>
      </c>
      <c r="AX3287" t="inlineStr">
        <is>
          <t>29636675</t>
        </is>
      </c>
      <c r="AY3287" t="inlineStr">
        <is>
          <t>991002285989702656</t>
        </is>
      </c>
      <c r="AZ3287" t="inlineStr">
        <is>
          <t>991002285989702656</t>
        </is>
      </c>
      <c r="BA3287" t="inlineStr">
        <is>
          <t>2255357360002656</t>
        </is>
      </c>
      <c r="BB3287" t="inlineStr">
        <is>
          <t>BOOK</t>
        </is>
      </c>
      <c r="BD3287" t="inlineStr">
        <is>
          <t>9780947893316</t>
        </is>
      </c>
      <c r="BE3287" t="inlineStr">
        <is>
          <t>32285001859874</t>
        </is>
      </c>
      <c r="BF3287" t="inlineStr">
        <is>
          <t>893873327</t>
        </is>
      </c>
    </row>
    <row r="3288">
      <c r="A3288" t="inlineStr">
        <is>
          <t>No</t>
        </is>
      </c>
      <c r="B3288" t="inlineStr">
        <is>
          <t>CURAL</t>
        </is>
      </c>
      <c r="C3288" t="inlineStr">
        <is>
          <t>SHELVES</t>
        </is>
      </c>
      <c r="D3288" t="inlineStr">
        <is>
          <t>PR6029.W4 Z67 2003</t>
        </is>
      </c>
      <c r="E3288" t="inlineStr">
        <is>
          <t>0                      PR 6029000W  4                  Z  67          2003</t>
        </is>
      </c>
      <c r="F3288" t="inlineStr">
        <is>
          <t>Wilfred Owen : a new biography / Dominic Hibberd.</t>
        </is>
      </c>
      <c r="H3288" t="inlineStr">
        <is>
          <t>No</t>
        </is>
      </c>
      <c r="I3288" t="inlineStr">
        <is>
          <t>1</t>
        </is>
      </c>
      <c r="J3288" t="inlineStr">
        <is>
          <t>No</t>
        </is>
      </c>
      <c r="K3288" t="inlineStr">
        <is>
          <t>No</t>
        </is>
      </c>
      <c r="L3288" t="inlineStr">
        <is>
          <t>0</t>
        </is>
      </c>
      <c r="M3288" t="inlineStr">
        <is>
          <t>Hibberd, Dominic.</t>
        </is>
      </c>
      <c r="N3288" t="inlineStr">
        <is>
          <t>Chicago : Ivan R. Dee, 2003.</t>
        </is>
      </c>
      <c r="O3288" t="inlineStr">
        <is>
          <t>2003</t>
        </is>
      </c>
      <c r="P3288" t="inlineStr">
        <is>
          <t>1st American ed.</t>
        </is>
      </c>
      <c r="Q3288" t="inlineStr">
        <is>
          <t>eng</t>
        </is>
      </c>
      <c r="R3288" t="inlineStr">
        <is>
          <t>ilu</t>
        </is>
      </c>
      <c r="T3288" t="inlineStr">
        <is>
          <t xml:space="preserve">PR </t>
        </is>
      </c>
      <c r="U3288" t="n">
        <v>3</v>
      </c>
      <c r="V3288" t="n">
        <v>3</v>
      </c>
      <c r="W3288" t="inlineStr">
        <is>
          <t>2005-10-11</t>
        </is>
      </c>
      <c r="X3288" t="inlineStr">
        <is>
          <t>2005-10-11</t>
        </is>
      </c>
      <c r="Y3288" t="inlineStr">
        <is>
          <t>2003-10-07</t>
        </is>
      </c>
      <c r="Z3288" t="inlineStr">
        <is>
          <t>2003-10-07</t>
        </is>
      </c>
      <c r="AA3288" t="n">
        <v>494</v>
      </c>
      <c r="AB3288" t="n">
        <v>464</v>
      </c>
      <c r="AC3288" t="n">
        <v>531</v>
      </c>
      <c r="AD3288" t="n">
        <v>5</v>
      </c>
      <c r="AE3288" t="n">
        <v>6</v>
      </c>
      <c r="AF3288" t="n">
        <v>20</v>
      </c>
      <c r="AG3288" t="n">
        <v>22</v>
      </c>
      <c r="AH3288" t="n">
        <v>10</v>
      </c>
      <c r="AI3288" t="n">
        <v>10</v>
      </c>
      <c r="AJ3288" t="n">
        <v>3</v>
      </c>
      <c r="AK3288" t="n">
        <v>4</v>
      </c>
      <c r="AL3288" t="n">
        <v>9</v>
      </c>
      <c r="AM3288" t="n">
        <v>10</v>
      </c>
      <c r="AN3288" t="n">
        <v>4</v>
      </c>
      <c r="AO3288" t="n">
        <v>5</v>
      </c>
      <c r="AP3288" t="n">
        <v>0</v>
      </c>
      <c r="AQ3288" t="n">
        <v>0</v>
      </c>
      <c r="AR3288" t="inlineStr">
        <is>
          <t>No</t>
        </is>
      </c>
      <c r="AS3288" t="inlineStr">
        <is>
          <t>Yes</t>
        </is>
      </c>
      <c r="AT3288">
        <f>HYPERLINK("http://catalog.hathitrust.org/Record/007142667","HathiTrust Record")</f>
        <v/>
      </c>
      <c r="AU3288">
        <f>HYPERLINK("https://creighton-primo.hosted.exlibrisgroup.com/primo-explore/search?tab=default_tab&amp;search_scope=EVERYTHING&amp;vid=01CRU&amp;lang=en_US&amp;offset=0&amp;query=any,contains,991004154129702656","Catalog Record")</f>
        <v/>
      </c>
      <c r="AV3288">
        <f>HYPERLINK("http://www.worldcat.org/oclc/50205733","WorldCat Record")</f>
        <v/>
      </c>
      <c r="AW3288" t="inlineStr">
        <is>
          <t>3943466193:eng</t>
        </is>
      </c>
      <c r="AX3288" t="inlineStr">
        <is>
          <t>50205733</t>
        </is>
      </c>
      <c r="AY3288" t="inlineStr">
        <is>
          <t>991004154129702656</t>
        </is>
      </c>
      <c r="AZ3288" t="inlineStr">
        <is>
          <t>991004154129702656</t>
        </is>
      </c>
      <c r="BA3288" t="inlineStr">
        <is>
          <t>2255204650002656</t>
        </is>
      </c>
      <c r="BB3288" t="inlineStr">
        <is>
          <t>BOOK</t>
        </is>
      </c>
      <c r="BD3288" t="inlineStr">
        <is>
          <t>9781566634878</t>
        </is>
      </c>
      <c r="BE3288" t="inlineStr">
        <is>
          <t>32285004786900</t>
        </is>
      </c>
      <c r="BF3288" t="inlineStr">
        <is>
          <t>893259388</t>
        </is>
      </c>
    </row>
    <row r="3289">
      <c r="A3289" t="inlineStr">
        <is>
          <t>No</t>
        </is>
      </c>
      <c r="B3289" t="inlineStr">
        <is>
          <t>CURAL</t>
        </is>
      </c>
      <c r="C3289" t="inlineStr">
        <is>
          <t>SHELVES</t>
        </is>
      </c>
      <c r="D3289" t="inlineStr">
        <is>
          <t>PR6029.W4 Z69 1993</t>
        </is>
      </c>
      <c r="E3289" t="inlineStr">
        <is>
          <t>0                      PR 6029000W  4                  Z  69          1993</t>
        </is>
      </c>
      <c r="F3289" t="inlineStr">
        <is>
          <t>Wilfred Owen's voices : language and community / Douglas Kerr.</t>
        </is>
      </c>
      <c r="H3289" t="inlineStr">
        <is>
          <t>No</t>
        </is>
      </c>
      <c r="I3289" t="inlineStr">
        <is>
          <t>1</t>
        </is>
      </c>
      <c r="J3289" t="inlineStr">
        <is>
          <t>No</t>
        </is>
      </c>
      <c r="K3289" t="inlineStr">
        <is>
          <t>No</t>
        </is>
      </c>
      <c r="L3289" t="inlineStr">
        <is>
          <t>0</t>
        </is>
      </c>
      <c r="M3289" t="inlineStr">
        <is>
          <t>Kerr, Douglas.</t>
        </is>
      </c>
      <c r="N3289" t="inlineStr">
        <is>
          <t>Oxford : Clarendon Press ; New York : Oxford University Press, 1993.</t>
        </is>
      </c>
      <c r="O3289" t="inlineStr">
        <is>
          <t>1993</t>
        </is>
      </c>
      <c r="Q3289" t="inlineStr">
        <is>
          <t>eng</t>
        </is>
      </c>
      <c r="R3289" t="inlineStr">
        <is>
          <t>enk</t>
        </is>
      </c>
      <c r="T3289" t="inlineStr">
        <is>
          <t xml:space="preserve">PR </t>
        </is>
      </c>
      <c r="U3289" t="n">
        <v>2</v>
      </c>
      <c r="V3289" t="n">
        <v>2</v>
      </c>
      <c r="W3289" t="inlineStr">
        <is>
          <t>2005-10-11</t>
        </is>
      </c>
      <c r="X3289" t="inlineStr">
        <is>
          <t>2005-10-11</t>
        </is>
      </c>
      <c r="Y3289" t="inlineStr">
        <is>
          <t>1993-12-16</t>
        </is>
      </c>
      <c r="Z3289" t="inlineStr">
        <is>
          <t>1993-12-16</t>
        </is>
      </c>
      <c r="AA3289" t="n">
        <v>370</v>
      </c>
      <c r="AB3289" t="n">
        <v>272</v>
      </c>
      <c r="AC3289" t="n">
        <v>304</v>
      </c>
      <c r="AD3289" t="n">
        <v>3</v>
      </c>
      <c r="AE3289" t="n">
        <v>3</v>
      </c>
      <c r="AF3289" t="n">
        <v>19</v>
      </c>
      <c r="AG3289" t="n">
        <v>21</v>
      </c>
      <c r="AH3289" t="n">
        <v>6</v>
      </c>
      <c r="AI3289" t="n">
        <v>6</v>
      </c>
      <c r="AJ3289" t="n">
        <v>4</v>
      </c>
      <c r="AK3289" t="n">
        <v>6</v>
      </c>
      <c r="AL3289" t="n">
        <v>12</v>
      </c>
      <c r="AM3289" t="n">
        <v>12</v>
      </c>
      <c r="AN3289" t="n">
        <v>2</v>
      </c>
      <c r="AO3289" t="n">
        <v>2</v>
      </c>
      <c r="AP3289" t="n">
        <v>0</v>
      </c>
      <c r="AQ3289" t="n">
        <v>0</v>
      </c>
      <c r="AR3289" t="inlineStr">
        <is>
          <t>No</t>
        </is>
      </c>
      <c r="AS3289" t="inlineStr">
        <is>
          <t>Yes</t>
        </is>
      </c>
      <c r="AT3289">
        <f>HYPERLINK("http://catalog.hathitrust.org/Record/008322639","HathiTrust Record")</f>
        <v/>
      </c>
      <c r="AU3289">
        <f>HYPERLINK("https://creighton-primo.hosted.exlibrisgroup.com/primo-explore/search?tab=default_tab&amp;search_scope=EVERYTHING&amp;vid=01CRU&amp;lang=en_US&amp;offset=0&amp;query=any,contains,991002181029702656","Catalog Record")</f>
        <v/>
      </c>
      <c r="AV3289">
        <f>HYPERLINK("http://www.worldcat.org/oclc/28067384","WorldCat Record")</f>
        <v/>
      </c>
      <c r="AW3289" t="inlineStr">
        <is>
          <t>836750777:eng</t>
        </is>
      </c>
      <c r="AX3289" t="inlineStr">
        <is>
          <t>28067384</t>
        </is>
      </c>
      <c r="AY3289" t="inlineStr">
        <is>
          <t>991002181029702656</t>
        </is>
      </c>
      <c r="AZ3289" t="inlineStr">
        <is>
          <t>991002181029702656</t>
        </is>
      </c>
      <c r="BA3289" t="inlineStr">
        <is>
          <t>2259322830002656</t>
        </is>
      </c>
      <c r="BB3289" t="inlineStr">
        <is>
          <t>BOOK</t>
        </is>
      </c>
      <c r="BD3289" t="inlineStr">
        <is>
          <t>9780198123705</t>
        </is>
      </c>
      <c r="BE3289" t="inlineStr">
        <is>
          <t>32285001816668</t>
        </is>
      </c>
      <c r="BF3289" t="inlineStr">
        <is>
          <t>893903742</t>
        </is>
      </c>
    </row>
    <row r="3290">
      <c r="A3290" t="inlineStr">
        <is>
          <t>No</t>
        </is>
      </c>
      <c r="B3290" t="inlineStr">
        <is>
          <t>CURAL</t>
        </is>
      </c>
      <c r="C3290" t="inlineStr">
        <is>
          <t>SHELVES</t>
        </is>
      </c>
      <c r="D3290" t="inlineStr">
        <is>
          <t>PR6029.W4 Z7</t>
        </is>
      </c>
      <c r="E3290" t="inlineStr">
        <is>
          <t>0                      PR 6029000W  4                  Z  7</t>
        </is>
      </c>
      <c r="F3290" t="inlineStr">
        <is>
          <t>An adequate response : the war poetry of Wilfred Owen &amp; Siegfried Sassoon / by Arthur E. Lane.</t>
        </is>
      </c>
      <c r="H3290" t="inlineStr">
        <is>
          <t>No</t>
        </is>
      </c>
      <c r="I3290" t="inlineStr">
        <is>
          <t>1</t>
        </is>
      </c>
      <c r="J3290" t="inlineStr">
        <is>
          <t>No</t>
        </is>
      </c>
      <c r="K3290" t="inlineStr">
        <is>
          <t>No</t>
        </is>
      </c>
      <c r="L3290" t="inlineStr">
        <is>
          <t>0</t>
        </is>
      </c>
      <c r="M3290" t="inlineStr">
        <is>
          <t>Lane, Arthur, 1937-</t>
        </is>
      </c>
      <c r="N3290" t="inlineStr">
        <is>
          <t>Detroit : Wayne State University Press, 1972.</t>
        </is>
      </c>
      <c r="O3290" t="inlineStr">
        <is>
          <t>1972</t>
        </is>
      </c>
      <c r="Q3290" t="inlineStr">
        <is>
          <t>eng</t>
        </is>
      </c>
      <c r="R3290" t="inlineStr">
        <is>
          <t>miu</t>
        </is>
      </c>
      <c r="T3290" t="inlineStr">
        <is>
          <t xml:space="preserve">PR </t>
        </is>
      </c>
      <c r="U3290" t="n">
        <v>1</v>
      </c>
      <c r="V3290" t="n">
        <v>1</v>
      </c>
      <c r="W3290" t="inlineStr">
        <is>
          <t>2001-03-25</t>
        </is>
      </c>
      <c r="X3290" t="inlineStr">
        <is>
          <t>2001-03-25</t>
        </is>
      </c>
      <c r="Y3290" t="inlineStr">
        <is>
          <t>1992-03-12</t>
        </is>
      </c>
      <c r="Z3290" t="inlineStr">
        <is>
          <t>1992-03-12</t>
        </is>
      </c>
      <c r="AA3290" t="n">
        <v>705</v>
      </c>
      <c r="AB3290" t="n">
        <v>579</v>
      </c>
      <c r="AC3290" t="n">
        <v>583</v>
      </c>
      <c r="AD3290" t="n">
        <v>5</v>
      </c>
      <c r="AE3290" t="n">
        <v>5</v>
      </c>
      <c r="AF3290" t="n">
        <v>29</v>
      </c>
      <c r="AG3290" t="n">
        <v>30</v>
      </c>
      <c r="AH3290" t="n">
        <v>11</v>
      </c>
      <c r="AI3290" t="n">
        <v>12</v>
      </c>
      <c r="AJ3290" t="n">
        <v>7</v>
      </c>
      <c r="AK3290" t="n">
        <v>7</v>
      </c>
      <c r="AL3290" t="n">
        <v>14</v>
      </c>
      <c r="AM3290" t="n">
        <v>14</v>
      </c>
      <c r="AN3290" t="n">
        <v>4</v>
      </c>
      <c r="AO3290" t="n">
        <v>4</v>
      </c>
      <c r="AP3290" t="n">
        <v>0</v>
      </c>
      <c r="AQ3290" t="n">
        <v>0</v>
      </c>
      <c r="AR3290" t="inlineStr">
        <is>
          <t>No</t>
        </is>
      </c>
      <c r="AS3290" t="inlineStr">
        <is>
          <t>No</t>
        </is>
      </c>
      <c r="AU3290">
        <f>HYPERLINK("https://creighton-primo.hosted.exlibrisgroup.com/primo-explore/search?tab=default_tab&amp;search_scope=EVERYTHING&amp;vid=01CRU&amp;lang=en_US&amp;offset=0&amp;query=any,contains,991002620109702656","Catalog Record")</f>
        <v/>
      </c>
      <c r="AV3290">
        <f>HYPERLINK("http://www.worldcat.org/oclc/380536","WorldCat Record")</f>
        <v/>
      </c>
      <c r="AW3290" t="inlineStr">
        <is>
          <t>479274665:eng</t>
        </is>
      </c>
      <c r="AX3290" t="inlineStr">
        <is>
          <t>380536</t>
        </is>
      </c>
      <c r="AY3290" t="inlineStr">
        <is>
          <t>991002620109702656</t>
        </is>
      </c>
      <c r="AZ3290" t="inlineStr">
        <is>
          <t>991002620109702656</t>
        </is>
      </c>
      <c r="BA3290" t="inlineStr">
        <is>
          <t>2261415900002656</t>
        </is>
      </c>
      <c r="BB3290" t="inlineStr">
        <is>
          <t>BOOK</t>
        </is>
      </c>
      <c r="BD3290" t="inlineStr">
        <is>
          <t>9780814314722</t>
        </is>
      </c>
      <c r="BE3290" t="inlineStr">
        <is>
          <t>32285000998350</t>
        </is>
      </c>
      <c r="BF3290" t="inlineStr">
        <is>
          <t>893352418</t>
        </is>
      </c>
    </row>
    <row r="3291">
      <c r="A3291" t="inlineStr">
        <is>
          <t>No</t>
        </is>
      </c>
      <c r="B3291" t="inlineStr">
        <is>
          <t>CURAL</t>
        </is>
      </c>
      <c r="C3291" t="inlineStr">
        <is>
          <t>SHELVES</t>
        </is>
      </c>
      <c r="D3291" t="inlineStr">
        <is>
          <t>PR6029.W4 Z855</t>
        </is>
      </c>
      <c r="E3291" t="inlineStr">
        <is>
          <t>0                      PR 6029000W  4                  Z  855</t>
        </is>
      </c>
      <c r="F3291" t="inlineStr">
        <is>
          <t>Wilfred Owen / Jon Stallworthy.</t>
        </is>
      </c>
      <c r="H3291" t="inlineStr">
        <is>
          <t>No</t>
        </is>
      </c>
      <c r="I3291" t="inlineStr">
        <is>
          <t>1</t>
        </is>
      </c>
      <c r="J3291" t="inlineStr">
        <is>
          <t>No</t>
        </is>
      </c>
      <c r="K3291" t="inlineStr">
        <is>
          <t>No</t>
        </is>
      </c>
      <c r="L3291" t="inlineStr">
        <is>
          <t>0</t>
        </is>
      </c>
      <c r="M3291" t="inlineStr">
        <is>
          <t>Stallworthy, Jon.</t>
        </is>
      </c>
      <c r="N3291" t="inlineStr">
        <is>
          <t>London : Oxford University Press [etc.], 1974, 1975 printing.</t>
        </is>
      </c>
      <c r="O3291" t="inlineStr">
        <is>
          <t>1974</t>
        </is>
      </c>
      <c r="Q3291" t="inlineStr">
        <is>
          <t>eng</t>
        </is>
      </c>
      <c r="R3291" t="inlineStr">
        <is>
          <t>enk</t>
        </is>
      </c>
      <c r="T3291" t="inlineStr">
        <is>
          <t xml:space="preserve">PR </t>
        </is>
      </c>
      <c r="U3291" t="n">
        <v>1</v>
      </c>
      <c r="V3291" t="n">
        <v>1</v>
      </c>
      <c r="W3291" t="inlineStr">
        <is>
          <t>2001-03-25</t>
        </is>
      </c>
      <c r="X3291" t="inlineStr">
        <is>
          <t>2001-03-25</t>
        </is>
      </c>
      <c r="Y3291" t="inlineStr">
        <is>
          <t>1992-07-17</t>
        </is>
      </c>
      <c r="Z3291" t="inlineStr">
        <is>
          <t>1992-07-17</t>
        </is>
      </c>
      <c r="AA3291" t="n">
        <v>893</v>
      </c>
      <c r="AB3291" t="n">
        <v>660</v>
      </c>
      <c r="AC3291" t="n">
        <v>797</v>
      </c>
      <c r="AD3291" t="n">
        <v>5</v>
      </c>
      <c r="AE3291" t="n">
        <v>7</v>
      </c>
      <c r="AF3291" t="n">
        <v>34</v>
      </c>
      <c r="AG3291" t="n">
        <v>40</v>
      </c>
      <c r="AH3291" t="n">
        <v>11</v>
      </c>
      <c r="AI3291" t="n">
        <v>14</v>
      </c>
      <c r="AJ3291" t="n">
        <v>10</v>
      </c>
      <c r="AK3291" t="n">
        <v>10</v>
      </c>
      <c r="AL3291" t="n">
        <v>21</v>
      </c>
      <c r="AM3291" t="n">
        <v>22</v>
      </c>
      <c r="AN3291" t="n">
        <v>4</v>
      </c>
      <c r="AO3291" t="n">
        <v>6</v>
      </c>
      <c r="AP3291" t="n">
        <v>0</v>
      </c>
      <c r="AQ3291" t="n">
        <v>0</v>
      </c>
      <c r="AR3291" t="inlineStr">
        <is>
          <t>No</t>
        </is>
      </c>
      <c r="AS3291" t="inlineStr">
        <is>
          <t>Yes</t>
        </is>
      </c>
      <c r="AT3291">
        <f>HYPERLINK("http://catalog.hathitrust.org/Record/000673500","HathiTrust Record")</f>
        <v/>
      </c>
      <c r="AU3291">
        <f>HYPERLINK("https://creighton-primo.hosted.exlibrisgroup.com/primo-explore/search?tab=default_tab&amp;search_scope=EVERYTHING&amp;vid=01CRU&amp;lang=en_US&amp;offset=0&amp;query=any,contains,991003613929702656","Catalog Record")</f>
        <v/>
      </c>
      <c r="AV3291">
        <f>HYPERLINK("http://www.worldcat.org/oclc/1196479","WorldCat Record")</f>
        <v/>
      </c>
      <c r="AW3291" t="inlineStr">
        <is>
          <t>395328:eng</t>
        </is>
      </c>
      <c r="AX3291" t="inlineStr">
        <is>
          <t>1196479</t>
        </is>
      </c>
      <c r="AY3291" t="inlineStr">
        <is>
          <t>991003613929702656</t>
        </is>
      </c>
      <c r="AZ3291" t="inlineStr">
        <is>
          <t>991003613929702656</t>
        </is>
      </c>
      <c r="BA3291" t="inlineStr">
        <is>
          <t>2259838490002656</t>
        </is>
      </c>
      <c r="BB3291" t="inlineStr">
        <is>
          <t>BOOK</t>
        </is>
      </c>
      <c r="BD3291" t="inlineStr">
        <is>
          <t>9780192117199</t>
        </is>
      </c>
      <c r="BE3291" t="inlineStr">
        <is>
          <t>32285001200616</t>
        </is>
      </c>
      <c r="BF3291" t="inlineStr">
        <is>
          <t>893699194</t>
        </is>
      </c>
    </row>
    <row r="3292">
      <c r="A3292" t="inlineStr">
        <is>
          <t>No</t>
        </is>
      </c>
      <c r="B3292" t="inlineStr">
        <is>
          <t>CURAL</t>
        </is>
      </c>
      <c r="C3292" t="inlineStr">
        <is>
          <t>SHELVES</t>
        </is>
      </c>
      <c r="D3292" t="inlineStr">
        <is>
          <t>PR6029.W4 Z9</t>
        </is>
      </c>
      <c r="E3292" t="inlineStr">
        <is>
          <t>0                      PR 6029000W  4                  Z  9</t>
        </is>
      </c>
      <c r="F3292" t="inlineStr">
        <is>
          <t>Wilfred Owen : a critical study.</t>
        </is>
      </c>
      <c r="H3292" t="inlineStr">
        <is>
          <t>No</t>
        </is>
      </c>
      <c r="I3292" t="inlineStr">
        <is>
          <t>1</t>
        </is>
      </c>
      <c r="J3292" t="inlineStr">
        <is>
          <t>No</t>
        </is>
      </c>
      <c r="K3292" t="inlineStr">
        <is>
          <t>No</t>
        </is>
      </c>
      <c r="L3292" t="inlineStr">
        <is>
          <t>0</t>
        </is>
      </c>
      <c r="M3292" t="inlineStr">
        <is>
          <t>Welland, Dennis Sydney Reginald.</t>
        </is>
      </c>
      <c r="N3292" t="inlineStr">
        <is>
          <t>London : Chatto and Windus, 1960.</t>
        </is>
      </c>
      <c r="O3292" t="inlineStr">
        <is>
          <t>1960</t>
        </is>
      </c>
      <c r="Q3292" t="inlineStr">
        <is>
          <t>eng</t>
        </is>
      </c>
      <c r="R3292" t="inlineStr">
        <is>
          <t>enk</t>
        </is>
      </c>
      <c r="T3292" t="inlineStr">
        <is>
          <t xml:space="preserve">PR </t>
        </is>
      </c>
      <c r="U3292" t="n">
        <v>3</v>
      </c>
      <c r="V3292" t="n">
        <v>3</v>
      </c>
      <c r="W3292" t="inlineStr">
        <is>
          <t>2001-03-25</t>
        </is>
      </c>
      <c r="X3292" t="inlineStr">
        <is>
          <t>2001-03-25</t>
        </is>
      </c>
      <c r="Y3292" t="inlineStr">
        <is>
          <t>1991-09-05</t>
        </is>
      </c>
      <c r="Z3292" t="inlineStr">
        <is>
          <t>1991-09-05</t>
        </is>
      </c>
      <c r="AA3292" t="n">
        <v>497</v>
      </c>
      <c r="AB3292" t="n">
        <v>350</v>
      </c>
      <c r="AC3292" t="n">
        <v>384</v>
      </c>
      <c r="AD3292" t="n">
        <v>4</v>
      </c>
      <c r="AE3292" t="n">
        <v>4</v>
      </c>
      <c r="AF3292" t="n">
        <v>22</v>
      </c>
      <c r="AG3292" t="n">
        <v>23</v>
      </c>
      <c r="AH3292" t="n">
        <v>6</v>
      </c>
      <c r="AI3292" t="n">
        <v>6</v>
      </c>
      <c r="AJ3292" t="n">
        <v>6</v>
      </c>
      <c r="AK3292" t="n">
        <v>7</v>
      </c>
      <c r="AL3292" t="n">
        <v>12</v>
      </c>
      <c r="AM3292" t="n">
        <v>13</v>
      </c>
      <c r="AN3292" t="n">
        <v>3</v>
      </c>
      <c r="AO3292" t="n">
        <v>3</v>
      </c>
      <c r="AP3292" t="n">
        <v>0</v>
      </c>
      <c r="AQ3292" t="n">
        <v>0</v>
      </c>
      <c r="AR3292" t="inlineStr">
        <is>
          <t>No</t>
        </is>
      </c>
      <c r="AS3292" t="inlineStr">
        <is>
          <t>Yes</t>
        </is>
      </c>
      <c r="AT3292">
        <f>HYPERLINK("http://catalog.hathitrust.org/Record/001398744","HathiTrust Record")</f>
        <v/>
      </c>
      <c r="AU3292">
        <f>HYPERLINK("https://creighton-primo.hosted.exlibrisgroup.com/primo-explore/search?tab=default_tab&amp;search_scope=EVERYTHING&amp;vid=01CRU&amp;lang=en_US&amp;offset=0&amp;query=any,contains,991002254969702656","Catalog Record")</f>
        <v/>
      </c>
      <c r="AV3292">
        <f>HYPERLINK("http://www.worldcat.org/oclc/301222","WorldCat Record")</f>
        <v/>
      </c>
      <c r="AW3292" t="inlineStr">
        <is>
          <t>1878331119:eng</t>
        </is>
      </c>
      <c r="AX3292" t="inlineStr">
        <is>
          <t>301222</t>
        </is>
      </c>
      <c r="AY3292" t="inlineStr">
        <is>
          <t>991002254969702656</t>
        </is>
      </c>
      <c r="AZ3292" t="inlineStr">
        <is>
          <t>991002254969702656</t>
        </is>
      </c>
      <c r="BA3292" t="inlineStr">
        <is>
          <t>2269893930002656</t>
        </is>
      </c>
      <c r="BB3292" t="inlineStr">
        <is>
          <t>BOOK</t>
        </is>
      </c>
      <c r="BE3292" t="inlineStr">
        <is>
          <t>32285000736420</t>
        </is>
      </c>
      <c r="BF3292" t="inlineStr">
        <is>
          <t>893517069</t>
        </is>
      </c>
    </row>
    <row r="3293">
      <c r="A3293" t="inlineStr">
        <is>
          <t>No</t>
        </is>
      </c>
      <c r="B3293" t="inlineStr">
        <is>
          <t>CURAL</t>
        </is>
      </c>
      <c r="C3293" t="inlineStr">
        <is>
          <t>SHELVES</t>
        </is>
      </c>
      <c r="D3293" t="inlineStr">
        <is>
          <t>PR6029.W4 Z95</t>
        </is>
      </c>
      <c r="E3293" t="inlineStr">
        <is>
          <t>0                      PR 6029000W  4                  Z  95</t>
        </is>
      </c>
      <c r="F3293" t="inlineStr">
        <is>
          <t>Wilfred Owen / by Gertrude M. White.</t>
        </is>
      </c>
      <c r="H3293" t="inlineStr">
        <is>
          <t>No</t>
        </is>
      </c>
      <c r="I3293" t="inlineStr">
        <is>
          <t>1</t>
        </is>
      </c>
      <c r="J3293" t="inlineStr">
        <is>
          <t>No</t>
        </is>
      </c>
      <c r="K3293" t="inlineStr">
        <is>
          <t>No</t>
        </is>
      </c>
      <c r="L3293" t="inlineStr">
        <is>
          <t>0</t>
        </is>
      </c>
      <c r="M3293" t="inlineStr">
        <is>
          <t>White, Gertrude M., 1915-</t>
        </is>
      </c>
      <c r="N3293" t="inlineStr">
        <is>
          <t>New York : Twayne Publishers, [1969]</t>
        </is>
      </c>
      <c r="O3293" t="inlineStr">
        <is>
          <t>1969</t>
        </is>
      </c>
      <c r="Q3293" t="inlineStr">
        <is>
          <t>eng</t>
        </is>
      </c>
      <c r="R3293" t="inlineStr">
        <is>
          <t>nyu</t>
        </is>
      </c>
      <c r="S3293" t="inlineStr">
        <is>
          <t>Twayne's English authors series, 86</t>
        </is>
      </c>
      <c r="T3293" t="inlineStr">
        <is>
          <t xml:space="preserve">PR </t>
        </is>
      </c>
      <c r="U3293" t="n">
        <v>7</v>
      </c>
      <c r="V3293" t="n">
        <v>7</v>
      </c>
      <c r="W3293" t="inlineStr">
        <is>
          <t>2001-03-25</t>
        </is>
      </c>
      <c r="X3293" t="inlineStr">
        <is>
          <t>2001-03-25</t>
        </is>
      </c>
      <c r="Y3293" t="inlineStr">
        <is>
          <t>1990-03-05</t>
        </is>
      </c>
      <c r="Z3293" t="inlineStr">
        <is>
          <t>1990-03-05</t>
        </is>
      </c>
      <c r="AA3293" t="n">
        <v>745</v>
      </c>
      <c r="AB3293" t="n">
        <v>659</v>
      </c>
      <c r="AC3293" t="n">
        <v>669</v>
      </c>
      <c r="AD3293" t="n">
        <v>6</v>
      </c>
      <c r="AE3293" t="n">
        <v>6</v>
      </c>
      <c r="AF3293" t="n">
        <v>34</v>
      </c>
      <c r="AG3293" t="n">
        <v>34</v>
      </c>
      <c r="AH3293" t="n">
        <v>13</v>
      </c>
      <c r="AI3293" t="n">
        <v>13</v>
      </c>
      <c r="AJ3293" t="n">
        <v>8</v>
      </c>
      <c r="AK3293" t="n">
        <v>8</v>
      </c>
      <c r="AL3293" t="n">
        <v>17</v>
      </c>
      <c r="AM3293" t="n">
        <v>17</v>
      </c>
      <c r="AN3293" t="n">
        <v>5</v>
      </c>
      <c r="AO3293" t="n">
        <v>5</v>
      </c>
      <c r="AP3293" t="n">
        <v>0</v>
      </c>
      <c r="AQ3293" t="n">
        <v>0</v>
      </c>
      <c r="AR3293" t="inlineStr">
        <is>
          <t>No</t>
        </is>
      </c>
      <c r="AS3293" t="inlineStr">
        <is>
          <t>Yes</t>
        </is>
      </c>
      <c r="AT3293">
        <f>HYPERLINK("http://catalog.hathitrust.org/Record/000673501","HathiTrust Record")</f>
        <v/>
      </c>
      <c r="AU3293">
        <f>HYPERLINK("https://creighton-primo.hosted.exlibrisgroup.com/primo-explore/search?tab=default_tab&amp;search_scope=EVERYTHING&amp;vid=01CRU&amp;lang=en_US&amp;offset=0&amp;query=any,contains,991000135699702656","Catalog Record")</f>
        <v/>
      </c>
      <c r="AV3293">
        <f>HYPERLINK("http://www.worldcat.org/oclc/56183","WorldCat Record")</f>
        <v/>
      </c>
      <c r="AW3293" t="inlineStr">
        <is>
          <t>1188048:eng</t>
        </is>
      </c>
      <c r="AX3293" t="inlineStr">
        <is>
          <t>56183</t>
        </is>
      </c>
      <c r="AY3293" t="inlineStr">
        <is>
          <t>991000135699702656</t>
        </is>
      </c>
      <c r="AZ3293" t="inlineStr">
        <is>
          <t>991000135699702656</t>
        </is>
      </c>
      <c r="BA3293" t="inlineStr">
        <is>
          <t>2261115000002656</t>
        </is>
      </c>
      <c r="BB3293" t="inlineStr">
        <is>
          <t>BOOK</t>
        </is>
      </c>
      <c r="BE3293" t="inlineStr">
        <is>
          <t>32285000064526</t>
        </is>
      </c>
      <c r="BF3293" t="inlineStr">
        <is>
          <t>893333242</t>
        </is>
      </c>
    </row>
    <row r="3294">
      <c r="A3294" t="inlineStr">
        <is>
          <t>No</t>
        </is>
      </c>
      <c r="B3294" t="inlineStr">
        <is>
          <t>CURAL</t>
        </is>
      </c>
      <c r="C3294" t="inlineStr">
        <is>
          <t>SHELVES</t>
        </is>
      </c>
      <c r="D3294" t="inlineStr">
        <is>
          <t>PR603 .F7 1977b</t>
        </is>
      </c>
      <c r="E3294" t="inlineStr">
        <is>
          <t>0                      PR 0603000F  7           1977b</t>
        </is>
      </c>
      <c r="F3294" t="inlineStr">
        <is>
          <t>Essays on twentieth-century poets / George Fraser.</t>
        </is>
      </c>
      <c r="H3294" t="inlineStr">
        <is>
          <t>No</t>
        </is>
      </c>
      <c r="I3294" t="inlineStr">
        <is>
          <t>1</t>
        </is>
      </c>
      <c r="J3294" t="inlineStr">
        <is>
          <t>No</t>
        </is>
      </c>
      <c r="K3294" t="inlineStr">
        <is>
          <t>No</t>
        </is>
      </c>
      <c r="L3294" t="inlineStr">
        <is>
          <t>0</t>
        </is>
      </c>
      <c r="M3294" t="inlineStr">
        <is>
          <t>Fraser, G. S. (George Sutherland), 1915-1980.</t>
        </is>
      </c>
      <c r="N3294" t="inlineStr">
        <is>
          <t>Leicester, [Eng.] : Leicester University Press ; Totowa, N.J. : distributed in North America by Rowman and Littlefield, 1977.</t>
        </is>
      </c>
      <c r="O3294" t="inlineStr">
        <is>
          <t>1977</t>
        </is>
      </c>
      <c r="Q3294" t="inlineStr">
        <is>
          <t>eng</t>
        </is>
      </c>
      <c r="R3294" t="inlineStr">
        <is>
          <t>enk</t>
        </is>
      </c>
      <c r="T3294" t="inlineStr">
        <is>
          <t xml:space="preserve">PR </t>
        </is>
      </c>
      <c r="U3294" t="n">
        <v>5</v>
      </c>
      <c r="V3294" t="n">
        <v>5</v>
      </c>
      <c r="W3294" t="inlineStr">
        <is>
          <t>1994-04-26</t>
        </is>
      </c>
      <c r="X3294" t="inlineStr">
        <is>
          <t>1994-04-26</t>
        </is>
      </c>
      <c r="Y3294" t="inlineStr">
        <is>
          <t>1991-09-10</t>
        </is>
      </c>
      <c r="Z3294" t="inlineStr">
        <is>
          <t>1991-09-10</t>
        </is>
      </c>
      <c r="AA3294" t="n">
        <v>349</v>
      </c>
      <c r="AB3294" t="n">
        <v>215</v>
      </c>
      <c r="AC3294" t="n">
        <v>722</v>
      </c>
      <c r="AD3294" t="n">
        <v>2</v>
      </c>
      <c r="AE3294" t="n">
        <v>8</v>
      </c>
      <c r="AF3294" t="n">
        <v>8</v>
      </c>
      <c r="AG3294" t="n">
        <v>35</v>
      </c>
      <c r="AH3294" t="n">
        <v>0</v>
      </c>
      <c r="AI3294" t="n">
        <v>12</v>
      </c>
      <c r="AJ3294" t="n">
        <v>4</v>
      </c>
      <c r="AK3294" t="n">
        <v>8</v>
      </c>
      <c r="AL3294" t="n">
        <v>3</v>
      </c>
      <c r="AM3294" t="n">
        <v>14</v>
      </c>
      <c r="AN3294" t="n">
        <v>1</v>
      </c>
      <c r="AO3294" t="n">
        <v>7</v>
      </c>
      <c r="AP3294" t="n">
        <v>0</v>
      </c>
      <c r="AQ3294" t="n">
        <v>0</v>
      </c>
      <c r="AR3294" t="inlineStr">
        <is>
          <t>No</t>
        </is>
      </c>
      <c r="AS3294" t="inlineStr">
        <is>
          <t>Yes</t>
        </is>
      </c>
      <c r="AT3294">
        <f>HYPERLINK("http://catalog.hathitrust.org/Record/000093408","HathiTrust Record")</f>
        <v/>
      </c>
      <c r="AU3294">
        <f>HYPERLINK("https://creighton-primo.hosted.exlibrisgroup.com/primo-explore/search?tab=default_tab&amp;search_scope=EVERYTHING&amp;vid=01CRU&amp;lang=en_US&amp;offset=0&amp;query=any,contains,991004491919702656","Catalog Record")</f>
        <v/>
      </c>
      <c r="AV3294">
        <f>HYPERLINK("http://www.worldcat.org/oclc/3669203","WorldCat Record")</f>
        <v/>
      </c>
      <c r="AW3294" t="inlineStr">
        <is>
          <t>197684785:eng</t>
        </is>
      </c>
      <c r="AX3294" t="inlineStr">
        <is>
          <t>3669203</t>
        </is>
      </c>
      <c r="AY3294" t="inlineStr">
        <is>
          <t>991004491919702656</t>
        </is>
      </c>
      <c r="AZ3294" t="inlineStr">
        <is>
          <t>991004491919702656</t>
        </is>
      </c>
      <c r="BA3294" t="inlineStr">
        <is>
          <t>2261981150002656</t>
        </is>
      </c>
      <c r="BB3294" t="inlineStr">
        <is>
          <t>BOOK</t>
        </is>
      </c>
      <c r="BD3294" t="inlineStr">
        <is>
          <t>9780718511562</t>
        </is>
      </c>
      <c r="BE3294" t="inlineStr">
        <is>
          <t>32285000738566</t>
        </is>
      </c>
      <c r="BF3294" t="inlineStr">
        <is>
          <t>893706487</t>
        </is>
      </c>
    </row>
    <row r="3295">
      <c r="A3295" t="inlineStr">
        <is>
          <t>No</t>
        </is>
      </c>
      <c r="B3295" t="inlineStr">
        <is>
          <t>CURAL</t>
        </is>
      </c>
      <c r="C3295" t="inlineStr">
        <is>
          <t>JUVENILE</t>
        </is>
      </c>
      <c r="D3295" t="inlineStr">
        <is>
          <t>PR6031.O72 Z96 1995</t>
        </is>
      </c>
      <c r="E3295" t="inlineStr">
        <is>
          <t>0                      PR 6031000O  72                 Z  96          1995</t>
        </is>
      </c>
      <c r="F3295" t="inlineStr">
        <is>
          <t>Beatrix Potter / written and illustrated by Alexandra Wallner.</t>
        </is>
      </c>
      <c r="H3295" t="inlineStr">
        <is>
          <t>No</t>
        </is>
      </c>
      <c r="I3295" t="inlineStr">
        <is>
          <t>1</t>
        </is>
      </c>
      <c r="J3295" t="inlineStr">
        <is>
          <t>No</t>
        </is>
      </c>
      <c r="K3295" t="inlineStr">
        <is>
          <t>No</t>
        </is>
      </c>
      <c r="L3295" t="inlineStr">
        <is>
          <t>0</t>
        </is>
      </c>
      <c r="M3295" t="inlineStr">
        <is>
          <t>Wallner, Alexandra.</t>
        </is>
      </c>
      <c r="N3295" t="inlineStr">
        <is>
          <t>New York : Holiday House, 1995.</t>
        </is>
      </c>
      <c r="O3295" t="inlineStr">
        <is>
          <t>1995</t>
        </is>
      </c>
      <c r="Q3295" t="inlineStr">
        <is>
          <t>eng</t>
        </is>
      </c>
      <c r="R3295" t="inlineStr">
        <is>
          <t>nyu</t>
        </is>
      </c>
      <c r="T3295" t="inlineStr">
        <is>
          <t xml:space="preserve">PR </t>
        </is>
      </c>
      <c r="U3295" t="n">
        <v>1</v>
      </c>
      <c r="V3295" t="n">
        <v>1</v>
      </c>
      <c r="W3295" t="inlineStr">
        <is>
          <t>2006-03-28</t>
        </is>
      </c>
      <c r="X3295" t="inlineStr">
        <is>
          <t>2006-03-28</t>
        </is>
      </c>
      <c r="Y3295" t="inlineStr">
        <is>
          <t>1995-11-02</t>
        </is>
      </c>
      <c r="Z3295" t="inlineStr">
        <is>
          <t>1995-11-02</t>
        </is>
      </c>
      <c r="AA3295" t="n">
        <v>799</v>
      </c>
      <c r="AB3295" t="n">
        <v>768</v>
      </c>
      <c r="AC3295" t="n">
        <v>778</v>
      </c>
      <c r="AD3295" t="n">
        <v>8</v>
      </c>
      <c r="AE3295" t="n">
        <v>8</v>
      </c>
      <c r="AF3295" t="n">
        <v>4</v>
      </c>
      <c r="AG3295" t="n">
        <v>4</v>
      </c>
      <c r="AH3295" t="n">
        <v>4</v>
      </c>
      <c r="AI3295" t="n">
        <v>4</v>
      </c>
      <c r="AJ3295" t="n">
        <v>0</v>
      </c>
      <c r="AK3295" t="n">
        <v>0</v>
      </c>
      <c r="AL3295" t="n">
        <v>2</v>
      </c>
      <c r="AM3295" t="n">
        <v>2</v>
      </c>
      <c r="AN3295" t="n">
        <v>0</v>
      </c>
      <c r="AO3295" t="n">
        <v>0</v>
      </c>
      <c r="AP3295" t="n">
        <v>0</v>
      </c>
      <c r="AQ3295" t="n">
        <v>0</v>
      </c>
      <c r="AR3295" t="inlineStr">
        <is>
          <t>No</t>
        </is>
      </c>
      <c r="AS3295" t="inlineStr">
        <is>
          <t>No</t>
        </is>
      </c>
      <c r="AU3295">
        <f>HYPERLINK("https://creighton-primo.hosted.exlibrisgroup.com/primo-explore/search?tab=default_tab&amp;search_scope=EVERYTHING&amp;vid=01CRU&amp;lang=en_US&amp;offset=0&amp;query=any,contains,991004579279702656","Catalog Record")</f>
        <v/>
      </c>
      <c r="AV3295">
        <f>HYPERLINK("http://www.worldcat.org/oclc/31518188","WorldCat Record")</f>
        <v/>
      </c>
      <c r="AW3295" t="inlineStr">
        <is>
          <t>3901720536:eng</t>
        </is>
      </c>
      <c r="AX3295" t="inlineStr">
        <is>
          <t>31518188</t>
        </is>
      </c>
      <c r="AY3295" t="inlineStr">
        <is>
          <t>991004579279702656</t>
        </is>
      </c>
      <c r="AZ3295" t="inlineStr">
        <is>
          <t>991004579279702656</t>
        </is>
      </c>
      <c r="BA3295" t="inlineStr">
        <is>
          <t>2269252850002656</t>
        </is>
      </c>
      <c r="BB3295" t="inlineStr">
        <is>
          <t>BOOK</t>
        </is>
      </c>
      <c r="BD3295" t="inlineStr">
        <is>
          <t>9780823411818</t>
        </is>
      </c>
      <c r="BE3295" t="inlineStr">
        <is>
          <t>32285002099363</t>
        </is>
      </c>
      <c r="BF3295" t="inlineStr">
        <is>
          <t>893220907</t>
        </is>
      </c>
    </row>
    <row r="3296">
      <c r="A3296" t="inlineStr">
        <is>
          <t>No</t>
        </is>
      </c>
      <c r="B3296" t="inlineStr">
        <is>
          <t>CURAL</t>
        </is>
      </c>
      <c r="C3296" t="inlineStr">
        <is>
          <t>SHELVES</t>
        </is>
      </c>
      <c r="D3296" t="inlineStr">
        <is>
          <t>PR6031.R7 Z897 2004</t>
        </is>
      </c>
      <c r="E3296" t="inlineStr">
        <is>
          <t>0                      PR 6031000R  7                  Z  897         2004</t>
        </is>
      </c>
      <c r="F3296" t="inlineStr">
        <is>
          <t>V.S. Pritchett : a working life / Jeremy Treglown.</t>
        </is>
      </c>
      <c r="H3296" t="inlineStr">
        <is>
          <t>No</t>
        </is>
      </c>
      <c r="I3296" t="inlineStr">
        <is>
          <t>1</t>
        </is>
      </c>
      <c r="J3296" t="inlineStr">
        <is>
          <t>No</t>
        </is>
      </c>
      <c r="K3296" t="inlineStr">
        <is>
          <t>No</t>
        </is>
      </c>
      <c r="L3296" t="inlineStr">
        <is>
          <t>0</t>
        </is>
      </c>
      <c r="M3296" t="inlineStr">
        <is>
          <t>Treglown, Jeremy.</t>
        </is>
      </c>
      <c r="N3296" t="inlineStr">
        <is>
          <t>New York : Random House, c2004.</t>
        </is>
      </c>
      <c r="O3296" t="inlineStr">
        <is>
          <t>2004</t>
        </is>
      </c>
      <c r="P3296" t="inlineStr">
        <is>
          <t>1st U.S. ed.</t>
        </is>
      </c>
      <c r="Q3296" t="inlineStr">
        <is>
          <t>eng</t>
        </is>
      </c>
      <c r="R3296" t="inlineStr">
        <is>
          <t>nyu</t>
        </is>
      </c>
      <c r="T3296" t="inlineStr">
        <is>
          <t xml:space="preserve">PR </t>
        </is>
      </c>
      <c r="U3296" t="n">
        <v>1</v>
      </c>
      <c r="V3296" t="n">
        <v>1</v>
      </c>
      <c r="W3296" t="inlineStr">
        <is>
          <t>2005-02-28</t>
        </is>
      </c>
      <c r="X3296" t="inlineStr">
        <is>
          <t>2005-02-28</t>
        </is>
      </c>
      <c r="Y3296" t="inlineStr">
        <is>
          <t>2005-02-28</t>
        </is>
      </c>
      <c r="Z3296" t="inlineStr">
        <is>
          <t>2005-02-28</t>
        </is>
      </c>
      <c r="AA3296" t="n">
        <v>489</v>
      </c>
      <c r="AB3296" t="n">
        <v>447</v>
      </c>
      <c r="AC3296" t="n">
        <v>498</v>
      </c>
      <c r="AD3296" t="n">
        <v>5</v>
      </c>
      <c r="AE3296" t="n">
        <v>5</v>
      </c>
      <c r="AF3296" t="n">
        <v>23</v>
      </c>
      <c r="AG3296" t="n">
        <v>23</v>
      </c>
      <c r="AH3296" t="n">
        <v>10</v>
      </c>
      <c r="AI3296" t="n">
        <v>10</v>
      </c>
      <c r="AJ3296" t="n">
        <v>6</v>
      </c>
      <c r="AK3296" t="n">
        <v>6</v>
      </c>
      <c r="AL3296" t="n">
        <v>11</v>
      </c>
      <c r="AM3296" t="n">
        <v>11</v>
      </c>
      <c r="AN3296" t="n">
        <v>4</v>
      </c>
      <c r="AO3296" t="n">
        <v>4</v>
      </c>
      <c r="AP3296" t="n">
        <v>0</v>
      </c>
      <c r="AQ3296" t="n">
        <v>0</v>
      </c>
      <c r="AR3296" t="inlineStr">
        <is>
          <t>No</t>
        </is>
      </c>
      <c r="AS3296" t="inlineStr">
        <is>
          <t>Yes</t>
        </is>
      </c>
      <c r="AT3296">
        <f>HYPERLINK("http://catalog.hathitrust.org/Record/007144906","HathiTrust Record")</f>
        <v/>
      </c>
      <c r="AU3296">
        <f>HYPERLINK("https://creighton-primo.hosted.exlibrisgroup.com/primo-explore/search?tab=default_tab&amp;search_scope=EVERYTHING&amp;vid=01CRU&amp;lang=en_US&amp;offset=0&amp;query=any,contains,991004467739702656","Catalog Record")</f>
        <v/>
      </c>
      <c r="AV3296">
        <f>HYPERLINK("http://www.worldcat.org/oclc/55657702","WorldCat Record")</f>
        <v/>
      </c>
      <c r="AW3296" t="inlineStr">
        <is>
          <t>1008541:eng</t>
        </is>
      </c>
      <c r="AX3296" t="inlineStr">
        <is>
          <t>55657702</t>
        </is>
      </c>
      <c r="AY3296" t="inlineStr">
        <is>
          <t>991004467739702656</t>
        </is>
      </c>
      <c r="AZ3296" t="inlineStr">
        <is>
          <t>991004467739702656</t>
        </is>
      </c>
      <c r="BA3296" t="inlineStr">
        <is>
          <t>2259668550002656</t>
        </is>
      </c>
      <c r="BB3296" t="inlineStr">
        <is>
          <t>BOOK</t>
        </is>
      </c>
      <c r="BD3296" t="inlineStr">
        <is>
          <t>9780375508530</t>
        </is>
      </c>
      <c r="BE3296" t="inlineStr">
        <is>
          <t>32285005027866</t>
        </is>
      </c>
      <c r="BF3296" t="inlineStr">
        <is>
          <t>893430096</t>
        </is>
      </c>
    </row>
    <row r="3297">
      <c r="A3297" t="inlineStr">
        <is>
          <t>No</t>
        </is>
      </c>
      <c r="B3297" t="inlineStr">
        <is>
          <t>CURAL</t>
        </is>
      </c>
      <c r="C3297" t="inlineStr">
        <is>
          <t>SHELVES</t>
        </is>
      </c>
      <c r="D3297" t="inlineStr">
        <is>
          <t>PR6035.H96 Z87 1979</t>
        </is>
      </c>
      <c r="E3297" t="inlineStr">
        <is>
          <t>0                      PR 6035000H  96                 Z  87          1979</t>
        </is>
      </c>
      <c r="F3297" t="inlineStr">
        <is>
          <t>Jean Rhys, a critical study / Thomas F. Staley.</t>
        </is>
      </c>
      <c r="H3297" t="inlineStr">
        <is>
          <t>No</t>
        </is>
      </c>
      <c r="I3297" t="inlineStr">
        <is>
          <t>1</t>
        </is>
      </c>
      <c r="J3297" t="inlineStr">
        <is>
          <t>No</t>
        </is>
      </c>
      <c r="K3297" t="inlineStr">
        <is>
          <t>No</t>
        </is>
      </c>
      <c r="L3297" t="inlineStr">
        <is>
          <t>0</t>
        </is>
      </c>
      <c r="M3297" t="inlineStr">
        <is>
          <t>Staley, Thomas F.</t>
        </is>
      </c>
      <c r="N3297" t="inlineStr">
        <is>
          <t>Austin : University of Texas Press, c1979.</t>
        </is>
      </c>
      <c r="O3297" t="inlineStr">
        <is>
          <t>1979</t>
        </is>
      </c>
      <c r="Q3297" t="inlineStr">
        <is>
          <t>eng</t>
        </is>
      </c>
      <c r="R3297" t="inlineStr">
        <is>
          <t>txu</t>
        </is>
      </c>
      <c r="T3297" t="inlineStr">
        <is>
          <t xml:space="preserve">PR </t>
        </is>
      </c>
      <c r="U3297" t="n">
        <v>2</v>
      </c>
      <c r="V3297" t="n">
        <v>2</v>
      </c>
      <c r="W3297" t="inlineStr">
        <is>
          <t>1994-11-15</t>
        </is>
      </c>
      <c r="X3297" t="inlineStr">
        <is>
          <t>1994-11-15</t>
        </is>
      </c>
      <c r="Y3297" t="inlineStr">
        <is>
          <t>1992-07-20</t>
        </is>
      </c>
      <c r="Z3297" t="inlineStr">
        <is>
          <t>1992-07-20</t>
        </is>
      </c>
      <c r="AA3297" t="n">
        <v>583</v>
      </c>
      <c r="AB3297" t="n">
        <v>526</v>
      </c>
      <c r="AC3297" t="n">
        <v>574</v>
      </c>
      <c r="AD3297" t="n">
        <v>5</v>
      </c>
      <c r="AE3297" t="n">
        <v>6</v>
      </c>
      <c r="AF3297" t="n">
        <v>28</v>
      </c>
      <c r="AG3297" t="n">
        <v>30</v>
      </c>
      <c r="AH3297" t="n">
        <v>10</v>
      </c>
      <c r="AI3297" t="n">
        <v>10</v>
      </c>
      <c r="AJ3297" t="n">
        <v>8</v>
      </c>
      <c r="AK3297" t="n">
        <v>8</v>
      </c>
      <c r="AL3297" t="n">
        <v>16</v>
      </c>
      <c r="AM3297" t="n">
        <v>17</v>
      </c>
      <c r="AN3297" t="n">
        <v>4</v>
      </c>
      <c r="AO3297" t="n">
        <v>5</v>
      </c>
      <c r="AP3297" t="n">
        <v>0</v>
      </c>
      <c r="AQ3297" t="n">
        <v>0</v>
      </c>
      <c r="AR3297" t="inlineStr">
        <is>
          <t>No</t>
        </is>
      </c>
      <c r="AS3297" t="inlineStr">
        <is>
          <t>No</t>
        </is>
      </c>
      <c r="AU3297">
        <f>HYPERLINK("https://creighton-primo.hosted.exlibrisgroup.com/primo-explore/search?tab=default_tab&amp;search_scope=EVERYTHING&amp;vid=01CRU&amp;lang=en_US&amp;offset=0&amp;query=any,contains,991004980499702656","Catalog Record")</f>
        <v/>
      </c>
      <c r="AV3297">
        <f>HYPERLINK("http://www.worldcat.org/oclc/6421783","WorldCat Record")</f>
        <v/>
      </c>
      <c r="AW3297" t="inlineStr">
        <is>
          <t>433197:eng</t>
        </is>
      </c>
      <c r="AX3297" t="inlineStr">
        <is>
          <t>6421783</t>
        </is>
      </c>
      <c r="AY3297" t="inlineStr">
        <is>
          <t>991004980499702656</t>
        </is>
      </c>
      <c r="AZ3297" t="inlineStr">
        <is>
          <t>991004980499702656</t>
        </is>
      </c>
      <c r="BA3297" t="inlineStr">
        <is>
          <t>2270384670002656</t>
        </is>
      </c>
      <c r="BB3297" t="inlineStr">
        <is>
          <t>BOOK</t>
        </is>
      </c>
      <c r="BD3297" t="inlineStr">
        <is>
          <t>9780292740143</t>
        </is>
      </c>
      <c r="BE3297" t="inlineStr">
        <is>
          <t>32285001201143</t>
        </is>
      </c>
      <c r="BF3297" t="inlineStr">
        <is>
          <t>893436983</t>
        </is>
      </c>
    </row>
    <row r="3298">
      <c r="A3298" t="inlineStr">
        <is>
          <t>No</t>
        </is>
      </c>
      <c r="B3298" t="inlineStr">
        <is>
          <t>CURAL</t>
        </is>
      </c>
      <c r="C3298" t="inlineStr">
        <is>
          <t>SHELVES</t>
        </is>
      </c>
      <c r="D3298" t="inlineStr">
        <is>
          <t>PR6035.H96 Z94</t>
        </is>
      </c>
      <c r="E3298" t="inlineStr">
        <is>
          <t>0                      PR 6035000H  96                 Z  94</t>
        </is>
      </c>
      <c r="F3298" t="inlineStr">
        <is>
          <t>Jean Rhys / by Peter Wolfe.</t>
        </is>
      </c>
      <c r="H3298" t="inlineStr">
        <is>
          <t>No</t>
        </is>
      </c>
      <c r="I3298" t="inlineStr">
        <is>
          <t>1</t>
        </is>
      </c>
      <c r="J3298" t="inlineStr">
        <is>
          <t>No</t>
        </is>
      </c>
      <c r="K3298" t="inlineStr">
        <is>
          <t>No</t>
        </is>
      </c>
      <c r="L3298" t="inlineStr">
        <is>
          <t>0</t>
        </is>
      </c>
      <c r="M3298" t="inlineStr">
        <is>
          <t>Wolfe, Peter, 1933-</t>
        </is>
      </c>
      <c r="N3298" t="inlineStr">
        <is>
          <t>Boston : Twayne Publishers, 1980.</t>
        </is>
      </c>
      <c r="O3298" t="inlineStr">
        <is>
          <t>1980</t>
        </is>
      </c>
      <c r="Q3298" t="inlineStr">
        <is>
          <t>eng</t>
        </is>
      </c>
      <c r="R3298" t="inlineStr">
        <is>
          <t>mau</t>
        </is>
      </c>
      <c r="S3298" t="inlineStr">
        <is>
          <t>Twayne's English authors series ; TEAS 294</t>
        </is>
      </c>
      <c r="T3298" t="inlineStr">
        <is>
          <t xml:space="preserve">PR </t>
        </is>
      </c>
      <c r="U3298" t="n">
        <v>2</v>
      </c>
      <c r="V3298" t="n">
        <v>2</v>
      </c>
      <c r="W3298" t="inlineStr">
        <is>
          <t>1994-11-15</t>
        </is>
      </c>
      <c r="X3298" t="inlineStr">
        <is>
          <t>1994-11-15</t>
        </is>
      </c>
      <c r="Y3298" t="inlineStr">
        <is>
          <t>1992-07-20</t>
        </is>
      </c>
      <c r="Z3298" t="inlineStr">
        <is>
          <t>1992-07-20</t>
        </is>
      </c>
      <c r="AA3298" t="n">
        <v>609</v>
      </c>
      <c r="AB3298" t="n">
        <v>525</v>
      </c>
      <c r="AC3298" t="n">
        <v>529</v>
      </c>
      <c r="AD3298" t="n">
        <v>5</v>
      </c>
      <c r="AE3298" t="n">
        <v>5</v>
      </c>
      <c r="AF3298" t="n">
        <v>20</v>
      </c>
      <c r="AG3298" t="n">
        <v>20</v>
      </c>
      <c r="AH3298" t="n">
        <v>8</v>
      </c>
      <c r="AI3298" t="n">
        <v>8</v>
      </c>
      <c r="AJ3298" t="n">
        <v>3</v>
      </c>
      <c r="AK3298" t="n">
        <v>3</v>
      </c>
      <c r="AL3298" t="n">
        <v>11</v>
      </c>
      <c r="AM3298" t="n">
        <v>11</v>
      </c>
      <c r="AN3298" t="n">
        <v>4</v>
      </c>
      <c r="AO3298" t="n">
        <v>4</v>
      </c>
      <c r="AP3298" t="n">
        <v>0</v>
      </c>
      <c r="AQ3298" t="n">
        <v>0</v>
      </c>
      <c r="AR3298" t="inlineStr">
        <is>
          <t>No</t>
        </is>
      </c>
      <c r="AS3298" t="inlineStr">
        <is>
          <t>Yes</t>
        </is>
      </c>
      <c r="AT3298">
        <f>HYPERLINK("http://catalog.hathitrust.org/Record/000742320","HathiTrust Record")</f>
        <v/>
      </c>
      <c r="AU3298">
        <f>HYPERLINK("https://creighton-primo.hosted.exlibrisgroup.com/primo-explore/search?tab=default_tab&amp;search_scope=EVERYTHING&amp;vid=01CRU&amp;lang=en_US&amp;offset=0&amp;query=any,contains,991004902719702656","Catalog Record")</f>
        <v/>
      </c>
      <c r="AV3298">
        <f>HYPERLINK("http://www.worldcat.org/oclc/5941824","WorldCat Record")</f>
        <v/>
      </c>
      <c r="AW3298" t="inlineStr">
        <is>
          <t>461546:eng</t>
        </is>
      </c>
      <c r="AX3298" t="inlineStr">
        <is>
          <t>5941824</t>
        </is>
      </c>
      <c r="AY3298" t="inlineStr">
        <is>
          <t>991004902719702656</t>
        </is>
      </c>
      <c r="AZ3298" t="inlineStr">
        <is>
          <t>991004902719702656</t>
        </is>
      </c>
      <c r="BA3298" t="inlineStr">
        <is>
          <t>2270277100002656</t>
        </is>
      </c>
      <c r="BB3298" t="inlineStr">
        <is>
          <t>BOOK</t>
        </is>
      </c>
      <c r="BD3298" t="inlineStr">
        <is>
          <t>9780805766981</t>
        </is>
      </c>
      <c r="BE3298" t="inlineStr">
        <is>
          <t>32285001201150</t>
        </is>
      </c>
      <c r="BF3298" t="inlineStr">
        <is>
          <t>893501068</t>
        </is>
      </c>
    </row>
    <row r="3299">
      <c r="A3299" t="inlineStr">
        <is>
          <t>No</t>
        </is>
      </c>
      <c r="B3299" t="inlineStr">
        <is>
          <t>CURAL</t>
        </is>
      </c>
      <c r="C3299" t="inlineStr">
        <is>
          <t>SHELVES</t>
        </is>
      </c>
      <c r="D3299" t="inlineStr">
        <is>
          <t>PR6035.U7 Z576</t>
        </is>
      </c>
      <c r="E3299" t="inlineStr">
        <is>
          <t>0                      PR 6035000U  7                  Z  576</t>
        </is>
      </c>
      <c r="F3299" t="inlineStr">
        <is>
          <t>George William Russell ("AE") / by Robert Bernard Davis.</t>
        </is>
      </c>
      <c r="H3299" t="inlineStr">
        <is>
          <t>No</t>
        </is>
      </c>
      <c r="I3299" t="inlineStr">
        <is>
          <t>1</t>
        </is>
      </c>
      <c r="J3299" t="inlineStr">
        <is>
          <t>No</t>
        </is>
      </c>
      <c r="K3299" t="inlineStr">
        <is>
          <t>No</t>
        </is>
      </c>
      <c r="L3299" t="inlineStr">
        <is>
          <t>0</t>
        </is>
      </c>
      <c r="M3299" t="inlineStr">
        <is>
          <t>Davis, Robert Bernard, 1917-</t>
        </is>
      </c>
      <c r="N3299" t="inlineStr">
        <is>
          <t>Boston : Twayne Publishers, c1977.</t>
        </is>
      </c>
      <c r="O3299" t="inlineStr">
        <is>
          <t>1977</t>
        </is>
      </c>
      <c r="Q3299" t="inlineStr">
        <is>
          <t>eng</t>
        </is>
      </c>
      <c r="R3299" t="inlineStr">
        <is>
          <t>mau</t>
        </is>
      </c>
      <c r="S3299" t="inlineStr">
        <is>
          <t>Twayne's English authors series ; TEAS 208</t>
        </is>
      </c>
      <c r="T3299" t="inlineStr">
        <is>
          <t xml:space="preserve">PR </t>
        </is>
      </c>
      <c r="U3299" t="n">
        <v>1</v>
      </c>
      <c r="V3299" t="n">
        <v>1</v>
      </c>
      <c r="W3299" t="inlineStr">
        <is>
          <t>2004-10-12</t>
        </is>
      </c>
      <c r="X3299" t="inlineStr">
        <is>
          <t>2004-10-12</t>
        </is>
      </c>
      <c r="Y3299" t="inlineStr">
        <is>
          <t>1992-07-20</t>
        </is>
      </c>
      <c r="Z3299" t="inlineStr">
        <is>
          <t>1992-07-20</t>
        </is>
      </c>
      <c r="AA3299" t="n">
        <v>600</v>
      </c>
      <c r="AB3299" t="n">
        <v>547</v>
      </c>
      <c r="AC3299" t="n">
        <v>566</v>
      </c>
      <c r="AD3299" t="n">
        <v>7</v>
      </c>
      <c r="AE3299" t="n">
        <v>7</v>
      </c>
      <c r="AF3299" t="n">
        <v>30</v>
      </c>
      <c r="AG3299" t="n">
        <v>31</v>
      </c>
      <c r="AH3299" t="n">
        <v>9</v>
      </c>
      <c r="AI3299" t="n">
        <v>10</v>
      </c>
      <c r="AJ3299" t="n">
        <v>9</v>
      </c>
      <c r="AK3299" t="n">
        <v>9</v>
      </c>
      <c r="AL3299" t="n">
        <v>15</v>
      </c>
      <c r="AM3299" t="n">
        <v>15</v>
      </c>
      <c r="AN3299" t="n">
        <v>6</v>
      </c>
      <c r="AO3299" t="n">
        <v>6</v>
      </c>
      <c r="AP3299" t="n">
        <v>0</v>
      </c>
      <c r="AQ3299" t="n">
        <v>0</v>
      </c>
      <c r="AR3299" t="inlineStr">
        <is>
          <t>No</t>
        </is>
      </c>
      <c r="AS3299" t="inlineStr">
        <is>
          <t>Yes</t>
        </is>
      </c>
      <c r="AT3299">
        <f>HYPERLINK("http://catalog.hathitrust.org/Record/000738326","HathiTrust Record")</f>
        <v/>
      </c>
      <c r="AU3299">
        <f>HYPERLINK("https://creighton-primo.hosted.exlibrisgroup.com/primo-explore/search?tab=default_tab&amp;search_scope=EVERYTHING&amp;vid=01CRU&amp;lang=en_US&amp;offset=0&amp;query=any,contains,991004281119702656","Catalog Record")</f>
        <v/>
      </c>
      <c r="AV3299">
        <f>HYPERLINK("http://www.worldcat.org/oclc/2911042","WorldCat Record")</f>
        <v/>
      </c>
      <c r="AW3299" t="inlineStr">
        <is>
          <t>6499279:eng</t>
        </is>
      </c>
      <c r="AX3299" t="inlineStr">
        <is>
          <t>2911042</t>
        </is>
      </c>
      <c r="AY3299" t="inlineStr">
        <is>
          <t>991004281119702656</t>
        </is>
      </c>
      <c r="AZ3299" t="inlineStr">
        <is>
          <t>991004281119702656</t>
        </is>
      </c>
      <c r="BA3299" t="inlineStr">
        <is>
          <t>2266344320002656</t>
        </is>
      </c>
      <c r="BB3299" t="inlineStr">
        <is>
          <t>BOOK</t>
        </is>
      </c>
      <c r="BE3299" t="inlineStr">
        <is>
          <t>32285001201291</t>
        </is>
      </c>
      <c r="BF3299" t="inlineStr">
        <is>
          <t>893417432</t>
        </is>
      </c>
    </row>
    <row r="3300">
      <c r="A3300" t="inlineStr">
        <is>
          <t>No</t>
        </is>
      </c>
      <c r="B3300" t="inlineStr">
        <is>
          <t>CURAL</t>
        </is>
      </c>
      <c r="C3300" t="inlineStr">
        <is>
          <t>SHELVES</t>
        </is>
      </c>
      <c r="D3300" t="inlineStr">
        <is>
          <t>PR6035.U7 Z6 1970</t>
        </is>
      </c>
      <c r="E3300" t="inlineStr">
        <is>
          <t>0                      PR 6035000U  7                  Z  6           1970</t>
        </is>
      </c>
      <c r="F3300" t="inlineStr">
        <is>
          <t>Æ, George W. Russell; a study of a man and a nation.</t>
        </is>
      </c>
      <c r="H3300" t="inlineStr">
        <is>
          <t>No</t>
        </is>
      </c>
      <c r="I3300" t="inlineStr">
        <is>
          <t>1</t>
        </is>
      </c>
      <c r="J3300" t="inlineStr">
        <is>
          <t>No</t>
        </is>
      </c>
      <c r="K3300" t="inlineStr">
        <is>
          <t>No</t>
        </is>
      </c>
      <c r="L3300" t="inlineStr">
        <is>
          <t>0</t>
        </is>
      </c>
      <c r="M3300" t="inlineStr">
        <is>
          <t>Figgis, Darrell, 1882-1925.</t>
        </is>
      </c>
      <c r="N3300" t="inlineStr">
        <is>
          <t>Port Washington, N.Y., Kennikat Press [1970]</t>
        </is>
      </c>
      <c r="O3300" t="inlineStr">
        <is>
          <t>1970</t>
        </is>
      </c>
      <c r="Q3300" t="inlineStr">
        <is>
          <t>eng</t>
        </is>
      </c>
      <c r="R3300" t="inlineStr">
        <is>
          <t>nyu</t>
        </is>
      </c>
      <c r="S3300" t="inlineStr">
        <is>
          <t>Kennikat Press scholarly reprints</t>
        </is>
      </c>
      <c r="T3300" t="inlineStr">
        <is>
          <t xml:space="preserve">PR </t>
        </is>
      </c>
      <c r="U3300" t="n">
        <v>1</v>
      </c>
      <c r="V3300" t="n">
        <v>1</v>
      </c>
      <c r="W3300" t="inlineStr">
        <is>
          <t>2004-10-12</t>
        </is>
      </c>
      <c r="X3300" t="inlineStr">
        <is>
          <t>2004-10-12</t>
        </is>
      </c>
      <c r="Y3300" t="inlineStr">
        <is>
          <t>1997-04-18</t>
        </is>
      </c>
      <c r="Z3300" t="inlineStr">
        <is>
          <t>1997-04-18</t>
        </is>
      </c>
      <c r="AA3300" t="n">
        <v>145</v>
      </c>
      <c r="AB3300" t="n">
        <v>134</v>
      </c>
      <c r="AC3300" t="n">
        <v>296</v>
      </c>
      <c r="AD3300" t="n">
        <v>2</v>
      </c>
      <c r="AE3300" t="n">
        <v>2</v>
      </c>
      <c r="AF3300" t="n">
        <v>8</v>
      </c>
      <c r="AG3300" t="n">
        <v>17</v>
      </c>
      <c r="AH3300" t="n">
        <v>2</v>
      </c>
      <c r="AI3300" t="n">
        <v>6</v>
      </c>
      <c r="AJ3300" t="n">
        <v>1</v>
      </c>
      <c r="AK3300" t="n">
        <v>5</v>
      </c>
      <c r="AL3300" t="n">
        <v>5</v>
      </c>
      <c r="AM3300" t="n">
        <v>11</v>
      </c>
      <c r="AN3300" t="n">
        <v>1</v>
      </c>
      <c r="AO3300" t="n">
        <v>1</v>
      </c>
      <c r="AP3300" t="n">
        <v>0</v>
      </c>
      <c r="AQ3300" t="n">
        <v>0</v>
      </c>
      <c r="AR3300" t="inlineStr">
        <is>
          <t>No</t>
        </is>
      </c>
      <c r="AS3300" t="inlineStr">
        <is>
          <t>No</t>
        </is>
      </c>
      <c r="AU3300">
        <f>HYPERLINK("https://creighton-primo.hosted.exlibrisgroup.com/primo-explore/search?tab=default_tab&amp;search_scope=EVERYTHING&amp;vid=01CRU&amp;lang=en_US&amp;offset=0&amp;query=any,contains,991000122489702656","Catalog Record")</f>
        <v/>
      </c>
      <c r="AV3300">
        <f>HYPERLINK("http://www.worldcat.org/oclc/50684","WorldCat Record")</f>
        <v/>
      </c>
      <c r="AW3300" t="inlineStr">
        <is>
          <t>1424044:eng</t>
        </is>
      </c>
      <c r="AX3300" t="inlineStr">
        <is>
          <t>50684</t>
        </is>
      </c>
      <c r="AY3300" t="inlineStr">
        <is>
          <t>991000122489702656</t>
        </is>
      </c>
      <c r="AZ3300" t="inlineStr">
        <is>
          <t>991000122489702656</t>
        </is>
      </c>
      <c r="BA3300" t="inlineStr">
        <is>
          <t>2255764980002656</t>
        </is>
      </c>
      <c r="BB3300" t="inlineStr">
        <is>
          <t>BOOK</t>
        </is>
      </c>
      <c r="BD3300" t="inlineStr">
        <is>
          <t>9780804607780</t>
        </is>
      </c>
      <c r="BE3300" t="inlineStr">
        <is>
          <t>32285002577798</t>
        </is>
      </c>
      <c r="BF3300" t="inlineStr">
        <is>
          <t>893613923</t>
        </is>
      </c>
    </row>
    <row r="3301">
      <c r="A3301" t="inlineStr">
        <is>
          <t>No</t>
        </is>
      </c>
      <c r="B3301" t="inlineStr">
        <is>
          <t>CURAL</t>
        </is>
      </c>
      <c r="C3301" t="inlineStr">
        <is>
          <t>SHELVES</t>
        </is>
      </c>
      <c r="D3301" t="inlineStr">
        <is>
          <t>PR6035.U7 Z7</t>
        </is>
      </c>
      <c r="E3301" t="inlineStr">
        <is>
          <t>0                      PR 6035000U  7                  Z  7</t>
        </is>
      </c>
      <c r="F3301" t="inlineStr">
        <is>
          <t>A memoir of AE, George William Russell, by John Eglinton [pseud.]</t>
        </is>
      </c>
      <c r="H3301" t="inlineStr">
        <is>
          <t>No</t>
        </is>
      </c>
      <c r="I3301" t="inlineStr">
        <is>
          <t>1</t>
        </is>
      </c>
      <c r="J3301" t="inlineStr">
        <is>
          <t>No</t>
        </is>
      </c>
      <c r="K3301" t="inlineStr">
        <is>
          <t>No</t>
        </is>
      </c>
      <c r="L3301" t="inlineStr">
        <is>
          <t>0</t>
        </is>
      </c>
      <c r="M3301" t="inlineStr">
        <is>
          <t>Magee, William Kirkpatrick.</t>
        </is>
      </c>
      <c r="N3301" t="inlineStr">
        <is>
          <t>London, Macmillan &amp; Co., Ltd., 1937.</t>
        </is>
      </c>
      <c r="O3301" t="inlineStr">
        <is>
          <t>1937</t>
        </is>
      </c>
      <c r="Q3301" t="inlineStr">
        <is>
          <t>eng</t>
        </is>
      </c>
      <c r="R3301" t="inlineStr">
        <is>
          <t>enk</t>
        </is>
      </c>
      <c r="T3301" t="inlineStr">
        <is>
          <t xml:space="preserve">PR </t>
        </is>
      </c>
      <c r="U3301" t="n">
        <v>1</v>
      </c>
      <c r="V3301" t="n">
        <v>1</v>
      </c>
      <c r="W3301" t="inlineStr">
        <is>
          <t>2004-10-13</t>
        </is>
      </c>
      <c r="X3301" t="inlineStr">
        <is>
          <t>2004-10-13</t>
        </is>
      </c>
      <c r="Y3301" t="inlineStr">
        <is>
          <t>1997-04-18</t>
        </is>
      </c>
      <c r="Z3301" t="inlineStr">
        <is>
          <t>1997-04-18</t>
        </is>
      </c>
      <c r="AA3301" t="n">
        <v>388</v>
      </c>
      <c r="AB3301" t="n">
        <v>324</v>
      </c>
      <c r="AC3301" t="n">
        <v>332</v>
      </c>
      <c r="AD3301" t="n">
        <v>1</v>
      </c>
      <c r="AE3301" t="n">
        <v>1</v>
      </c>
      <c r="AF3301" t="n">
        <v>18</v>
      </c>
      <c r="AG3301" t="n">
        <v>18</v>
      </c>
      <c r="AH3301" t="n">
        <v>6</v>
      </c>
      <c r="AI3301" t="n">
        <v>6</v>
      </c>
      <c r="AJ3301" t="n">
        <v>5</v>
      </c>
      <c r="AK3301" t="n">
        <v>5</v>
      </c>
      <c r="AL3301" t="n">
        <v>11</v>
      </c>
      <c r="AM3301" t="n">
        <v>11</v>
      </c>
      <c r="AN3301" t="n">
        <v>0</v>
      </c>
      <c r="AO3301" t="n">
        <v>0</v>
      </c>
      <c r="AP3301" t="n">
        <v>0</v>
      </c>
      <c r="AQ3301" t="n">
        <v>0</v>
      </c>
      <c r="AR3301" t="inlineStr">
        <is>
          <t>No</t>
        </is>
      </c>
      <c r="AS3301" t="inlineStr">
        <is>
          <t>Yes</t>
        </is>
      </c>
      <c r="AT3301">
        <f>HYPERLINK("http://catalog.hathitrust.org/Record/001377691","HathiTrust Record")</f>
        <v/>
      </c>
      <c r="AU3301">
        <f>HYPERLINK("https://creighton-primo.hosted.exlibrisgroup.com/primo-explore/search?tab=default_tab&amp;search_scope=EVERYTHING&amp;vid=01CRU&amp;lang=en_US&amp;offset=0&amp;query=any,contains,991002261009702656","Catalog Record")</f>
        <v/>
      </c>
      <c r="AV3301">
        <f>HYPERLINK("http://www.worldcat.org/oclc/304165","WorldCat Record")</f>
        <v/>
      </c>
      <c r="AW3301" t="inlineStr">
        <is>
          <t>137879511:eng</t>
        </is>
      </c>
      <c r="AX3301" t="inlineStr">
        <is>
          <t>304165</t>
        </is>
      </c>
      <c r="AY3301" t="inlineStr">
        <is>
          <t>991002261009702656</t>
        </is>
      </c>
      <c r="AZ3301" t="inlineStr">
        <is>
          <t>991002261009702656</t>
        </is>
      </c>
      <c r="BA3301" t="inlineStr">
        <is>
          <t>2271197360002656</t>
        </is>
      </c>
      <c r="BB3301" t="inlineStr">
        <is>
          <t>BOOK</t>
        </is>
      </c>
      <c r="BE3301" t="inlineStr">
        <is>
          <t>32285002577806</t>
        </is>
      </c>
      <c r="BF3301" t="inlineStr">
        <is>
          <t>893439958</t>
        </is>
      </c>
    </row>
    <row r="3302">
      <c r="A3302" t="inlineStr">
        <is>
          <t>No</t>
        </is>
      </c>
      <c r="B3302" t="inlineStr">
        <is>
          <t>CURAL</t>
        </is>
      </c>
      <c r="C3302" t="inlineStr">
        <is>
          <t>SHELVES</t>
        </is>
      </c>
      <c r="D3302" t="inlineStr">
        <is>
          <t>PR6035.U7 Z83 1975b</t>
        </is>
      </c>
      <c r="E3302" t="inlineStr">
        <is>
          <t>0                      PR 6035000U  7                  Z  83          1975b</t>
        </is>
      </c>
      <c r="F3302" t="inlineStr">
        <is>
          <t>That myriad-minded man : a biography of George William Russell "A.E.", 1867-1935 / [by] Henry Summerfield.</t>
        </is>
      </c>
      <c r="H3302" t="inlineStr">
        <is>
          <t>No</t>
        </is>
      </c>
      <c r="I3302" t="inlineStr">
        <is>
          <t>1</t>
        </is>
      </c>
      <c r="J3302" t="inlineStr">
        <is>
          <t>No</t>
        </is>
      </c>
      <c r="K3302" t="inlineStr">
        <is>
          <t>No</t>
        </is>
      </c>
      <c r="L3302" t="inlineStr">
        <is>
          <t>0</t>
        </is>
      </c>
      <c r="M3302" t="inlineStr">
        <is>
          <t>Summerfield, Henry.</t>
        </is>
      </c>
      <c r="N3302" t="inlineStr">
        <is>
          <t>Gerrards Cross : Smythe ; Chester Springs, PA : U.S. dist. Dufour Editions, 1975.</t>
        </is>
      </c>
      <c r="O3302" t="inlineStr">
        <is>
          <t>1975</t>
        </is>
      </c>
      <c r="Q3302" t="inlineStr">
        <is>
          <t>eng</t>
        </is>
      </c>
      <c r="R3302" t="inlineStr">
        <is>
          <t>enk</t>
        </is>
      </c>
      <c r="T3302" t="inlineStr">
        <is>
          <t xml:space="preserve">PR </t>
        </is>
      </c>
      <c r="U3302" t="n">
        <v>1</v>
      </c>
      <c r="V3302" t="n">
        <v>1</v>
      </c>
      <c r="W3302" t="inlineStr">
        <is>
          <t>2004-10-13</t>
        </is>
      </c>
      <c r="X3302" t="inlineStr">
        <is>
          <t>2004-10-13</t>
        </is>
      </c>
      <c r="Y3302" t="inlineStr">
        <is>
          <t>1990-05-17</t>
        </is>
      </c>
      <c r="Z3302" t="inlineStr">
        <is>
          <t>1990-05-17</t>
        </is>
      </c>
      <c r="AA3302" t="n">
        <v>214</v>
      </c>
      <c r="AB3302" t="n">
        <v>105</v>
      </c>
      <c r="AC3302" t="n">
        <v>447</v>
      </c>
      <c r="AD3302" t="n">
        <v>2</v>
      </c>
      <c r="AE3302" t="n">
        <v>6</v>
      </c>
      <c r="AF3302" t="n">
        <v>10</v>
      </c>
      <c r="AG3302" t="n">
        <v>25</v>
      </c>
      <c r="AH3302" t="n">
        <v>4</v>
      </c>
      <c r="AI3302" t="n">
        <v>7</v>
      </c>
      <c r="AJ3302" t="n">
        <v>3</v>
      </c>
      <c r="AK3302" t="n">
        <v>8</v>
      </c>
      <c r="AL3302" t="n">
        <v>7</v>
      </c>
      <c r="AM3302" t="n">
        <v>11</v>
      </c>
      <c r="AN3302" t="n">
        <v>1</v>
      </c>
      <c r="AO3302" t="n">
        <v>5</v>
      </c>
      <c r="AP3302" t="n">
        <v>0</v>
      </c>
      <c r="AQ3302" t="n">
        <v>0</v>
      </c>
      <c r="AR3302" t="inlineStr">
        <is>
          <t>No</t>
        </is>
      </c>
      <c r="AS3302" t="inlineStr">
        <is>
          <t>Yes</t>
        </is>
      </c>
      <c r="AT3302">
        <f>HYPERLINK("http://catalog.hathitrust.org/Record/000704932","HathiTrust Record")</f>
        <v/>
      </c>
      <c r="AU3302">
        <f>HYPERLINK("https://creighton-primo.hosted.exlibrisgroup.com/primo-explore/search?tab=default_tab&amp;search_scope=EVERYTHING&amp;vid=01CRU&amp;lang=en_US&amp;offset=0&amp;query=any,contains,991004298039702656","Catalog Record")</f>
        <v/>
      </c>
      <c r="AV3302">
        <f>HYPERLINK("http://www.worldcat.org/oclc/2966487","WorldCat Record")</f>
        <v/>
      </c>
      <c r="AW3302" t="inlineStr">
        <is>
          <t>1698873:eng</t>
        </is>
      </c>
      <c r="AX3302" t="inlineStr">
        <is>
          <t>2966487</t>
        </is>
      </c>
      <c r="AY3302" t="inlineStr">
        <is>
          <t>991004298039702656</t>
        </is>
      </c>
      <c r="AZ3302" t="inlineStr">
        <is>
          <t>991004298039702656</t>
        </is>
      </c>
      <c r="BA3302" t="inlineStr">
        <is>
          <t>2267334080002656</t>
        </is>
      </c>
      <c r="BB3302" t="inlineStr">
        <is>
          <t>BOOK</t>
        </is>
      </c>
      <c r="BD3302" t="inlineStr">
        <is>
          <t>9780900675690</t>
        </is>
      </c>
      <c r="BE3302" t="inlineStr">
        <is>
          <t>32285000137660</t>
        </is>
      </c>
      <c r="BF3302" t="inlineStr">
        <is>
          <t>893229180</t>
        </is>
      </c>
    </row>
    <row r="3303">
      <c r="A3303" t="inlineStr">
        <is>
          <t>No</t>
        </is>
      </c>
      <c r="B3303" t="inlineStr">
        <is>
          <t>CURAL</t>
        </is>
      </c>
      <c r="C3303" t="inlineStr">
        <is>
          <t>SHELVES</t>
        </is>
      </c>
      <c r="D3303" t="inlineStr">
        <is>
          <t>PR6037.A35 Z84 1993</t>
        </is>
      </c>
      <c r="E3303" t="inlineStr">
        <is>
          <t>0                      PR 6037000A  35                 Z  84          1993</t>
        </is>
      </c>
      <c r="F3303" t="inlineStr">
        <is>
          <t>Vita and Virginia : the work and friendship of V. Sackville-West and Virginia Woolf / Suzanne Raitt.</t>
        </is>
      </c>
      <c r="H3303" t="inlineStr">
        <is>
          <t>No</t>
        </is>
      </c>
      <c r="I3303" t="inlineStr">
        <is>
          <t>1</t>
        </is>
      </c>
      <c r="J3303" t="inlineStr">
        <is>
          <t>No</t>
        </is>
      </c>
      <c r="K3303" t="inlineStr">
        <is>
          <t>No</t>
        </is>
      </c>
      <c r="L3303" t="inlineStr">
        <is>
          <t>0</t>
        </is>
      </c>
      <c r="M3303" t="inlineStr">
        <is>
          <t>Raitt, Suzanne.</t>
        </is>
      </c>
      <c r="N3303" t="inlineStr">
        <is>
          <t>Oxford : Clarendon Press ; Oxford ; New York : Oxford University Press, 1993.</t>
        </is>
      </c>
      <c r="O3303" t="inlineStr">
        <is>
          <t>1993</t>
        </is>
      </c>
      <c r="Q3303" t="inlineStr">
        <is>
          <t>eng</t>
        </is>
      </c>
      <c r="R3303" t="inlineStr">
        <is>
          <t>enk</t>
        </is>
      </c>
      <c r="T3303" t="inlineStr">
        <is>
          <t xml:space="preserve">PR </t>
        </is>
      </c>
      <c r="U3303" t="n">
        <v>1</v>
      </c>
      <c r="V3303" t="n">
        <v>1</v>
      </c>
      <c r="W3303" t="inlineStr">
        <is>
          <t>2003-10-03</t>
        </is>
      </c>
      <c r="X3303" t="inlineStr">
        <is>
          <t>2003-10-03</t>
        </is>
      </c>
      <c r="Y3303" t="inlineStr">
        <is>
          <t>1995-05-15</t>
        </is>
      </c>
      <c r="Z3303" t="inlineStr">
        <is>
          <t>1995-05-15</t>
        </is>
      </c>
      <c r="AA3303" t="n">
        <v>497</v>
      </c>
      <c r="AB3303" t="n">
        <v>322</v>
      </c>
      <c r="AC3303" t="n">
        <v>329</v>
      </c>
      <c r="AD3303" t="n">
        <v>3</v>
      </c>
      <c r="AE3303" t="n">
        <v>3</v>
      </c>
      <c r="AF3303" t="n">
        <v>19</v>
      </c>
      <c r="AG3303" t="n">
        <v>19</v>
      </c>
      <c r="AH3303" t="n">
        <v>6</v>
      </c>
      <c r="AI3303" t="n">
        <v>6</v>
      </c>
      <c r="AJ3303" t="n">
        <v>5</v>
      </c>
      <c r="AK3303" t="n">
        <v>5</v>
      </c>
      <c r="AL3303" t="n">
        <v>12</v>
      </c>
      <c r="AM3303" t="n">
        <v>12</v>
      </c>
      <c r="AN3303" t="n">
        <v>2</v>
      </c>
      <c r="AO3303" t="n">
        <v>2</v>
      </c>
      <c r="AP3303" t="n">
        <v>0</v>
      </c>
      <c r="AQ3303" t="n">
        <v>0</v>
      </c>
      <c r="AR3303" t="inlineStr">
        <is>
          <t>No</t>
        </is>
      </c>
      <c r="AS3303" t="inlineStr">
        <is>
          <t>Yes</t>
        </is>
      </c>
      <c r="AT3303">
        <f>HYPERLINK("http://catalog.hathitrust.org/Record/002620329","HathiTrust Record")</f>
        <v/>
      </c>
      <c r="AU3303">
        <f>HYPERLINK("https://creighton-primo.hosted.exlibrisgroup.com/primo-explore/search?tab=default_tab&amp;search_scope=EVERYTHING&amp;vid=01CRU&amp;lang=en_US&amp;offset=0&amp;query=any,contains,991002038349702656","Catalog Record")</f>
        <v/>
      </c>
      <c r="AV3303">
        <f>HYPERLINK("http://www.worldcat.org/oclc/26012598","WorldCat Record")</f>
        <v/>
      </c>
      <c r="AW3303" t="inlineStr">
        <is>
          <t>365182053:eng</t>
        </is>
      </c>
      <c r="AX3303" t="inlineStr">
        <is>
          <t>26012598</t>
        </is>
      </c>
      <c r="AY3303" t="inlineStr">
        <is>
          <t>991002038349702656</t>
        </is>
      </c>
      <c r="AZ3303" t="inlineStr">
        <is>
          <t>991002038349702656</t>
        </is>
      </c>
      <c r="BA3303" t="inlineStr">
        <is>
          <t>2261061130002656</t>
        </is>
      </c>
      <c r="BB3303" t="inlineStr">
        <is>
          <t>BOOK</t>
        </is>
      </c>
      <c r="BD3303" t="inlineStr">
        <is>
          <t>9780198112495</t>
        </is>
      </c>
      <c r="BE3303" t="inlineStr">
        <is>
          <t>32285002045150</t>
        </is>
      </c>
      <c r="BF3303" t="inlineStr">
        <is>
          <t>893529454</t>
        </is>
      </c>
    </row>
    <row r="3304">
      <c r="A3304" t="inlineStr">
        <is>
          <t>No</t>
        </is>
      </c>
      <c r="B3304" t="inlineStr">
        <is>
          <t>CURAL</t>
        </is>
      </c>
      <c r="C3304" t="inlineStr">
        <is>
          <t>SHELVES</t>
        </is>
      </c>
      <c r="D3304" t="inlineStr">
        <is>
          <t>PR6037.A86 Z86 1993</t>
        </is>
      </c>
      <c r="E3304" t="inlineStr">
        <is>
          <t>0                      PR 6037000A  86                 Z  86          1993</t>
        </is>
      </c>
      <c r="F3304" t="inlineStr">
        <is>
          <t>Siegfried Sassoon / Sanford Sternlicht.</t>
        </is>
      </c>
      <c r="H3304" t="inlineStr">
        <is>
          <t>No</t>
        </is>
      </c>
      <c r="I3304" t="inlineStr">
        <is>
          <t>1</t>
        </is>
      </c>
      <c r="J3304" t="inlineStr">
        <is>
          <t>No</t>
        </is>
      </c>
      <c r="K3304" t="inlineStr">
        <is>
          <t>No</t>
        </is>
      </c>
      <c r="L3304" t="inlineStr">
        <is>
          <t>0</t>
        </is>
      </c>
      <c r="M3304" t="inlineStr">
        <is>
          <t>Sternlicht, Sanford, 1931-</t>
        </is>
      </c>
      <c r="N3304" t="inlineStr">
        <is>
          <t>New York : Twayne ; Toronto : Maxwell Macmillan Canada ; New York : Maxwell Macmillan International, c1993.</t>
        </is>
      </c>
      <c r="O3304" t="inlineStr">
        <is>
          <t>1993</t>
        </is>
      </c>
      <c r="Q3304" t="inlineStr">
        <is>
          <t>eng</t>
        </is>
      </c>
      <c r="R3304" t="inlineStr">
        <is>
          <t>nyu</t>
        </is>
      </c>
      <c r="S3304" t="inlineStr">
        <is>
          <t>Twayne's English authors series ; TEAS 500</t>
        </is>
      </c>
      <c r="T3304" t="inlineStr">
        <is>
          <t xml:space="preserve">PR </t>
        </is>
      </c>
      <c r="U3304" t="n">
        <v>1</v>
      </c>
      <c r="V3304" t="n">
        <v>1</v>
      </c>
      <c r="W3304" t="inlineStr">
        <is>
          <t>2005-10-11</t>
        </is>
      </c>
      <c r="X3304" t="inlineStr">
        <is>
          <t>2005-10-11</t>
        </is>
      </c>
      <c r="Y3304" t="inlineStr">
        <is>
          <t>1993-07-22</t>
        </is>
      </c>
      <c r="Z3304" t="inlineStr">
        <is>
          <t>1993-07-22</t>
        </is>
      </c>
      <c r="AA3304" t="n">
        <v>556</v>
      </c>
      <c r="AB3304" t="n">
        <v>480</v>
      </c>
      <c r="AC3304" t="n">
        <v>575</v>
      </c>
      <c r="AD3304" t="n">
        <v>5</v>
      </c>
      <c r="AE3304" t="n">
        <v>5</v>
      </c>
      <c r="AF3304" t="n">
        <v>30</v>
      </c>
      <c r="AG3304" t="n">
        <v>31</v>
      </c>
      <c r="AH3304" t="n">
        <v>13</v>
      </c>
      <c r="AI3304" t="n">
        <v>13</v>
      </c>
      <c r="AJ3304" t="n">
        <v>6</v>
      </c>
      <c r="AK3304" t="n">
        <v>6</v>
      </c>
      <c r="AL3304" t="n">
        <v>15</v>
      </c>
      <c r="AM3304" t="n">
        <v>16</v>
      </c>
      <c r="AN3304" t="n">
        <v>4</v>
      </c>
      <c r="AO3304" t="n">
        <v>4</v>
      </c>
      <c r="AP3304" t="n">
        <v>0</v>
      </c>
      <c r="AQ3304" t="n">
        <v>0</v>
      </c>
      <c r="AR3304" t="inlineStr">
        <is>
          <t>No</t>
        </is>
      </c>
      <c r="AS3304" t="inlineStr">
        <is>
          <t>Yes</t>
        </is>
      </c>
      <c r="AT3304">
        <f>HYPERLINK("http://catalog.hathitrust.org/Record/002708463","HathiTrust Record")</f>
        <v/>
      </c>
      <c r="AU3304">
        <f>HYPERLINK("https://creighton-primo.hosted.exlibrisgroup.com/primo-explore/search?tab=default_tab&amp;search_scope=EVERYTHING&amp;vid=01CRU&amp;lang=en_US&amp;offset=0&amp;query=any,contains,991002118509702656","Catalog Record")</f>
        <v/>
      </c>
      <c r="AV3304">
        <f>HYPERLINK("http://www.worldcat.org/oclc/27147477","WorldCat Record")</f>
        <v/>
      </c>
      <c r="AW3304" t="inlineStr">
        <is>
          <t>664527117:eng</t>
        </is>
      </c>
      <c r="AX3304" t="inlineStr">
        <is>
          <t>27147477</t>
        </is>
      </c>
      <c r="AY3304" t="inlineStr">
        <is>
          <t>991002118509702656</t>
        </is>
      </c>
      <c r="AZ3304" t="inlineStr">
        <is>
          <t>991002118509702656</t>
        </is>
      </c>
      <c r="BA3304" t="inlineStr">
        <is>
          <t>2256226210002656</t>
        </is>
      </c>
      <c r="BB3304" t="inlineStr">
        <is>
          <t>BOOK</t>
        </is>
      </c>
      <c r="BD3304" t="inlineStr">
        <is>
          <t>9780805770216</t>
        </is>
      </c>
      <c r="BE3304" t="inlineStr">
        <is>
          <t>32285001740769</t>
        </is>
      </c>
      <c r="BF3304" t="inlineStr">
        <is>
          <t>893609488</t>
        </is>
      </c>
    </row>
    <row r="3305">
      <c r="A3305" t="inlineStr">
        <is>
          <t>No</t>
        </is>
      </c>
      <c r="B3305" t="inlineStr">
        <is>
          <t>CURAL</t>
        </is>
      </c>
      <c r="C3305" t="inlineStr">
        <is>
          <t>SHELVES</t>
        </is>
      </c>
      <c r="D3305" t="inlineStr">
        <is>
          <t>PR6037.A86 Z88</t>
        </is>
      </c>
      <c r="E3305" t="inlineStr">
        <is>
          <t>0                      PR 6037000A  86                 Z  88</t>
        </is>
      </c>
      <c r="F3305" t="inlineStr">
        <is>
          <t>Siegfried Sassoon: a critical study.</t>
        </is>
      </c>
      <c r="H3305" t="inlineStr">
        <is>
          <t>No</t>
        </is>
      </c>
      <c r="I3305" t="inlineStr">
        <is>
          <t>1</t>
        </is>
      </c>
      <c r="J3305" t="inlineStr">
        <is>
          <t>No</t>
        </is>
      </c>
      <c r="K3305" t="inlineStr">
        <is>
          <t>No</t>
        </is>
      </c>
      <c r="L3305" t="inlineStr">
        <is>
          <t>0</t>
        </is>
      </c>
      <c r="M3305" t="inlineStr">
        <is>
          <t>Thorpe, Michael.</t>
        </is>
      </c>
      <c r="N3305" t="inlineStr">
        <is>
          <t>Leiden, Leiden U.P.; London, Oxford U.P., 1966.</t>
        </is>
      </c>
      <c r="O3305" t="inlineStr">
        <is>
          <t>1966</t>
        </is>
      </c>
      <c r="Q3305" t="inlineStr">
        <is>
          <t>eng</t>
        </is>
      </c>
      <c r="R3305" t="inlineStr">
        <is>
          <t xml:space="preserve">ne </t>
        </is>
      </c>
      <c r="T3305" t="inlineStr">
        <is>
          <t xml:space="preserve">PR </t>
        </is>
      </c>
      <c r="U3305" t="n">
        <v>1</v>
      </c>
      <c r="V3305" t="n">
        <v>1</v>
      </c>
      <c r="W3305" t="inlineStr">
        <is>
          <t>1996-08-19</t>
        </is>
      </c>
      <c r="X3305" t="inlineStr">
        <is>
          <t>1996-08-19</t>
        </is>
      </c>
      <c r="Y3305" t="inlineStr">
        <is>
          <t>1996-08-19</t>
        </is>
      </c>
      <c r="Z3305" t="inlineStr">
        <is>
          <t>1996-08-19</t>
        </is>
      </c>
      <c r="AA3305" t="n">
        <v>571</v>
      </c>
      <c r="AB3305" t="n">
        <v>444</v>
      </c>
      <c r="AC3305" t="n">
        <v>551</v>
      </c>
      <c r="AD3305" t="n">
        <v>3</v>
      </c>
      <c r="AE3305" t="n">
        <v>4</v>
      </c>
      <c r="AF3305" t="n">
        <v>26</v>
      </c>
      <c r="AG3305" t="n">
        <v>33</v>
      </c>
      <c r="AH3305" t="n">
        <v>11</v>
      </c>
      <c r="AI3305" t="n">
        <v>13</v>
      </c>
      <c r="AJ3305" t="n">
        <v>6</v>
      </c>
      <c r="AK3305" t="n">
        <v>8</v>
      </c>
      <c r="AL3305" t="n">
        <v>16</v>
      </c>
      <c r="AM3305" t="n">
        <v>20</v>
      </c>
      <c r="AN3305" t="n">
        <v>2</v>
      </c>
      <c r="AO3305" t="n">
        <v>3</v>
      </c>
      <c r="AP3305" t="n">
        <v>0</v>
      </c>
      <c r="AQ3305" t="n">
        <v>0</v>
      </c>
      <c r="AR3305" t="inlineStr">
        <is>
          <t>No</t>
        </is>
      </c>
      <c r="AS3305" t="inlineStr">
        <is>
          <t>Yes</t>
        </is>
      </c>
      <c r="AT3305">
        <f>HYPERLINK("http://catalog.hathitrust.org/Record/001377886","HathiTrust Record")</f>
        <v/>
      </c>
      <c r="AU3305">
        <f>HYPERLINK("https://creighton-primo.hosted.exlibrisgroup.com/primo-explore/search?tab=default_tab&amp;search_scope=EVERYTHING&amp;vid=01CRU&amp;lang=en_US&amp;offset=0&amp;query=any,contains,991003581559702656","Catalog Record")</f>
        <v/>
      </c>
      <c r="AV3305">
        <f>HYPERLINK("http://www.worldcat.org/oclc/1162800","WorldCat Record")</f>
        <v/>
      </c>
      <c r="AW3305" t="inlineStr">
        <is>
          <t>2098094:eng</t>
        </is>
      </c>
      <c r="AX3305" t="inlineStr">
        <is>
          <t>1162800</t>
        </is>
      </c>
      <c r="AY3305" t="inlineStr">
        <is>
          <t>991003581559702656</t>
        </is>
      </c>
      <c r="AZ3305" t="inlineStr">
        <is>
          <t>991003581559702656</t>
        </is>
      </c>
      <c r="BA3305" t="inlineStr">
        <is>
          <t>2272464780002656</t>
        </is>
      </c>
      <c r="BB3305" t="inlineStr">
        <is>
          <t>BOOK</t>
        </is>
      </c>
      <c r="BE3305" t="inlineStr">
        <is>
          <t>32285002274990</t>
        </is>
      </c>
      <c r="BF3305" t="inlineStr">
        <is>
          <t>893686682</t>
        </is>
      </c>
    </row>
    <row r="3306">
      <c r="A3306" t="inlineStr">
        <is>
          <t>No</t>
        </is>
      </c>
      <c r="B3306" t="inlineStr">
        <is>
          <t>CURAL</t>
        </is>
      </c>
      <c r="C3306" t="inlineStr">
        <is>
          <t>SHELVES</t>
        </is>
      </c>
      <c r="D3306" t="inlineStr">
        <is>
          <t>PR6037.A95 Z6</t>
        </is>
      </c>
      <c r="E3306" t="inlineStr">
        <is>
          <t>0                      PR 6037000A  95                 Z  6</t>
        </is>
      </c>
      <c r="F3306" t="inlineStr">
        <is>
          <t>As her whimsey took her : critical essays on the work of Dorothy L. Sayers / edited by Margaret P. Hannay.</t>
        </is>
      </c>
      <c r="H3306" t="inlineStr">
        <is>
          <t>No</t>
        </is>
      </c>
      <c r="I3306" t="inlineStr">
        <is>
          <t>1</t>
        </is>
      </c>
      <c r="J3306" t="inlineStr">
        <is>
          <t>No</t>
        </is>
      </c>
      <c r="K3306" t="inlineStr">
        <is>
          <t>No</t>
        </is>
      </c>
      <c r="L3306" t="inlineStr">
        <is>
          <t>0</t>
        </is>
      </c>
      <c r="N3306" t="inlineStr">
        <is>
          <t>Kent, OH : Kent State University Press, c1979.</t>
        </is>
      </c>
      <c r="O3306" t="inlineStr">
        <is>
          <t>1979</t>
        </is>
      </c>
      <c r="Q3306" t="inlineStr">
        <is>
          <t>eng</t>
        </is>
      </c>
      <c r="R3306" t="inlineStr">
        <is>
          <t>ohu</t>
        </is>
      </c>
      <c r="T3306" t="inlineStr">
        <is>
          <t xml:space="preserve">PR </t>
        </is>
      </c>
      <c r="U3306" t="n">
        <v>2</v>
      </c>
      <c r="V3306" t="n">
        <v>2</v>
      </c>
      <c r="W3306" t="inlineStr">
        <is>
          <t>2010-07-15</t>
        </is>
      </c>
      <c r="X3306" t="inlineStr">
        <is>
          <t>2010-07-15</t>
        </is>
      </c>
      <c r="Y3306" t="inlineStr">
        <is>
          <t>1992-07-21</t>
        </is>
      </c>
      <c r="Z3306" t="inlineStr">
        <is>
          <t>1992-07-21</t>
        </is>
      </c>
      <c r="AA3306" t="n">
        <v>986</v>
      </c>
      <c r="AB3306" t="n">
        <v>906</v>
      </c>
      <c r="AC3306" t="n">
        <v>908</v>
      </c>
      <c r="AD3306" t="n">
        <v>6</v>
      </c>
      <c r="AE3306" t="n">
        <v>6</v>
      </c>
      <c r="AF3306" t="n">
        <v>35</v>
      </c>
      <c r="AG3306" t="n">
        <v>35</v>
      </c>
      <c r="AH3306" t="n">
        <v>13</v>
      </c>
      <c r="AI3306" t="n">
        <v>13</v>
      </c>
      <c r="AJ3306" t="n">
        <v>7</v>
      </c>
      <c r="AK3306" t="n">
        <v>7</v>
      </c>
      <c r="AL3306" t="n">
        <v>18</v>
      </c>
      <c r="AM3306" t="n">
        <v>18</v>
      </c>
      <c r="AN3306" t="n">
        <v>5</v>
      </c>
      <c r="AO3306" t="n">
        <v>5</v>
      </c>
      <c r="AP3306" t="n">
        <v>0</v>
      </c>
      <c r="AQ3306" t="n">
        <v>0</v>
      </c>
      <c r="AR3306" t="inlineStr">
        <is>
          <t>No</t>
        </is>
      </c>
      <c r="AS3306" t="inlineStr">
        <is>
          <t>Yes</t>
        </is>
      </c>
      <c r="AT3306">
        <f>HYPERLINK("http://catalog.hathitrust.org/Record/000297498","HathiTrust Record")</f>
        <v/>
      </c>
      <c r="AU3306">
        <f>HYPERLINK("https://creighton-primo.hosted.exlibrisgroup.com/primo-explore/search?tab=default_tab&amp;search_scope=EVERYTHING&amp;vid=01CRU&amp;lang=en_US&amp;offset=0&amp;query=any,contains,991004712649702656","Catalog Record")</f>
        <v/>
      </c>
      <c r="AV3306">
        <f>HYPERLINK("http://www.worldcat.org/oclc/4774777","WorldCat Record")</f>
        <v/>
      </c>
      <c r="AW3306" t="inlineStr">
        <is>
          <t>899701157:eng</t>
        </is>
      </c>
      <c r="AX3306" t="inlineStr">
        <is>
          <t>4774777</t>
        </is>
      </c>
      <c r="AY3306" t="inlineStr">
        <is>
          <t>991004712649702656</t>
        </is>
      </c>
      <c r="AZ3306" t="inlineStr">
        <is>
          <t>991004712649702656</t>
        </is>
      </c>
      <c r="BA3306" t="inlineStr">
        <is>
          <t>2256795430002656</t>
        </is>
      </c>
      <c r="BB3306" t="inlineStr">
        <is>
          <t>BOOK</t>
        </is>
      </c>
      <c r="BD3306" t="inlineStr">
        <is>
          <t>9780873382274</t>
        </is>
      </c>
      <c r="BE3306" t="inlineStr">
        <is>
          <t>32285001202463</t>
        </is>
      </c>
      <c r="BF3306" t="inlineStr">
        <is>
          <t>893519969</t>
        </is>
      </c>
    </row>
    <row r="3307">
      <c r="A3307" t="inlineStr">
        <is>
          <t>No</t>
        </is>
      </c>
      <c r="B3307" t="inlineStr">
        <is>
          <t>CURAL</t>
        </is>
      </c>
      <c r="C3307" t="inlineStr">
        <is>
          <t>SHELVES</t>
        </is>
      </c>
      <c r="D3307" t="inlineStr">
        <is>
          <t>PR6037.A95 Z76 1994</t>
        </is>
      </c>
      <c r="E3307" t="inlineStr">
        <is>
          <t>0                      PR 6037000A  95                 Z  76          1994</t>
        </is>
      </c>
      <c r="F3307" t="inlineStr">
        <is>
          <t>Dorothy L. Sayers' Wimsey and interwar British society / Terrance L. Lewis.</t>
        </is>
      </c>
      <c r="H3307" t="inlineStr">
        <is>
          <t>No</t>
        </is>
      </c>
      <c r="I3307" t="inlineStr">
        <is>
          <t>1</t>
        </is>
      </c>
      <c r="J3307" t="inlineStr">
        <is>
          <t>No</t>
        </is>
      </c>
      <c r="K3307" t="inlineStr">
        <is>
          <t>No</t>
        </is>
      </c>
      <c r="L3307" t="inlineStr">
        <is>
          <t>0</t>
        </is>
      </c>
      <c r="M3307" t="inlineStr">
        <is>
          <t>Lewis, Terrance L., 1958-</t>
        </is>
      </c>
      <c r="N3307" t="inlineStr">
        <is>
          <t>Lewiston : E. Mellen Press, c1994.</t>
        </is>
      </c>
      <c r="O3307" t="inlineStr">
        <is>
          <t>1994</t>
        </is>
      </c>
      <c r="Q3307" t="inlineStr">
        <is>
          <t>eng</t>
        </is>
      </c>
      <c r="R3307" t="inlineStr">
        <is>
          <t>nyu</t>
        </is>
      </c>
      <c r="T3307" t="inlineStr">
        <is>
          <t xml:space="preserve">PR </t>
        </is>
      </c>
      <c r="U3307" t="n">
        <v>1</v>
      </c>
      <c r="V3307" t="n">
        <v>1</v>
      </c>
      <c r="W3307" t="inlineStr">
        <is>
          <t>1996-10-31</t>
        </is>
      </c>
      <c r="X3307" t="inlineStr">
        <is>
          <t>1996-10-31</t>
        </is>
      </c>
      <c r="Y3307" t="inlineStr">
        <is>
          <t>1996-01-08</t>
        </is>
      </c>
      <c r="Z3307" t="inlineStr">
        <is>
          <t>1996-01-08</t>
        </is>
      </c>
      <c r="AA3307" t="n">
        <v>155</v>
      </c>
      <c r="AB3307" t="n">
        <v>115</v>
      </c>
      <c r="AC3307" t="n">
        <v>115</v>
      </c>
      <c r="AD3307" t="n">
        <v>1</v>
      </c>
      <c r="AE3307" t="n">
        <v>1</v>
      </c>
      <c r="AF3307" t="n">
        <v>8</v>
      </c>
      <c r="AG3307" t="n">
        <v>8</v>
      </c>
      <c r="AH3307" t="n">
        <v>2</v>
      </c>
      <c r="AI3307" t="n">
        <v>2</v>
      </c>
      <c r="AJ3307" t="n">
        <v>2</v>
      </c>
      <c r="AK3307" t="n">
        <v>2</v>
      </c>
      <c r="AL3307" t="n">
        <v>5</v>
      </c>
      <c r="AM3307" t="n">
        <v>5</v>
      </c>
      <c r="AN3307" t="n">
        <v>0</v>
      </c>
      <c r="AO3307" t="n">
        <v>0</v>
      </c>
      <c r="AP3307" t="n">
        <v>0</v>
      </c>
      <c r="AQ3307" t="n">
        <v>0</v>
      </c>
      <c r="AR3307" t="inlineStr">
        <is>
          <t>No</t>
        </is>
      </c>
      <c r="AS3307" t="inlineStr">
        <is>
          <t>No</t>
        </is>
      </c>
      <c r="AU3307">
        <f>HYPERLINK("https://creighton-primo.hosted.exlibrisgroup.com/primo-explore/search?tab=default_tab&amp;search_scope=EVERYTHING&amp;vid=01CRU&amp;lang=en_US&amp;offset=0&amp;query=any,contains,991002358489702656","Catalog Record")</f>
        <v/>
      </c>
      <c r="AV3307">
        <f>HYPERLINK("http://www.worldcat.org/oclc/30671026","WorldCat Record")</f>
        <v/>
      </c>
      <c r="AW3307" t="inlineStr">
        <is>
          <t>32817412:eng</t>
        </is>
      </c>
      <c r="AX3307" t="inlineStr">
        <is>
          <t>30671026</t>
        </is>
      </c>
      <c r="AY3307" t="inlineStr">
        <is>
          <t>991002358489702656</t>
        </is>
      </c>
      <c r="AZ3307" t="inlineStr">
        <is>
          <t>991002358489702656</t>
        </is>
      </c>
      <c r="BA3307" t="inlineStr">
        <is>
          <t>2263376610002656</t>
        </is>
      </c>
      <c r="BB3307" t="inlineStr">
        <is>
          <t>BOOK</t>
        </is>
      </c>
      <c r="BD3307" t="inlineStr">
        <is>
          <t>9780773491021</t>
        </is>
      </c>
      <c r="BE3307" t="inlineStr">
        <is>
          <t>32285002114980</t>
        </is>
      </c>
      <c r="BF3307" t="inlineStr">
        <is>
          <t>893691522</t>
        </is>
      </c>
    </row>
    <row r="3308">
      <c r="A3308" t="inlineStr">
        <is>
          <t>No</t>
        </is>
      </c>
      <c r="B3308" t="inlineStr">
        <is>
          <t>CURAL</t>
        </is>
      </c>
      <c r="C3308" t="inlineStr">
        <is>
          <t>SHELVES</t>
        </is>
      </c>
      <c r="D3308" t="inlineStr">
        <is>
          <t>PR6037.A95 Z855 1993b</t>
        </is>
      </c>
      <c r="E3308" t="inlineStr">
        <is>
          <t>0                      PR 6037000A  95                 Z  855         1993b</t>
        </is>
      </c>
      <c r="F3308" t="inlineStr">
        <is>
          <t>Dorothy L. Sayers : her life and soul / Barbara Reynolds.</t>
        </is>
      </c>
      <c r="H3308" t="inlineStr">
        <is>
          <t>No</t>
        </is>
      </c>
      <c r="I3308" t="inlineStr">
        <is>
          <t>1</t>
        </is>
      </c>
      <c r="J3308" t="inlineStr">
        <is>
          <t>No</t>
        </is>
      </c>
      <c r="K3308" t="inlineStr">
        <is>
          <t>No</t>
        </is>
      </c>
      <c r="L3308" t="inlineStr">
        <is>
          <t>0</t>
        </is>
      </c>
      <c r="M3308" t="inlineStr">
        <is>
          <t>Reynolds, Barbara, 1914-2015.</t>
        </is>
      </c>
      <c r="N3308" t="inlineStr">
        <is>
          <t>London : Hodder &amp; Stoughton, 1993.</t>
        </is>
      </c>
      <c r="O3308" t="inlineStr">
        <is>
          <t>1993</t>
        </is>
      </c>
      <c r="Q3308" t="inlineStr">
        <is>
          <t>eng</t>
        </is>
      </c>
      <c r="R3308" t="inlineStr">
        <is>
          <t>enk</t>
        </is>
      </c>
      <c r="T3308" t="inlineStr">
        <is>
          <t xml:space="preserve">PR </t>
        </is>
      </c>
      <c r="U3308" t="n">
        <v>1</v>
      </c>
      <c r="V3308" t="n">
        <v>1</v>
      </c>
      <c r="W3308" t="inlineStr">
        <is>
          <t>2010-05-12</t>
        </is>
      </c>
      <c r="X3308" t="inlineStr">
        <is>
          <t>2010-05-12</t>
        </is>
      </c>
      <c r="Y3308" t="inlineStr">
        <is>
          <t>1993-12-10</t>
        </is>
      </c>
      <c r="Z3308" t="inlineStr">
        <is>
          <t>1993-12-10</t>
        </is>
      </c>
      <c r="AA3308" t="n">
        <v>217</v>
      </c>
      <c r="AB3308" t="n">
        <v>63</v>
      </c>
      <c r="AC3308" t="n">
        <v>759</v>
      </c>
      <c r="AD3308" t="n">
        <v>1</v>
      </c>
      <c r="AE3308" t="n">
        <v>4</v>
      </c>
      <c r="AF3308" t="n">
        <v>2</v>
      </c>
      <c r="AG3308" t="n">
        <v>23</v>
      </c>
      <c r="AH3308" t="n">
        <v>0</v>
      </c>
      <c r="AI3308" t="n">
        <v>10</v>
      </c>
      <c r="AJ3308" t="n">
        <v>0</v>
      </c>
      <c r="AK3308" t="n">
        <v>3</v>
      </c>
      <c r="AL3308" t="n">
        <v>2</v>
      </c>
      <c r="AM3308" t="n">
        <v>12</v>
      </c>
      <c r="AN3308" t="n">
        <v>0</v>
      </c>
      <c r="AO3308" t="n">
        <v>3</v>
      </c>
      <c r="AP3308" t="n">
        <v>0</v>
      </c>
      <c r="AQ3308" t="n">
        <v>0</v>
      </c>
      <c r="AR3308" t="inlineStr">
        <is>
          <t>No</t>
        </is>
      </c>
      <c r="AS3308" t="inlineStr">
        <is>
          <t>No</t>
        </is>
      </c>
      <c r="AU3308">
        <f>HYPERLINK("https://creighton-primo.hosted.exlibrisgroup.com/primo-explore/search?tab=default_tab&amp;search_scope=EVERYTHING&amp;vid=01CRU&amp;lang=en_US&amp;offset=0&amp;query=any,contains,991002180009702656","Catalog Record")</f>
        <v/>
      </c>
      <c r="AV3308">
        <f>HYPERLINK("http://www.worldcat.org/oclc/28065660","WorldCat Record")</f>
        <v/>
      </c>
      <c r="AW3308" t="inlineStr">
        <is>
          <t>19148730:eng</t>
        </is>
      </c>
      <c r="AX3308" t="inlineStr">
        <is>
          <t>28065660</t>
        </is>
      </c>
      <c r="AY3308" t="inlineStr">
        <is>
          <t>991002180009702656</t>
        </is>
      </c>
      <c r="AZ3308" t="inlineStr">
        <is>
          <t>991002180009702656</t>
        </is>
      </c>
      <c r="BA3308" t="inlineStr">
        <is>
          <t>2257624890002656</t>
        </is>
      </c>
      <c r="BB3308" t="inlineStr">
        <is>
          <t>BOOK</t>
        </is>
      </c>
      <c r="BD3308" t="inlineStr">
        <is>
          <t>9780340581513</t>
        </is>
      </c>
      <c r="BE3308" t="inlineStr">
        <is>
          <t>32285001815009</t>
        </is>
      </c>
      <c r="BF3308" t="inlineStr">
        <is>
          <t>893873207</t>
        </is>
      </c>
    </row>
    <row r="3309">
      <c r="A3309" t="inlineStr">
        <is>
          <t>No</t>
        </is>
      </c>
      <c r="B3309" t="inlineStr">
        <is>
          <t>CURAL</t>
        </is>
      </c>
      <c r="C3309" t="inlineStr">
        <is>
          <t>SHELVES</t>
        </is>
      </c>
      <c r="D3309" t="inlineStr">
        <is>
          <t>PR6037.M43 Z875 1990</t>
        </is>
      </c>
      <c r="E3309" t="inlineStr">
        <is>
          <t>0                      PR 6037000M  43                 Z  875         1990</t>
        </is>
      </c>
      <c r="F3309" t="inlineStr">
        <is>
          <t>Stevie Smith / by Sanford Sternlicht.</t>
        </is>
      </c>
      <c r="H3309" t="inlineStr">
        <is>
          <t>No</t>
        </is>
      </c>
      <c r="I3309" t="inlineStr">
        <is>
          <t>1</t>
        </is>
      </c>
      <c r="J3309" t="inlineStr">
        <is>
          <t>No</t>
        </is>
      </c>
      <c r="K3309" t="inlineStr">
        <is>
          <t>No</t>
        </is>
      </c>
      <c r="L3309" t="inlineStr">
        <is>
          <t>0</t>
        </is>
      </c>
      <c r="M3309" t="inlineStr">
        <is>
          <t>Sternlicht, Sanford, 1931-</t>
        </is>
      </c>
      <c r="N3309" t="inlineStr">
        <is>
          <t>Boston : Twayne Publishers, c1990.</t>
        </is>
      </c>
      <c r="O3309" t="inlineStr">
        <is>
          <t>1990</t>
        </is>
      </c>
      <c r="Q3309" t="inlineStr">
        <is>
          <t>eng</t>
        </is>
      </c>
      <c r="R3309" t="inlineStr">
        <is>
          <t>mau</t>
        </is>
      </c>
      <c r="S3309" t="inlineStr">
        <is>
          <t>Twayne's English authors series ; TEAS 472</t>
        </is>
      </c>
      <c r="T3309" t="inlineStr">
        <is>
          <t xml:space="preserve">PR </t>
        </is>
      </c>
      <c r="U3309" t="n">
        <v>1</v>
      </c>
      <c r="V3309" t="n">
        <v>1</v>
      </c>
      <c r="W3309" t="inlineStr">
        <is>
          <t>1992-01-14</t>
        </is>
      </c>
      <c r="X3309" t="inlineStr">
        <is>
          <t>1992-01-14</t>
        </is>
      </c>
      <c r="Y3309" t="inlineStr">
        <is>
          <t>1990-04-03</t>
        </is>
      </c>
      <c r="Z3309" t="inlineStr">
        <is>
          <t>1990-04-03</t>
        </is>
      </c>
      <c r="AA3309" t="n">
        <v>664</v>
      </c>
      <c r="AB3309" t="n">
        <v>587</v>
      </c>
      <c r="AC3309" t="n">
        <v>679</v>
      </c>
      <c r="AD3309" t="n">
        <v>7</v>
      </c>
      <c r="AE3309" t="n">
        <v>7</v>
      </c>
      <c r="AF3309" t="n">
        <v>32</v>
      </c>
      <c r="AG3309" t="n">
        <v>33</v>
      </c>
      <c r="AH3309" t="n">
        <v>13</v>
      </c>
      <c r="AI3309" t="n">
        <v>13</v>
      </c>
      <c r="AJ3309" t="n">
        <v>4</v>
      </c>
      <c r="AK3309" t="n">
        <v>4</v>
      </c>
      <c r="AL3309" t="n">
        <v>16</v>
      </c>
      <c r="AM3309" t="n">
        <v>17</v>
      </c>
      <c r="AN3309" t="n">
        <v>6</v>
      </c>
      <c r="AO3309" t="n">
        <v>6</v>
      </c>
      <c r="AP3309" t="n">
        <v>0</v>
      </c>
      <c r="AQ3309" t="n">
        <v>0</v>
      </c>
      <c r="AR3309" t="inlineStr">
        <is>
          <t>No</t>
        </is>
      </c>
      <c r="AS3309" t="inlineStr">
        <is>
          <t>Yes</t>
        </is>
      </c>
      <c r="AT3309">
        <f>HYPERLINK("http://catalog.hathitrust.org/Record/001944134","HathiTrust Record")</f>
        <v/>
      </c>
      <c r="AU3309">
        <f>HYPERLINK("https://creighton-primo.hosted.exlibrisgroup.com/primo-explore/search?tab=default_tab&amp;search_scope=EVERYTHING&amp;vid=01CRU&amp;lang=en_US&amp;offset=0&amp;query=any,contains,991001560479702656","Catalog Record")</f>
        <v/>
      </c>
      <c r="AV3309">
        <f>HYPERLINK("http://www.worldcat.org/oclc/20296569","WorldCat Record")</f>
        <v/>
      </c>
      <c r="AW3309" t="inlineStr">
        <is>
          <t>664527107:eng</t>
        </is>
      </c>
      <c r="AX3309" t="inlineStr">
        <is>
          <t>20296569</t>
        </is>
      </c>
      <c r="AY3309" t="inlineStr">
        <is>
          <t>991001560479702656</t>
        </is>
      </c>
      <c r="AZ3309" t="inlineStr">
        <is>
          <t>991001560479702656</t>
        </is>
      </c>
      <c r="BA3309" t="inlineStr">
        <is>
          <t>2260319560002656</t>
        </is>
      </c>
      <c r="BB3309" t="inlineStr">
        <is>
          <t>BOOK</t>
        </is>
      </c>
      <c r="BD3309" t="inlineStr">
        <is>
          <t>9780805769906</t>
        </is>
      </c>
      <c r="BE3309" t="inlineStr">
        <is>
          <t>32285000021864</t>
        </is>
      </c>
      <c r="BF3309" t="inlineStr">
        <is>
          <t>893791496</t>
        </is>
      </c>
    </row>
    <row r="3310">
      <c r="A3310" t="inlineStr">
        <is>
          <t>No</t>
        </is>
      </c>
      <c r="B3310" t="inlineStr">
        <is>
          <t>CURAL</t>
        </is>
      </c>
      <c r="C3310" t="inlineStr">
        <is>
          <t>SHELVES</t>
        </is>
      </c>
      <c r="D3310" t="inlineStr">
        <is>
          <t>PR6037.O6 Z595 1972</t>
        </is>
      </c>
      <c r="E3310" t="inlineStr">
        <is>
          <t>0                      PR 6037000O  6                  Z  595         1972</t>
        </is>
      </c>
      <c r="F3310" t="inlineStr">
        <is>
          <t>Somerville and Ross / John Cronin.</t>
        </is>
      </c>
      <c r="H3310" t="inlineStr">
        <is>
          <t>No</t>
        </is>
      </c>
      <c r="I3310" t="inlineStr">
        <is>
          <t>1</t>
        </is>
      </c>
      <c r="J3310" t="inlineStr">
        <is>
          <t>No</t>
        </is>
      </c>
      <c r="K3310" t="inlineStr">
        <is>
          <t>No</t>
        </is>
      </c>
      <c r="L3310" t="inlineStr">
        <is>
          <t>0</t>
        </is>
      </c>
      <c r="M3310" t="inlineStr">
        <is>
          <t>Cronin, John, 1928-</t>
        </is>
      </c>
      <c r="N3310" t="inlineStr">
        <is>
          <t>Lewisburg, [Pa.] : Bucknell University Press, [1972]</t>
        </is>
      </c>
      <c r="O3310" t="inlineStr">
        <is>
          <t>1972</t>
        </is>
      </c>
      <c r="Q3310" t="inlineStr">
        <is>
          <t>eng</t>
        </is>
      </c>
      <c r="R3310" t="inlineStr">
        <is>
          <t>pau</t>
        </is>
      </c>
      <c r="S3310" t="inlineStr">
        <is>
          <t>The Irish writers series</t>
        </is>
      </c>
      <c r="T3310" t="inlineStr">
        <is>
          <t xml:space="preserve">PR </t>
        </is>
      </c>
      <c r="U3310" t="n">
        <v>6</v>
      </c>
      <c r="V3310" t="n">
        <v>6</v>
      </c>
      <c r="W3310" t="inlineStr">
        <is>
          <t>2003-11-09</t>
        </is>
      </c>
      <c r="X3310" t="inlineStr">
        <is>
          <t>2003-11-09</t>
        </is>
      </c>
      <c r="Y3310" t="inlineStr">
        <is>
          <t>1992-07-21</t>
        </is>
      </c>
      <c r="Z3310" t="inlineStr">
        <is>
          <t>1992-07-21</t>
        </is>
      </c>
      <c r="AA3310" t="n">
        <v>437</v>
      </c>
      <c r="AB3310" t="n">
        <v>350</v>
      </c>
      <c r="AC3310" t="n">
        <v>356</v>
      </c>
      <c r="AD3310" t="n">
        <v>3</v>
      </c>
      <c r="AE3310" t="n">
        <v>3</v>
      </c>
      <c r="AF3310" t="n">
        <v>25</v>
      </c>
      <c r="AG3310" t="n">
        <v>25</v>
      </c>
      <c r="AH3310" t="n">
        <v>9</v>
      </c>
      <c r="AI3310" t="n">
        <v>9</v>
      </c>
      <c r="AJ3310" t="n">
        <v>8</v>
      </c>
      <c r="AK3310" t="n">
        <v>8</v>
      </c>
      <c r="AL3310" t="n">
        <v>13</v>
      </c>
      <c r="AM3310" t="n">
        <v>13</v>
      </c>
      <c r="AN3310" t="n">
        <v>2</v>
      </c>
      <c r="AO3310" t="n">
        <v>2</v>
      </c>
      <c r="AP3310" t="n">
        <v>0</v>
      </c>
      <c r="AQ3310" t="n">
        <v>0</v>
      </c>
      <c r="AR3310" t="inlineStr">
        <is>
          <t>No</t>
        </is>
      </c>
      <c r="AS3310" t="inlineStr">
        <is>
          <t>Yes</t>
        </is>
      </c>
      <c r="AT3310">
        <f>HYPERLINK("http://catalog.hathitrust.org/Record/001186021","HathiTrust Record")</f>
        <v/>
      </c>
      <c r="AU3310">
        <f>HYPERLINK("https://creighton-primo.hosted.exlibrisgroup.com/primo-explore/search?tab=default_tab&amp;search_scope=EVERYTHING&amp;vid=01CRU&amp;lang=en_US&amp;offset=0&amp;query=any,contains,991001927939702656","Catalog Record")</f>
        <v/>
      </c>
      <c r="AV3310">
        <f>HYPERLINK("http://www.worldcat.org/oclc/247643","WorldCat Record")</f>
        <v/>
      </c>
      <c r="AW3310" t="inlineStr">
        <is>
          <t>1406236:eng</t>
        </is>
      </c>
      <c r="AX3310" t="inlineStr">
        <is>
          <t>247643</t>
        </is>
      </c>
      <c r="AY3310" t="inlineStr">
        <is>
          <t>991001927939702656</t>
        </is>
      </c>
      <c r="AZ3310" t="inlineStr">
        <is>
          <t>991001927939702656</t>
        </is>
      </c>
      <c r="BA3310" t="inlineStr">
        <is>
          <t>2257997370002656</t>
        </is>
      </c>
      <c r="BB3310" t="inlineStr">
        <is>
          <t>BOOK</t>
        </is>
      </c>
      <c r="BD3310" t="inlineStr">
        <is>
          <t>9780838711675</t>
        </is>
      </c>
      <c r="BE3310" t="inlineStr">
        <is>
          <t>32285001202802</t>
        </is>
      </c>
      <c r="BF3310" t="inlineStr">
        <is>
          <t>893715839</t>
        </is>
      </c>
    </row>
    <row r="3311">
      <c r="A3311" t="inlineStr">
        <is>
          <t>No</t>
        </is>
      </c>
      <c r="B3311" t="inlineStr">
        <is>
          <t>CURAL</t>
        </is>
      </c>
      <c r="C3311" t="inlineStr">
        <is>
          <t>SHELVES</t>
        </is>
      </c>
      <c r="D3311" t="inlineStr">
        <is>
          <t>PR6037.P47 Z86 1992</t>
        </is>
      </c>
      <c r="E3311" t="inlineStr">
        <is>
          <t>0                      PR 6037000P  47                 Z  86          1992</t>
        </is>
      </c>
      <c r="F3311" t="inlineStr">
        <is>
          <t>Stephen Spender / Sanford Sternlicht.</t>
        </is>
      </c>
      <c r="H3311" t="inlineStr">
        <is>
          <t>No</t>
        </is>
      </c>
      <c r="I3311" t="inlineStr">
        <is>
          <t>1</t>
        </is>
      </c>
      <c r="J3311" t="inlineStr">
        <is>
          <t>No</t>
        </is>
      </c>
      <c r="K3311" t="inlineStr">
        <is>
          <t>No</t>
        </is>
      </c>
      <c r="L3311" t="inlineStr">
        <is>
          <t>0</t>
        </is>
      </c>
      <c r="M3311" t="inlineStr">
        <is>
          <t>Sternlicht, Sanford, 1931-</t>
        </is>
      </c>
      <c r="N3311" t="inlineStr">
        <is>
          <t>New York : Twayne ; Toronto : Maxwell Macmillan Canada ; New York : Maxwell Macmillan International, c1992.</t>
        </is>
      </c>
      <c r="O3311" t="inlineStr">
        <is>
          <t>1992</t>
        </is>
      </c>
      <c r="Q3311" t="inlineStr">
        <is>
          <t>eng</t>
        </is>
      </c>
      <c r="R3311" t="inlineStr">
        <is>
          <t>nyu</t>
        </is>
      </c>
      <c r="S3311" t="inlineStr">
        <is>
          <t>Twayne's English authors series ; TEAS 491</t>
        </is>
      </c>
      <c r="T3311" t="inlineStr">
        <is>
          <t xml:space="preserve">PR </t>
        </is>
      </c>
      <c r="U3311" t="n">
        <v>1</v>
      </c>
      <c r="V3311" t="n">
        <v>1</v>
      </c>
      <c r="W3311" t="inlineStr">
        <is>
          <t>2001-03-28</t>
        </is>
      </c>
      <c r="X3311" t="inlineStr">
        <is>
          <t>2001-03-28</t>
        </is>
      </c>
      <c r="Y3311" t="inlineStr">
        <is>
          <t>1992-03-31</t>
        </is>
      </c>
      <c r="Z3311" t="inlineStr">
        <is>
          <t>1992-03-31</t>
        </is>
      </c>
      <c r="AA3311" t="n">
        <v>550</v>
      </c>
      <c r="AB3311" t="n">
        <v>468</v>
      </c>
      <c r="AC3311" t="n">
        <v>561</v>
      </c>
      <c r="AD3311" t="n">
        <v>5</v>
      </c>
      <c r="AE3311" t="n">
        <v>5</v>
      </c>
      <c r="AF3311" t="n">
        <v>25</v>
      </c>
      <c r="AG3311" t="n">
        <v>27</v>
      </c>
      <c r="AH3311" t="n">
        <v>9</v>
      </c>
      <c r="AI3311" t="n">
        <v>10</v>
      </c>
      <c r="AJ3311" t="n">
        <v>4</v>
      </c>
      <c r="AK3311" t="n">
        <v>4</v>
      </c>
      <c r="AL3311" t="n">
        <v>14</v>
      </c>
      <c r="AM3311" t="n">
        <v>15</v>
      </c>
      <c r="AN3311" t="n">
        <v>4</v>
      </c>
      <c r="AO3311" t="n">
        <v>4</v>
      </c>
      <c r="AP3311" t="n">
        <v>0</v>
      </c>
      <c r="AQ3311" t="n">
        <v>0</v>
      </c>
      <c r="AR3311" t="inlineStr">
        <is>
          <t>No</t>
        </is>
      </c>
      <c r="AS3311" t="inlineStr">
        <is>
          <t>Yes</t>
        </is>
      </c>
      <c r="AT3311">
        <f>HYPERLINK("http://catalog.hathitrust.org/Record/002534061","HathiTrust Record")</f>
        <v/>
      </c>
      <c r="AU3311">
        <f>HYPERLINK("https://creighton-primo.hosted.exlibrisgroup.com/primo-explore/search?tab=default_tab&amp;search_scope=EVERYTHING&amp;vid=01CRU&amp;lang=en_US&amp;offset=0&amp;query=any,contains,991001936829702656","Catalog Record")</f>
        <v/>
      </c>
      <c r="AV3311">
        <f>HYPERLINK("http://www.worldcat.org/oclc/24468073","WorldCat Record")</f>
        <v/>
      </c>
      <c r="AW3311" t="inlineStr">
        <is>
          <t>664527111:eng</t>
        </is>
      </c>
      <c r="AX3311" t="inlineStr">
        <is>
          <t>24468073</t>
        </is>
      </c>
      <c r="AY3311" t="inlineStr">
        <is>
          <t>991001936829702656</t>
        </is>
      </c>
      <c r="AZ3311" t="inlineStr">
        <is>
          <t>991001936829702656</t>
        </is>
      </c>
      <c r="BA3311" t="inlineStr">
        <is>
          <t>2271163720002656</t>
        </is>
      </c>
      <c r="BB3311" t="inlineStr">
        <is>
          <t>BOOK</t>
        </is>
      </c>
      <c r="BD3311" t="inlineStr">
        <is>
          <t>9780805770094</t>
        </is>
      </c>
      <c r="BE3311" t="inlineStr">
        <is>
          <t>32285001003127</t>
        </is>
      </c>
      <c r="BF3311" t="inlineStr">
        <is>
          <t>893709675</t>
        </is>
      </c>
    </row>
    <row r="3312">
      <c r="A3312" t="inlineStr">
        <is>
          <t>No</t>
        </is>
      </c>
      <c r="B3312" t="inlineStr">
        <is>
          <t>CURAL</t>
        </is>
      </c>
      <c r="C3312" t="inlineStr">
        <is>
          <t>SHELVES</t>
        </is>
      </c>
      <c r="D3312" t="inlineStr">
        <is>
          <t>PR6037.P47 Z87 2005</t>
        </is>
      </c>
      <c r="E3312" t="inlineStr">
        <is>
          <t>0                      PR 6037000P  47                 Z  87          2005</t>
        </is>
      </c>
      <c r="F3312" t="inlineStr">
        <is>
          <t>Stephen Spender : a literary life / John Sutherland.</t>
        </is>
      </c>
      <c r="H3312" t="inlineStr">
        <is>
          <t>No</t>
        </is>
      </c>
      <c r="I3312" t="inlineStr">
        <is>
          <t>1</t>
        </is>
      </c>
      <c r="J3312" t="inlineStr">
        <is>
          <t>No</t>
        </is>
      </c>
      <c r="K3312" t="inlineStr">
        <is>
          <t>No</t>
        </is>
      </c>
      <c r="L3312" t="inlineStr">
        <is>
          <t>0</t>
        </is>
      </c>
      <c r="M3312" t="inlineStr">
        <is>
          <t>Sutherland, John, 1938-</t>
        </is>
      </c>
      <c r="N3312" t="inlineStr">
        <is>
          <t>Oxford [England] ; New York : Oxford University Press, 2005.</t>
        </is>
      </c>
      <c r="O3312" t="inlineStr">
        <is>
          <t>2005</t>
        </is>
      </c>
      <c r="Q3312" t="inlineStr">
        <is>
          <t>eng</t>
        </is>
      </c>
      <c r="R3312" t="inlineStr">
        <is>
          <t>enk</t>
        </is>
      </c>
      <c r="T3312" t="inlineStr">
        <is>
          <t xml:space="preserve">PR </t>
        </is>
      </c>
      <c r="U3312" t="n">
        <v>2</v>
      </c>
      <c r="V3312" t="n">
        <v>2</v>
      </c>
      <c r="W3312" t="inlineStr">
        <is>
          <t>2009-04-14</t>
        </is>
      </c>
      <c r="X3312" t="inlineStr">
        <is>
          <t>2009-04-14</t>
        </is>
      </c>
      <c r="Y3312" t="inlineStr">
        <is>
          <t>2005-11-08</t>
        </is>
      </c>
      <c r="Z3312" t="inlineStr">
        <is>
          <t>2005-11-08</t>
        </is>
      </c>
      <c r="AA3312" t="n">
        <v>697</v>
      </c>
      <c r="AB3312" t="n">
        <v>644</v>
      </c>
      <c r="AC3312" t="n">
        <v>1309</v>
      </c>
      <c r="AD3312" t="n">
        <v>5</v>
      </c>
      <c r="AE3312" t="n">
        <v>16</v>
      </c>
      <c r="AF3312" t="n">
        <v>31</v>
      </c>
      <c r="AG3312" t="n">
        <v>48</v>
      </c>
      <c r="AH3312" t="n">
        <v>14</v>
      </c>
      <c r="AI3312" t="n">
        <v>18</v>
      </c>
      <c r="AJ3312" t="n">
        <v>9</v>
      </c>
      <c r="AK3312" t="n">
        <v>9</v>
      </c>
      <c r="AL3312" t="n">
        <v>14</v>
      </c>
      <c r="AM3312" t="n">
        <v>17</v>
      </c>
      <c r="AN3312" t="n">
        <v>4</v>
      </c>
      <c r="AO3312" t="n">
        <v>13</v>
      </c>
      <c r="AP3312" t="n">
        <v>0</v>
      </c>
      <c r="AQ3312" t="n">
        <v>1</v>
      </c>
      <c r="AR3312" t="inlineStr">
        <is>
          <t>No</t>
        </is>
      </c>
      <c r="AS3312" t="inlineStr">
        <is>
          <t>No</t>
        </is>
      </c>
      <c r="AU3312">
        <f>HYPERLINK("https://creighton-primo.hosted.exlibrisgroup.com/primo-explore/search?tab=default_tab&amp;search_scope=EVERYTHING&amp;vid=01CRU&amp;lang=en_US&amp;offset=0&amp;query=any,contains,991004670369702656","Catalog Record")</f>
        <v/>
      </c>
      <c r="AV3312">
        <f>HYPERLINK("http://www.worldcat.org/oclc/57398294","WorldCat Record")</f>
        <v/>
      </c>
      <c r="AW3312" t="inlineStr">
        <is>
          <t>3934059706:eng</t>
        </is>
      </c>
      <c r="AX3312" t="inlineStr">
        <is>
          <t>57398294</t>
        </is>
      </c>
      <c r="AY3312" t="inlineStr">
        <is>
          <t>991004670369702656</t>
        </is>
      </c>
      <c r="AZ3312" t="inlineStr">
        <is>
          <t>991004670369702656</t>
        </is>
      </c>
      <c r="BA3312" t="inlineStr">
        <is>
          <t>2268628440002656</t>
        </is>
      </c>
      <c r="BB3312" t="inlineStr">
        <is>
          <t>BOOK</t>
        </is>
      </c>
      <c r="BD3312" t="inlineStr">
        <is>
          <t>9780195178166</t>
        </is>
      </c>
      <c r="BE3312" t="inlineStr">
        <is>
          <t>32285005145692</t>
        </is>
      </c>
      <c r="BF3312" t="inlineStr">
        <is>
          <t>893776288</t>
        </is>
      </c>
    </row>
    <row r="3313">
      <c r="A3313" t="inlineStr">
        <is>
          <t>No</t>
        </is>
      </c>
      <c r="B3313" t="inlineStr">
        <is>
          <t>CURAL</t>
        </is>
      </c>
      <c r="C3313" t="inlineStr">
        <is>
          <t>SHELVES</t>
        </is>
      </c>
      <c r="D3313" t="inlineStr">
        <is>
          <t>PR6037.T19 Z87 1987</t>
        </is>
      </c>
      <c r="E3313" t="inlineStr">
        <is>
          <t>0                      PR 6037000T  19                 Z  87          1987</t>
        </is>
      </c>
      <c r="F3313" t="inlineStr">
        <is>
          <t>James Starkey/Seumas O'Sullivan : a critical biography / Jane Russell.</t>
        </is>
      </c>
      <c r="H3313" t="inlineStr">
        <is>
          <t>No</t>
        </is>
      </c>
      <c r="I3313" t="inlineStr">
        <is>
          <t>1</t>
        </is>
      </c>
      <c r="J3313" t="inlineStr">
        <is>
          <t>No</t>
        </is>
      </c>
      <c r="K3313" t="inlineStr">
        <is>
          <t>No</t>
        </is>
      </c>
      <c r="L3313" t="inlineStr">
        <is>
          <t>0</t>
        </is>
      </c>
      <c r="M3313" t="inlineStr">
        <is>
          <t>Russell, Jane, 1959-</t>
        </is>
      </c>
      <c r="N3313" t="inlineStr">
        <is>
          <t>Rutherford : Farleigh Dickinson University Press, c1987.</t>
        </is>
      </c>
      <c r="O3313" t="inlineStr">
        <is>
          <t>1987</t>
        </is>
      </c>
      <c r="Q3313" t="inlineStr">
        <is>
          <t>eng</t>
        </is>
      </c>
      <c r="R3313" t="inlineStr">
        <is>
          <t>nju</t>
        </is>
      </c>
      <c r="T3313" t="inlineStr">
        <is>
          <t xml:space="preserve">PR </t>
        </is>
      </c>
      <c r="U3313" t="n">
        <v>2</v>
      </c>
      <c r="V3313" t="n">
        <v>2</v>
      </c>
      <c r="W3313" t="inlineStr">
        <is>
          <t>2004-11-15</t>
        </is>
      </c>
      <c r="X3313" t="inlineStr">
        <is>
          <t>2004-11-15</t>
        </is>
      </c>
      <c r="Y3313" t="inlineStr">
        <is>
          <t>1992-07-21</t>
        </is>
      </c>
      <c r="Z3313" t="inlineStr">
        <is>
          <t>1992-07-21</t>
        </is>
      </c>
      <c r="AA3313" t="n">
        <v>208</v>
      </c>
      <c r="AB3313" t="n">
        <v>177</v>
      </c>
      <c r="AC3313" t="n">
        <v>178</v>
      </c>
      <c r="AD3313" t="n">
        <v>3</v>
      </c>
      <c r="AE3313" t="n">
        <v>3</v>
      </c>
      <c r="AF3313" t="n">
        <v>12</v>
      </c>
      <c r="AG3313" t="n">
        <v>12</v>
      </c>
      <c r="AH3313" t="n">
        <v>1</v>
      </c>
      <c r="AI3313" t="n">
        <v>1</v>
      </c>
      <c r="AJ3313" t="n">
        <v>5</v>
      </c>
      <c r="AK3313" t="n">
        <v>5</v>
      </c>
      <c r="AL3313" t="n">
        <v>8</v>
      </c>
      <c r="AM3313" t="n">
        <v>8</v>
      </c>
      <c r="AN3313" t="n">
        <v>2</v>
      </c>
      <c r="AO3313" t="n">
        <v>2</v>
      </c>
      <c r="AP3313" t="n">
        <v>0</v>
      </c>
      <c r="AQ3313" t="n">
        <v>0</v>
      </c>
      <c r="AR3313" t="inlineStr">
        <is>
          <t>No</t>
        </is>
      </c>
      <c r="AS3313" t="inlineStr">
        <is>
          <t>Yes</t>
        </is>
      </c>
      <c r="AT3313">
        <f>HYPERLINK("http://catalog.hathitrust.org/Record/000839411","HathiTrust Record")</f>
        <v/>
      </c>
      <c r="AU3313">
        <f>HYPERLINK("https://creighton-primo.hosted.exlibrisgroup.com/primo-explore/search?tab=default_tab&amp;search_scope=EVERYTHING&amp;vid=01CRU&amp;lang=en_US&amp;offset=0&amp;query=any,contains,991000871049702656","Catalog Record")</f>
        <v/>
      </c>
      <c r="AV3313">
        <f>HYPERLINK("http://www.worldcat.org/oclc/13792667","WorldCat Record")</f>
        <v/>
      </c>
      <c r="AW3313" t="inlineStr">
        <is>
          <t>7857473:eng</t>
        </is>
      </c>
      <c r="AX3313" t="inlineStr">
        <is>
          <t>13792667</t>
        </is>
      </c>
      <c r="AY3313" t="inlineStr">
        <is>
          <t>991000871049702656</t>
        </is>
      </c>
      <c r="AZ3313" t="inlineStr">
        <is>
          <t>991000871049702656</t>
        </is>
      </c>
      <c r="BA3313" t="inlineStr">
        <is>
          <t>2272687990002656</t>
        </is>
      </c>
      <c r="BB3313" t="inlineStr">
        <is>
          <t>BOOK</t>
        </is>
      </c>
      <c r="BD3313" t="inlineStr">
        <is>
          <t>9780838632659</t>
        </is>
      </c>
      <c r="BE3313" t="inlineStr">
        <is>
          <t>32285001202919</t>
        </is>
      </c>
      <c r="BF3313" t="inlineStr">
        <is>
          <t>893502893</t>
        </is>
      </c>
    </row>
    <row r="3314">
      <c r="A3314" t="inlineStr">
        <is>
          <t>No</t>
        </is>
      </c>
      <c r="B3314" t="inlineStr">
        <is>
          <t>CURAL</t>
        </is>
      </c>
      <c r="C3314" t="inlineStr">
        <is>
          <t>SHELVES</t>
        </is>
      </c>
      <c r="D3314" t="inlineStr">
        <is>
          <t>PR6037.T4 Z8</t>
        </is>
      </c>
      <c r="E3314" t="inlineStr">
        <is>
          <t>0                      PR 6037000T  4                  Z  8</t>
        </is>
      </c>
      <c r="F3314" t="inlineStr">
        <is>
          <t>James Stephens, his work and an account of his life.</t>
        </is>
      </c>
      <c r="H3314" t="inlineStr">
        <is>
          <t>No</t>
        </is>
      </c>
      <c r="I3314" t="inlineStr">
        <is>
          <t>1</t>
        </is>
      </c>
      <c r="J3314" t="inlineStr">
        <is>
          <t>No</t>
        </is>
      </c>
      <c r="K3314" t="inlineStr">
        <is>
          <t>No</t>
        </is>
      </c>
      <c r="L3314" t="inlineStr">
        <is>
          <t>0</t>
        </is>
      </c>
      <c r="M3314" t="inlineStr">
        <is>
          <t>Pyle, Hilary.</t>
        </is>
      </c>
      <c r="N3314" t="inlineStr">
        <is>
          <t>New York, Barnes &amp; Noble [1965]</t>
        </is>
      </c>
      <c r="O3314" t="inlineStr">
        <is>
          <t>1965</t>
        </is>
      </c>
      <c r="Q3314" t="inlineStr">
        <is>
          <t>eng</t>
        </is>
      </c>
      <c r="R3314" t="inlineStr">
        <is>
          <t>nyu</t>
        </is>
      </c>
      <c r="T3314" t="inlineStr">
        <is>
          <t xml:space="preserve">PR </t>
        </is>
      </c>
      <c r="U3314" t="n">
        <v>6</v>
      </c>
      <c r="V3314" t="n">
        <v>6</v>
      </c>
      <c r="W3314" t="inlineStr">
        <is>
          <t>2006-10-25</t>
        </is>
      </c>
      <c r="X3314" t="inlineStr">
        <is>
          <t>2006-10-25</t>
        </is>
      </c>
      <c r="Y3314" t="inlineStr">
        <is>
          <t>1997-04-21</t>
        </is>
      </c>
      <c r="Z3314" t="inlineStr">
        <is>
          <t>1997-04-21</t>
        </is>
      </c>
      <c r="AA3314" t="n">
        <v>344</v>
      </c>
      <c r="AB3314" t="n">
        <v>327</v>
      </c>
      <c r="AC3314" t="n">
        <v>423</v>
      </c>
      <c r="AD3314" t="n">
        <v>3</v>
      </c>
      <c r="AE3314" t="n">
        <v>3</v>
      </c>
      <c r="AF3314" t="n">
        <v>20</v>
      </c>
      <c r="AG3314" t="n">
        <v>25</v>
      </c>
      <c r="AH3314" t="n">
        <v>3</v>
      </c>
      <c r="AI3314" t="n">
        <v>6</v>
      </c>
      <c r="AJ3314" t="n">
        <v>7</v>
      </c>
      <c r="AK3314" t="n">
        <v>7</v>
      </c>
      <c r="AL3314" t="n">
        <v>13</v>
      </c>
      <c r="AM3314" t="n">
        <v>17</v>
      </c>
      <c r="AN3314" t="n">
        <v>2</v>
      </c>
      <c r="AO3314" t="n">
        <v>2</v>
      </c>
      <c r="AP3314" t="n">
        <v>0</v>
      </c>
      <c r="AQ3314" t="n">
        <v>0</v>
      </c>
      <c r="AR3314" t="inlineStr">
        <is>
          <t>No</t>
        </is>
      </c>
      <c r="AS3314" t="inlineStr">
        <is>
          <t>No</t>
        </is>
      </c>
      <c r="AU3314">
        <f>HYPERLINK("https://creighton-primo.hosted.exlibrisgroup.com/primo-explore/search?tab=default_tab&amp;search_scope=EVERYTHING&amp;vid=01CRU&amp;lang=en_US&amp;offset=0&amp;query=any,contains,991002532479702656","Catalog Record")</f>
        <v/>
      </c>
      <c r="AV3314">
        <f>HYPERLINK("http://www.worldcat.org/oclc/367174","WorldCat Record")</f>
        <v/>
      </c>
      <c r="AW3314" t="inlineStr">
        <is>
          <t>1430136:eng</t>
        </is>
      </c>
      <c r="AX3314" t="inlineStr">
        <is>
          <t>367174</t>
        </is>
      </c>
      <c r="AY3314" t="inlineStr">
        <is>
          <t>991002532479702656</t>
        </is>
      </c>
      <c r="AZ3314" t="inlineStr">
        <is>
          <t>991002532479702656</t>
        </is>
      </c>
      <c r="BA3314" t="inlineStr">
        <is>
          <t>2264975570002656</t>
        </is>
      </c>
      <c r="BB3314" t="inlineStr">
        <is>
          <t>BOOK</t>
        </is>
      </c>
      <c r="BE3314" t="inlineStr">
        <is>
          <t>32285002578754</t>
        </is>
      </c>
      <c r="BF3314" t="inlineStr">
        <is>
          <t>893792574</t>
        </is>
      </c>
    </row>
    <row r="3315">
      <c r="A3315" t="inlineStr">
        <is>
          <t>No</t>
        </is>
      </c>
      <c r="B3315" t="inlineStr">
        <is>
          <t>CURAL</t>
        </is>
      </c>
      <c r="C3315" t="inlineStr">
        <is>
          <t>SHELVES</t>
        </is>
      </c>
      <c r="D3315" t="inlineStr">
        <is>
          <t>PR6037.T875 Z75 2000</t>
        </is>
      </c>
      <c r="E3315" t="inlineStr">
        <is>
          <t>0                      PR 6037000T  875                Z  75          2000</t>
        </is>
      </c>
      <c r="F3315" t="inlineStr">
        <is>
          <t>Francis Stuart : face to face, a critical study / Anne McCartney.</t>
        </is>
      </c>
      <c r="H3315" t="inlineStr">
        <is>
          <t>No</t>
        </is>
      </c>
      <c r="I3315" t="inlineStr">
        <is>
          <t>1</t>
        </is>
      </c>
      <c r="J3315" t="inlineStr">
        <is>
          <t>No</t>
        </is>
      </c>
      <c r="K3315" t="inlineStr">
        <is>
          <t>No</t>
        </is>
      </c>
      <c r="L3315" t="inlineStr">
        <is>
          <t>0</t>
        </is>
      </c>
      <c r="M3315" t="inlineStr">
        <is>
          <t>McCartney, Anne.</t>
        </is>
      </c>
      <c r="N3315" t="inlineStr">
        <is>
          <t>Belfast : Institute of Irish Studies, Queen's University, c2000.</t>
        </is>
      </c>
      <c r="O3315" t="inlineStr">
        <is>
          <t>2000</t>
        </is>
      </c>
      <c r="Q3315" t="inlineStr">
        <is>
          <t>eng</t>
        </is>
      </c>
      <c r="R3315" t="inlineStr">
        <is>
          <t xml:space="preserve">ir </t>
        </is>
      </c>
      <c r="T3315" t="inlineStr">
        <is>
          <t xml:space="preserve">PR </t>
        </is>
      </c>
      <c r="U3315" t="n">
        <v>1</v>
      </c>
      <c r="V3315" t="n">
        <v>1</v>
      </c>
      <c r="W3315" t="inlineStr">
        <is>
          <t>2002-05-16</t>
        </is>
      </c>
      <c r="X3315" t="inlineStr">
        <is>
          <t>2002-05-16</t>
        </is>
      </c>
      <c r="Y3315" t="inlineStr">
        <is>
          <t>2002-05-08</t>
        </is>
      </c>
      <c r="Z3315" t="inlineStr">
        <is>
          <t>2002-05-08</t>
        </is>
      </c>
      <c r="AA3315" t="n">
        <v>178</v>
      </c>
      <c r="AB3315" t="n">
        <v>141</v>
      </c>
      <c r="AC3315" t="n">
        <v>148</v>
      </c>
      <c r="AD3315" t="n">
        <v>1</v>
      </c>
      <c r="AE3315" t="n">
        <v>1</v>
      </c>
      <c r="AF3315" t="n">
        <v>9</v>
      </c>
      <c r="AG3315" t="n">
        <v>9</v>
      </c>
      <c r="AH3315" t="n">
        <v>1</v>
      </c>
      <c r="AI3315" t="n">
        <v>1</v>
      </c>
      <c r="AJ3315" t="n">
        <v>6</v>
      </c>
      <c r="AK3315" t="n">
        <v>6</v>
      </c>
      <c r="AL3315" t="n">
        <v>5</v>
      </c>
      <c r="AM3315" t="n">
        <v>5</v>
      </c>
      <c r="AN3315" t="n">
        <v>0</v>
      </c>
      <c r="AO3315" t="n">
        <v>0</v>
      </c>
      <c r="AP3315" t="n">
        <v>0</v>
      </c>
      <c r="AQ3315" t="n">
        <v>0</v>
      </c>
      <c r="AR3315" t="inlineStr">
        <is>
          <t>No</t>
        </is>
      </c>
      <c r="AS3315" t="inlineStr">
        <is>
          <t>Yes</t>
        </is>
      </c>
      <c r="AT3315">
        <f>HYPERLINK("http://catalog.hathitrust.org/Record/004144623","HathiTrust Record")</f>
        <v/>
      </c>
      <c r="AU3315">
        <f>HYPERLINK("https://creighton-primo.hosted.exlibrisgroup.com/primo-explore/search?tab=default_tab&amp;search_scope=EVERYTHING&amp;vid=01CRU&amp;lang=en_US&amp;offset=0&amp;query=any,contains,991003777199702656","Catalog Record")</f>
        <v/>
      </c>
      <c r="AV3315">
        <f>HYPERLINK("http://www.worldcat.org/oclc/46476939","WorldCat Record")</f>
        <v/>
      </c>
      <c r="AW3315" t="inlineStr">
        <is>
          <t>475868995:eng</t>
        </is>
      </c>
      <c r="AX3315" t="inlineStr">
        <is>
          <t>46476939</t>
        </is>
      </c>
      <c r="AY3315" t="inlineStr">
        <is>
          <t>991003777199702656</t>
        </is>
      </c>
      <c r="AZ3315" t="inlineStr">
        <is>
          <t>991003777199702656</t>
        </is>
      </c>
      <c r="BA3315" t="inlineStr">
        <is>
          <t>2267762790002656</t>
        </is>
      </c>
      <c r="BB3315" t="inlineStr">
        <is>
          <t>BOOK</t>
        </is>
      </c>
      <c r="BD3315" t="inlineStr">
        <is>
          <t>9780853897682</t>
        </is>
      </c>
      <c r="BE3315" t="inlineStr">
        <is>
          <t>32285004486261</t>
        </is>
      </c>
      <c r="BF3315" t="inlineStr">
        <is>
          <t>893810171</t>
        </is>
      </c>
    </row>
    <row r="3316">
      <c r="A3316" t="inlineStr">
        <is>
          <t>No</t>
        </is>
      </c>
      <c r="B3316" t="inlineStr">
        <is>
          <t>CURAL</t>
        </is>
      </c>
      <c r="C3316" t="inlineStr">
        <is>
          <t>SHELVES</t>
        </is>
      </c>
      <c r="D3316" t="inlineStr">
        <is>
          <t>PR6039.H52 G37 1987</t>
        </is>
      </c>
      <c r="E3316" t="inlineStr">
        <is>
          <t>0                      PR 6039000H  52                 G  37          1987</t>
        </is>
      </c>
      <c r="F3316" t="inlineStr">
        <is>
          <t>Dylan Thomas : a reference guide / Georg M.A. Gaston.</t>
        </is>
      </c>
      <c r="H3316" t="inlineStr">
        <is>
          <t>No</t>
        </is>
      </c>
      <c r="I3316" t="inlineStr">
        <is>
          <t>1</t>
        </is>
      </c>
      <c r="J3316" t="inlineStr">
        <is>
          <t>No</t>
        </is>
      </c>
      <c r="K3316" t="inlineStr">
        <is>
          <t>No</t>
        </is>
      </c>
      <c r="L3316" t="inlineStr">
        <is>
          <t>0</t>
        </is>
      </c>
      <c r="M3316" t="inlineStr">
        <is>
          <t>Gaston, Georg, 1938-</t>
        </is>
      </c>
      <c r="N3316" t="inlineStr">
        <is>
          <t>Boston, Mass. : G.K. Hall, c1987.</t>
        </is>
      </c>
      <c r="O3316" t="inlineStr">
        <is>
          <t>1987</t>
        </is>
      </c>
      <c r="Q3316" t="inlineStr">
        <is>
          <t>eng</t>
        </is>
      </c>
      <c r="R3316" t="inlineStr">
        <is>
          <t>mau</t>
        </is>
      </c>
      <c r="S3316" t="inlineStr">
        <is>
          <t>A Reference guide to literature</t>
        </is>
      </c>
      <c r="T3316" t="inlineStr">
        <is>
          <t xml:space="preserve">PR </t>
        </is>
      </c>
      <c r="U3316" t="n">
        <v>2</v>
      </c>
      <c r="V3316" t="n">
        <v>2</v>
      </c>
      <c r="W3316" t="inlineStr">
        <is>
          <t>1992-11-24</t>
        </is>
      </c>
      <c r="X3316" t="inlineStr">
        <is>
          <t>1992-11-24</t>
        </is>
      </c>
      <c r="Y3316" t="inlineStr">
        <is>
          <t>1992-03-01</t>
        </is>
      </c>
      <c r="Z3316" t="inlineStr">
        <is>
          <t>1992-03-01</t>
        </is>
      </c>
      <c r="AA3316" t="n">
        <v>364</v>
      </c>
      <c r="AB3316" t="n">
        <v>295</v>
      </c>
      <c r="AC3316" t="n">
        <v>295</v>
      </c>
      <c r="AD3316" t="n">
        <v>2</v>
      </c>
      <c r="AE3316" t="n">
        <v>2</v>
      </c>
      <c r="AF3316" t="n">
        <v>16</v>
      </c>
      <c r="AG3316" t="n">
        <v>16</v>
      </c>
      <c r="AH3316" t="n">
        <v>6</v>
      </c>
      <c r="AI3316" t="n">
        <v>6</v>
      </c>
      <c r="AJ3316" t="n">
        <v>5</v>
      </c>
      <c r="AK3316" t="n">
        <v>5</v>
      </c>
      <c r="AL3316" t="n">
        <v>11</v>
      </c>
      <c r="AM3316" t="n">
        <v>11</v>
      </c>
      <c r="AN3316" t="n">
        <v>1</v>
      </c>
      <c r="AO3316" t="n">
        <v>1</v>
      </c>
      <c r="AP3316" t="n">
        <v>0</v>
      </c>
      <c r="AQ3316" t="n">
        <v>0</v>
      </c>
      <c r="AR3316" t="inlineStr">
        <is>
          <t>No</t>
        </is>
      </c>
      <c r="AS3316" t="inlineStr">
        <is>
          <t>No</t>
        </is>
      </c>
      <c r="AU3316">
        <f>HYPERLINK("https://creighton-primo.hosted.exlibrisgroup.com/primo-explore/search?tab=default_tab&amp;search_scope=EVERYTHING&amp;vid=01CRU&amp;lang=en_US&amp;offset=0&amp;query=any,contains,991001043039702656","Catalog Record")</f>
        <v/>
      </c>
      <c r="AV3316">
        <f>HYPERLINK("http://www.worldcat.org/oclc/15592343","WorldCat Record")</f>
        <v/>
      </c>
      <c r="AW3316" t="inlineStr">
        <is>
          <t>10639403:eng</t>
        </is>
      </c>
      <c r="AX3316" t="inlineStr">
        <is>
          <t>15592343</t>
        </is>
      </c>
      <c r="AY3316" t="inlineStr">
        <is>
          <t>991001043039702656</t>
        </is>
      </c>
      <c r="AZ3316" t="inlineStr">
        <is>
          <t>991001043039702656</t>
        </is>
      </c>
      <c r="BA3316" t="inlineStr">
        <is>
          <t>2262288900002656</t>
        </is>
      </c>
      <c r="BB3316" t="inlineStr">
        <is>
          <t>BOOK</t>
        </is>
      </c>
      <c r="BD3316" t="inlineStr">
        <is>
          <t>9780816187799</t>
        </is>
      </c>
      <c r="BE3316" t="inlineStr">
        <is>
          <t>32285000979806</t>
        </is>
      </c>
      <c r="BF3316" t="inlineStr">
        <is>
          <t>893608503</t>
        </is>
      </c>
    </row>
    <row r="3317">
      <c r="A3317" t="inlineStr">
        <is>
          <t>No</t>
        </is>
      </c>
      <c r="B3317" t="inlineStr">
        <is>
          <t>CURAL</t>
        </is>
      </c>
      <c r="C3317" t="inlineStr">
        <is>
          <t>SHELVES</t>
        </is>
      </c>
      <c r="D3317" t="inlineStr">
        <is>
          <t>PR6039.H52 Z49</t>
        </is>
      </c>
      <c r="E3317" t="inlineStr">
        <is>
          <t>0                      PR 6039000H  52                 Z  49</t>
        </is>
      </c>
      <c r="F3317" t="inlineStr">
        <is>
          <t>A concordance to the Collected poems of Dylan Thomas / edited by Robert Coleman Williams.</t>
        </is>
      </c>
      <c r="H3317" t="inlineStr">
        <is>
          <t>No</t>
        </is>
      </c>
      <c r="I3317" t="inlineStr">
        <is>
          <t>1</t>
        </is>
      </c>
      <c r="J3317" t="inlineStr">
        <is>
          <t>No</t>
        </is>
      </c>
      <c r="K3317" t="inlineStr">
        <is>
          <t>No</t>
        </is>
      </c>
      <c r="L3317" t="inlineStr">
        <is>
          <t>0</t>
        </is>
      </c>
      <c r="M3317" t="inlineStr">
        <is>
          <t>Williams, Robert Coleman.</t>
        </is>
      </c>
      <c r="N3317" t="inlineStr">
        <is>
          <t>Lincoln, University of Nebraska Press [1967]</t>
        </is>
      </c>
      <c r="O3317" t="inlineStr">
        <is>
          <t>1967</t>
        </is>
      </c>
      <c r="Q3317" t="inlineStr">
        <is>
          <t>eng</t>
        </is>
      </c>
      <c r="R3317" t="inlineStr">
        <is>
          <t>nbu</t>
        </is>
      </c>
      <c r="T3317" t="inlineStr">
        <is>
          <t xml:space="preserve">PR </t>
        </is>
      </c>
      <c r="U3317" t="n">
        <v>2</v>
      </c>
      <c r="V3317" t="n">
        <v>2</v>
      </c>
      <c r="W3317" t="inlineStr">
        <is>
          <t>2001-10-05</t>
        </is>
      </c>
      <c r="X3317" t="inlineStr">
        <is>
          <t>2001-10-05</t>
        </is>
      </c>
      <c r="Y3317" t="inlineStr">
        <is>
          <t>1997-09-12</t>
        </is>
      </c>
      <c r="Z3317" t="inlineStr">
        <is>
          <t>1997-09-12</t>
        </is>
      </c>
      <c r="AA3317" t="n">
        <v>599</v>
      </c>
      <c r="AB3317" t="n">
        <v>494</v>
      </c>
      <c r="AC3317" t="n">
        <v>502</v>
      </c>
      <c r="AD3317" t="n">
        <v>6</v>
      </c>
      <c r="AE3317" t="n">
        <v>6</v>
      </c>
      <c r="AF3317" t="n">
        <v>27</v>
      </c>
      <c r="AG3317" t="n">
        <v>27</v>
      </c>
      <c r="AH3317" t="n">
        <v>6</v>
      </c>
      <c r="AI3317" t="n">
        <v>6</v>
      </c>
      <c r="AJ3317" t="n">
        <v>7</v>
      </c>
      <c r="AK3317" t="n">
        <v>7</v>
      </c>
      <c r="AL3317" t="n">
        <v>16</v>
      </c>
      <c r="AM3317" t="n">
        <v>16</v>
      </c>
      <c r="AN3317" t="n">
        <v>5</v>
      </c>
      <c r="AO3317" t="n">
        <v>5</v>
      </c>
      <c r="AP3317" t="n">
        <v>0</v>
      </c>
      <c r="AQ3317" t="n">
        <v>0</v>
      </c>
      <c r="AR3317" t="inlineStr">
        <is>
          <t>No</t>
        </is>
      </c>
      <c r="AS3317" t="inlineStr">
        <is>
          <t>Yes</t>
        </is>
      </c>
      <c r="AT3317">
        <f>HYPERLINK("http://catalog.hathitrust.org/Record/001025863","HathiTrust Record")</f>
        <v/>
      </c>
      <c r="AU3317">
        <f>HYPERLINK("https://creighton-primo.hosted.exlibrisgroup.com/primo-explore/search?tab=default_tab&amp;search_scope=EVERYTHING&amp;vid=01CRU&amp;lang=en_US&amp;offset=0&amp;query=any,contains,991002530119702656","Catalog Record")</f>
        <v/>
      </c>
      <c r="AV3317">
        <f>HYPERLINK("http://www.worldcat.org/oclc/366905","WorldCat Record")</f>
        <v/>
      </c>
      <c r="AW3317" t="inlineStr">
        <is>
          <t>3945671821:eng</t>
        </is>
      </c>
      <c r="AX3317" t="inlineStr">
        <is>
          <t>366905</t>
        </is>
      </c>
      <c r="AY3317" t="inlineStr">
        <is>
          <t>991002530119702656</t>
        </is>
      </c>
      <c r="AZ3317" t="inlineStr">
        <is>
          <t>991002530119702656</t>
        </is>
      </c>
      <c r="BA3317" t="inlineStr">
        <is>
          <t>2264590550002656</t>
        </is>
      </c>
      <c r="BB3317" t="inlineStr">
        <is>
          <t>BOOK</t>
        </is>
      </c>
      <c r="BE3317" t="inlineStr">
        <is>
          <t>32285003170965</t>
        </is>
      </c>
      <c r="BF3317" t="inlineStr">
        <is>
          <t>893867345</t>
        </is>
      </c>
    </row>
    <row r="3318">
      <c r="A3318" t="inlineStr">
        <is>
          <t>No</t>
        </is>
      </c>
      <c r="B3318" t="inlineStr">
        <is>
          <t>CURAL</t>
        </is>
      </c>
      <c r="C3318" t="inlineStr">
        <is>
          <t>SHELVES</t>
        </is>
      </c>
      <c r="D3318" t="inlineStr">
        <is>
          <t>PR6039.H52 Z615</t>
        </is>
      </c>
      <c r="E3318" t="inlineStr">
        <is>
          <t>0                      PR 6039000H  52                 Z  615</t>
        </is>
      </c>
      <c r="F3318" t="inlineStr">
        <is>
          <t>Dylan Thomas : a collection of critical essays / edited by C. B. Cox.</t>
        </is>
      </c>
      <c r="H3318" t="inlineStr">
        <is>
          <t>No</t>
        </is>
      </c>
      <c r="I3318" t="inlineStr">
        <is>
          <t>1</t>
        </is>
      </c>
      <c r="J3318" t="inlineStr">
        <is>
          <t>No</t>
        </is>
      </c>
      <c r="K3318" t="inlineStr">
        <is>
          <t>No</t>
        </is>
      </c>
      <c r="L3318" t="inlineStr">
        <is>
          <t>0</t>
        </is>
      </c>
      <c r="N3318" t="inlineStr">
        <is>
          <t>Englewood Cliffs, N.J. : Prentice-Hall, [1966]</t>
        </is>
      </c>
      <c r="O3318" t="inlineStr">
        <is>
          <t>1966</t>
        </is>
      </c>
      <c r="Q3318" t="inlineStr">
        <is>
          <t>eng</t>
        </is>
      </c>
      <c r="R3318" t="inlineStr">
        <is>
          <t>nju</t>
        </is>
      </c>
      <c r="S3318" t="inlineStr">
        <is>
          <t>Twentieth century views</t>
        </is>
      </c>
      <c r="T3318" t="inlineStr">
        <is>
          <t xml:space="preserve">PR </t>
        </is>
      </c>
      <c r="U3318" t="n">
        <v>3</v>
      </c>
      <c r="V3318" t="n">
        <v>3</v>
      </c>
      <c r="W3318" t="inlineStr">
        <is>
          <t>1993-01-29</t>
        </is>
      </c>
      <c r="X3318" t="inlineStr">
        <is>
          <t>1993-01-29</t>
        </is>
      </c>
      <c r="Y3318" t="inlineStr">
        <is>
          <t>1990-03-01</t>
        </is>
      </c>
      <c r="Z3318" t="inlineStr">
        <is>
          <t>1990-03-01</t>
        </is>
      </c>
      <c r="AA3318" t="n">
        <v>2131</v>
      </c>
      <c r="AB3318" t="n">
        <v>1928</v>
      </c>
      <c r="AC3318" t="n">
        <v>1999</v>
      </c>
      <c r="AD3318" t="n">
        <v>16</v>
      </c>
      <c r="AE3318" t="n">
        <v>16</v>
      </c>
      <c r="AF3318" t="n">
        <v>57</v>
      </c>
      <c r="AG3318" t="n">
        <v>59</v>
      </c>
      <c r="AH3318" t="n">
        <v>25</v>
      </c>
      <c r="AI3318" t="n">
        <v>26</v>
      </c>
      <c r="AJ3318" t="n">
        <v>9</v>
      </c>
      <c r="AK3318" t="n">
        <v>10</v>
      </c>
      <c r="AL3318" t="n">
        <v>23</v>
      </c>
      <c r="AM3318" t="n">
        <v>24</v>
      </c>
      <c r="AN3318" t="n">
        <v>13</v>
      </c>
      <c r="AO3318" t="n">
        <v>13</v>
      </c>
      <c r="AP3318" t="n">
        <v>0</v>
      </c>
      <c r="AQ3318" t="n">
        <v>0</v>
      </c>
      <c r="AR3318" t="inlineStr">
        <is>
          <t>No</t>
        </is>
      </c>
      <c r="AS3318" t="inlineStr">
        <is>
          <t>Yes</t>
        </is>
      </c>
      <c r="AT3318">
        <f>HYPERLINK("http://catalog.hathitrust.org/Record/001187169","HathiTrust Record")</f>
        <v/>
      </c>
      <c r="AU3318">
        <f>HYPERLINK("https://creighton-primo.hosted.exlibrisgroup.com/primo-explore/search?tab=default_tab&amp;search_scope=EVERYTHING&amp;vid=01CRU&amp;lang=en_US&amp;offset=0&amp;query=any,contains,991003182259702656","Catalog Record")</f>
        <v/>
      </c>
      <c r="AV3318">
        <f>HYPERLINK("http://www.worldcat.org/oclc/711968","WorldCat Record")</f>
        <v/>
      </c>
      <c r="AW3318" t="inlineStr">
        <is>
          <t>3901173442:eng</t>
        </is>
      </c>
      <c r="AX3318" t="inlineStr">
        <is>
          <t>711968</t>
        </is>
      </c>
      <c r="AY3318" t="inlineStr">
        <is>
          <t>991003182259702656</t>
        </is>
      </c>
      <c r="AZ3318" t="inlineStr">
        <is>
          <t>991003182259702656</t>
        </is>
      </c>
      <c r="BA3318" t="inlineStr">
        <is>
          <t>2261877050002656</t>
        </is>
      </c>
      <c r="BB3318" t="inlineStr">
        <is>
          <t>BOOK</t>
        </is>
      </c>
      <c r="BE3318" t="inlineStr">
        <is>
          <t>32285000063346</t>
        </is>
      </c>
      <c r="BF3318" t="inlineStr">
        <is>
          <t>893874503</t>
        </is>
      </c>
    </row>
    <row r="3319">
      <c r="A3319" t="inlineStr">
        <is>
          <t>No</t>
        </is>
      </c>
      <c r="B3319" t="inlineStr">
        <is>
          <t>CURAL</t>
        </is>
      </c>
      <c r="C3319" t="inlineStr">
        <is>
          <t>SHELVES</t>
        </is>
      </c>
      <c r="D3319" t="inlineStr">
        <is>
          <t>PR6039.H52 Z6228 1990</t>
        </is>
      </c>
      <c r="E3319" t="inlineStr">
        <is>
          <t>0                      PR 6039000H  52                 Z  6228        1990</t>
        </is>
      </c>
      <c r="F3319" t="inlineStr">
        <is>
          <t>Dylan Thomas / Walford Davies.</t>
        </is>
      </c>
      <c r="H3319" t="inlineStr">
        <is>
          <t>No</t>
        </is>
      </c>
      <c r="I3319" t="inlineStr">
        <is>
          <t>1</t>
        </is>
      </c>
      <c r="J3319" t="inlineStr">
        <is>
          <t>No</t>
        </is>
      </c>
      <c r="K3319" t="inlineStr">
        <is>
          <t>No</t>
        </is>
      </c>
      <c r="L3319" t="inlineStr">
        <is>
          <t>0</t>
        </is>
      </c>
      <c r="M3319" t="inlineStr">
        <is>
          <t>Davies, Walford, 1940-</t>
        </is>
      </c>
      <c r="N3319" t="inlineStr">
        <is>
          <t>New York : St. Martin's Press, 1990.</t>
        </is>
      </c>
      <c r="O3319" t="inlineStr">
        <is>
          <t>1990</t>
        </is>
      </c>
      <c r="Q3319" t="inlineStr">
        <is>
          <t>eng</t>
        </is>
      </c>
      <c r="R3319" t="inlineStr">
        <is>
          <t>nyu</t>
        </is>
      </c>
      <c r="T3319" t="inlineStr">
        <is>
          <t xml:space="preserve">PR </t>
        </is>
      </c>
      <c r="U3319" t="n">
        <v>2</v>
      </c>
      <c r="V3319" t="n">
        <v>2</v>
      </c>
      <c r="W3319" t="inlineStr">
        <is>
          <t>1992-04-01</t>
        </is>
      </c>
      <c r="X3319" t="inlineStr">
        <is>
          <t>1992-04-01</t>
        </is>
      </c>
      <c r="Y3319" t="inlineStr">
        <is>
          <t>1991-03-08</t>
        </is>
      </c>
      <c r="Z3319" t="inlineStr">
        <is>
          <t>1991-03-08</t>
        </is>
      </c>
      <c r="AA3319" t="n">
        <v>131</v>
      </c>
      <c r="AB3319" t="n">
        <v>119</v>
      </c>
      <c r="AC3319" t="n">
        <v>883</v>
      </c>
      <c r="AD3319" t="n">
        <v>1</v>
      </c>
      <c r="AE3319" t="n">
        <v>8</v>
      </c>
      <c r="AF3319" t="n">
        <v>8</v>
      </c>
      <c r="AG3319" t="n">
        <v>42</v>
      </c>
      <c r="AH3319" t="n">
        <v>2</v>
      </c>
      <c r="AI3319" t="n">
        <v>17</v>
      </c>
      <c r="AJ3319" t="n">
        <v>3</v>
      </c>
      <c r="AK3319" t="n">
        <v>10</v>
      </c>
      <c r="AL3319" t="n">
        <v>6</v>
      </c>
      <c r="AM3319" t="n">
        <v>17</v>
      </c>
      <c r="AN3319" t="n">
        <v>0</v>
      </c>
      <c r="AO3319" t="n">
        <v>7</v>
      </c>
      <c r="AP3319" t="n">
        <v>0</v>
      </c>
      <c r="AQ3319" t="n">
        <v>1</v>
      </c>
      <c r="AR3319" t="inlineStr">
        <is>
          <t>No</t>
        </is>
      </c>
      <c r="AS3319" t="inlineStr">
        <is>
          <t>No</t>
        </is>
      </c>
      <c r="AU3319">
        <f>HYPERLINK("https://creighton-primo.hosted.exlibrisgroup.com/primo-explore/search?tab=default_tab&amp;search_scope=EVERYTHING&amp;vid=01CRU&amp;lang=en_US&amp;offset=0&amp;query=any,contains,991001712029702656","Catalog Record")</f>
        <v/>
      </c>
      <c r="AV3319">
        <f>HYPERLINK("http://www.worldcat.org/oclc/21600804","WorldCat Record")</f>
        <v/>
      </c>
      <c r="AW3319" t="inlineStr">
        <is>
          <t>2095150243:eng</t>
        </is>
      </c>
      <c r="AX3319" t="inlineStr">
        <is>
          <t>21600804</t>
        </is>
      </c>
      <c r="AY3319" t="inlineStr">
        <is>
          <t>991001712029702656</t>
        </is>
      </c>
      <c r="AZ3319" t="inlineStr">
        <is>
          <t>991001712029702656</t>
        </is>
      </c>
      <c r="BA3319" t="inlineStr">
        <is>
          <t>2261336620002656</t>
        </is>
      </c>
      <c r="BB3319" t="inlineStr">
        <is>
          <t>BOOK</t>
        </is>
      </c>
      <c r="BD3319" t="inlineStr">
        <is>
          <t>9780312048983</t>
        </is>
      </c>
      <c r="BE3319" t="inlineStr">
        <is>
          <t>32285000493782</t>
        </is>
      </c>
      <c r="BF3319" t="inlineStr">
        <is>
          <t>893803819</t>
        </is>
      </c>
    </row>
    <row r="3320">
      <c r="A3320" t="inlineStr">
        <is>
          <t>No</t>
        </is>
      </c>
      <c r="B3320" t="inlineStr">
        <is>
          <t>CURAL</t>
        </is>
      </c>
      <c r="C3320" t="inlineStr">
        <is>
          <t>SHELVES</t>
        </is>
      </c>
      <c r="D3320" t="inlineStr">
        <is>
          <t>PR6039.H52 Z63 1971</t>
        </is>
      </c>
      <c r="E3320" t="inlineStr">
        <is>
          <t>0                      PR 6039000H  52                 Z  63          1971</t>
        </is>
      </c>
      <c r="F3320" t="inlineStr">
        <is>
          <t>The world of Dylan Thomas / [by] Clark Emery.</t>
        </is>
      </c>
      <c r="H3320" t="inlineStr">
        <is>
          <t>No</t>
        </is>
      </c>
      <c r="I3320" t="inlineStr">
        <is>
          <t>1</t>
        </is>
      </c>
      <c r="J3320" t="inlineStr">
        <is>
          <t>No</t>
        </is>
      </c>
      <c r="K3320" t="inlineStr">
        <is>
          <t>No</t>
        </is>
      </c>
      <c r="L3320" t="inlineStr">
        <is>
          <t>0</t>
        </is>
      </c>
      <c r="M3320" t="inlineStr">
        <is>
          <t>Emery, Clark, 1909-2009.</t>
        </is>
      </c>
      <c r="N3320" t="inlineStr">
        <is>
          <t>London : Dent, 1971.</t>
        </is>
      </c>
      <c r="O3320" t="inlineStr">
        <is>
          <t>1971</t>
        </is>
      </c>
      <c r="Q3320" t="inlineStr">
        <is>
          <t>eng</t>
        </is>
      </c>
      <c r="R3320" t="inlineStr">
        <is>
          <t>enk</t>
        </is>
      </c>
      <c r="T3320" t="inlineStr">
        <is>
          <t xml:space="preserve">PR </t>
        </is>
      </c>
      <c r="U3320" t="n">
        <v>5</v>
      </c>
      <c r="V3320" t="n">
        <v>5</v>
      </c>
      <c r="W3320" t="inlineStr">
        <is>
          <t>1994-04-17</t>
        </is>
      </c>
      <c r="X3320" t="inlineStr">
        <is>
          <t>1994-04-17</t>
        </is>
      </c>
      <c r="Y3320" t="inlineStr">
        <is>
          <t>1990-04-04</t>
        </is>
      </c>
      <c r="Z3320" t="inlineStr">
        <is>
          <t>1990-04-04</t>
        </is>
      </c>
      <c r="AA3320" t="n">
        <v>159</v>
      </c>
      <c r="AB3320" t="n">
        <v>30</v>
      </c>
      <c r="AC3320" t="n">
        <v>973</v>
      </c>
      <c r="AD3320" t="n">
        <v>1</v>
      </c>
      <c r="AE3320" t="n">
        <v>8</v>
      </c>
      <c r="AF3320" t="n">
        <v>0</v>
      </c>
      <c r="AG3320" t="n">
        <v>41</v>
      </c>
      <c r="AH3320" t="n">
        <v>0</v>
      </c>
      <c r="AI3320" t="n">
        <v>20</v>
      </c>
      <c r="AJ3320" t="n">
        <v>0</v>
      </c>
      <c r="AK3320" t="n">
        <v>8</v>
      </c>
      <c r="AL3320" t="n">
        <v>0</v>
      </c>
      <c r="AM3320" t="n">
        <v>14</v>
      </c>
      <c r="AN3320" t="n">
        <v>0</v>
      </c>
      <c r="AO3320" t="n">
        <v>6</v>
      </c>
      <c r="AP3320" t="n">
        <v>0</v>
      </c>
      <c r="AQ3320" t="n">
        <v>0</v>
      </c>
      <c r="AR3320" t="inlineStr">
        <is>
          <t>No</t>
        </is>
      </c>
      <c r="AS3320" t="inlineStr">
        <is>
          <t>No</t>
        </is>
      </c>
      <c r="AU3320">
        <f>HYPERLINK("https://creighton-primo.hosted.exlibrisgroup.com/primo-explore/search?tab=default_tab&amp;search_scope=EVERYTHING&amp;vid=01CRU&amp;lang=en_US&amp;offset=0&amp;query=any,contains,991001385589702656","Catalog Record")</f>
        <v/>
      </c>
      <c r="AV3320">
        <f>HYPERLINK("http://www.worldcat.org/oclc/226758","WorldCat Record")</f>
        <v/>
      </c>
      <c r="AW3320" t="inlineStr">
        <is>
          <t>10792634855:eng</t>
        </is>
      </c>
      <c r="AX3320" t="inlineStr">
        <is>
          <t>226758</t>
        </is>
      </c>
      <c r="AY3320" t="inlineStr">
        <is>
          <t>991001385589702656</t>
        </is>
      </c>
      <c r="AZ3320" t="inlineStr">
        <is>
          <t>991001385589702656</t>
        </is>
      </c>
      <c r="BA3320" t="inlineStr">
        <is>
          <t>2263232090002656</t>
        </is>
      </c>
      <c r="BB3320" t="inlineStr">
        <is>
          <t>BOOK</t>
        </is>
      </c>
      <c r="BD3320" t="inlineStr">
        <is>
          <t>9780460039215</t>
        </is>
      </c>
      <c r="BE3320" t="inlineStr">
        <is>
          <t>32285000101823</t>
        </is>
      </c>
      <c r="BF3320" t="inlineStr">
        <is>
          <t>893256214</t>
        </is>
      </c>
    </row>
    <row r="3321">
      <c r="A3321" t="inlineStr">
        <is>
          <t>No</t>
        </is>
      </c>
      <c r="B3321" t="inlineStr">
        <is>
          <t>CURAL</t>
        </is>
      </c>
      <c r="C3321" t="inlineStr">
        <is>
          <t>SHELVES</t>
        </is>
      </c>
      <c r="D3321" t="inlineStr">
        <is>
          <t>PR6039.H52 Z637</t>
        </is>
      </c>
      <c r="E3321" t="inlineStr">
        <is>
          <t>0                      PR 6039000H  52                 Z  637</t>
        </is>
      </c>
      <c r="F3321" t="inlineStr">
        <is>
          <t>Dylan Thomas / by Paul Ferris.</t>
        </is>
      </c>
      <c r="H3321" t="inlineStr">
        <is>
          <t>No</t>
        </is>
      </c>
      <c r="I3321" t="inlineStr">
        <is>
          <t>1</t>
        </is>
      </c>
      <c r="J3321" t="inlineStr">
        <is>
          <t>No</t>
        </is>
      </c>
      <c r="K3321" t="inlineStr">
        <is>
          <t>Yes</t>
        </is>
      </c>
      <c r="L3321" t="inlineStr">
        <is>
          <t>0</t>
        </is>
      </c>
      <c r="M3321" t="inlineStr">
        <is>
          <t>Ferris, Paul, 1929-</t>
        </is>
      </c>
      <c r="N3321" t="inlineStr">
        <is>
          <t>New York : Dial Press, c1977.</t>
        </is>
      </c>
      <c r="O3321" t="inlineStr">
        <is>
          <t>1977</t>
        </is>
      </c>
      <c r="Q3321" t="inlineStr">
        <is>
          <t>eng</t>
        </is>
      </c>
      <c r="R3321" t="inlineStr">
        <is>
          <t>nyu</t>
        </is>
      </c>
      <c r="T3321" t="inlineStr">
        <is>
          <t xml:space="preserve">PR </t>
        </is>
      </c>
      <c r="U3321" t="n">
        <v>5</v>
      </c>
      <c r="V3321" t="n">
        <v>5</v>
      </c>
      <c r="W3321" t="inlineStr">
        <is>
          <t>1995-04-24</t>
        </is>
      </c>
      <c r="X3321" t="inlineStr">
        <is>
          <t>1995-04-24</t>
        </is>
      </c>
      <c r="Y3321" t="inlineStr">
        <is>
          <t>1991-02-14</t>
        </is>
      </c>
      <c r="Z3321" t="inlineStr">
        <is>
          <t>1991-02-14</t>
        </is>
      </c>
      <c r="AA3321" t="n">
        <v>1927</v>
      </c>
      <c r="AB3321" t="n">
        <v>1815</v>
      </c>
      <c r="AC3321" t="n">
        <v>2122</v>
      </c>
      <c r="AD3321" t="n">
        <v>12</v>
      </c>
      <c r="AE3321" t="n">
        <v>14</v>
      </c>
      <c r="AF3321" t="n">
        <v>46</v>
      </c>
      <c r="AG3321" t="n">
        <v>54</v>
      </c>
      <c r="AH3321" t="n">
        <v>21</v>
      </c>
      <c r="AI3321" t="n">
        <v>26</v>
      </c>
      <c r="AJ3321" t="n">
        <v>9</v>
      </c>
      <c r="AK3321" t="n">
        <v>11</v>
      </c>
      <c r="AL3321" t="n">
        <v>22</v>
      </c>
      <c r="AM3321" t="n">
        <v>23</v>
      </c>
      <c r="AN3321" t="n">
        <v>6</v>
      </c>
      <c r="AO3321" t="n">
        <v>8</v>
      </c>
      <c r="AP3321" t="n">
        <v>0</v>
      </c>
      <c r="AQ3321" t="n">
        <v>0</v>
      </c>
      <c r="AR3321" t="inlineStr">
        <is>
          <t>No</t>
        </is>
      </c>
      <c r="AS3321" t="inlineStr">
        <is>
          <t>Yes</t>
        </is>
      </c>
      <c r="AT3321">
        <f>HYPERLINK("http://catalog.hathitrust.org/Record/000736945","HathiTrust Record")</f>
        <v/>
      </c>
      <c r="AU3321">
        <f>HYPERLINK("https://creighton-primo.hosted.exlibrisgroup.com/primo-explore/search?tab=default_tab&amp;search_scope=EVERYTHING&amp;vid=01CRU&amp;lang=en_US&amp;offset=0&amp;query=any,contains,991004190839702656","Catalog Record")</f>
        <v/>
      </c>
      <c r="AV3321">
        <f>HYPERLINK("http://www.worldcat.org/oclc/2632779","WorldCat Record")</f>
        <v/>
      </c>
      <c r="AW3321" t="inlineStr">
        <is>
          <t>132856107:eng</t>
        </is>
      </c>
      <c r="AX3321" t="inlineStr">
        <is>
          <t>2632779</t>
        </is>
      </c>
      <c r="AY3321" t="inlineStr">
        <is>
          <t>991004190839702656</t>
        </is>
      </c>
      <c r="AZ3321" t="inlineStr">
        <is>
          <t>991004190839702656</t>
        </is>
      </c>
      <c r="BA3321" t="inlineStr">
        <is>
          <t>2271693380002656</t>
        </is>
      </c>
      <c r="BB3321" t="inlineStr">
        <is>
          <t>BOOK</t>
        </is>
      </c>
      <c r="BD3321" t="inlineStr">
        <is>
          <t>9780803719477</t>
        </is>
      </c>
      <c r="BE3321" t="inlineStr">
        <is>
          <t>32285000510718</t>
        </is>
      </c>
      <c r="BF3321" t="inlineStr">
        <is>
          <t>893775741</t>
        </is>
      </c>
    </row>
    <row r="3322">
      <c r="A3322" t="inlineStr">
        <is>
          <t>No</t>
        </is>
      </c>
      <c r="B3322" t="inlineStr">
        <is>
          <t>CURAL</t>
        </is>
      </c>
      <c r="C3322" t="inlineStr">
        <is>
          <t>SHELVES</t>
        </is>
      </c>
      <c r="D3322" t="inlineStr">
        <is>
          <t>PR6039.H52 Z637 2000</t>
        </is>
      </c>
      <c r="E3322" t="inlineStr">
        <is>
          <t>0                      PR 6039000H  52                 Z  637         2000</t>
        </is>
      </c>
      <c r="F3322" t="inlineStr">
        <is>
          <t>Dylan Thomas : the biography / Paul Ferris.</t>
        </is>
      </c>
      <c r="H3322" t="inlineStr">
        <is>
          <t>No</t>
        </is>
      </c>
      <c r="I3322" t="inlineStr">
        <is>
          <t>1</t>
        </is>
      </c>
      <c r="J3322" t="inlineStr">
        <is>
          <t>No</t>
        </is>
      </c>
      <c r="K3322" t="inlineStr">
        <is>
          <t>Yes</t>
        </is>
      </c>
      <c r="L3322" t="inlineStr">
        <is>
          <t>0</t>
        </is>
      </c>
      <c r="M3322" t="inlineStr">
        <is>
          <t>Ferris, Paul, 1929-</t>
        </is>
      </c>
      <c r="N3322" t="inlineStr">
        <is>
          <t>Washington, DC : Counterpoint, 2000.</t>
        </is>
      </c>
      <c r="O3322" t="inlineStr">
        <is>
          <t>2000</t>
        </is>
      </c>
      <c r="P3322" t="inlineStr">
        <is>
          <t>New ed.</t>
        </is>
      </c>
      <c r="Q3322" t="inlineStr">
        <is>
          <t>eng</t>
        </is>
      </c>
      <c r="R3322" t="inlineStr">
        <is>
          <t>dcu</t>
        </is>
      </c>
      <c r="T3322" t="inlineStr">
        <is>
          <t xml:space="preserve">PR </t>
        </is>
      </c>
      <c r="U3322" t="n">
        <v>2</v>
      </c>
      <c r="V3322" t="n">
        <v>2</v>
      </c>
      <c r="W3322" t="inlineStr">
        <is>
          <t>2001-10-23</t>
        </is>
      </c>
      <c r="X3322" t="inlineStr">
        <is>
          <t>2001-10-23</t>
        </is>
      </c>
      <c r="Y3322" t="inlineStr">
        <is>
          <t>2001-10-23</t>
        </is>
      </c>
      <c r="Z3322" t="inlineStr">
        <is>
          <t>2001-10-23</t>
        </is>
      </c>
      <c r="AA3322" t="n">
        <v>466</v>
      </c>
      <c r="AB3322" t="n">
        <v>428</v>
      </c>
      <c r="AC3322" t="n">
        <v>2122</v>
      </c>
      <c r="AD3322" t="n">
        <v>4</v>
      </c>
      <c r="AE3322" t="n">
        <v>14</v>
      </c>
      <c r="AF3322" t="n">
        <v>20</v>
      </c>
      <c r="AG3322" t="n">
        <v>54</v>
      </c>
      <c r="AH3322" t="n">
        <v>10</v>
      </c>
      <c r="AI3322" t="n">
        <v>26</v>
      </c>
      <c r="AJ3322" t="n">
        <v>6</v>
      </c>
      <c r="AK3322" t="n">
        <v>11</v>
      </c>
      <c r="AL3322" t="n">
        <v>8</v>
      </c>
      <c r="AM3322" t="n">
        <v>23</v>
      </c>
      <c r="AN3322" t="n">
        <v>3</v>
      </c>
      <c r="AO3322" t="n">
        <v>8</v>
      </c>
      <c r="AP3322" t="n">
        <v>0</v>
      </c>
      <c r="AQ3322" t="n">
        <v>0</v>
      </c>
      <c r="AR3322" t="inlineStr">
        <is>
          <t>No</t>
        </is>
      </c>
      <c r="AS3322" t="inlineStr">
        <is>
          <t>No</t>
        </is>
      </c>
      <c r="AU3322">
        <f>HYPERLINK("https://creighton-primo.hosted.exlibrisgroup.com/primo-explore/search?tab=default_tab&amp;search_scope=EVERYTHING&amp;vid=01CRU&amp;lang=en_US&amp;offset=0&amp;query=any,contains,991003636589702656","Catalog Record")</f>
        <v/>
      </c>
      <c r="AV3322">
        <f>HYPERLINK("http://www.worldcat.org/oclc/42798135","WorldCat Record")</f>
        <v/>
      </c>
      <c r="AW3322" t="inlineStr">
        <is>
          <t>132856107:eng</t>
        </is>
      </c>
      <c r="AX3322" t="inlineStr">
        <is>
          <t>42798135</t>
        </is>
      </c>
      <c r="AY3322" t="inlineStr">
        <is>
          <t>991003636589702656</t>
        </is>
      </c>
      <c r="AZ3322" t="inlineStr">
        <is>
          <t>991003636589702656</t>
        </is>
      </c>
      <c r="BA3322" t="inlineStr">
        <is>
          <t>2267349540002656</t>
        </is>
      </c>
      <c r="BB3322" t="inlineStr">
        <is>
          <t>BOOK</t>
        </is>
      </c>
      <c r="BD3322" t="inlineStr">
        <is>
          <t>9781582430751</t>
        </is>
      </c>
      <c r="BE3322" t="inlineStr">
        <is>
          <t>32285004399415</t>
        </is>
      </c>
      <c r="BF3322" t="inlineStr">
        <is>
          <t>893900204</t>
        </is>
      </c>
    </row>
    <row r="3323">
      <c r="A3323" t="inlineStr">
        <is>
          <t>No</t>
        </is>
      </c>
      <c r="B3323" t="inlineStr">
        <is>
          <t>CURAL</t>
        </is>
      </c>
      <c r="C3323" t="inlineStr">
        <is>
          <t>SHELVES</t>
        </is>
      </c>
      <c r="D3323" t="inlineStr">
        <is>
          <t>PR6039.H52 Z67</t>
        </is>
      </c>
      <c r="E3323" t="inlineStr">
        <is>
          <t>0                      PR 6039000H  52                 Z  67</t>
        </is>
      </c>
      <c r="F3323" t="inlineStr">
        <is>
          <t>Dylan Thomas and poetic dissociation / with a pref. by Harry T. Moore.</t>
        </is>
      </c>
      <c r="H3323" t="inlineStr">
        <is>
          <t>No</t>
        </is>
      </c>
      <c r="I3323" t="inlineStr">
        <is>
          <t>1</t>
        </is>
      </c>
      <c r="J3323" t="inlineStr">
        <is>
          <t>No</t>
        </is>
      </c>
      <c r="K3323" t="inlineStr">
        <is>
          <t>No</t>
        </is>
      </c>
      <c r="L3323" t="inlineStr">
        <is>
          <t>0</t>
        </is>
      </c>
      <c r="M3323" t="inlineStr">
        <is>
          <t>Holbrook, David, 1923-2011.</t>
        </is>
      </c>
      <c r="N3323" t="inlineStr">
        <is>
          <t>Carbondale : Southern Illinois University Press, [1964]</t>
        </is>
      </c>
      <c r="O3323" t="inlineStr">
        <is>
          <t>1964</t>
        </is>
      </c>
      <c r="Q3323" t="inlineStr">
        <is>
          <t>eng</t>
        </is>
      </c>
      <c r="R3323" t="inlineStr">
        <is>
          <t>ilu</t>
        </is>
      </c>
      <c r="S3323" t="inlineStr">
        <is>
          <t>Crosscurrents/modern critiques</t>
        </is>
      </c>
      <c r="T3323" t="inlineStr">
        <is>
          <t xml:space="preserve">PR </t>
        </is>
      </c>
      <c r="U3323" t="n">
        <v>4</v>
      </c>
      <c r="V3323" t="n">
        <v>4</v>
      </c>
      <c r="W3323" t="inlineStr">
        <is>
          <t>2000-10-24</t>
        </is>
      </c>
      <c r="X3323" t="inlineStr">
        <is>
          <t>2000-10-24</t>
        </is>
      </c>
      <c r="Y3323" t="inlineStr">
        <is>
          <t>1992-03-03</t>
        </is>
      </c>
      <c r="Z3323" t="inlineStr">
        <is>
          <t>1992-03-03</t>
        </is>
      </c>
      <c r="AA3323" t="n">
        <v>997</v>
      </c>
      <c r="AB3323" t="n">
        <v>916</v>
      </c>
      <c r="AC3323" t="n">
        <v>924</v>
      </c>
      <c r="AD3323" t="n">
        <v>6</v>
      </c>
      <c r="AE3323" t="n">
        <v>6</v>
      </c>
      <c r="AF3323" t="n">
        <v>41</v>
      </c>
      <c r="AG3323" t="n">
        <v>41</v>
      </c>
      <c r="AH3323" t="n">
        <v>20</v>
      </c>
      <c r="AI3323" t="n">
        <v>20</v>
      </c>
      <c r="AJ3323" t="n">
        <v>8</v>
      </c>
      <c r="AK3323" t="n">
        <v>8</v>
      </c>
      <c r="AL3323" t="n">
        <v>20</v>
      </c>
      <c r="AM3323" t="n">
        <v>20</v>
      </c>
      <c r="AN3323" t="n">
        <v>5</v>
      </c>
      <c r="AO3323" t="n">
        <v>5</v>
      </c>
      <c r="AP3323" t="n">
        <v>0</v>
      </c>
      <c r="AQ3323" t="n">
        <v>0</v>
      </c>
      <c r="AR3323" t="inlineStr">
        <is>
          <t>No</t>
        </is>
      </c>
      <c r="AS3323" t="inlineStr">
        <is>
          <t>Yes</t>
        </is>
      </c>
      <c r="AT3323">
        <f>HYPERLINK("http://catalog.hathitrust.org/Record/001187176","HathiTrust Record")</f>
        <v/>
      </c>
      <c r="AU3323">
        <f>HYPERLINK("https://creighton-primo.hosted.exlibrisgroup.com/primo-explore/search?tab=default_tab&amp;search_scope=EVERYTHING&amp;vid=01CRU&amp;lang=en_US&amp;offset=0&amp;query=any,contains,991002256459702656","Catalog Record")</f>
        <v/>
      </c>
      <c r="AV3323">
        <f>HYPERLINK("http://www.worldcat.org/oclc/301905","WorldCat Record")</f>
        <v/>
      </c>
      <c r="AW3323" t="inlineStr">
        <is>
          <t>1345477:eng</t>
        </is>
      </c>
      <c r="AX3323" t="inlineStr">
        <is>
          <t>301905</t>
        </is>
      </c>
      <c r="AY3323" t="inlineStr">
        <is>
          <t>991002256459702656</t>
        </is>
      </c>
      <c r="AZ3323" t="inlineStr">
        <is>
          <t>991002256459702656</t>
        </is>
      </c>
      <c r="BA3323" t="inlineStr">
        <is>
          <t>2271661370002656</t>
        </is>
      </c>
      <c r="BB3323" t="inlineStr">
        <is>
          <t>BOOK</t>
        </is>
      </c>
      <c r="BE3323" t="inlineStr">
        <is>
          <t>32285000979780</t>
        </is>
      </c>
      <c r="BF3323" t="inlineStr">
        <is>
          <t>893866983</t>
        </is>
      </c>
    </row>
    <row r="3324">
      <c r="A3324" t="inlineStr">
        <is>
          <t>No</t>
        </is>
      </c>
      <c r="B3324" t="inlineStr">
        <is>
          <t>CURAL</t>
        </is>
      </c>
      <c r="C3324" t="inlineStr">
        <is>
          <t>SHELVES</t>
        </is>
      </c>
      <c r="D3324" t="inlineStr">
        <is>
          <t>PR6039.H52 Z733</t>
        </is>
      </c>
      <c r="E3324" t="inlineStr">
        <is>
          <t>0                      PR 6039000H  52                 Z  733</t>
        </is>
      </c>
      <c r="F3324" t="inlineStr">
        <is>
          <t>Dylan Thomas / R. B. Kershner, Jr.</t>
        </is>
      </c>
      <c r="H3324" t="inlineStr">
        <is>
          <t>No</t>
        </is>
      </c>
      <c r="I3324" t="inlineStr">
        <is>
          <t>1</t>
        </is>
      </c>
      <c r="J3324" t="inlineStr">
        <is>
          <t>No</t>
        </is>
      </c>
      <c r="K3324" t="inlineStr">
        <is>
          <t>No</t>
        </is>
      </c>
      <c r="L3324" t="inlineStr">
        <is>
          <t>0</t>
        </is>
      </c>
      <c r="M3324" t="inlineStr">
        <is>
          <t>Kershner, R. B., 1944-</t>
        </is>
      </c>
      <c r="N3324" t="inlineStr">
        <is>
          <t>Chicago : American Library Association, 1976.</t>
        </is>
      </c>
      <c r="O3324" t="inlineStr">
        <is>
          <t>1976</t>
        </is>
      </c>
      <c r="Q3324" t="inlineStr">
        <is>
          <t>eng</t>
        </is>
      </c>
      <c r="R3324" t="inlineStr">
        <is>
          <t>ilu</t>
        </is>
      </c>
      <c r="S3324" t="inlineStr">
        <is>
          <t>The poet and his critics</t>
        </is>
      </c>
      <c r="T3324" t="inlineStr">
        <is>
          <t xml:space="preserve">PR </t>
        </is>
      </c>
      <c r="U3324" t="n">
        <v>2</v>
      </c>
      <c r="V3324" t="n">
        <v>2</v>
      </c>
      <c r="W3324" t="inlineStr">
        <is>
          <t>1993-01-29</t>
        </is>
      </c>
      <c r="X3324" t="inlineStr">
        <is>
          <t>1993-01-29</t>
        </is>
      </c>
      <c r="Y3324" t="inlineStr">
        <is>
          <t>1990-03-05</t>
        </is>
      </c>
      <c r="Z3324" t="inlineStr">
        <is>
          <t>1990-03-05</t>
        </is>
      </c>
      <c r="AA3324" t="n">
        <v>892</v>
      </c>
      <c r="AB3324" t="n">
        <v>827</v>
      </c>
      <c r="AC3324" t="n">
        <v>871</v>
      </c>
      <c r="AD3324" t="n">
        <v>9</v>
      </c>
      <c r="AE3324" t="n">
        <v>9</v>
      </c>
      <c r="AF3324" t="n">
        <v>31</v>
      </c>
      <c r="AG3324" t="n">
        <v>33</v>
      </c>
      <c r="AH3324" t="n">
        <v>10</v>
      </c>
      <c r="AI3324" t="n">
        <v>11</v>
      </c>
      <c r="AJ3324" t="n">
        <v>7</v>
      </c>
      <c r="AK3324" t="n">
        <v>8</v>
      </c>
      <c r="AL3324" t="n">
        <v>12</v>
      </c>
      <c r="AM3324" t="n">
        <v>13</v>
      </c>
      <c r="AN3324" t="n">
        <v>8</v>
      </c>
      <c r="AO3324" t="n">
        <v>8</v>
      </c>
      <c r="AP3324" t="n">
        <v>0</v>
      </c>
      <c r="AQ3324" t="n">
        <v>0</v>
      </c>
      <c r="AR3324" t="inlineStr">
        <is>
          <t>No</t>
        </is>
      </c>
      <c r="AS3324" t="inlineStr">
        <is>
          <t>Yes</t>
        </is>
      </c>
      <c r="AT3324">
        <f>HYPERLINK("http://catalog.hathitrust.org/Record/001194739","HathiTrust Record")</f>
        <v/>
      </c>
      <c r="AU3324">
        <f>HYPERLINK("https://creighton-primo.hosted.exlibrisgroup.com/primo-explore/search?tab=default_tab&amp;search_scope=EVERYTHING&amp;vid=01CRU&amp;lang=en_US&amp;offset=0&amp;query=any,contains,991004139209702656","Catalog Record")</f>
        <v/>
      </c>
      <c r="AV3324">
        <f>HYPERLINK("http://www.worldcat.org/oclc/2493492","WorldCat Record")</f>
        <v/>
      </c>
      <c r="AW3324" t="inlineStr">
        <is>
          <t>503802:eng</t>
        </is>
      </c>
      <c r="AX3324" t="inlineStr">
        <is>
          <t>2493492</t>
        </is>
      </c>
      <c r="AY3324" t="inlineStr">
        <is>
          <t>991004139209702656</t>
        </is>
      </c>
      <c r="AZ3324" t="inlineStr">
        <is>
          <t>991004139209702656</t>
        </is>
      </c>
      <c r="BA3324" t="inlineStr">
        <is>
          <t>2256509580002656</t>
        </is>
      </c>
      <c r="BB3324" t="inlineStr">
        <is>
          <t>BOOK</t>
        </is>
      </c>
      <c r="BD3324" t="inlineStr">
        <is>
          <t>9780838902264</t>
        </is>
      </c>
      <c r="BE3324" t="inlineStr">
        <is>
          <t>32285000064500</t>
        </is>
      </c>
      <c r="BF3324" t="inlineStr">
        <is>
          <t>893624388</t>
        </is>
      </c>
    </row>
    <row r="3325">
      <c r="A3325" t="inlineStr">
        <is>
          <t>No</t>
        </is>
      </c>
      <c r="B3325" t="inlineStr">
        <is>
          <t>CURAL</t>
        </is>
      </c>
      <c r="C3325" t="inlineStr">
        <is>
          <t>SHELVES</t>
        </is>
      </c>
      <c r="D3325" t="inlineStr">
        <is>
          <t>PR6039.H52 Z75</t>
        </is>
      </c>
      <c r="E3325" t="inlineStr">
        <is>
          <t>0                      PR 6039000H  52                 Z  75</t>
        </is>
      </c>
      <c r="F3325" t="inlineStr">
        <is>
          <t>Dylan Thomas.</t>
        </is>
      </c>
      <c r="H3325" t="inlineStr">
        <is>
          <t>No</t>
        </is>
      </c>
      <c r="I3325" t="inlineStr">
        <is>
          <t>1</t>
        </is>
      </c>
      <c r="J3325" t="inlineStr">
        <is>
          <t>No</t>
        </is>
      </c>
      <c r="K3325" t="inlineStr">
        <is>
          <t>Yes</t>
        </is>
      </c>
      <c r="L3325" t="inlineStr">
        <is>
          <t>0</t>
        </is>
      </c>
      <c r="M3325" t="inlineStr">
        <is>
          <t>Korg, Jacob.</t>
        </is>
      </c>
      <c r="N3325" t="inlineStr">
        <is>
          <t>New York : Twayne Publishers, [1965]</t>
        </is>
      </c>
      <c r="O3325" t="inlineStr">
        <is>
          <t>1965</t>
        </is>
      </c>
      <c r="Q3325" t="inlineStr">
        <is>
          <t>eng</t>
        </is>
      </c>
      <c r="R3325" t="inlineStr">
        <is>
          <t>nyu</t>
        </is>
      </c>
      <c r="S3325" t="inlineStr">
        <is>
          <t>Twayne's English authors series, 20</t>
        </is>
      </c>
      <c r="T3325" t="inlineStr">
        <is>
          <t xml:space="preserve">PR </t>
        </is>
      </c>
      <c r="U3325" t="n">
        <v>2</v>
      </c>
      <c r="V3325" t="n">
        <v>2</v>
      </c>
      <c r="W3325" t="inlineStr">
        <is>
          <t>1992-11-24</t>
        </is>
      </c>
      <c r="X3325" t="inlineStr">
        <is>
          <t>1992-11-24</t>
        </is>
      </c>
      <c r="Y3325" t="inlineStr">
        <is>
          <t>1990-04-04</t>
        </is>
      </c>
      <c r="Z3325" t="inlineStr">
        <is>
          <t>1990-04-04</t>
        </is>
      </c>
      <c r="AA3325" t="n">
        <v>1633</v>
      </c>
      <c r="AB3325" t="n">
        <v>1487</v>
      </c>
      <c r="AC3325" t="n">
        <v>1857</v>
      </c>
      <c r="AD3325" t="n">
        <v>9</v>
      </c>
      <c r="AE3325" t="n">
        <v>14</v>
      </c>
      <c r="AF3325" t="n">
        <v>41</v>
      </c>
      <c r="AG3325" t="n">
        <v>55</v>
      </c>
      <c r="AH3325" t="n">
        <v>18</v>
      </c>
      <c r="AI3325" t="n">
        <v>21</v>
      </c>
      <c r="AJ3325" t="n">
        <v>9</v>
      </c>
      <c r="AK3325" t="n">
        <v>11</v>
      </c>
      <c r="AL3325" t="n">
        <v>18</v>
      </c>
      <c r="AM3325" t="n">
        <v>23</v>
      </c>
      <c r="AN3325" t="n">
        <v>7</v>
      </c>
      <c r="AO3325" t="n">
        <v>12</v>
      </c>
      <c r="AP3325" t="n">
        <v>0</v>
      </c>
      <c r="AQ3325" t="n">
        <v>0</v>
      </c>
      <c r="AR3325" t="inlineStr">
        <is>
          <t>No</t>
        </is>
      </c>
      <c r="AS3325" t="inlineStr">
        <is>
          <t>Yes</t>
        </is>
      </c>
      <c r="AT3325">
        <f>HYPERLINK("http://catalog.hathitrust.org/Record/001187180","HathiTrust Record")</f>
        <v/>
      </c>
      <c r="AU3325">
        <f>HYPERLINK("https://creighton-primo.hosted.exlibrisgroup.com/primo-explore/search?tab=default_tab&amp;search_scope=EVERYTHING&amp;vid=01CRU&amp;lang=en_US&amp;offset=0&amp;query=any,contains,991002533439702656","Catalog Record")</f>
        <v/>
      </c>
      <c r="AV3325">
        <f>HYPERLINK("http://www.worldcat.org/oclc/367242","WorldCat Record")</f>
        <v/>
      </c>
      <c r="AW3325" t="inlineStr">
        <is>
          <t>1908993771:eng</t>
        </is>
      </c>
      <c r="AX3325" t="inlineStr">
        <is>
          <t>367242</t>
        </is>
      </c>
      <c r="AY3325" t="inlineStr">
        <is>
          <t>991002533439702656</t>
        </is>
      </c>
      <c r="AZ3325" t="inlineStr">
        <is>
          <t>991002533439702656</t>
        </is>
      </c>
      <c r="BA3325" t="inlineStr">
        <is>
          <t>2265036250002656</t>
        </is>
      </c>
      <c r="BB3325" t="inlineStr">
        <is>
          <t>BOOK</t>
        </is>
      </c>
      <c r="BE3325" t="inlineStr">
        <is>
          <t>32285000101831</t>
        </is>
      </c>
      <c r="BF3325" t="inlineStr">
        <is>
          <t>893421496</t>
        </is>
      </c>
    </row>
    <row r="3326">
      <c r="A3326" t="inlineStr">
        <is>
          <t>No</t>
        </is>
      </c>
      <c r="B3326" t="inlineStr">
        <is>
          <t>CURAL</t>
        </is>
      </c>
      <c r="C3326" t="inlineStr">
        <is>
          <t>SHELVES</t>
        </is>
      </c>
      <c r="D3326" t="inlineStr">
        <is>
          <t>PR6039.H52 Z75 1992</t>
        </is>
      </c>
      <c r="E3326" t="inlineStr">
        <is>
          <t>0                      PR 6039000H  52                 Z  75          1992</t>
        </is>
      </c>
      <c r="F3326" t="inlineStr">
        <is>
          <t>Dylan Thomas / Jacob Korg.</t>
        </is>
      </c>
      <c r="H3326" t="inlineStr">
        <is>
          <t>No</t>
        </is>
      </c>
      <c r="I3326" t="inlineStr">
        <is>
          <t>1</t>
        </is>
      </c>
      <c r="J3326" t="inlineStr">
        <is>
          <t>No</t>
        </is>
      </c>
      <c r="K3326" t="inlineStr">
        <is>
          <t>Yes</t>
        </is>
      </c>
      <c r="L3326" t="inlineStr">
        <is>
          <t>0</t>
        </is>
      </c>
      <c r="M3326" t="inlineStr">
        <is>
          <t>Korg, Jacob.</t>
        </is>
      </c>
      <c r="N3326" t="inlineStr">
        <is>
          <t>New York : Twayne Publishers ; Toronto : Maxwell Macmillan Canada ; New York ; Maxwell Macmillan International,c 1992.</t>
        </is>
      </c>
      <c r="O3326" t="inlineStr">
        <is>
          <t>1992</t>
        </is>
      </c>
      <c r="P3326" t="inlineStr">
        <is>
          <t>Updated ed.</t>
        </is>
      </c>
      <c r="Q3326" t="inlineStr">
        <is>
          <t>eng</t>
        </is>
      </c>
      <c r="R3326" t="inlineStr">
        <is>
          <t>nyu</t>
        </is>
      </c>
      <c r="S3326" t="inlineStr">
        <is>
          <t>Twayne's English authors series ; TEAS 20</t>
        </is>
      </c>
      <c r="T3326" t="inlineStr">
        <is>
          <t xml:space="preserve">PR </t>
        </is>
      </c>
      <c r="U3326" t="n">
        <v>3</v>
      </c>
      <c r="V3326" t="n">
        <v>3</v>
      </c>
      <c r="W3326" t="inlineStr">
        <is>
          <t>1993-01-29</t>
        </is>
      </c>
      <c r="X3326" t="inlineStr">
        <is>
          <t>1993-01-29</t>
        </is>
      </c>
      <c r="Y3326" t="inlineStr">
        <is>
          <t>1992-02-21</t>
        </is>
      </c>
      <c r="Z3326" t="inlineStr">
        <is>
          <t>1992-02-21</t>
        </is>
      </c>
      <c r="AA3326" t="n">
        <v>617</v>
      </c>
      <c r="AB3326" t="n">
        <v>562</v>
      </c>
      <c r="AC3326" t="n">
        <v>1857</v>
      </c>
      <c r="AD3326" t="n">
        <v>5</v>
      </c>
      <c r="AE3326" t="n">
        <v>14</v>
      </c>
      <c r="AF3326" t="n">
        <v>25</v>
      </c>
      <c r="AG3326" t="n">
        <v>55</v>
      </c>
      <c r="AH3326" t="n">
        <v>9</v>
      </c>
      <c r="AI3326" t="n">
        <v>21</v>
      </c>
      <c r="AJ3326" t="n">
        <v>4</v>
      </c>
      <c r="AK3326" t="n">
        <v>11</v>
      </c>
      <c r="AL3326" t="n">
        <v>13</v>
      </c>
      <c r="AM3326" t="n">
        <v>23</v>
      </c>
      <c r="AN3326" t="n">
        <v>4</v>
      </c>
      <c r="AO3326" t="n">
        <v>12</v>
      </c>
      <c r="AP3326" t="n">
        <v>0</v>
      </c>
      <c r="AQ3326" t="n">
        <v>0</v>
      </c>
      <c r="AR3326" t="inlineStr">
        <is>
          <t>No</t>
        </is>
      </c>
      <c r="AS3326" t="inlineStr">
        <is>
          <t>Yes</t>
        </is>
      </c>
      <c r="AT3326">
        <f>HYPERLINK("http://catalog.hathitrust.org/Record/002528722","HathiTrust Record")</f>
        <v/>
      </c>
      <c r="AU3326">
        <f>HYPERLINK("https://creighton-primo.hosted.exlibrisgroup.com/primo-explore/search?tab=default_tab&amp;search_scope=EVERYTHING&amp;vid=01CRU&amp;lang=en_US&amp;offset=0&amp;query=any,contains,991001929569702656","Catalog Record")</f>
        <v/>
      </c>
      <c r="AV3326">
        <f>HYPERLINK("http://www.worldcat.org/oclc/24375064","WorldCat Record")</f>
        <v/>
      </c>
      <c r="AW3326" t="inlineStr">
        <is>
          <t>1908993771:eng</t>
        </is>
      </c>
      <c r="AX3326" t="inlineStr">
        <is>
          <t>24375064</t>
        </is>
      </c>
      <c r="AY3326" t="inlineStr">
        <is>
          <t>991001929569702656</t>
        </is>
      </c>
      <c r="AZ3326" t="inlineStr">
        <is>
          <t>991001929569702656</t>
        </is>
      </c>
      <c r="BA3326" t="inlineStr">
        <is>
          <t>2266696390002656</t>
        </is>
      </c>
      <c r="BB3326" t="inlineStr">
        <is>
          <t>BOOK</t>
        </is>
      </c>
      <c r="BD3326" t="inlineStr">
        <is>
          <t>9780805770070</t>
        </is>
      </c>
      <c r="BE3326" t="inlineStr">
        <is>
          <t>32285000935212</t>
        </is>
      </c>
      <c r="BF3326" t="inlineStr">
        <is>
          <t>893684771</t>
        </is>
      </c>
    </row>
    <row r="3327">
      <c r="A3327" t="inlineStr">
        <is>
          <t>No</t>
        </is>
      </c>
      <c r="B3327" t="inlineStr">
        <is>
          <t>CURAL</t>
        </is>
      </c>
      <c r="C3327" t="inlineStr">
        <is>
          <t>SHELVES</t>
        </is>
      </c>
      <c r="D3327" t="inlineStr">
        <is>
          <t>PR6039.H52 Z77</t>
        </is>
      </c>
      <c r="E3327" t="inlineStr">
        <is>
          <t>0                      PR 6039000H  52                 Z  77</t>
        </is>
      </c>
      <c r="F3327" t="inlineStr">
        <is>
          <t>Entrances to Dylan Thomas' poetry.</t>
        </is>
      </c>
      <c r="H3327" t="inlineStr">
        <is>
          <t>No</t>
        </is>
      </c>
      <c r="I3327" t="inlineStr">
        <is>
          <t>1</t>
        </is>
      </c>
      <c r="J3327" t="inlineStr">
        <is>
          <t>No</t>
        </is>
      </c>
      <c r="K3327" t="inlineStr">
        <is>
          <t>No</t>
        </is>
      </c>
      <c r="L3327" t="inlineStr">
        <is>
          <t>0</t>
        </is>
      </c>
      <c r="M3327" t="inlineStr">
        <is>
          <t>Maud, Ralph.</t>
        </is>
      </c>
      <c r="N3327" t="inlineStr">
        <is>
          <t>[Pittsburgh] : University of Pittsburgh Press, [1963]</t>
        </is>
      </c>
      <c r="O3327" t="inlineStr">
        <is>
          <t>1963</t>
        </is>
      </c>
      <c r="Q3327" t="inlineStr">
        <is>
          <t>eng</t>
        </is>
      </c>
      <c r="R3327" t="inlineStr">
        <is>
          <t>pau</t>
        </is>
      </c>
      <c r="S3327" t="inlineStr">
        <is>
          <t>Critical essays in modern literature</t>
        </is>
      </c>
      <c r="T3327" t="inlineStr">
        <is>
          <t xml:space="preserve">PR </t>
        </is>
      </c>
      <c r="U3327" t="n">
        <v>7</v>
      </c>
      <c r="V3327" t="n">
        <v>7</v>
      </c>
      <c r="W3327" t="inlineStr">
        <is>
          <t>1993-01-29</t>
        </is>
      </c>
      <c r="X3327" t="inlineStr">
        <is>
          <t>1993-01-29</t>
        </is>
      </c>
      <c r="Y3327" t="inlineStr">
        <is>
          <t>1992-03-03</t>
        </is>
      </c>
      <c r="Z3327" t="inlineStr">
        <is>
          <t>1992-03-03</t>
        </is>
      </c>
      <c r="AA3327" t="n">
        <v>808</v>
      </c>
      <c r="AB3327" t="n">
        <v>718</v>
      </c>
      <c r="AC3327" t="n">
        <v>773</v>
      </c>
      <c r="AD3327" t="n">
        <v>7</v>
      </c>
      <c r="AE3327" t="n">
        <v>7</v>
      </c>
      <c r="AF3327" t="n">
        <v>37</v>
      </c>
      <c r="AG3327" t="n">
        <v>40</v>
      </c>
      <c r="AH3327" t="n">
        <v>14</v>
      </c>
      <c r="AI3327" t="n">
        <v>16</v>
      </c>
      <c r="AJ3327" t="n">
        <v>8</v>
      </c>
      <c r="AK3327" t="n">
        <v>8</v>
      </c>
      <c r="AL3327" t="n">
        <v>18</v>
      </c>
      <c r="AM3327" t="n">
        <v>20</v>
      </c>
      <c r="AN3327" t="n">
        <v>6</v>
      </c>
      <c r="AO3327" t="n">
        <v>6</v>
      </c>
      <c r="AP3327" t="n">
        <v>0</v>
      </c>
      <c r="AQ3327" t="n">
        <v>0</v>
      </c>
      <c r="AR3327" t="inlineStr">
        <is>
          <t>No</t>
        </is>
      </c>
      <c r="AS3327" t="inlineStr">
        <is>
          <t>Yes</t>
        </is>
      </c>
      <c r="AT3327">
        <f>HYPERLINK("http://catalog.hathitrust.org/Record/001187182","HathiTrust Record")</f>
        <v/>
      </c>
      <c r="AU3327">
        <f>HYPERLINK("https://creighton-primo.hosted.exlibrisgroup.com/primo-explore/search?tab=default_tab&amp;search_scope=EVERYTHING&amp;vid=01CRU&amp;lang=en_US&amp;offset=0&amp;query=any,contains,991003047149702656","Catalog Record")</f>
        <v/>
      </c>
      <c r="AV3327">
        <f>HYPERLINK("http://www.worldcat.org/oclc/607481","WorldCat Record")</f>
        <v/>
      </c>
      <c r="AW3327" t="inlineStr">
        <is>
          <t>1628996:eng</t>
        </is>
      </c>
      <c r="AX3327" t="inlineStr">
        <is>
          <t>607481</t>
        </is>
      </c>
      <c r="AY3327" t="inlineStr">
        <is>
          <t>991003047149702656</t>
        </is>
      </c>
      <c r="AZ3327" t="inlineStr">
        <is>
          <t>991003047149702656</t>
        </is>
      </c>
      <c r="BA3327" t="inlineStr">
        <is>
          <t>2262078060002656</t>
        </is>
      </c>
      <c r="BB3327" t="inlineStr">
        <is>
          <t>BOOK</t>
        </is>
      </c>
      <c r="BE3327" t="inlineStr">
        <is>
          <t>32285000979764</t>
        </is>
      </c>
      <c r="BF3327" t="inlineStr">
        <is>
          <t>893348282</t>
        </is>
      </c>
    </row>
    <row r="3328">
      <c r="A3328" t="inlineStr">
        <is>
          <t>No</t>
        </is>
      </c>
      <c r="B3328" t="inlineStr">
        <is>
          <t>CURAL</t>
        </is>
      </c>
      <c r="C3328" t="inlineStr">
        <is>
          <t>SHELVES</t>
        </is>
      </c>
      <c r="D3328" t="inlineStr">
        <is>
          <t>PR6039.H52 Z78</t>
        </is>
      </c>
      <c r="E3328" t="inlineStr">
        <is>
          <t>0                      PR 6039000H  52                 Z  78</t>
        </is>
      </c>
      <c r="F3328" t="inlineStr">
        <is>
          <t>The craft and art of Dylan Thomas / [by] William T. Moynihan.</t>
        </is>
      </c>
      <c r="H3328" t="inlineStr">
        <is>
          <t>No</t>
        </is>
      </c>
      <c r="I3328" t="inlineStr">
        <is>
          <t>1</t>
        </is>
      </c>
      <c r="J3328" t="inlineStr">
        <is>
          <t>No</t>
        </is>
      </c>
      <c r="K3328" t="inlineStr">
        <is>
          <t>No</t>
        </is>
      </c>
      <c r="L3328" t="inlineStr">
        <is>
          <t>0</t>
        </is>
      </c>
      <c r="M3328" t="inlineStr">
        <is>
          <t>Moynihan, William T.</t>
        </is>
      </c>
      <c r="N3328" t="inlineStr">
        <is>
          <t>Ithaca, N.Y. : Cornell University Press, [1966]</t>
        </is>
      </c>
      <c r="O3328" t="inlineStr">
        <is>
          <t>1966</t>
        </is>
      </c>
      <c r="Q3328" t="inlineStr">
        <is>
          <t>eng</t>
        </is>
      </c>
      <c r="R3328" t="inlineStr">
        <is>
          <t>nyu</t>
        </is>
      </c>
      <c r="T3328" t="inlineStr">
        <is>
          <t xml:space="preserve">PR </t>
        </is>
      </c>
      <c r="U3328" t="n">
        <v>5</v>
      </c>
      <c r="V3328" t="n">
        <v>5</v>
      </c>
      <c r="W3328" t="inlineStr">
        <is>
          <t>1993-01-29</t>
        </is>
      </c>
      <c r="X3328" t="inlineStr">
        <is>
          <t>1993-01-29</t>
        </is>
      </c>
      <c r="Y3328" t="inlineStr">
        <is>
          <t>1990-04-04</t>
        </is>
      </c>
      <c r="Z3328" t="inlineStr">
        <is>
          <t>1990-04-04</t>
        </is>
      </c>
      <c r="AA3328" t="n">
        <v>1361</v>
      </c>
      <c r="AB3328" t="n">
        <v>1200</v>
      </c>
      <c r="AC3328" t="n">
        <v>1278</v>
      </c>
      <c r="AD3328" t="n">
        <v>12</v>
      </c>
      <c r="AE3328" t="n">
        <v>12</v>
      </c>
      <c r="AF3328" t="n">
        <v>48</v>
      </c>
      <c r="AG3328" t="n">
        <v>52</v>
      </c>
      <c r="AH3328" t="n">
        <v>20</v>
      </c>
      <c r="AI3328" t="n">
        <v>22</v>
      </c>
      <c r="AJ3328" t="n">
        <v>6</v>
      </c>
      <c r="AK3328" t="n">
        <v>9</v>
      </c>
      <c r="AL3328" t="n">
        <v>21</v>
      </c>
      <c r="AM3328" t="n">
        <v>23</v>
      </c>
      <c r="AN3328" t="n">
        <v>10</v>
      </c>
      <c r="AO3328" t="n">
        <v>10</v>
      </c>
      <c r="AP3328" t="n">
        <v>0</v>
      </c>
      <c r="AQ3328" t="n">
        <v>0</v>
      </c>
      <c r="AR3328" t="inlineStr">
        <is>
          <t>No</t>
        </is>
      </c>
      <c r="AS3328" t="inlineStr">
        <is>
          <t>Yes</t>
        </is>
      </c>
      <c r="AT3328">
        <f>HYPERLINK("http://catalog.hathitrust.org/Record/001025859","HathiTrust Record")</f>
        <v/>
      </c>
      <c r="AU3328">
        <f>HYPERLINK("https://creighton-primo.hosted.exlibrisgroup.com/primo-explore/search?tab=default_tab&amp;search_scope=EVERYTHING&amp;vid=01CRU&amp;lang=en_US&amp;offset=0&amp;query=any,contains,991002523179702656","Catalog Record")</f>
        <v/>
      </c>
      <c r="AV3328">
        <f>HYPERLINK("http://www.worldcat.org/oclc/366305","WorldCat Record")</f>
        <v/>
      </c>
      <c r="AW3328" t="inlineStr">
        <is>
          <t>1426740:eng</t>
        </is>
      </c>
      <c r="AX3328" t="inlineStr">
        <is>
          <t>366305</t>
        </is>
      </c>
      <c r="AY3328" t="inlineStr">
        <is>
          <t>991002523179702656</t>
        </is>
      </c>
      <c r="AZ3328" t="inlineStr">
        <is>
          <t>991002523179702656</t>
        </is>
      </c>
      <c r="BA3328" t="inlineStr">
        <is>
          <t>2264340760002656</t>
        </is>
      </c>
      <c r="BB3328" t="inlineStr">
        <is>
          <t>BOOK</t>
        </is>
      </c>
      <c r="BE3328" t="inlineStr">
        <is>
          <t>32285000101849</t>
        </is>
      </c>
      <c r="BF3328" t="inlineStr">
        <is>
          <t>893440243</t>
        </is>
      </c>
    </row>
    <row r="3329">
      <c r="A3329" t="inlineStr">
        <is>
          <t>No</t>
        </is>
      </c>
      <c r="B3329" t="inlineStr">
        <is>
          <t>CURAL</t>
        </is>
      </c>
      <c r="C3329" t="inlineStr">
        <is>
          <t>SHELVES</t>
        </is>
      </c>
      <c r="D3329" t="inlineStr">
        <is>
          <t>PR6039.H52 Z83</t>
        </is>
      </c>
      <c r="E3329" t="inlineStr">
        <is>
          <t>0                      PR 6039000H  52                 Z  83</t>
        </is>
      </c>
      <c r="F3329" t="inlineStr">
        <is>
          <t>Dylan Thomas' early prose : a study in creative mythology.</t>
        </is>
      </c>
      <c r="H3329" t="inlineStr">
        <is>
          <t>No</t>
        </is>
      </c>
      <c r="I3329" t="inlineStr">
        <is>
          <t>1</t>
        </is>
      </c>
      <c r="J3329" t="inlineStr">
        <is>
          <t>No</t>
        </is>
      </c>
      <c r="K3329" t="inlineStr">
        <is>
          <t>No</t>
        </is>
      </c>
      <c r="L3329" t="inlineStr">
        <is>
          <t>0</t>
        </is>
      </c>
      <c r="M3329" t="inlineStr">
        <is>
          <t>Pratt, Annis.</t>
        </is>
      </c>
      <c r="N3329" t="inlineStr">
        <is>
          <t>[Pittsburgh] : University of Pittsburgh Press, [1970]</t>
        </is>
      </c>
      <c r="O3329" t="inlineStr">
        <is>
          <t>1970</t>
        </is>
      </c>
      <c r="Q3329" t="inlineStr">
        <is>
          <t>eng</t>
        </is>
      </c>
      <c r="R3329" t="inlineStr">
        <is>
          <t>pau</t>
        </is>
      </c>
      <c r="S3329" t="inlineStr">
        <is>
          <t>Critical essays in modern literature</t>
        </is>
      </c>
      <c r="T3329" t="inlineStr">
        <is>
          <t xml:space="preserve">PR </t>
        </is>
      </c>
      <c r="U3329" t="n">
        <v>2</v>
      </c>
      <c r="V3329" t="n">
        <v>2</v>
      </c>
      <c r="W3329" t="inlineStr">
        <is>
          <t>1993-01-29</t>
        </is>
      </c>
      <c r="X3329" t="inlineStr">
        <is>
          <t>1993-01-29</t>
        </is>
      </c>
      <c r="Y3329" t="inlineStr">
        <is>
          <t>1992-04-24</t>
        </is>
      </c>
      <c r="Z3329" t="inlineStr">
        <is>
          <t>1992-04-24</t>
        </is>
      </c>
      <c r="AA3329" t="n">
        <v>746</v>
      </c>
      <c r="AB3329" t="n">
        <v>631</v>
      </c>
      <c r="AC3329" t="n">
        <v>659</v>
      </c>
      <c r="AD3329" t="n">
        <v>5</v>
      </c>
      <c r="AE3329" t="n">
        <v>5</v>
      </c>
      <c r="AF3329" t="n">
        <v>32</v>
      </c>
      <c r="AG3329" t="n">
        <v>33</v>
      </c>
      <c r="AH3329" t="n">
        <v>13</v>
      </c>
      <c r="AI3329" t="n">
        <v>13</v>
      </c>
      <c r="AJ3329" t="n">
        <v>6</v>
      </c>
      <c r="AK3329" t="n">
        <v>7</v>
      </c>
      <c r="AL3329" t="n">
        <v>15</v>
      </c>
      <c r="AM3329" t="n">
        <v>15</v>
      </c>
      <c r="AN3329" t="n">
        <v>4</v>
      </c>
      <c r="AO3329" t="n">
        <v>4</v>
      </c>
      <c r="AP3329" t="n">
        <v>0</v>
      </c>
      <c r="AQ3329" t="n">
        <v>0</v>
      </c>
      <c r="AR3329" t="inlineStr">
        <is>
          <t>No</t>
        </is>
      </c>
      <c r="AS3329" t="inlineStr">
        <is>
          <t>No</t>
        </is>
      </c>
      <c r="AU3329">
        <f>HYPERLINK("https://creighton-primo.hosted.exlibrisgroup.com/primo-explore/search?tab=default_tab&amp;search_scope=EVERYTHING&amp;vid=01CRU&amp;lang=en_US&amp;offset=0&amp;query=any,contains,991000637169702656","Catalog Record")</f>
        <v/>
      </c>
      <c r="AV3329">
        <f>HYPERLINK("http://www.worldcat.org/oclc/108347","WorldCat Record")</f>
        <v/>
      </c>
      <c r="AW3329" t="inlineStr">
        <is>
          <t>196095687:eng</t>
        </is>
      </c>
      <c r="AX3329" t="inlineStr">
        <is>
          <t>108347</t>
        </is>
      </c>
      <c r="AY3329" t="inlineStr">
        <is>
          <t>991000637169702656</t>
        </is>
      </c>
      <c r="AZ3329" t="inlineStr">
        <is>
          <t>991000637169702656</t>
        </is>
      </c>
      <c r="BA3329" t="inlineStr">
        <is>
          <t>2262443100002656</t>
        </is>
      </c>
      <c r="BB3329" t="inlineStr">
        <is>
          <t>BOOK</t>
        </is>
      </c>
      <c r="BD3329" t="inlineStr">
        <is>
          <t>9780822931980</t>
        </is>
      </c>
      <c r="BE3329" t="inlineStr">
        <is>
          <t>32285001086221</t>
        </is>
      </c>
      <c r="BF3329" t="inlineStr">
        <is>
          <t>893595741</t>
        </is>
      </c>
    </row>
    <row r="3330">
      <c r="A3330" t="inlineStr">
        <is>
          <t>No</t>
        </is>
      </c>
      <c r="B3330" t="inlineStr">
        <is>
          <t>CURAL</t>
        </is>
      </c>
      <c r="C3330" t="inlineStr">
        <is>
          <t>SHELVES</t>
        </is>
      </c>
      <c r="D3330" t="inlineStr">
        <is>
          <t>PR6039.H52 Z855</t>
        </is>
      </c>
      <c r="E3330" t="inlineStr">
        <is>
          <t>0                      PR 6039000H  52                 Z  855</t>
        </is>
      </c>
      <c r="F3330" t="inlineStr">
        <is>
          <t>Dylan Thomas : the legend and the poet : a collection of biographical and critical essays.</t>
        </is>
      </c>
      <c r="H3330" t="inlineStr">
        <is>
          <t>No</t>
        </is>
      </c>
      <c r="I3330" t="inlineStr">
        <is>
          <t>1</t>
        </is>
      </c>
      <c r="J3330" t="inlineStr">
        <is>
          <t>No</t>
        </is>
      </c>
      <c r="K3330" t="inlineStr">
        <is>
          <t>No</t>
        </is>
      </c>
      <c r="L3330" t="inlineStr">
        <is>
          <t>0</t>
        </is>
      </c>
      <c r="M3330" t="inlineStr">
        <is>
          <t>Tedlock, E. W. (Ernest Warnock), 1910- editor.</t>
        </is>
      </c>
      <c r="N3330" t="inlineStr">
        <is>
          <t>London : Heinemann, [1963, c1960]</t>
        </is>
      </c>
      <c r="O3330" t="inlineStr">
        <is>
          <t>1963</t>
        </is>
      </c>
      <c r="Q3330" t="inlineStr">
        <is>
          <t>eng</t>
        </is>
      </c>
      <c r="R3330" t="inlineStr">
        <is>
          <t xml:space="preserve">xx </t>
        </is>
      </c>
      <c r="T3330" t="inlineStr">
        <is>
          <t xml:space="preserve">PR </t>
        </is>
      </c>
      <c r="U3330" t="n">
        <v>3</v>
      </c>
      <c r="V3330" t="n">
        <v>3</v>
      </c>
      <c r="W3330" t="inlineStr">
        <is>
          <t>1992-11-24</t>
        </is>
      </c>
      <c r="X3330" t="inlineStr">
        <is>
          <t>1992-11-24</t>
        </is>
      </c>
      <c r="Y3330" t="inlineStr">
        <is>
          <t>1990-03-05</t>
        </is>
      </c>
      <c r="Z3330" t="inlineStr">
        <is>
          <t>1990-03-05</t>
        </is>
      </c>
      <c r="AA3330" t="n">
        <v>27</v>
      </c>
      <c r="AB3330" t="n">
        <v>14</v>
      </c>
      <c r="AC3330" t="n">
        <v>212</v>
      </c>
      <c r="AD3330" t="n">
        <v>1</v>
      </c>
      <c r="AE3330" t="n">
        <v>4</v>
      </c>
      <c r="AF3330" t="n">
        <v>1</v>
      </c>
      <c r="AG3330" t="n">
        <v>13</v>
      </c>
      <c r="AH3330" t="n">
        <v>0</v>
      </c>
      <c r="AI3330" t="n">
        <v>3</v>
      </c>
      <c r="AJ3330" t="n">
        <v>0</v>
      </c>
      <c r="AK3330" t="n">
        <v>0</v>
      </c>
      <c r="AL3330" t="n">
        <v>1</v>
      </c>
      <c r="AM3330" t="n">
        <v>9</v>
      </c>
      <c r="AN3330" t="n">
        <v>0</v>
      </c>
      <c r="AO3330" t="n">
        <v>3</v>
      </c>
      <c r="AP3330" t="n">
        <v>0</v>
      </c>
      <c r="AQ3330" t="n">
        <v>0</v>
      </c>
      <c r="AR3330" t="inlineStr">
        <is>
          <t>No</t>
        </is>
      </c>
      <c r="AS3330" t="inlineStr">
        <is>
          <t>No</t>
        </is>
      </c>
      <c r="AU3330">
        <f>HYPERLINK("https://creighton-primo.hosted.exlibrisgroup.com/primo-explore/search?tab=default_tab&amp;search_scope=EVERYTHING&amp;vid=01CRU&amp;lang=en_US&amp;offset=0&amp;query=any,contains,991003581619702656","Catalog Record")</f>
        <v/>
      </c>
      <c r="AV3330">
        <f>HYPERLINK("http://www.worldcat.org/oclc/1162894","WorldCat Record")</f>
        <v/>
      </c>
      <c r="AW3330" t="inlineStr">
        <is>
          <t>5623132090:eng</t>
        </is>
      </c>
      <c r="AX3330" t="inlineStr">
        <is>
          <t>1162894</t>
        </is>
      </c>
      <c r="AY3330" t="inlineStr">
        <is>
          <t>991003581619702656</t>
        </is>
      </c>
      <c r="AZ3330" t="inlineStr">
        <is>
          <t>991003581619702656</t>
        </is>
      </c>
      <c r="BA3330" t="inlineStr">
        <is>
          <t>2272376980002656</t>
        </is>
      </c>
      <c r="BB3330" t="inlineStr">
        <is>
          <t>BOOK</t>
        </is>
      </c>
      <c r="BE3330" t="inlineStr">
        <is>
          <t>32285000064492</t>
        </is>
      </c>
      <c r="BF3330" t="inlineStr">
        <is>
          <t>893793765</t>
        </is>
      </c>
    </row>
    <row r="3331">
      <c r="A3331" t="inlineStr">
        <is>
          <t>No</t>
        </is>
      </c>
      <c r="B3331" t="inlineStr">
        <is>
          <t>CURAL</t>
        </is>
      </c>
      <c r="C3331" t="inlineStr">
        <is>
          <t>SHELVES</t>
        </is>
      </c>
      <c r="D3331" t="inlineStr">
        <is>
          <t>PR6039.H52 Z865</t>
        </is>
      </c>
      <c r="E3331" t="inlineStr">
        <is>
          <t>0                      PR 6039000H  52                 Z  865</t>
        </is>
      </c>
      <c r="F3331" t="inlineStr">
        <is>
          <t>A reader's guide to Dylan Thomas.</t>
        </is>
      </c>
      <c r="H3331" t="inlineStr">
        <is>
          <t>No</t>
        </is>
      </c>
      <c r="I3331" t="inlineStr">
        <is>
          <t>1</t>
        </is>
      </c>
      <c r="J3331" t="inlineStr">
        <is>
          <t>No</t>
        </is>
      </c>
      <c r="K3331" t="inlineStr">
        <is>
          <t>No</t>
        </is>
      </c>
      <c r="L3331" t="inlineStr">
        <is>
          <t>0</t>
        </is>
      </c>
      <c r="M3331" t="inlineStr">
        <is>
          <t>Tindall, William York, 1903-1981.</t>
        </is>
      </c>
      <c r="N3331" t="inlineStr">
        <is>
          <t>New York : Farrar, Straus and Cudahy, [1962]</t>
        </is>
      </c>
      <c r="O3331" t="inlineStr">
        <is>
          <t>1962</t>
        </is>
      </c>
      <c r="Q3331" t="inlineStr">
        <is>
          <t>eng</t>
        </is>
      </c>
      <c r="R3331" t="inlineStr">
        <is>
          <t>nyu</t>
        </is>
      </c>
      <c r="T3331" t="inlineStr">
        <is>
          <t xml:space="preserve">PR </t>
        </is>
      </c>
      <c r="U3331" t="n">
        <v>10</v>
      </c>
      <c r="V3331" t="n">
        <v>10</v>
      </c>
      <c r="W3331" t="inlineStr">
        <is>
          <t>2000-10-24</t>
        </is>
      </c>
      <c r="X3331" t="inlineStr">
        <is>
          <t>2000-10-24</t>
        </is>
      </c>
      <c r="Y3331" t="inlineStr">
        <is>
          <t>1990-03-01</t>
        </is>
      </c>
      <c r="Z3331" t="inlineStr">
        <is>
          <t>1990-03-01</t>
        </is>
      </c>
      <c r="AA3331" t="n">
        <v>903</v>
      </c>
      <c r="AB3331" t="n">
        <v>848</v>
      </c>
      <c r="AC3331" t="n">
        <v>1376</v>
      </c>
      <c r="AD3331" t="n">
        <v>6</v>
      </c>
      <c r="AE3331" t="n">
        <v>7</v>
      </c>
      <c r="AF3331" t="n">
        <v>34</v>
      </c>
      <c r="AG3331" t="n">
        <v>47</v>
      </c>
      <c r="AH3331" t="n">
        <v>13</v>
      </c>
      <c r="AI3331" t="n">
        <v>23</v>
      </c>
      <c r="AJ3331" t="n">
        <v>7</v>
      </c>
      <c r="AK3331" t="n">
        <v>9</v>
      </c>
      <c r="AL3331" t="n">
        <v>18</v>
      </c>
      <c r="AM3331" t="n">
        <v>23</v>
      </c>
      <c r="AN3331" t="n">
        <v>4</v>
      </c>
      <c r="AO3331" t="n">
        <v>4</v>
      </c>
      <c r="AP3331" t="n">
        <v>0</v>
      </c>
      <c r="AQ3331" t="n">
        <v>0</v>
      </c>
      <c r="AR3331" t="inlineStr">
        <is>
          <t>No</t>
        </is>
      </c>
      <c r="AS3331" t="inlineStr">
        <is>
          <t>Yes</t>
        </is>
      </c>
      <c r="AT3331">
        <f>HYPERLINK("http://catalog.hathitrust.org/Record/001020497","HathiTrust Record")</f>
        <v/>
      </c>
      <c r="AU3331">
        <f>HYPERLINK("https://creighton-primo.hosted.exlibrisgroup.com/primo-explore/search?tab=default_tab&amp;search_scope=EVERYTHING&amp;vid=01CRU&amp;lang=en_US&amp;offset=0&amp;query=any,contains,991002130359702656","Catalog Record")</f>
        <v/>
      </c>
      <c r="AV3331">
        <f>HYPERLINK("http://www.worldcat.org/oclc/269853","WorldCat Record")</f>
        <v/>
      </c>
      <c r="AW3331" t="inlineStr">
        <is>
          <t>504926050:eng</t>
        </is>
      </c>
      <c r="AX3331" t="inlineStr">
        <is>
          <t>269853</t>
        </is>
      </c>
      <c r="AY3331" t="inlineStr">
        <is>
          <t>991002130359702656</t>
        </is>
      </c>
      <c r="AZ3331" t="inlineStr">
        <is>
          <t>991002130359702656</t>
        </is>
      </c>
      <c r="BA3331" t="inlineStr">
        <is>
          <t>2267582430002656</t>
        </is>
      </c>
      <c r="BB3331" t="inlineStr">
        <is>
          <t>BOOK</t>
        </is>
      </c>
      <c r="BE3331" t="inlineStr">
        <is>
          <t>32285000063353</t>
        </is>
      </c>
      <c r="BF3331" t="inlineStr">
        <is>
          <t>893420971</t>
        </is>
      </c>
    </row>
    <row r="3332">
      <c r="A3332" t="inlineStr">
        <is>
          <t>No</t>
        </is>
      </c>
      <c r="B3332" t="inlineStr">
        <is>
          <t>CURAL</t>
        </is>
      </c>
      <c r="C3332" t="inlineStr">
        <is>
          <t>SHELVES</t>
        </is>
      </c>
      <c r="D3332" t="inlineStr">
        <is>
          <t>PR6039.H52 Z88 1992</t>
        </is>
      </c>
      <c r="E3332" t="inlineStr">
        <is>
          <t>0                      PR 6039000H  52                 Z  88          1992</t>
        </is>
      </c>
      <c r="F3332" t="inlineStr">
        <is>
          <t>Dylan Thomas : in the mercy of his means / George Tremlett.</t>
        </is>
      </c>
      <c r="H3332" t="inlineStr">
        <is>
          <t>No</t>
        </is>
      </c>
      <c r="I3332" t="inlineStr">
        <is>
          <t>1</t>
        </is>
      </c>
      <c r="J3332" t="inlineStr">
        <is>
          <t>No</t>
        </is>
      </c>
      <c r="K3332" t="inlineStr">
        <is>
          <t>No</t>
        </is>
      </c>
      <c r="L3332" t="inlineStr">
        <is>
          <t>0</t>
        </is>
      </c>
      <c r="M3332" t="inlineStr">
        <is>
          <t>Tremlett, George.</t>
        </is>
      </c>
      <c r="N3332" t="inlineStr">
        <is>
          <t>New York : St. Martin's Press, 1992, c1991.</t>
        </is>
      </c>
      <c r="O3332" t="inlineStr">
        <is>
          <t>1992</t>
        </is>
      </c>
      <c r="P3332" t="inlineStr">
        <is>
          <t>1st U.S. ed.</t>
        </is>
      </c>
      <c r="Q3332" t="inlineStr">
        <is>
          <t>eng</t>
        </is>
      </c>
      <c r="R3332" t="inlineStr">
        <is>
          <t>nyu</t>
        </is>
      </c>
      <c r="T3332" t="inlineStr">
        <is>
          <t xml:space="preserve">PR </t>
        </is>
      </c>
      <c r="U3332" t="n">
        <v>1</v>
      </c>
      <c r="V3332" t="n">
        <v>1</v>
      </c>
      <c r="W3332" t="inlineStr">
        <is>
          <t>1993-01-29</t>
        </is>
      </c>
      <c r="X3332" t="inlineStr">
        <is>
          <t>1993-01-29</t>
        </is>
      </c>
      <c r="Y3332" t="inlineStr">
        <is>
          <t>1992-05-08</t>
        </is>
      </c>
      <c r="Z3332" t="inlineStr">
        <is>
          <t>1992-05-08</t>
        </is>
      </c>
      <c r="AA3332" t="n">
        <v>418</v>
      </c>
      <c r="AB3332" t="n">
        <v>383</v>
      </c>
      <c r="AC3332" t="n">
        <v>447</v>
      </c>
      <c r="AD3332" t="n">
        <v>5</v>
      </c>
      <c r="AE3332" t="n">
        <v>6</v>
      </c>
      <c r="AF3332" t="n">
        <v>18</v>
      </c>
      <c r="AG3332" t="n">
        <v>21</v>
      </c>
      <c r="AH3332" t="n">
        <v>6</v>
      </c>
      <c r="AI3332" t="n">
        <v>6</v>
      </c>
      <c r="AJ3332" t="n">
        <v>6</v>
      </c>
      <c r="AK3332" t="n">
        <v>7</v>
      </c>
      <c r="AL3332" t="n">
        <v>9</v>
      </c>
      <c r="AM3332" t="n">
        <v>11</v>
      </c>
      <c r="AN3332" t="n">
        <v>3</v>
      </c>
      <c r="AO3332" t="n">
        <v>4</v>
      </c>
      <c r="AP3332" t="n">
        <v>0</v>
      </c>
      <c r="AQ3332" t="n">
        <v>0</v>
      </c>
      <c r="AR3332" t="inlineStr">
        <is>
          <t>No</t>
        </is>
      </c>
      <c r="AS3332" t="inlineStr">
        <is>
          <t>No</t>
        </is>
      </c>
      <c r="AU3332">
        <f>HYPERLINK("https://creighton-primo.hosted.exlibrisgroup.com/primo-explore/search?tab=default_tab&amp;search_scope=EVERYTHING&amp;vid=01CRU&amp;lang=en_US&amp;offset=0&amp;query=any,contains,991001948209702656","Catalog Record")</f>
        <v/>
      </c>
      <c r="AV3332">
        <f>HYPERLINK("http://www.worldcat.org/oclc/24628223","WorldCat Record")</f>
        <v/>
      </c>
      <c r="AW3332" t="inlineStr">
        <is>
          <t>330432:eng</t>
        </is>
      </c>
      <c r="AX3332" t="inlineStr">
        <is>
          <t>24628223</t>
        </is>
      </c>
      <c r="AY3332" t="inlineStr">
        <is>
          <t>991001948209702656</t>
        </is>
      </c>
      <c r="AZ3332" t="inlineStr">
        <is>
          <t>991001948209702656</t>
        </is>
      </c>
      <c r="BA3332" t="inlineStr">
        <is>
          <t>2261575680002656</t>
        </is>
      </c>
      <c r="BB3332" t="inlineStr">
        <is>
          <t>BOOK</t>
        </is>
      </c>
      <c r="BD3332" t="inlineStr">
        <is>
          <t>9780312069575</t>
        </is>
      </c>
      <c r="BE3332" t="inlineStr">
        <is>
          <t>32285001039774</t>
        </is>
      </c>
      <c r="BF3332" t="inlineStr">
        <is>
          <t>893898214</t>
        </is>
      </c>
    </row>
    <row r="3333">
      <c r="A3333" t="inlineStr">
        <is>
          <t>No</t>
        </is>
      </c>
      <c r="B3333" t="inlineStr">
        <is>
          <t>CURAL</t>
        </is>
      </c>
      <c r="C3333" t="inlineStr">
        <is>
          <t>SHELVES</t>
        </is>
      </c>
      <c r="D3333" t="inlineStr">
        <is>
          <t>PR6039.O32 J63 1986</t>
        </is>
      </c>
      <c r="E3333" t="inlineStr">
        <is>
          <t>0                      PR 6039000O  32                 J  63          1986</t>
        </is>
      </c>
      <c r="F3333" t="inlineStr">
        <is>
          <t>J.R.R. Tolkien : six decades of criticism / Judith A. Johnson.</t>
        </is>
      </c>
      <c r="H3333" t="inlineStr">
        <is>
          <t>No</t>
        </is>
      </c>
      <c r="I3333" t="inlineStr">
        <is>
          <t>1</t>
        </is>
      </c>
      <c r="J3333" t="inlineStr">
        <is>
          <t>No</t>
        </is>
      </c>
      <c r="K3333" t="inlineStr">
        <is>
          <t>No</t>
        </is>
      </c>
      <c r="L3333" t="inlineStr">
        <is>
          <t>0</t>
        </is>
      </c>
      <c r="M3333" t="inlineStr">
        <is>
          <t>Johnson, Judith Anne.</t>
        </is>
      </c>
      <c r="N3333" t="inlineStr">
        <is>
          <t>Westport, CN : Greenwood Press, c1986.</t>
        </is>
      </c>
      <c r="O3333" t="inlineStr">
        <is>
          <t>1986</t>
        </is>
      </c>
      <c r="Q3333" t="inlineStr">
        <is>
          <t>eng</t>
        </is>
      </c>
      <c r="R3333" t="inlineStr">
        <is>
          <t>ctu</t>
        </is>
      </c>
      <c r="S3333" t="inlineStr">
        <is>
          <t>Bibliographies and indexes in world literature, 0742-6801 ; no. 6</t>
        </is>
      </c>
      <c r="T3333" t="inlineStr">
        <is>
          <t xml:space="preserve">PR </t>
        </is>
      </c>
      <c r="U3333" t="n">
        <v>4</v>
      </c>
      <c r="V3333" t="n">
        <v>4</v>
      </c>
      <c r="W3333" t="inlineStr">
        <is>
          <t>2002-11-04</t>
        </is>
      </c>
      <c r="X3333" t="inlineStr">
        <is>
          <t>2002-11-04</t>
        </is>
      </c>
      <c r="Y3333" t="inlineStr">
        <is>
          <t>1992-07-22</t>
        </is>
      </c>
      <c r="Z3333" t="inlineStr">
        <is>
          <t>1992-07-22</t>
        </is>
      </c>
      <c r="AA3333" t="n">
        <v>479</v>
      </c>
      <c r="AB3333" t="n">
        <v>404</v>
      </c>
      <c r="AC3333" t="n">
        <v>411</v>
      </c>
      <c r="AD3333" t="n">
        <v>4</v>
      </c>
      <c r="AE3333" t="n">
        <v>4</v>
      </c>
      <c r="AF3333" t="n">
        <v>23</v>
      </c>
      <c r="AG3333" t="n">
        <v>23</v>
      </c>
      <c r="AH3333" t="n">
        <v>10</v>
      </c>
      <c r="AI3333" t="n">
        <v>10</v>
      </c>
      <c r="AJ3333" t="n">
        <v>6</v>
      </c>
      <c r="AK3333" t="n">
        <v>6</v>
      </c>
      <c r="AL3333" t="n">
        <v>11</v>
      </c>
      <c r="AM3333" t="n">
        <v>11</v>
      </c>
      <c r="AN3333" t="n">
        <v>3</v>
      </c>
      <c r="AO3333" t="n">
        <v>3</v>
      </c>
      <c r="AP3333" t="n">
        <v>0</v>
      </c>
      <c r="AQ3333" t="n">
        <v>0</v>
      </c>
      <c r="AR3333" t="inlineStr">
        <is>
          <t>No</t>
        </is>
      </c>
      <c r="AS3333" t="inlineStr">
        <is>
          <t>Yes</t>
        </is>
      </c>
      <c r="AT3333">
        <f>HYPERLINK("http://catalog.hathitrust.org/Record/000441046","HathiTrust Record")</f>
        <v/>
      </c>
      <c r="AU3333">
        <f>HYPERLINK("https://creighton-primo.hosted.exlibrisgroup.com/primo-explore/search?tab=default_tab&amp;search_scope=EVERYTHING&amp;vid=01CRU&amp;lang=en_US&amp;offset=0&amp;query=any,contains,991000824909702656","Catalog Record")</f>
        <v/>
      </c>
      <c r="AV3333">
        <f>HYPERLINK("http://www.worldcat.org/oclc/13417185","WorldCat Record")</f>
        <v/>
      </c>
      <c r="AW3333" t="inlineStr">
        <is>
          <t>320720360:eng</t>
        </is>
      </c>
      <c r="AX3333" t="inlineStr">
        <is>
          <t>13417185</t>
        </is>
      </c>
      <c r="AY3333" t="inlineStr">
        <is>
          <t>991000824909702656</t>
        </is>
      </c>
      <c r="AZ3333" t="inlineStr">
        <is>
          <t>991000824909702656</t>
        </is>
      </c>
      <c r="BA3333" t="inlineStr">
        <is>
          <t>2265347650002656</t>
        </is>
      </c>
      <c r="BB3333" t="inlineStr">
        <is>
          <t>BOOK</t>
        </is>
      </c>
      <c r="BD3333" t="inlineStr">
        <is>
          <t>9780313250057</t>
        </is>
      </c>
      <c r="BE3333" t="inlineStr">
        <is>
          <t>32285001203347</t>
        </is>
      </c>
      <c r="BF3333" t="inlineStr">
        <is>
          <t>893897257</t>
        </is>
      </c>
    </row>
    <row r="3334">
      <c r="A3334" t="inlineStr">
        <is>
          <t>No</t>
        </is>
      </c>
      <c r="B3334" t="inlineStr">
        <is>
          <t>CURAL</t>
        </is>
      </c>
      <c r="C3334" t="inlineStr">
        <is>
          <t>SHELVES</t>
        </is>
      </c>
      <c r="D3334" t="inlineStr">
        <is>
          <t>PR6039.O32 L633</t>
        </is>
      </c>
      <c r="E3334" t="inlineStr">
        <is>
          <t>0                      PR 6039000O  32                 L  633</t>
        </is>
      </c>
      <c r="F3334" t="inlineStr">
        <is>
          <t>Tolkien; a look behind "The lord of the rings."</t>
        </is>
      </c>
      <c r="H3334" t="inlineStr">
        <is>
          <t>No</t>
        </is>
      </c>
      <c r="I3334" t="inlineStr">
        <is>
          <t>1</t>
        </is>
      </c>
      <c r="J3334" t="inlineStr">
        <is>
          <t>No</t>
        </is>
      </c>
      <c r="K3334" t="inlineStr">
        <is>
          <t>No</t>
        </is>
      </c>
      <c r="L3334" t="inlineStr">
        <is>
          <t>0</t>
        </is>
      </c>
      <c r="M3334" t="inlineStr">
        <is>
          <t>Carter, Lin.</t>
        </is>
      </c>
      <c r="N3334" t="inlineStr">
        <is>
          <t>New York, Ballantine Books [1969]</t>
        </is>
      </c>
      <c r="O3334" t="inlineStr">
        <is>
          <t>1969</t>
        </is>
      </c>
      <c r="Q3334" t="inlineStr">
        <is>
          <t>eng</t>
        </is>
      </c>
      <c r="R3334" t="inlineStr">
        <is>
          <t>nyu</t>
        </is>
      </c>
      <c r="T3334" t="inlineStr">
        <is>
          <t xml:space="preserve">PR </t>
        </is>
      </c>
      <c r="U3334" t="n">
        <v>7</v>
      </c>
      <c r="V3334" t="n">
        <v>7</v>
      </c>
      <c r="W3334" t="inlineStr">
        <is>
          <t>2008-11-09</t>
        </is>
      </c>
      <c r="X3334" t="inlineStr">
        <is>
          <t>2008-11-09</t>
        </is>
      </c>
      <c r="Y3334" t="inlineStr">
        <is>
          <t>1997-04-21</t>
        </is>
      </c>
      <c r="Z3334" t="inlineStr">
        <is>
          <t>1997-04-21</t>
        </is>
      </c>
      <c r="AA3334" t="n">
        <v>577</v>
      </c>
      <c r="AB3334" t="n">
        <v>528</v>
      </c>
      <c r="AC3334" t="n">
        <v>577</v>
      </c>
      <c r="AD3334" t="n">
        <v>5</v>
      </c>
      <c r="AE3334" t="n">
        <v>5</v>
      </c>
      <c r="AF3334" t="n">
        <v>13</v>
      </c>
      <c r="AG3334" t="n">
        <v>15</v>
      </c>
      <c r="AH3334" t="n">
        <v>3</v>
      </c>
      <c r="AI3334" t="n">
        <v>4</v>
      </c>
      <c r="AJ3334" t="n">
        <v>3</v>
      </c>
      <c r="AK3334" t="n">
        <v>4</v>
      </c>
      <c r="AL3334" t="n">
        <v>7</v>
      </c>
      <c r="AM3334" t="n">
        <v>7</v>
      </c>
      <c r="AN3334" t="n">
        <v>2</v>
      </c>
      <c r="AO3334" t="n">
        <v>2</v>
      </c>
      <c r="AP3334" t="n">
        <v>0</v>
      </c>
      <c r="AQ3334" t="n">
        <v>0</v>
      </c>
      <c r="AR3334" t="inlineStr">
        <is>
          <t>No</t>
        </is>
      </c>
      <c r="AS3334" t="inlineStr">
        <is>
          <t>Yes</t>
        </is>
      </c>
      <c r="AT3334">
        <f>HYPERLINK("http://catalog.hathitrust.org/Record/001187370","HathiTrust Record")</f>
        <v/>
      </c>
      <c r="AU3334">
        <f>HYPERLINK("https://creighton-primo.hosted.exlibrisgroup.com/primo-explore/search?tab=default_tab&amp;search_scope=EVERYTHING&amp;vid=01CRU&amp;lang=en_US&amp;offset=0&amp;query=any,contains,991000000239702656","Catalog Record")</f>
        <v/>
      </c>
      <c r="AV3334">
        <f>HYPERLINK("http://www.worldcat.org/oclc/7663","WorldCat Record")</f>
        <v/>
      </c>
      <c r="AW3334" t="inlineStr">
        <is>
          <t>449416:eng</t>
        </is>
      </c>
      <c r="AX3334" t="inlineStr">
        <is>
          <t>7663</t>
        </is>
      </c>
      <c r="AY3334" t="inlineStr">
        <is>
          <t>991000000239702656</t>
        </is>
      </c>
      <c r="AZ3334" t="inlineStr">
        <is>
          <t>991000000239702656</t>
        </is>
      </c>
      <c r="BA3334" t="inlineStr">
        <is>
          <t>2267569120002656</t>
        </is>
      </c>
      <c r="BB3334" t="inlineStr">
        <is>
          <t>BOOK</t>
        </is>
      </c>
      <c r="BE3334" t="inlineStr">
        <is>
          <t>32285002579083</t>
        </is>
      </c>
      <c r="BF3334" t="inlineStr">
        <is>
          <t>893314580</t>
        </is>
      </c>
    </row>
    <row r="3335">
      <c r="A3335" t="inlineStr">
        <is>
          <t>No</t>
        </is>
      </c>
      <c r="B3335" t="inlineStr">
        <is>
          <t>CURAL</t>
        </is>
      </c>
      <c r="C3335" t="inlineStr">
        <is>
          <t>SHELVES</t>
        </is>
      </c>
      <c r="D3335" t="inlineStr">
        <is>
          <t>PR6039.O32 L6335</t>
        </is>
      </c>
      <c r="E3335" t="inlineStr">
        <is>
          <t>0                      PR 6039000O  32                 L  6335</t>
        </is>
      </c>
      <c r="F3335" t="inlineStr">
        <is>
          <t>Good news from Tolkien's Middle Earth : two essays on the "applicability" of the Lord of the Rings.</t>
        </is>
      </c>
      <c r="H3335" t="inlineStr">
        <is>
          <t>No</t>
        </is>
      </c>
      <c r="I3335" t="inlineStr">
        <is>
          <t>1</t>
        </is>
      </c>
      <c r="J3335" t="inlineStr">
        <is>
          <t>No</t>
        </is>
      </c>
      <c r="K3335" t="inlineStr">
        <is>
          <t>No</t>
        </is>
      </c>
      <c r="L3335" t="inlineStr">
        <is>
          <t>0</t>
        </is>
      </c>
      <c r="M3335" t="inlineStr">
        <is>
          <t>Ellwood, Gracia Fay.</t>
        </is>
      </c>
      <c r="N3335" t="inlineStr">
        <is>
          <t>Grand Rapids, Mich. : W. B. Eerdmans Pub. Co., [1970]</t>
        </is>
      </c>
      <c r="O3335" t="inlineStr">
        <is>
          <t>1970</t>
        </is>
      </c>
      <c r="Q3335" t="inlineStr">
        <is>
          <t>eng</t>
        </is>
      </c>
      <c r="R3335" t="inlineStr">
        <is>
          <t>miu</t>
        </is>
      </c>
      <c r="T3335" t="inlineStr">
        <is>
          <t xml:space="preserve">PR </t>
        </is>
      </c>
      <c r="U3335" t="n">
        <v>9</v>
      </c>
      <c r="V3335" t="n">
        <v>9</v>
      </c>
      <c r="W3335" t="inlineStr">
        <is>
          <t>2010-04-24</t>
        </is>
      </c>
      <c r="X3335" t="inlineStr">
        <is>
          <t>2010-04-24</t>
        </is>
      </c>
      <c r="Y3335" t="inlineStr">
        <is>
          <t>1992-07-22</t>
        </is>
      </c>
      <c r="Z3335" t="inlineStr">
        <is>
          <t>1992-07-22</t>
        </is>
      </c>
      <c r="AA3335" t="n">
        <v>461</v>
      </c>
      <c r="AB3335" t="n">
        <v>416</v>
      </c>
      <c r="AC3335" t="n">
        <v>427</v>
      </c>
      <c r="AD3335" t="n">
        <v>3</v>
      </c>
      <c r="AE3335" t="n">
        <v>3</v>
      </c>
      <c r="AF3335" t="n">
        <v>18</v>
      </c>
      <c r="AG3335" t="n">
        <v>18</v>
      </c>
      <c r="AH3335" t="n">
        <v>8</v>
      </c>
      <c r="AI3335" t="n">
        <v>8</v>
      </c>
      <c r="AJ3335" t="n">
        <v>3</v>
      </c>
      <c r="AK3335" t="n">
        <v>3</v>
      </c>
      <c r="AL3335" t="n">
        <v>10</v>
      </c>
      <c r="AM3335" t="n">
        <v>10</v>
      </c>
      <c r="AN3335" t="n">
        <v>2</v>
      </c>
      <c r="AO3335" t="n">
        <v>2</v>
      </c>
      <c r="AP3335" t="n">
        <v>0</v>
      </c>
      <c r="AQ3335" t="n">
        <v>0</v>
      </c>
      <c r="AR3335" t="inlineStr">
        <is>
          <t>No</t>
        </is>
      </c>
      <c r="AS3335" t="inlineStr">
        <is>
          <t>No</t>
        </is>
      </c>
      <c r="AU3335">
        <f>HYPERLINK("https://creighton-primo.hosted.exlibrisgroup.com/primo-explore/search?tab=default_tab&amp;search_scope=EVERYTHING&amp;vid=01CRU&amp;lang=en_US&amp;offset=0&amp;query=any,contains,991000585899702656","Catalog Record")</f>
        <v/>
      </c>
      <c r="AV3335">
        <f>HYPERLINK("http://www.worldcat.org/oclc/96084","WorldCat Record")</f>
        <v/>
      </c>
      <c r="AW3335" t="inlineStr">
        <is>
          <t>1320275:eng</t>
        </is>
      </c>
      <c r="AX3335" t="inlineStr">
        <is>
          <t>96084</t>
        </is>
      </c>
      <c r="AY3335" t="inlineStr">
        <is>
          <t>991000585899702656</t>
        </is>
      </c>
      <c r="AZ3335" t="inlineStr">
        <is>
          <t>991000585899702656</t>
        </is>
      </c>
      <c r="BA3335" t="inlineStr">
        <is>
          <t>2271274010002656</t>
        </is>
      </c>
      <c r="BB3335" t="inlineStr">
        <is>
          <t>BOOK</t>
        </is>
      </c>
      <c r="BE3335" t="inlineStr">
        <is>
          <t>32285001203354</t>
        </is>
      </c>
      <c r="BF3335" t="inlineStr">
        <is>
          <t>893333603</t>
        </is>
      </c>
    </row>
    <row r="3336">
      <c r="A3336" t="inlineStr">
        <is>
          <t>No</t>
        </is>
      </c>
      <c r="B3336" t="inlineStr">
        <is>
          <t>CURAL</t>
        </is>
      </c>
      <c r="C3336" t="inlineStr">
        <is>
          <t>SHELVES</t>
        </is>
      </c>
      <c r="D3336" t="inlineStr">
        <is>
          <t>PR6039.O32 S533</t>
        </is>
      </c>
      <c r="E3336" t="inlineStr">
        <is>
          <t>0                      PR 6039000O  32                 S  533</t>
        </is>
      </c>
      <c r="F3336" t="inlineStr">
        <is>
          <t>Tolkien and the Silmarils / Randel Helms.</t>
        </is>
      </c>
      <c r="H3336" t="inlineStr">
        <is>
          <t>No</t>
        </is>
      </c>
      <c r="I3336" t="inlineStr">
        <is>
          <t>1</t>
        </is>
      </c>
      <c r="J3336" t="inlineStr">
        <is>
          <t>No</t>
        </is>
      </c>
      <c r="K3336" t="inlineStr">
        <is>
          <t>No</t>
        </is>
      </c>
      <c r="L3336" t="inlineStr">
        <is>
          <t>0</t>
        </is>
      </c>
      <c r="M3336" t="inlineStr">
        <is>
          <t>Helms, Randel.</t>
        </is>
      </c>
      <c r="N3336" t="inlineStr">
        <is>
          <t>Boston : Houghton Mifflin, 1981.</t>
        </is>
      </c>
      <c r="O3336" t="inlineStr">
        <is>
          <t>1981</t>
        </is>
      </c>
      <c r="Q3336" t="inlineStr">
        <is>
          <t>eng</t>
        </is>
      </c>
      <c r="R3336" t="inlineStr">
        <is>
          <t>mau</t>
        </is>
      </c>
      <c r="T3336" t="inlineStr">
        <is>
          <t xml:space="preserve">PR </t>
        </is>
      </c>
      <c r="U3336" t="n">
        <v>6</v>
      </c>
      <c r="V3336" t="n">
        <v>6</v>
      </c>
      <c r="W3336" t="inlineStr">
        <is>
          <t>2002-09-02</t>
        </is>
      </c>
      <c r="X3336" t="inlineStr">
        <is>
          <t>2002-09-02</t>
        </is>
      </c>
      <c r="Y3336" t="inlineStr">
        <is>
          <t>1992-07-22</t>
        </is>
      </c>
      <c r="Z3336" t="inlineStr">
        <is>
          <t>1992-07-22</t>
        </is>
      </c>
      <c r="AA3336" t="n">
        <v>510</v>
      </c>
      <c r="AB3336" t="n">
        <v>469</v>
      </c>
      <c r="AC3336" t="n">
        <v>481</v>
      </c>
      <c r="AD3336" t="n">
        <v>4</v>
      </c>
      <c r="AE3336" t="n">
        <v>4</v>
      </c>
      <c r="AF3336" t="n">
        <v>11</v>
      </c>
      <c r="AG3336" t="n">
        <v>11</v>
      </c>
      <c r="AH3336" t="n">
        <v>2</v>
      </c>
      <c r="AI3336" t="n">
        <v>2</v>
      </c>
      <c r="AJ3336" t="n">
        <v>4</v>
      </c>
      <c r="AK3336" t="n">
        <v>4</v>
      </c>
      <c r="AL3336" t="n">
        <v>6</v>
      </c>
      <c r="AM3336" t="n">
        <v>6</v>
      </c>
      <c r="AN3336" t="n">
        <v>2</v>
      </c>
      <c r="AO3336" t="n">
        <v>2</v>
      </c>
      <c r="AP3336" t="n">
        <v>0</v>
      </c>
      <c r="AQ3336" t="n">
        <v>0</v>
      </c>
      <c r="AR3336" t="inlineStr">
        <is>
          <t>No</t>
        </is>
      </c>
      <c r="AS3336" t="inlineStr">
        <is>
          <t>Yes</t>
        </is>
      </c>
      <c r="AT3336">
        <f>HYPERLINK("http://catalog.hathitrust.org/Record/000126237","HathiTrust Record")</f>
        <v/>
      </c>
      <c r="AU3336">
        <f>HYPERLINK("https://creighton-primo.hosted.exlibrisgroup.com/primo-explore/search?tab=default_tab&amp;search_scope=EVERYTHING&amp;vid=01CRU&amp;lang=en_US&amp;offset=0&amp;query=any,contains,991005016079702656","Catalog Record")</f>
        <v/>
      </c>
      <c r="AV3336">
        <f>HYPERLINK("http://www.worldcat.org/oclc/6626223","WorldCat Record")</f>
        <v/>
      </c>
      <c r="AW3336" t="inlineStr">
        <is>
          <t>23057926:eng</t>
        </is>
      </c>
      <c r="AX3336" t="inlineStr">
        <is>
          <t>6626223</t>
        </is>
      </c>
      <c r="AY3336" t="inlineStr">
        <is>
          <t>991005016079702656</t>
        </is>
      </c>
      <c r="AZ3336" t="inlineStr">
        <is>
          <t>991005016079702656</t>
        </is>
      </c>
      <c r="BA3336" t="inlineStr">
        <is>
          <t>2256073290002656</t>
        </is>
      </c>
      <c r="BB3336" t="inlineStr">
        <is>
          <t>BOOK</t>
        </is>
      </c>
      <c r="BD3336" t="inlineStr">
        <is>
          <t>9780395294697</t>
        </is>
      </c>
      <c r="BE3336" t="inlineStr">
        <is>
          <t>32285001203396</t>
        </is>
      </c>
      <c r="BF3336" t="inlineStr">
        <is>
          <t>893353646</t>
        </is>
      </c>
    </row>
    <row r="3337">
      <c r="A3337" t="inlineStr">
        <is>
          <t>No</t>
        </is>
      </c>
      <c r="B3337" t="inlineStr">
        <is>
          <t>CURAL</t>
        </is>
      </c>
      <c r="C3337" t="inlineStr">
        <is>
          <t>SHELVES</t>
        </is>
      </c>
      <c r="D3337" t="inlineStr">
        <is>
          <t>PR6039.O32 Z459 1970</t>
        </is>
      </c>
      <c r="E3337" t="inlineStr">
        <is>
          <t>0                      PR 6039000O  32                 Z  459         1970</t>
        </is>
      </c>
      <c r="F3337" t="inlineStr">
        <is>
          <t>Tolkien criticism; an annotated checklist. Compiled by Richard C. West.</t>
        </is>
      </c>
      <c r="H3337" t="inlineStr">
        <is>
          <t>No</t>
        </is>
      </c>
      <c r="I3337" t="inlineStr">
        <is>
          <t>1</t>
        </is>
      </c>
      <c r="J3337" t="inlineStr">
        <is>
          <t>No</t>
        </is>
      </c>
      <c r="K3337" t="inlineStr">
        <is>
          <t>Yes</t>
        </is>
      </c>
      <c r="L3337" t="inlineStr">
        <is>
          <t>0</t>
        </is>
      </c>
      <c r="M3337" t="inlineStr">
        <is>
          <t>West, Richard C.</t>
        </is>
      </c>
      <c r="N3337" t="inlineStr">
        <is>
          <t>Kent, Ohio] Kent State University Press [1970]</t>
        </is>
      </c>
      <c r="O3337" t="inlineStr">
        <is>
          <t>1970</t>
        </is>
      </c>
      <c r="P3337" t="inlineStr">
        <is>
          <t>[1st ed.</t>
        </is>
      </c>
      <c r="Q3337" t="inlineStr">
        <is>
          <t>eng</t>
        </is>
      </c>
      <c r="R3337" t="inlineStr">
        <is>
          <t>ohu</t>
        </is>
      </c>
      <c r="S3337" t="inlineStr">
        <is>
          <t>The Serif series: bibliographies and checklists, no. 11</t>
        </is>
      </c>
      <c r="T3337" t="inlineStr">
        <is>
          <t xml:space="preserve">PR </t>
        </is>
      </c>
      <c r="U3337" t="n">
        <v>2</v>
      </c>
      <c r="V3337" t="n">
        <v>2</v>
      </c>
      <c r="W3337" t="inlineStr">
        <is>
          <t>2004-03-14</t>
        </is>
      </c>
      <c r="X3337" t="inlineStr">
        <is>
          <t>2004-03-14</t>
        </is>
      </c>
      <c r="Y3337" t="inlineStr">
        <is>
          <t>1997-04-21</t>
        </is>
      </c>
      <c r="Z3337" t="inlineStr">
        <is>
          <t>1997-04-21</t>
        </is>
      </c>
      <c r="AA3337" t="n">
        <v>617</v>
      </c>
      <c r="AB3337" t="n">
        <v>545</v>
      </c>
      <c r="AC3337" t="n">
        <v>781</v>
      </c>
      <c r="AD3337" t="n">
        <v>5</v>
      </c>
      <c r="AE3337" t="n">
        <v>5</v>
      </c>
      <c r="AF3337" t="n">
        <v>22</v>
      </c>
      <c r="AG3337" t="n">
        <v>31</v>
      </c>
      <c r="AH3337" t="n">
        <v>6</v>
      </c>
      <c r="AI3337" t="n">
        <v>11</v>
      </c>
      <c r="AJ3337" t="n">
        <v>5</v>
      </c>
      <c r="AK3337" t="n">
        <v>7</v>
      </c>
      <c r="AL3337" t="n">
        <v>13</v>
      </c>
      <c r="AM3337" t="n">
        <v>18</v>
      </c>
      <c r="AN3337" t="n">
        <v>4</v>
      </c>
      <c r="AO3337" t="n">
        <v>4</v>
      </c>
      <c r="AP3337" t="n">
        <v>0</v>
      </c>
      <c r="AQ3337" t="n">
        <v>0</v>
      </c>
      <c r="AR3337" t="inlineStr">
        <is>
          <t>No</t>
        </is>
      </c>
      <c r="AS3337" t="inlineStr">
        <is>
          <t>Yes</t>
        </is>
      </c>
      <c r="AT3337">
        <f>HYPERLINK("http://catalog.hathitrust.org/Record/001187374","HathiTrust Record")</f>
        <v/>
      </c>
      <c r="AU3337">
        <f>HYPERLINK("https://creighton-primo.hosted.exlibrisgroup.com/primo-explore/search?tab=default_tab&amp;search_scope=EVERYTHING&amp;vid=01CRU&amp;lang=en_US&amp;offset=0&amp;query=any,contains,991000158939702656","Catalog Record")</f>
        <v/>
      </c>
      <c r="AV3337">
        <f>HYPERLINK("http://www.worldcat.org/oclc/60930","WorldCat Record")</f>
        <v/>
      </c>
      <c r="AW3337" t="inlineStr">
        <is>
          <t>891826435:eng</t>
        </is>
      </c>
      <c r="AX3337" t="inlineStr">
        <is>
          <t>60930</t>
        </is>
      </c>
      <c r="AY3337" t="inlineStr">
        <is>
          <t>991000158939702656</t>
        </is>
      </c>
      <c r="AZ3337" t="inlineStr">
        <is>
          <t>991000158939702656</t>
        </is>
      </c>
      <c r="BA3337" t="inlineStr">
        <is>
          <t>2271446590002656</t>
        </is>
      </c>
      <c r="BB3337" t="inlineStr">
        <is>
          <t>BOOK</t>
        </is>
      </c>
      <c r="BD3337" t="inlineStr">
        <is>
          <t>9780873380522</t>
        </is>
      </c>
      <c r="BE3337" t="inlineStr">
        <is>
          <t>32285002579117</t>
        </is>
      </c>
      <c r="BF3337" t="inlineStr">
        <is>
          <t>893777747</t>
        </is>
      </c>
    </row>
    <row r="3338">
      <c r="A3338" t="inlineStr">
        <is>
          <t>No</t>
        </is>
      </c>
      <c r="B3338" t="inlineStr">
        <is>
          <t>CURAL</t>
        </is>
      </c>
      <c r="C3338" t="inlineStr">
        <is>
          <t>SHELVES</t>
        </is>
      </c>
      <c r="D3338" t="inlineStr">
        <is>
          <t>PR6039.O32 Z459 1981</t>
        </is>
      </c>
      <c r="E3338" t="inlineStr">
        <is>
          <t>0                      PR 6039000O  32                 Z  459         1981</t>
        </is>
      </c>
      <c r="F3338" t="inlineStr">
        <is>
          <t>Tolkien criticism : an annotated checklist / compiled by Richard C. West.</t>
        </is>
      </c>
      <c r="H3338" t="inlineStr">
        <is>
          <t>No</t>
        </is>
      </c>
      <c r="I3338" t="inlineStr">
        <is>
          <t>1</t>
        </is>
      </c>
      <c r="J3338" t="inlineStr">
        <is>
          <t>No</t>
        </is>
      </c>
      <c r="K3338" t="inlineStr">
        <is>
          <t>Yes</t>
        </is>
      </c>
      <c r="L3338" t="inlineStr">
        <is>
          <t>0</t>
        </is>
      </c>
      <c r="M3338" t="inlineStr">
        <is>
          <t>West, Richard C.</t>
        </is>
      </c>
      <c r="N3338" t="inlineStr">
        <is>
          <t>[Kent, Ohio] : Kent State University Press, c1981.</t>
        </is>
      </c>
      <c r="O3338" t="inlineStr">
        <is>
          <t>1981</t>
        </is>
      </c>
      <c r="P3338" t="inlineStr">
        <is>
          <t>Rev. ed.</t>
        </is>
      </c>
      <c r="Q3338" t="inlineStr">
        <is>
          <t>eng</t>
        </is>
      </c>
      <c r="R3338" t="inlineStr">
        <is>
          <t>ohu</t>
        </is>
      </c>
      <c r="S3338" t="inlineStr">
        <is>
          <t>The Serif series : bibliographies and checklists ; no. 39</t>
        </is>
      </c>
      <c r="T3338" t="inlineStr">
        <is>
          <t xml:space="preserve">PR </t>
        </is>
      </c>
      <c r="U3338" t="n">
        <v>6</v>
      </c>
      <c r="V3338" t="n">
        <v>6</v>
      </c>
      <c r="W3338" t="inlineStr">
        <is>
          <t>2004-03-14</t>
        </is>
      </c>
      <c r="X3338" t="inlineStr">
        <is>
          <t>2004-03-14</t>
        </is>
      </c>
      <c r="Y3338" t="inlineStr">
        <is>
          <t>1992-07-22</t>
        </is>
      </c>
      <c r="Z3338" t="inlineStr">
        <is>
          <t>1992-07-22</t>
        </is>
      </c>
      <c r="AA3338" t="n">
        <v>520</v>
      </c>
      <c r="AB3338" t="n">
        <v>447</v>
      </c>
      <c r="AC3338" t="n">
        <v>781</v>
      </c>
      <c r="AD3338" t="n">
        <v>4</v>
      </c>
      <c r="AE3338" t="n">
        <v>5</v>
      </c>
      <c r="AF3338" t="n">
        <v>19</v>
      </c>
      <c r="AG3338" t="n">
        <v>31</v>
      </c>
      <c r="AH3338" t="n">
        <v>6</v>
      </c>
      <c r="AI3338" t="n">
        <v>11</v>
      </c>
      <c r="AJ3338" t="n">
        <v>5</v>
      </c>
      <c r="AK3338" t="n">
        <v>7</v>
      </c>
      <c r="AL3338" t="n">
        <v>10</v>
      </c>
      <c r="AM3338" t="n">
        <v>18</v>
      </c>
      <c r="AN3338" t="n">
        <v>3</v>
      </c>
      <c r="AO3338" t="n">
        <v>4</v>
      </c>
      <c r="AP3338" t="n">
        <v>0</v>
      </c>
      <c r="AQ3338" t="n">
        <v>0</v>
      </c>
      <c r="AR3338" t="inlineStr">
        <is>
          <t>No</t>
        </is>
      </c>
      <c r="AS3338" t="inlineStr">
        <is>
          <t>No</t>
        </is>
      </c>
      <c r="AU3338">
        <f>HYPERLINK("https://creighton-primo.hosted.exlibrisgroup.com/primo-explore/search?tab=default_tab&amp;search_scope=EVERYTHING&amp;vid=01CRU&amp;lang=en_US&amp;offset=0&amp;query=any,contains,991005128839702656","Catalog Record")</f>
        <v/>
      </c>
      <c r="AV3338">
        <f>HYPERLINK("http://www.worldcat.org/oclc/7555632","WorldCat Record")</f>
        <v/>
      </c>
      <c r="AW3338" t="inlineStr">
        <is>
          <t>891826435:eng</t>
        </is>
      </c>
      <c r="AX3338" t="inlineStr">
        <is>
          <t>7555632</t>
        </is>
      </c>
      <c r="AY3338" t="inlineStr">
        <is>
          <t>991005128839702656</t>
        </is>
      </c>
      <c r="AZ3338" t="inlineStr">
        <is>
          <t>991005128839702656</t>
        </is>
      </c>
      <c r="BA3338" t="inlineStr">
        <is>
          <t>2266308250002656</t>
        </is>
      </c>
      <c r="BB3338" t="inlineStr">
        <is>
          <t>BOOK</t>
        </is>
      </c>
      <c r="BD3338" t="inlineStr">
        <is>
          <t>9780873382564</t>
        </is>
      </c>
      <c r="BE3338" t="inlineStr">
        <is>
          <t>32285001203404</t>
        </is>
      </c>
      <c r="BF3338" t="inlineStr">
        <is>
          <t>893594520</t>
        </is>
      </c>
    </row>
    <row r="3339">
      <c r="A3339" t="inlineStr">
        <is>
          <t>No</t>
        </is>
      </c>
      <c r="B3339" t="inlineStr">
        <is>
          <t>CURAL</t>
        </is>
      </c>
      <c r="C3339" t="inlineStr">
        <is>
          <t>SHELVES</t>
        </is>
      </c>
      <c r="D3339" t="inlineStr">
        <is>
          <t>PR6039.O32 Z62 1977</t>
        </is>
      </c>
      <c r="E3339" t="inlineStr">
        <is>
          <t>0                      PR 6039000O  32                 Z  62          1977</t>
        </is>
      </c>
      <c r="F3339" t="inlineStr">
        <is>
          <t>Tolkien : a biography / by Humphrey Carpenter.</t>
        </is>
      </c>
      <c r="H3339" t="inlineStr">
        <is>
          <t>No</t>
        </is>
      </c>
      <c r="I3339" t="inlineStr">
        <is>
          <t>1</t>
        </is>
      </c>
      <c r="J3339" t="inlineStr">
        <is>
          <t>No</t>
        </is>
      </c>
      <c r="K3339" t="inlineStr">
        <is>
          <t>No</t>
        </is>
      </c>
      <c r="L3339" t="inlineStr">
        <is>
          <t>0</t>
        </is>
      </c>
      <c r="M3339" t="inlineStr">
        <is>
          <t>Carpenter, Humphrey.</t>
        </is>
      </c>
      <c r="N3339" t="inlineStr">
        <is>
          <t>Boston : Houghton Mifflin, 1977.</t>
        </is>
      </c>
      <c r="O3339" t="inlineStr">
        <is>
          <t>1977</t>
        </is>
      </c>
      <c r="Q3339" t="inlineStr">
        <is>
          <t>eng</t>
        </is>
      </c>
      <c r="R3339" t="inlineStr">
        <is>
          <t>mau</t>
        </is>
      </c>
      <c r="T3339" t="inlineStr">
        <is>
          <t xml:space="preserve">PR </t>
        </is>
      </c>
      <c r="U3339" t="n">
        <v>3</v>
      </c>
      <c r="V3339" t="n">
        <v>3</v>
      </c>
      <c r="W3339" t="inlineStr">
        <is>
          <t>2002-03-28</t>
        </is>
      </c>
      <c r="X3339" t="inlineStr">
        <is>
          <t>2002-03-28</t>
        </is>
      </c>
      <c r="Y3339" t="inlineStr">
        <is>
          <t>1992-05-19</t>
        </is>
      </c>
      <c r="Z3339" t="inlineStr">
        <is>
          <t>1992-05-19</t>
        </is>
      </c>
      <c r="AA3339" t="n">
        <v>2124</v>
      </c>
      <c r="AB3339" t="n">
        <v>2049</v>
      </c>
      <c r="AC3339" t="n">
        <v>2330</v>
      </c>
      <c r="AD3339" t="n">
        <v>17</v>
      </c>
      <c r="AE3339" t="n">
        <v>19</v>
      </c>
      <c r="AF3339" t="n">
        <v>49</v>
      </c>
      <c r="AG3339" t="n">
        <v>50</v>
      </c>
      <c r="AH3339" t="n">
        <v>24</v>
      </c>
      <c r="AI3339" t="n">
        <v>24</v>
      </c>
      <c r="AJ3339" t="n">
        <v>8</v>
      </c>
      <c r="AK3339" t="n">
        <v>8</v>
      </c>
      <c r="AL3339" t="n">
        <v>19</v>
      </c>
      <c r="AM3339" t="n">
        <v>20</v>
      </c>
      <c r="AN3339" t="n">
        <v>10</v>
      </c>
      <c r="AO3339" t="n">
        <v>10</v>
      </c>
      <c r="AP3339" t="n">
        <v>0</v>
      </c>
      <c r="AQ3339" t="n">
        <v>0</v>
      </c>
      <c r="AR3339" t="inlineStr">
        <is>
          <t>No</t>
        </is>
      </c>
      <c r="AS3339" t="inlineStr">
        <is>
          <t>Yes</t>
        </is>
      </c>
      <c r="AT3339">
        <f>HYPERLINK("http://catalog.hathitrust.org/Record/000253439","HathiTrust Record")</f>
        <v/>
      </c>
      <c r="AU3339">
        <f>HYPERLINK("https://creighton-primo.hosted.exlibrisgroup.com/primo-explore/search?tab=default_tab&amp;search_scope=EVERYTHING&amp;vid=01CRU&amp;lang=en_US&amp;offset=0&amp;query=any,contains,991004333049702656","Catalog Record")</f>
        <v/>
      </c>
      <c r="AV3339">
        <f>HYPERLINK("http://www.worldcat.org/oclc/3068053","WorldCat Record")</f>
        <v/>
      </c>
      <c r="AW3339" t="inlineStr">
        <is>
          <t>4915344884:eng</t>
        </is>
      </c>
      <c r="AX3339" t="inlineStr">
        <is>
          <t>3068053</t>
        </is>
      </c>
      <c r="AY3339" t="inlineStr">
        <is>
          <t>991004333049702656</t>
        </is>
      </c>
      <c r="AZ3339" t="inlineStr">
        <is>
          <t>991004333049702656</t>
        </is>
      </c>
      <c r="BA3339" t="inlineStr">
        <is>
          <t>2265226160002656</t>
        </is>
      </c>
      <c r="BB3339" t="inlineStr">
        <is>
          <t>BOOK</t>
        </is>
      </c>
      <c r="BD3339" t="inlineStr">
        <is>
          <t>9780395253601</t>
        </is>
      </c>
      <c r="BE3339" t="inlineStr">
        <is>
          <t>32285001111540</t>
        </is>
      </c>
      <c r="BF3339" t="inlineStr">
        <is>
          <t>893436161</t>
        </is>
      </c>
    </row>
    <row r="3340">
      <c r="A3340" t="inlineStr">
        <is>
          <t>No</t>
        </is>
      </c>
      <c r="B3340" t="inlineStr">
        <is>
          <t>CURAL</t>
        </is>
      </c>
      <c r="C3340" t="inlineStr">
        <is>
          <t>SHELVES</t>
        </is>
      </c>
      <c r="D3340" t="inlineStr">
        <is>
          <t>PR6039.O32 Z657 1985</t>
        </is>
      </c>
      <c r="E3340" t="inlineStr">
        <is>
          <t>0                      PR 6039000O  32                 Z  657         1985</t>
        </is>
      </c>
      <c r="F3340" t="inlineStr">
        <is>
          <t>The song of Middle-earth : J.R.R. Tolkien's themes, symbols and myths / David Harvey.</t>
        </is>
      </c>
      <c r="H3340" t="inlineStr">
        <is>
          <t>No</t>
        </is>
      </c>
      <c r="I3340" t="inlineStr">
        <is>
          <t>1</t>
        </is>
      </c>
      <c r="J3340" t="inlineStr">
        <is>
          <t>No</t>
        </is>
      </c>
      <c r="K3340" t="inlineStr">
        <is>
          <t>No</t>
        </is>
      </c>
      <c r="L3340" t="inlineStr">
        <is>
          <t>0</t>
        </is>
      </c>
      <c r="M3340" t="inlineStr">
        <is>
          <t>Harvey, David, 1946 December 31-</t>
        </is>
      </c>
      <c r="N3340" t="inlineStr">
        <is>
          <t>London : Allen &amp; Unwin, 1985.</t>
        </is>
      </c>
      <c r="O3340" t="inlineStr">
        <is>
          <t>1985</t>
        </is>
      </c>
      <c r="Q3340" t="inlineStr">
        <is>
          <t>eng</t>
        </is>
      </c>
      <c r="R3340" t="inlineStr">
        <is>
          <t>enk</t>
        </is>
      </c>
      <c r="T3340" t="inlineStr">
        <is>
          <t xml:space="preserve">PR </t>
        </is>
      </c>
      <c r="U3340" t="n">
        <v>7</v>
      </c>
      <c r="V3340" t="n">
        <v>7</v>
      </c>
      <c r="W3340" t="inlineStr">
        <is>
          <t>2005-02-18</t>
        </is>
      </c>
      <c r="X3340" t="inlineStr">
        <is>
          <t>2005-02-18</t>
        </is>
      </c>
      <c r="Y3340" t="inlineStr">
        <is>
          <t>1992-07-22</t>
        </is>
      </c>
      <c r="Z3340" t="inlineStr">
        <is>
          <t>1992-07-22</t>
        </is>
      </c>
      <c r="AA3340" t="n">
        <v>210</v>
      </c>
      <c r="AB3340" t="n">
        <v>105</v>
      </c>
      <c r="AC3340" t="n">
        <v>117</v>
      </c>
      <c r="AD3340" t="n">
        <v>3</v>
      </c>
      <c r="AE3340" t="n">
        <v>3</v>
      </c>
      <c r="AF3340" t="n">
        <v>6</v>
      </c>
      <c r="AG3340" t="n">
        <v>6</v>
      </c>
      <c r="AH3340" t="n">
        <v>1</v>
      </c>
      <c r="AI3340" t="n">
        <v>1</v>
      </c>
      <c r="AJ3340" t="n">
        <v>4</v>
      </c>
      <c r="AK3340" t="n">
        <v>4</v>
      </c>
      <c r="AL3340" t="n">
        <v>2</v>
      </c>
      <c r="AM3340" t="n">
        <v>2</v>
      </c>
      <c r="AN3340" t="n">
        <v>2</v>
      </c>
      <c r="AO3340" t="n">
        <v>2</v>
      </c>
      <c r="AP3340" t="n">
        <v>0</v>
      </c>
      <c r="AQ3340" t="n">
        <v>0</v>
      </c>
      <c r="AR3340" t="inlineStr">
        <is>
          <t>No</t>
        </is>
      </c>
      <c r="AS3340" t="inlineStr">
        <is>
          <t>No</t>
        </is>
      </c>
      <c r="AU3340">
        <f>HYPERLINK("https://creighton-primo.hosted.exlibrisgroup.com/primo-explore/search?tab=default_tab&amp;search_scope=EVERYTHING&amp;vid=01CRU&amp;lang=en_US&amp;offset=0&amp;query=any,contains,991000696449702656","Catalog Record")</f>
        <v/>
      </c>
      <c r="AV3340">
        <f>HYPERLINK("http://www.worldcat.org/oclc/59806159","WorldCat Record")</f>
        <v/>
      </c>
      <c r="AW3340" t="inlineStr">
        <is>
          <t>478986087:eng</t>
        </is>
      </c>
      <c r="AX3340" t="inlineStr">
        <is>
          <t>59806159</t>
        </is>
      </c>
      <c r="AY3340" t="inlineStr">
        <is>
          <t>991000696449702656</t>
        </is>
      </c>
      <c r="AZ3340" t="inlineStr">
        <is>
          <t>991000696449702656</t>
        </is>
      </c>
      <c r="BA3340" t="inlineStr">
        <is>
          <t>2256707800002656</t>
        </is>
      </c>
      <c r="BB3340" t="inlineStr">
        <is>
          <t>BOOK</t>
        </is>
      </c>
      <c r="BD3340" t="inlineStr">
        <is>
          <t>9780048090232</t>
        </is>
      </c>
      <c r="BE3340" t="inlineStr">
        <is>
          <t>32285001203446</t>
        </is>
      </c>
      <c r="BF3340" t="inlineStr">
        <is>
          <t>893351626</t>
        </is>
      </c>
    </row>
    <row r="3341">
      <c r="A3341" t="inlineStr">
        <is>
          <t>No</t>
        </is>
      </c>
      <c r="B3341" t="inlineStr">
        <is>
          <t>CURAL</t>
        </is>
      </c>
      <c r="C3341" t="inlineStr">
        <is>
          <t>SHELVES</t>
        </is>
      </c>
      <c r="D3341" t="inlineStr">
        <is>
          <t>PR6039.O32 Z66</t>
        </is>
      </c>
      <c r="E3341" t="inlineStr">
        <is>
          <t>0                      PR 6039000O  32                 Z  66</t>
        </is>
      </c>
      <c r="F3341" t="inlineStr">
        <is>
          <t>Tolkien's world.</t>
        </is>
      </c>
      <c r="H3341" t="inlineStr">
        <is>
          <t>No</t>
        </is>
      </c>
      <c r="I3341" t="inlineStr">
        <is>
          <t>1</t>
        </is>
      </c>
      <c r="J3341" t="inlineStr">
        <is>
          <t>No</t>
        </is>
      </c>
      <c r="K3341" t="inlineStr">
        <is>
          <t>No</t>
        </is>
      </c>
      <c r="L3341" t="inlineStr">
        <is>
          <t>0</t>
        </is>
      </c>
      <c r="M3341" t="inlineStr">
        <is>
          <t>Helms, Randel.</t>
        </is>
      </c>
      <c r="N3341" t="inlineStr">
        <is>
          <t>Boston, Houghton Mifflin, 1974.</t>
        </is>
      </c>
      <c r="O3341" t="inlineStr">
        <is>
          <t>1974</t>
        </is>
      </c>
      <c r="Q3341" t="inlineStr">
        <is>
          <t>eng</t>
        </is>
      </c>
      <c r="R3341" t="inlineStr">
        <is>
          <t>mau</t>
        </is>
      </c>
      <c r="T3341" t="inlineStr">
        <is>
          <t xml:space="preserve">PR </t>
        </is>
      </c>
      <c r="U3341" t="n">
        <v>6</v>
      </c>
      <c r="V3341" t="n">
        <v>6</v>
      </c>
      <c r="W3341" t="inlineStr">
        <is>
          <t>2009-06-07</t>
        </is>
      </c>
      <c r="X3341" t="inlineStr">
        <is>
          <t>2009-06-07</t>
        </is>
      </c>
      <c r="Y3341" t="inlineStr">
        <is>
          <t>1997-04-21</t>
        </is>
      </c>
      <c r="Z3341" t="inlineStr">
        <is>
          <t>1997-04-21</t>
        </is>
      </c>
      <c r="AA3341" t="n">
        <v>1467</v>
      </c>
      <c r="AB3341" t="n">
        <v>1361</v>
      </c>
      <c r="AC3341" t="n">
        <v>1398</v>
      </c>
      <c r="AD3341" t="n">
        <v>6</v>
      </c>
      <c r="AE3341" t="n">
        <v>6</v>
      </c>
      <c r="AF3341" t="n">
        <v>33</v>
      </c>
      <c r="AG3341" t="n">
        <v>33</v>
      </c>
      <c r="AH3341" t="n">
        <v>13</v>
      </c>
      <c r="AI3341" t="n">
        <v>13</v>
      </c>
      <c r="AJ3341" t="n">
        <v>8</v>
      </c>
      <c r="AK3341" t="n">
        <v>8</v>
      </c>
      <c r="AL3341" t="n">
        <v>17</v>
      </c>
      <c r="AM3341" t="n">
        <v>17</v>
      </c>
      <c r="AN3341" t="n">
        <v>3</v>
      </c>
      <c r="AO3341" t="n">
        <v>3</v>
      </c>
      <c r="AP3341" t="n">
        <v>0</v>
      </c>
      <c r="AQ3341" t="n">
        <v>0</v>
      </c>
      <c r="AR3341" t="inlineStr">
        <is>
          <t>No</t>
        </is>
      </c>
      <c r="AS3341" t="inlineStr">
        <is>
          <t>Yes</t>
        </is>
      </c>
      <c r="AT3341">
        <f>HYPERLINK("http://catalog.hathitrust.org/Record/001187371","HathiTrust Record")</f>
        <v/>
      </c>
      <c r="AU3341">
        <f>HYPERLINK("https://creighton-primo.hosted.exlibrisgroup.com/primo-explore/search?tab=default_tab&amp;search_scope=EVERYTHING&amp;vid=01CRU&amp;lang=en_US&amp;offset=0&amp;query=any,contains,991003289359702656","Catalog Record")</f>
        <v/>
      </c>
      <c r="AV3341">
        <f>HYPERLINK("http://www.worldcat.org/oclc/811010","WorldCat Record")</f>
        <v/>
      </c>
      <c r="AW3341" t="inlineStr">
        <is>
          <t>89424:eng</t>
        </is>
      </c>
      <c r="AX3341" t="inlineStr">
        <is>
          <t>811010</t>
        </is>
      </c>
      <c r="AY3341" t="inlineStr">
        <is>
          <t>991003289359702656</t>
        </is>
      </c>
      <c r="AZ3341" t="inlineStr">
        <is>
          <t>991003289359702656</t>
        </is>
      </c>
      <c r="BA3341" t="inlineStr">
        <is>
          <t>2269476260002656</t>
        </is>
      </c>
      <c r="BB3341" t="inlineStr">
        <is>
          <t>BOOK</t>
        </is>
      </c>
      <c r="BD3341" t="inlineStr">
        <is>
          <t>9780395184905</t>
        </is>
      </c>
      <c r="BE3341" t="inlineStr">
        <is>
          <t>32285002579125</t>
        </is>
      </c>
      <c r="BF3341" t="inlineStr">
        <is>
          <t>893246212</t>
        </is>
      </c>
    </row>
    <row r="3342">
      <c r="A3342" t="inlineStr">
        <is>
          <t>No</t>
        </is>
      </c>
      <c r="B3342" t="inlineStr">
        <is>
          <t>CURAL</t>
        </is>
      </c>
      <c r="C3342" t="inlineStr">
        <is>
          <t>SHELVES</t>
        </is>
      </c>
      <c r="D3342" t="inlineStr">
        <is>
          <t>PR6039.O32 Z666 1984</t>
        </is>
      </c>
      <c r="E3342" t="inlineStr">
        <is>
          <t>0                      PR 6039000O  32                 Z  666         1984</t>
        </is>
      </c>
      <c r="F3342" t="inlineStr">
        <is>
          <t>J.R.R. Tolkien, this far land / edited by Robert Giddings.</t>
        </is>
      </c>
      <c r="H3342" t="inlineStr">
        <is>
          <t>No</t>
        </is>
      </c>
      <c r="I3342" t="inlineStr">
        <is>
          <t>1</t>
        </is>
      </c>
      <c r="J3342" t="inlineStr">
        <is>
          <t>No</t>
        </is>
      </c>
      <c r="K3342" t="inlineStr">
        <is>
          <t>No</t>
        </is>
      </c>
      <c r="L3342" t="inlineStr">
        <is>
          <t>0</t>
        </is>
      </c>
      <c r="N3342" t="inlineStr">
        <is>
          <t>Totowa, N.J. : Barnes &amp; Noble Books, 1984, c1983.</t>
        </is>
      </c>
      <c r="O3342" t="inlineStr">
        <is>
          <t>1984</t>
        </is>
      </c>
      <c r="Q3342" t="inlineStr">
        <is>
          <t>eng</t>
        </is>
      </c>
      <c r="R3342" t="inlineStr">
        <is>
          <t>nju</t>
        </is>
      </c>
      <c r="S3342" t="inlineStr">
        <is>
          <t>Critical studies series</t>
        </is>
      </c>
      <c r="T3342" t="inlineStr">
        <is>
          <t xml:space="preserve">PR </t>
        </is>
      </c>
      <c r="U3342" t="n">
        <v>3</v>
      </c>
      <c r="V3342" t="n">
        <v>3</v>
      </c>
      <c r="W3342" t="inlineStr">
        <is>
          <t>2008-05-02</t>
        </is>
      </c>
      <c r="X3342" t="inlineStr">
        <is>
          <t>2008-05-02</t>
        </is>
      </c>
      <c r="Y3342" t="inlineStr">
        <is>
          <t>1992-07-22</t>
        </is>
      </c>
      <c r="Z3342" t="inlineStr">
        <is>
          <t>1992-07-22</t>
        </is>
      </c>
      <c r="AA3342" t="n">
        <v>629</v>
      </c>
      <c r="AB3342" t="n">
        <v>585</v>
      </c>
      <c r="AC3342" t="n">
        <v>594</v>
      </c>
      <c r="AD3342" t="n">
        <v>7</v>
      </c>
      <c r="AE3342" t="n">
        <v>7</v>
      </c>
      <c r="AF3342" t="n">
        <v>28</v>
      </c>
      <c r="AG3342" t="n">
        <v>28</v>
      </c>
      <c r="AH3342" t="n">
        <v>10</v>
      </c>
      <c r="AI3342" t="n">
        <v>10</v>
      </c>
      <c r="AJ3342" t="n">
        <v>8</v>
      </c>
      <c r="AK3342" t="n">
        <v>8</v>
      </c>
      <c r="AL3342" t="n">
        <v>12</v>
      </c>
      <c r="AM3342" t="n">
        <v>12</v>
      </c>
      <c r="AN3342" t="n">
        <v>5</v>
      </c>
      <c r="AO3342" t="n">
        <v>5</v>
      </c>
      <c r="AP3342" t="n">
        <v>0</v>
      </c>
      <c r="AQ3342" t="n">
        <v>0</v>
      </c>
      <c r="AR3342" t="inlineStr">
        <is>
          <t>No</t>
        </is>
      </c>
      <c r="AS3342" t="inlineStr">
        <is>
          <t>Yes</t>
        </is>
      </c>
      <c r="AT3342">
        <f>HYPERLINK("http://catalog.hathitrust.org/Record/000163222","HathiTrust Record")</f>
        <v/>
      </c>
      <c r="AU3342">
        <f>HYPERLINK("https://creighton-primo.hosted.exlibrisgroup.com/primo-explore/search?tab=default_tab&amp;search_scope=EVERYTHING&amp;vid=01CRU&amp;lang=en_US&amp;offset=0&amp;query=any,contains,991000186269702656","Catalog Record")</f>
        <v/>
      </c>
      <c r="AV3342">
        <f>HYPERLINK("http://www.worldcat.org/oclc/9393849","WorldCat Record")</f>
        <v/>
      </c>
      <c r="AW3342" t="inlineStr">
        <is>
          <t>43113461:eng</t>
        </is>
      </c>
      <c r="AX3342" t="inlineStr">
        <is>
          <t>9393849</t>
        </is>
      </c>
      <c r="AY3342" t="inlineStr">
        <is>
          <t>991000186269702656</t>
        </is>
      </c>
      <c r="AZ3342" t="inlineStr">
        <is>
          <t>991000186269702656</t>
        </is>
      </c>
      <c r="BA3342" t="inlineStr">
        <is>
          <t>2266097910002656</t>
        </is>
      </c>
      <c r="BB3342" t="inlineStr">
        <is>
          <t>BOOK</t>
        </is>
      </c>
      <c r="BD3342" t="inlineStr">
        <is>
          <t>9780389203742</t>
        </is>
      </c>
      <c r="BE3342" t="inlineStr">
        <is>
          <t>32285001203461</t>
        </is>
      </c>
      <c r="BF3342" t="inlineStr">
        <is>
          <t>893425519</t>
        </is>
      </c>
    </row>
    <row r="3343">
      <c r="A3343" t="inlineStr">
        <is>
          <t>No</t>
        </is>
      </c>
      <c r="B3343" t="inlineStr">
        <is>
          <t>CURAL</t>
        </is>
      </c>
      <c r="C3343" t="inlineStr">
        <is>
          <t>SHELVES</t>
        </is>
      </c>
      <c r="D3343" t="inlineStr">
        <is>
          <t>PR6039.O32 Z67</t>
        </is>
      </c>
      <c r="E3343" t="inlineStr">
        <is>
          <t>0                      PR 6039000O  32                 Z  67</t>
        </is>
      </c>
      <c r="F3343" t="inlineStr">
        <is>
          <t>Master of Middle-earth; the fiction of J. R. R. Tolkien [by] Paul H. Kocher.</t>
        </is>
      </c>
      <c r="H3343" t="inlineStr">
        <is>
          <t>No</t>
        </is>
      </c>
      <c r="I3343" t="inlineStr">
        <is>
          <t>1</t>
        </is>
      </c>
      <c r="J3343" t="inlineStr">
        <is>
          <t>No</t>
        </is>
      </c>
      <c r="K3343" t="inlineStr">
        <is>
          <t>Yes</t>
        </is>
      </c>
      <c r="L3343" t="inlineStr">
        <is>
          <t>0</t>
        </is>
      </c>
      <c r="M3343" t="inlineStr">
        <is>
          <t>Kocher, Paul H. (Paul Harold), 1907-1998.</t>
        </is>
      </c>
      <c r="N3343" t="inlineStr">
        <is>
          <t>Boston, Houghton Mifflin, 1972.</t>
        </is>
      </c>
      <c r="O3343" t="inlineStr">
        <is>
          <t>1972</t>
        </is>
      </c>
      <c r="Q3343" t="inlineStr">
        <is>
          <t>eng</t>
        </is>
      </c>
      <c r="R3343" t="inlineStr">
        <is>
          <t>mau</t>
        </is>
      </c>
      <c r="T3343" t="inlineStr">
        <is>
          <t xml:space="preserve">PR </t>
        </is>
      </c>
      <c r="U3343" t="n">
        <v>8</v>
      </c>
      <c r="V3343" t="n">
        <v>8</v>
      </c>
      <c r="W3343" t="inlineStr">
        <is>
          <t>2008-11-09</t>
        </is>
      </c>
      <c r="X3343" t="inlineStr">
        <is>
          <t>2008-11-09</t>
        </is>
      </c>
      <c r="Y3343" t="inlineStr">
        <is>
          <t>1997-04-21</t>
        </is>
      </c>
      <c r="Z3343" t="inlineStr">
        <is>
          <t>1997-04-21</t>
        </is>
      </c>
      <c r="AA3343" t="n">
        <v>1561</v>
      </c>
      <c r="AB3343" t="n">
        <v>1451</v>
      </c>
      <c r="AC3343" t="n">
        <v>1591</v>
      </c>
      <c r="AD3343" t="n">
        <v>13</v>
      </c>
      <c r="AE3343" t="n">
        <v>15</v>
      </c>
      <c r="AF3343" t="n">
        <v>41</v>
      </c>
      <c r="AG3343" t="n">
        <v>43</v>
      </c>
      <c r="AH3343" t="n">
        <v>17</v>
      </c>
      <c r="AI3343" t="n">
        <v>17</v>
      </c>
      <c r="AJ3343" t="n">
        <v>7</v>
      </c>
      <c r="AK3343" t="n">
        <v>7</v>
      </c>
      <c r="AL3343" t="n">
        <v>19</v>
      </c>
      <c r="AM3343" t="n">
        <v>19</v>
      </c>
      <c r="AN3343" t="n">
        <v>6</v>
      </c>
      <c r="AO3343" t="n">
        <v>8</v>
      </c>
      <c r="AP3343" t="n">
        <v>0</v>
      </c>
      <c r="AQ3343" t="n">
        <v>0</v>
      </c>
      <c r="AR3343" t="inlineStr">
        <is>
          <t>No</t>
        </is>
      </c>
      <c r="AS3343" t="inlineStr">
        <is>
          <t>No</t>
        </is>
      </c>
      <c r="AU3343">
        <f>HYPERLINK("https://creighton-primo.hosted.exlibrisgroup.com/primo-explore/search?tab=default_tab&amp;search_scope=EVERYTHING&amp;vid=01CRU&amp;lang=en_US&amp;offset=0&amp;query=any,contains,991002885029702656","Catalog Record")</f>
        <v/>
      </c>
      <c r="AV3343">
        <f>HYPERLINK("http://www.worldcat.org/oclc/507986","WorldCat Record")</f>
        <v/>
      </c>
      <c r="AW3343" t="inlineStr">
        <is>
          <t>467519:eng</t>
        </is>
      </c>
      <c r="AX3343" t="inlineStr">
        <is>
          <t>507986</t>
        </is>
      </c>
      <c r="AY3343" t="inlineStr">
        <is>
          <t>991002885029702656</t>
        </is>
      </c>
      <c r="AZ3343" t="inlineStr">
        <is>
          <t>991002885029702656</t>
        </is>
      </c>
      <c r="BA3343" t="inlineStr">
        <is>
          <t>2260282130002656</t>
        </is>
      </c>
      <c r="BB3343" t="inlineStr">
        <is>
          <t>BOOK</t>
        </is>
      </c>
      <c r="BD3343" t="inlineStr">
        <is>
          <t>9780395140970</t>
        </is>
      </c>
      <c r="BE3343" t="inlineStr">
        <is>
          <t>32285002579133</t>
        </is>
      </c>
      <c r="BF3343" t="inlineStr">
        <is>
          <t>893710796</t>
        </is>
      </c>
    </row>
    <row r="3344">
      <c r="A3344" t="inlineStr">
        <is>
          <t>No</t>
        </is>
      </c>
      <c r="B3344" t="inlineStr">
        <is>
          <t>CURAL</t>
        </is>
      </c>
      <c r="C3344" t="inlineStr">
        <is>
          <t>SHELVES</t>
        </is>
      </c>
      <c r="D3344" t="inlineStr">
        <is>
          <t>PR6039.O32 Z68</t>
        </is>
      </c>
      <c r="E3344" t="inlineStr">
        <is>
          <t>0                      PR 6039000O  32                 Z  68</t>
        </is>
      </c>
      <c r="F3344" t="inlineStr">
        <is>
          <t>The road to middle-earth / by T.A. Shippey.</t>
        </is>
      </c>
      <c r="H3344" t="inlineStr">
        <is>
          <t>No</t>
        </is>
      </c>
      <c r="I3344" t="inlineStr">
        <is>
          <t>1</t>
        </is>
      </c>
      <c r="J3344" t="inlineStr">
        <is>
          <t>No</t>
        </is>
      </c>
      <c r="K3344" t="inlineStr">
        <is>
          <t>No</t>
        </is>
      </c>
      <c r="L3344" t="inlineStr">
        <is>
          <t>0</t>
        </is>
      </c>
      <c r="M3344" t="inlineStr">
        <is>
          <t>Shippey, T. A.</t>
        </is>
      </c>
      <c r="N3344" t="inlineStr">
        <is>
          <t>London : Boston : Allen &amp; Unwin, 1982.</t>
        </is>
      </c>
      <c r="O3344" t="inlineStr">
        <is>
          <t>1982</t>
        </is>
      </c>
      <c r="Q3344" t="inlineStr">
        <is>
          <t>eng</t>
        </is>
      </c>
      <c r="R3344" t="inlineStr">
        <is>
          <t>enk</t>
        </is>
      </c>
      <c r="T3344" t="inlineStr">
        <is>
          <t xml:space="preserve">PR </t>
        </is>
      </c>
      <c r="U3344" t="n">
        <v>3</v>
      </c>
      <c r="V3344" t="n">
        <v>3</v>
      </c>
      <c r="W3344" t="inlineStr">
        <is>
          <t>2009-09-29</t>
        </is>
      </c>
      <c r="X3344" t="inlineStr">
        <is>
          <t>2009-09-29</t>
        </is>
      </c>
      <c r="Y3344" t="inlineStr">
        <is>
          <t>1992-07-22</t>
        </is>
      </c>
      <c r="Z3344" t="inlineStr">
        <is>
          <t>1992-07-22</t>
        </is>
      </c>
      <c r="AA3344" t="n">
        <v>208</v>
      </c>
      <c r="AB3344" t="n">
        <v>76</v>
      </c>
      <c r="AC3344" t="n">
        <v>1309</v>
      </c>
      <c r="AD3344" t="n">
        <v>1</v>
      </c>
      <c r="AE3344" t="n">
        <v>8</v>
      </c>
      <c r="AF3344" t="n">
        <v>3</v>
      </c>
      <c r="AG3344" t="n">
        <v>42</v>
      </c>
      <c r="AH3344" t="n">
        <v>0</v>
      </c>
      <c r="AI3344" t="n">
        <v>22</v>
      </c>
      <c r="AJ3344" t="n">
        <v>1</v>
      </c>
      <c r="AK3344" t="n">
        <v>7</v>
      </c>
      <c r="AL3344" t="n">
        <v>3</v>
      </c>
      <c r="AM3344" t="n">
        <v>18</v>
      </c>
      <c r="AN3344" t="n">
        <v>0</v>
      </c>
      <c r="AO3344" t="n">
        <v>5</v>
      </c>
      <c r="AP3344" t="n">
        <v>0</v>
      </c>
      <c r="AQ3344" t="n">
        <v>0</v>
      </c>
      <c r="AR3344" t="inlineStr">
        <is>
          <t>No</t>
        </is>
      </c>
      <c r="AS3344" t="inlineStr">
        <is>
          <t>No</t>
        </is>
      </c>
      <c r="AU3344">
        <f>HYPERLINK("https://creighton-primo.hosted.exlibrisgroup.com/primo-explore/search?tab=default_tab&amp;search_scope=EVERYTHING&amp;vid=01CRU&amp;lang=en_US&amp;offset=0&amp;query=any,contains,991000103619702656","Catalog Record")</f>
        <v/>
      </c>
      <c r="AV3344">
        <f>HYPERLINK("http://www.worldcat.org/oclc/8964425","WorldCat Record")</f>
        <v/>
      </c>
      <c r="AW3344" t="inlineStr">
        <is>
          <t>176185:eng</t>
        </is>
      </c>
      <c r="AX3344" t="inlineStr">
        <is>
          <t>8964425</t>
        </is>
      </c>
      <c r="AY3344" t="inlineStr">
        <is>
          <t>991000103619702656</t>
        </is>
      </c>
      <c r="AZ3344" t="inlineStr">
        <is>
          <t>991000103619702656</t>
        </is>
      </c>
      <c r="BA3344" t="inlineStr">
        <is>
          <t>2254847300002656</t>
        </is>
      </c>
      <c r="BB3344" t="inlineStr">
        <is>
          <t>BOOK</t>
        </is>
      </c>
      <c r="BD3344" t="inlineStr">
        <is>
          <t>9780048090188</t>
        </is>
      </c>
      <c r="BE3344" t="inlineStr">
        <is>
          <t>32285001203487</t>
        </is>
      </c>
      <c r="BF3344" t="inlineStr">
        <is>
          <t>893790238</t>
        </is>
      </c>
    </row>
    <row r="3345">
      <c r="A3345" t="inlineStr">
        <is>
          <t>No</t>
        </is>
      </c>
      <c r="B3345" t="inlineStr">
        <is>
          <t>CURAL</t>
        </is>
      </c>
      <c r="C3345" t="inlineStr">
        <is>
          <t>SHELVES</t>
        </is>
      </c>
      <c r="D3345" t="inlineStr">
        <is>
          <t>PR6039.O32 Z69 1975</t>
        </is>
      </c>
      <c r="E3345" t="inlineStr">
        <is>
          <t>0                      PR 6039000O  32                 Z  69          1975</t>
        </is>
      </c>
      <c r="F3345" t="inlineStr">
        <is>
          <t>A Tolkien compass : including J. R. R. Tolkien's guide to the names in The lord of the rings / edited by Jared Lobdell.</t>
        </is>
      </c>
      <c r="H3345" t="inlineStr">
        <is>
          <t>No</t>
        </is>
      </c>
      <c r="I3345" t="inlineStr">
        <is>
          <t>1</t>
        </is>
      </c>
      <c r="J3345" t="inlineStr">
        <is>
          <t>No</t>
        </is>
      </c>
      <c r="K3345" t="inlineStr">
        <is>
          <t>No</t>
        </is>
      </c>
      <c r="L3345" t="inlineStr">
        <is>
          <t>0</t>
        </is>
      </c>
      <c r="M3345" t="inlineStr">
        <is>
          <t>Lobdell, Jared, 1937- compiler.</t>
        </is>
      </c>
      <c r="N3345" t="inlineStr">
        <is>
          <t>La Salle, Ill. : Open Court, 1975.</t>
        </is>
      </c>
      <c r="O3345" t="inlineStr">
        <is>
          <t>1975</t>
        </is>
      </c>
      <c r="Q3345" t="inlineStr">
        <is>
          <t>eng</t>
        </is>
      </c>
      <c r="R3345" t="inlineStr">
        <is>
          <t>ilu</t>
        </is>
      </c>
      <c r="T3345" t="inlineStr">
        <is>
          <t xml:space="preserve">PR </t>
        </is>
      </c>
      <c r="U3345" t="n">
        <v>5</v>
      </c>
      <c r="V3345" t="n">
        <v>5</v>
      </c>
      <c r="W3345" t="inlineStr">
        <is>
          <t>2008-11-14</t>
        </is>
      </c>
      <c r="X3345" t="inlineStr">
        <is>
          <t>2008-11-14</t>
        </is>
      </c>
      <c r="Y3345" t="inlineStr">
        <is>
          <t>1990-03-07</t>
        </is>
      </c>
      <c r="Z3345" t="inlineStr">
        <is>
          <t>1990-03-07</t>
        </is>
      </c>
      <c r="AA3345" t="n">
        <v>986</v>
      </c>
      <c r="AB3345" t="n">
        <v>903</v>
      </c>
      <c r="AC3345" t="n">
        <v>940</v>
      </c>
      <c r="AD3345" t="n">
        <v>9</v>
      </c>
      <c r="AE3345" t="n">
        <v>9</v>
      </c>
      <c r="AF3345" t="n">
        <v>29</v>
      </c>
      <c r="AG3345" t="n">
        <v>29</v>
      </c>
      <c r="AH3345" t="n">
        <v>12</v>
      </c>
      <c r="AI3345" t="n">
        <v>12</v>
      </c>
      <c r="AJ3345" t="n">
        <v>4</v>
      </c>
      <c r="AK3345" t="n">
        <v>4</v>
      </c>
      <c r="AL3345" t="n">
        <v>15</v>
      </c>
      <c r="AM3345" t="n">
        <v>15</v>
      </c>
      <c r="AN3345" t="n">
        <v>5</v>
      </c>
      <c r="AO3345" t="n">
        <v>5</v>
      </c>
      <c r="AP3345" t="n">
        <v>0</v>
      </c>
      <c r="AQ3345" t="n">
        <v>0</v>
      </c>
      <c r="AR3345" t="inlineStr">
        <is>
          <t>No</t>
        </is>
      </c>
      <c r="AS3345" t="inlineStr">
        <is>
          <t>Yes</t>
        </is>
      </c>
      <c r="AT3345">
        <f>HYPERLINK("http://catalog.hathitrust.org/Record/000023047","HathiTrust Record")</f>
        <v/>
      </c>
      <c r="AU3345">
        <f>HYPERLINK("https://creighton-primo.hosted.exlibrisgroup.com/primo-explore/search?tab=default_tab&amp;search_scope=EVERYTHING&amp;vid=01CRU&amp;lang=en_US&amp;offset=0&amp;query=any,contains,991003503819702656","Catalog Record")</f>
        <v/>
      </c>
      <c r="AV3345">
        <f>HYPERLINK("http://www.worldcat.org/oclc/1055562","WorldCat Record")</f>
        <v/>
      </c>
      <c r="AW3345" t="inlineStr">
        <is>
          <t>10014233:eng</t>
        </is>
      </c>
      <c r="AX3345" t="inlineStr">
        <is>
          <t>1055562</t>
        </is>
      </c>
      <c r="AY3345" t="inlineStr">
        <is>
          <t>991003503819702656</t>
        </is>
      </c>
      <c r="AZ3345" t="inlineStr">
        <is>
          <t>991003503819702656</t>
        </is>
      </c>
      <c r="BA3345" t="inlineStr">
        <is>
          <t>2269802160002656</t>
        </is>
      </c>
      <c r="BB3345" t="inlineStr">
        <is>
          <t>BOOK</t>
        </is>
      </c>
      <c r="BD3345" t="inlineStr">
        <is>
          <t>9780875483160</t>
        </is>
      </c>
      <c r="BE3345" t="inlineStr">
        <is>
          <t>32285000039676</t>
        </is>
      </c>
      <c r="BF3345" t="inlineStr">
        <is>
          <t>893252434</t>
        </is>
      </c>
    </row>
    <row r="3346">
      <c r="A3346" t="inlineStr">
        <is>
          <t>No</t>
        </is>
      </c>
      <c r="B3346" t="inlineStr">
        <is>
          <t>CURAL</t>
        </is>
      </c>
      <c r="C3346" t="inlineStr">
        <is>
          <t>SHELVES</t>
        </is>
      </c>
      <c r="D3346" t="inlineStr">
        <is>
          <t>PR6039.O32 Z696 1986</t>
        </is>
      </c>
      <c r="E3346" t="inlineStr">
        <is>
          <t>0                      PR 6039000O  32                 Z  696         1986</t>
        </is>
      </c>
      <c r="F3346" t="inlineStr">
        <is>
          <t>Evocation of Virgil in Tolkien's art : geritol for the classics / Robert E. Morse.</t>
        </is>
      </c>
      <c r="H3346" t="inlineStr">
        <is>
          <t>No</t>
        </is>
      </c>
      <c r="I3346" t="inlineStr">
        <is>
          <t>1</t>
        </is>
      </c>
      <c r="J3346" t="inlineStr">
        <is>
          <t>No</t>
        </is>
      </c>
      <c r="K3346" t="inlineStr">
        <is>
          <t>No</t>
        </is>
      </c>
      <c r="L3346" t="inlineStr">
        <is>
          <t>0</t>
        </is>
      </c>
      <c r="M3346" t="inlineStr">
        <is>
          <t>Morse, Robert E.</t>
        </is>
      </c>
      <c r="N3346" t="inlineStr">
        <is>
          <t>Oak Park, IL : Bolchazy-Carducci, 1986.</t>
        </is>
      </c>
      <c r="O3346" t="inlineStr">
        <is>
          <t>1986</t>
        </is>
      </c>
      <c r="Q3346" t="inlineStr">
        <is>
          <t>eng</t>
        </is>
      </c>
      <c r="R3346" t="inlineStr">
        <is>
          <t>ilu</t>
        </is>
      </c>
      <c r="T3346" t="inlineStr">
        <is>
          <t xml:space="preserve">PR </t>
        </is>
      </c>
      <c r="U3346" t="n">
        <v>3</v>
      </c>
      <c r="V3346" t="n">
        <v>3</v>
      </c>
      <c r="W3346" t="inlineStr">
        <is>
          <t>2008-05-14</t>
        </is>
      </c>
      <c r="X3346" t="inlineStr">
        <is>
          <t>2008-05-14</t>
        </is>
      </c>
      <c r="Y3346" t="inlineStr">
        <is>
          <t>1990-09-07</t>
        </is>
      </c>
      <c r="Z3346" t="inlineStr">
        <is>
          <t>1990-09-07</t>
        </is>
      </c>
      <c r="AA3346" t="n">
        <v>93</v>
      </c>
      <c r="AB3346" t="n">
        <v>77</v>
      </c>
      <c r="AC3346" t="n">
        <v>81</v>
      </c>
      <c r="AD3346" t="n">
        <v>3</v>
      </c>
      <c r="AE3346" t="n">
        <v>3</v>
      </c>
      <c r="AF3346" t="n">
        <v>6</v>
      </c>
      <c r="AG3346" t="n">
        <v>6</v>
      </c>
      <c r="AH3346" t="n">
        <v>1</v>
      </c>
      <c r="AI3346" t="n">
        <v>1</v>
      </c>
      <c r="AJ3346" t="n">
        <v>1</v>
      </c>
      <c r="AK3346" t="n">
        <v>1</v>
      </c>
      <c r="AL3346" t="n">
        <v>3</v>
      </c>
      <c r="AM3346" t="n">
        <v>3</v>
      </c>
      <c r="AN3346" t="n">
        <v>2</v>
      </c>
      <c r="AO3346" t="n">
        <v>2</v>
      </c>
      <c r="AP3346" t="n">
        <v>0</v>
      </c>
      <c r="AQ3346" t="n">
        <v>0</v>
      </c>
      <c r="AR3346" t="inlineStr">
        <is>
          <t>No</t>
        </is>
      </c>
      <c r="AS3346" t="inlineStr">
        <is>
          <t>Yes</t>
        </is>
      </c>
      <c r="AT3346">
        <f>HYPERLINK("http://catalog.hathitrust.org/Record/003709001","HathiTrust Record")</f>
        <v/>
      </c>
      <c r="AU3346">
        <f>HYPERLINK("https://creighton-primo.hosted.exlibrisgroup.com/primo-explore/search?tab=default_tab&amp;search_scope=EVERYTHING&amp;vid=01CRU&amp;lang=en_US&amp;offset=0&amp;query=any,contains,991001099619702656","Catalog Record")</f>
        <v/>
      </c>
      <c r="AV3346">
        <f>HYPERLINK("http://www.worldcat.org/oclc/16314370","WorldCat Record")</f>
        <v/>
      </c>
      <c r="AW3346" t="inlineStr">
        <is>
          <t>364764718:eng</t>
        </is>
      </c>
      <c r="AX3346" t="inlineStr">
        <is>
          <t>16314370</t>
        </is>
      </c>
      <c r="AY3346" t="inlineStr">
        <is>
          <t>991001099619702656</t>
        </is>
      </c>
      <c r="AZ3346" t="inlineStr">
        <is>
          <t>991001099619702656</t>
        </is>
      </c>
      <c r="BA3346" t="inlineStr">
        <is>
          <t>2270252130002656</t>
        </is>
      </c>
      <c r="BB3346" t="inlineStr">
        <is>
          <t>BOOK</t>
        </is>
      </c>
      <c r="BD3346" t="inlineStr">
        <is>
          <t>9780865161764</t>
        </is>
      </c>
      <c r="BE3346" t="inlineStr">
        <is>
          <t>32285000276179</t>
        </is>
      </c>
      <c r="BF3346" t="inlineStr">
        <is>
          <t>893784812</t>
        </is>
      </c>
    </row>
    <row r="3347">
      <c r="A3347" t="inlineStr">
        <is>
          <t>No</t>
        </is>
      </c>
      <c r="B3347" t="inlineStr">
        <is>
          <t>CURAL</t>
        </is>
      </c>
      <c r="C3347" t="inlineStr">
        <is>
          <t>SHELVES</t>
        </is>
      </c>
      <c r="D3347" t="inlineStr">
        <is>
          <t>PR6039.O32 Z795 1984</t>
        </is>
      </c>
      <c r="E3347" t="inlineStr">
        <is>
          <t>0                      PR 6039000O  32                 Z  795         1984</t>
        </is>
      </c>
      <c r="F3347" t="inlineStr">
        <is>
          <t>J.R.R. Tolkien : myth, morality, and religion / Richard L. Purtill.</t>
        </is>
      </c>
      <c r="H3347" t="inlineStr">
        <is>
          <t>No</t>
        </is>
      </c>
      <c r="I3347" t="inlineStr">
        <is>
          <t>1</t>
        </is>
      </c>
      <c r="J3347" t="inlineStr">
        <is>
          <t>No</t>
        </is>
      </c>
      <c r="K3347" t="inlineStr">
        <is>
          <t>No</t>
        </is>
      </c>
      <c r="L3347" t="inlineStr">
        <is>
          <t>0</t>
        </is>
      </c>
      <c r="M3347" t="inlineStr">
        <is>
          <t>Purtill, Richard L., 1931-</t>
        </is>
      </c>
      <c r="N3347" t="inlineStr">
        <is>
          <t>San Francisco : Harper &amp; Row, c1984.</t>
        </is>
      </c>
      <c r="O3347" t="inlineStr">
        <is>
          <t>1984</t>
        </is>
      </c>
      <c r="P3347" t="inlineStr">
        <is>
          <t>1st ed.</t>
        </is>
      </c>
      <c r="Q3347" t="inlineStr">
        <is>
          <t>eng</t>
        </is>
      </c>
      <c r="R3347" t="inlineStr">
        <is>
          <t>cau</t>
        </is>
      </c>
      <c r="T3347" t="inlineStr">
        <is>
          <t xml:space="preserve">PR </t>
        </is>
      </c>
      <c r="U3347" t="n">
        <v>5</v>
      </c>
      <c r="V3347" t="n">
        <v>5</v>
      </c>
      <c r="W3347" t="inlineStr">
        <is>
          <t>2009-09-29</t>
        </is>
      </c>
      <c r="X3347" t="inlineStr">
        <is>
          <t>2009-09-29</t>
        </is>
      </c>
      <c r="Y3347" t="inlineStr">
        <is>
          <t>1990-03-07</t>
        </is>
      </c>
      <c r="Z3347" t="inlineStr">
        <is>
          <t>1990-03-07</t>
        </is>
      </c>
      <c r="AA3347" t="n">
        <v>840</v>
      </c>
      <c r="AB3347" t="n">
        <v>731</v>
      </c>
      <c r="AC3347" t="n">
        <v>823</v>
      </c>
      <c r="AD3347" t="n">
        <v>6</v>
      </c>
      <c r="AE3347" t="n">
        <v>8</v>
      </c>
      <c r="AF3347" t="n">
        <v>35</v>
      </c>
      <c r="AG3347" t="n">
        <v>38</v>
      </c>
      <c r="AH3347" t="n">
        <v>15</v>
      </c>
      <c r="AI3347" t="n">
        <v>16</v>
      </c>
      <c r="AJ3347" t="n">
        <v>8</v>
      </c>
      <c r="AK3347" t="n">
        <v>9</v>
      </c>
      <c r="AL3347" t="n">
        <v>17</v>
      </c>
      <c r="AM3347" t="n">
        <v>17</v>
      </c>
      <c r="AN3347" t="n">
        <v>5</v>
      </c>
      <c r="AO3347" t="n">
        <v>6</v>
      </c>
      <c r="AP3347" t="n">
        <v>0</v>
      </c>
      <c r="AQ3347" t="n">
        <v>0</v>
      </c>
      <c r="AR3347" t="inlineStr">
        <is>
          <t>No</t>
        </is>
      </c>
      <c r="AS3347" t="inlineStr">
        <is>
          <t>Yes</t>
        </is>
      </c>
      <c r="AT3347">
        <f>HYPERLINK("http://catalog.hathitrust.org/Record/000339307","HathiTrust Record")</f>
        <v/>
      </c>
      <c r="AU3347">
        <f>HYPERLINK("https://creighton-primo.hosted.exlibrisgroup.com/primo-explore/search?tab=default_tab&amp;search_scope=EVERYTHING&amp;vid=01CRU&amp;lang=en_US&amp;offset=0&amp;query=any,contains,991000475229702656","Catalog Record")</f>
        <v/>
      </c>
      <c r="AV3347">
        <f>HYPERLINK("http://www.worldcat.org/oclc/11029406","WorldCat Record")</f>
        <v/>
      </c>
      <c r="AW3347" t="inlineStr">
        <is>
          <t>738965:eng</t>
        </is>
      </c>
      <c r="AX3347" t="inlineStr">
        <is>
          <t>11029406</t>
        </is>
      </c>
      <c r="AY3347" t="inlineStr">
        <is>
          <t>991000475229702656</t>
        </is>
      </c>
      <c r="AZ3347" t="inlineStr">
        <is>
          <t>991000475229702656</t>
        </is>
      </c>
      <c r="BA3347" t="inlineStr">
        <is>
          <t>2265991230002656</t>
        </is>
      </c>
      <c r="BB3347" t="inlineStr">
        <is>
          <t>BOOK</t>
        </is>
      </c>
      <c r="BD3347" t="inlineStr">
        <is>
          <t>9780060667122</t>
        </is>
      </c>
      <c r="BE3347" t="inlineStr">
        <is>
          <t>32285000039668</t>
        </is>
      </c>
      <c r="BF3347" t="inlineStr">
        <is>
          <t>893626322</t>
        </is>
      </c>
    </row>
    <row r="3348">
      <c r="A3348" t="inlineStr">
        <is>
          <t>No</t>
        </is>
      </c>
      <c r="B3348" t="inlineStr">
        <is>
          <t>CURAL</t>
        </is>
      </c>
      <c r="C3348" t="inlineStr">
        <is>
          <t>SHELVES</t>
        </is>
      </c>
      <c r="D3348" t="inlineStr">
        <is>
          <t>PR6039.O32 Z816</t>
        </is>
      </c>
      <c r="E3348" t="inlineStr">
        <is>
          <t>0                      PR 6039000O  32                 Z  816</t>
        </is>
      </c>
      <c r="F3348" t="inlineStr">
        <is>
          <t>J.R.R. Tolkien / by Deborah Webster Rogers and Ivor A. Rogers.</t>
        </is>
      </c>
      <c r="H3348" t="inlineStr">
        <is>
          <t>No</t>
        </is>
      </c>
      <c r="I3348" t="inlineStr">
        <is>
          <t>1</t>
        </is>
      </c>
      <c r="J3348" t="inlineStr">
        <is>
          <t>No</t>
        </is>
      </c>
      <c r="K3348" t="inlineStr">
        <is>
          <t>No</t>
        </is>
      </c>
      <c r="L3348" t="inlineStr">
        <is>
          <t>0</t>
        </is>
      </c>
      <c r="M3348" t="inlineStr">
        <is>
          <t>Rogers, Deborah Webster.</t>
        </is>
      </c>
      <c r="N3348" t="inlineStr">
        <is>
          <t>Boston : Twayne Publishers, 1980.</t>
        </is>
      </c>
      <c r="O3348" t="inlineStr">
        <is>
          <t>1980</t>
        </is>
      </c>
      <c r="Q3348" t="inlineStr">
        <is>
          <t>eng</t>
        </is>
      </c>
      <c r="R3348" t="inlineStr">
        <is>
          <t>mau</t>
        </is>
      </c>
      <c r="S3348" t="inlineStr">
        <is>
          <t>Twayne's English authors series ; TEAS 304</t>
        </is>
      </c>
      <c r="T3348" t="inlineStr">
        <is>
          <t xml:space="preserve">PR </t>
        </is>
      </c>
      <c r="U3348" t="n">
        <v>3</v>
      </c>
      <c r="V3348" t="n">
        <v>3</v>
      </c>
      <c r="W3348" t="inlineStr">
        <is>
          <t>2002-04-12</t>
        </is>
      </c>
      <c r="X3348" t="inlineStr">
        <is>
          <t>2002-04-12</t>
        </is>
      </c>
      <c r="Y3348" t="inlineStr">
        <is>
          <t>1990-03-07</t>
        </is>
      </c>
      <c r="Z3348" t="inlineStr">
        <is>
          <t>1990-03-07</t>
        </is>
      </c>
      <c r="AA3348" t="n">
        <v>1572</v>
      </c>
      <c r="AB3348" t="n">
        <v>1447</v>
      </c>
      <c r="AC3348" t="n">
        <v>1542</v>
      </c>
      <c r="AD3348" t="n">
        <v>12</v>
      </c>
      <c r="AE3348" t="n">
        <v>12</v>
      </c>
      <c r="AF3348" t="n">
        <v>46</v>
      </c>
      <c r="AG3348" t="n">
        <v>47</v>
      </c>
      <c r="AH3348" t="n">
        <v>20</v>
      </c>
      <c r="AI3348" t="n">
        <v>21</v>
      </c>
      <c r="AJ3348" t="n">
        <v>7</v>
      </c>
      <c r="AK3348" t="n">
        <v>7</v>
      </c>
      <c r="AL3348" t="n">
        <v>19</v>
      </c>
      <c r="AM3348" t="n">
        <v>19</v>
      </c>
      <c r="AN3348" t="n">
        <v>10</v>
      </c>
      <c r="AO3348" t="n">
        <v>10</v>
      </c>
      <c r="AP3348" t="n">
        <v>0</v>
      </c>
      <c r="AQ3348" t="n">
        <v>0</v>
      </c>
      <c r="AR3348" t="inlineStr">
        <is>
          <t>No</t>
        </is>
      </c>
      <c r="AS3348" t="inlineStr">
        <is>
          <t>Yes</t>
        </is>
      </c>
      <c r="AT3348">
        <f>HYPERLINK("http://catalog.hathitrust.org/Record/000683758","HathiTrust Record")</f>
        <v/>
      </c>
      <c r="AU3348">
        <f>HYPERLINK("https://creighton-primo.hosted.exlibrisgroup.com/primo-explore/search?tab=default_tab&amp;search_scope=EVERYTHING&amp;vid=01CRU&amp;lang=en_US&amp;offset=0&amp;query=any,contains,991004930639702656","Catalog Record")</f>
        <v/>
      </c>
      <c r="AV3348">
        <f>HYPERLINK("http://www.worldcat.org/oclc/6092652","WorldCat Record")</f>
        <v/>
      </c>
      <c r="AW3348" t="inlineStr">
        <is>
          <t>3943903703:eng</t>
        </is>
      </c>
      <c r="AX3348" t="inlineStr">
        <is>
          <t>6092652</t>
        </is>
      </c>
      <c r="AY3348" t="inlineStr">
        <is>
          <t>991004930639702656</t>
        </is>
      </c>
      <c r="AZ3348" t="inlineStr">
        <is>
          <t>991004930639702656</t>
        </is>
      </c>
      <c r="BA3348" t="inlineStr">
        <is>
          <t>2263392330002656</t>
        </is>
      </c>
      <c r="BB3348" t="inlineStr">
        <is>
          <t>BOOK</t>
        </is>
      </c>
      <c r="BD3348" t="inlineStr">
        <is>
          <t>9780805767964</t>
        </is>
      </c>
      <c r="BE3348" t="inlineStr">
        <is>
          <t>32285000041417</t>
        </is>
      </c>
      <c r="BF3348" t="inlineStr">
        <is>
          <t>893600376</t>
        </is>
      </c>
    </row>
    <row r="3349">
      <c r="A3349" t="inlineStr">
        <is>
          <t>No</t>
        </is>
      </c>
      <c r="B3349" t="inlineStr">
        <is>
          <t>CURAL</t>
        </is>
      </c>
      <c r="C3349" t="inlineStr">
        <is>
          <t>SHELVES</t>
        </is>
      </c>
      <c r="D3349" t="inlineStr">
        <is>
          <t>PR6039.O32 Z84</t>
        </is>
      </c>
      <c r="E3349" t="inlineStr">
        <is>
          <t>0                      PR 6039000O  32                 Z  84</t>
        </is>
      </c>
      <c r="F3349" t="inlineStr">
        <is>
          <t>Understanding Tolkien and the Lord of the rings / by William Ready.</t>
        </is>
      </c>
      <c r="H3349" t="inlineStr">
        <is>
          <t>No</t>
        </is>
      </c>
      <c r="I3349" t="inlineStr">
        <is>
          <t>1</t>
        </is>
      </c>
      <c r="J3349" t="inlineStr">
        <is>
          <t>No</t>
        </is>
      </c>
      <c r="K3349" t="inlineStr">
        <is>
          <t>No</t>
        </is>
      </c>
      <c r="L3349" t="inlineStr">
        <is>
          <t>0</t>
        </is>
      </c>
      <c r="M3349" t="inlineStr">
        <is>
          <t>Ready, William Bernard, 1914-1981.</t>
        </is>
      </c>
      <c r="N3349" t="inlineStr">
        <is>
          <t>New York : Warner, 1969, c1968.</t>
        </is>
      </c>
      <c r="O3349" t="inlineStr">
        <is>
          <t>1969</t>
        </is>
      </c>
      <c r="P3349" t="inlineStr">
        <is>
          <t>Warner books ed.</t>
        </is>
      </c>
      <c r="Q3349" t="inlineStr">
        <is>
          <t>eng</t>
        </is>
      </c>
      <c r="R3349" t="inlineStr">
        <is>
          <t>nyu</t>
        </is>
      </c>
      <c r="S3349" t="inlineStr">
        <is>
          <t>Warner books ; 86-157</t>
        </is>
      </c>
      <c r="T3349" t="inlineStr">
        <is>
          <t xml:space="preserve">PR </t>
        </is>
      </c>
      <c r="U3349" t="n">
        <v>1</v>
      </c>
      <c r="V3349" t="n">
        <v>1</v>
      </c>
      <c r="W3349" t="inlineStr">
        <is>
          <t>2001-04-04</t>
        </is>
      </c>
      <c r="X3349" t="inlineStr">
        <is>
          <t>2001-04-04</t>
        </is>
      </c>
      <c r="Y3349" t="inlineStr">
        <is>
          <t>1997-04-22</t>
        </is>
      </c>
      <c r="Z3349" t="inlineStr">
        <is>
          <t>1997-04-22</t>
        </is>
      </c>
      <c r="AA3349" t="n">
        <v>69</v>
      </c>
      <c r="AB3349" t="n">
        <v>69</v>
      </c>
      <c r="AC3349" t="n">
        <v>248</v>
      </c>
      <c r="AD3349" t="n">
        <v>1</v>
      </c>
      <c r="AE3349" t="n">
        <v>3</v>
      </c>
      <c r="AF3349" t="n">
        <v>3</v>
      </c>
      <c r="AG3349" t="n">
        <v>7</v>
      </c>
      <c r="AH3349" t="n">
        <v>2</v>
      </c>
      <c r="AI3349" t="n">
        <v>3</v>
      </c>
      <c r="AJ3349" t="n">
        <v>1</v>
      </c>
      <c r="AK3349" t="n">
        <v>2</v>
      </c>
      <c r="AL3349" t="n">
        <v>1</v>
      </c>
      <c r="AM3349" t="n">
        <v>3</v>
      </c>
      <c r="AN3349" t="n">
        <v>0</v>
      </c>
      <c r="AO3349" t="n">
        <v>1</v>
      </c>
      <c r="AP3349" t="n">
        <v>0</v>
      </c>
      <c r="AQ3349" t="n">
        <v>0</v>
      </c>
      <c r="AR3349" t="inlineStr">
        <is>
          <t>No</t>
        </is>
      </c>
      <c r="AS3349" t="inlineStr">
        <is>
          <t>No</t>
        </is>
      </c>
      <c r="AU3349">
        <f>HYPERLINK("https://creighton-primo.hosted.exlibrisgroup.com/primo-explore/search?tab=default_tab&amp;search_scope=EVERYTHING&amp;vid=01CRU&amp;lang=en_US&amp;offset=0&amp;query=any,contains,991004852719702656","Catalog Record")</f>
        <v/>
      </c>
      <c r="AV3349">
        <f>HYPERLINK("http://www.worldcat.org/oclc/5630478","WorldCat Record")</f>
        <v/>
      </c>
      <c r="AW3349" t="inlineStr">
        <is>
          <t>170797749:eng</t>
        </is>
      </c>
      <c r="AX3349" t="inlineStr">
        <is>
          <t>5630478</t>
        </is>
      </c>
      <c r="AY3349" t="inlineStr">
        <is>
          <t>991004852719702656</t>
        </is>
      </c>
      <c r="AZ3349" t="inlineStr">
        <is>
          <t>991004852719702656</t>
        </is>
      </c>
      <c r="BA3349" t="inlineStr">
        <is>
          <t>2267124010002656</t>
        </is>
      </c>
      <c r="BB3349" t="inlineStr">
        <is>
          <t>BOOK</t>
        </is>
      </c>
      <c r="BD3349" t="inlineStr">
        <is>
          <t>9780446861571</t>
        </is>
      </c>
      <c r="BE3349" t="inlineStr">
        <is>
          <t>32285002579158</t>
        </is>
      </c>
      <c r="BF3349" t="inlineStr">
        <is>
          <t>893513740</t>
        </is>
      </c>
    </row>
    <row r="3350">
      <c r="A3350" t="inlineStr">
        <is>
          <t>No</t>
        </is>
      </c>
      <c r="B3350" t="inlineStr">
        <is>
          <t>CURAL</t>
        </is>
      </c>
      <c r="C3350" t="inlineStr">
        <is>
          <t>SHELVES</t>
        </is>
      </c>
      <c r="D3350" t="inlineStr">
        <is>
          <t>PR604 .N4</t>
        </is>
      </c>
      <c r="E3350" t="inlineStr">
        <is>
          <t>0                      PR 0604000N  4</t>
        </is>
      </c>
      <c r="F3350" t="inlineStr">
        <is>
          <t>New feminist essays on Virginia Woolf / edited by Jane Marcus.</t>
        </is>
      </c>
      <c r="H3350" t="inlineStr">
        <is>
          <t>No</t>
        </is>
      </c>
      <c r="I3350" t="inlineStr">
        <is>
          <t>1</t>
        </is>
      </c>
      <c r="J3350" t="inlineStr">
        <is>
          <t>No</t>
        </is>
      </c>
      <c r="K3350" t="inlineStr">
        <is>
          <t>No</t>
        </is>
      </c>
      <c r="L3350" t="inlineStr">
        <is>
          <t>0</t>
        </is>
      </c>
      <c r="N3350" t="inlineStr">
        <is>
          <t>Lincoln : University of Nebraska Press, 1981.</t>
        </is>
      </c>
      <c r="O3350" t="inlineStr">
        <is>
          <t>1981</t>
        </is>
      </c>
      <c r="Q3350" t="inlineStr">
        <is>
          <t>eng</t>
        </is>
      </c>
      <c r="R3350" t="inlineStr">
        <is>
          <t>nbu</t>
        </is>
      </c>
      <c r="T3350" t="inlineStr">
        <is>
          <t xml:space="preserve">PR </t>
        </is>
      </c>
      <c r="U3350" t="n">
        <v>6</v>
      </c>
      <c r="V3350" t="n">
        <v>6</v>
      </c>
      <c r="W3350" t="inlineStr">
        <is>
          <t>1998-11-20</t>
        </is>
      </c>
      <c r="X3350" t="inlineStr">
        <is>
          <t>1998-11-20</t>
        </is>
      </c>
      <c r="Y3350" t="inlineStr">
        <is>
          <t>1991-09-09</t>
        </is>
      </c>
      <c r="Z3350" t="inlineStr">
        <is>
          <t>1991-09-09</t>
        </is>
      </c>
      <c r="AA3350" t="n">
        <v>671</v>
      </c>
      <c r="AB3350" t="n">
        <v>572</v>
      </c>
      <c r="AC3350" t="n">
        <v>586</v>
      </c>
      <c r="AD3350" t="n">
        <v>7</v>
      </c>
      <c r="AE3350" t="n">
        <v>7</v>
      </c>
      <c r="AF3350" t="n">
        <v>31</v>
      </c>
      <c r="AG3350" t="n">
        <v>32</v>
      </c>
      <c r="AH3350" t="n">
        <v>12</v>
      </c>
      <c r="AI3350" t="n">
        <v>13</v>
      </c>
      <c r="AJ3350" t="n">
        <v>7</v>
      </c>
      <c r="AK3350" t="n">
        <v>7</v>
      </c>
      <c r="AL3350" t="n">
        <v>12</v>
      </c>
      <c r="AM3350" t="n">
        <v>13</v>
      </c>
      <c r="AN3350" t="n">
        <v>5</v>
      </c>
      <c r="AO3350" t="n">
        <v>5</v>
      </c>
      <c r="AP3350" t="n">
        <v>0</v>
      </c>
      <c r="AQ3350" t="n">
        <v>0</v>
      </c>
      <c r="AR3350" t="inlineStr">
        <is>
          <t>No</t>
        </is>
      </c>
      <c r="AS3350" t="inlineStr">
        <is>
          <t>Yes</t>
        </is>
      </c>
      <c r="AT3350">
        <f>HYPERLINK("http://catalog.hathitrust.org/Record/000184309","HathiTrust Record")</f>
        <v/>
      </c>
      <c r="AU3350">
        <f>HYPERLINK("https://creighton-primo.hosted.exlibrisgroup.com/primo-explore/search?tab=default_tab&amp;search_scope=EVERYTHING&amp;vid=01CRU&amp;lang=en_US&amp;offset=0&amp;query=any,contains,991005043799702656","Catalog Record")</f>
        <v/>
      </c>
      <c r="AV3350">
        <f>HYPERLINK("http://www.worldcat.org/oclc/6813979","WorldCat Record")</f>
        <v/>
      </c>
      <c r="AW3350" t="inlineStr">
        <is>
          <t>54410763:eng</t>
        </is>
      </c>
      <c r="AX3350" t="inlineStr">
        <is>
          <t>6813979</t>
        </is>
      </c>
      <c r="AY3350" t="inlineStr">
        <is>
          <t>991005043799702656</t>
        </is>
      </c>
      <c r="AZ3350" t="inlineStr">
        <is>
          <t>991005043799702656</t>
        </is>
      </c>
      <c r="BA3350" t="inlineStr">
        <is>
          <t>2268471170002656</t>
        </is>
      </c>
      <c r="BB3350" t="inlineStr">
        <is>
          <t>BOOK</t>
        </is>
      </c>
      <c r="BD3350" t="inlineStr">
        <is>
          <t>9780803230705</t>
        </is>
      </c>
      <c r="BE3350" t="inlineStr">
        <is>
          <t>32285000738590</t>
        </is>
      </c>
      <c r="BF3350" t="inlineStr">
        <is>
          <t>893895779</t>
        </is>
      </c>
    </row>
    <row r="3351">
      <c r="A3351" t="inlineStr">
        <is>
          <t>No</t>
        </is>
      </c>
      <c r="B3351" t="inlineStr">
        <is>
          <t>CURAL</t>
        </is>
      </c>
      <c r="C3351" t="inlineStr">
        <is>
          <t>SHELVES</t>
        </is>
      </c>
      <c r="D3351" t="inlineStr">
        <is>
          <t>PR6045.A97 Z629 1987</t>
        </is>
      </c>
      <c r="E3351" t="inlineStr">
        <is>
          <t>0                      PR 6045000A  97                 Z  629         1987</t>
        </is>
      </c>
      <c r="F3351" t="inlineStr">
        <is>
          <t>Critical essays on Evelyn Waugh / [edited by] James F. Carens.</t>
        </is>
      </c>
      <c r="H3351" t="inlineStr">
        <is>
          <t>No</t>
        </is>
      </c>
      <c r="I3351" t="inlineStr">
        <is>
          <t>1</t>
        </is>
      </c>
      <c r="J3351" t="inlineStr">
        <is>
          <t>No</t>
        </is>
      </c>
      <c r="K3351" t="inlineStr">
        <is>
          <t>No</t>
        </is>
      </c>
      <c r="L3351" t="inlineStr">
        <is>
          <t>0</t>
        </is>
      </c>
      <c r="N3351" t="inlineStr">
        <is>
          <t>Boston, Mass. : G.K. Hall, c1987.</t>
        </is>
      </c>
      <c r="O3351" t="inlineStr">
        <is>
          <t>1987</t>
        </is>
      </c>
      <c r="Q3351" t="inlineStr">
        <is>
          <t>eng</t>
        </is>
      </c>
      <c r="R3351" t="inlineStr">
        <is>
          <t>mau</t>
        </is>
      </c>
      <c r="S3351" t="inlineStr">
        <is>
          <t>Critical essays on British literature</t>
        </is>
      </c>
      <c r="T3351" t="inlineStr">
        <is>
          <t xml:space="preserve">PR </t>
        </is>
      </c>
      <c r="U3351" t="n">
        <v>5</v>
      </c>
      <c r="V3351" t="n">
        <v>5</v>
      </c>
      <c r="W3351" t="inlineStr">
        <is>
          <t>1998-05-15</t>
        </is>
      </c>
      <c r="X3351" t="inlineStr">
        <is>
          <t>1998-05-15</t>
        </is>
      </c>
      <c r="Y3351" t="inlineStr">
        <is>
          <t>1990-05-03</t>
        </is>
      </c>
      <c r="Z3351" t="inlineStr">
        <is>
          <t>1990-05-03</t>
        </is>
      </c>
      <c r="AA3351" t="n">
        <v>541</v>
      </c>
      <c r="AB3351" t="n">
        <v>447</v>
      </c>
      <c r="AC3351" t="n">
        <v>447</v>
      </c>
      <c r="AD3351" t="n">
        <v>4</v>
      </c>
      <c r="AE3351" t="n">
        <v>4</v>
      </c>
      <c r="AF3351" t="n">
        <v>27</v>
      </c>
      <c r="AG3351" t="n">
        <v>27</v>
      </c>
      <c r="AH3351" t="n">
        <v>8</v>
      </c>
      <c r="AI3351" t="n">
        <v>8</v>
      </c>
      <c r="AJ3351" t="n">
        <v>7</v>
      </c>
      <c r="AK3351" t="n">
        <v>7</v>
      </c>
      <c r="AL3351" t="n">
        <v>16</v>
      </c>
      <c r="AM3351" t="n">
        <v>16</v>
      </c>
      <c r="AN3351" t="n">
        <v>3</v>
      </c>
      <c r="AO3351" t="n">
        <v>3</v>
      </c>
      <c r="AP3351" t="n">
        <v>0</v>
      </c>
      <c r="AQ3351" t="n">
        <v>0</v>
      </c>
      <c r="AR3351" t="inlineStr">
        <is>
          <t>No</t>
        </is>
      </c>
      <c r="AS3351" t="inlineStr">
        <is>
          <t>No</t>
        </is>
      </c>
      <c r="AU3351">
        <f>HYPERLINK("https://creighton-primo.hosted.exlibrisgroup.com/primo-explore/search?tab=default_tab&amp;search_scope=EVERYTHING&amp;vid=01CRU&amp;lang=en_US&amp;offset=0&amp;query=any,contains,991001112529702656","Catalog Record")</f>
        <v/>
      </c>
      <c r="AV3351">
        <f>HYPERLINK("http://www.worldcat.org/oclc/16472200","WorldCat Record")</f>
        <v/>
      </c>
      <c r="AW3351" t="inlineStr">
        <is>
          <t>12324761:eng</t>
        </is>
      </c>
      <c r="AX3351" t="inlineStr">
        <is>
          <t>16472200</t>
        </is>
      </c>
      <c r="AY3351" t="inlineStr">
        <is>
          <t>991001112529702656</t>
        </is>
      </c>
      <c r="AZ3351" t="inlineStr">
        <is>
          <t>991001112529702656</t>
        </is>
      </c>
      <c r="BA3351" t="inlineStr">
        <is>
          <t>2262504100002656</t>
        </is>
      </c>
      <c r="BB3351" t="inlineStr">
        <is>
          <t>BOOK</t>
        </is>
      </c>
      <c r="BD3351" t="inlineStr">
        <is>
          <t>9780816187621</t>
        </is>
      </c>
      <c r="BE3351" t="inlineStr">
        <is>
          <t>32285000148717</t>
        </is>
      </c>
      <c r="BF3351" t="inlineStr">
        <is>
          <t>893772322</t>
        </is>
      </c>
    </row>
    <row r="3352">
      <c r="A3352" t="inlineStr">
        <is>
          <t>No</t>
        </is>
      </c>
      <c r="B3352" t="inlineStr">
        <is>
          <t>CURAL</t>
        </is>
      </c>
      <c r="C3352" t="inlineStr">
        <is>
          <t>SHELVES</t>
        </is>
      </c>
      <c r="D3352" t="inlineStr">
        <is>
          <t>PR6045.A97 Z64 1981</t>
        </is>
      </c>
      <c r="E3352" t="inlineStr">
        <is>
          <t>0                      PR 6045000A  97                 Z  64          1981</t>
        </is>
      </c>
      <c r="F3352" t="inlineStr">
        <is>
          <t>Evelyn Waugh, writer / Robert Murray Davis.</t>
        </is>
      </c>
      <c r="H3352" t="inlineStr">
        <is>
          <t>No</t>
        </is>
      </c>
      <c r="I3352" t="inlineStr">
        <is>
          <t>1</t>
        </is>
      </c>
      <c r="J3352" t="inlineStr">
        <is>
          <t>No</t>
        </is>
      </c>
      <c r="K3352" t="inlineStr">
        <is>
          <t>No</t>
        </is>
      </c>
      <c r="L3352" t="inlineStr">
        <is>
          <t>0</t>
        </is>
      </c>
      <c r="M3352" t="inlineStr">
        <is>
          <t>Davis, Robert Murray.</t>
        </is>
      </c>
      <c r="N3352" t="inlineStr">
        <is>
          <t>Norman, Okla. : Pilgrim Books, 1981.</t>
        </is>
      </c>
      <c r="O3352" t="inlineStr">
        <is>
          <t>1981</t>
        </is>
      </c>
      <c r="Q3352" t="inlineStr">
        <is>
          <t>eng</t>
        </is>
      </c>
      <c r="R3352" t="inlineStr">
        <is>
          <t>oku</t>
        </is>
      </c>
      <c r="T3352" t="inlineStr">
        <is>
          <t xml:space="preserve">PR </t>
        </is>
      </c>
      <c r="U3352" t="n">
        <v>1</v>
      </c>
      <c r="V3352" t="n">
        <v>1</v>
      </c>
      <c r="W3352" t="inlineStr">
        <is>
          <t>1994-08-28</t>
        </is>
      </c>
      <c r="X3352" t="inlineStr">
        <is>
          <t>1994-08-28</t>
        </is>
      </c>
      <c r="Y3352" t="inlineStr">
        <is>
          <t>1992-07-22</t>
        </is>
      </c>
      <c r="Z3352" t="inlineStr">
        <is>
          <t>1992-07-22</t>
        </is>
      </c>
      <c r="AA3352" t="n">
        <v>888</v>
      </c>
      <c r="AB3352" t="n">
        <v>770</v>
      </c>
      <c r="AC3352" t="n">
        <v>778</v>
      </c>
      <c r="AD3352" t="n">
        <v>6</v>
      </c>
      <c r="AE3352" t="n">
        <v>6</v>
      </c>
      <c r="AF3352" t="n">
        <v>39</v>
      </c>
      <c r="AG3352" t="n">
        <v>39</v>
      </c>
      <c r="AH3352" t="n">
        <v>16</v>
      </c>
      <c r="AI3352" t="n">
        <v>16</v>
      </c>
      <c r="AJ3352" t="n">
        <v>8</v>
      </c>
      <c r="AK3352" t="n">
        <v>8</v>
      </c>
      <c r="AL3352" t="n">
        <v>22</v>
      </c>
      <c r="AM3352" t="n">
        <v>22</v>
      </c>
      <c r="AN3352" t="n">
        <v>5</v>
      </c>
      <c r="AO3352" t="n">
        <v>5</v>
      </c>
      <c r="AP3352" t="n">
        <v>0</v>
      </c>
      <c r="AQ3352" t="n">
        <v>0</v>
      </c>
      <c r="AR3352" t="inlineStr">
        <is>
          <t>No</t>
        </is>
      </c>
      <c r="AS3352" t="inlineStr">
        <is>
          <t>Yes</t>
        </is>
      </c>
      <c r="AT3352">
        <f>HYPERLINK("http://catalog.hathitrust.org/Record/000227104","HathiTrust Record")</f>
        <v/>
      </c>
      <c r="AU3352">
        <f>HYPERLINK("https://creighton-primo.hosted.exlibrisgroup.com/primo-explore/search?tab=default_tab&amp;search_scope=EVERYTHING&amp;vid=01CRU&amp;lang=en_US&amp;offset=0&amp;query=any,contains,991005100749702656","Catalog Record")</f>
        <v/>
      </c>
      <c r="AV3352">
        <f>HYPERLINK("http://www.worldcat.org/oclc/7283107","WorldCat Record")</f>
        <v/>
      </c>
      <c r="AW3352" t="inlineStr">
        <is>
          <t>26411187:eng</t>
        </is>
      </c>
      <c r="AX3352" t="inlineStr">
        <is>
          <t>7283107</t>
        </is>
      </c>
      <c r="AY3352" t="inlineStr">
        <is>
          <t>991005100749702656</t>
        </is>
      </c>
      <c r="AZ3352" t="inlineStr">
        <is>
          <t>991005100749702656</t>
        </is>
      </c>
      <c r="BA3352" t="inlineStr">
        <is>
          <t>2257282140002656</t>
        </is>
      </c>
      <c r="BB3352" t="inlineStr">
        <is>
          <t>BOOK</t>
        </is>
      </c>
      <c r="BD3352" t="inlineStr">
        <is>
          <t>9780937664001</t>
        </is>
      </c>
      <c r="BE3352" t="inlineStr">
        <is>
          <t>32285001203909</t>
        </is>
      </c>
      <c r="BF3352" t="inlineStr">
        <is>
          <t>893520424</t>
        </is>
      </c>
    </row>
    <row r="3353">
      <c r="A3353" t="inlineStr">
        <is>
          <t>No</t>
        </is>
      </c>
      <c r="B3353" t="inlineStr">
        <is>
          <t>CURAL</t>
        </is>
      </c>
      <c r="C3353" t="inlineStr">
        <is>
          <t>SHELVES</t>
        </is>
      </c>
      <c r="D3353" t="inlineStr">
        <is>
          <t>PR6045.A97 Z67</t>
        </is>
      </c>
      <c r="E3353" t="inlineStr">
        <is>
          <t>0                      PR 6045000A  97                 Z  67</t>
        </is>
      </c>
      <c r="F3353" t="inlineStr">
        <is>
          <t>Evelyn Waugh : portrait of a country neighbour / [by] Frances Donaldson.</t>
        </is>
      </c>
      <c r="H3353" t="inlineStr">
        <is>
          <t>No</t>
        </is>
      </c>
      <c r="I3353" t="inlineStr">
        <is>
          <t>1</t>
        </is>
      </c>
      <c r="J3353" t="inlineStr">
        <is>
          <t>No</t>
        </is>
      </c>
      <c r="K3353" t="inlineStr">
        <is>
          <t>No</t>
        </is>
      </c>
      <c r="L3353" t="inlineStr">
        <is>
          <t>0</t>
        </is>
      </c>
      <c r="M3353" t="inlineStr">
        <is>
          <t>Donaldson, Frances Lonsdale, Lady.</t>
        </is>
      </c>
      <c r="N3353" t="inlineStr">
        <is>
          <t>London : Weidenfeld &amp; Nicolson, [1967]</t>
        </is>
      </c>
      <c r="O3353" t="inlineStr">
        <is>
          <t>1967</t>
        </is>
      </c>
      <c r="Q3353" t="inlineStr">
        <is>
          <t>eng</t>
        </is>
      </c>
      <c r="R3353" t="inlineStr">
        <is>
          <t>enk</t>
        </is>
      </c>
      <c r="T3353" t="inlineStr">
        <is>
          <t xml:space="preserve">PR </t>
        </is>
      </c>
      <c r="U3353" t="n">
        <v>1</v>
      </c>
      <c r="V3353" t="n">
        <v>1</v>
      </c>
      <c r="W3353" t="inlineStr">
        <is>
          <t>2009-06-26</t>
        </is>
      </c>
      <c r="X3353" t="inlineStr">
        <is>
          <t>2009-06-26</t>
        </is>
      </c>
      <c r="Y3353" t="inlineStr">
        <is>
          <t>1990-09-14</t>
        </is>
      </c>
      <c r="Z3353" t="inlineStr">
        <is>
          <t>1990-09-14</t>
        </is>
      </c>
      <c r="AA3353" t="n">
        <v>275</v>
      </c>
      <c r="AB3353" t="n">
        <v>148</v>
      </c>
      <c r="AC3353" t="n">
        <v>672</v>
      </c>
      <c r="AD3353" t="n">
        <v>2</v>
      </c>
      <c r="AE3353" t="n">
        <v>3</v>
      </c>
      <c r="AF3353" t="n">
        <v>8</v>
      </c>
      <c r="AG3353" t="n">
        <v>29</v>
      </c>
      <c r="AH3353" t="n">
        <v>1</v>
      </c>
      <c r="AI3353" t="n">
        <v>11</v>
      </c>
      <c r="AJ3353" t="n">
        <v>1</v>
      </c>
      <c r="AK3353" t="n">
        <v>7</v>
      </c>
      <c r="AL3353" t="n">
        <v>6</v>
      </c>
      <c r="AM3353" t="n">
        <v>18</v>
      </c>
      <c r="AN3353" t="n">
        <v>1</v>
      </c>
      <c r="AO3353" t="n">
        <v>2</v>
      </c>
      <c r="AP3353" t="n">
        <v>0</v>
      </c>
      <c r="AQ3353" t="n">
        <v>0</v>
      </c>
      <c r="AR3353" t="inlineStr">
        <is>
          <t>No</t>
        </is>
      </c>
      <c r="AS3353" t="inlineStr">
        <is>
          <t>Yes</t>
        </is>
      </c>
      <c r="AT3353">
        <f>HYPERLINK("http://catalog.hathitrust.org/Record/001188011","HathiTrust Record")</f>
        <v/>
      </c>
      <c r="AU3353">
        <f>HYPERLINK("https://creighton-primo.hosted.exlibrisgroup.com/primo-explore/search?tab=default_tab&amp;search_scope=EVERYTHING&amp;vid=01CRU&amp;lang=en_US&amp;offset=0&amp;query=any,contains,991003415889702656","Catalog Record")</f>
        <v/>
      </c>
      <c r="AV3353">
        <f>HYPERLINK("http://www.worldcat.org/oclc/956008","WorldCat Record")</f>
        <v/>
      </c>
      <c r="AW3353" t="inlineStr">
        <is>
          <t>1458327:eng</t>
        </is>
      </c>
      <c r="AX3353" t="inlineStr">
        <is>
          <t>956008</t>
        </is>
      </c>
      <c r="AY3353" t="inlineStr">
        <is>
          <t>991003415889702656</t>
        </is>
      </c>
      <c r="AZ3353" t="inlineStr">
        <is>
          <t>991003415889702656</t>
        </is>
      </c>
      <c r="BA3353" t="inlineStr">
        <is>
          <t>2265249100002656</t>
        </is>
      </c>
      <c r="BB3353" t="inlineStr">
        <is>
          <t>BOOK</t>
        </is>
      </c>
      <c r="BE3353" t="inlineStr">
        <is>
          <t>32285000304062</t>
        </is>
      </c>
      <c r="BF3353" t="inlineStr">
        <is>
          <t>893246328</t>
        </is>
      </c>
    </row>
    <row r="3354">
      <c r="A3354" t="inlineStr">
        <is>
          <t>No</t>
        </is>
      </c>
      <c r="B3354" t="inlineStr">
        <is>
          <t>CURAL</t>
        </is>
      </c>
      <c r="C3354" t="inlineStr">
        <is>
          <t>SHELVES</t>
        </is>
      </c>
      <c r="D3354" t="inlineStr">
        <is>
          <t>PR6045.A97 Z687 1990</t>
        </is>
      </c>
      <c r="E3354" t="inlineStr">
        <is>
          <t>0                      PR 6045000A  97                 Z  687         1990</t>
        </is>
      </c>
      <c r="F3354" t="inlineStr">
        <is>
          <t>From Grimes to Brideshead : the early novels of Evelyn Waugh / Robert R. Garnett.</t>
        </is>
      </c>
      <c r="H3354" t="inlineStr">
        <is>
          <t>No</t>
        </is>
      </c>
      <c r="I3354" t="inlineStr">
        <is>
          <t>1</t>
        </is>
      </c>
      <c r="J3354" t="inlineStr">
        <is>
          <t>No</t>
        </is>
      </c>
      <c r="K3354" t="inlineStr">
        <is>
          <t>No</t>
        </is>
      </c>
      <c r="L3354" t="inlineStr">
        <is>
          <t>0</t>
        </is>
      </c>
      <c r="M3354" t="inlineStr">
        <is>
          <t>Garnett, Robert Reginald.</t>
        </is>
      </c>
      <c r="N3354" t="inlineStr">
        <is>
          <t>Lewisburg [Pa.] : Bucknell University Press ; London : Associated University Presses, c1990.</t>
        </is>
      </c>
      <c r="O3354" t="inlineStr">
        <is>
          <t>1990</t>
        </is>
      </c>
      <c r="Q3354" t="inlineStr">
        <is>
          <t>eng</t>
        </is>
      </c>
      <c r="R3354" t="inlineStr">
        <is>
          <t>pau</t>
        </is>
      </c>
      <c r="T3354" t="inlineStr">
        <is>
          <t xml:space="preserve">PR </t>
        </is>
      </c>
      <c r="U3354" t="n">
        <v>3</v>
      </c>
      <c r="V3354" t="n">
        <v>3</v>
      </c>
      <c r="W3354" t="inlineStr">
        <is>
          <t>2008-07-10</t>
        </is>
      </c>
      <c r="X3354" t="inlineStr">
        <is>
          <t>2008-07-10</t>
        </is>
      </c>
      <c r="Y3354" t="inlineStr">
        <is>
          <t>1990-12-04</t>
        </is>
      </c>
      <c r="Z3354" t="inlineStr">
        <is>
          <t>1990-12-04</t>
        </is>
      </c>
      <c r="AA3354" t="n">
        <v>343</v>
      </c>
      <c r="AB3354" t="n">
        <v>278</v>
      </c>
      <c r="AC3354" t="n">
        <v>280</v>
      </c>
      <c r="AD3354" t="n">
        <v>3</v>
      </c>
      <c r="AE3354" t="n">
        <v>3</v>
      </c>
      <c r="AF3354" t="n">
        <v>16</v>
      </c>
      <c r="AG3354" t="n">
        <v>16</v>
      </c>
      <c r="AH3354" t="n">
        <v>5</v>
      </c>
      <c r="AI3354" t="n">
        <v>5</v>
      </c>
      <c r="AJ3354" t="n">
        <v>3</v>
      </c>
      <c r="AK3354" t="n">
        <v>3</v>
      </c>
      <c r="AL3354" t="n">
        <v>12</v>
      </c>
      <c r="AM3354" t="n">
        <v>12</v>
      </c>
      <c r="AN3354" t="n">
        <v>2</v>
      </c>
      <c r="AO3354" t="n">
        <v>2</v>
      </c>
      <c r="AP3354" t="n">
        <v>0</v>
      </c>
      <c r="AQ3354" t="n">
        <v>0</v>
      </c>
      <c r="AR3354" t="inlineStr">
        <is>
          <t>No</t>
        </is>
      </c>
      <c r="AS3354" t="inlineStr">
        <is>
          <t>Yes</t>
        </is>
      </c>
      <c r="AT3354">
        <f>HYPERLINK("http://catalog.hathitrust.org/Record/001949982","HathiTrust Record")</f>
        <v/>
      </c>
      <c r="AU3354">
        <f>HYPERLINK("https://creighton-primo.hosted.exlibrisgroup.com/primo-explore/search?tab=default_tab&amp;search_scope=EVERYTHING&amp;vid=01CRU&amp;lang=en_US&amp;offset=0&amp;query=any,contains,991001552959702656","Catalog Record")</f>
        <v/>
      </c>
      <c r="AV3354">
        <f>HYPERLINK("http://www.worldcat.org/oclc/20258883","WorldCat Record")</f>
        <v/>
      </c>
      <c r="AW3354" t="inlineStr">
        <is>
          <t>909287788:eng</t>
        </is>
      </c>
      <c r="AX3354" t="inlineStr">
        <is>
          <t>20258883</t>
        </is>
      </c>
      <c r="AY3354" t="inlineStr">
        <is>
          <t>991001552959702656</t>
        </is>
      </c>
      <c r="AZ3354" t="inlineStr">
        <is>
          <t>991001552959702656</t>
        </is>
      </c>
      <c r="BA3354" t="inlineStr">
        <is>
          <t>2262549070002656</t>
        </is>
      </c>
      <c r="BB3354" t="inlineStr">
        <is>
          <t>BOOK</t>
        </is>
      </c>
      <c r="BD3354" t="inlineStr">
        <is>
          <t>9780838751701</t>
        </is>
      </c>
      <c r="BE3354" t="inlineStr">
        <is>
          <t>32285000358068</t>
        </is>
      </c>
      <c r="BF3354" t="inlineStr">
        <is>
          <t>893602672</t>
        </is>
      </c>
    </row>
    <row r="3355">
      <c r="A3355" t="inlineStr">
        <is>
          <t>No</t>
        </is>
      </c>
      <c r="B3355" t="inlineStr">
        <is>
          <t>CURAL</t>
        </is>
      </c>
      <c r="C3355" t="inlineStr">
        <is>
          <t>SHELVES</t>
        </is>
      </c>
      <c r="D3355" t="inlineStr">
        <is>
          <t>PR6045.A97 Z738 1988</t>
        </is>
      </c>
      <c r="E3355" t="inlineStr">
        <is>
          <t>0                      PR 6045000A  97                 Z  738         1988</t>
        </is>
      </c>
      <c r="F3355" t="inlineStr">
        <is>
          <t>Evelyn Waugh / Jacqueline McDonnell.</t>
        </is>
      </c>
      <c r="H3355" t="inlineStr">
        <is>
          <t>No</t>
        </is>
      </c>
      <c r="I3355" t="inlineStr">
        <is>
          <t>1</t>
        </is>
      </c>
      <c r="J3355" t="inlineStr">
        <is>
          <t>No</t>
        </is>
      </c>
      <c r="K3355" t="inlineStr">
        <is>
          <t>No</t>
        </is>
      </c>
      <c r="L3355" t="inlineStr">
        <is>
          <t>0</t>
        </is>
      </c>
      <c r="M3355" t="inlineStr">
        <is>
          <t>McDonnell, Jacqueline.</t>
        </is>
      </c>
      <c r="N3355" t="inlineStr">
        <is>
          <t>New York : St. Martin's Press, 1988.</t>
        </is>
      </c>
      <c r="O3355" t="inlineStr">
        <is>
          <t>1988</t>
        </is>
      </c>
      <c r="Q3355" t="inlineStr">
        <is>
          <t>eng</t>
        </is>
      </c>
      <c r="R3355" t="inlineStr">
        <is>
          <t>nyu</t>
        </is>
      </c>
      <c r="S3355" t="inlineStr">
        <is>
          <t>Modern novelists</t>
        </is>
      </c>
      <c r="T3355" t="inlineStr">
        <is>
          <t xml:space="preserve">PR </t>
        </is>
      </c>
      <c r="U3355" t="n">
        <v>2</v>
      </c>
      <c r="V3355" t="n">
        <v>2</v>
      </c>
      <c r="W3355" t="inlineStr">
        <is>
          <t>1996-11-25</t>
        </is>
      </c>
      <c r="X3355" t="inlineStr">
        <is>
          <t>1996-11-25</t>
        </is>
      </c>
      <c r="Y3355" t="inlineStr">
        <is>
          <t>1990-04-03</t>
        </is>
      </c>
      <c r="Z3355" t="inlineStr">
        <is>
          <t>1990-04-03</t>
        </is>
      </c>
      <c r="AA3355" t="n">
        <v>188</v>
      </c>
      <c r="AB3355" t="n">
        <v>175</v>
      </c>
      <c r="AC3355" t="n">
        <v>231</v>
      </c>
      <c r="AD3355" t="n">
        <v>1</v>
      </c>
      <c r="AE3355" t="n">
        <v>2</v>
      </c>
      <c r="AF3355" t="n">
        <v>8</v>
      </c>
      <c r="AG3355" t="n">
        <v>9</v>
      </c>
      <c r="AH3355" t="n">
        <v>3</v>
      </c>
      <c r="AI3355" t="n">
        <v>3</v>
      </c>
      <c r="AJ3355" t="n">
        <v>2</v>
      </c>
      <c r="AK3355" t="n">
        <v>2</v>
      </c>
      <c r="AL3355" t="n">
        <v>7</v>
      </c>
      <c r="AM3355" t="n">
        <v>7</v>
      </c>
      <c r="AN3355" t="n">
        <v>0</v>
      </c>
      <c r="AO3355" t="n">
        <v>1</v>
      </c>
      <c r="AP3355" t="n">
        <v>0</v>
      </c>
      <c r="AQ3355" t="n">
        <v>0</v>
      </c>
      <c r="AR3355" t="inlineStr">
        <is>
          <t>No</t>
        </is>
      </c>
      <c r="AS3355" t="inlineStr">
        <is>
          <t>No</t>
        </is>
      </c>
      <c r="AU3355">
        <f>HYPERLINK("https://creighton-primo.hosted.exlibrisgroup.com/primo-explore/search?tab=default_tab&amp;search_scope=EVERYTHING&amp;vid=01CRU&amp;lang=en_US&amp;offset=0&amp;query=any,contains,991001162029702656","Catalog Record")</f>
        <v/>
      </c>
      <c r="AV3355">
        <f>HYPERLINK("http://www.worldcat.org/oclc/16900955","WorldCat Record")</f>
        <v/>
      </c>
      <c r="AW3355" t="inlineStr">
        <is>
          <t>11724412:eng</t>
        </is>
      </c>
      <c r="AX3355" t="inlineStr">
        <is>
          <t>16900955</t>
        </is>
      </c>
      <c r="AY3355" t="inlineStr">
        <is>
          <t>991001162029702656</t>
        </is>
      </c>
      <c r="AZ3355" t="inlineStr">
        <is>
          <t>991001162029702656</t>
        </is>
      </c>
      <c r="BA3355" t="inlineStr">
        <is>
          <t>2268694650002656</t>
        </is>
      </c>
      <c r="BB3355" t="inlineStr">
        <is>
          <t>BOOK</t>
        </is>
      </c>
      <c r="BD3355" t="inlineStr">
        <is>
          <t>9780312016180</t>
        </is>
      </c>
      <c r="BE3355" t="inlineStr">
        <is>
          <t>32285000093152</t>
        </is>
      </c>
      <c r="BF3355" t="inlineStr">
        <is>
          <t>893496872</t>
        </is>
      </c>
    </row>
    <row r="3356">
      <c r="A3356" t="inlineStr">
        <is>
          <t>No</t>
        </is>
      </c>
      <c r="B3356" t="inlineStr">
        <is>
          <t>CURAL</t>
        </is>
      </c>
      <c r="C3356" t="inlineStr">
        <is>
          <t>SHELVES</t>
        </is>
      </c>
      <c r="D3356" t="inlineStr">
        <is>
          <t>PR6045.A97 Z748 1991</t>
        </is>
      </c>
      <c r="E3356" t="inlineStr">
        <is>
          <t>0                      PR 6045000A  97                 Z  748         1991</t>
        </is>
      </c>
      <c r="F3356" t="inlineStr">
        <is>
          <t>Evelyn Waugh and the problem of evil / William Myers.</t>
        </is>
      </c>
      <c r="H3356" t="inlineStr">
        <is>
          <t>No</t>
        </is>
      </c>
      <c r="I3356" t="inlineStr">
        <is>
          <t>1</t>
        </is>
      </c>
      <c r="J3356" t="inlineStr">
        <is>
          <t>No</t>
        </is>
      </c>
      <c r="K3356" t="inlineStr">
        <is>
          <t>No</t>
        </is>
      </c>
      <c r="L3356" t="inlineStr">
        <is>
          <t>0</t>
        </is>
      </c>
      <c r="M3356" t="inlineStr">
        <is>
          <t>Myers, William, 1939-</t>
        </is>
      </c>
      <c r="N3356" t="inlineStr">
        <is>
          <t>London ; Boston : Faber and Faber, 1991.</t>
        </is>
      </c>
      <c r="O3356" t="inlineStr">
        <is>
          <t>1991</t>
        </is>
      </c>
      <c r="Q3356" t="inlineStr">
        <is>
          <t>eng</t>
        </is>
      </c>
      <c r="R3356" t="inlineStr">
        <is>
          <t>enk</t>
        </is>
      </c>
      <c r="T3356" t="inlineStr">
        <is>
          <t xml:space="preserve">PR </t>
        </is>
      </c>
      <c r="U3356" t="n">
        <v>1</v>
      </c>
      <c r="V3356" t="n">
        <v>1</v>
      </c>
      <c r="W3356" t="inlineStr">
        <is>
          <t>1996-11-25</t>
        </is>
      </c>
      <c r="X3356" t="inlineStr">
        <is>
          <t>1996-11-25</t>
        </is>
      </c>
      <c r="Y3356" t="inlineStr">
        <is>
          <t>1991-12-30</t>
        </is>
      </c>
      <c r="Z3356" t="inlineStr">
        <is>
          <t>1991-12-30</t>
        </is>
      </c>
      <c r="AA3356" t="n">
        <v>264</v>
      </c>
      <c r="AB3356" t="n">
        <v>153</v>
      </c>
      <c r="AC3356" t="n">
        <v>153</v>
      </c>
      <c r="AD3356" t="n">
        <v>1</v>
      </c>
      <c r="AE3356" t="n">
        <v>1</v>
      </c>
      <c r="AF3356" t="n">
        <v>9</v>
      </c>
      <c r="AG3356" t="n">
        <v>9</v>
      </c>
      <c r="AH3356" t="n">
        <v>3</v>
      </c>
      <c r="AI3356" t="n">
        <v>3</v>
      </c>
      <c r="AJ3356" t="n">
        <v>2</v>
      </c>
      <c r="AK3356" t="n">
        <v>2</v>
      </c>
      <c r="AL3356" t="n">
        <v>8</v>
      </c>
      <c r="AM3356" t="n">
        <v>8</v>
      </c>
      <c r="AN3356" t="n">
        <v>0</v>
      </c>
      <c r="AO3356" t="n">
        <v>0</v>
      </c>
      <c r="AP3356" t="n">
        <v>0</v>
      </c>
      <c r="AQ3356" t="n">
        <v>0</v>
      </c>
      <c r="AR3356" t="inlineStr">
        <is>
          <t>No</t>
        </is>
      </c>
      <c r="AS3356" t="inlineStr">
        <is>
          <t>No</t>
        </is>
      </c>
      <c r="AU3356">
        <f>HYPERLINK("https://creighton-primo.hosted.exlibrisgroup.com/primo-explore/search?tab=default_tab&amp;search_scope=EVERYTHING&amp;vid=01CRU&amp;lang=en_US&amp;offset=0&amp;query=any,contains,991001871059702656","Catalog Record")</f>
        <v/>
      </c>
      <c r="AV3356">
        <f>HYPERLINK("http://www.worldcat.org/oclc/23594793","WorldCat Record")</f>
        <v/>
      </c>
      <c r="AW3356" t="inlineStr">
        <is>
          <t>501888675:eng</t>
        </is>
      </c>
      <c r="AX3356" t="inlineStr">
        <is>
          <t>23594793</t>
        </is>
      </c>
      <c r="AY3356" t="inlineStr">
        <is>
          <t>991001871059702656</t>
        </is>
      </c>
      <c r="AZ3356" t="inlineStr">
        <is>
          <t>991001871059702656</t>
        </is>
      </c>
      <c r="BA3356" t="inlineStr">
        <is>
          <t>2258189450002656</t>
        </is>
      </c>
      <c r="BB3356" t="inlineStr">
        <is>
          <t>BOOK</t>
        </is>
      </c>
      <c r="BD3356" t="inlineStr">
        <is>
          <t>9780571140947</t>
        </is>
      </c>
      <c r="BE3356" t="inlineStr">
        <is>
          <t>32285000862549</t>
        </is>
      </c>
      <c r="BF3356" t="inlineStr">
        <is>
          <t>893261967</t>
        </is>
      </c>
    </row>
    <row r="3357">
      <c r="A3357" t="inlineStr">
        <is>
          <t>No</t>
        </is>
      </c>
      <c r="B3357" t="inlineStr">
        <is>
          <t>CURAL</t>
        </is>
      </c>
      <c r="C3357" t="inlineStr">
        <is>
          <t>SHELVES</t>
        </is>
      </c>
      <c r="D3357" t="inlineStr">
        <is>
          <t>PR6045.A97 Z79 1986</t>
        </is>
      </c>
      <c r="E3357" t="inlineStr">
        <is>
          <t>0                      PR 6045000A  97                 Z  79          1986</t>
        </is>
      </c>
      <c r="F3357" t="inlineStr">
        <is>
          <t>Evelyn Waugh / Martin Stannard.</t>
        </is>
      </c>
      <c r="G3357" t="inlineStr">
        <is>
          <t>V.1</t>
        </is>
      </c>
      <c r="H3357" t="inlineStr">
        <is>
          <t>Yes</t>
        </is>
      </c>
      <c r="I3357" t="inlineStr">
        <is>
          <t>1</t>
        </is>
      </c>
      <c r="J3357" t="inlineStr">
        <is>
          <t>No</t>
        </is>
      </c>
      <c r="K3357" t="inlineStr">
        <is>
          <t>No</t>
        </is>
      </c>
      <c r="L3357" t="inlineStr">
        <is>
          <t>0</t>
        </is>
      </c>
      <c r="M3357" t="inlineStr">
        <is>
          <t>Stannard, Martin, 1947-</t>
        </is>
      </c>
      <c r="N3357" t="inlineStr">
        <is>
          <t>London : J. M. Dent, 1986-1992.</t>
        </is>
      </c>
      <c r="O3357" t="inlineStr">
        <is>
          <t>1986</t>
        </is>
      </c>
      <c r="Q3357" t="inlineStr">
        <is>
          <t>eng</t>
        </is>
      </c>
      <c r="R3357" t="inlineStr">
        <is>
          <t>enk</t>
        </is>
      </c>
      <c r="T3357" t="inlineStr">
        <is>
          <t xml:space="preserve">PR </t>
        </is>
      </c>
      <c r="U3357" t="n">
        <v>0</v>
      </c>
      <c r="V3357" t="n">
        <v>1</v>
      </c>
      <c r="X3357" t="inlineStr">
        <is>
          <t>1992-12-11</t>
        </is>
      </c>
      <c r="Y3357" t="inlineStr">
        <is>
          <t>1992-07-22</t>
        </is>
      </c>
      <c r="Z3357" t="inlineStr">
        <is>
          <t>1992-11-18</t>
        </is>
      </c>
      <c r="AA3357" t="n">
        <v>225</v>
      </c>
      <c r="AB3357" t="n">
        <v>130</v>
      </c>
      <c r="AC3357" t="n">
        <v>222</v>
      </c>
      <c r="AD3357" t="n">
        <v>2</v>
      </c>
      <c r="AE3357" t="n">
        <v>2</v>
      </c>
      <c r="AF3357" t="n">
        <v>10</v>
      </c>
      <c r="AG3357" t="n">
        <v>13</v>
      </c>
      <c r="AH3357" t="n">
        <v>1</v>
      </c>
      <c r="AI3357" t="n">
        <v>3</v>
      </c>
      <c r="AJ3357" t="n">
        <v>3</v>
      </c>
      <c r="AK3357" t="n">
        <v>3</v>
      </c>
      <c r="AL3357" t="n">
        <v>6</v>
      </c>
      <c r="AM3357" t="n">
        <v>7</v>
      </c>
      <c r="AN3357" t="n">
        <v>1</v>
      </c>
      <c r="AO3357" t="n">
        <v>1</v>
      </c>
      <c r="AP3357" t="n">
        <v>0</v>
      </c>
      <c r="AQ3357" t="n">
        <v>0</v>
      </c>
      <c r="AR3357" t="inlineStr">
        <is>
          <t>No</t>
        </is>
      </c>
      <c r="AS3357" t="inlineStr">
        <is>
          <t>No</t>
        </is>
      </c>
      <c r="AU3357">
        <f>HYPERLINK("https://creighton-primo.hosted.exlibrisgroup.com/primo-explore/search?tab=default_tab&amp;search_scope=EVERYTHING&amp;vid=01CRU&amp;lang=en_US&amp;offset=0&amp;query=any,contains,991000950409702656","Catalog Record")</f>
        <v/>
      </c>
      <c r="AV3357">
        <f>HYPERLINK("http://www.worldcat.org/oclc/14642821","WorldCat Record")</f>
        <v/>
      </c>
      <c r="AW3357" t="inlineStr">
        <is>
          <t>3372270870:eng</t>
        </is>
      </c>
      <c r="AX3357" t="inlineStr">
        <is>
          <t>14642821</t>
        </is>
      </c>
      <c r="AY3357" t="inlineStr">
        <is>
          <t>991000950409702656</t>
        </is>
      </c>
      <c r="AZ3357" t="inlineStr">
        <is>
          <t>991000950409702656</t>
        </is>
      </c>
      <c r="BA3357" t="inlineStr">
        <is>
          <t>2271786000002656</t>
        </is>
      </c>
      <c r="BB3357" t="inlineStr">
        <is>
          <t>BOOK</t>
        </is>
      </c>
      <c r="BD3357" t="inlineStr">
        <is>
          <t>9780460046329</t>
        </is>
      </c>
      <c r="BE3357" t="inlineStr">
        <is>
          <t>32285001203966</t>
        </is>
      </c>
      <c r="BF3357" t="inlineStr">
        <is>
          <t>893419917</t>
        </is>
      </c>
    </row>
    <row r="3358">
      <c r="A3358" t="inlineStr">
        <is>
          <t>No</t>
        </is>
      </c>
      <c r="B3358" t="inlineStr">
        <is>
          <t>CURAL</t>
        </is>
      </c>
      <c r="C3358" t="inlineStr">
        <is>
          <t>SHELVES</t>
        </is>
      </c>
      <c r="D3358" t="inlineStr">
        <is>
          <t>PR6045.A97 Z79 1986</t>
        </is>
      </c>
      <c r="E3358" t="inlineStr">
        <is>
          <t>0                      PR 6045000A  97                 Z  79          1986</t>
        </is>
      </c>
      <c r="F3358" t="inlineStr">
        <is>
          <t>Evelyn Waugh / Martin Stannard.</t>
        </is>
      </c>
      <c r="G3358" t="inlineStr">
        <is>
          <t>V.2</t>
        </is>
      </c>
      <c r="H3358" t="inlineStr">
        <is>
          <t>Yes</t>
        </is>
      </c>
      <c r="I3358" t="inlineStr">
        <is>
          <t>1</t>
        </is>
      </c>
      <c r="J3358" t="inlineStr">
        <is>
          <t>No</t>
        </is>
      </c>
      <c r="K3358" t="inlineStr">
        <is>
          <t>No</t>
        </is>
      </c>
      <c r="L3358" t="inlineStr">
        <is>
          <t>0</t>
        </is>
      </c>
      <c r="M3358" t="inlineStr">
        <is>
          <t>Stannard, Martin, 1947-</t>
        </is>
      </c>
      <c r="N3358" t="inlineStr">
        <is>
          <t>London : J. M. Dent, 1986-1992.</t>
        </is>
      </c>
      <c r="O3358" t="inlineStr">
        <is>
          <t>1986</t>
        </is>
      </c>
      <c r="Q3358" t="inlineStr">
        <is>
          <t>eng</t>
        </is>
      </c>
      <c r="R3358" t="inlineStr">
        <is>
          <t>enk</t>
        </is>
      </c>
      <c r="T3358" t="inlineStr">
        <is>
          <t xml:space="preserve">PR </t>
        </is>
      </c>
      <c r="U3358" t="n">
        <v>1</v>
      </c>
      <c r="V3358" t="n">
        <v>1</v>
      </c>
      <c r="W3358" t="inlineStr">
        <is>
          <t>1992-12-11</t>
        </is>
      </c>
      <c r="X3358" t="inlineStr">
        <is>
          <t>1992-12-11</t>
        </is>
      </c>
      <c r="Y3358" t="inlineStr">
        <is>
          <t>1992-11-18</t>
        </is>
      </c>
      <c r="Z3358" t="inlineStr">
        <is>
          <t>1992-11-18</t>
        </is>
      </c>
      <c r="AA3358" t="n">
        <v>225</v>
      </c>
      <c r="AB3358" t="n">
        <v>130</v>
      </c>
      <c r="AC3358" t="n">
        <v>222</v>
      </c>
      <c r="AD3358" t="n">
        <v>2</v>
      </c>
      <c r="AE3358" t="n">
        <v>2</v>
      </c>
      <c r="AF3358" t="n">
        <v>10</v>
      </c>
      <c r="AG3358" t="n">
        <v>13</v>
      </c>
      <c r="AH3358" t="n">
        <v>1</v>
      </c>
      <c r="AI3358" t="n">
        <v>3</v>
      </c>
      <c r="AJ3358" t="n">
        <v>3</v>
      </c>
      <c r="AK3358" t="n">
        <v>3</v>
      </c>
      <c r="AL3358" t="n">
        <v>6</v>
      </c>
      <c r="AM3358" t="n">
        <v>7</v>
      </c>
      <c r="AN3358" t="n">
        <v>1</v>
      </c>
      <c r="AO3358" t="n">
        <v>1</v>
      </c>
      <c r="AP3358" t="n">
        <v>0</v>
      </c>
      <c r="AQ3358" t="n">
        <v>0</v>
      </c>
      <c r="AR3358" t="inlineStr">
        <is>
          <t>No</t>
        </is>
      </c>
      <c r="AS3358" t="inlineStr">
        <is>
          <t>No</t>
        </is>
      </c>
      <c r="AU3358">
        <f>HYPERLINK("https://creighton-primo.hosted.exlibrisgroup.com/primo-explore/search?tab=default_tab&amp;search_scope=EVERYTHING&amp;vid=01CRU&amp;lang=en_US&amp;offset=0&amp;query=any,contains,991000950409702656","Catalog Record")</f>
        <v/>
      </c>
      <c r="AV3358">
        <f>HYPERLINK("http://www.worldcat.org/oclc/14642821","WorldCat Record")</f>
        <v/>
      </c>
      <c r="AW3358" t="inlineStr">
        <is>
          <t>3372270870:eng</t>
        </is>
      </c>
      <c r="AX3358" t="inlineStr">
        <is>
          <t>14642821</t>
        </is>
      </c>
      <c r="AY3358" t="inlineStr">
        <is>
          <t>991000950409702656</t>
        </is>
      </c>
      <c r="AZ3358" t="inlineStr">
        <is>
          <t>991000950409702656</t>
        </is>
      </c>
      <c r="BA3358" t="inlineStr">
        <is>
          <t>2271786000002656</t>
        </is>
      </c>
      <c r="BB3358" t="inlineStr">
        <is>
          <t>BOOK</t>
        </is>
      </c>
      <c r="BD3358" t="inlineStr">
        <is>
          <t>9780460046329</t>
        </is>
      </c>
      <c r="BE3358" t="inlineStr">
        <is>
          <t>32285001400620</t>
        </is>
      </c>
      <c r="BF3358" t="inlineStr">
        <is>
          <t>893413832</t>
        </is>
      </c>
    </row>
    <row r="3359">
      <c r="A3359" t="inlineStr">
        <is>
          <t>No</t>
        </is>
      </c>
      <c r="B3359" t="inlineStr">
        <is>
          <t>CURAL</t>
        </is>
      </c>
      <c r="C3359" t="inlineStr">
        <is>
          <t>SHELVES</t>
        </is>
      </c>
      <c r="D3359" t="inlineStr">
        <is>
          <t>PR6045.A97 Z83 1975</t>
        </is>
      </c>
      <c r="E3359" t="inlineStr">
        <is>
          <t>0                      PR 6045000A  97                 Z  83          1975</t>
        </is>
      </c>
      <c r="F3359" t="inlineStr">
        <is>
          <t>Evelyn Waugh : a biography / Christopher Sykes.</t>
        </is>
      </c>
      <c r="H3359" t="inlineStr">
        <is>
          <t>No</t>
        </is>
      </c>
      <c r="I3359" t="inlineStr">
        <is>
          <t>1</t>
        </is>
      </c>
      <c r="J3359" t="inlineStr">
        <is>
          <t>No</t>
        </is>
      </c>
      <c r="K3359" t="inlineStr">
        <is>
          <t>No</t>
        </is>
      </c>
      <c r="L3359" t="inlineStr">
        <is>
          <t>0</t>
        </is>
      </c>
      <c r="M3359" t="inlineStr">
        <is>
          <t>Sykes, Christopher, 1907-1986.</t>
        </is>
      </c>
      <c r="N3359" t="inlineStr">
        <is>
          <t>Boston : Little, Brown, [1975]</t>
        </is>
      </c>
      <c r="O3359" t="inlineStr">
        <is>
          <t>1975</t>
        </is>
      </c>
      <c r="P3359" t="inlineStr">
        <is>
          <t>1st American ed.</t>
        </is>
      </c>
      <c r="Q3359" t="inlineStr">
        <is>
          <t>eng</t>
        </is>
      </c>
      <c r="R3359" t="inlineStr">
        <is>
          <t>mau</t>
        </is>
      </c>
      <c r="T3359" t="inlineStr">
        <is>
          <t xml:space="preserve">PR </t>
        </is>
      </c>
      <c r="U3359" t="n">
        <v>3</v>
      </c>
      <c r="V3359" t="n">
        <v>3</v>
      </c>
      <c r="W3359" t="inlineStr">
        <is>
          <t>1998-01-07</t>
        </is>
      </c>
      <c r="X3359" t="inlineStr">
        <is>
          <t>1998-01-07</t>
        </is>
      </c>
      <c r="Y3359" t="inlineStr">
        <is>
          <t>1991-07-10</t>
        </is>
      </c>
      <c r="Z3359" t="inlineStr">
        <is>
          <t>1991-07-10</t>
        </is>
      </c>
      <c r="AA3359" t="n">
        <v>1158</v>
      </c>
      <c r="AB3359" t="n">
        <v>1086</v>
      </c>
      <c r="AC3359" t="n">
        <v>1174</v>
      </c>
      <c r="AD3359" t="n">
        <v>9</v>
      </c>
      <c r="AE3359" t="n">
        <v>10</v>
      </c>
      <c r="AF3359" t="n">
        <v>41</v>
      </c>
      <c r="AG3359" t="n">
        <v>43</v>
      </c>
      <c r="AH3359" t="n">
        <v>14</v>
      </c>
      <c r="AI3359" t="n">
        <v>14</v>
      </c>
      <c r="AJ3359" t="n">
        <v>10</v>
      </c>
      <c r="AK3359" t="n">
        <v>10</v>
      </c>
      <c r="AL3359" t="n">
        <v>24</v>
      </c>
      <c r="AM3359" t="n">
        <v>25</v>
      </c>
      <c r="AN3359" t="n">
        <v>6</v>
      </c>
      <c r="AO3359" t="n">
        <v>7</v>
      </c>
      <c r="AP3359" t="n">
        <v>0</v>
      </c>
      <c r="AQ3359" t="n">
        <v>0</v>
      </c>
      <c r="AR3359" t="inlineStr">
        <is>
          <t>No</t>
        </is>
      </c>
      <c r="AS3359" t="inlineStr">
        <is>
          <t>No</t>
        </is>
      </c>
      <c r="AU3359">
        <f>HYPERLINK("https://creighton-primo.hosted.exlibrisgroup.com/primo-explore/search?tab=default_tab&amp;search_scope=EVERYTHING&amp;vid=01CRU&amp;lang=en_US&amp;offset=0&amp;query=any,contains,991003828939702656","Catalog Record")</f>
        <v/>
      </c>
      <c r="AV3359">
        <f>HYPERLINK("http://www.worldcat.org/oclc/1582719","WorldCat Record")</f>
        <v/>
      </c>
      <c r="AW3359" t="inlineStr">
        <is>
          <t>1909009469:eng</t>
        </is>
      </c>
      <c r="AX3359" t="inlineStr">
        <is>
          <t>1582719</t>
        </is>
      </c>
      <c r="AY3359" t="inlineStr">
        <is>
          <t>991003828939702656</t>
        </is>
      </c>
      <c r="AZ3359" t="inlineStr">
        <is>
          <t>991003828939702656</t>
        </is>
      </c>
      <c r="BA3359" t="inlineStr">
        <is>
          <t>2270815450002656</t>
        </is>
      </c>
      <c r="BB3359" t="inlineStr">
        <is>
          <t>BOOK</t>
        </is>
      </c>
      <c r="BD3359" t="inlineStr">
        <is>
          <t>9780316826006</t>
        </is>
      </c>
      <c r="BE3359" t="inlineStr">
        <is>
          <t>32285000648443</t>
        </is>
      </c>
      <c r="BF3359" t="inlineStr">
        <is>
          <t>893787820</t>
        </is>
      </c>
    </row>
    <row r="3360">
      <c r="A3360" t="inlineStr">
        <is>
          <t>No</t>
        </is>
      </c>
      <c r="B3360" t="inlineStr">
        <is>
          <t>CURAL</t>
        </is>
      </c>
      <c r="C3360" t="inlineStr">
        <is>
          <t>SHELVES</t>
        </is>
      </c>
      <c r="D3360" t="inlineStr">
        <is>
          <t>PR6045.E8 Z63</t>
        </is>
      </c>
      <c r="E3360" t="inlineStr">
        <is>
          <t>0                      PR 6045000E  8                  Z  63</t>
        </is>
      </c>
      <c r="F3360" t="inlineStr">
        <is>
          <t>Rebecca West / by Motley F. Deakin.</t>
        </is>
      </c>
      <c r="H3360" t="inlineStr">
        <is>
          <t>No</t>
        </is>
      </c>
      <c r="I3360" t="inlineStr">
        <is>
          <t>1</t>
        </is>
      </c>
      <c r="J3360" t="inlineStr">
        <is>
          <t>No</t>
        </is>
      </c>
      <c r="K3360" t="inlineStr">
        <is>
          <t>No</t>
        </is>
      </c>
      <c r="L3360" t="inlineStr">
        <is>
          <t>0</t>
        </is>
      </c>
      <c r="M3360" t="inlineStr">
        <is>
          <t>Deakin, Motley F.</t>
        </is>
      </c>
      <c r="N3360" t="inlineStr">
        <is>
          <t>Boston : Twayne Publishers, 1980.</t>
        </is>
      </c>
      <c r="O3360" t="inlineStr">
        <is>
          <t>1980</t>
        </is>
      </c>
      <c r="Q3360" t="inlineStr">
        <is>
          <t>eng</t>
        </is>
      </c>
      <c r="R3360" t="inlineStr">
        <is>
          <t>mau</t>
        </is>
      </c>
      <c r="S3360" t="inlineStr">
        <is>
          <t>Twayne's English authors series ; TEAS 386</t>
        </is>
      </c>
      <c r="T3360" t="inlineStr">
        <is>
          <t xml:space="preserve">PR </t>
        </is>
      </c>
      <c r="U3360" t="n">
        <v>1</v>
      </c>
      <c r="V3360" t="n">
        <v>1</v>
      </c>
      <c r="W3360" t="inlineStr">
        <is>
          <t>2008-11-24</t>
        </is>
      </c>
      <c r="X3360" t="inlineStr">
        <is>
          <t>2008-11-24</t>
        </is>
      </c>
      <c r="Y3360" t="inlineStr">
        <is>
          <t>1992-07-22</t>
        </is>
      </c>
      <c r="Z3360" t="inlineStr">
        <is>
          <t>1992-07-22</t>
        </is>
      </c>
      <c r="AA3360" t="n">
        <v>759</v>
      </c>
      <c r="AB3360" t="n">
        <v>683</v>
      </c>
      <c r="AC3360" t="n">
        <v>775</v>
      </c>
      <c r="AD3360" t="n">
        <v>7</v>
      </c>
      <c r="AE3360" t="n">
        <v>7</v>
      </c>
      <c r="AF3360" t="n">
        <v>27</v>
      </c>
      <c r="AG3360" t="n">
        <v>29</v>
      </c>
      <c r="AH3360" t="n">
        <v>10</v>
      </c>
      <c r="AI3360" t="n">
        <v>11</v>
      </c>
      <c r="AJ3360" t="n">
        <v>8</v>
      </c>
      <c r="AK3360" t="n">
        <v>8</v>
      </c>
      <c r="AL3360" t="n">
        <v>11</v>
      </c>
      <c r="AM3360" t="n">
        <v>12</v>
      </c>
      <c r="AN3360" t="n">
        <v>6</v>
      </c>
      <c r="AO3360" t="n">
        <v>6</v>
      </c>
      <c r="AP3360" t="n">
        <v>0</v>
      </c>
      <c r="AQ3360" t="n">
        <v>0</v>
      </c>
      <c r="AR3360" t="inlineStr">
        <is>
          <t>No</t>
        </is>
      </c>
      <c r="AS3360" t="inlineStr">
        <is>
          <t>Yes</t>
        </is>
      </c>
      <c r="AT3360">
        <f>HYPERLINK("http://catalog.hathitrust.org/Record/004483754","HathiTrust Record")</f>
        <v/>
      </c>
      <c r="AU3360">
        <f>HYPERLINK("https://creighton-primo.hosted.exlibrisgroup.com/primo-explore/search?tab=default_tab&amp;search_scope=EVERYTHING&amp;vid=01CRU&amp;lang=en_US&amp;offset=0&amp;query=any,contains,991004902549702656","Catalog Record")</f>
        <v/>
      </c>
      <c r="AV3360">
        <f>HYPERLINK("http://www.worldcat.org/oclc/5941612","WorldCat Record")</f>
        <v/>
      </c>
      <c r="AW3360" t="inlineStr">
        <is>
          <t>17684139:eng</t>
        </is>
      </c>
      <c r="AX3360" t="inlineStr">
        <is>
          <t>5941612</t>
        </is>
      </c>
      <c r="AY3360" t="inlineStr">
        <is>
          <t>991004902549702656</t>
        </is>
      </c>
      <c r="AZ3360" t="inlineStr">
        <is>
          <t>991004902549702656</t>
        </is>
      </c>
      <c r="BA3360" t="inlineStr">
        <is>
          <t>2270193750002656</t>
        </is>
      </c>
      <c r="BB3360" t="inlineStr">
        <is>
          <t>BOOK</t>
        </is>
      </c>
      <c r="BD3360" t="inlineStr">
        <is>
          <t>9780805767889</t>
        </is>
      </c>
      <c r="BE3360" t="inlineStr">
        <is>
          <t>32285001204030</t>
        </is>
      </c>
      <c r="BF3360" t="inlineStr">
        <is>
          <t>893807609</t>
        </is>
      </c>
    </row>
    <row r="3361">
      <c r="A3361" t="inlineStr">
        <is>
          <t>No</t>
        </is>
      </c>
      <c r="B3361" t="inlineStr">
        <is>
          <t>CURAL</t>
        </is>
      </c>
      <c r="C3361" t="inlineStr">
        <is>
          <t>SHELVES</t>
        </is>
      </c>
      <c r="D3361" t="inlineStr">
        <is>
          <t>PR6045.I5 Z74 1983</t>
        </is>
      </c>
      <c r="E3361" t="inlineStr">
        <is>
          <t>0                      PR 6045000I  5                  Z  74          1983</t>
        </is>
      </c>
      <c r="F3361" t="inlineStr">
        <is>
          <t>Charles Williams : an exploration of his life and work / Alice Mary Hadfield.</t>
        </is>
      </c>
      <c r="H3361" t="inlineStr">
        <is>
          <t>No</t>
        </is>
      </c>
      <c r="I3361" t="inlineStr">
        <is>
          <t>1</t>
        </is>
      </c>
      <c r="J3361" t="inlineStr">
        <is>
          <t>No</t>
        </is>
      </c>
      <c r="K3361" t="inlineStr">
        <is>
          <t>No</t>
        </is>
      </c>
      <c r="L3361" t="inlineStr">
        <is>
          <t>0</t>
        </is>
      </c>
      <c r="M3361" t="inlineStr">
        <is>
          <t>Hadfield, Alice Mary.</t>
        </is>
      </c>
      <c r="N3361" t="inlineStr">
        <is>
          <t>New York : Oxford University Press, 1983.</t>
        </is>
      </c>
      <c r="O3361" t="inlineStr">
        <is>
          <t>1983</t>
        </is>
      </c>
      <c r="Q3361" t="inlineStr">
        <is>
          <t>eng</t>
        </is>
      </c>
      <c r="R3361" t="inlineStr">
        <is>
          <t>nyu</t>
        </is>
      </c>
      <c r="T3361" t="inlineStr">
        <is>
          <t xml:space="preserve">PR </t>
        </is>
      </c>
      <c r="U3361" t="n">
        <v>0</v>
      </c>
      <c r="V3361" t="n">
        <v>0</v>
      </c>
      <c r="W3361" t="inlineStr">
        <is>
          <t>2008-12-23</t>
        </is>
      </c>
      <c r="X3361" t="inlineStr">
        <is>
          <t>2008-12-23</t>
        </is>
      </c>
      <c r="Y3361" t="inlineStr">
        <is>
          <t>1992-07-22</t>
        </is>
      </c>
      <c r="Z3361" t="inlineStr">
        <is>
          <t>1992-07-22</t>
        </is>
      </c>
      <c r="AA3361" t="n">
        <v>650</v>
      </c>
      <c r="AB3361" t="n">
        <v>534</v>
      </c>
      <c r="AC3361" t="n">
        <v>541</v>
      </c>
      <c r="AD3361" t="n">
        <v>5</v>
      </c>
      <c r="AE3361" t="n">
        <v>5</v>
      </c>
      <c r="AF3361" t="n">
        <v>30</v>
      </c>
      <c r="AG3361" t="n">
        <v>30</v>
      </c>
      <c r="AH3361" t="n">
        <v>12</v>
      </c>
      <c r="AI3361" t="n">
        <v>12</v>
      </c>
      <c r="AJ3361" t="n">
        <v>7</v>
      </c>
      <c r="AK3361" t="n">
        <v>7</v>
      </c>
      <c r="AL3361" t="n">
        <v>16</v>
      </c>
      <c r="AM3361" t="n">
        <v>16</v>
      </c>
      <c r="AN3361" t="n">
        <v>4</v>
      </c>
      <c r="AO3361" t="n">
        <v>4</v>
      </c>
      <c r="AP3361" t="n">
        <v>0</v>
      </c>
      <c r="AQ3361" t="n">
        <v>0</v>
      </c>
      <c r="AR3361" t="inlineStr">
        <is>
          <t>No</t>
        </is>
      </c>
      <c r="AS3361" t="inlineStr">
        <is>
          <t>Yes</t>
        </is>
      </c>
      <c r="AT3361">
        <f>HYPERLINK("http://catalog.hathitrust.org/Record/000113585","HathiTrust Record")</f>
        <v/>
      </c>
      <c r="AU3361">
        <f>HYPERLINK("https://creighton-primo.hosted.exlibrisgroup.com/primo-explore/search?tab=default_tab&amp;search_scope=EVERYTHING&amp;vid=01CRU&amp;lang=en_US&amp;offset=0&amp;query=any,contains,991000205629702656","Catalog Record")</f>
        <v/>
      </c>
      <c r="AV3361">
        <f>HYPERLINK("http://www.worldcat.org/oclc/9489042","WorldCat Record")</f>
        <v/>
      </c>
      <c r="AW3361" t="inlineStr">
        <is>
          <t>226234841:eng</t>
        </is>
      </c>
      <c r="AX3361" t="inlineStr">
        <is>
          <t>9489042</t>
        </is>
      </c>
      <c r="AY3361" t="inlineStr">
        <is>
          <t>991000205629702656</t>
        </is>
      </c>
      <c r="AZ3361" t="inlineStr">
        <is>
          <t>991000205629702656</t>
        </is>
      </c>
      <c r="BA3361" t="inlineStr">
        <is>
          <t>2256375990002656</t>
        </is>
      </c>
      <c r="BB3361" t="inlineStr">
        <is>
          <t>BOOK</t>
        </is>
      </c>
      <c r="BD3361" t="inlineStr">
        <is>
          <t>9780195033120</t>
        </is>
      </c>
      <c r="BE3361" t="inlineStr">
        <is>
          <t>32285001204097</t>
        </is>
      </c>
      <c r="BF3361" t="inlineStr">
        <is>
          <t>893345478</t>
        </is>
      </c>
    </row>
    <row r="3362">
      <c r="A3362" t="inlineStr">
        <is>
          <t>No</t>
        </is>
      </c>
      <c r="B3362" t="inlineStr">
        <is>
          <t>CURAL</t>
        </is>
      </c>
      <c r="C3362" t="inlineStr">
        <is>
          <t>SHELVES</t>
        </is>
      </c>
      <c r="D3362" t="inlineStr">
        <is>
          <t>PR6045.I5 Z77 1983</t>
        </is>
      </c>
      <c r="E3362" t="inlineStr">
        <is>
          <t>0                      PR 6045000I  5                  Z  77          1983</t>
        </is>
      </c>
      <c r="F3362" t="inlineStr">
        <is>
          <t>The novels of Charles Williams / Thomas Howard.</t>
        </is>
      </c>
      <c r="H3362" t="inlineStr">
        <is>
          <t>No</t>
        </is>
      </c>
      <c r="I3362" t="inlineStr">
        <is>
          <t>1</t>
        </is>
      </c>
      <c r="J3362" t="inlineStr">
        <is>
          <t>No</t>
        </is>
      </c>
      <c r="K3362" t="inlineStr">
        <is>
          <t>No</t>
        </is>
      </c>
      <c r="L3362" t="inlineStr">
        <is>
          <t>0</t>
        </is>
      </c>
      <c r="M3362" t="inlineStr">
        <is>
          <t>Howard, Thomas.</t>
        </is>
      </c>
      <c r="N3362" t="inlineStr">
        <is>
          <t>New York : Oxford University Press, 1983.</t>
        </is>
      </c>
      <c r="O3362" t="inlineStr">
        <is>
          <t>1983</t>
        </is>
      </c>
      <c r="Q3362" t="inlineStr">
        <is>
          <t>eng</t>
        </is>
      </c>
      <c r="R3362" t="inlineStr">
        <is>
          <t>nyu</t>
        </is>
      </c>
      <c r="T3362" t="inlineStr">
        <is>
          <t xml:space="preserve">PR </t>
        </is>
      </c>
      <c r="U3362" t="n">
        <v>0</v>
      </c>
      <c r="V3362" t="n">
        <v>0</v>
      </c>
      <c r="W3362" t="inlineStr">
        <is>
          <t>2003-05-12</t>
        </is>
      </c>
      <c r="X3362" t="inlineStr">
        <is>
          <t>2003-05-12</t>
        </is>
      </c>
      <c r="Y3362" t="inlineStr">
        <is>
          <t>1992-07-22</t>
        </is>
      </c>
      <c r="Z3362" t="inlineStr">
        <is>
          <t>1992-07-22</t>
        </is>
      </c>
      <c r="AA3362" t="n">
        <v>588</v>
      </c>
      <c r="AB3362" t="n">
        <v>487</v>
      </c>
      <c r="AC3362" t="n">
        <v>566</v>
      </c>
      <c r="AD3362" t="n">
        <v>2</v>
      </c>
      <c r="AE3362" t="n">
        <v>4</v>
      </c>
      <c r="AF3362" t="n">
        <v>29</v>
      </c>
      <c r="AG3362" t="n">
        <v>33</v>
      </c>
      <c r="AH3362" t="n">
        <v>14</v>
      </c>
      <c r="AI3362" t="n">
        <v>15</v>
      </c>
      <c r="AJ3362" t="n">
        <v>6</v>
      </c>
      <c r="AK3362" t="n">
        <v>7</v>
      </c>
      <c r="AL3362" t="n">
        <v>18</v>
      </c>
      <c r="AM3362" t="n">
        <v>19</v>
      </c>
      <c r="AN3362" t="n">
        <v>1</v>
      </c>
      <c r="AO3362" t="n">
        <v>2</v>
      </c>
      <c r="AP3362" t="n">
        <v>0</v>
      </c>
      <c r="AQ3362" t="n">
        <v>0</v>
      </c>
      <c r="AR3362" t="inlineStr">
        <is>
          <t>No</t>
        </is>
      </c>
      <c r="AS3362" t="inlineStr">
        <is>
          <t>Yes</t>
        </is>
      </c>
      <c r="AT3362">
        <f>HYPERLINK("http://catalog.hathitrust.org/Record/000156911","HathiTrust Record")</f>
        <v/>
      </c>
      <c r="AU3362">
        <f>HYPERLINK("https://creighton-primo.hosted.exlibrisgroup.com/primo-explore/search?tab=default_tab&amp;search_scope=EVERYTHING&amp;vid=01CRU&amp;lang=en_US&amp;offset=0&amp;query=any,contains,991000092339702656","Catalog Record")</f>
        <v/>
      </c>
      <c r="AV3362">
        <f>HYPERLINK("http://www.worldcat.org/oclc/8907321","WorldCat Record")</f>
        <v/>
      </c>
      <c r="AW3362" t="inlineStr">
        <is>
          <t>20131675:eng</t>
        </is>
      </c>
      <c r="AX3362" t="inlineStr">
        <is>
          <t>8907321</t>
        </is>
      </c>
      <c r="AY3362" t="inlineStr">
        <is>
          <t>991000092339702656</t>
        </is>
      </c>
      <c r="AZ3362" t="inlineStr">
        <is>
          <t>991000092339702656</t>
        </is>
      </c>
      <c r="BA3362" t="inlineStr">
        <is>
          <t>2262928300002656</t>
        </is>
      </c>
      <c r="BB3362" t="inlineStr">
        <is>
          <t>BOOK</t>
        </is>
      </c>
      <c r="BD3362" t="inlineStr">
        <is>
          <t>9780195032475</t>
        </is>
      </c>
      <c r="BE3362" t="inlineStr">
        <is>
          <t>32285001204105</t>
        </is>
      </c>
      <c r="BF3362" t="inlineStr">
        <is>
          <t>893595257</t>
        </is>
      </c>
    </row>
    <row r="3363">
      <c r="A3363" t="inlineStr">
        <is>
          <t>No</t>
        </is>
      </c>
      <c r="B3363" t="inlineStr">
        <is>
          <t>CURAL</t>
        </is>
      </c>
      <c r="C3363" t="inlineStr">
        <is>
          <t>SHELVES</t>
        </is>
      </c>
      <c r="D3363" t="inlineStr">
        <is>
          <t>PR6045.O53 Z675 1981</t>
        </is>
      </c>
      <c r="E3363" t="inlineStr">
        <is>
          <t>0                      PR 6045000O  53                 Z  675         1981</t>
        </is>
      </c>
      <c r="F3363" t="inlineStr">
        <is>
          <t>P.G. Wodehouse, a literary biography / by Benny Green.</t>
        </is>
      </c>
      <c r="H3363" t="inlineStr">
        <is>
          <t>No</t>
        </is>
      </c>
      <c r="I3363" t="inlineStr">
        <is>
          <t>1</t>
        </is>
      </c>
      <c r="J3363" t="inlineStr">
        <is>
          <t>No</t>
        </is>
      </c>
      <c r="K3363" t="inlineStr">
        <is>
          <t>No</t>
        </is>
      </c>
      <c r="L3363" t="inlineStr">
        <is>
          <t>0</t>
        </is>
      </c>
      <c r="M3363" t="inlineStr">
        <is>
          <t>Green, Benny, 1927-1998.</t>
        </is>
      </c>
      <c r="N3363" t="inlineStr">
        <is>
          <t>New York, N.Y. : Rutledge Press, 1981.</t>
        </is>
      </c>
      <c r="O3363" t="inlineStr">
        <is>
          <t>1981</t>
        </is>
      </c>
      <c r="Q3363" t="inlineStr">
        <is>
          <t>eng</t>
        </is>
      </c>
      <c r="R3363" t="inlineStr">
        <is>
          <t>nyu</t>
        </is>
      </c>
      <c r="T3363" t="inlineStr">
        <is>
          <t xml:space="preserve">PR </t>
        </is>
      </c>
      <c r="U3363" t="n">
        <v>2</v>
      </c>
      <c r="V3363" t="n">
        <v>2</v>
      </c>
      <c r="W3363" t="inlineStr">
        <is>
          <t>1993-10-04</t>
        </is>
      </c>
      <c r="X3363" t="inlineStr">
        <is>
          <t>1993-10-04</t>
        </is>
      </c>
      <c r="Y3363" t="inlineStr">
        <is>
          <t>1992-07-22</t>
        </is>
      </c>
      <c r="Z3363" t="inlineStr">
        <is>
          <t>1992-07-22</t>
        </is>
      </c>
      <c r="AA3363" t="n">
        <v>546</v>
      </c>
      <c r="AB3363" t="n">
        <v>519</v>
      </c>
      <c r="AC3363" t="n">
        <v>578</v>
      </c>
      <c r="AD3363" t="n">
        <v>1</v>
      </c>
      <c r="AE3363" t="n">
        <v>2</v>
      </c>
      <c r="AF3363" t="n">
        <v>18</v>
      </c>
      <c r="AG3363" t="n">
        <v>19</v>
      </c>
      <c r="AH3363" t="n">
        <v>10</v>
      </c>
      <c r="AI3363" t="n">
        <v>10</v>
      </c>
      <c r="AJ3363" t="n">
        <v>5</v>
      </c>
      <c r="AK3363" t="n">
        <v>5</v>
      </c>
      <c r="AL3363" t="n">
        <v>12</v>
      </c>
      <c r="AM3363" t="n">
        <v>12</v>
      </c>
      <c r="AN3363" t="n">
        <v>0</v>
      </c>
      <c r="AO3363" t="n">
        <v>1</v>
      </c>
      <c r="AP3363" t="n">
        <v>0</v>
      </c>
      <c r="AQ3363" t="n">
        <v>0</v>
      </c>
      <c r="AR3363" t="inlineStr">
        <is>
          <t>No</t>
        </is>
      </c>
      <c r="AS3363" t="inlineStr">
        <is>
          <t>No</t>
        </is>
      </c>
      <c r="AU3363">
        <f>HYPERLINK("https://creighton-primo.hosted.exlibrisgroup.com/primo-explore/search?tab=default_tab&amp;search_scope=EVERYTHING&amp;vid=01CRU&amp;lang=en_US&amp;offset=0&amp;query=any,contains,991005129279702656","Catalog Record")</f>
        <v/>
      </c>
      <c r="AV3363">
        <f>HYPERLINK("http://www.worldcat.org/oclc/7555946","WorldCat Record")</f>
        <v/>
      </c>
      <c r="AW3363" t="inlineStr">
        <is>
          <t>206121384:eng</t>
        </is>
      </c>
      <c r="AX3363" t="inlineStr">
        <is>
          <t>7555946</t>
        </is>
      </c>
      <c r="AY3363" t="inlineStr">
        <is>
          <t>991005129279702656</t>
        </is>
      </c>
      <c r="AZ3363" t="inlineStr">
        <is>
          <t>991005129279702656</t>
        </is>
      </c>
      <c r="BA3363" t="inlineStr">
        <is>
          <t>2266257360002656</t>
        </is>
      </c>
      <c r="BB3363" t="inlineStr">
        <is>
          <t>BOOK</t>
        </is>
      </c>
      <c r="BD3363" t="inlineStr">
        <is>
          <t>9780831768638</t>
        </is>
      </c>
      <c r="BE3363" t="inlineStr">
        <is>
          <t>32285001204188</t>
        </is>
      </c>
      <c r="BF3363" t="inlineStr">
        <is>
          <t>893520479</t>
        </is>
      </c>
    </row>
    <row r="3364">
      <c r="A3364" t="inlineStr">
        <is>
          <t>No</t>
        </is>
      </c>
      <c r="B3364" t="inlineStr">
        <is>
          <t>CURAL</t>
        </is>
      </c>
      <c r="C3364" t="inlineStr">
        <is>
          <t>SHELVES</t>
        </is>
      </c>
      <c r="D3364" t="inlineStr">
        <is>
          <t>PR6045.O53 Z72 1981</t>
        </is>
      </c>
      <c r="E3364" t="inlineStr">
        <is>
          <t>0                      PR 6045000O  53                 Z  72          1981</t>
        </is>
      </c>
      <c r="F3364" t="inlineStr">
        <is>
          <t>P. G. Wodehouse : a portrait of a master / David A. Jasen.</t>
        </is>
      </c>
      <c r="H3364" t="inlineStr">
        <is>
          <t>No</t>
        </is>
      </c>
      <c r="I3364" t="inlineStr">
        <is>
          <t>1</t>
        </is>
      </c>
      <c r="J3364" t="inlineStr">
        <is>
          <t>No</t>
        </is>
      </c>
      <c r="K3364" t="inlineStr">
        <is>
          <t>No</t>
        </is>
      </c>
      <c r="L3364" t="inlineStr">
        <is>
          <t>0</t>
        </is>
      </c>
      <c r="M3364" t="inlineStr">
        <is>
          <t>Jasen, David A.</t>
        </is>
      </c>
      <c r="N3364" t="inlineStr">
        <is>
          <t>New York : Continuum, 1981.</t>
        </is>
      </c>
      <c r="O3364" t="inlineStr">
        <is>
          <t>1981</t>
        </is>
      </c>
      <c r="P3364" t="inlineStr">
        <is>
          <t>New rev. ed.</t>
        </is>
      </c>
      <c r="Q3364" t="inlineStr">
        <is>
          <t>eng</t>
        </is>
      </c>
      <c r="R3364" t="inlineStr">
        <is>
          <t>nyu</t>
        </is>
      </c>
      <c r="T3364" t="inlineStr">
        <is>
          <t xml:space="preserve">PR </t>
        </is>
      </c>
      <c r="U3364" t="n">
        <v>2</v>
      </c>
      <c r="V3364" t="n">
        <v>2</v>
      </c>
      <c r="W3364" t="inlineStr">
        <is>
          <t>1993-10-04</t>
        </is>
      </c>
      <c r="X3364" t="inlineStr">
        <is>
          <t>1993-10-04</t>
        </is>
      </c>
      <c r="Y3364" t="inlineStr">
        <is>
          <t>1992-07-22</t>
        </is>
      </c>
      <c r="Z3364" t="inlineStr">
        <is>
          <t>1992-07-22</t>
        </is>
      </c>
      <c r="AA3364" t="n">
        <v>229</v>
      </c>
      <c r="AB3364" t="n">
        <v>210</v>
      </c>
      <c r="AC3364" t="n">
        <v>863</v>
      </c>
      <c r="AD3364" t="n">
        <v>3</v>
      </c>
      <c r="AE3364" t="n">
        <v>4</v>
      </c>
      <c r="AF3364" t="n">
        <v>6</v>
      </c>
      <c r="AG3364" t="n">
        <v>25</v>
      </c>
      <c r="AH3364" t="n">
        <v>1</v>
      </c>
      <c r="AI3364" t="n">
        <v>8</v>
      </c>
      <c r="AJ3364" t="n">
        <v>2</v>
      </c>
      <c r="AK3364" t="n">
        <v>8</v>
      </c>
      <c r="AL3364" t="n">
        <v>3</v>
      </c>
      <c r="AM3364" t="n">
        <v>15</v>
      </c>
      <c r="AN3364" t="n">
        <v>2</v>
      </c>
      <c r="AO3364" t="n">
        <v>2</v>
      </c>
      <c r="AP3364" t="n">
        <v>0</v>
      </c>
      <c r="AQ3364" t="n">
        <v>0</v>
      </c>
      <c r="AR3364" t="inlineStr">
        <is>
          <t>No</t>
        </is>
      </c>
      <c r="AS3364" t="inlineStr">
        <is>
          <t>Yes</t>
        </is>
      </c>
      <c r="AT3364">
        <f>HYPERLINK("http://catalog.hathitrust.org/Record/000139860","HathiTrust Record")</f>
        <v/>
      </c>
      <c r="AU3364">
        <f>HYPERLINK("https://creighton-primo.hosted.exlibrisgroup.com/primo-explore/search?tab=default_tab&amp;search_scope=EVERYTHING&amp;vid=01CRU&amp;lang=en_US&amp;offset=0&amp;query=any,contains,991005043369702656","Catalog Record")</f>
        <v/>
      </c>
      <c r="AV3364">
        <f>HYPERLINK("http://www.worldcat.org/oclc/6813560","WorldCat Record")</f>
        <v/>
      </c>
      <c r="AW3364" t="inlineStr">
        <is>
          <t>1023433:eng</t>
        </is>
      </c>
      <c r="AX3364" t="inlineStr">
        <is>
          <t>6813560</t>
        </is>
      </c>
      <c r="AY3364" t="inlineStr">
        <is>
          <t>991005043369702656</t>
        </is>
      </c>
      <c r="AZ3364" t="inlineStr">
        <is>
          <t>991005043369702656</t>
        </is>
      </c>
      <c r="BA3364" t="inlineStr">
        <is>
          <t>2268497320002656</t>
        </is>
      </c>
      <c r="BB3364" t="inlineStr">
        <is>
          <t>BOOK</t>
        </is>
      </c>
      <c r="BD3364" t="inlineStr">
        <is>
          <t>9780826400338</t>
        </is>
      </c>
      <c r="BE3364" t="inlineStr">
        <is>
          <t>32285001204196</t>
        </is>
      </c>
      <c r="BF3364" t="inlineStr">
        <is>
          <t>893443308</t>
        </is>
      </c>
    </row>
    <row r="3365">
      <c r="A3365" t="inlineStr">
        <is>
          <t>No</t>
        </is>
      </c>
      <c r="B3365" t="inlineStr">
        <is>
          <t>CURAL</t>
        </is>
      </c>
      <c r="C3365" t="inlineStr">
        <is>
          <t>SHELVES</t>
        </is>
      </c>
      <c r="D3365" t="inlineStr">
        <is>
          <t>PR6045.O53 Z83</t>
        </is>
      </c>
      <c r="E3365" t="inlineStr">
        <is>
          <t>0                      PR 6045000O  53                 Z  83</t>
        </is>
      </c>
      <c r="F3365" t="inlineStr">
        <is>
          <t>P.G. Wodehouse, a centenary celebration, 1881-1981 / James H. Heineman, Donald R. Bensen, editors.</t>
        </is>
      </c>
      <c r="H3365" t="inlineStr">
        <is>
          <t>No</t>
        </is>
      </c>
      <c r="I3365" t="inlineStr">
        <is>
          <t>1</t>
        </is>
      </c>
      <c r="J3365" t="inlineStr">
        <is>
          <t>No</t>
        </is>
      </c>
      <c r="K3365" t="inlineStr">
        <is>
          <t>No</t>
        </is>
      </c>
      <c r="L3365" t="inlineStr">
        <is>
          <t>0</t>
        </is>
      </c>
      <c r="N3365" t="inlineStr">
        <is>
          <t>New York : Pierpont Morgan Library ; London : Oxford University Press, c1981.</t>
        </is>
      </c>
      <c r="O3365" t="inlineStr">
        <is>
          <t>1981</t>
        </is>
      </c>
      <c r="Q3365" t="inlineStr">
        <is>
          <t>eng</t>
        </is>
      </c>
      <c r="R3365" t="inlineStr">
        <is>
          <t>nyu</t>
        </is>
      </c>
      <c r="T3365" t="inlineStr">
        <is>
          <t xml:space="preserve">PR </t>
        </is>
      </c>
      <c r="U3365" t="n">
        <v>0</v>
      </c>
      <c r="V3365" t="n">
        <v>0</v>
      </c>
      <c r="W3365" t="inlineStr">
        <is>
          <t>2008-07-09</t>
        </is>
      </c>
      <c r="X3365" t="inlineStr">
        <is>
          <t>2008-07-09</t>
        </is>
      </c>
      <c r="Y3365" t="inlineStr">
        <is>
          <t>1992-07-22</t>
        </is>
      </c>
      <c r="Z3365" t="inlineStr">
        <is>
          <t>1992-07-22</t>
        </is>
      </c>
      <c r="AA3365" t="n">
        <v>298</v>
      </c>
      <c r="AB3365" t="n">
        <v>225</v>
      </c>
      <c r="AC3365" t="n">
        <v>225</v>
      </c>
      <c r="AD3365" t="n">
        <v>1</v>
      </c>
      <c r="AE3365" t="n">
        <v>1</v>
      </c>
      <c r="AF3365" t="n">
        <v>8</v>
      </c>
      <c r="AG3365" t="n">
        <v>8</v>
      </c>
      <c r="AH3365" t="n">
        <v>3</v>
      </c>
      <c r="AI3365" t="n">
        <v>3</v>
      </c>
      <c r="AJ3365" t="n">
        <v>4</v>
      </c>
      <c r="AK3365" t="n">
        <v>4</v>
      </c>
      <c r="AL3365" t="n">
        <v>6</v>
      </c>
      <c r="AM3365" t="n">
        <v>6</v>
      </c>
      <c r="AN3365" t="n">
        <v>0</v>
      </c>
      <c r="AO3365" t="n">
        <v>0</v>
      </c>
      <c r="AP3365" t="n">
        <v>0</v>
      </c>
      <c r="AQ3365" t="n">
        <v>0</v>
      </c>
      <c r="AR3365" t="inlineStr">
        <is>
          <t>No</t>
        </is>
      </c>
      <c r="AS3365" t="inlineStr">
        <is>
          <t>No</t>
        </is>
      </c>
      <c r="AU3365">
        <f>HYPERLINK("https://creighton-primo.hosted.exlibrisgroup.com/primo-explore/search?tab=default_tab&amp;search_scope=EVERYTHING&amp;vid=01CRU&amp;lang=en_US&amp;offset=0&amp;query=any,contains,991005207169702656","Catalog Record")</f>
        <v/>
      </c>
      <c r="AV3365">
        <f>HYPERLINK("http://www.worldcat.org/oclc/8129198","WorldCat Record")</f>
        <v/>
      </c>
      <c r="AW3365" t="inlineStr">
        <is>
          <t>3769783671:eng</t>
        </is>
      </c>
      <c r="AX3365" t="inlineStr">
        <is>
          <t>8129198</t>
        </is>
      </c>
      <c r="AY3365" t="inlineStr">
        <is>
          <t>991005207169702656</t>
        </is>
      </c>
      <c r="AZ3365" t="inlineStr">
        <is>
          <t>991005207169702656</t>
        </is>
      </c>
      <c r="BA3365" t="inlineStr">
        <is>
          <t>2258975900002656</t>
        </is>
      </c>
      <c r="BB3365" t="inlineStr">
        <is>
          <t>BOOK</t>
        </is>
      </c>
      <c r="BD3365" t="inlineStr">
        <is>
          <t>9780195203578</t>
        </is>
      </c>
      <c r="BE3365" t="inlineStr">
        <is>
          <t>32285001204238</t>
        </is>
      </c>
      <c r="BF3365" t="inlineStr">
        <is>
          <t>893777029</t>
        </is>
      </c>
    </row>
    <row r="3366">
      <c r="A3366" t="inlineStr">
        <is>
          <t>No</t>
        </is>
      </c>
      <c r="B3366" t="inlineStr">
        <is>
          <t>CURAL</t>
        </is>
      </c>
      <c r="C3366" t="inlineStr">
        <is>
          <t>SHELVES</t>
        </is>
      </c>
      <c r="D3366" t="inlineStr">
        <is>
          <t>PR6045.O53 Z98 2004</t>
        </is>
      </c>
      <c r="E3366" t="inlineStr">
        <is>
          <t>0                      PR 6045000O  53                 Z  98          2004</t>
        </is>
      </c>
      <c r="F3366" t="inlineStr">
        <is>
          <t>Wodehouse : a life / Robert McCrum.</t>
        </is>
      </c>
      <c r="H3366" t="inlineStr">
        <is>
          <t>No</t>
        </is>
      </c>
      <c r="I3366" t="inlineStr">
        <is>
          <t>1</t>
        </is>
      </c>
      <c r="J3366" t="inlineStr">
        <is>
          <t>No</t>
        </is>
      </c>
      <c r="K3366" t="inlineStr">
        <is>
          <t>No</t>
        </is>
      </c>
      <c r="L3366" t="inlineStr">
        <is>
          <t>0</t>
        </is>
      </c>
      <c r="M3366" t="inlineStr">
        <is>
          <t>McCrum, Robert.</t>
        </is>
      </c>
      <c r="N3366" t="inlineStr">
        <is>
          <t>New York : W.W. Norton &amp; Co., 2004.</t>
        </is>
      </c>
      <c r="O3366" t="inlineStr">
        <is>
          <t>2004</t>
        </is>
      </c>
      <c r="P3366" t="inlineStr">
        <is>
          <t>1st American ed.</t>
        </is>
      </c>
      <c r="Q3366" t="inlineStr">
        <is>
          <t>eng</t>
        </is>
      </c>
      <c r="R3366" t="inlineStr">
        <is>
          <t>nyu</t>
        </is>
      </c>
      <c r="T3366" t="inlineStr">
        <is>
          <t xml:space="preserve">PR </t>
        </is>
      </c>
      <c r="U3366" t="n">
        <v>1</v>
      </c>
      <c r="V3366" t="n">
        <v>1</v>
      </c>
      <c r="W3366" t="inlineStr">
        <is>
          <t>2005-01-04</t>
        </is>
      </c>
      <c r="X3366" t="inlineStr">
        <is>
          <t>2005-01-04</t>
        </is>
      </c>
      <c r="Y3366" t="inlineStr">
        <is>
          <t>2005-01-04</t>
        </is>
      </c>
      <c r="Z3366" t="inlineStr">
        <is>
          <t>2005-01-04</t>
        </is>
      </c>
      <c r="AA3366" t="n">
        <v>881</v>
      </c>
      <c r="AB3366" t="n">
        <v>832</v>
      </c>
      <c r="AC3366" t="n">
        <v>894</v>
      </c>
      <c r="AD3366" t="n">
        <v>9</v>
      </c>
      <c r="AE3366" t="n">
        <v>10</v>
      </c>
      <c r="AF3366" t="n">
        <v>21</v>
      </c>
      <c r="AG3366" t="n">
        <v>23</v>
      </c>
      <c r="AH3366" t="n">
        <v>9</v>
      </c>
      <c r="AI3366" t="n">
        <v>9</v>
      </c>
      <c r="AJ3366" t="n">
        <v>6</v>
      </c>
      <c r="AK3366" t="n">
        <v>6</v>
      </c>
      <c r="AL3366" t="n">
        <v>8</v>
      </c>
      <c r="AM3366" t="n">
        <v>9</v>
      </c>
      <c r="AN3366" t="n">
        <v>4</v>
      </c>
      <c r="AO3366" t="n">
        <v>5</v>
      </c>
      <c r="AP3366" t="n">
        <v>0</v>
      </c>
      <c r="AQ3366" t="n">
        <v>0</v>
      </c>
      <c r="AR3366" t="inlineStr">
        <is>
          <t>No</t>
        </is>
      </c>
      <c r="AS3366" t="inlineStr">
        <is>
          <t>No</t>
        </is>
      </c>
      <c r="AU3366">
        <f>HYPERLINK("https://creighton-primo.hosted.exlibrisgroup.com/primo-explore/search?tab=default_tab&amp;search_scope=EVERYTHING&amp;vid=01CRU&amp;lang=en_US&amp;offset=0&amp;query=any,contains,991004422429702656","Catalog Record")</f>
        <v/>
      </c>
      <c r="AV3366">
        <f>HYPERLINK("http://www.worldcat.org/oclc/56192623","WorldCat Record")</f>
        <v/>
      </c>
      <c r="AW3366" t="inlineStr">
        <is>
          <t>896009365:eng</t>
        </is>
      </c>
      <c r="AX3366" t="inlineStr">
        <is>
          <t>56192623</t>
        </is>
      </c>
      <c r="AY3366" t="inlineStr">
        <is>
          <t>991004422429702656</t>
        </is>
      </c>
      <c r="AZ3366" t="inlineStr">
        <is>
          <t>991004422429702656</t>
        </is>
      </c>
      <c r="BA3366" t="inlineStr">
        <is>
          <t>2264684730002656</t>
        </is>
      </c>
      <c r="BB3366" t="inlineStr">
        <is>
          <t>BOOK</t>
        </is>
      </c>
      <c r="BD3366" t="inlineStr">
        <is>
          <t>9780393051599</t>
        </is>
      </c>
      <c r="BE3366" t="inlineStr">
        <is>
          <t>32285005018840</t>
        </is>
      </c>
      <c r="BF3366" t="inlineStr">
        <is>
          <t>893876095</t>
        </is>
      </c>
    </row>
    <row r="3367">
      <c r="A3367" t="inlineStr">
        <is>
          <t>No</t>
        </is>
      </c>
      <c r="B3367" t="inlineStr">
        <is>
          <t>CURAL</t>
        </is>
      </c>
      <c r="C3367" t="inlineStr">
        <is>
          <t>SHELVES</t>
        </is>
      </c>
      <c r="D3367" t="inlineStr">
        <is>
          <t>PR6045.O72 K5 1980</t>
        </is>
      </c>
      <c r="E3367" t="inlineStr">
        <is>
          <t>0                      PR 6045000O  72                 K  5           1980</t>
        </is>
      </c>
      <c r="F3367" t="inlineStr">
        <is>
          <t>A bibliography of Virginia Woolf / by B.J. Kirkpatrick.</t>
        </is>
      </c>
      <c r="H3367" t="inlineStr">
        <is>
          <t>No</t>
        </is>
      </c>
      <c r="I3367" t="inlineStr">
        <is>
          <t>1</t>
        </is>
      </c>
      <c r="J3367" t="inlineStr">
        <is>
          <t>No</t>
        </is>
      </c>
      <c r="K3367" t="inlineStr">
        <is>
          <t>No</t>
        </is>
      </c>
      <c r="L3367" t="inlineStr">
        <is>
          <t>0</t>
        </is>
      </c>
      <c r="M3367" t="inlineStr">
        <is>
          <t>Kirkpatrick, B. J. (Brownlee Jean)</t>
        </is>
      </c>
      <c r="N3367" t="inlineStr">
        <is>
          <t>Oxford : Clarendon Press ; New York : Oxford University Press, 1980.</t>
        </is>
      </c>
      <c r="O3367" t="inlineStr">
        <is>
          <t>1980</t>
        </is>
      </c>
      <c r="P3367" t="inlineStr">
        <is>
          <t>3rd ed.</t>
        </is>
      </c>
      <c r="Q3367" t="inlineStr">
        <is>
          <t>eng</t>
        </is>
      </c>
      <c r="R3367" t="inlineStr">
        <is>
          <t>enk</t>
        </is>
      </c>
      <c r="S3367" t="inlineStr">
        <is>
          <t>Soho bibliographies ; 9</t>
        </is>
      </c>
      <c r="T3367" t="inlineStr">
        <is>
          <t xml:space="preserve">PR </t>
        </is>
      </c>
      <c r="U3367" t="n">
        <v>11</v>
      </c>
      <c r="V3367" t="n">
        <v>11</v>
      </c>
      <c r="W3367" t="inlineStr">
        <is>
          <t>2000-02-13</t>
        </is>
      </c>
      <c r="X3367" t="inlineStr">
        <is>
          <t>2000-02-13</t>
        </is>
      </c>
      <c r="Y3367" t="inlineStr">
        <is>
          <t>1992-07-22</t>
        </is>
      </c>
      <c r="Z3367" t="inlineStr">
        <is>
          <t>1992-07-22</t>
        </is>
      </c>
      <c r="AA3367" t="n">
        <v>468</v>
      </c>
      <c r="AB3367" t="n">
        <v>325</v>
      </c>
      <c r="AC3367" t="n">
        <v>425</v>
      </c>
      <c r="AD3367" t="n">
        <v>4</v>
      </c>
      <c r="AE3367" t="n">
        <v>5</v>
      </c>
      <c r="AF3367" t="n">
        <v>16</v>
      </c>
      <c r="AG3367" t="n">
        <v>22</v>
      </c>
      <c r="AH3367" t="n">
        <v>0</v>
      </c>
      <c r="AI3367" t="n">
        <v>4</v>
      </c>
      <c r="AJ3367" t="n">
        <v>7</v>
      </c>
      <c r="AK3367" t="n">
        <v>7</v>
      </c>
      <c r="AL3367" t="n">
        <v>9</v>
      </c>
      <c r="AM3367" t="n">
        <v>12</v>
      </c>
      <c r="AN3367" t="n">
        <v>3</v>
      </c>
      <c r="AO3367" t="n">
        <v>4</v>
      </c>
      <c r="AP3367" t="n">
        <v>0</v>
      </c>
      <c r="AQ3367" t="n">
        <v>0</v>
      </c>
      <c r="AR3367" t="inlineStr">
        <is>
          <t>No</t>
        </is>
      </c>
      <c r="AS3367" t="inlineStr">
        <is>
          <t>Yes</t>
        </is>
      </c>
      <c r="AT3367">
        <f>HYPERLINK("http://catalog.hathitrust.org/Record/000308022","HathiTrust Record")</f>
        <v/>
      </c>
      <c r="AU3367">
        <f>HYPERLINK("https://creighton-primo.hosted.exlibrisgroup.com/primo-explore/search?tab=default_tab&amp;search_scope=EVERYTHING&amp;vid=01CRU&amp;lang=en_US&amp;offset=0&amp;query=any,contains,991005073789702656","Catalog Record")</f>
        <v/>
      </c>
      <c r="AV3367">
        <f>HYPERLINK("http://www.worldcat.org/oclc/7075096","WorldCat Record")</f>
        <v/>
      </c>
      <c r="AW3367" t="inlineStr">
        <is>
          <t>5090433595:eng</t>
        </is>
      </c>
      <c r="AX3367" t="inlineStr">
        <is>
          <t>7075096</t>
        </is>
      </c>
      <c r="AY3367" t="inlineStr">
        <is>
          <t>991005073789702656</t>
        </is>
      </c>
      <c r="AZ3367" t="inlineStr">
        <is>
          <t>991005073789702656</t>
        </is>
      </c>
      <c r="BA3367" t="inlineStr">
        <is>
          <t>2269878640002656</t>
        </is>
      </c>
      <c r="BB3367" t="inlineStr">
        <is>
          <t>BOOK</t>
        </is>
      </c>
      <c r="BD3367" t="inlineStr">
        <is>
          <t>9780198181859</t>
        </is>
      </c>
      <c r="BE3367" t="inlineStr">
        <is>
          <t>32285001204329</t>
        </is>
      </c>
      <c r="BF3367" t="inlineStr">
        <is>
          <t>893876888</t>
        </is>
      </c>
    </row>
    <row r="3368">
      <c r="A3368" t="inlineStr">
        <is>
          <t>No</t>
        </is>
      </c>
      <c r="B3368" t="inlineStr">
        <is>
          <t>CURAL</t>
        </is>
      </c>
      <c r="C3368" t="inlineStr">
        <is>
          <t>SHELVES</t>
        </is>
      </c>
      <c r="D3368" t="inlineStr">
        <is>
          <t>PR6045.O72 R3</t>
        </is>
      </c>
      <c r="E3368" t="inlineStr">
        <is>
          <t>0                      PR 6045000O  72                 R  3</t>
        </is>
      </c>
      <c r="F3368" t="inlineStr">
        <is>
          <t>Virginia Woolf and Bloomsbury.</t>
        </is>
      </c>
      <c r="H3368" t="inlineStr">
        <is>
          <t>No</t>
        </is>
      </c>
      <c r="I3368" t="inlineStr">
        <is>
          <t>1</t>
        </is>
      </c>
      <c r="J3368" t="inlineStr">
        <is>
          <t>No</t>
        </is>
      </c>
      <c r="K3368" t="inlineStr">
        <is>
          <t>No</t>
        </is>
      </c>
      <c r="L3368" t="inlineStr">
        <is>
          <t>0</t>
        </is>
      </c>
      <c r="M3368" t="inlineStr">
        <is>
          <t>Rantavaara, Irma.</t>
        </is>
      </c>
      <c r="N3368" t="inlineStr">
        <is>
          <t>Helsinki, Suomalaisen Tiedeakatemia, 1953.</t>
        </is>
      </c>
      <c r="O3368" t="inlineStr">
        <is>
          <t>1953</t>
        </is>
      </c>
      <c r="Q3368" t="inlineStr">
        <is>
          <t>eng</t>
        </is>
      </c>
      <c r="R3368" t="inlineStr">
        <is>
          <t xml:space="preserve">fi </t>
        </is>
      </c>
      <c r="S3368" t="inlineStr">
        <is>
          <t>Suomalainen Tiedeakatemia. Toimituksia, Ser.B, t.82, no.1</t>
        </is>
      </c>
      <c r="T3368" t="inlineStr">
        <is>
          <t xml:space="preserve">PR </t>
        </is>
      </c>
      <c r="U3368" t="n">
        <v>2</v>
      </c>
      <c r="V3368" t="n">
        <v>2</v>
      </c>
      <c r="W3368" t="inlineStr">
        <is>
          <t>2002-04-20</t>
        </is>
      </c>
      <c r="X3368" t="inlineStr">
        <is>
          <t>2002-04-20</t>
        </is>
      </c>
      <c r="Y3368" t="inlineStr">
        <is>
          <t>1997-04-23</t>
        </is>
      </c>
      <c r="Z3368" t="inlineStr">
        <is>
          <t>1997-04-23</t>
        </is>
      </c>
      <c r="AA3368" t="n">
        <v>76</v>
      </c>
      <c r="AB3368" t="n">
        <v>48</v>
      </c>
      <c r="AC3368" t="n">
        <v>140</v>
      </c>
      <c r="AD3368" t="n">
        <v>1</v>
      </c>
      <c r="AE3368" t="n">
        <v>2</v>
      </c>
      <c r="AF3368" t="n">
        <v>1</v>
      </c>
      <c r="AG3368" t="n">
        <v>5</v>
      </c>
      <c r="AH3368" t="n">
        <v>1</v>
      </c>
      <c r="AI3368" t="n">
        <v>3</v>
      </c>
      <c r="AJ3368" t="n">
        <v>0</v>
      </c>
      <c r="AK3368" t="n">
        <v>2</v>
      </c>
      <c r="AL3368" t="n">
        <v>1</v>
      </c>
      <c r="AM3368" t="n">
        <v>2</v>
      </c>
      <c r="AN3368" t="n">
        <v>0</v>
      </c>
      <c r="AO3368" t="n">
        <v>1</v>
      </c>
      <c r="AP3368" t="n">
        <v>0</v>
      </c>
      <c r="AQ3368" t="n">
        <v>0</v>
      </c>
      <c r="AR3368" t="inlineStr">
        <is>
          <t>No</t>
        </is>
      </c>
      <c r="AS3368" t="inlineStr">
        <is>
          <t>Yes</t>
        </is>
      </c>
      <c r="AT3368">
        <f>HYPERLINK("http://catalog.hathitrust.org/Record/007113333","HathiTrust Record")</f>
        <v/>
      </c>
      <c r="AU3368">
        <f>HYPERLINK("https://creighton-primo.hosted.exlibrisgroup.com/primo-explore/search?tab=default_tab&amp;search_scope=EVERYTHING&amp;vid=01CRU&amp;lang=en_US&amp;offset=0&amp;query=any,contains,991004704349702656","Catalog Record")</f>
        <v/>
      </c>
      <c r="AV3368">
        <f>HYPERLINK("http://www.worldcat.org/oclc/4697738","WorldCat Record")</f>
        <v/>
      </c>
      <c r="AW3368" t="inlineStr">
        <is>
          <t>14954916:eng</t>
        </is>
      </c>
      <c r="AX3368" t="inlineStr">
        <is>
          <t>4697738</t>
        </is>
      </c>
      <c r="AY3368" t="inlineStr">
        <is>
          <t>991004704349702656</t>
        </is>
      </c>
      <c r="AZ3368" t="inlineStr">
        <is>
          <t>991004704349702656</t>
        </is>
      </c>
      <c r="BA3368" t="inlineStr">
        <is>
          <t>2256795870002656</t>
        </is>
      </c>
      <c r="BB3368" t="inlineStr">
        <is>
          <t>BOOK</t>
        </is>
      </c>
      <c r="BE3368" t="inlineStr">
        <is>
          <t>32285002590361</t>
        </is>
      </c>
      <c r="BF3368" t="inlineStr">
        <is>
          <t>893882831</t>
        </is>
      </c>
    </row>
    <row r="3369">
      <c r="A3369" t="inlineStr">
        <is>
          <t>No</t>
        </is>
      </c>
      <c r="B3369" t="inlineStr">
        <is>
          <t>CURAL</t>
        </is>
      </c>
      <c r="C3369" t="inlineStr">
        <is>
          <t>SHELVES</t>
        </is>
      </c>
      <c r="D3369" t="inlineStr">
        <is>
          <t>PR6045.O72 R5 1984</t>
        </is>
      </c>
      <c r="E3369" t="inlineStr">
        <is>
          <t>0                      PR 6045000O  72                 R  5           1984</t>
        </is>
      </c>
      <c r="F3369" t="inlineStr">
        <is>
          <t>Virginia Woolf : a guide to research / Thomas Jackson Rice.</t>
        </is>
      </c>
      <c r="H3369" t="inlineStr">
        <is>
          <t>No</t>
        </is>
      </c>
      <c r="I3369" t="inlineStr">
        <is>
          <t>1</t>
        </is>
      </c>
      <c r="J3369" t="inlineStr">
        <is>
          <t>No</t>
        </is>
      </c>
      <c r="K3369" t="inlineStr">
        <is>
          <t>No</t>
        </is>
      </c>
      <c r="L3369" t="inlineStr">
        <is>
          <t>0</t>
        </is>
      </c>
      <c r="M3369" t="inlineStr">
        <is>
          <t>Rice, Thomas Jackson.</t>
        </is>
      </c>
      <c r="N3369" t="inlineStr">
        <is>
          <t>New York : Garland Pub., 1984.</t>
        </is>
      </c>
      <c r="O3369" t="inlineStr">
        <is>
          <t>1984</t>
        </is>
      </c>
      <c r="Q3369" t="inlineStr">
        <is>
          <t>eng</t>
        </is>
      </c>
      <c r="R3369" t="inlineStr">
        <is>
          <t>nyu</t>
        </is>
      </c>
      <c r="S3369" t="inlineStr">
        <is>
          <t>Garland reference library of the humanities ; vol. 432</t>
        </is>
      </c>
      <c r="T3369" t="inlineStr">
        <is>
          <t xml:space="preserve">PR </t>
        </is>
      </c>
      <c r="U3369" t="n">
        <v>13</v>
      </c>
      <c r="V3369" t="n">
        <v>13</v>
      </c>
      <c r="W3369" t="inlineStr">
        <is>
          <t>2006-03-21</t>
        </is>
      </c>
      <c r="X3369" t="inlineStr">
        <is>
          <t>2006-03-21</t>
        </is>
      </c>
      <c r="Y3369" t="inlineStr">
        <is>
          <t>1992-07-22</t>
        </is>
      </c>
      <c r="Z3369" t="inlineStr">
        <is>
          <t>1992-07-22</t>
        </is>
      </c>
      <c r="AA3369" t="n">
        <v>472</v>
      </c>
      <c r="AB3369" t="n">
        <v>380</v>
      </c>
      <c r="AC3369" t="n">
        <v>398</v>
      </c>
      <c r="AD3369" t="n">
        <v>4</v>
      </c>
      <c r="AE3369" t="n">
        <v>4</v>
      </c>
      <c r="AF3369" t="n">
        <v>22</v>
      </c>
      <c r="AG3369" t="n">
        <v>22</v>
      </c>
      <c r="AH3369" t="n">
        <v>7</v>
      </c>
      <c r="AI3369" t="n">
        <v>7</v>
      </c>
      <c r="AJ3369" t="n">
        <v>7</v>
      </c>
      <c r="AK3369" t="n">
        <v>7</v>
      </c>
      <c r="AL3369" t="n">
        <v>11</v>
      </c>
      <c r="AM3369" t="n">
        <v>11</v>
      </c>
      <c r="AN3369" t="n">
        <v>3</v>
      </c>
      <c r="AO3369" t="n">
        <v>3</v>
      </c>
      <c r="AP3369" t="n">
        <v>0</v>
      </c>
      <c r="AQ3369" t="n">
        <v>0</v>
      </c>
      <c r="AR3369" t="inlineStr">
        <is>
          <t>No</t>
        </is>
      </c>
      <c r="AS3369" t="inlineStr">
        <is>
          <t>Yes</t>
        </is>
      </c>
      <c r="AT3369">
        <f>HYPERLINK("http://catalog.hathitrust.org/Record/000168131","HathiTrust Record")</f>
        <v/>
      </c>
      <c r="AU3369">
        <f>HYPERLINK("https://creighton-primo.hosted.exlibrisgroup.com/primo-explore/search?tab=default_tab&amp;search_scope=EVERYTHING&amp;vid=01CRU&amp;lang=en_US&amp;offset=0&amp;query=any,contains,991000373629702656","Catalog Record")</f>
        <v/>
      </c>
      <c r="AV3369">
        <f>HYPERLINK("http://www.worldcat.org/oclc/10453266","WorldCat Record")</f>
        <v/>
      </c>
      <c r="AW3369" t="inlineStr">
        <is>
          <t>308747550:eng</t>
        </is>
      </c>
      <c r="AX3369" t="inlineStr">
        <is>
          <t>10453266</t>
        </is>
      </c>
      <c r="AY3369" t="inlineStr">
        <is>
          <t>991000373629702656</t>
        </is>
      </c>
      <c r="AZ3369" t="inlineStr">
        <is>
          <t>991000373629702656</t>
        </is>
      </c>
      <c r="BA3369" t="inlineStr">
        <is>
          <t>2264220530002656</t>
        </is>
      </c>
      <c r="BB3369" t="inlineStr">
        <is>
          <t>BOOK</t>
        </is>
      </c>
      <c r="BD3369" t="inlineStr">
        <is>
          <t>9780824090845</t>
        </is>
      </c>
      <c r="BE3369" t="inlineStr">
        <is>
          <t>32285001204378</t>
        </is>
      </c>
      <c r="BF3369" t="inlineStr">
        <is>
          <t>893589376</t>
        </is>
      </c>
    </row>
    <row r="3370">
      <c r="A3370" t="inlineStr">
        <is>
          <t>No</t>
        </is>
      </c>
      <c r="B3370" t="inlineStr">
        <is>
          <t>CURAL</t>
        </is>
      </c>
      <c r="C3370" t="inlineStr">
        <is>
          <t>SHELVES</t>
        </is>
      </c>
      <c r="D3370" t="inlineStr">
        <is>
          <t>PR6045.O72 S74 1983</t>
        </is>
      </c>
      <c r="E3370" t="inlineStr">
        <is>
          <t>0                      PR 6045000O  72                 S  74          1983</t>
        </is>
      </c>
      <c r="F3370" t="inlineStr">
        <is>
          <t>Virginia Woolf's literary sources and allusions : a guide to the essays / Elizabeth Steele.</t>
        </is>
      </c>
      <c r="H3370" t="inlineStr">
        <is>
          <t>No</t>
        </is>
      </c>
      <c r="I3370" t="inlineStr">
        <is>
          <t>1</t>
        </is>
      </c>
      <c r="J3370" t="inlineStr">
        <is>
          <t>No</t>
        </is>
      </c>
      <c r="K3370" t="inlineStr">
        <is>
          <t>No</t>
        </is>
      </c>
      <c r="L3370" t="inlineStr">
        <is>
          <t>0</t>
        </is>
      </c>
      <c r="M3370" t="inlineStr">
        <is>
          <t>Steele, Elizabeth.</t>
        </is>
      </c>
      <c r="N3370" t="inlineStr">
        <is>
          <t>New York : Garland Pub., 1983.</t>
        </is>
      </c>
      <c r="O3370" t="inlineStr">
        <is>
          <t>1983</t>
        </is>
      </c>
      <c r="Q3370" t="inlineStr">
        <is>
          <t>eng</t>
        </is>
      </c>
      <c r="R3370" t="inlineStr">
        <is>
          <t>nyu</t>
        </is>
      </c>
      <c r="S3370" t="inlineStr">
        <is>
          <t>Garland reference library of the humanities ; v. 397</t>
        </is>
      </c>
      <c r="T3370" t="inlineStr">
        <is>
          <t xml:space="preserve">PR </t>
        </is>
      </c>
      <c r="U3370" t="n">
        <v>7</v>
      </c>
      <c r="V3370" t="n">
        <v>7</v>
      </c>
      <c r="W3370" t="inlineStr">
        <is>
          <t>2006-03-21</t>
        </is>
      </c>
      <c r="X3370" t="inlineStr">
        <is>
          <t>2006-03-21</t>
        </is>
      </c>
      <c r="Y3370" t="inlineStr">
        <is>
          <t>1992-07-22</t>
        </is>
      </c>
      <c r="Z3370" t="inlineStr">
        <is>
          <t>1992-07-22</t>
        </is>
      </c>
      <c r="AA3370" t="n">
        <v>364</v>
      </c>
      <c r="AB3370" t="n">
        <v>283</v>
      </c>
      <c r="AC3370" t="n">
        <v>290</v>
      </c>
      <c r="AD3370" t="n">
        <v>4</v>
      </c>
      <c r="AE3370" t="n">
        <v>4</v>
      </c>
      <c r="AF3370" t="n">
        <v>15</v>
      </c>
      <c r="AG3370" t="n">
        <v>15</v>
      </c>
      <c r="AH3370" t="n">
        <v>2</v>
      </c>
      <c r="AI3370" t="n">
        <v>2</v>
      </c>
      <c r="AJ3370" t="n">
        <v>6</v>
      </c>
      <c r="AK3370" t="n">
        <v>6</v>
      </c>
      <c r="AL3370" t="n">
        <v>9</v>
      </c>
      <c r="AM3370" t="n">
        <v>9</v>
      </c>
      <c r="AN3370" t="n">
        <v>3</v>
      </c>
      <c r="AO3370" t="n">
        <v>3</v>
      </c>
      <c r="AP3370" t="n">
        <v>0</v>
      </c>
      <c r="AQ3370" t="n">
        <v>0</v>
      </c>
      <c r="AR3370" t="inlineStr">
        <is>
          <t>No</t>
        </is>
      </c>
      <c r="AS3370" t="inlineStr">
        <is>
          <t>Yes</t>
        </is>
      </c>
      <c r="AT3370">
        <f>HYPERLINK("http://catalog.hathitrust.org/Record/000157015","HathiTrust Record")</f>
        <v/>
      </c>
      <c r="AU3370">
        <f>HYPERLINK("https://creighton-primo.hosted.exlibrisgroup.com/primo-explore/search?tab=default_tab&amp;search_scope=EVERYTHING&amp;vid=01CRU&amp;lang=en_US&amp;offset=0&amp;query=any,contains,991000239449702656","Catalog Record")</f>
        <v/>
      </c>
      <c r="AV3370">
        <f>HYPERLINK("http://www.worldcat.org/oclc/9682795","WorldCat Record")</f>
        <v/>
      </c>
      <c r="AW3370" t="inlineStr">
        <is>
          <t>836623282:eng</t>
        </is>
      </c>
      <c r="AX3370" t="inlineStr">
        <is>
          <t>9682795</t>
        </is>
      </c>
      <c r="AY3370" t="inlineStr">
        <is>
          <t>991000239449702656</t>
        </is>
      </c>
      <c r="AZ3370" t="inlineStr">
        <is>
          <t>991000239449702656</t>
        </is>
      </c>
      <c r="BA3370" t="inlineStr">
        <is>
          <t>2264102590002656</t>
        </is>
      </c>
      <c r="BB3370" t="inlineStr">
        <is>
          <t>BOOK</t>
        </is>
      </c>
      <c r="BD3370" t="inlineStr">
        <is>
          <t>9780824091699</t>
        </is>
      </c>
      <c r="BE3370" t="inlineStr">
        <is>
          <t>32285001204386</t>
        </is>
      </c>
      <c r="BF3370" t="inlineStr">
        <is>
          <t>893339410</t>
        </is>
      </c>
    </row>
    <row r="3371">
      <c r="A3371" t="inlineStr">
        <is>
          <t>No</t>
        </is>
      </c>
      <c r="B3371" t="inlineStr">
        <is>
          <t>CURAL</t>
        </is>
      </c>
      <c r="C3371" t="inlineStr">
        <is>
          <t>SHELVES</t>
        </is>
      </c>
      <c r="D3371" t="inlineStr">
        <is>
          <t>PR6045.O72 S743 1987</t>
        </is>
      </c>
      <c r="E3371" t="inlineStr">
        <is>
          <t>0                      PR 6045000O  72                 S  743         1987</t>
        </is>
      </c>
      <c r="F3371" t="inlineStr">
        <is>
          <t>Virginia Woolf's rediscovered essays : sources and allusions / Elizabeth Steele.</t>
        </is>
      </c>
      <c r="H3371" t="inlineStr">
        <is>
          <t>No</t>
        </is>
      </c>
      <c r="I3371" t="inlineStr">
        <is>
          <t>1</t>
        </is>
      </c>
      <c r="J3371" t="inlineStr">
        <is>
          <t>No</t>
        </is>
      </c>
      <c r="K3371" t="inlineStr">
        <is>
          <t>No</t>
        </is>
      </c>
      <c r="L3371" t="inlineStr">
        <is>
          <t>0</t>
        </is>
      </c>
      <c r="M3371" t="inlineStr">
        <is>
          <t>Steele, Elizabeth.</t>
        </is>
      </c>
      <c r="N3371" t="inlineStr">
        <is>
          <t>New York : Garland Pub., 1987.</t>
        </is>
      </c>
      <c r="O3371" t="inlineStr">
        <is>
          <t>1987</t>
        </is>
      </c>
      <c r="Q3371" t="inlineStr">
        <is>
          <t>eng</t>
        </is>
      </c>
      <c r="R3371" t="inlineStr">
        <is>
          <t>nyu</t>
        </is>
      </c>
      <c r="S3371" t="inlineStr">
        <is>
          <t>Garland reference library of the humanities ; vol. 686</t>
        </is>
      </c>
      <c r="T3371" t="inlineStr">
        <is>
          <t xml:space="preserve">PR </t>
        </is>
      </c>
      <c r="U3371" t="n">
        <v>3</v>
      </c>
      <c r="V3371" t="n">
        <v>3</v>
      </c>
      <c r="W3371" t="inlineStr">
        <is>
          <t>2002-04-18</t>
        </is>
      </c>
      <c r="X3371" t="inlineStr">
        <is>
          <t>2002-04-18</t>
        </is>
      </c>
      <c r="Y3371" t="inlineStr">
        <is>
          <t>1992-07-22</t>
        </is>
      </c>
      <c r="Z3371" t="inlineStr">
        <is>
          <t>1992-07-22</t>
        </is>
      </c>
      <c r="AA3371" t="n">
        <v>278</v>
      </c>
      <c r="AB3371" t="n">
        <v>214</v>
      </c>
      <c r="AC3371" t="n">
        <v>214</v>
      </c>
      <c r="AD3371" t="n">
        <v>4</v>
      </c>
      <c r="AE3371" t="n">
        <v>4</v>
      </c>
      <c r="AF3371" t="n">
        <v>10</v>
      </c>
      <c r="AG3371" t="n">
        <v>10</v>
      </c>
      <c r="AH3371" t="n">
        <v>1</v>
      </c>
      <c r="AI3371" t="n">
        <v>1</v>
      </c>
      <c r="AJ3371" t="n">
        <v>3</v>
      </c>
      <c r="AK3371" t="n">
        <v>3</v>
      </c>
      <c r="AL3371" t="n">
        <v>5</v>
      </c>
      <c r="AM3371" t="n">
        <v>5</v>
      </c>
      <c r="AN3371" t="n">
        <v>3</v>
      </c>
      <c r="AO3371" t="n">
        <v>3</v>
      </c>
      <c r="AP3371" t="n">
        <v>0</v>
      </c>
      <c r="AQ3371" t="n">
        <v>0</v>
      </c>
      <c r="AR3371" t="inlineStr">
        <is>
          <t>No</t>
        </is>
      </c>
      <c r="AS3371" t="inlineStr">
        <is>
          <t>No</t>
        </is>
      </c>
      <c r="AU3371">
        <f>HYPERLINK("https://creighton-primo.hosted.exlibrisgroup.com/primo-explore/search?tab=default_tab&amp;search_scope=EVERYTHING&amp;vid=01CRU&amp;lang=en_US&amp;offset=0&amp;query=any,contains,991000936279702656","Catalog Record")</f>
        <v/>
      </c>
      <c r="AV3371">
        <f>HYPERLINK("http://www.worldcat.org/oclc/14359793","WorldCat Record")</f>
        <v/>
      </c>
      <c r="AW3371" t="inlineStr">
        <is>
          <t>373164168:eng</t>
        </is>
      </c>
      <c r="AX3371" t="inlineStr">
        <is>
          <t>14359793</t>
        </is>
      </c>
      <c r="AY3371" t="inlineStr">
        <is>
          <t>991000936279702656</t>
        </is>
      </c>
      <c r="AZ3371" t="inlineStr">
        <is>
          <t>991000936279702656</t>
        </is>
      </c>
      <c r="BA3371" t="inlineStr">
        <is>
          <t>2259126780002656</t>
        </is>
      </c>
      <c r="BB3371" t="inlineStr">
        <is>
          <t>BOOK</t>
        </is>
      </c>
      <c r="BD3371" t="inlineStr">
        <is>
          <t>9780824085278</t>
        </is>
      </c>
      <c r="BE3371" t="inlineStr">
        <is>
          <t>32285001204394</t>
        </is>
      </c>
      <c r="BF3371" t="inlineStr">
        <is>
          <t>893696306</t>
        </is>
      </c>
    </row>
    <row r="3372">
      <c r="A3372" t="inlineStr">
        <is>
          <t>No</t>
        </is>
      </c>
      <c r="B3372" t="inlineStr">
        <is>
          <t>CURAL</t>
        </is>
      </c>
      <c r="C3372" t="inlineStr">
        <is>
          <t>SHELVES</t>
        </is>
      </c>
      <c r="D3372" t="inlineStr">
        <is>
          <t>PR6045.O72 T687</t>
        </is>
      </c>
      <c r="E3372" t="inlineStr">
        <is>
          <t>0                      PR 6045000O  72                 T  687</t>
        </is>
      </c>
      <c r="F3372" t="inlineStr">
        <is>
          <t>Twentieth century interpretations of To the lighthouse; a collection of critical essays. Edited by Thomas A. Vogler.</t>
        </is>
      </c>
      <c r="H3372" t="inlineStr">
        <is>
          <t>No</t>
        </is>
      </c>
      <c r="I3372" t="inlineStr">
        <is>
          <t>1</t>
        </is>
      </c>
      <c r="J3372" t="inlineStr">
        <is>
          <t>No</t>
        </is>
      </c>
      <c r="K3372" t="inlineStr">
        <is>
          <t>No</t>
        </is>
      </c>
      <c r="L3372" t="inlineStr">
        <is>
          <t>0</t>
        </is>
      </c>
      <c r="M3372" t="inlineStr">
        <is>
          <t>Vogler, Thomas A., compiler.</t>
        </is>
      </c>
      <c r="N3372" t="inlineStr">
        <is>
          <t>Englewood Cliffs, N.J., Prentice-Hall [1970]</t>
        </is>
      </c>
      <c r="O3372" t="inlineStr">
        <is>
          <t>1970</t>
        </is>
      </c>
      <c r="Q3372" t="inlineStr">
        <is>
          <t>eng</t>
        </is>
      </c>
      <c r="R3372" t="inlineStr">
        <is>
          <t>nju</t>
        </is>
      </c>
      <c r="S3372" t="inlineStr">
        <is>
          <t>A Spectrum book.</t>
        </is>
      </c>
      <c r="T3372" t="inlineStr">
        <is>
          <t xml:space="preserve">PR </t>
        </is>
      </c>
      <c r="U3372" t="n">
        <v>1</v>
      </c>
      <c r="V3372" t="n">
        <v>1</v>
      </c>
      <c r="W3372" t="inlineStr">
        <is>
          <t>2006-03-03</t>
        </is>
      </c>
      <c r="X3372" t="inlineStr">
        <is>
          <t>2006-03-03</t>
        </is>
      </c>
      <c r="Y3372" t="inlineStr">
        <is>
          <t>1997-11-05</t>
        </is>
      </c>
      <c r="Z3372" t="inlineStr">
        <is>
          <t>1997-11-05</t>
        </is>
      </c>
      <c r="AA3372" t="n">
        <v>1453</v>
      </c>
      <c r="AB3372" t="n">
        <v>1309</v>
      </c>
      <c r="AC3372" t="n">
        <v>1316</v>
      </c>
      <c r="AD3372" t="n">
        <v>12</v>
      </c>
      <c r="AE3372" t="n">
        <v>12</v>
      </c>
      <c r="AF3372" t="n">
        <v>51</v>
      </c>
      <c r="AG3372" t="n">
        <v>51</v>
      </c>
      <c r="AH3372" t="n">
        <v>22</v>
      </c>
      <c r="AI3372" t="n">
        <v>22</v>
      </c>
      <c r="AJ3372" t="n">
        <v>10</v>
      </c>
      <c r="AK3372" t="n">
        <v>10</v>
      </c>
      <c r="AL3372" t="n">
        <v>20</v>
      </c>
      <c r="AM3372" t="n">
        <v>20</v>
      </c>
      <c r="AN3372" t="n">
        <v>10</v>
      </c>
      <c r="AO3372" t="n">
        <v>10</v>
      </c>
      <c r="AP3372" t="n">
        <v>0</v>
      </c>
      <c r="AQ3372" t="n">
        <v>0</v>
      </c>
      <c r="AR3372" t="inlineStr">
        <is>
          <t>No</t>
        </is>
      </c>
      <c r="AS3372" t="inlineStr">
        <is>
          <t>Yes</t>
        </is>
      </c>
      <c r="AT3372">
        <f>HYPERLINK("http://catalog.hathitrust.org/Record/001025989","HathiTrust Record")</f>
        <v/>
      </c>
      <c r="AU3372">
        <f>HYPERLINK("https://creighton-primo.hosted.exlibrisgroup.com/primo-explore/search?tab=default_tab&amp;search_scope=EVERYTHING&amp;vid=01CRU&amp;lang=en_US&amp;offset=0&amp;query=any,contains,991000601489702656","Catalog Record")</f>
        <v/>
      </c>
      <c r="AV3372">
        <f>HYPERLINK("http://www.worldcat.org/oclc/98385","WorldCat Record")</f>
        <v/>
      </c>
      <c r="AW3372" t="inlineStr">
        <is>
          <t>807243117:eng</t>
        </is>
      </c>
      <c r="AX3372" t="inlineStr">
        <is>
          <t>98385</t>
        </is>
      </c>
      <c r="AY3372" t="inlineStr">
        <is>
          <t>991000601489702656</t>
        </is>
      </c>
      <c r="AZ3372" t="inlineStr">
        <is>
          <t>991000601489702656</t>
        </is>
      </c>
      <c r="BA3372" t="inlineStr">
        <is>
          <t>2272123430002656</t>
        </is>
      </c>
      <c r="BB3372" t="inlineStr">
        <is>
          <t>BOOK</t>
        </is>
      </c>
      <c r="BD3372" t="inlineStr">
        <is>
          <t>9780139232275</t>
        </is>
      </c>
      <c r="BE3372" t="inlineStr">
        <is>
          <t>32285003276481</t>
        </is>
      </c>
      <c r="BF3372" t="inlineStr">
        <is>
          <t>893884560</t>
        </is>
      </c>
    </row>
    <row r="3373">
      <c r="A3373" t="inlineStr">
        <is>
          <t>No</t>
        </is>
      </c>
      <c r="B3373" t="inlineStr">
        <is>
          <t>CURAL</t>
        </is>
      </c>
      <c r="C3373" t="inlineStr">
        <is>
          <t>SHELVES</t>
        </is>
      </c>
      <c r="D3373" t="inlineStr">
        <is>
          <t>PR6045.O72 Y3437 1981</t>
        </is>
      </c>
      <c r="E3373" t="inlineStr">
        <is>
          <t>0                      PR 6045000O  72                 Y  3437        1981</t>
        </is>
      </c>
      <c r="F3373" t="inlineStr">
        <is>
          <t>Virginia Woolf's The years : the evolution of a novel / Grace Radin.</t>
        </is>
      </c>
      <c r="H3373" t="inlineStr">
        <is>
          <t>No</t>
        </is>
      </c>
      <c r="I3373" t="inlineStr">
        <is>
          <t>1</t>
        </is>
      </c>
      <c r="J3373" t="inlineStr">
        <is>
          <t>No</t>
        </is>
      </c>
      <c r="K3373" t="inlineStr">
        <is>
          <t>No</t>
        </is>
      </c>
      <c r="L3373" t="inlineStr">
        <is>
          <t>0</t>
        </is>
      </c>
      <c r="M3373" t="inlineStr">
        <is>
          <t>Radin, Grace, 1934-</t>
        </is>
      </c>
      <c r="N3373" t="inlineStr">
        <is>
          <t>Knoxville : University of Tennessee Press, c1981.</t>
        </is>
      </c>
      <c r="O3373" t="inlineStr">
        <is>
          <t>1981</t>
        </is>
      </c>
      <c r="P3373" t="inlineStr">
        <is>
          <t>1st ed.</t>
        </is>
      </c>
      <c r="Q3373" t="inlineStr">
        <is>
          <t>eng</t>
        </is>
      </c>
      <c r="R3373" t="inlineStr">
        <is>
          <t>tnu</t>
        </is>
      </c>
      <c r="T3373" t="inlineStr">
        <is>
          <t xml:space="preserve">PR </t>
        </is>
      </c>
      <c r="U3373" t="n">
        <v>2</v>
      </c>
      <c r="V3373" t="n">
        <v>2</v>
      </c>
      <c r="W3373" t="inlineStr">
        <is>
          <t>2009-11-18</t>
        </is>
      </c>
      <c r="X3373" t="inlineStr">
        <is>
          <t>2009-11-18</t>
        </is>
      </c>
      <c r="Y3373" t="inlineStr">
        <is>
          <t>1992-07-22</t>
        </is>
      </c>
      <c r="Z3373" t="inlineStr">
        <is>
          <t>1992-07-22</t>
        </is>
      </c>
      <c r="AA3373" t="n">
        <v>506</v>
      </c>
      <c r="AB3373" t="n">
        <v>442</v>
      </c>
      <c r="AC3373" t="n">
        <v>448</v>
      </c>
      <c r="AD3373" t="n">
        <v>5</v>
      </c>
      <c r="AE3373" t="n">
        <v>5</v>
      </c>
      <c r="AF3373" t="n">
        <v>21</v>
      </c>
      <c r="AG3373" t="n">
        <v>21</v>
      </c>
      <c r="AH3373" t="n">
        <v>6</v>
      </c>
      <c r="AI3373" t="n">
        <v>6</v>
      </c>
      <c r="AJ3373" t="n">
        <v>6</v>
      </c>
      <c r="AK3373" t="n">
        <v>6</v>
      </c>
      <c r="AL3373" t="n">
        <v>9</v>
      </c>
      <c r="AM3373" t="n">
        <v>9</v>
      </c>
      <c r="AN3373" t="n">
        <v>4</v>
      </c>
      <c r="AO3373" t="n">
        <v>4</v>
      </c>
      <c r="AP3373" t="n">
        <v>0</v>
      </c>
      <c r="AQ3373" t="n">
        <v>0</v>
      </c>
      <c r="AR3373" t="inlineStr">
        <is>
          <t>No</t>
        </is>
      </c>
      <c r="AS3373" t="inlineStr">
        <is>
          <t>No</t>
        </is>
      </c>
      <c r="AU3373">
        <f>HYPERLINK("https://creighton-primo.hosted.exlibrisgroup.com/primo-explore/search?tab=default_tab&amp;search_scope=EVERYTHING&amp;vid=01CRU&amp;lang=en_US&amp;offset=0&amp;query=any,contains,991005036559702656","Catalog Record")</f>
        <v/>
      </c>
      <c r="AV3373">
        <f>HYPERLINK("http://www.worldcat.org/oclc/6762140","WorldCat Record")</f>
        <v/>
      </c>
      <c r="AW3373" t="inlineStr">
        <is>
          <t>362430848:eng</t>
        </is>
      </c>
      <c r="AX3373" t="inlineStr">
        <is>
          <t>6762140</t>
        </is>
      </c>
      <c r="AY3373" t="inlineStr">
        <is>
          <t>991005036559702656</t>
        </is>
      </c>
      <c r="AZ3373" t="inlineStr">
        <is>
          <t>991005036559702656</t>
        </is>
      </c>
      <c r="BA3373" t="inlineStr">
        <is>
          <t>2262903960002656</t>
        </is>
      </c>
      <c r="BB3373" t="inlineStr">
        <is>
          <t>BOOK</t>
        </is>
      </c>
      <c r="BD3373" t="inlineStr">
        <is>
          <t>9780870493072</t>
        </is>
      </c>
      <c r="BE3373" t="inlineStr">
        <is>
          <t>32285001204436</t>
        </is>
      </c>
      <c r="BF3373" t="inlineStr">
        <is>
          <t>893344550</t>
        </is>
      </c>
    </row>
    <row r="3374">
      <c r="A3374" t="inlineStr">
        <is>
          <t>No</t>
        </is>
      </c>
      <c r="B3374" t="inlineStr">
        <is>
          <t>CURAL</t>
        </is>
      </c>
      <c r="C3374" t="inlineStr">
        <is>
          <t>SHELVES</t>
        </is>
      </c>
      <c r="D3374" t="inlineStr">
        <is>
          <t>PR6045.O72 Z459 1976</t>
        </is>
      </c>
      <c r="E3374" t="inlineStr">
        <is>
          <t>0                      PR 6045000O  72                 Z  459         1976</t>
        </is>
      </c>
      <c r="F3374" t="inlineStr">
        <is>
          <t>Virginia Woolf : an annotated bibliography of criticism, 1915-1974 / Robin Majumdar.</t>
        </is>
      </c>
      <c r="H3374" t="inlineStr">
        <is>
          <t>No</t>
        </is>
      </c>
      <c r="I3374" t="inlineStr">
        <is>
          <t>1</t>
        </is>
      </c>
      <c r="J3374" t="inlineStr">
        <is>
          <t>No</t>
        </is>
      </c>
      <c r="K3374" t="inlineStr">
        <is>
          <t>No</t>
        </is>
      </c>
      <c r="L3374" t="inlineStr">
        <is>
          <t>0</t>
        </is>
      </c>
      <c r="M3374" t="inlineStr">
        <is>
          <t>Majumdar, Robin.</t>
        </is>
      </c>
      <c r="N3374" t="inlineStr">
        <is>
          <t>New York : Garland Pub., 1976.</t>
        </is>
      </c>
      <c r="O3374" t="inlineStr">
        <is>
          <t>1976</t>
        </is>
      </c>
      <c r="Q3374" t="inlineStr">
        <is>
          <t>eng</t>
        </is>
      </c>
      <c r="R3374" t="inlineStr">
        <is>
          <t>nyu</t>
        </is>
      </c>
      <c r="S3374" t="inlineStr">
        <is>
          <t>Garland reference library of the humanities ; v. 42</t>
        </is>
      </c>
      <c r="T3374" t="inlineStr">
        <is>
          <t xml:space="preserve">PR </t>
        </is>
      </c>
      <c r="U3374" t="n">
        <v>12</v>
      </c>
      <c r="V3374" t="n">
        <v>12</v>
      </c>
      <c r="W3374" t="inlineStr">
        <is>
          <t>2003-09-25</t>
        </is>
      </c>
      <c r="X3374" t="inlineStr">
        <is>
          <t>2003-09-25</t>
        </is>
      </c>
      <c r="Y3374" t="inlineStr">
        <is>
          <t>1992-07-22</t>
        </is>
      </c>
      <c r="Z3374" t="inlineStr">
        <is>
          <t>1992-07-22</t>
        </is>
      </c>
      <c r="AA3374" t="n">
        <v>537</v>
      </c>
      <c r="AB3374" t="n">
        <v>408</v>
      </c>
      <c r="AC3374" t="n">
        <v>416</v>
      </c>
      <c r="AD3374" t="n">
        <v>4</v>
      </c>
      <c r="AE3374" t="n">
        <v>4</v>
      </c>
      <c r="AF3374" t="n">
        <v>24</v>
      </c>
      <c r="AG3374" t="n">
        <v>24</v>
      </c>
      <c r="AH3374" t="n">
        <v>8</v>
      </c>
      <c r="AI3374" t="n">
        <v>8</v>
      </c>
      <c r="AJ3374" t="n">
        <v>8</v>
      </c>
      <c r="AK3374" t="n">
        <v>8</v>
      </c>
      <c r="AL3374" t="n">
        <v>14</v>
      </c>
      <c r="AM3374" t="n">
        <v>14</v>
      </c>
      <c r="AN3374" t="n">
        <v>3</v>
      </c>
      <c r="AO3374" t="n">
        <v>3</v>
      </c>
      <c r="AP3374" t="n">
        <v>0</v>
      </c>
      <c r="AQ3374" t="n">
        <v>0</v>
      </c>
      <c r="AR3374" t="inlineStr">
        <is>
          <t>No</t>
        </is>
      </c>
      <c r="AS3374" t="inlineStr">
        <is>
          <t>Yes</t>
        </is>
      </c>
      <c r="AT3374">
        <f>HYPERLINK("http://catalog.hathitrust.org/Record/000737603","HathiTrust Record")</f>
        <v/>
      </c>
      <c r="AU3374">
        <f>HYPERLINK("https://creighton-primo.hosted.exlibrisgroup.com/primo-explore/search?tab=default_tab&amp;search_scope=EVERYTHING&amp;vid=01CRU&amp;lang=en_US&amp;offset=0&amp;query=any,contains,991004081959702656","Catalog Record")</f>
        <v/>
      </c>
      <c r="AV3374">
        <f>HYPERLINK("http://www.worldcat.org/oclc/2330861","WorldCat Record")</f>
        <v/>
      </c>
      <c r="AW3374" t="inlineStr">
        <is>
          <t>180098786:eng</t>
        </is>
      </c>
      <c r="AX3374" t="inlineStr">
        <is>
          <t>2330861</t>
        </is>
      </c>
      <c r="AY3374" t="inlineStr">
        <is>
          <t>991004081959702656</t>
        </is>
      </c>
      <c r="AZ3374" t="inlineStr">
        <is>
          <t>991004081959702656</t>
        </is>
      </c>
      <c r="BA3374" t="inlineStr">
        <is>
          <t>2263721420002656</t>
        </is>
      </c>
      <c r="BB3374" t="inlineStr">
        <is>
          <t>BOOK</t>
        </is>
      </c>
      <c r="BD3374" t="inlineStr">
        <is>
          <t>9780824099619</t>
        </is>
      </c>
      <c r="BE3374" t="inlineStr">
        <is>
          <t>32285001204444</t>
        </is>
      </c>
      <c r="BF3374" t="inlineStr">
        <is>
          <t>893599413</t>
        </is>
      </c>
    </row>
    <row r="3375">
      <c r="A3375" t="inlineStr">
        <is>
          <t>No</t>
        </is>
      </c>
      <c r="B3375" t="inlineStr">
        <is>
          <t>CURAL</t>
        </is>
      </c>
      <c r="C3375" t="inlineStr">
        <is>
          <t>SHELVES</t>
        </is>
      </c>
      <c r="D3375" t="inlineStr">
        <is>
          <t>PR6045.O72 Z536</t>
        </is>
      </c>
      <c r="E3375" t="inlineStr">
        <is>
          <t>0                      PR 6045000O  72                 Z  536</t>
        </is>
      </c>
      <c r="F3375" t="inlineStr">
        <is>
          <t>The venture of form in the novels of Virginia Woolf.</t>
        </is>
      </c>
      <c r="H3375" t="inlineStr">
        <is>
          <t>No</t>
        </is>
      </c>
      <c r="I3375" t="inlineStr">
        <is>
          <t>1</t>
        </is>
      </c>
      <c r="J3375" t="inlineStr">
        <is>
          <t>No</t>
        </is>
      </c>
      <c r="K3375" t="inlineStr">
        <is>
          <t>No</t>
        </is>
      </c>
      <c r="L3375" t="inlineStr">
        <is>
          <t>0</t>
        </is>
      </c>
      <c r="M3375" t="inlineStr">
        <is>
          <t>Alexander, Jean, 1926-</t>
        </is>
      </c>
      <c r="N3375" t="inlineStr">
        <is>
          <t>Port Washington, N.Y., Kennikat Press, 1974.</t>
        </is>
      </c>
      <c r="O3375" t="inlineStr">
        <is>
          <t>1974</t>
        </is>
      </c>
      <c r="Q3375" t="inlineStr">
        <is>
          <t>eng</t>
        </is>
      </c>
      <c r="R3375" t="inlineStr">
        <is>
          <t>nyu</t>
        </is>
      </c>
      <c r="S3375" t="inlineStr">
        <is>
          <t>National university publications. Series in literary criticism</t>
        </is>
      </c>
      <c r="T3375" t="inlineStr">
        <is>
          <t xml:space="preserve">PR </t>
        </is>
      </c>
      <c r="U3375" t="n">
        <v>5</v>
      </c>
      <c r="V3375" t="n">
        <v>5</v>
      </c>
      <c r="W3375" t="inlineStr">
        <is>
          <t>2004-03-19</t>
        </is>
      </c>
      <c r="X3375" t="inlineStr">
        <is>
          <t>2004-03-19</t>
        </is>
      </c>
      <c r="Y3375" t="inlineStr">
        <is>
          <t>1997-04-23</t>
        </is>
      </c>
      <c r="Z3375" t="inlineStr">
        <is>
          <t>1997-04-23</t>
        </is>
      </c>
      <c r="AA3375" t="n">
        <v>729</v>
      </c>
      <c r="AB3375" t="n">
        <v>623</v>
      </c>
      <c r="AC3375" t="n">
        <v>630</v>
      </c>
      <c r="AD3375" t="n">
        <v>5</v>
      </c>
      <c r="AE3375" t="n">
        <v>5</v>
      </c>
      <c r="AF3375" t="n">
        <v>37</v>
      </c>
      <c r="AG3375" t="n">
        <v>37</v>
      </c>
      <c r="AH3375" t="n">
        <v>16</v>
      </c>
      <c r="AI3375" t="n">
        <v>16</v>
      </c>
      <c r="AJ3375" t="n">
        <v>9</v>
      </c>
      <c r="AK3375" t="n">
        <v>9</v>
      </c>
      <c r="AL3375" t="n">
        <v>16</v>
      </c>
      <c r="AM3375" t="n">
        <v>16</v>
      </c>
      <c r="AN3375" t="n">
        <v>4</v>
      </c>
      <c r="AO3375" t="n">
        <v>4</v>
      </c>
      <c r="AP3375" t="n">
        <v>0</v>
      </c>
      <c r="AQ3375" t="n">
        <v>0</v>
      </c>
      <c r="AR3375" t="inlineStr">
        <is>
          <t>No</t>
        </is>
      </c>
      <c r="AS3375" t="inlineStr">
        <is>
          <t>No</t>
        </is>
      </c>
      <c r="AU3375">
        <f>HYPERLINK("https://creighton-primo.hosted.exlibrisgroup.com/primo-explore/search?tab=default_tab&amp;search_scope=EVERYTHING&amp;vid=01CRU&amp;lang=en_US&amp;offset=0&amp;query=any,contains,991003482409702656","Catalog Record")</f>
        <v/>
      </c>
      <c r="AV3375">
        <f>HYPERLINK("http://www.worldcat.org/oclc/1030085","WorldCat Record")</f>
        <v/>
      </c>
      <c r="AW3375" t="inlineStr">
        <is>
          <t>118254381:eng</t>
        </is>
      </c>
      <c r="AX3375" t="inlineStr">
        <is>
          <t>1030085</t>
        </is>
      </c>
      <c r="AY3375" t="inlineStr">
        <is>
          <t>991003482409702656</t>
        </is>
      </c>
      <c r="AZ3375" t="inlineStr">
        <is>
          <t>991003482409702656</t>
        </is>
      </c>
      <c r="BA3375" t="inlineStr">
        <is>
          <t>2269286770002656</t>
        </is>
      </c>
      <c r="BB3375" t="inlineStr">
        <is>
          <t>BOOK</t>
        </is>
      </c>
      <c r="BD3375" t="inlineStr">
        <is>
          <t>9780804690522</t>
        </is>
      </c>
      <c r="BE3375" t="inlineStr">
        <is>
          <t>32285002590411</t>
        </is>
      </c>
      <c r="BF3375" t="inlineStr">
        <is>
          <t>893805815</t>
        </is>
      </c>
    </row>
    <row r="3376">
      <c r="A3376" t="inlineStr">
        <is>
          <t>No</t>
        </is>
      </c>
      <c r="B3376" t="inlineStr">
        <is>
          <t>CURAL</t>
        </is>
      </c>
      <c r="C3376" t="inlineStr">
        <is>
          <t>SHELVES</t>
        </is>
      </c>
      <c r="D3376" t="inlineStr">
        <is>
          <t>PR6045.O72 Z539 1979</t>
        </is>
      </c>
      <c r="E3376" t="inlineStr">
        <is>
          <t>0                      PR 6045000O  72                 Z  539         1979</t>
        </is>
      </c>
      <c r="F3376" t="inlineStr">
        <is>
          <t>Virginia Woolf, a study of her novels / T. E. Apter.</t>
        </is>
      </c>
      <c r="H3376" t="inlineStr">
        <is>
          <t>No</t>
        </is>
      </c>
      <c r="I3376" t="inlineStr">
        <is>
          <t>1</t>
        </is>
      </c>
      <c r="J3376" t="inlineStr">
        <is>
          <t>No</t>
        </is>
      </c>
      <c r="K3376" t="inlineStr">
        <is>
          <t>No</t>
        </is>
      </c>
      <c r="L3376" t="inlineStr">
        <is>
          <t>0</t>
        </is>
      </c>
      <c r="M3376" t="inlineStr">
        <is>
          <t>Apter, T. E.</t>
        </is>
      </c>
      <c r="N3376" t="inlineStr">
        <is>
          <t>New York : New York University Press, 1979.</t>
        </is>
      </c>
      <c r="O3376" t="inlineStr">
        <is>
          <t>1979</t>
        </is>
      </c>
      <c r="Q3376" t="inlineStr">
        <is>
          <t>eng</t>
        </is>
      </c>
      <c r="R3376" t="inlineStr">
        <is>
          <t>nyu</t>
        </is>
      </c>
      <c r="S3376" t="inlineStr">
        <is>
          <t>Gotham library of the New York University Press</t>
        </is>
      </c>
      <c r="T3376" t="inlineStr">
        <is>
          <t xml:space="preserve">PR </t>
        </is>
      </c>
      <c r="U3376" t="n">
        <v>9</v>
      </c>
      <c r="V3376" t="n">
        <v>9</v>
      </c>
      <c r="W3376" t="inlineStr">
        <is>
          <t>2003-10-05</t>
        </is>
      </c>
      <c r="X3376" t="inlineStr">
        <is>
          <t>2003-10-05</t>
        </is>
      </c>
      <c r="Y3376" t="inlineStr">
        <is>
          <t>1992-07-23</t>
        </is>
      </c>
      <c r="Z3376" t="inlineStr">
        <is>
          <t>1992-07-23</t>
        </is>
      </c>
      <c r="AA3376" t="n">
        <v>587</v>
      </c>
      <c r="AB3376" t="n">
        <v>540</v>
      </c>
      <c r="AC3376" t="n">
        <v>596</v>
      </c>
      <c r="AD3376" t="n">
        <v>5</v>
      </c>
      <c r="AE3376" t="n">
        <v>5</v>
      </c>
      <c r="AF3376" t="n">
        <v>28</v>
      </c>
      <c r="AG3376" t="n">
        <v>28</v>
      </c>
      <c r="AH3376" t="n">
        <v>11</v>
      </c>
      <c r="AI3376" t="n">
        <v>11</v>
      </c>
      <c r="AJ3376" t="n">
        <v>7</v>
      </c>
      <c r="AK3376" t="n">
        <v>7</v>
      </c>
      <c r="AL3376" t="n">
        <v>13</v>
      </c>
      <c r="AM3376" t="n">
        <v>13</v>
      </c>
      <c r="AN3376" t="n">
        <v>4</v>
      </c>
      <c r="AO3376" t="n">
        <v>4</v>
      </c>
      <c r="AP3376" t="n">
        <v>0</v>
      </c>
      <c r="AQ3376" t="n">
        <v>0</v>
      </c>
      <c r="AR3376" t="inlineStr">
        <is>
          <t>No</t>
        </is>
      </c>
      <c r="AS3376" t="inlineStr">
        <is>
          <t>No</t>
        </is>
      </c>
      <c r="AU3376">
        <f>HYPERLINK("https://creighton-primo.hosted.exlibrisgroup.com/primo-explore/search?tab=default_tab&amp;search_scope=EVERYTHING&amp;vid=01CRU&amp;lang=en_US&amp;offset=0&amp;query=any,contains,991004869469702656","Catalog Record")</f>
        <v/>
      </c>
      <c r="AV3376">
        <f>HYPERLINK("http://www.worldcat.org/oclc/5750602","WorldCat Record")</f>
        <v/>
      </c>
      <c r="AW3376" t="inlineStr">
        <is>
          <t>4915152924:eng</t>
        </is>
      </c>
      <c r="AX3376" t="inlineStr">
        <is>
          <t>5750602</t>
        </is>
      </c>
      <c r="AY3376" t="inlineStr">
        <is>
          <t>991004869469702656</t>
        </is>
      </c>
      <c r="AZ3376" t="inlineStr">
        <is>
          <t>991004869469702656</t>
        </is>
      </c>
      <c r="BA3376" t="inlineStr">
        <is>
          <t>2270782380002656</t>
        </is>
      </c>
      <c r="BB3376" t="inlineStr">
        <is>
          <t>BOOK</t>
        </is>
      </c>
      <c r="BD3376" t="inlineStr">
        <is>
          <t>9780814705698</t>
        </is>
      </c>
      <c r="BE3376" t="inlineStr">
        <is>
          <t>32285001204568</t>
        </is>
      </c>
      <c r="BF3376" t="inlineStr">
        <is>
          <t>893700771</t>
        </is>
      </c>
    </row>
    <row r="3377">
      <c r="A3377" t="inlineStr">
        <is>
          <t>No</t>
        </is>
      </c>
      <c r="B3377" t="inlineStr">
        <is>
          <t>CURAL</t>
        </is>
      </c>
      <c r="C3377" t="inlineStr">
        <is>
          <t>SHELVES</t>
        </is>
      </c>
      <c r="D3377" t="inlineStr">
        <is>
          <t>PR6045.O72 Z543</t>
        </is>
      </c>
      <c r="E3377" t="inlineStr">
        <is>
          <t>0                      PR 6045000O  72                 Z  543</t>
        </is>
      </c>
      <c r="F3377" t="inlineStr">
        <is>
          <t>Virginia Woolf and the androgynous vision.</t>
        </is>
      </c>
      <c r="H3377" t="inlineStr">
        <is>
          <t>No</t>
        </is>
      </c>
      <c r="I3377" t="inlineStr">
        <is>
          <t>1</t>
        </is>
      </c>
      <c r="J3377" t="inlineStr">
        <is>
          <t>No</t>
        </is>
      </c>
      <c r="K3377" t="inlineStr">
        <is>
          <t>No</t>
        </is>
      </c>
      <c r="L3377" t="inlineStr">
        <is>
          <t>0</t>
        </is>
      </c>
      <c r="M3377" t="inlineStr">
        <is>
          <t>Bazin, Nancy Topping, 1934-</t>
        </is>
      </c>
      <c r="N3377" t="inlineStr">
        <is>
          <t>New Brunswick, N.J., Rutgers University Press [1973]</t>
        </is>
      </c>
      <c r="O3377" t="inlineStr">
        <is>
          <t>1973</t>
        </is>
      </c>
      <c r="Q3377" t="inlineStr">
        <is>
          <t>eng</t>
        </is>
      </c>
      <c r="R3377" t="inlineStr">
        <is>
          <t>nju</t>
        </is>
      </c>
      <c r="T3377" t="inlineStr">
        <is>
          <t xml:space="preserve">PR </t>
        </is>
      </c>
      <c r="U3377" t="n">
        <v>5</v>
      </c>
      <c r="V3377" t="n">
        <v>5</v>
      </c>
      <c r="W3377" t="inlineStr">
        <is>
          <t>2005-11-07</t>
        </is>
      </c>
      <c r="X3377" t="inlineStr">
        <is>
          <t>2005-11-07</t>
        </is>
      </c>
      <c r="Y3377" t="inlineStr">
        <is>
          <t>1998-02-16</t>
        </is>
      </c>
      <c r="Z3377" t="inlineStr">
        <is>
          <t>1998-02-16</t>
        </is>
      </c>
      <c r="AA3377" t="n">
        <v>884</v>
      </c>
      <c r="AB3377" t="n">
        <v>756</v>
      </c>
      <c r="AC3377" t="n">
        <v>757</v>
      </c>
      <c r="AD3377" t="n">
        <v>7</v>
      </c>
      <c r="AE3377" t="n">
        <v>7</v>
      </c>
      <c r="AF3377" t="n">
        <v>37</v>
      </c>
      <c r="AG3377" t="n">
        <v>37</v>
      </c>
      <c r="AH3377" t="n">
        <v>15</v>
      </c>
      <c r="AI3377" t="n">
        <v>15</v>
      </c>
      <c r="AJ3377" t="n">
        <v>9</v>
      </c>
      <c r="AK3377" t="n">
        <v>9</v>
      </c>
      <c r="AL3377" t="n">
        <v>19</v>
      </c>
      <c r="AM3377" t="n">
        <v>19</v>
      </c>
      <c r="AN3377" t="n">
        <v>6</v>
      </c>
      <c r="AO3377" t="n">
        <v>6</v>
      </c>
      <c r="AP3377" t="n">
        <v>0</v>
      </c>
      <c r="AQ3377" t="n">
        <v>0</v>
      </c>
      <c r="AR3377" t="inlineStr">
        <is>
          <t>No</t>
        </is>
      </c>
      <c r="AS3377" t="inlineStr">
        <is>
          <t>No</t>
        </is>
      </c>
      <c r="AU3377">
        <f>HYPERLINK("https://creighton-primo.hosted.exlibrisgroup.com/primo-explore/search?tab=default_tab&amp;search_scope=EVERYTHING&amp;vid=01CRU&amp;lang=en_US&amp;offset=0&amp;query=any,contains,991002896229702656","Catalog Record")</f>
        <v/>
      </c>
      <c r="AV3377">
        <f>HYPERLINK("http://www.worldcat.org/oclc/514492","WorldCat Record")</f>
        <v/>
      </c>
      <c r="AW3377" t="inlineStr">
        <is>
          <t>1487028:eng</t>
        </is>
      </c>
      <c r="AX3377" t="inlineStr">
        <is>
          <t>514492</t>
        </is>
      </c>
      <c r="AY3377" t="inlineStr">
        <is>
          <t>991002896229702656</t>
        </is>
      </c>
      <c r="AZ3377" t="inlineStr">
        <is>
          <t>991002896229702656</t>
        </is>
      </c>
      <c r="BA3377" t="inlineStr">
        <is>
          <t>2261959160002656</t>
        </is>
      </c>
      <c r="BB3377" t="inlineStr">
        <is>
          <t>BOOK</t>
        </is>
      </c>
      <c r="BD3377" t="inlineStr">
        <is>
          <t>9780813507354</t>
        </is>
      </c>
      <c r="BE3377" t="inlineStr">
        <is>
          <t>32285003261004</t>
        </is>
      </c>
      <c r="BF3377" t="inlineStr">
        <is>
          <t>893233573</t>
        </is>
      </c>
    </row>
    <row r="3378">
      <c r="A3378" t="inlineStr">
        <is>
          <t>No</t>
        </is>
      </c>
      <c r="B3378" t="inlineStr">
        <is>
          <t>CURAL</t>
        </is>
      </c>
      <c r="C3378" t="inlineStr">
        <is>
          <t>SHELVES</t>
        </is>
      </c>
      <c r="D3378" t="inlineStr">
        <is>
          <t>PR6045.O72 Z55 1945</t>
        </is>
      </c>
      <c r="E3378" t="inlineStr">
        <is>
          <t>0                      PR 6045000O  72                 Z  55          1945</t>
        </is>
      </c>
      <c r="F3378" t="inlineStr">
        <is>
          <t>Virginia Woolf : her art as a novelist / by Joan Bennett.</t>
        </is>
      </c>
      <c r="H3378" t="inlineStr">
        <is>
          <t>No</t>
        </is>
      </c>
      <c r="I3378" t="inlineStr">
        <is>
          <t>1</t>
        </is>
      </c>
      <c r="J3378" t="inlineStr">
        <is>
          <t>No</t>
        </is>
      </c>
      <c r="K3378" t="inlineStr">
        <is>
          <t>Yes</t>
        </is>
      </c>
      <c r="L3378" t="inlineStr">
        <is>
          <t>0</t>
        </is>
      </c>
      <c r="M3378" t="inlineStr">
        <is>
          <t>Bennett, Joan.</t>
        </is>
      </c>
      <c r="N3378" t="inlineStr">
        <is>
          <t>Cambridge [Eng.] : University Press, [1945]</t>
        </is>
      </c>
      <c r="O3378" t="inlineStr">
        <is>
          <t>1945</t>
        </is>
      </c>
      <c r="Q3378" t="inlineStr">
        <is>
          <t>eng</t>
        </is>
      </c>
      <c r="R3378" t="inlineStr">
        <is>
          <t>enk</t>
        </is>
      </c>
      <c r="T3378" t="inlineStr">
        <is>
          <t xml:space="preserve">PR </t>
        </is>
      </c>
      <c r="U3378" t="n">
        <v>4</v>
      </c>
      <c r="V3378" t="n">
        <v>4</v>
      </c>
      <c r="W3378" t="inlineStr">
        <is>
          <t>2002-05-05</t>
        </is>
      </c>
      <c r="X3378" t="inlineStr">
        <is>
          <t>2002-05-05</t>
        </is>
      </c>
      <c r="Y3378" t="inlineStr">
        <is>
          <t>1997-04-23</t>
        </is>
      </c>
      <c r="Z3378" t="inlineStr">
        <is>
          <t>1997-04-23</t>
        </is>
      </c>
      <c r="AA3378" t="n">
        <v>270</v>
      </c>
      <c r="AB3378" t="n">
        <v>191</v>
      </c>
      <c r="AC3378" t="n">
        <v>1278</v>
      </c>
      <c r="AD3378" t="n">
        <v>2</v>
      </c>
      <c r="AE3378" t="n">
        <v>11</v>
      </c>
      <c r="AF3378" t="n">
        <v>7</v>
      </c>
      <c r="AG3378" t="n">
        <v>59</v>
      </c>
      <c r="AH3378" t="n">
        <v>3</v>
      </c>
      <c r="AI3378" t="n">
        <v>27</v>
      </c>
      <c r="AJ3378" t="n">
        <v>1</v>
      </c>
      <c r="AK3378" t="n">
        <v>10</v>
      </c>
      <c r="AL3378" t="n">
        <v>3</v>
      </c>
      <c r="AM3378" t="n">
        <v>25</v>
      </c>
      <c r="AN3378" t="n">
        <v>1</v>
      </c>
      <c r="AO3378" t="n">
        <v>10</v>
      </c>
      <c r="AP3378" t="n">
        <v>0</v>
      </c>
      <c r="AQ3378" t="n">
        <v>0</v>
      </c>
      <c r="AR3378" t="inlineStr">
        <is>
          <t>No</t>
        </is>
      </c>
      <c r="AS3378" t="inlineStr">
        <is>
          <t>Yes</t>
        </is>
      </c>
      <c r="AT3378">
        <f>HYPERLINK("http://catalog.hathitrust.org/Record/001025995","HathiTrust Record")</f>
        <v/>
      </c>
      <c r="AU3378">
        <f>HYPERLINK("https://creighton-primo.hosted.exlibrisgroup.com/primo-explore/search?tab=default_tab&amp;search_scope=EVERYTHING&amp;vid=01CRU&amp;lang=en_US&amp;offset=0&amp;query=any,contains,991003864469702656","Catalog Record")</f>
        <v/>
      </c>
      <c r="AV3378">
        <f>HYPERLINK("http://www.worldcat.org/oclc/1674915","WorldCat Record")</f>
        <v/>
      </c>
      <c r="AW3378" t="inlineStr">
        <is>
          <t>250328:eng</t>
        </is>
      </c>
      <c r="AX3378" t="inlineStr">
        <is>
          <t>1674915</t>
        </is>
      </c>
      <c r="AY3378" t="inlineStr">
        <is>
          <t>991003864469702656</t>
        </is>
      </c>
      <c r="AZ3378" t="inlineStr">
        <is>
          <t>991003864469702656</t>
        </is>
      </c>
      <c r="BA3378" t="inlineStr">
        <is>
          <t>2267871010002656</t>
        </is>
      </c>
      <c r="BB3378" t="inlineStr">
        <is>
          <t>BOOK</t>
        </is>
      </c>
      <c r="BE3378" t="inlineStr">
        <is>
          <t>32285002590429</t>
        </is>
      </c>
      <c r="BF3378" t="inlineStr">
        <is>
          <t>893499802</t>
        </is>
      </c>
    </row>
    <row r="3379">
      <c r="A3379" t="inlineStr">
        <is>
          <t>No</t>
        </is>
      </c>
      <c r="B3379" t="inlineStr">
        <is>
          <t>CURAL</t>
        </is>
      </c>
      <c r="C3379" t="inlineStr">
        <is>
          <t>SHELVES</t>
        </is>
      </c>
      <c r="D3379" t="inlineStr">
        <is>
          <t>PR6045.O72 Z55 1964</t>
        </is>
      </c>
      <c r="E3379" t="inlineStr">
        <is>
          <t>0                      PR 6045000O  72                 Z  55          1964</t>
        </is>
      </c>
      <c r="F3379" t="inlineStr">
        <is>
          <t>Virginia Woolf: her art as a novelist, by Joan Bennett.</t>
        </is>
      </c>
      <c r="H3379" t="inlineStr">
        <is>
          <t>No</t>
        </is>
      </c>
      <c r="I3379" t="inlineStr">
        <is>
          <t>1</t>
        </is>
      </c>
      <c r="J3379" t="inlineStr">
        <is>
          <t>No</t>
        </is>
      </c>
      <c r="K3379" t="inlineStr">
        <is>
          <t>Yes</t>
        </is>
      </c>
      <c r="L3379" t="inlineStr">
        <is>
          <t>0</t>
        </is>
      </c>
      <c r="M3379" t="inlineStr">
        <is>
          <t>Bennett, Joan.</t>
        </is>
      </c>
      <c r="N3379" t="inlineStr">
        <is>
          <t>Cambridge [Eng.] University Press, 1964.</t>
        </is>
      </c>
      <c r="O3379" t="inlineStr">
        <is>
          <t>1964</t>
        </is>
      </c>
      <c r="P3379" t="inlineStr">
        <is>
          <t>2d ed.</t>
        </is>
      </c>
      <c r="Q3379" t="inlineStr">
        <is>
          <t>eng</t>
        </is>
      </c>
      <c r="R3379" t="inlineStr">
        <is>
          <t>enk</t>
        </is>
      </c>
      <c r="T3379" t="inlineStr">
        <is>
          <t xml:space="preserve">PR </t>
        </is>
      </c>
      <c r="U3379" t="n">
        <v>4</v>
      </c>
      <c r="V3379" t="n">
        <v>4</v>
      </c>
      <c r="W3379" t="inlineStr">
        <is>
          <t>2000-04-16</t>
        </is>
      </c>
      <c r="X3379" t="inlineStr">
        <is>
          <t>2000-04-16</t>
        </is>
      </c>
      <c r="Y3379" t="inlineStr">
        <is>
          <t>1997-04-23</t>
        </is>
      </c>
      <c r="Z3379" t="inlineStr">
        <is>
          <t>1997-04-23</t>
        </is>
      </c>
      <c r="AA3379" t="n">
        <v>882</v>
      </c>
      <c r="AB3379" t="n">
        <v>714</v>
      </c>
      <c r="AC3379" t="n">
        <v>1278</v>
      </c>
      <c r="AD3379" t="n">
        <v>5</v>
      </c>
      <c r="AE3379" t="n">
        <v>11</v>
      </c>
      <c r="AF3379" t="n">
        <v>30</v>
      </c>
      <c r="AG3379" t="n">
        <v>59</v>
      </c>
      <c r="AH3379" t="n">
        <v>13</v>
      </c>
      <c r="AI3379" t="n">
        <v>27</v>
      </c>
      <c r="AJ3379" t="n">
        <v>6</v>
      </c>
      <c r="AK3379" t="n">
        <v>10</v>
      </c>
      <c r="AL3379" t="n">
        <v>14</v>
      </c>
      <c r="AM3379" t="n">
        <v>25</v>
      </c>
      <c r="AN3379" t="n">
        <v>4</v>
      </c>
      <c r="AO3379" t="n">
        <v>10</v>
      </c>
      <c r="AP3379" t="n">
        <v>0</v>
      </c>
      <c r="AQ3379" t="n">
        <v>0</v>
      </c>
      <c r="AR3379" t="inlineStr">
        <is>
          <t>No</t>
        </is>
      </c>
      <c r="AS3379" t="inlineStr">
        <is>
          <t>No</t>
        </is>
      </c>
      <c r="AU3379">
        <f>HYPERLINK("https://creighton-primo.hosted.exlibrisgroup.com/primo-explore/search?tab=default_tab&amp;search_scope=EVERYTHING&amp;vid=01CRU&amp;lang=en_US&amp;offset=0&amp;query=any,contains,991002546549702656","Catalog Record")</f>
        <v/>
      </c>
      <c r="AV3379">
        <f>HYPERLINK("http://www.worldcat.org/oclc/369107","WorldCat Record")</f>
        <v/>
      </c>
      <c r="AW3379" t="inlineStr">
        <is>
          <t>250328:eng</t>
        </is>
      </c>
      <c r="AX3379" t="inlineStr">
        <is>
          <t>369107</t>
        </is>
      </c>
      <c r="AY3379" t="inlineStr">
        <is>
          <t>991002546549702656</t>
        </is>
      </c>
      <c r="AZ3379" t="inlineStr">
        <is>
          <t>991002546549702656</t>
        </is>
      </c>
      <c r="BA3379" t="inlineStr">
        <is>
          <t>2265185120002656</t>
        </is>
      </c>
      <c r="BB3379" t="inlineStr">
        <is>
          <t>BOOK</t>
        </is>
      </c>
      <c r="BE3379" t="inlineStr">
        <is>
          <t>32285002590437</t>
        </is>
      </c>
      <c r="BF3379" t="inlineStr">
        <is>
          <t>893591473</t>
        </is>
      </c>
    </row>
    <row r="3380">
      <c r="A3380" t="inlineStr">
        <is>
          <t>No</t>
        </is>
      </c>
      <c r="B3380" t="inlineStr">
        <is>
          <t>CURAL</t>
        </is>
      </c>
      <c r="C3380" t="inlineStr">
        <is>
          <t>SHELVES</t>
        </is>
      </c>
      <c r="D3380" t="inlineStr">
        <is>
          <t>PR6045.O72 Z555 1991</t>
        </is>
      </c>
      <c r="E3380" t="inlineStr">
        <is>
          <t>0                      PR 6045000O  72                 Z  555         1991</t>
        </is>
      </c>
      <c r="F3380" t="inlineStr">
        <is>
          <t>Virginia Woolf / Edward Bishop.</t>
        </is>
      </c>
      <c r="H3380" t="inlineStr">
        <is>
          <t>No</t>
        </is>
      </c>
      <c r="I3380" t="inlineStr">
        <is>
          <t>1</t>
        </is>
      </c>
      <c r="J3380" t="inlineStr">
        <is>
          <t>No</t>
        </is>
      </c>
      <c r="K3380" t="inlineStr">
        <is>
          <t>No</t>
        </is>
      </c>
      <c r="L3380" t="inlineStr">
        <is>
          <t>0</t>
        </is>
      </c>
      <c r="M3380" t="inlineStr">
        <is>
          <t>Bishop, Edward.</t>
        </is>
      </c>
      <c r="N3380" t="inlineStr">
        <is>
          <t>New York : St. Martin's Press, 1991.</t>
        </is>
      </c>
      <c r="O3380" t="inlineStr">
        <is>
          <t>1991</t>
        </is>
      </c>
      <c r="Q3380" t="inlineStr">
        <is>
          <t>eng</t>
        </is>
      </c>
      <c r="R3380" t="inlineStr">
        <is>
          <t>nyu</t>
        </is>
      </c>
      <c r="S3380" t="inlineStr">
        <is>
          <t>Modern novelists</t>
        </is>
      </c>
      <c r="T3380" t="inlineStr">
        <is>
          <t xml:space="preserve">PR </t>
        </is>
      </c>
      <c r="U3380" t="n">
        <v>8</v>
      </c>
      <c r="V3380" t="n">
        <v>8</v>
      </c>
      <c r="W3380" t="inlineStr">
        <is>
          <t>2006-03-25</t>
        </is>
      </c>
      <c r="X3380" t="inlineStr">
        <is>
          <t>2006-03-25</t>
        </is>
      </c>
      <c r="Y3380" t="inlineStr">
        <is>
          <t>1997-05-05</t>
        </is>
      </c>
      <c r="Z3380" t="inlineStr">
        <is>
          <t>1997-05-05</t>
        </is>
      </c>
      <c r="AA3380" t="n">
        <v>327</v>
      </c>
      <c r="AB3380" t="n">
        <v>292</v>
      </c>
      <c r="AC3380" t="n">
        <v>322</v>
      </c>
      <c r="AD3380" t="n">
        <v>3</v>
      </c>
      <c r="AE3380" t="n">
        <v>3</v>
      </c>
      <c r="AF3380" t="n">
        <v>16</v>
      </c>
      <c r="AG3380" t="n">
        <v>16</v>
      </c>
      <c r="AH3380" t="n">
        <v>6</v>
      </c>
      <c r="AI3380" t="n">
        <v>6</v>
      </c>
      <c r="AJ3380" t="n">
        <v>5</v>
      </c>
      <c r="AK3380" t="n">
        <v>5</v>
      </c>
      <c r="AL3380" t="n">
        <v>10</v>
      </c>
      <c r="AM3380" t="n">
        <v>10</v>
      </c>
      <c r="AN3380" t="n">
        <v>1</v>
      </c>
      <c r="AO3380" t="n">
        <v>1</v>
      </c>
      <c r="AP3380" t="n">
        <v>0</v>
      </c>
      <c r="AQ3380" t="n">
        <v>0</v>
      </c>
      <c r="AR3380" t="inlineStr">
        <is>
          <t>No</t>
        </is>
      </c>
      <c r="AS3380" t="inlineStr">
        <is>
          <t>No</t>
        </is>
      </c>
      <c r="AU3380">
        <f>HYPERLINK("https://creighton-primo.hosted.exlibrisgroup.com/primo-explore/search?tab=default_tab&amp;search_scope=EVERYTHING&amp;vid=01CRU&amp;lang=en_US&amp;offset=0&amp;query=any,contains,991001735319702656","Catalog Record")</f>
        <v/>
      </c>
      <c r="AV3380">
        <f>HYPERLINK("http://www.worldcat.org/oclc/21970955","WorldCat Record")</f>
        <v/>
      </c>
      <c r="AW3380" t="inlineStr">
        <is>
          <t>5218219448:eng</t>
        </is>
      </c>
      <c r="AX3380" t="inlineStr">
        <is>
          <t>21970955</t>
        </is>
      </c>
      <c r="AY3380" t="inlineStr">
        <is>
          <t>991001735319702656</t>
        </is>
      </c>
      <c r="AZ3380" t="inlineStr">
        <is>
          <t>991001735319702656</t>
        </is>
      </c>
      <c r="BA3380" t="inlineStr">
        <is>
          <t>2265396850002656</t>
        </is>
      </c>
      <c r="BB3380" t="inlineStr">
        <is>
          <t>BOOK</t>
        </is>
      </c>
      <c r="BD3380" t="inlineStr">
        <is>
          <t>9780312040901</t>
        </is>
      </c>
      <c r="BE3380" t="inlineStr">
        <is>
          <t>32285002544087</t>
        </is>
      </c>
      <c r="BF3380" t="inlineStr">
        <is>
          <t>893703277</t>
        </is>
      </c>
    </row>
    <row r="3381">
      <c r="A3381" t="inlineStr">
        <is>
          <t>No</t>
        </is>
      </c>
      <c r="B3381" t="inlineStr">
        <is>
          <t>CURAL</t>
        </is>
      </c>
      <c r="C3381" t="inlineStr">
        <is>
          <t>SHELVES</t>
        </is>
      </c>
      <c r="D3381" t="inlineStr">
        <is>
          <t>PR6045.O72 Z556 1989</t>
        </is>
      </c>
      <c r="E3381" t="inlineStr">
        <is>
          <t>0                      PR 6045000O  72                 Z  556         1989</t>
        </is>
      </c>
      <c r="F3381" t="inlineStr">
        <is>
          <t>A Virginia Woolf chronology / Edward Bishop.</t>
        </is>
      </c>
      <c r="H3381" t="inlineStr">
        <is>
          <t>No</t>
        </is>
      </c>
      <c r="I3381" t="inlineStr">
        <is>
          <t>1</t>
        </is>
      </c>
      <c r="J3381" t="inlineStr">
        <is>
          <t>No</t>
        </is>
      </c>
      <c r="K3381" t="inlineStr">
        <is>
          <t>No</t>
        </is>
      </c>
      <c r="L3381" t="inlineStr">
        <is>
          <t>0</t>
        </is>
      </c>
      <c r="M3381" t="inlineStr">
        <is>
          <t>Bishop, Edward.</t>
        </is>
      </c>
      <c r="N3381" t="inlineStr">
        <is>
          <t>Boston : G.K. Hall ; New York : Macmillan Press, 1988, c1989.</t>
        </is>
      </c>
      <c r="O3381" t="inlineStr">
        <is>
          <t>1989</t>
        </is>
      </c>
      <c r="Q3381" t="inlineStr">
        <is>
          <t>eng</t>
        </is>
      </c>
      <c r="R3381" t="inlineStr">
        <is>
          <t>mau</t>
        </is>
      </c>
      <c r="S3381" t="inlineStr">
        <is>
          <t>Macmillan author chronologies</t>
        </is>
      </c>
      <c r="T3381" t="inlineStr">
        <is>
          <t xml:space="preserve">PR </t>
        </is>
      </c>
      <c r="U3381" t="n">
        <v>11</v>
      </c>
      <c r="V3381" t="n">
        <v>11</v>
      </c>
      <c r="W3381" t="inlineStr">
        <is>
          <t>1995-11-05</t>
        </is>
      </c>
      <c r="X3381" t="inlineStr">
        <is>
          <t>1995-11-05</t>
        </is>
      </c>
      <c r="Y3381" t="inlineStr">
        <is>
          <t>1992-07-23</t>
        </is>
      </c>
      <c r="Z3381" t="inlineStr">
        <is>
          <t>1992-07-23</t>
        </is>
      </c>
      <c r="AA3381" t="n">
        <v>211</v>
      </c>
      <c r="AB3381" t="n">
        <v>181</v>
      </c>
      <c r="AC3381" t="n">
        <v>230</v>
      </c>
      <c r="AD3381" t="n">
        <v>4</v>
      </c>
      <c r="AE3381" t="n">
        <v>5</v>
      </c>
      <c r="AF3381" t="n">
        <v>9</v>
      </c>
      <c r="AG3381" t="n">
        <v>12</v>
      </c>
      <c r="AH3381" t="n">
        <v>2</v>
      </c>
      <c r="AI3381" t="n">
        <v>3</v>
      </c>
      <c r="AJ3381" t="n">
        <v>1</v>
      </c>
      <c r="AK3381" t="n">
        <v>2</v>
      </c>
      <c r="AL3381" t="n">
        <v>5</v>
      </c>
      <c r="AM3381" t="n">
        <v>7</v>
      </c>
      <c r="AN3381" t="n">
        <v>3</v>
      </c>
      <c r="AO3381" t="n">
        <v>4</v>
      </c>
      <c r="AP3381" t="n">
        <v>0</v>
      </c>
      <c r="AQ3381" t="n">
        <v>0</v>
      </c>
      <c r="AR3381" t="inlineStr">
        <is>
          <t>No</t>
        </is>
      </c>
      <c r="AS3381" t="inlineStr">
        <is>
          <t>No</t>
        </is>
      </c>
      <c r="AU3381">
        <f>HYPERLINK("https://creighton-primo.hosted.exlibrisgroup.com/primo-explore/search?tab=default_tab&amp;search_scope=EVERYTHING&amp;vid=01CRU&amp;lang=en_US&amp;offset=0&amp;query=any,contains,991001230459702656","Catalog Record")</f>
        <v/>
      </c>
      <c r="AV3381">
        <f>HYPERLINK("http://www.worldcat.org/oclc/17546446","WorldCat Record")</f>
        <v/>
      </c>
      <c r="AW3381" t="inlineStr">
        <is>
          <t>2564891332:eng</t>
        </is>
      </c>
      <c r="AX3381" t="inlineStr">
        <is>
          <t>17546446</t>
        </is>
      </c>
      <c r="AY3381" t="inlineStr">
        <is>
          <t>991001230459702656</t>
        </is>
      </c>
      <c r="AZ3381" t="inlineStr">
        <is>
          <t>991001230459702656</t>
        </is>
      </c>
      <c r="BA3381" t="inlineStr">
        <is>
          <t>2267827220002656</t>
        </is>
      </c>
      <c r="BB3381" t="inlineStr">
        <is>
          <t>BOOK</t>
        </is>
      </c>
      <c r="BD3381" t="inlineStr">
        <is>
          <t>9780816189823</t>
        </is>
      </c>
      <c r="BE3381" t="inlineStr">
        <is>
          <t>32285001204584</t>
        </is>
      </c>
      <c r="BF3381" t="inlineStr">
        <is>
          <t>893516008</t>
        </is>
      </c>
    </row>
    <row r="3382">
      <c r="A3382" t="inlineStr">
        <is>
          <t>No</t>
        </is>
      </c>
      <c r="B3382" t="inlineStr">
        <is>
          <t>CURAL</t>
        </is>
      </c>
      <c r="C3382" t="inlineStr">
        <is>
          <t>SHELVES</t>
        </is>
      </c>
      <c r="D3382" t="inlineStr">
        <is>
          <t>PR6045.O72 Z559 1956</t>
        </is>
      </c>
      <c r="E3382" t="inlineStr">
        <is>
          <t>0                      PR 6045000O  72                 Z  559         1956</t>
        </is>
      </c>
      <c r="F3382" t="inlineStr">
        <is>
          <t>Virginia Woolf / by Bernard Blackstone.</t>
        </is>
      </c>
      <c r="H3382" t="inlineStr">
        <is>
          <t>No</t>
        </is>
      </c>
      <c r="I3382" t="inlineStr">
        <is>
          <t>1</t>
        </is>
      </c>
      <c r="J3382" t="inlineStr">
        <is>
          <t>No</t>
        </is>
      </c>
      <c r="K3382" t="inlineStr">
        <is>
          <t>Yes</t>
        </is>
      </c>
      <c r="L3382" t="inlineStr">
        <is>
          <t>0</t>
        </is>
      </c>
      <c r="M3382" t="inlineStr">
        <is>
          <t>Blackstone, Bernard, 1911-</t>
        </is>
      </c>
      <c r="N3382" t="inlineStr">
        <is>
          <t>London ; New York : Published for the British Council and the National Book League by Longmans, Green, 1956.</t>
        </is>
      </c>
      <c r="O3382" t="inlineStr">
        <is>
          <t>1956</t>
        </is>
      </c>
      <c r="P3382" t="inlineStr">
        <is>
          <t>Rev. ed.</t>
        </is>
      </c>
      <c r="Q3382" t="inlineStr">
        <is>
          <t>eng</t>
        </is>
      </c>
      <c r="R3382" t="inlineStr">
        <is>
          <t>enk</t>
        </is>
      </c>
      <c r="S3382" t="inlineStr">
        <is>
          <t>Bibliographical series of supplements to British book news on writers and their work ; no. 33</t>
        </is>
      </c>
      <c r="T3382" t="inlineStr">
        <is>
          <t xml:space="preserve">PR </t>
        </is>
      </c>
      <c r="U3382" t="n">
        <v>6</v>
      </c>
      <c r="V3382" t="n">
        <v>6</v>
      </c>
      <c r="W3382" t="inlineStr">
        <is>
          <t>2002-03-21</t>
        </is>
      </c>
      <c r="X3382" t="inlineStr">
        <is>
          <t>2002-03-21</t>
        </is>
      </c>
      <c r="Y3382" t="inlineStr">
        <is>
          <t>1997-04-23</t>
        </is>
      </c>
      <c r="Z3382" t="inlineStr">
        <is>
          <t>1997-04-23</t>
        </is>
      </c>
      <c r="AA3382" t="n">
        <v>131</v>
      </c>
      <c r="AB3382" t="n">
        <v>91</v>
      </c>
      <c r="AC3382" t="n">
        <v>803</v>
      </c>
      <c r="AD3382" t="n">
        <v>1</v>
      </c>
      <c r="AE3382" t="n">
        <v>7</v>
      </c>
      <c r="AF3382" t="n">
        <v>5</v>
      </c>
      <c r="AG3382" t="n">
        <v>37</v>
      </c>
      <c r="AH3382" t="n">
        <v>1</v>
      </c>
      <c r="AI3382" t="n">
        <v>14</v>
      </c>
      <c r="AJ3382" t="n">
        <v>3</v>
      </c>
      <c r="AK3382" t="n">
        <v>6</v>
      </c>
      <c r="AL3382" t="n">
        <v>2</v>
      </c>
      <c r="AM3382" t="n">
        <v>20</v>
      </c>
      <c r="AN3382" t="n">
        <v>0</v>
      </c>
      <c r="AO3382" t="n">
        <v>5</v>
      </c>
      <c r="AP3382" t="n">
        <v>0</v>
      </c>
      <c r="AQ3382" t="n">
        <v>0</v>
      </c>
      <c r="AR3382" t="inlineStr">
        <is>
          <t>No</t>
        </is>
      </c>
      <c r="AS3382" t="inlineStr">
        <is>
          <t>Yes</t>
        </is>
      </c>
      <c r="AT3382">
        <f>HYPERLINK("http://catalog.hathitrust.org/Record/007031367","HathiTrust Record")</f>
        <v/>
      </c>
      <c r="AU3382">
        <f>HYPERLINK("https://creighton-primo.hosted.exlibrisgroup.com/primo-explore/search?tab=default_tab&amp;search_scope=EVERYTHING&amp;vid=01CRU&amp;lang=en_US&amp;offset=0&amp;query=any,contains,991004733859702656","Catalog Record")</f>
        <v/>
      </c>
      <c r="AV3382">
        <f>HYPERLINK("http://www.worldcat.org/oclc/4845740","WorldCat Record")</f>
        <v/>
      </c>
      <c r="AW3382" t="inlineStr">
        <is>
          <t>3901002361:eng</t>
        </is>
      </c>
      <c r="AX3382" t="inlineStr">
        <is>
          <t>4845740</t>
        </is>
      </c>
      <c r="AY3382" t="inlineStr">
        <is>
          <t>991004733859702656</t>
        </is>
      </c>
      <c r="AZ3382" t="inlineStr">
        <is>
          <t>991004733859702656</t>
        </is>
      </c>
      <c r="BA3382" t="inlineStr">
        <is>
          <t>2266488320002656</t>
        </is>
      </c>
      <c r="BB3382" t="inlineStr">
        <is>
          <t>BOOK</t>
        </is>
      </c>
      <c r="BE3382" t="inlineStr">
        <is>
          <t>32285002590452</t>
        </is>
      </c>
      <c r="BF3382" t="inlineStr">
        <is>
          <t>893606406</t>
        </is>
      </c>
    </row>
    <row r="3383">
      <c r="A3383" t="inlineStr">
        <is>
          <t>No</t>
        </is>
      </c>
      <c r="B3383" t="inlineStr">
        <is>
          <t>CURAL</t>
        </is>
      </c>
      <c r="C3383" t="inlineStr">
        <is>
          <t>SHELVES</t>
        </is>
      </c>
      <c r="D3383" t="inlineStr">
        <is>
          <t>PR6045.O72 Z56</t>
        </is>
      </c>
      <c r="E3383" t="inlineStr">
        <is>
          <t>0                      PR 6045000O  72                 Z  56</t>
        </is>
      </c>
      <c r="F3383" t="inlineStr">
        <is>
          <t>Virginia Woolf : a commentary.</t>
        </is>
      </c>
      <c r="H3383" t="inlineStr">
        <is>
          <t>No</t>
        </is>
      </c>
      <c r="I3383" t="inlineStr">
        <is>
          <t>1</t>
        </is>
      </c>
      <c r="J3383" t="inlineStr">
        <is>
          <t>No</t>
        </is>
      </c>
      <c r="K3383" t="inlineStr">
        <is>
          <t>No</t>
        </is>
      </c>
      <c r="L3383" t="inlineStr">
        <is>
          <t>0</t>
        </is>
      </c>
      <c r="M3383" t="inlineStr">
        <is>
          <t>Blackstone, Bernard, 1911-</t>
        </is>
      </c>
      <c r="N3383" t="inlineStr">
        <is>
          <t>London, Hogarth Press, 1949c, 1972 printing.</t>
        </is>
      </c>
      <c r="O3383" t="inlineStr">
        <is>
          <t>1949</t>
        </is>
      </c>
      <c r="Q3383" t="inlineStr">
        <is>
          <t>eng</t>
        </is>
      </c>
      <c r="R3383" t="inlineStr">
        <is>
          <t>enk</t>
        </is>
      </c>
      <c r="T3383" t="inlineStr">
        <is>
          <t xml:space="preserve">PR </t>
        </is>
      </c>
      <c r="U3383" t="n">
        <v>2</v>
      </c>
      <c r="V3383" t="n">
        <v>2</v>
      </c>
      <c r="W3383" t="inlineStr">
        <is>
          <t>2003-10-03</t>
        </is>
      </c>
      <c r="X3383" t="inlineStr">
        <is>
          <t>2003-10-03</t>
        </is>
      </c>
      <c r="Y3383" t="inlineStr">
        <is>
          <t>1998-04-30</t>
        </is>
      </c>
      <c r="Z3383" t="inlineStr">
        <is>
          <t>1998-04-30</t>
        </is>
      </c>
      <c r="AA3383" t="n">
        <v>202</v>
      </c>
      <c r="AB3383" t="n">
        <v>81</v>
      </c>
      <c r="AC3383" t="n">
        <v>590</v>
      </c>
      <c r="AD3383" t="n">
        <v>1</v>
      </c>
      <c r="AE3383" t="n">
        <v>5</v>
      </c>
      <c r="AF3383" t="n">
        <v>5</v>
      </c>
      <c r="AG3383" t="n">
        <v>31</v>
      </c>
      <c r="AH3383" t="n">
        <v>2</v>
      </c>
      <c r="AI3383" t="n">
        <v>13</v>
      </c>
      <c r="AJ3383" t="n">
        <v>3</v>
      </c>
      <c r="AK3383" t="n">
        <v>9</v>
      </c>
      <c r="AL3383" t="n">
        <v>4</v>
      </c>
      <c r="AM3383" t="n">
        <v>15</v>
      </c>
      <c r="AN3383" t="n">
        <v>0</v>
      </c>
      <c r="AO3383" t="n">
        <v>4</v>
      </c>
      <c r="AP3383" t="n">
        <v>0</v>
      </c>
      <c r="AQ3383" t="n">
        <v>0</v>
      </c>
      <c r="AR3383" t="inlineStr">
        <is>
          <t>No</t>
        </is>
      </c>
      <c r="AS3383" t="inlineStr">
        <is>
          <t>Yes</t>
        </is>
      </c>
      <c r="AT3383">
        <f>HYPERLINK("http://catalog.hathitrust.org/Record/001025996","HathiTrust Record")</f>
        <v/>
      </c>
      <c r="AU3383">
        <f>HYPERLINK("https://creighton-primo.hosted.exlibrisgroup.com/primo-explore/search?tab=default_tab&amp;search_scope=EVERYTHING&amp;vid=01CRU&amp;lang=en_US&amp;offset=0&amp;query=any,contains,991003986659702656","Catalog Record")</f>
        <v/>
      </c>
      <c r="AV3383">
        <f>HYPERLINK("http://www.worldcat.org/oclc/2033652","WorldCat Record")</f>
        <v/>
      </c>
      <c r="AW3383" t="inlineStr">
        <is>
          <t>2298629452:eng</t>
        </is>
      </c>
      <c r="AX3383" t="inlineStr">
        <is>
          <t>2033652</t>
        </is>
      </c>
      <c r="AY3383" t="inlineStr">
        <is>
          <t>991003986659702656</t>
        </is>
      </c>
      <c r="AZ3383" t="inlineStr">
        <is>
          <t>991003986659702656</t>
        </is>
      </c>
      <c r="BA3383" t="inlineStr">
        <is>
          <t>2267352580002656</t>
        </is>
      </c>
      <c r="BB3383" t="inlineStr">
        <is>
          <t>BOOK</t>
        </is>
      </c>
      <c r="BD3383" t="inlineStr">
        <is>
          <t>9780701203764</t>
        </is>
      </c>
      <c r="BE3383" t="inlineStr">
        <is>
          <t>32285003379566</t>
        </is>
      </c>
      <c r="BF3383" t="inlineStr">
        <is>
          <t>893687214</t>
        </is>
      </c>
    </row>
    <row r="3384">
      <c r="A3384" t="inlineStr">
        <is>
          <t>No</t>
        </is>
      </c>
      <c r="B3384" t="inlineStr">
        <is>
          <t>CURAL</t>
        </is>
      </c>
      <c r="C3384" t="inlineStr">
        <is>
          <t>SHELVES</t>
        </is>
      </c>
      <c r="D3384" t="inlineStr">
        <is>
          <t>PR6045.O72 Z5615 1988</t>
        </is>
      </c>
      <c r="E3384" t="inlineStr">
        <is>
          <t>0                      PR 6045000O  72                 Z  5615        1988</t>
        </is>
      </c>
      <c r="F3384" t="inlineStr">
        <is>
          <t>Virginia Woolf : feminist destinations / Rachel Bowlby.</t>
        </is>
      </c>
      <c r="H3384" t="inlineStr">
        <is>
          <t>No</t>
        </is>
      </c>
      <c r="I3384" t="inlineStr">
        <is>
          <t>1</t>
        </is>
      </c>
      <c r="J3384" t="inlineStr">
        <is>
          <t>No</t>
        </is>
      </c>
      <c r="K3384" t="inlineStr">
        <is>
          <t>Yes</t>
        </is>
      </c>
      <c r="L3384" t="inlineStr">
        <is>
          <t>0</t>
        </is>
      </c>
      <c r="M3384" t="inlineStr">
        <is>
          <t>Bowlby, Rachel, 1957-</t>
        </is>
      </c>
      <c r="N3384" t="inlineStr">
        <is>
          <t>New York, NY, USA : B. Blackwell, 1988.</t>
        </is>
      </c>
      <c r="O3384" t="inlineStr">
        <is>
          <t>1988</t>
        </is>
      </c>
      <c r="Q3384" t="inlineStr">
        <is>
          <t>eng</t>
        </is>
      </c>
      <c r="R3384" t="inlineStr">
        <is>
          <t>nyu</t>
        </is>
      </c>
      <c r="S3384" t="inlineStr">
        <is>
          <t>Rereading literature</t>
        </is>
      </c>
      <c r="T3384" t="inlineStr">
        <is>
          <t xml:space="preserve">PR </t>
        </is>
      </c>
      <c r="U3384" t="n">
        <v>4</v>
      </c>
      <c r="V3384" t="n">
        <v>4</v>
      </c>
      <c r="W3384" t="inlineStr">
        <is>
          <t>2003-12-03</t>
        </is>
      </c>
      <c r="X3384" t="inlineStr">
        <is>
          <t>2003-12-03</t>
        </is>
      </c>
      <c r="Y3384" t="inlineStr">
        <is>
          <t>1992-07-23</t>
        </is>
      </c>
      <c r="Z3384" t="inlineStr">
        <is>
          <t>1992-07-23</t>
        </is>
      </c>
      <c r="AA3384" t="n">
        <v>427</v>
      </c>
      <c r="AB3384" t="n">
        <v>293</v>
      </c>
      <c r="AC3384" t="n">
        <v>383</v>
      </c>
      <c r="AD3384" t="n">
        <v>3</v>
      </c>
      <c r="AE3384" t="n">
        <v>5</v>
      </c>
      <c r="AF3384" t="n">
        <v>14</v>
      </c>
      <c r="AG3384" t="n">
        <v>18</v>
      </c>
      <c r="AH3384" t="n">
        <v>4</v>
      </c>
      <c r="AI3384" t="n">
        <v>6</v>
      </c>
      <c r="AJ3384" t="n">
        <v>4</v>
      </c>
      <c r="AK3384" t="n">
        <v>4</v>
      </c>
      <c r="AL3384" t="n">
        <v>8</v>
      </c>
      <c r="AM3384" t="n">
        <v>8</v>
      </c>
      <c r="AN3384" t="n">
        <v>2</v>
      </c>
      <c r="AO3384" t="n">
        <v>4</v>
      </c>
      <c r="AP3384" t="n">
        <v>0</v>
      </c>
      <c r="AQ3384" t="n">
        <v>0</v>
      </c>
      <c r="AR3384" t="inlineStr">
        <is>
          <t>No</t>
        </is>
      </c>
      <c r="AS3384" t="inlineStr">
        <is>
          <t>No</t>
        </is>
      </c>
      <c r="AU3384">
        <f>HYPERLINK("https://creighton-primo.hosted.exlibrisgroup.com/primo-explore/search?tab=default_tab&amp;search_scope=EVERYTHING&amp;vid=01CRU&amp;lang=en_US&amp;offset=0&amp;query=any,contains,991001166839702656","Catalog Record")</f>
        <v/>
      </c>
      <c r="AV3384">
        <f>HYPERLINK("http://www.worldcat.org/oclc/16924321","WorldCat Record")</f>
        <v/>
      </c>
      <c r="AW3384" t="inlineStr">
        <is>
          <t>807142309:eng</t>
        </is>
      </c>
      <c r="AX3384" t="inlineStr">
        <is>
          <t>16924321</t>
        </is>
      </c>
      <c r="AY3384" t="inlineStr">
        <is>
          <t>991001166839702656</t>
        </is>
      </c>
      <c r="AZ3384" t="inlineStr">
        <is>
          <t>991001166839702656</t>
        </is>
      </c>
      <c r="BA3384" t="inlineStr">
        <is>
          <t>2271107620002656</t>
        </is>
      </c>
      <c r="BB3384" t="inlineStr">
        <is>
          <t>BOOK</t>
        </is>
      </c>
      <c r="BD3384" t="inlineStr">
        <is>
          <t>9780631151913</t>
        </is>
      </c>
      <c r="BE3384" t="inlineStr">
        <is>
          <t>32285001204592</t>
        </is>
      </c>
      <c r="BF3384" t="inlineStr">
        <is>
          <t>893432645</t>
        </is>
      </c>
    </row>
    <row r="3385">
      <c r="A3385" t="inlineStr">
        <is>
          <t>No</t>
        </is>
      </c>
      <c r="B3385" t="inlineStr">
        <is>
          <t>CURAL</t>
        </is>
      </c>
      <c r="C3385" t="inlineStr">
        <is>
          <t>SHELVES</t>
        </is>
      </c>
      <c r="D3385" t="inlineStr">
        <is>
          <t>PR6045.O72 Z58</t>
        </is>
      </c>
      <c r="E3385" t="inlineStr">
        <is>
          <t>0                      PR 6045000O  72                 Z  58</t>
        </is>
      </c>
      <c r="F3385" t="inlineStr">
        <is>
          <t>Virginia Woolf.</t>
        </is>
      </c>
      <c r="H3385" t="inlineStr">
        <is>
          <t>No</t>
        </is>
      </c>
      <c r="I3385" t="inlineStr">
        <is>
          <t>1</t>
        </is>
      </c>
      <c r="J3385" t="inlineStr">
        <is>
          <t>No</t>
        </is>
      </c>
      <c r="K3385" t="inlineStr">
        <is>
          <t>No</t>
        </is>
      </c>
      <c r="L3385" t="inlineStr">
        <is>
          <t>0</t>
        </is>
      </c>
      <c r="M3385" t="inlineStr">
        <is>
          <t>Daiches, David, 1912-2005.</t>
        </is>
      </c>
      <c r="N3385" t="inlineStr">
        <is>
          <t>Norfolk, Conn., New Directions Books [1942]</t>
        </is>
      </c>
      <c r="O3385" t="inlineStr">
        <is>
          <t>1942</t>
        </is>
      </c>
      <c r="Q3385" t="inlineStr">
        <is>
          <t>eng</t>
        </is>
      </c>
      <c r="R3385" t="inlineStr">
        <is>
          <t>___</t>
        </is>
      </c>
      <c r="S3385" t="inlineStr">
        <is>
          <t>The Makers of modern literature</t>
        </is>
      </c>
      <c r="T3385" t="inlineStr">
        <is>
          <t xml:space="preserve">PR </t>
        </is>
      </c>
      <c r="U3385" t="n">
        <v>14</v>
      </c>
      <c r="V3385" t="n">
        <v>14</v>
      </c>
      <c r="W3385" t="inlineStr">
        <is>
          <t>2006-03-20</t>
        </is>
      </c>
      <c r="X3385" t="inlineStr">
        <is>
          <t>2006-03-20</t>
        </is>
      </c>
      <c r="Y3385" t="inlineStr">
        <is>
          <t>1992-07-23</t>
        </is>
      </c>
      <c r="Z3385" t="inlineStr">
        <is>
          <t>1992-07-23</t>
        </is>
      </c>
      <c r="AA3385" t="n">
        <v>696</v>
      </c>
      <c r="AB3385" t="n">
        <v>622</v>
      </c>
      <c r="AC3385" t="n">
        <v>748</v>
      </c>
      <c r="AD3385" t="n">
        <v>4</v>
      </c>
      <c r="AE3385" t="n">
        <v>5</v>
      </c>
      <c r="AF3385" t="n">
        <v>34</v>
      </c>
      <c r="AG3385" t="n">
        <v>38</v>
      </c>
      <c r="AH3385" t="n">
        <v>17</v>
      </c>
      <c r="AI3385" t="n">
        <v>17</v>
      </c>
      <c r="AJ3385" t="n">
        <v>7</v>
      </c>
      <c r="AK3385" t="n">
        <v>8</v>
      </c>
      <c r="AL3385" t="n">
        <v>19</v>
      </c>
      <c r="AM3385" t="n">
        <v>21</v>
      </c>
      <c r="AN3385" t="n">
        <v>3</v>
      </c>
      <c r="AO3385" t="n">
        <v>4</v>
      </c>
      <c r="AP3385" t="n">
        <v>0</v>
      </c>
      <c r="AQ3385" t="n">
        <v>0</v>
      </c>
      <c r="AR3385" t="inlineStr">
        <is>
          <t>No</t>
        </is>
      </c>
      <c r="AS3385" t="inlineStr">
        <is>
          <t>No</t>
        </is>
      </c>
      <c r="AT3385">
        <f>HYPERLINK("http://catalog.hathitrust.org/Record/001026001","HathiTrust Record")</f>
        <v/>
      </c>
      <c r="AU3385">
        <f>HYPERLINK("https://creighton-primo.hosted.exlibrisgroup.com/primo-explore/search?tab=default_tab&amp;search_scope=EVERYTHING&amp;vid=01CRU&amp;lang=en_US&amp;offset=0&amp;query=any,contains,991003269039702656","Catalog Record")</f>
        <v/>
      </c>
      <c r="AV3385">
        <f>HYPERLINK("http://www.worldcat.org/oclc/795059","WorldCat Record")</f>
        <v/>
      </c>
      <c r="AW3385" t="inlineStr">
        <is>
          <t>131375933:eng</t>
        </is>
      </c>
      <c r="AX3385" t="inlineStr">
        <is>
          <t>795059</t>
        </is>
      </c>
      <c r="AY3385" t="inlineStr">
        <is>
          <t>991003269039702656</t>
        </is>
      </c>
      <c r="AZ3385" t="inlineStr">
        <is>
          <t>991003269039702656</t>
        </is>
      </c>
      <c r="BA3385" t="inlineStr">
        <is>
          <t>2261755010002656</t>
        </is>
      </c>
      <c r="BB3385" t="inlineStr">
        <is>
          <t>BOOK</t>
        </is>
      </c>
      <c r="BE3385" t="inlineStr">
        <is>
          <t>32285001204600</t>
        </is>
      </c>
      <c r="BF3385" t="inlineStr">
        <is>
          <t>893698835</t>
        </is>
      </c>
    </row>
    <row r="3386">
      <c r="A3386" t="inlineStr">
        <is>
          <t>No</t>
        </is>
      </c>
      <c r="B3386" t="inlineStr">
        <is>
          <t>CURAL</t>
        </is>
      </c>
      <c r="C3386" t="inlineStr">
        <is>
          <t>SHELVES</t>
        </is>
      </c>
      <c r="D3386" t="inlineStr">
        <is>
          <t>PR6045.O72 Z615</t>
        </is>
      </c>
      <c r="E3386" t="inlineStr">
        <is>
          <t>0                      PR 6045000O  72                 Z  615</t>
        </is>
      </c>
      <c r="F3386" t="inlineStr">
        <is>
          <t>Virginia Woolf's major novels : the fables of anon / Maria DiBattista.</t>
        </is>
      </c>
      <c r="H3386" t="inlineStr">
        <is>
          <t>No</t>
        </is>
      </c>
      <c r="I3386" t="inlineStr">
        <is>
          <t>1</t>
        </is>
      </c>
      <c r="J3386" t="inlineStr">
        <is>
          <t>No</t>
        </is>
      </c>
      <c r="K3386" t="inlineStr">
        <is>
          <t>No</t>
        </is>
      </c>
      <c r="L3386" t="inlineStr">
        <is>
          <t>0</t>
        </is>
      </c>
      <c r="M3386" t="inlineStr">
        <is>
          <t>DiBattista, Maria, 1947-</t>
        </is>
      </c>
      <c r="N3386" t="inlineStr">
        <is>
          <t>New Haven : Yale University Press, 1980.</t>
        </is>
      </c>
      <c r="O3386" t="inlineStr">
        <is>
          <t>1980</t>
        </is>
      </c>
      <c r="Q3386" t="inlineStr">
        <is>
          <t>eng</t>
        </is>
      </c>
      <c r="R3386" t="inlineStr">
        <is>
          <t>ctu</t>
        </is>
      </c>
      <c r="T3386" t="inlineStr">
        <is>
          <t xml:space="preserve">PR </t>
        </is>
      </c>
      <c r="U3386" t="n">
        <v>5</v>
      </c>
      <c r="V3386" t="n">
        <v>5</v>
      </c>
      <c r="W3386" t="inlineStr">
        <is>
          <t>2003-10-03</t>
        </is>
      </c>
      <c r="X3386" t="inlineStr">
        <is>
          <t>2003-10-03</t>
        </is>
      </c>
      <c r="Y3386" t="inlineStr">
        <is>
          <t>1992-07-23</t>
        </is>
      </c>
      <c r="Z3386" t="inlineStr">
        <is>
          <t>1992-07-23</t>
        </is>
      </c>
      <c r="AA3386" t="n">
        <v>807</v>
      </c>
      <c r="AB3386" t="n">
        <v>665</v>
      </c>
      <c r="AC3386" t="n">
        <v>666</v>
      </c>
      <c r="AD3386" t="n">
        <v>6</v>
      </c>
      <c r="AE3386" t="n">
        <v>6</v>
      </c>
      <c r="AF3386" t="n">
        <v>38</v>
      </c>
      <c r="AG3386" t="n">
        <v>38</v>
      </c>
      <c r="AH3386" t="n">
        <v>16</v>
      </c>
      <c r="AI3386" t="n">
        <v>16</v>
      </c>
      <c r="AJ3386" t="n">
        <v>9</v>
      </c>
      <c r="AK3386" t="n">
        <v>9</v>
      </c>
      <c r="AL3386" t="n">
        <v>17</v>
      </c>
      <c r="AM3386" t="n">
        <v>17</v>
      </c>
      <c r="AN3386" t="n">
        <v>5</v>
      </c>
      <c r="AO3386" t="n">
        <v>5</v>
      </c>
      <c r="AP3386" t="n">
        <v>0</v>
      </c>
      <c r="AQ3386" t="n">
        <v>0</v>
      </c>
      <c r="AR3386" t="inlineStr">
        <is>
          <t>No</t>
        </is>
      </c>
      <c r="AS3386" t="inlineStr">
        <is>
          <t>No</t>
        </is>
      </c>
      <c r="AU3386">
        <f>HYPERLINK("https://creighton-primo.hosted.exlibrisgroup.com/primo-explore/search?tab=default_tab&amp;search_scope=EVERYTHING&amp;vid=01CRU&amp;lang=en_US&amp;offset=0&amp;query=any,contains,991004808799702656","Catalog Record")</f>
        <v/>
      </c>
      <c r="AV3386">
        <f>HYPERLINK("http://www.worldcat.org/oclc/5264582","WorldCat Record")</f>
        <v/>
      </c>
      <c r="AW3386" t="inlineStr">
        <is>
          <t>16339019:eng</t>
        </is>
      </c>
      <c r="AX3386" t="inlineStr">
        <is>
          <t>5264582</t>
        </is>
      </c>
      <c r="AY3386" t="inlineStr">
        <is>
          <t>991004808799702656</t>
        </is>
      </c>
      <c r="AZ3386" t="inlineStr">
        <is>
          <t>991004808799702656</t>
        </is>
      </c>
      <c r="BA3386" t="inlineStr">
        <is>
          <t>2259149040002656</t>
        </is>
      </c>
      <c r="BB3386" t="inlineStr">
        <is>
          <t>BOOK</t>
        </is>
      </c>
      <c r="BD3386" t="inlineStr">
        <is>
          <t>9780300024029</t>
        </is>
      </c>
      <c r="BE3386" t="inlineStr">
        <is>
          <t>32285001204618</t>
        </is>
      </c>
      <c r="BF3386" t="inlineStr">
        <is>
          <t>893229858</t>
        </is>
      </c>
    </row>
    <row r="3387">
      <c r="A3387" t="inlineStr">
        <is>
          <t>No</t>
        </is>
      </c>
      <c r="B3387" t="inlineStr">
        <is>
          <t>CURAL</t>
        </is>
      </c>
      <c r="C3387" t="inlineStr">
        <is>
          <t>SHELVES</t>
        </is>
      </c>
      <c r="D3387" t="inlineStr">
        <is>
          <t>PR6045.O72 Z63 1975</t>
        </is>
      </c>
      <c r="E3387" t="inlineStr">
        <is>
          <t>0                      PR 6045000O  72                 Z  63          1975</t>
        </is>
      </c>
      <c r="F3387" t="inlineStr">
        <is>
          <t>Virginia Woolf : a critical reading / Avrom Fleishman.</t>
        </is>
      </c>
      <c r="H3387" t="inlineStr">
        <is>
          <t>No</t>
        </is>
      </c>
      <c r="I3387" t="inlineStr">
        <is>
          <t>1</t>
        </is>
      </c>
      <c r="J3387" t="inlineStr">
        <is>
          <t>No</t>
        </is>
      </c>
      <c r="K3387" t="inlineStr">
        <is>
          <t>No</t>
        </is>
      </c>
      <c r="L3387" t="inlineStr">
        <is>
          <t>0</t>
        </is>
      </c>
      <c r="M3387" t="inlineStr">
        <is>
          <t>Fleishman, Avrom.</t>
        </is>
      </c>
      <c r="N3387" t="inlineStr">
        <is>
          <t>Baltimore : Johns Hopkins University Press, [1975]</t>
        </is>
      </c>
      <c r="O3387" t="inlineStr">
        <is>
          <t>1975</t>
        </is>
      </c>
      <c r="Q3387" t="inlineStr">
        <is>
          <t>eng</t>
        </is>
      </c>
      <c r="R3387" t="inlineStr">
        <is>
          <t>mdu</t>
        </is>
      </c>
      <c r="T3387" t="inlineStr">
        <is>
          <t xml:space="preserve">PR </t>
        </is>
      </c>
      <c r="U3387" t="n">
        <v>3</v>
      </c>
      <c r="V3387" t="n">
        <v>3</v>
      </c>
      <c r="W3387" t="inlineStr">
        <is>
          <t>2000-04-16</t>
        </is>
      </c>
      <c r="X3387" t="inlineStr">
        <is>
          <t>2000-04-16</t>
        </is>
      </c>
      <c r="Y3387" t="inlineStr">
        <is>
          <t>1997-04-23</t>
        </is>
      </c>
      <c r="Z3387" t="inlineStr">
        <is>
          <t>1997-04-23</t>
        </is>
      </c>
      <c r="AA3387" t="n">
        <v>1203</v>
      </c>
      <c r="AB3387" t="n">
        <v>1009</v>
      </c>
      <c r="AC3387" t="n">
        <v>1020</v>
      </c>
      <c r="AD3387" t="n">
        <v>7</v>
      </c>
      <c r="AE3387" t="n">
        <v>7</v>
      </c>
      <c r="AF3387" t="n">
        <v>43</v>
      </c>
      <c r="AG3387" t="n">
        <v>44</v>
      </c>
      <c r="AH3387" t="n">
        <v>17</v>
      </c>
      <c r="AI3387" t="n">
        <v>18</v>
      </c>
      <c r="AJ3387" t="n">
        <v>10</v>
      </c>
      <c r="AK3387" t="n">
        <v>10</v>
      </c>
      <c r="AL3387" t="n">
        <v>22</v>
      </c>
      <c r="AM3387" t="n">
        <v>22</v>
      </c>
      <c r="AN3387" t="n">
        <v>6</v>
      </c>
      <c r="AO3387" t="n">
        <v>6</v>
      </c>
      <c r="AP3387" t="n">
        <v>0</v>
      </c>
      <c r="AQ3387" t="n">
        <v>0</v>
      </c>
      <c r="AR3387" t="inlineStr">
        <is>
          <t>No</t>
        </is>
      </c>
      <c r="AS3387" t="inlineStr">
        <is>
          <t>Yes</t>
        </is>
      </c>
      <c r="AT3387">
        <f>HYPERLINK("http://catalog.hathitrust.org/Record/001195005","HathiTrust Record")</f>
        <v/>
      </c>
      <c r="AU3387">
        <f>HYPERLINK("https://creighton-primo.hosted.exlibrisgroup.com/primo-explore/search?tab=default_tab&amp;search_scope=EVERYTHING&amp;vid=01CRU&amp;lang=en_US&amp;offset=0&amp;query=any,contains,991003597049702656","Catalog Record")</f>
        <v/>
      </c>
      <c r="AV3387">
        <f>HYPERLINK("http://www.worldcat.org/oclc/1175903","WorldCat Record")</f>
        <v/>
      </c>
      <c r="AW3387" t="inlineStr">
        <is>
          <t>146841271:eng</t>
        </is>
      </c>
      <c r="AX3387" t="inlineStr">
        <is>
          <t>1175903</t>
        </is>
      </c>
      <c r="AY3387" t="inlineStr">
        <is>
          <t>991003597049702656</t>
        </is>
      </c>
      <c r="AZ3387" t="inlineStr">
        <is>
          <t>991003597049702656</t>
        </is>
      </c>
      <c r="BA3387" t="inlineStr">
        <is>
          <t>2271974960002656</t>
        </is>
      </c>
      <c r="BB3387" t="inlineStr">
        <is>
          <t>BOOK</t>
        </is>
      </c>
      <c r="BD3387" t="inlineStr">
        <is>
          <t>9780801816161</t>
        </is>
      </c>
      <c r="BE3387" t="inlineStr">
        <is>
          <t>32285002590478</t>
        </is>
      </c>
      <c r="BF3387" t="inlineStr">
        <is>
          <t>893318160</t>
        </is>
      </c>
    </row>
    <row r="3388">
      <c r="A3388" t="inlineStr">
        <is>
          <t>No</t>
        </is>
      </c>
      <c r="B3388" t="inlineStr">
        <is>
          <t>CURAL</t>
        </is>
      </c>
      <c r="C3388" t="inlineStr">
        <is>
          <t>SHELVES</t>
        </is>
      </c>
      <c r="D3388" t="inlineStr">
        <is>
          <t>PR6045.O72 Z64 1942</t>
        </is>
      </c>
      <c r="E3388" t="inlineStr">
        <is>
          <t>0                      PR 6045000O  72                 Z  64          1942</t>
        </is>
      </c>
      <c r="F3388" t="inlineStr">
        <is>
          <t>Virginia Woolf, by E. M. Forster; the Rede lecture, 1941.</t>
        </is>
      </c>
      <c r="H3388" t="inlineStr">
        <is>
          <t>No</t>
        </is>
      </c>
      <c r="I3388" t="inlineStr">
        <is>
          <t>1</t>
        </is>
      </c>
      <c r="J3388" t="inlineStr">
        <is>
          <t>No</t>
        </is>
      </c>
      <c r="K3388" t="inlineStr">
        <is>
          <t>No</t>
        </is>
      </c>
      <c r="L3388" t="inlineStr">
        <is>
          <t>0</t>
        </is>
      </c>
      <c r="M3388" t="inlineStr">
        <is>
          <t>Forster, E. M. (Edward Morgan), 1879-1970.</t>
        </is>
      </c>
      <c r="N3388" t="inlineStr">
        <is>
          <t>Cambridge [Eng.] The University press, 1942.</t>
        </is>
      </c>
      <c r="O3388" t="inlineStr">
        <is>
          <t>1942</t>
        </is>
      </c>
      <c r="Q3388" t="inlineStr">
        <is>
          <t>eng</t>
        </is>
      </c>
      <c r="R3388" t="inlineStr">
        <is>
          <t>___</t>
        </is>
      </c>
      <c r="S3388" t="inlineStr">
        <is>
          <t>The Rede lecture 1941.</t>
        </is>
      </c>
      <c r="T3388" t="inlineStr">
        <is>
          <t xml:space="preserve">PR </t>
        </is>
      </c>
      <c r="U3388" t="n">
        <v>5</v>
      </c>
      <c r="V3388" t="n">
        <v>5</v>
      </c>
      <c r="W3388" t="inlineStr">
        <is>
          <t>2003-03-07</t>
        </is>
      </c>
      <c r="X3388" t="inlineStr">
        <is>
          <t>2003-03-07</t>
        </is>
      </c>
      <c r="Y3388" t="inlineStr">
        <is>
          <t>1992-07-23</t>
        </is>
      </c>
      <c r="Z3388" t="inlineStr">
        <is>
          <t>1992-07-23</t>
        </is>
      </c>
      <c r="AA3388" t="n">
        <v>241</v>
      </c>
      <c r="AB3388" t="n">
        <v>188</v>
      </c>
      <c r="AC3388" t="n">
        <v>457</v>
      </c>
      <c r="AD3388" t="n">
        <v>2</v>
      </c>
      <c r="AE3388" t="n">
        <v>5</v>
      </c>
      <c r="AF3388" t="n">
        <v>12</v>
      </c>
      <c r="AG3388" t="n">
        <v>23</v>
      </c>
      <c r="AH3388" t="n">
        <v>4</v>
      </c>
      <c r="AI3388" t="n">
        <v>9</v>
      </c>
      <c r="AJ3388" t="n">
        <v>4</v>
      </c>
      <c r="AK3388" t="n">
        <v>5</v>
      </c>
      <c r="AL3388" t="n">
        <v>8</v>
      </c>
      <c r="AM3388" t="n">
        <v>14</v>
      </c>
      <c r="AN3388" t="n">
        <v>1</v>
      </c>
      <c r="AO3388" t="n">
        <v>3</v>
      </c>
      <c r="AP3388" t="n">
        <v>0</v>
      </c>
      <c r="AQ3388" t="n">
        <v>0</v>
      </c>
      <c r="AR3388" t="inlineStr">
        <is>
          <t>No</t>
        </is>
      </c>
      <c r="AS3388" t="inlineStr">
        <is>
          <t>No</t>
        </is>
      </c>
      <c r="AU3388">
        <f>HYPERLINK("https://creighton-primo.hosted.exlibrisgroup.com/primo-explore/search?tab=default_tab&amp;search_scope=EVERYTHING&amp;vid=01CRU&amp;lang=en_US&amp;offset=0&amp;query=any,contains,991003202669702656","Catalog Record")</f>
        <v/>
      </c>
      <c r="AV3388">
        <f>HYPERLINK("http://www.worldcat.org/oclc/727584","WorldCat Record")</f>
        <v/>
      </c>
      <c r="AW3388" t="inlineStr">
        <is>
          <t>1686189:eng</t>
        </is>
      </c>
      <c r="AX3388" t="inlineStr">
        <is>
          <t>727584</t>
        </is>
      </c>
      <c r="AY3388" t="inlineStr">
        <is>
          <t>991003202669702656</t>
        </is>
      </c>
      <c r="AZ3388" t="inlineStr">
        <is>
          <t>991003202669702656</t>
        </is>
      </c>
      <c r="BA3388" t="inlineStr">
        <is>
          <t>2262168210002656</t>
        </is>
      </c>
      <c r="BB3388" t="inlineStr">
        <is>
          <t>BOOK</t>
        </is>
      </c>
      <c r="BE3388" t="inlineStr">
        <is>
          <t>32285001204626</t>
        </is>
      </c>
      <c r="BF3388" t="inlineStr">
        <is>
          <t>893434736</t>
        </is>
      </c>
    </row>
    <row r="3389">
      <c r="A3389" t="inlineStr">
        <is>
          <t>No</t>
        </is>
      </c>
      <c r="B3389" t="inlineStr">
        <is>
          <t>CURAL</t>
        </is>
      </c>
      <c r="C3389" t="inlineStr">
        <is>
          <t>SHELVES</t>
        </is>
      </c>
      <c r="D3389" t="inlineStr">
        <is>
          <t>PR6045.O72 Z643 1990</t>
        </is>
      </c>
      <c r="E3389" t="inlineStr">
        <is>
          <t>0                      PR 6045000O  72                 Z  643         1990</t>
        </is>
      </c>
      <c r="F3389" t="inlineStr">
        <is>
          <t>Virginia Woolf and the literature of the English Renaissance / Alice Fox.</t>
        </is>
      </c>
      <c r="H3389" t="inlineStr">
        <is>
          <t>No</t>
        </is>
      </c>
      <c r="I3389" t="inlineStr">
        <is>
          <t>1</t>
        </is>
      </c>
      <c r="J3389" t="inlineStr">
        <is>
          <t>No</t>
        </is>
      </c>
      <c r="K3389" t="inlineStr">
        <is>
          <t>No</t>
        </is>
      </c>
      <c r="L3389" t="inlineStr">
        <is>
          <t>0</t>
        </is>
      </c>
      <c r="M3389" t="inlineStr">
        <is>
          <t>Fox, Alice, -1988.</t>
        </is>
      </c>
      <c r="N3389" t="inlineStr">
        <is>
          <t>Oxford : Clarendon Press ; Oxford ; New York : Oxford University Press, 1990.</t>
        </is>
      </c>
      <c r="O3389" t="inlineStr">
        <is>
          <t>1990</t>
        </is>
      </c>
      <c r="Q3389" t="inlineStr">
        <is>
          <t>eng</t>
        </is>
      </c>
      <c r="R3389" t="inlineStr">
        <is>
          <t>enk</t>
        </is>
      </c>
      <c r="T3389" t="inlineStr">
        <is>
          <t xml:space="preserve">PR </t>
        </is>
      </c>
      <c r="U3389" t="n">
        <v>8</v>
      </c>
      <c r="V3389" t="n">
        <v>8</v>
      </c>
      <c r="W3389" t="inlineStr">
        <is>
          <t>2003-09-20</t>
        </is>
      </c>
      <c r="X3389" t="inlineStr">
        <is>
          <t>2003-09-20</t>
        </is>
      </c>
      <c r="Y3389" t="inlineStr">
        <is>
          <t>1990-05-24</t>
        </is>
      </c>
      <c r="Z3389" t="inlineStr">
        <is>
          <t>1990-05-24</t>
        </is>
      </c>
      <c r="AA3389" t="n">
        <v>460</v>
      </c>
      <c r="AB3389" t="n">
        <v>347</v>
      </c>
      <c r="AC3389" t="n">
        <v>377</v>
      </c>
      <c r="AD3389" t="n">
        <v>3</v>
      </c>
      <c r="AE3389" t="n">
        <v>3</v>
      </c>
      <c r="AF3389" t="n">
        <v>19</v>
      </c>
      <c r="AG3389" t="n">
        <v>20</v>
      </c>
      <c r="AH3389" t="n">
        <v>4</v>
      </c>
      <c r="AI3389" t="n">
        <v>4</v>
      </c>
      <c r="AJ3389" t="n">
        <v>6</v>
      </c>
      <c r="AK3389" t="n">
        <v>7</v>
      </c>
      <c r="AL3389" t="n">
        <v>12</v>
      </c>
      <c r="AM3389" t="n">
        <v>12</v>
      </c>
      <c r="AN3389" t="n">
        <v>2</v>
      </c>
      <c r="AO3389" t="n">
        <v>2</v>
      </c>
      <c r="AP3389" t="n">
        <v>0</v>
      </c>
      <c r="AQ3389" t="n">
        <v>0</v>
      </c>
      <c r="AR3389" t="inlineStr">
        <is>
          <t>No</t>
        </is>
      </c>
      <c r="AS3389" t="inlineStr">
        <is>
          <t>Yes</t>
        </is>
      </c>
      <c r="AT3389">
        <f>HYPERLINK("http://catalog.hathitrust.org/Record/001946776","HathiTrust Record")</f>
        <v/>
      </c>
      <c r="AU3389">
        <f>HYPERLINK("https://creighton-primo.hosted.exlibrisgroup.com/primo-explore/search?tab=default_tab&amp;search_scope=EVERYTHING&amp;vid=01CRU&amp;lang=en_US&amp;offset=0&amp;query=any,contains,991001515729702656","Catalog Record")</f>
        <v/>
      </c>
      <c r="AV3389">
        <f>HYPERLINK("http://www.worldcat.org/oclc/19922004","WorldCat Record")</f>
        <v/>
      </c>
      <c r="AW3389" t="inlineStr">
        <is>
          <t>21470161:eng</t>
        </is>
      </c>
      <c r="AX3389" t="inlineStr">
        <is>
          <t>19922004</t>
        </is>
      </c>
      <c r="AY3389" t="inlineStr">
        <is>
          <t>991001515729702656</t>
        </is>
      </c>
      <c r="AZ3389" t="inlineStr">
        <is>
          <t>991001515729702656</t>
        </is>
      </c>
      <c r="BA3389" t="inlineStr">
        <is>
          <t>2266994040002656</t>
        </is>
      </c>
      <c r="BB3389" t="inlineStr">
        <is>
          <t>BOOK</t>
        </is>
      </c>
      <c r="BD3389" t="inlineStr">
        <is>
          <t>9780198129882</t>
        </is>
      </c>
      <c r="BE3389" t="inlineStr">
        <is>
          <t>32285000138494</t>
        </is>
      </c>
      <c r="BF3389" t="inlineStr">
        <is>
          <t>893328174</t>
        </is>
      </c>
    </row>
    <row r="3390">
      <c r="A3390" t="inlineStr">
        <is>
          <t>No</t>
        </is>
      </c>
      <c r="B3390" t="inlineStr">
        <is>
          <t>CURAL</t>
        </is>
      </c>
      <c r="C3390" t="inlineStr">
        <is>
          <t>SHELVES</t>
        </is>
      </c>
      <c r="D3390" t="inlineStr">
        <is>
          <t>PR6045.O72 Z65</t>
        </is>
      </c>
      <c r="E3390" t="inlineStr">
        <is>
          <t>0                      PR 6045000O  72                 Z  65</t>
        </is>
      </c>
      <c r="F3390" t="inlineStr">
        <is>
          <t>The reader's art : Virginia Woolf as literary critic / by Mark Goldman.</t>
        </is>
      </c>
      <c r="H3390" t="inlineStr">
        <is>
          <t>No</t>
        </is>
      </c>
      <c r="I3390" t="inlineStr">
        <is>
          <t>1</t>
        </is>
      </c>
      <c r="J3390" t="inlineStr">
        <is>
          <t>No</t>
        </is>
      </c>
      <c r="K3390" t="inlineStr">
        <is>
          <t>No</t>
        </is>
      </c>
      <c r="L3390" t="inlineStr">
        <is>
          <t>0</t>
        </is>
      </c>
      <c r="M3390" t="inlineStr">
        <is>
          <t>Goldman, Mark.</t>
        </is>
      </c>
      <c r="N3390" t="inlineStr">
        <is>
          <t>The Hague : Mouton, 1976.</t>
        </is>
      </c>
      <c r="O3390" t="inlineStr">
        <is>
          <t>1976</t>
        </is>
      </c>
      <c r="Q3390" t="inlineStr">
        <is>
          <t>eng</t>
        </is>
      </c>
      <c r="R3390" t="inlineStr">
        <is>
          <t xml:space="preserve">ne </t>
        </is>
      </c>
      <c r="S3390" t="inlineStr">
        <is>
          <t>De proprietatibus litterarum. Series minor ; 19</t>
        </is>
      </c>
      <c r="T3390" t="inlineStr">
        <is>
          <t xml:space="preserve">PR </t>
        </is>
      </c>
      <c r="U3390" t="n">
        <v>12</v>
      </c>
      <c r="V3390" t="n">
        <v>12</v>
      </c>
      <c r="W3390" t="inlineStr">
        <is>
          <t>1999-03-29</t>
        </is>
      </c>
      <c r="X3390" t="inlineStr">
        <is>
          <t>1999-03-29</t>
        </is>
      </c>
      <c r="Y3390" t="inlineStr">
        <is>
          <t>1992-07-23</t>
        </is>
      </c>
      <c r="Z3390" t="inlineStr">
        <is>
          <t>1992-07-23</t>
        </is>
      </c>
      <c r="AA3390" t="n">
        <v>259</v>
      </c>
      <c r="AB3390" t="n">
        <v>179</v>
      </c>
      <c r="AC3390" t="n">
        <v>187</v>
      </c>
      <c r="AD3390" t="n">
        <v>3</v>
      </c>
      <c r="AE3390" t="n">
        <v>3</v>
      </c>
      <c r="AF3390" t="n">
        <v>12</v>
      </c>
      <c r="AG3390" t="n">
        <v>12</v>
      </c>
      <c r="AH3390" t="n">
        <v>2</v>
      </c>
      <c r="AI3390" t="n">
        <v>2</v>
      </c>
      <c r="AJ3390" t="n">
        <v>4</v>
      </c>
      <c r="AK3390" t="n">
        <v>4</v>
      </c>
      <c r="AL3390" t="n">
        <v>5</v>
      </c>
      <c r="AM3390" t="n">
        <v>5</v>
      </c>
      <c r="AN3390" t="n">
        <v>2</v>
      </c>
      <c r="AO3390" t="n">
        <v>2</v>
      </c>
      <c r="AP3390" t="n">
        <v>0</v>
      </c>
      <c r="AQ3390" t="n">
        <v>0</v>
      </c>
      <c r="AR3390" t="inlineStr">
        <is>
          <t>No</t>
        </is>
      </c>
      <c r="AS3390" t="inlineStr">
        <is>
          <t>Yes</t>
        </is>
      </c>
      <c r="AT3390">
        <f>HYPERLINK("http://catalog.hathitrust.org/Record/000171594","HathiTrust Record")</f>
        <v/>
      </c>
      <c r="AU3390">
        <f>HYPERLINK("https://creighton-primo.hosted.exlibrisgroup.com/primo-explore/search?tab=default_tab&amp;search_scope=EVERYTHING&amp;vid=01CRU&amp;lang=en_US&amp;offset=0&amp;query=any,contains,991004225189702656","Catalog Record")</f>
        <v/>
      </c>
      <c r="AV3390">
        <f>HYPERLINK("http://www.worldcat.org/oclc/2727760","WorldCat Record")</f>
        <v/>
      </c>
      <c r="AW3390" t="inlineStr">
        <is>
          <t>326127055:eng</t>
        </is>
      </c>
      <c r="AX3390" t="inlineStr">
        <is>
          <t>2727760</t>
        </is>
      </c>
      <c r="AY3390" t="inlineStr">
        <is>
          <t>991004225189702656</t>
        </is>
      </c>
      <c r="AZ3390" t="inlineStr">
        <is>
          <t>991004225189702656</t>
        </is>
      </c>
      <c r="BA3390" t="inlineStr">
        <is>
          <t>2270253840002656</t>
        </is>
      </c>
      <c r="BB3390" t="inlineStr">
        <is>
          <t>BOOK</t>
        </is>
      </c>
      <c r="BD3390" t="inlineStr">
        <is>
          <t>9789027932754</t>
        </is>
      </c>
      <c r="BE3390" t="inlineStr">
        <is>
          <t>32285001204634</t>
        </is>
      </c>
      <c r="BF3390" t="inlineStr">
        <is>
          <t>893512983</t>
        </is>
      </c>
    </row>
    <row r="3391">
      <c r="A3391" t="inlineStr">
        <is>
          <t>No</t>
        </is>
      </c>
      <c r="B3391" t="inlineStr">
        <is>
          <t>CURAL</t>
        </is>
      </c>
      <c r="C3391" t="inlineStr">
        <is>
          <t>SHELVES</t>
        </is>
      </c>
      <c r="D3391" t="inlineStr">
        <is>
          <t>PR6045.O72 Z653 1984</t>
        </is>
      </c>
      <c r="E3391" t="inlineStr">
        <is>
          <t>0                      PR 6045000O  72                 Z  653         1984</t>
        </is>
      </c>
      <c r="F3391" t="inlineStr">
        <is>
          <t>Virginia Woolf, a writer's life / Lyndall Gordon.</t>
        </is>
      </c>
      <c r="H3391" t="inlineStr">
        <is>
          <t>No</t>
        </is>
      </c>
      <c r="I3391" t="inlineStr">
        <is>
          <t>1</t>
        </is>
      </c>
      <c r="J3391" t="inlineStr">
        <is>
          <t>No</t>
        </is>
      </c>
      <c r="K3391" t="inlineStr">
        <is>
          <t>No</t>
        </is>
      </c>
      <c r="L3391" t="inlineStr">
        <is>
          <t>0</t>
        </is>
      </c>
      <c r="M3391" t="inlineStr">
        <is>
          <t>Gordon, Lyndall.</t>
        </is>
      </c>
      <c r="N3391" t="inlineStr">
        <is>
          <t>New York, N.Y. : Norton, c1984.</t>
        </is>
      </c>
      <c r="O3391" t="inlineStr">
        <is>
          <t>1985</t>
        </is>
      </c>
      <c r="Q3391" t="inlineStr">
        <is>
          <t>eng</t>
        </is>
      </c>
      <c r="R3391" t="inlineStr">
        <is>
          <t>nyu</t>
        </is>
      </c>
      <c r="T3391" t="inlineStr">
        <is>
          <t xml:space="preserve">PR </t>
        </is>
      </c>
      <c r="U3391" t="n">
        <v>17</v>
      </c>
      <c r="V3391" t="n">
        <v>17</v>
      </c>
      <c r="W3391" t="inlineStr">
        <is>
          <t>2006-03-20</t>
        </is>
      </c>
      <c r="X3391" t="inlineStr">
        <is>
          <t>2006-03-20</t>
        </is>
      </c>
      <c r="Y3391" t="inlineStr">
        <is>
          <t>1992-07-23</t>
        </is>
      </c>
      <c r="Z3391" t="inlineStr">
        <is>
          <t>1992-07-23</t>
        </is>
      </c>
      <c r="AA3391" t="n">
        <v>1088</v>
      </c>
      <c r="AB3391" t="n">
        <v>1033</v>
      </c>
      <c r="AC3391" t="n">
        <v>1214</v>
      </c>
      <c r="AD3391" t="n">
        <v>6</v>
      </c>
      <c r="AE3391" t="n">
        <v>8</v>
      </c>
      <c r="AF3391" t="n">
        <v>33</v>
      </c>
      <c r="AG3391" t="n">
        <v>41</v>
      </c>
      <c r="AH3391" t="n">
        <v>16</v>
      </c>
      <c r="AI3391" t="n">
        <v>18</v>
      </c>
      <c r="AJ3391" t="n">
        <v>7</v>
      </c>
      <c r="AK3391" t="n">
        <v>9</v>
      </c>
      <c r="AL3391" t="n">
        <v>15</v>
      </c>
      <c r="AM3391" t="n">
        <v>20</v>
      </c>
      <c r="AN3391" t="n">
        <v>3</v>
      </c>
      <c r="AO3391" t="n">
        <v>5</v>
      </c>
      <c r="AP3391" t="n">
        <v>0</v>
      </c>
      <c r="AQ3391" t="n">
        <v>0</v>
      </c>
      <c r="AR3391" t="inlineStr">
        <is>
          <t>No</t>
        </is>
      </c>
      <c r="AS3391" t="inlineStr">
        <is>
          <t>No</t>
        </is>
      </c>
      <c r="AU3391">
        <f>HYPERLINK("https://creighton-primo.hosted.exlibrisgroup.com/primo-explore/search?tab=default_tab&amp;search_scope=EVERYTHING&amp;vid=01CRU&amp;lang=en_US&amp;offset=0&amp;query=any,contains,991000524849702656","Catalog Record")</f>
        <v/>
      </c>
      <c r="AV3391">
        <f>HYPERLINK("http://www.worldcat.org/oclc/11369899","WorldCat Record")</f>
        <v/>
      </c>
      <c r="AW3391" t="inlineStr">
        <is>
          <t>1010859:eng</t>
        </is>
      </c>
      <c r="AX3391" t="inlineStr">
        <is>
          <t>11369899</t>
        </is>
      </c>
      <c r="AY3391" t="inlineStr">
        <is>
          <t>991000524849702656</t>
        </is>
      </c>
      <c r="AZ3391" t="inlineStr">
        <is>
          <t>991000524849702656</t>
        </is>
      </c>
      <c r="BA3391" t="inlineStr">
        <is>
          <t>2271560800002656</t>
        </is>
      </c>
      <c r="BB3391" t="inlineStr">
        <is>
          <t>BOOK</t>
        </is>
      </c>
      <c r="BD3391" t="inlineStr">
        <is>
          <t>9780393018912</t>
        </is>
      </c>
      <c r="BE3391" t="inlineStr">
        <is>
          <t>32285001204642</t>
        </is>
      </c>
      <c r="BF3391" t="inlineStr">
        <is>
          <t>893871760</t>
        </is>
      </c>
    </row>
    <row r="3392">
      <c r="A3392" t="inlineStr">
        <is>
          <t>No</t>
        </is>
      </c>
      <c r="B3392" t="inlineStr">
        <is>
          <t>CURAL</t>
        </is>
      </c>
      <c r="C3392" t="inlineStr">
        <is>
          <t>SHELVES</t>
        </is>
      </c>
      <c r="D3392" t="inlineStr">
        <is>
          <t>PR6045.O72 Z654 1989</t>
        </is>
      </c>
      <c r="E3392" t="inlineStr">
        <is>
          <t>0                      PR 6045000O  72                 Z  654         1989</t>
        </is>
      </c>
      <c r="F3392" t="inlineStr">
        <is>
          <t>Virginia Woolf / by Susan Rubinow Gorsky.</t>
        </is>
      </c>
      <c r="H3392" t="inlineStr">
        <is>
          <t>No</t>
        </is>
      </c>
      <c r="I3392" t="inlineStr">
        <is>
          <t>1</t>
        </is>
      </c>
      <c r="J3392" t="inlineStr">
        <is>
          <t>No</t>
        </is>
      </c>
      <c r="K3392" t="inlineStr">
        <is>
          <t>No</t>
        </is>
      </c>
      <c r="L3392" t="inlineStr">
        <is>
          <t>0</t>
        </is>
      </c>
      <c r="M3392" t="inlineStr">
        <is>
          <t>Gorsky, Susan Rubinow.</t>
        </is>
      </c>
      <c r="N3392" t="inlineStr">
        <is>
          <t>Boston : Twayne, c1989.</t>
        </is>
      </c>
      <c r="O3392" t="inlineStr">
        <is>
          <t>1988</t>
        </is>
      </c>
      <c r="P3392" t="inlineStr">
        <is>
          <t>Rev. ed.</t>
        </is>
      </c>
      <c r="Q3392" t="inlineStr">
        <is>
          <t>eng</t>
        </is>
      </c>
      <c r="R3392" t="inlineStr">
        <is>
          <t>mau</t>
        </is>
      </c>
      <c r="S3392" t="inlineStr">
        <is>
          <t>Twayne's English authors series ; TEAS 243</t>
        </is>
      </c>
      <c r="T3392" t="inlineStr">
        <is>
          <t xml:space="preserve">PR </t>
        </is>
      </c>
      <c r="U3392" t="n">
        <v>4</v>
      </c>
      <c r="V3392" t="n">
        <v>4</v>
      </c>
      <c r="W3392" t="inlineStr">
        <is>
          <t>1997-04-07</t>
        </is>
      </c>
      <c r="X3392" t="inlineStr">
        <is>
          <t>1997-04-07</t>
        </is>
      </c>
      <c r="Y3392" t="inlineStr">
        <is>
          <t>1992-04-22</t>
        </is>
      </c>
      <c r="Z3392" t="inlineStr">
        <is>
          <t>1992-04-22</t>
        </is>
      </c>
      <c r="AA3392" t="n">
        <v>710</v>
      </c>
      <c r="AB3392" t="n">
        <v>632</v>
      </c>
      <c r="AC3392" t="n">
        <v>1598</v>
      </c>
      <c r="AD3392" t="n">
        <v>6</v>
      </c>
      <c r="AE3392" t="n">
        <v>12</v>
      </c>
      <c r="AF3392" t="n">
        <v>27</v>
      </c>
      <c r="AG3392" t="n">
        <v>54</v>
      </c>
      <c r="AH3392" t="n">
        <v>9</v>
      </c>
      <c r="AI3392" t="n">
        <v>24</v>
      </c>
      <c r="AJ3392" t="n">
        <v>5</v>
      </c>
      <c r="AK3392" t="n">
        <v>9</v>
      </c>
      <c r="AL3392" t="n">
        <v>14</v>
      </c>
      <c r="AM3392" t="n">
        <v>22</v>
      </c>
      <c r="AN3392" t="n">
        <v>5</v>
      </c>
      <c r="AO3392" t="n">
        <v>11</v>
      </c>
      <c r="AP3392" t="n">
        <v>0</v>
      </c>
      <c r="AQ3392" t="n">
        <v>0</v>
      </c>
      <c r="AR3392" t="inlineStr">
        <is>
          <t>No</t>
        </is>
      </c>
      <c r="AS3392" t="inlineStr">
        <is>
          <t>Yes</t>
        </is>
      </c>
      <c r="AT3392">
        <f>HYPERLINK("http://catalog.hathitrust.org/Record/001083214","HathiTrust Record")</f>
        <v/>
      </c>
      <c r="AU3392">
        <f>HYPERLINK("https://creighton-primo.hosted.exlibrisgroup.com/primo-explore/search?tab=default_tab&amp;search_scope=EVERYTHING&amp;vid=01CRU&amp;lang=en_US&amp;offset=0&amp;query=any,contains,991001290619702656","Catalog Record")</f>
        <v/>
      </c>
      <c r="AV3392">
        <f>HYPERLINK("http://www.worldcat.org/oclc/17983393","WorldCat Record")</f>
        <v/>
      </c>
      <c r="AW3392" t="inlineStr">
        <is>
          <t>3826692:eng</t>
        </is>
      </c>
      <c r="AX3392" t="inlineStr">
        <is>
          <t>17983393</t>
        </is>
      </c>
      <c r="AY3392" t="inlineStr">
        <is>
          <t>991001290619702656</t>
        </is>
      </c>
      <c r="AZ3392" t="inlineStr">
        <is>
          <t>991001290619702656</t>
        </is>
      </c>
      <c r="BA3392" t="inlineStr">
        <is>
          <t>2258767250002656</t>
        </is>
      </c>
      <c r="BB3392" t="inlineStr">
        <is>
          <t>BOOK</t>
        </is>
      </c>
      <c r="BD3392" t="inlineStr">
        <is>
          <t>9780805769685</t>
        </is>
      </c>
      <c r="BE3392" t="inlineStr">
        <is>
          <t>32285001064111</t>
        </is>
      </c>
      <c r="BF3392" t="inlineStr">
        <is>
          <t>893715346</t>
        </is>
      </c>
    </row>
    <row r="3393">
      <c r="A3393" t="inlineStr">
        <is>
          <t>No</t>
        </is>
      </c>
      <c r="B3393" t="inlineStr">
        <is>
          <t>CURAL</t>
        </is>
      </c>
      <c r="C3393" t="inlineStr">
        <is>
          <t>SHELVES</t>
        </is>
      </c>
      <c r="D3393" t="inlineStr">
        <is>
          <t>PR6045.O72 Z663</t>
        </is>
      </c>
      <c r="E3393" t="inlineStr">
        <is>
          <t>0                      PR 6045000O  72                 Z  663</t>
        </is>
      </c>
      <c r="F3393" t="inlineStr">
        <is>
          <t>Recollections of Virginia Woolf; edited and with an introduction by Joan Russell Noble.</t>
        </is>
      </c>
      <c r="H3393" t="inlineStr">
        <is>
          <t>No</t>
        </is>
      </c>
      <c r="I3393" t="inlineStr">
        <is>
          <t>1</t>
        </is>
      </c>
      <c r="J3393" t="inlineStr">
        <is>
          <t>No</t>
        </is>
      </c>
      <c r="K3393" t="inlineStr">
        <is>
          <t>No</t>
        </is>
      </c>
      <c r="L3393" t="inlineStr">
        <is>
          <t>0</t>
        </is>
      </c>
      <c r="M3393" t="inlineStr">
        <is>
          <t>Noble, Joan Russell.</t>
        </is>
      </c>
      <c r="N3393" t="inlineStr">
        <is>
          <t>London, Owen, 1972.</t>
        </is>
      </c>
      <c r="O3393" t="inlineStr">
        <is>
          <t>1972</t>
        </is>
      </c>
      <c r="Q3393" t="inlineStr">
        <is>
          <t>eng</t>
        </is>
      </c>
      <c r="R3393" t="inlineStr">
        <is>
          <t>enk</t>
        </is>
      </c>
      <c r="T3393" t="inlineStr">
        <is>
          <t xml:space="preserve">PR </t>
        </is>
      </c>
      <c r="U3393" t="n">
        <v>2</v>
      </c>
      <c r="V3393" t="n">
        <v>2</v>
      </c>
      <c r="W3393" t="inlineStr">
        <is>
          <t>1997-08-04</t>
        </is>
      </c>
      <c r="X3393" t="inlineStr">
        <is>
          <t>1997-08-04</t>
        </is>
      </c>
      <c r="Y3393" t="inlineStr">
        <is>
          <t>1997-04-23</t>
        </is>
      </c>
      <c r="Z3393" t="inlineStr">
        <is>
          <t>1997-04-23</t>
        </is>
      </c>
      <c r="AA3393" t="n">
        <v>328</v>
      </c>
      <c r="AB3393" t="n">
        <v>165</v>
      </c>
      <c r="AC3393" t="n">
        <v>863</v>
      </c>
      <c r="AD3393" t="n">
        <v>1</v>
      </c>
      <c r="AE3393" t="n">
        <v>7</v>
      </c>
      <c r="AF3393" t="n">
        <v>6</v>
      </c>
      <c r="AG3393" t="n">
        <v>30</v>
      </c>
      <c r="AH3393" t="n">
        <v>1</v>
      </c>
      <c r="AI3393" t="n">
        <v>8</v>
      </c>
      <c r="AJ3393" t="n">
        <v>2</v>
      </c>
      <c r="AK3393" t="n">
        <v>7</v>
      </c>
      <c r="AL3393" t="n">
        <v>5</v>
      </c>
      <c r="AM3393" t="n">
        <v>17</v>
      </c>
      <c r="AN3393" t="n">
        <v>0</v>
      </c>
      <c r="AO3393" t="n">
        <v>6</v>
      </c>
      <c r="AP3393" t="n">
        <v>0</v>
      </c>
      <c r="AQ3393" t="n">
        <v>0</v>
      </c>
      <c r="AR3393" t="inlineStr">
        <is>
          <t>No</t>
        </is>
      </c>
      <c r="AS3393" t="inlineStr">
        <is>
          <t>Yes</t>
        </is>
      </c>
      <c r="AT3393">
        <f>HYPERLINK("http://catalog.hathitrust.org/Record/001188898","HathiTrust Record")</f>
        <v/>
      </c>
      <c r="AU3393">
        <f>HYPERLINK("https://creighton-primo.hosted.exlibrisgroup.com/primo-explore/search?tab=default_tab&amp;search_scope=EVERYTHING&amp;vid=01CRU&amp;lang=en_US&amp;offset=0&amp;query=any,contains,991002857059702656","Catalog Record")</f>
        <v/>
      </c>
      <c r="AV3393">
        <f>HYPERLINK("http://www.worldcat.org/oclc/490492","WorldCat Record")</f>
        <v/>
      </c>
      <c r="AW3393" t="inlineStr">
        <is>
          <t>5218568624:eng</t>
        </is>
      </c>
      <c r="AX3393" t="inlineStr">
        <is>
          <t>490492</t>
        </is>
      </c>
      <c r="AY3393" t="inlineStr">
        <is>
          <t>991002857059702656</t>
        </is>
      </c>
      <c r="AZ3393" t="inlineStr">
        <is>
          <t>991002857059702656</t>
        </is>
      </c>
      <c r="BA3393" t="inlineStr">
        <is>
          <t>2257746020002656</t>
        </is>
      </c>
      <c r="BB3393" t="inlineStr">
        <is>
          <t>BOOK</t>
        </is>
      </c>
      <c r="BD3393" t="inlineStr">
        <is>
          <t>9780720604511</t>
        </is>
      </c>
      <c r="BE3393" t="inlineStr">
        <is>
          <t>32285002590486</t>
        </is>
      </c>
      <c r="BF3393" t="inlineStr">
        <is>
          <t>893685868</t>
        </is>
      </c>
    </row>
    <row r="3394">
      <c r="A3394" t="inlineStr">
        <is>
          <t>No</t>
        </is>
      </c>
      <c r="B3394" t="inlineStr">
        <is>
          <t>CURAL</t>
        </is>
      </c>
      <c r="C3394" t="inlineStr">
        <is>
          <t>SHELVES</t>
        </is>
      </c>
      <c r="D3394" t="inlineStr">
        <is>
          <t>PR6045.O72 Z673</t>
        </is>
      </c>
      <c r="E3394" t="inlineStr">
        <is>
          <t>0                      PR 6045000O  72                 Z  673</t>
        </is>
      </c>
      <c r="F3394" t="inlineStr">
        <is>
          <t>Virginia Woolf and her works. Translated by Jean Stewart.</t>
        </is>
      </c>
      <c r="H3394" t="inlineStr">
        <is>
          <t>No</t>
        </is>
      </c>
      <c r="I3394" t="inlineStr">
        <is>
          <t>1</t>
        </is>
      </c>
      <c r="J3394" t="inlineStr">
        <is>
          <t>No</t>
        </is>
      </c>
      <c r="K3394" t="inlineStr">
        <is>
          <t>Yes</t>
        </is>
      </c>
      <c r="L3394" t="inlineStr">
        <is>
          <t>0</t>
        </is>
      </c>
      <c r="M3394" t="inlineStr">
        <is>
          <t>Guiguet, Jean.</t>
        </is>
      </c>
      <c r="N3394" t="inlineStr">
        <is>
          <t>New York, Harcourt, Brace &amp; World, [1966, c1965]</t>
        </is>
      </c>
      <c r="O3394" t="inlineStr">
        <is>
          <t>1966</t>
        </is>
      </c>
      <c r="P3394" t="inlineStr">
        <is>
          <t>[1st American ed.]</t>
        </is>
      </c>
      <c r="Q3394" t="inlineStr">
        <is>
          <t>eng</t>
        </is>
      </c>
      <c r="R3394" t="inlineStr">
        <is>
          <t>nyu</t>
        </is>
      </c>
      <c r="T3394" t="inlineStr">
        <is>
          <t xml:space="preserve">PR </t>
        </is>
      </c>
      <c r="U3394" t="n">
        <v>10</v>
      </c>
      <c r="V3394" t="n">
        <v>10</v>
      </c>
      <c r="W3394" t="inlineStr">
        <is>
          <t>2002-03-21</t>
        </is>
      </c>
      <c r="X3394" t="inlineStr">
        <is>
          <t>2002-03-21</t>
        </is>
      </c>
      <c r="Y3394" t="inlineStr">
        <is>
          <t>1997-04-23</t>
        </is>
      </c>
      <c r="Z3394" t="inlineStr">
        <is>
          <t>1997-04-23</t>
        </is>
      </c>
      <c r="AA3394" t="n">
        <v>695</v>
      </c>
      <c r="AB3394" t="n">
        <v>669</v>
      </c>
      <c r="AC3394" t="n">
        <v>1063</v>
      </c>
      <c r="AD3394" t="n">
        <v>8</v>
      </c>
      <c r="AE3394" t="n">
        <v>9</v>
      </c>
      <c r="AF3394" t="n">
        <v>20</v>
      </c>
      <c r="AG3394" t="n">
        <v>43</v>
      </c>
      <c r="AH3394" t="n">
        <v>7</v>
      </c>
      <c r="AI3394" t="n">
        <v>18</v>
      </c>
      <c r="AJ3394" t="n">
        <v>4</v>
      </c>
      <c r="AK3394" t="n">
        <v>8</v>
      </c>
      <c r="AL3394" t="n">
        <v>7</v>
      </c>
      <c r="AM3394" t="n">
        <v>21</v>
      </c>
      <c r="AN3394" t="n">
        <v>7</v>
      </c>
      <c r="AO3394" t="n">
        <v>8</v>
      </c>
      <c r="AP3394" t="n">
        <v>0</v>
      </c>
      <c r="AQ3394" t="n">
        <v>0</v>
      </c>
      <c r="AR3394" t="inlineStr">
        <is>
          <t>No</t>
        </is>
      </c>
      <c r="AS3394" t="inlineStr">
        <is>
          <t>Yes</t>
        </is>
      </c>
      <c r="AT3394">
        <f>HYPERLINK("http://catalog.hathitrust.org/Record/007123438","HathiTrust Record")</f>
        <v/>
      </c>
      <c r="AU3394">
        <f>HYPERLINK("https://creighton-primo.hosted.exlibrisgroup.com/primo-explore/search?tab=default_tab&amp;search_scope=EVERYTHING&amp;vid=01CRU&amp;lang=en_US&amp;offset=0&amp;query=any,contains,991004432399702656","Catalog Record")</f>
        <v/>
      </c>
      <c r="AV3394">
        <f>HYPERLINK("http://www.worldcat.org/oclc/3428679","WorldCat Record")</f>
        <v/>
      </c>
      <c r="AW3394" t="inlineStr">
        <is>
          <t>9094352:eng</t>
        </is>
      </c>
      <c r="AX3394" t="inlineStr">
        <is>
          <t>3428679</t>
        </is>
      </c>
      <c r="AY3394" t="inlineStr">
        <is>
          <t>991004432399702656</t>
        </is>
      </c>
      <c r="AZ3394" t="inlineStr">
        <is>
          <t>991004432399702656</t>
        </is>
      </c>
      <c r="BA3394" t="inlineStr">
        <is>
          <t>2258410310002656</t>
        </is>
      </c>
      <c r="BB3394" t="inlineStr">
        <is>
          <t>BOOK</t>
        </is>
      </c>
      <c r="BE3394" t="inlineStr">
        <is>
          <t>32285002590494</t>
        </is>
      </c>
      <c r="BF3394" t="inlineStr">
        <is>
          <t>893895006</t>
        </is>
      </c>
    </row>
    <row r="3395">
      <c r="A3395" t="inlineStr">
        <is>
          <t>No</t>
        </is>
      </c>
      <c r="B3395" t="inlineStr">
        <is>
          <t>CURAL</t>
        </is>
      </c>
      <c r="C3395" t="inlineStr">
        <is>
          <t>SHELVES</t>
        </is>
      </c>
      <c r="D3395" t="inlineStr">
        <is>
          <t>PR6045.O72 Z673 1976</t>
        </is>
      </c>
      <c r="E3395" t="inlineStr">
        <is>
          <t>0                      PR 6045000O  72                 Z  673         1976</t>
        </is>
      </c>
      <c r="F3395" t="inlineStr">
        <is>
          <t>Virginia Woolf and her works / by Jean Guiguet ; translated by Jean Stewart.</t>
        </is>
      </c>
      <c r="H3395" t="inlineStr">
        <is>
          <t>No</t>
        </is>
      </c>
      <c r="I3395" t="inlineStr">
        <is>
          <t>1</t>
        </is>
      </c>
      <c r="J3395" t="inlineStr">
        <is>
          <t>No</t>
        </is>
      </c>
      <c r="K3395" t="inlineStr">
        <is>
          <t>Yes</t>
        </is>
      </c>
      <c r="L3395" t="inlineStr">
        <is>
          <t>0</t>
        </is>
      </c>
      <c r="M3395" t="inlineStr">
        <is>
          <t>Guiguet, Jean.</t>
        </is>
      </c>
      <c r="N3395" t="inlineStr">
        <is>
          <t>New York : Harcourt Brace Jovanovich, 1976, c1965.</t>
        </is>
      </c>
      <c r="O3395" t="inlineStr">
        <is>
          <t>1976</t>
        </is>
      </c>
      <c r="Q3395" t="inlineStr">
        <is>
          <t>eng</t>
        </is>
      </c>
      <c r="R3395" t="inlineStr">
        <is>
          <t>nyu</t>
        </is>
      </c>
      <c r="S3395" t="inlineStr">
        <is>
          <t>A Harvest book ; HB 342</t>
        </is>
      </c>
      <c r="T3395" t="inlineStr">
        <is>
          <t xml:space="preserve">PR </t>
        </is>
      </c>
      <c r="U3395" t="n">
        <v>3</v>
      </c>
      <c r="V3395" t="n">
        <v>3</v>
      </c>
      <c r="W3395" t="inlineStr">
        <is>
          <t>2002-03-21</t>
        </is>
      </c>
      <c r="X3395" t="inlineStr">
        <is>
          <t>2002-03-21</t>
        </is>
      </c>
      <c r="Y3395" t="inlineStr">
        <is>
          <t>1992-07-23</t>
        </is>
      </c>
      <c r="Z3395" t="inlineStr">
        <is>
          <t>1992-07-23</t>
        </is>
      </c>
      <c r="AA3395" t="n">
        <v>278</v>
      </c>
      <c r="AB3395" t="n">
        <v>256</v>
      </c>
      <c r="AC3395" t="n">
        <v>1063</v>
      </c>
      <c r="AD3395" t="n">
        <v>1</v>
      </c>
      <c r="AE3395" t="n">
        <v>9</v>
      </c>
      <c r="AF3395" t="n">
        <v>9</v>
      </c>
      <c r="AG3395" t="n">
        <v>43</v>
      </c>
      <c r="AH3395" t="n">
        <v>5</v>
      </c>
      <c r="AI3395" t="n">
        <v>18</v>
      </c>
      <c r="AJ3395" t="n">
        <v>2</v>
      </c>
      <c r="AK3395" t="n">
        <v>8</v>
      </c>
      <c r="AL3395" t="n">
        <v>6</v>
      </c>
      <c r="AM3395" t="n">
        <v>21</v>
      </c>
      <c r="AN3395" t="n">
        <v>0</v>
      </c>
      <c r="AO3395" t="n">
        <v>8</v>
      </c>
      <c r="AP3395" t="n">
        <v>0</v>
      </c>
      <c r="AQ3395" t="n">
        <v>0</v>
      </c>
      <c r="AR3395" t="inlineStr">
        <is>
          <t>No</t>
        </is>
      </c>
      <c r="AS3395" t="inlineStr">
        <is>
          <t>No</t>
        </is>
      </c>
      <c r="AU3395">
        <f>HYPERLINK("https://creighton-primo.hosted.exlibrisgroup.com/primo-explore/search?tab=default_tab&amp;search_scope=EVERYTHING&amp;vid=01CRU&amp;lang=en_US&amp;offset=0&amp;query=any,contains,991002523619702656","Catalog Record")</f>
        <v/>
      </c>
      <c r="AV3395">
        <f>HYPERLINK("http://www.worldcat.org/oclc/366382","WorldCat Record")</f>
        <v/>
      </c>
      <c r="AW3395" t="inlineStr">
        <is>
          <t>9094352:eng</t>
        </is>
      </c>
      <c r="AX3395" t="inlineStr">
        <is>
          <t>366382</t>
        </is>
      </c>
      <c r="AY3395" t="inlineStr">
        <is>
          <t>991002523619702656</t>
        </is>
      </c>
      <c r="AZ3395" t="inlineStr">
        <is>
          <t>991002523619702656</t>
        </is>
      </c>
      <c r="BA3395" t="inlineStr">
        <is>
          <t>2264380210002656</t>
        </is>
      </c>
      <c r="BB3395" t="inlineStr">
        <is>
          <t>BOOK</t>
        </is>
      </c>
      <c r="BD3395" t="inlineStr">
        <is>
          <t>9780156936309</t>
        </is>
      </c>
      <c r="BE3395" t="inlineStr">
        <is>
          <t>32285001204659</t>
        </is>
      </c>
      <c r="BF3395" t="inlineStr">
        <is>
          <t>893323036</t>
        </is>
      </c>
    </row>
    <row r="3396">
      <c r="A3396" t="inlineStr">
        <is>
          <t>No</t>
        </is>
      </c>
      <c r="B3396" t="inlineStr">
        <is>
          <t>CURAL</t>
        </is>
      </c>
      <c r="C3396" t="inlineStr">
        <is>
          <t>SHELVES</t>
        </is>
      </c>
      <c r="D3396" t="inlineStr">
        <is>
          <t>PR6045.O72 Z69 1982</t>
        </is>
      </c>
      <c r="E3396" t="inlineStr">
        <is>
          <t>0                      PR 6045000O  72                 Z  69          1982</t>
        </is>
      </c>
      <c r="F3396" t="inlineStr">
        <is>
          <t>Between language and silence : the novels of Virginia Woolf / Howard Harper.</t>
        </is>
      </c>
      <c r="H3396" t="inlineStr">
        <is>
          <t>No</t>
        </is>
      </c>
      <c r="I3396" t="inlineStr">
        <is>
          <t>1</t>
        </is>
      </c>
      <c r="J3396" t="inlineStr">
        <is>
          <t>No</t>
        </is>
      </c>
      <c r="K3396" t="inlineStr">
        <is>
          <t>No</t>
        </is>
      </c>
      <c r="L3396" t="inlineStr">
        <is>
          <t>0</t>
        </is>
      </c>
      <c r="M3396" t="inlineStr">
        <is>
          <t>Harper, Howard H.</t>
        </is>
      </c>
      <c r="N3396" t="inlineStr">
        <is>
          <t>Baton Rouge : Louisiana State University Press, c1982.</t>
        </is>
      </c>
      <c r="O3396" t="inlineStr">
        <is>
          <t>1982</t>
        </is>
      </c>
      <c r="Q3396" t="inlineStr">
        <is>
          <t>eng</t>
        </is>
      </c>
      <c r="R3396" t="inlineStr">
        <is>
          <t>lau</t>
        </is>
      </c>
      <c r="T3396" t="inlineStr">
        <is>
          <t xml:space="preserve">PR </t>
        </is>
      </c>
      <c r="U3396" t="n">
        <v>12</v>
      </c>
      <c r="V3396" t="n">
        <v>12</v>
      </c>
      <c r="W3396" t="inlineStr">
        <is>
          <t>2004-12-23</t>
        </is>
      </c>
      <c r="X3396" t="inlineStr">
        <is>
          <t>2004-12-23</t>
        </is>
      </c>
      <c r="Y3396" t="inlineStr">
        <is>
          <t>1992-07-23</t>
        </is>
      </c>
      <c r="Z3396" t="inlineStr">
        <is>
          <t>1992-07-23</t>
        </is>
      </c>
      <c r="AA3396" t="n">
        <v>618</v>
      </c>
      <c r="AB3396" t="n">
        <v>500</v>
      </c>
      <c r="AC3396" t="n">
        <v>501</v>
      </c>
      <c r="AD3396" t="n">
        <v>5</v>
      </c>
      <c r="AE3396" t="n">
        <v>5</v>
      </c>
      <c r="AF3396" t="n">
        <v>26</v>
      </c>
      <c r="AG3396" t="n">
        <v>26</v>
      </c>
      <c r="AH3396" t="n">
        <v>8</v>
      </c>
      <c r="AI3396" t="n">
        <v>8</v>
      </c>
      <c r="AJ3396" t="n">
        <v>6</v>
      </c>
      <c r="AK3396" t="n">
        <v>6</v>
      </c>
      <c r="AL3396" t="n">
        <v>14</v>
      </c>
      <c r="AM3396" t="n">
        <v>14</v>
      </c>
      <c r="AN3396" t="n">
        <v>4</v>
      </c>
      <c r="AO3396" t="n">
        <v>4</v>
      </c>
      <c r="AP3396" t="n">
        <v>0</v>
      </c>
      <c r="AQ3396" t="n">
        <v>0</v>
      </c>
      <c r="AR3396" t="inlineStr">
        <is>
          <t>No</t>
        </is>
      </c>
      <c r="AS3396" t="inlineStr">
        <is>
          <t>No</t>
        </is>
      </c>
      <c r="AU3396">
        <f>HYPERLINK("https://creighton-primo.hosted.exlibrisgroup.com/primo-explore/search?tab=default_tab&amp;search_scope=EVERYTHING&amp;vid=01CRU&amp;lang=en_US&amp;offset=0&amp;query=any,contains,991005194739702656","Catalog Record")</f>
        <v/>
      </c>
      <c r="AV3396">
        <f>HYPERLINK("http://www.worldcat.org/oclc/8034394","WorldCat Record")</f>
        <v/>
      </c>
      <c r="AW3396" t="inlineStr">
        <is>
          <t>309030752:eng</t>
        </is>
      </c>
      <c r="AX3396" t="inlineStr">
        <is>
          <t>8034394</t>
        </is>
      </c>
      <c r="AY3396" t="inlineStr">
        <is>
          <t>991005194739702656</t>
        </is>
      </c>
      <c r="AZ3396" t="inlineStr">
        <is>
          <t>991005194739702656</t>
        </is>
      </c>
      <c r="BA3396" t="inlineStr">
        <is>
          <t>2266991860002656</t>
        </is>
      </c>
      <c r="BB3396" t="inlineStr">
        <is>
          <t>BOOK</t>
        </is>
      </c>
      <c r="BD3396" t="inlineStr">
        <is>
          <t>9780807109960</t>
        </is>
      </c>
      <c r="BE3396" t="inlineStr">
        <is>
          <t>32285001204667</t>
        </is>
      </c>
      <c r="BF3396" t="inlineStr">
        <is>
          <t>893320211</t>
        </is>
      </c>
    </row>
    <row r="3397">
      <c r="A3397" t="inlineStr">
        <is>
          <t>No</t>
        </is>
      </c>
      <c r="B3397" t="inlineStr">
        <is>
          <t>CURAL</t>
        </is>
      </c>
      <c r="C3397" t="inlineStr">
        <is>
          <t>SHELVES</t>
        </is>
      </c>
      <c r="D3397" t="inlineStr">
        <is>
          <t>PR6045.O72 Z745 1980</t>
        </is>
      </c>
      <c r="E3397" t="inlineStr">
        <is>
          <t>0                      PR 6045000O  72                 Z  745         1980</t>
        </is>
      </c>
      <c r="F3397" t="inlineStr">
        <is>
          <t>Virginia Woolf's vision of life and her search for significant form : a study in the shaping vision / Vijay Kapur.</t>
        </is>
      </c>
      <c r="H3397" t="inlineStr">
        <is>
          <t>No</t>
        </is>
      </c>
      <c r="I3397" t="inlineStr">
        <is>
          <t>1</t>
        </is>
      </c>
      <c r="J3397" t="inlineStr">
        <is>
          <t>No</t>
        </is>
      </c>
      <c r="K3397" t="inlineStr">
        <is>
          <t>No</t>
        </is>
      </c>
      <c r="L3397" t="inlineStr">
        <is>
          <t>0</t>
        </is>
      </c>
      <c r="M3397" t="inlineStr">
        <is>
          <t>Kapur, Vijay.</t>
        </is>
      </c>
      <c r="N3397" t="inlineStr">
        <is>
          <t>Atlantic Highlands, N.J. : Humanities Press, 1980, c1979.</t>
        </is>
      </c>
      <c r="O3397" t="inlineStr">
        <is>
          <t>1980</t>
        </is>
      </c>
      <c r="Q3397" t="inlineStr">
        <is>
          <t>eng</t>
        </is>
      </c>
      <c r="R3397" t="inlineStr">
        <is>
          <t>nju</t>
        </is>
      </c>
      <c r="T3397" t="inlineStr">
        <is>
          <t xml:space="preserve">PR </t>
        </is>
      </c>
      <c r="U3397" t="n">
        <v>5</v>
      </c>
      <c r="V3397" t="n">
        <v>5</v>
      </c>
      <c r="W3397" t="inlineStr">
        <is>
          <t>1997-07-30</t>
        </is>
      </c>
      <c r="X3397" t="inlineStr">
        <is>
          <t>1997-07-30</t>
        </is>
      </c>
      <c r="Y3397" t="inlineStr">
        <is>
          <t>1992-07-23</t>
        </is>
      </c>
      <c r="Z3397" t="inlineStr">
        <is>
          <t>1992-07-23</t>
        </is>
      </c>
      <c r="AA3397" t="n">
        <v>157</v>
      </c>
      <c r="AB3397" t="n">
        <v>140</v>
      </c>
      <c r="AC3397" t="n">
        <v>162</v>
      </c>
      <c r="AD3397" t="n">
        <v>2</v>
      </c>
      <c r="AE3397" t="n">
        <v>2</v>
      </c>
      <c r="AF3397" t="n">
        <v>6</v>
      </c>
      <c r="AG3397" t="n">
        <v>7</v>
      </c>
      <c r="AH3397" t="n">
        <v>2</v>
      </c>
      <c r="AI3397" t="n">
        <v>3</v>
      </c>
      <c r="AJ3397" t="n">
        <v>2</v>
      </c>
      <c r="AK3397" t="n">
        <v>2</v>
      </c>
      <c r="AL3397" t="n">
        <v>2</v>
      </c>
      <c r="AM3397" t="n">
        <v>3</v>
      </c>
      <c r="AN3397" t="n">
        <v>1</v>
      </c>
      <c r="AO3397" t="n">
        <v>1</v>
      </c>
      <c r="AP3397" t="n">
        <v>0</v>
      </c>
      <c r="AQ3397" t="n">
        <v>0</v>
      </c>
      <c r="AR3397" t="inlineStr">
        <is>
          <t>No</t>
        </is>
      </c>
      <c r="AS3397" t="inlineStr">
        <is>
          <t>Yes</t>
        </is>
      </c>
      <c r="AT3397">
        <f>HYPERLINK("http://catalog.hathitrust.org/Record/007104530","HathiTrust Record")</f>
        <v/>
      </c>
      <c r="AU3397">
        <f>HYPERLINK("https://creighton-primo.hosted.exlibrisgroup.com/primo-explore/search?tab=default_tab&amp;search_scope=EVERYTHING&amp;vid=01CRU&amp;lang=en_US&amp;offset=0&amp;query=any,contains,991005076679702656","Catalog Record")</f>
        <v/>
      </c>
      <c r="AV3397">
        <f>HYPERLINK("http://www.worldcat.org/oclc/7122644","WorldCat Record")</f>
        <v/>
      </c>
      <c r="AW3397" t="inlineStr">
        <is>
          <t>459014:eng</t>
        </is>
      </c>
      <c r="AX3397" t="inlineStr">
        <is>
          <t>7122644</t>
        </is>
      </c>
      <c r="AY3397" t="inlineStr">
        <is>
          <t>991005076679702656</t>
        </is>
      </c>
      <c r="AZ3397" t="inlineStr">
        <is>
          <t>991005076679702656</t>
        </is>
      </c>
      <c r="BA3397" t="inlineStr">
        <is>
          <t>2260120070002656</t>
        </is>
      </c>
      <c r="BB3397" t="inlineStr">
        <is>
          <t>BOOK</t>
        </is>
      </c>
      <c r="BD3397" t="inlineStr">
        <is>
          <t>9780391017535</t>
        </is>
      </c>
      <c r="BE3397" t="inlineStr">
        <is>
          <t>32285001204683</t>
        </is>
      </c>
      <c r="BF3397" t="inlineStr">
        <is>
          <t>893801685</t>
        </is>
      </c>
    </row>
    <row r="3398">
      <c r="A3398" t="inlineStr">
        <is>
          <t>No</t>
        </is>
      </c>
      <c r="B3398" t="inlineStr">
        <is>
          <t>CURAL</t>
        </is>
      </c>
      <c r="C3398" t="inlineStr">
        <is>
          <t>SHELVES</t>
        </is>
      </c>
      <c r="D3398" t="inlineStr">
        <is>
          <t>PR6045.O72 Z75</t>
        </is>
      </c>
      <c r="E3398" t="inlineStr">
        <is>
          <t>0                      PR 6045000O  72                 Z  75</t>
        </is>
      </c>
      <c r="F3398" t="inlineStr">
        <is>
          <t>The novels of Virginia Woolf : fact and vision / Alice van Buren Kelley.</t>
        </is>
      </c>
      <c r="H3398" t="inlineStr">
        <is>
          <t>No</t>
        </is>
      </c>
      <c r="I3398" t="inlineStr">
        <is>
          <t>1</t>
        </is>
      </c>
      <c r="J3398" t="inlineStr">
        <is>
          <t>No</t>
        </is>
      </c>
      <c r="K3398" t="inlineStr">
        <is>
          <t>No</t>
        </is>
      </c>
      <c r="L3398" t="inlineStr">
        <is>
          <t>0</t>
        </is>
      </c>
      <c r="M3398" t="inlineStr">
        <is>
          <t>Kelley, Alice van Buren.</t>
        </is>
      </c>
      <c r="N3398" t="inlineStr">
        <is>
          <t>Chicago : University of Chicago Press, 1973.</t>
        </is>
      </c>
      <c r="O3398" t="inlineStr">
        <is>
          <t>1973</t>
        </is>
      </c>
      <c r="Q3398" t="inlineStr">
        <is>
          <t>eng</t>
        </is>
      </c>
      <c r="R3398" t="inlineStr">
        <is>
          <t>ilu</t>
        </is>
      </c>
      <c r="T3398" t="inlineStr">
        <is>
          <t xml:space="preserve">PR </t>
        </is>
      </c>
      <c r="U3398" t="n">
        <v>3</v>
      </c>
      <c r="V3398" t="n">
        <v>3</v>
      </c>
      <c r="W3398" t="inlineStr">
        <is>
          <t>1998-11-01</t>
        </is>
      </c>
      <c r="X3398" t="inlineStr">
        <is>
          <t>1998-11-01</t>
        </is>
      </c>
      <c r="Y3398" t="inlineStr">
        <is>
          <t>1997-04-23</t>
        </is>
      </c>
      <c r="Z3398" t="inlineStr">
        <is>
          <t>1997-04-23</t>
        </is>
      </c>
      <c r="AA3398" t="n">
        <v>946</v>
      </c>
      <c r="AB3398" t="n">
        <v>755</v>
      </c>
      <c r="AC3398" t="n">
        <v>760</v>
      </c>
      <c r="AD3398" t="n">
        <v>8</v>
      </c>
      <c r="AE3398" t="n">
        <v>8</v>
      </c>
      <c r="AF3398" t="n">
        <v>45</v>
      </c>
      <c r="AG3398" t="n">
        <v>45</v>
      </c>
      <c r="AH3398" t="n">
        <v>19</v>
      </c>
      <c r="AI3398" t="n">
        <v>19</v>
      </c>
      <c r="AJ3398" t="n">
        <v>8</v>
      </c>
      <c r="AK3398" t="n">
        <v>8</v>
      </c>
      <c r="AL3398" t="n">
        <v>22</v>
      </c>
      <c r="AM3398" t="n">
        <v>22</v>
      </c>
      <c r="AN3398" t="n">
        <v>7</v>
      </c>
      <c r="AO3398" t="n">
        <v>7</v>
      </c>
      <c r="AP3398" t="n">
        <v>0</v>
      </c>
      <c r="AQ3398" t="n">
        <v>0</v>
      </c>
      <c r="AR3398" t="inlineStr">
        <is>
          <t>No</t>
        </is>
      </c>
      <c r="AS3398" t="inlineStr">
        <is>
          <t>No</t>
        </is>
      </c>
      <c r="AU3398">
        <f>HYPERLINK("https://creighton-primo.hosted.exlibrisgroup.com/primo-explore/search?tab=default_tab&amp;search_scope=EVERYTHING&amp;vid=01CRU&amp;lang=en_US&amp;offset=0&amp;query=any,contains,991003268899702656","Catalog Record")</f>
        <v/>
      </c>
      <c r="AV3398">
        <f>HYPERLINK("http://www.worldcat.org/oclc/794933","WorldCat Record")</f>
        <v/>
      </c>
      <c r="AW3398" t="inlineStr">
        <is>
          <t>863893881:eng</t>
        </is>
      </c>
      <c r="AX3398" t="inlineStr">
        <is>
          <t>794933</t>
        </is>
      </c>
      <c r="AY3398" t="inlineStr">
        <is>
          <t>991003268899702656</t>
        </is>
      </c>
      <c r="AZ3398" t="inlineStr">
        <is>
          <t>991003268899702656</t>
        </is>
      </c>
      <c r="BA3398" t="inlineStr">
        <is>
          <t>2263781480002656</t>
        </is>
      </c>
      <c r="BB3398" t="inlineStr">
        <is>
          <t>BOOK</t>
        </is>
      </c>
      <c r="BD3398" t="inlineStr">
        <is>
          <t>9780226429854</t>
        </is>
      </c>
      <c r="BE3398" t="inlineStr">
        <is>
          <t>32285002590502</t>
        </is>
      </c>
      <c r="BF3398" t="inlineStr">
        <is>
          <t>893617169</t>
        </is>
      </c>
    </row>
    <row r="3399">
      <c r="A3399" t="inlineStr">
        <is>
          <t>No</t>
        </is>
      </c>
      <c r="B3399" t="inlineStr">
        <is>
          <t>CURAL</t>
        </is>
      </c>
      <c r="C3399" t="inlineStr">
        <is>
          <t>SHELVES</t>
        </is>
      </c>
      <c r="D3399" t="inlineStr">
        <is>
          <t>PR6045.O72 Z7728 1991</t>
        </is>
      </c>
      <c r="E3399" t="inlineStr">
        <is>
          <t>0                      PR 6045000O  72                 Z  7728        1991</t>
        </is>
      </c>
      <c r="F3399" t="inlineStr">
        <is>
          <t>The reading of silence : Virginia Woolf in the English tradition / Patricia Ondek Laurence.</t>
        </is>
      </c>
      <c r="H3399" t="inlineStr">
        <is>
          <t>No</t>
        </is>
      </c>
      <c r="I3399" t="inlineStr">
        <is>
          <t>1</t>
        </is>
      </c>
      <c r="J3399" t="inlineStr">
        <is>
          <t>No</t>
        </is>
      </c>
      <c r="K3399" t="inlineStr">
        <is>
          <t>No</t>
        </is>
      </c>
      <c r="L3399" t="inlineStr">
        <is>
          <t>0</t>
        </is>
      </c>
      <c r="M3399" t="inlineStr">
        <is>
          <t>Laurence, Patricia Ondek, 1942-</t>
        </is>
      </c>
      <c r="N3399" t="inlineStr">
        <is>
          <t>Stanford, Calif. : Stanford University Press, c1991.</t>
        </is>
      </c>
      <c r="O3399" t="inlineStr">
        <is>
          <t>1991</t>
        </is>
      </c>
      <c r="Q3399" t="inlineStr">
        <is>
          <t>eng</t>
        </is>
      </c>
      <c r="R3399" t="inlineStr">
        <is>
          <t>cau</t>
        </is>
      </c>
      <c r="T3399" t="inlineStr">
        <is>
          <t xml:space="preserve">PR </t>
        </is>
      </c>
      <c r="U3399" t="n">
        <v>6</v>
      </c>
      <c r="V3399" t="n">
        <v>6</v>
      </c>
      <c r="W3399" t="inlineStr">
        <is>
          <t>2003-11-24</t>
        </is>
      </c>
      <c r="X3399" t="inlineStr">
        <is>
          <t>2003-11-24</t>
        </is>
      </c>
      <c r="Y3399" t="inlineStr">
        <is>
          <t>1997-05-12</t>
        </is>
      </c>
      <c r="Z3399" t="inlineStr">
        <is>
          <t>1997-05-12</t>
        </is>
      </c>
      <c r="AA3399" t="n">
        <v>513</v>
      </c>
      <c r="AB3399" t="n">
        <v>377</v>
      </c>
      <c r="AC3399" t="n">
        <v>377</v>
      </c>
      <c r="AD3399" t="n">
        <v>5</v>
      </c>
      <c r="AE3399" t="n">
        <v>5</v>
      </c>
      <c r="AF3399" t="n">
        <v>24</v>
      </c>
      <c r="AG3399" t="n">
        <v>24</v>
      </c>
      <c r="AH3399" t="n">
        <v>8</v>
      </c>
      <c r="AI3399" t="n">
        <v>8</v>
      </c>
      <c r="AJ3399" t="n">
        <v>6</v>
      </c>
      <c r="AK3399" t="n">
        <v>6</v>
      </c>
      <c r="AL3399" t="n">
        <v>12</v>
      </c>
      <c r="AM3399" t="n">
        <v>12</v>
      </c>
      <c r="AN3399" t="n">
        <v>4</v>
      </c>
      <c r="AO3399" t="n">
        <v>4</v>
      </c>
      <c r="AP3399" t="n">
        <v>0</v>
      </c>
      <c r="AQ3399" t="n">
        <v>0</v>
      </c>
      <c r="AR3399" t="inlineStr">
        <is>
          <t>No</t>
        </is>
      </c>
      <c r="AS3399" t="inlineStr">
        <is>
          <t>No</t>
        </is>
      </c>
      <c r="AU3399">
        <f>HYPERLINK("https://creighton-primo.hosted.exlibrisgroup.com/primo-explore/search?tab=default_tab&amp;search_scope=EVERYTHING&amp;vid=01CRU&amp;lang=en_US&amp;offset=0&amp;query=any,contains,991001808649702656","Catalog Record")</f>
        <v/>
      </c>
      <c r="AV3399">
        <f>HYPERLINK("http://www.worldcat.org/oclc/22731469","WorldCat Record")</f>
        <v/>
      </c>
      <c r="AW3399" t="inlineStr">
        <is>
          <t>24471151:eng</t>
        </is>
      </c>
      <c r="AX3399" t="inlineStr">
        <is>
          <t>22731469</t>
        </is>
      </c>
      <c r="AY3399" t="inlineStr">
        <is>
          <t>991001808649702656</t>
        </is>
      </c>
      <c r="AZ3399" t="inlineStr">
        <is>
          <t>991001808649702656</t>
        </is>
      </c>
      <c r="BA3399" t="inlineStr">
        <is>
          <t>2270810570002656</t>
        </is>
      </c>
      <c r="BB3399" t="inlineStr">
        <is>
          <t>BOOK</t>
        </is>
      </c>
      <c r="BD3399" t="inlineStr">
        <is>
          <t>9780804718318</t>
        </is>
      </c>
      <c r="BE3399" t="inlineStr">
        <is>
          <t>32285002606902</t>
        </is>
      </c>
      <c r="BF3399" t="inlineStr">
        <is>
          <t>893522873</t>
        </is>
      </c>
    </row>
    <row r="3400">
      <c r="A3400" t="inlineStr">
        <is>
          <t>No</t>
        </is>
      </c>
      <c r="B3400" t="inlineStr">
        <is>
          <t>CURAL</t>
        </is>
      </c>
      <c r="C3400" t="inlineStr">
        <is>
          <t>SHELVES</t>
        </is>
      </c>
      <c r="D3400" t="inlineStr">
        <is>
          <t>PR6045.O72 Z7729 1998</t>
        </is>
      </c>
      <c r="E3400" t="inlineStr">
        <is>
          <t>0                      PR 6045000O  72                 Z  7729        1998</t>
        </is>
      </c>
      <c r="F3400" t="inlineStr">
        <is>
          <t>Granite and rainbow : the hidden life of Virginia Woolf / Mitchell Leaska.</t>
        </is>
      </c>
      <c r="H3400" t="inlineStr">
        <is>
          <t>No</t>
        </is>
      </c>
      <c r="I3400" t="inlineStr">
        <is>
          <t>1</t>
        </is>
      </c>
      <c r="J3400" t="inlineStr">
        <is>
          <t>No</t>
        </is>
      </c>
      <c r="K3400" t="inlineStr">
        <is>
          <t>No</t>
        </is>
      </c>
      <c r="L3400" t="inlineStr">
        <is>
          <t>0</t>
        </is>
      </c>
      <c r="M3400" t="inlineStr">
        <is>
          <t>Leaska, Mitchell Alexander.</t>
        </is>
      </c>
      <c r="N3400" t="inlineStr">
        <is>
          <t>New York : Farrar, Straus, Giroux, 1998.</t>
        </is>
      </c>
      <c r="O3400" t="inlineStr">
        <is>
          <t>1998</t>
        </is>
      </c>
      <c r="P3400" t="inlineStr">
        <is>
          <t>1st ed.</t>
        </is>
      </c>
      <c r="Q3400" t="inlineStr">
        <is>
          <t>eng</t>
        </is>
      </c>
      <c r="R3400" t="inlineStr">
        <is>
          <t>nyu</t>
        </is>
      </c>
      <c r="T3400" t="inlineStr">
        <is>
          <t xml:space="preserve">PR </t>
        </is>
      </c>
      <c r="U3400" t="n">
        <v>5</v>
      </c>
      <c r="V3400" t="n">
        <v>5</v>
      </c>
      <c r="W3400" t="inlineStr">
        <is>
          <t>2010-04-24</t>
        </is>
      </c>
      <c r="X3400" t="inlineStr">
        <is>
          <t>2010-04-24</t>
        </is>
      </c>
      <c r="Y3400" t="inlineStr">
        <is>
          <t>2000-01-05</t>
        </is>
      </c>
      <c r="Z3400" t="inlineStr">
        <is>
          <t>2000-01-05</t>
        </is>
      </c>
      <c r="AA3400" t="n">
        <v>536</v>
      </c>
      <c r="AB3400" t="n">
        <v>485</v>
      </c>
      <c r="AC3400" t="n">
        <v>525</v>
      </c>
      <c r="AD3400" t="n">
        <v>4</v>
      </c>
      <c r="AE3400" t="n">
        <v>4</v>
      </c>
      <c r="AF3400" t="n">
        <v>22</v>
      </c>
      <c r="AG3400" t="n">
        <v>24</v>
      </c>
      <c r="AH3400" t="n">
        <v>6</v>
      </c>
      <c r="AI3400" t="n">
        <v>7</v>
      </c>
      <c r="AJ3400" t="n">
        <v>7</v>
      </c>
      <c r="AK3400" t="n">
        <v>8</v>
      </c>
      <c r="AL3400" t="n">
        <v>12</v>
      </c>
      <c r="AM3400" t="n">
        <v>13</v>
      </c>
      <c r="AN3400" t="n">
        <v>3</v>
      </c>
      <c r="AO3400" t="n">
        <v>3</v>
      </c>
      <c r="AP3400" t="n">
        <v>0</v>
      </c>
      <c r="AQ3400" t="n">
        <v>0</v>
      </c>
      <c r="AR3400" t="inlineStr">
        <is>
          <t>No</t>
        </is>
      </c>
      <c r="AS3400" t="inlineStr">
        <is>
          <t>No</t>
        </is>
      </c>
      <c r="AU3400">
        <f>HYPERLINK("https://creighton-primo.hosted.exlibrisgroup.com/primo-explore/search?tab=default_tab&amp;search_scope=EVERYTHING&amp;vid=01CRU&amp;lang=en_US&amp;offset=0&amp;query=any,contains,991002825339702656","Catalog Record")</f>
        <v/>
      </c>
      <c r="AV3400">
        <f>HYPERLINK("http://www.worldcat.org/oclc/37201173","WorldCat Record")</f>
        <v/>
      </c>
      <c r="AW3400" t="inlineStr">
        <is>
          <t>836967338:eng</t>
        </is>
      </c>
      <c r="AX3400" t="inlineStr">
        <is>
          <t>37201173</t>
        </is>
      </c>
      <c r="AY3400" t="inlineStr">
        <is>
          <t>991002825339702656</t>
        </is>
      </c>
      <c r="AZ3400" t="inlineStr">
        <is>
          <t>991002825339702656</t>
        </is>
      </c>
      <c r="BA3400" t="inlineStr">
        <is>
          <t>2260621640002656</t>
        </is>
      </c>
      <c r="BB3400" t="inlineStr">
        <is>
          <t>BOOK</t>
        </is>
      </c>
      <c r="BD3400" t="inlineStr">
        <is>
          <t>9780374166595</t>
        </is>
      </c>
      <c r="BE3400" t="inlineStr">
        <is>
          <t>32285003637088</t>
        </is>
      </c>
      <c r="BF3400" t="inlineStr">
        <is>
          <t>893616627</t>
        </is>
      </c>
    </row>
    <row r="3401">
      <c r="A3401" t="inlineStr">
        <is>
          <t>No</t>
        </is>
      </c>
      <c r="B3401" t="inlineStr">
        <is>
          <t>CURAL</t>
        </is>
      </c>
      <c r="C3401" t="inlineStr">
        <is>
          <t>SHELVES</t>
        </is>
      </c>
      <c r="D3401" t="inlineStr">
        <is>
          <t>PR6045.O72 Z773</t>
        </is>
      </c>
      <c r="E3401" t="inlineStr">
        <is>
          <t>0                      PR 6045000O  72                 Z  773</t>
        </is>
      </c>
      <c r="F3401" t="inlineStr">
        <is>
          <t>The novels of Virginia Woolf : from beginning to end / by Mitchell A. Leaska. --</t>
        </is>
      </c>
      <c r="H3401" t="inlineStr">
        <is>
          <t>No</t>
        </is>
      </c>
      <c r="I3401" t="inlineStr">
        <is>
          <t>1</t>
        </is>
      </c>
      <c r="J3401" t="inlineStr">
        <is>
          <t>No</t>
        </is>
      </c>
      <c r="K3401" t="inlineStr">
        <is>
          <t>No</t>
        </is>
      </c>
      <c r="L3401" t="inlineStr">
        <is>
          <t>0</t>
        </is>
      </c>
      <c r="M3401" t="inlineStr">
        <is>
          <t>Leaska, Mitchell Alexander.</t>
        </is>
      </c>
      <c r="N3401" t="inlineStr">
        <is>
          <t>New York : John Jay Press, c1977.</t>
        </is>
      </c>
      <c r="O3401" t="inlineStr">
        <is>
          <t>1977</t>
        </is>
      </c>
      <c r="P3401" t="inlineStr">
        <is>
          <t>1st ed.</t>
        </is>
      </c>
      <c r="Q3401" t="inlineStr">
        <is>
          <t>eng</t>
        </is>
      </c>
      <c r="R3401" t="inlineStr">
        <is>
          <t>nyu</t>
        </is>
      </c>
      <c r="T3401" t="inlineStr">
        <is>
          <t xml:space="preserve">PR </t>
        </is>
      </c>
      <c r="U3401" t="n">
        <v>5</v>
      </c>
      <c r="V3401" t="n">
        <v>5</v>
      </c>
      <c r="W3401" t="inlineStr">
        <is>
          <t>2007-01-23</t>
        </is>
      </c>
      <c r="X3401" t="inlineStr">
        <is>
          <t>2007-01-23</t>
        </is>
      </c>
      <c r="Y3401" t="inlineStr">
        <is>
          <t>1992-07-23</t>
        </is>
      </c>
      <c r="Z3401" t="inlineStr">
        <is>
          <t>1992-07-23</t>
        </is>
      </c>
      <c r="AA3401" t="n">
        <v>720</v>
      </c>
      <c r="AB3401" t="n">
        <v>645</v>
      </c>
      <c r="AC3401" t="n">
        <v>658</v>
      </c>
      <c r="AD3401" t="n">
        <v>9</v>
      </c>
      <c r="AE3401" t="n">
        <v>9</v>
      </c>
      <c r="AF3401" t="n">
        <v>27</v>
      </c>
      <c r="AG3401" t="n">
        <v>27</v>
      </c>
      <c r="AH3401" t="n">
        <v>6</v>
      </c>
      <c r="AI3401" t="n">
        <v>6</v>
      </c>
      <c r="AJ3401" t="n">
        <v>5</v>
      </c>
      <c r="AK3401" t="n">
        <v>5</v>
      </c>
      <c r="AL3401" t="n">
        <v>12</v>
      </c>
      <c r="AM3401" t="n">
        <v>12</v>
      </c>
      <c r="AN3401" t="n">
        <v>8</v>
      </c>
      <c r="AO3401" t="n">
        <v>8</v>
      </c>
      <c r="AP3401" t="n">
        <v>0</v>
      </c>
      <c r="AQ3401" t="n">
        <v>0</v>
      </c>
      <c r="AR3401" t="inlineStr">
        <is>
          <t>No</t>
        </is>
      </c>
      <c r="AS3401" t="inlineStr">
        <is>
          <t>No</t>
        </is>
      </c>
      <c r="AU3401">
        <f>HYPERLINK("https://creighton-primo.hosted.exlibrisgroup.com/primo-explore/search?tab=default_tab&amp;search_scope=EVERYTHING&amp;vid=01CRU&amp;lang=en_US&amp;offset=0&amp;query=any,contains,991004268389702656","Catalog Record")</f>
        <v/>
      </c>
      <c r="AV3401">
        <f>HYPERLINK("http://www.worldcat.org/oclc/2873812","WorldCat Record")</f>
        <v/>
      </c>
      <c r="AW3401" t="inlineStr">
        <is>
          <t>1862451954:eng</t>
        </is>
      </c>
      <c r="AX3401" t="inlineStr">
        <is>
          <t>2873812</t>
        </is>
      </c>
      <c r="AY3401" t="inlineStr">
        <is>
          <t>991004268389702656</t>
        </is>
      </c>
      <c r="AZ3401" t="inlineStr">
        <is>
          <t>991004268389702656</t>
        </is>
      </c>
      <c r="BA3401" t="inlineStr">
        <is>
          <t>2259296860002656</t>
        </is>
      </c>
      <c r="BB3401" t="inlineStr">
        <is>
          <t>BOOK</t>
        </is>
      </c>
      <c r="BD3401" t="inlineStr">
        <is>
          <t>9780894440052</t>
        </is>
      </c>
      <c r="BE3401" t="inlineStr">
        <is>
          <t>32285001204691</t>
        </is>
      </c>
      <c r="BF3401" t="inlineStr">
        <is>
          <t>893535890</t>
        </is>
      </c>
    </row>
    <row r="3402">
      <c r="A3402" t="inlineStr">
        <is>
          <t>No</t>
        </is>
      </c>
      <c r="B3402" t="inlineStr">
        <is>
          <t>CURAL</t>
        </is>
      </c>
      <c r="C3402" t="inlineStr">
        <is>
          <t>SHELVES</t>
        </is>
      </c>
      <c r="D3402" t="inlineStr">
        <is>
          <t>PR6045.O72 Z813</t>
        </is>
      </c>
      <c r="E3402" t="inlineStr">
        <is>
          <t>0                      PR 6045000O  72                 Z  813</t>
        </is>
      </c>
      <c r="F3402" t="inlineStr">
        <is>
          <t>Worlds in consciousness : mythopoetic thought in the novels of Virginia Woolf / by Jean O. Love.</t>
        </is>
      </c>
      <c r="H3402" t="inlineStr">
        <is>
          <t>No</t>
        </is>
      </c>
      <c r="I3402" t="inlineStr">
        <is>
          <t>1</t>
        </is>
      </c>
      <c r="J3402" t="inlineStr">
        <is>
          <t>No</t>
        </is>
      </c>
      <c r="K3402" t="inlineStr">
        <is>
          <t>No</t>
        </is>
      </c>
      <c r="L3402" t="inlineStr">
        <is>
          <t>0</t>
        </is>
      </c>
      <c r="M3402" t="inlineStr">
        <is>
          <t>Love, Jean O., 1920-2015.</t>
        </is>
      </c>
      <c r="N3402" t="inlineStr">
        <is>
          <t>Berkeley : University of California Press, 1970.</t>
        </is>
      </c>
      <c r="O3402" t="inlineStr">
        <is>
          <t>1970</t>
        </is>
      </c>
      <c r="Q3402" t="inlineStr">
        <is>
          <t>eng</t>
        </is>
      </c>
      <c r="R3402" t="inlineStr">
        <is>
          <t>cau</t>
        </is>
      </c>
      <c r="T3402" t="inlineStr">
        <is>
          <t xml:space="preserve">PR </t>
        </is>
      </c>
      <c r="U3402" t="n">
        <v>2</v>
      </c>
      <c r="V3402" t="n">
        <v>2</v>
      </c>
      <c r="W3402" t="inlineStr">
        <is>
          <t>2003-11-23</t>
        </is>
      </c>
      <c r="X3402" t="inlineStr">
        <is>
          <t>2003-11-23</t>
        </is>
      </c>
      <c r="Y3402" t="inlineStr">
        <is>
          <t>1990-09-14</t>
        </is>
      </c>
      <c r="Z3402" t="inlineStr">
        <is>
          <t>1990-09-14</t>
        </is>
      </c>
      <c r="AA3402" t="n">
        <v>802</v>
      </c>
      <c r="AB3402" t="n">
        <v>654</v>
      </c>
      <c r="AC3402" t="n">
        <v>656</v>
      </c>
      <c r="AD3402" t="n">
        <v>7</v>
      </c>
      <c r="AE3402" t="n">
        <v>7</v>
      </c>
      <c r="AF3402" t="n">
        <v>40</v>
      </c>
      <c r="AG3402" t="n">
        <v>40</v>
      </c>
      <c r="AH3402" t="n">
        <v>14</v>
      </c>
      <c r="AI3402" t="n">
        <v>14</v>
      </c>
      <c r="AJ3402" t="n">
        <v>9</v>
      </c>
      <c r="AK3402" t="n">
        <v>9</v>
      </c>
      <c r="AL3402" t="n">
        <v>22</v>
      </c>
      <c r="AM3402" t="n">
        <v>22</v>
      </c>
      <c r="AN3402" t="n">
        <v>6</v>
      </c>
      <c r="AO3402" t="n">
        <v>6</v>
      </c>
      <c r="AP3402" t="n">
        <v>0</v>
      </c>
      <c r="AQ3402" t="n">
        <v>0</v>
      </c>
      <c r="AR3402" t="inlineStr">
        <is>
          <t>No</t>
        </is>
      </c>
      <c r="AS3402" t="inlineStr">
        <is>
          <t>No</t>
        </is>
      </c>
      <c r="AU3402">
        <f>HYPERLINK("https://creighton-primo.hosted.exlibrisgroup.com/primo-explore/search?tab=default_tab&amp;search_scope=EVERYTHING&amp;vid=01CRU&amp;lang=en_US&amp;offset=0&amp;query=any,contains,991000425289702656","Catalog Record")</f>
        <v/>
      </c>
      <c r="AV3402">
        <f>HYPERLINK("http://www.worldcat.org/oclc/74912","WorldCat Record")</f>
        <v/>
      </c>
      <c r="AW3402" t="inlineStr">
        <is>
          <t>294142725:eng</t>
        </is>
      </c>
      <c r="AX3402" t="inlineStr">
        <is>
          <t>74912</t>
        </is>
      </c>
      <c r="AY3402" t="inlineStr">
        <is>
          <t>991000425289702656</t>
        </is>
      </c>
      <c r="AZ3402" t="inlineStr">
        <is>
          <t>991000425289702656</t>
        </is>
      </c>
      <c r="BA3402" t="inlineStr">
        <is>
          <t>2272135810002656</t>
        </is>
      </c>
      <c r="BB3402" t="inlineStr">
        <is>
          <t>BOOK</t>
        </is>
      </c>
      <c r="BD3402" t="inlineStr">
        <is>
          <t>9780520016064</t>
        </is>
      </c>
      <c r="BE3402" t="inlineStr">
        <is>
          <t>32285000304013</t>
        </is>
      </c>
      <c r="BF3402" t="inlineStr">
        <is>
          <t>893714573</t>
        </is>
      </c>
    </row>
    <row r="3403">
      <c r="A3403" t="inlineStr">
        <is>
          <t>No</t>
        </is>
      </c>
      <c r="B3403" t="inlineStr">
        <is>
          <t>CURAL</t>
        </is>
      </c>
      <c r="C3403" t="inlineStr">
        <is>
          <t>SHELVES</t>
        </is>
      </c>
      <c r="D3403" t="inlineStr">
        <is>
          <t>PR6045.O72 Z814</t>
        </is>
      </c>
      <c r="E3403" t="inlineStr">
        <is>
          <t>0                      PR 6045000O  72                 Z  814</t>
        </is>
      </c>
      <c r="F3403" t="inlineStr">
        <is>
          <t>Virginia Woolf: the echoes enslaved.</t>
        </is>
      </c>
      <c r="H3403" t="inlineStr">
        <is>
          <t>No</t>
        </is>
      </c>
      <c r="I3403" t="inlineStr">
        <is>
          <t>1</t>
        </is>
      </c>
      <c r="J3403" t="inlineStr">
        <is>
          <t>No</t>
        </is>
      </c>
      <c r="K3403" t="inlineStr">
        <is>
          <t>No</t>
        </is>
      </c>
      <c r="L3403" t="inlineStr">
        <is>
          <t>0</t>
        </is>
      </c>
      <c r="M3403" t="inlineStr">
        <is>
          <t>McLaurin, Allen.</t>
        </is>
      </c>
      <c r="N3403" t="inlineStr">
        <is>
          <t>Cambridge [Eng.] University Press, 1973.</t>
        </is>
      </c>
      <c r="O3403" t="inlineStr">
        <is>
          <t>1973</t>
        </is>
      </c>
      <c r="Q3403" t="inlineStr">
        <is>
          <t>eng</t>
        </is>
      </c>
      <c r="R3403" t="inlineStr">
        <is>
          <t>enk</t>
        </is>
      </c>
      <c r="T3403" t="inlineStr">
        <is>
          <t xml:space="preserve">PR </t>
        </is>
      </c>
      <c r="U3403" t="n">
        <v>2</v>
      </c>
      <c r="V3403" t="n">
        <v>2</v>
      </c>
      <c r="W3403" t="inlineStr">
        <is>
          <t>2003-11-23</t>
        </is>
      </c>
      <c r="X3403" t="inlineStr">
        <is>
          <t>2003-11-23</t>
        </is>
      </c>
      <c r="Y3403" t="inlineStr">
        <is>
          <t>1997-04-23</t>
        </is>
      </c>
      <c r="Z3403" t="inlineStr">
        <is>
          <t>1997-04-23</t>
        </is>
      </c>
      <c r="AA3403" t="n">
        <v>841</v>
      </c>
      <c r="AB3403" t="n">
        <v>607</v>
      </c>
      <c r="AC3403" t="n">
        <v>620</v>
      </c>
      <c r="AD3403" t="n">
        <v>5</v>
      </c>
      <c r="AE3403" t="n">
        <v>5</v>
      </c>
      <c r="AF3403" t="n">
        <v>29</v>
      </c>
      <c r="AG3403" t="n">
        <v>30</v>
      </c>
      <c r="AH3403" t="n">
        <v>9</v>
      </c>
      <c r="AI3403" t="n">
        <v>10</v>
      </c>
      <c r="AJ3403" t="n">
        <v>8</v>
      </c>
      <c r="AK3403" t="n">
        <v>8</v>
      </c>
      <c r="AL3403" t="n">
        <v>19</v>
      </c>
      <c r="AM3403" t="n">
        <v>19</v>
      </c>
      <c r="AN3403" t="n">
        <v>4</v>
      </c>
      <c r="AO3403" t="n">
        <v>4</v>
      </c>
      <c r="AP3403" t="n">
        <v>0</v>
      </c>
      <c r="AQ3403" t="n">
        <v>0</v>
      </c>
      <c r="AR3403" t="inlineStr">
        <is>
          <t>No</t>
        </is>
      </c>
      <c r="AS3403" t="inlineStr">
        <is>
          <t>No</t>
        </is>
      </c>
      <c r="AT3403">
        <f>HYPERLINK("http://catalog.hathitrust.org/Record/001776250","HathiTrust Record")</f>
        <v/>
      </c>
      <c r="AU3403">
        <f>HYPERLINK("https://creighton-primo.hosted.exlibrisgroup.com/primo-explore/search?tab=default_tab&amp;search_scope=EVERYTHING&amp;vid=01CRU&amp;lang=en_US&amp;offset=0&amp;query=any,contains,991003032869702656","Catalog Record")</f>
        <v/>
      </c>
      <c r="AV3403">
        <f>HYPERLINK("http://www.worldcat.org/oclc/595368","WorldCat Record")</f>
        <v/>
      </c>
      <c r="AW3403" t="inlineStr">
        <is>
          <t>2564811005:eng</t>
        </is>
      </c>
      <c r="AX3403" t="inlineStr">
        <is>
          <t>595368</t>
        </is>
      </c>
      <c r="AY3403" t="inlineStr">
        <is>
          <t>991003032869702656</t>
        </is>
      </c>
      <c r="AZ3403" t="inlineStr">
        <is>
          <t>991003032869702656</t>
        </is>
      </c>
      <c r="BA3403" t="inlineStr">
        <is>
          <t>2272276080002656</t>
        </is>
      </c>
      <c r="BB3403" t="inlineStr">
        <is>
          <t>BOOK</t>
        </is>
      </c>
      <c r="BD3403" t="inlineStr">
        <is>
          <t>9780521087049</t>
        </is>
      </c>
      <c r="BE3403" t="inlineStr">
        <is>
          <t>32285002590510</t>
        </is>
      </c>
      <c r="BF3403" t="inlineStr">
        <is>
          <t>893415961</t>
        </is>
      </c>
    </row>
    <row r="3404">
      <c r="A3404" t="inlineStr">
        <is>
          <t>No</t>
        </is>
      </c>
      <c r="B3404" t="inlineStr">
        <is>
          <t>CURAL</t>
        </is>
      </c>
      <c r="C3404" t="inlineStr">
        <is>
          <t>SHELVES</t>
        </is>
      </c>
      <c r="D3404" t="inlineStr">
        <is>
          <t>PR6045.O72 Z81525 1998</t>
        </is>
      </c>
      <c r="E3404" t="inlineStr">
        <is>
          <t>0                      PR 6045000O  72                 Z  81525       1998</t>
        </is>
      </c>
      <c r="F3404" t="inlineStr">
        <is>
          <t>Virginia Woolf, the novels / Nicholas Marsh.</t>
        </is>
      </c>
      <c r="H3404" t="inlineStr">
        <is>
          <t>No</t>
        </is>
      </c>
      <c r="I3404" t="inlineStr">
        <is>
          <t>1</t>
        </is>
      </c>
      <c r="J3404" t="inlineStr">
        <is>
          <t>No</t>
        </is>
      </c>
      <c r="K3404" t="inlineStr">
        <is>
          <t>No</t>
        </is>
      </c>
      <c r="L3404" t="inlineStr">
        <is>
          <t>0</t>
        </is>
      </c>
      <c r="M3404" t="inlineStr">
        <is>
          <t>Marsh, Nicholas, 1948-</t>
        </is>
      </c>
      <c r="N3404" t="inlineStr">
        <is>
          <t>New York : St. Martin's Press, 1998.</t>
        </is>
      </c>
      <c r="O3404" t="inlineStr">
        <is>
          <t>1998</t>
        </is>
      </c>
      <c r="Q3404" t="inlineStr">
        <is>
          <t>eng</t>
        </is>
      </c>
      <c r="R3404" t="inlineStr">
        <is>
          <t>nyu</t>
        </is>
      </c>
      <c r="S3404" t="inlineStr">
        <is>
          <t>Analysing texts</t>
        </is>
      </c>
      <c r="T3404" t="inlineStr">
        <is>
          <t xml:space="preserve">PR </t>
        </is>
      </c>
      <c r="U3404" t="n">
        <v>6</v>
      </c>
      <c r="V3404" t="n">
        <v>6</v>
      </c>
      <c r="W3404" t="inlineStr">
        <is>
          <t>2007-04-16</t>
        </is>
      </c>
      <c r="X3404" t="inlineStr">
        <is>
          <t>2007-04-16</t>
        </is>
      </c>
      <c r="Y3404" t="inlineStr">
        <is>
          <t>1999-01-14</t>
        </is>
      </c>
      <c r="Z3404" t="inlineStr">
        <is>
          <t>1999-01-14</t>
        </is>
      </c>
      <c r="AA3404" t="n">
        <v>286</v>
      </c>
      <c r="AB3404" t="n">
        <v>224</v>
      </c>
      <c r="AC3404" t="n">
        <v>232</v>
      </c>
      <c r="AD3404" t="n">
        <v>2</v>
      </c>
      <c r="AE3404" t="n">
        <v>2</v>
      </c>
      <c r="AF3404" t="n">
        <v>8</v>
      </c>
      <c r="AG3404" t="n">
        <v>8</v>
      </c>
      <c r="AH3404" t="n">
        <v>2</v>
      </c>
      <c r="AI3404" t="n">
        <v>2</v>
      </c>
      <c r="AJ3404" t="n">
        <v>1</v>
      </c>
      <c r="AK3404" t="n">
        <v>1</v>
      </c>
      <c r="AL3404" t="n">
        <v>6</v>
      </c>
      <c r="AM3404" t="n">
        <v>6</v>
      </c>
      <c r="AN3404" t="n">
        <v>1</v>
      </c>
      <c r="AO3404" t="n">
        <v>1</v>
      </c>
      <c r="AP3404" t="n">
        <v>0</v>
      </c>
      <c r="AQ3404" t="n">
        <v>0</v>
      </c>
      <c r="AR3404" t="inlineStr">
        <is>
          <t>No</t>
        </is>
      </c>
      <c r="AS3404" t="inlineStr">
        <is>
          <t>No</t>
        </is>
      </c>
      <c r="AU3404">
        <f>HYPERLINK("https://creighton-primo.hosted.exlibrisgroup.com/primo-explore/search?tab=default_tab&amp;search_scope=EVERYTHING&amp;vid=01CRU&amp;lang=en_US&amp;offset=0&amp;query=any,contains,991002889549702656","Catalog Record")</f>
        <v/>
      </c>
      <c r="AV3404">
        <f>HYPERLINK("http://www.worldcat.org/oclc/38067703","WorldCat Record")</f>
        <v/>
      </c>
      <c r="AW3404" t="inlineStr">
        <is>
          <t>610929:eng</t>
        </is>
      </c>
      <c r="AX3404" t="inlineStr">
        <is>
          <t>38067703</t>
        </is>
      </c>
      <c r="AY3404" t="inlineStr">
        <is>
          <t>991002889549702656</t>
        </is>
      </c>
      <c r="AZ3404" t="inlineStr">
        <is>
          <t>991002889549702656</t>
        </is>
      </c>
      <c r="BA3404" t="inlineStr">
        <is>
          <t>2260147630002656</t>
        </is>
      </c>
      <c r="BB3404" t="inlineStr">
        <is>
          <t>BOOK</t>
        </is>
      </c>
      <c r="BD3404" t="inlineStr">
        <is>
          <t>9780312213749</t>
        </is>
      </c>
      <c r="BE3404" t="inlineStr">
        <is>
          <t>32285003512034</t>
        </is>
      </c>
      <c r="BF3404" t="inlineStr">
        <is>
          <t>893604175</t>
        </is>
      </c>
    </row>
    <row r="3405">
      <c r="A3405" t="inlineStr">
        <is>
          <t>No</t>
        </is>
      </c>
      <c r="B3405" t="inlineStr">
        <is>
          <t>CURAL</t>
        </is>
      </c>
      <c r="C3405" t="inlineStr">
        <is>
          <t>SHELVES</t>
        </is>
      </c>
      <c r="D3405" t="inlineStr">
        <is>
          <t>PR6045.O72 Z816</t>
        </is>
      </c>
      <c r="E3405" t="inlineStr">
        <is>
          <t>0                      PR 6045000O  72                 Z  816</t>
        </is>
      </c>
      <c r="F3405" t="inlineStr">
        <is>
          <t>The absent father : Virginia Woolf and Walter Pater / Perry Meisel.</t>
        </is>
      </c>
      <c r="H3405" t="inlineStr">
        <is>
          <t>No</t>
        </is>
      </c>
      <c r="I3405" t="inlineStr">
        <is>
          <t>1</t>
        </is>
      </c>
      <c r="J3405" t="inlineStr">
        <is>
          <t>No</t>
        </is>
      </c>
      <c r="K3405" t="inlineStr">
        <is>
          <t>No</t>
        </is>
      </c>
      <c r="L3405" t="inlineStr">
        <is>
          <t>0</t>
        </is>
      </c>
      <c r="M3405" t="inlineStr">
        <is>
          <t>Meisel, Perry.</t>
        </is>
      </c>
      <c r="N3405" t="inlineStr">
        <is>
          <t>New Haven : Yale University Press, 1980.</t>
        </is>
      </c>
      <c r="O3405" t="inlineStr">
        <is>
          <t>1980</t>
        </is>
      </c>
      <c r="Q3405" t="inlineStr">
        <is>
          <t>eng</t>
        </is>
      </c>
      <c r="R3405" t="inlineStr">
        <is>
          <t>ctu</t>
        </is>
      </c>
      <c r="T3405" t="inlineStr">
        <is>
          <t xml:space="preserve">PR </t>
        </is>
      </c>
      <c r="U3405" t="n">
        <v>4</v>
      </c>
      <c r="V3405" t="n">
        <v>4</v>
      </c>
      <c r="W3405" t="inlineStr">
        <is>
          <t>2010-04-24</t>
        </is>
      </c>
      <c r="X3405" t="inlineStr">
        <is>
          <t>2010-04-24</t>
        </is>
      </c>
      <c r="Y3405" t="inlineStr">
        <is>
          <t>1992-07-23</t>
        </is>
      </c>
      <c r="Z3405" t="inlineStr">
        <is>
          <t>1992-07-23</t>
        </is>
      </c>
      <c r="AA3405" t="n">
        <v>618</v>
      </c>
      <c r="AB3405" t="n">
        <v>477</v>
      </c>
      <c r="AC3405" t="n">
        <v>478</v>
      </c>
      <c r="AD3405" t="n">
        <v>4</v>
      </c>
      <c r="AE3405" t="n">
        <v>4</v>
      </c>
      <c r="AF3405" t="n">
        <v>26</v>
      </c>
      <c r="AG3405" t="n">
        <v>26</v>
      </c>
      <c r="AH3405" t="n">
        <v>7</v>
      </c>
      <c r="AI3405" t="n">
        <v>7</v>
      </c>
      <c r="AJ3405" t="n">
        <v>9</v>
      </c>
      <c r="AK3405" t="n">
        <v>9</v>
      </c>
      <c r="AL3405" t="n">
        <v>12</v>
      </c>
      <c r="AM3405" t="n">
        <v>12</v>
      </c>
      <c r="AN3405" t="n">
        <v>3</v>
      </c>
      <c r="AO3405" t="n">
        <v>3</v>
      </c>
      <c r="AP3405" t="n">
        <v>0</v>
      </c>
      <c r="AQ3405" t="n">
        <v>0</v>
      </c>
      <c r="AR3405" t="inlineStr">
        <is>
          <t>No</t>
        </is>
      </c>
      <c r="AS3405" t="inlineStr">
        <is>
          <t>No</t>
        </is>
      </c>
      <c r="AU3405">
        <f>HYPERLINK("https://creighton-primo.hosted.exlibrisgroup.com/primo-explore/search?tab=default_tab&amp;search_scope=EVERYTHING&amp;vid=01CRU&amp;lang=en_US&amp;offset=0&amp;query=any,contains,991004811839702656","Catalog Record")</f>
        <v/>
      </c>
      <c r="AV3405">
        <f>HYPERLINK("http://www.worldcat.org/oclc/5285898","WorldCat Record")</f>
        <v/>
      </c>
      <c r="AW3405" t="inlineStr">
        <is>
          <t>435449:eng</t>
        </is>
      </c>
      <c r="AX3405" t="inlineStr">
        <is>
          <t>5285898</t>
        </is>
      </c>
      <c r="AY3405" t="inlineStr">
        <is>
          <t>991004811839702656</t>
        </is>
      </c>
      <c r="AZ3405" t="inlineStr">
        <is>
          <t>991004811839702656</t>
        </is>
      </c>
      <c r="BA3405" t="inlineStr">
        <is>
          <t>2272155730002656</t>
        </is>
      </c>
      <c r="BB3405" t="inlineStr">
        <is>
          <t>BOOK</t>
        </is>
      </c>
      <c r="BD3405" t="inlineStr">
        <is>
          <t>9780300024012</t>
        </is>
      </c>
      <c r="BE3405" t="inlineStr">
        <is>
          <t>32285001204733</t>
        </is>
      </c>
      <c r="BF3405" t="inlineStr">
        <is>
          <t>893901790</t>
        </is>
      </c>
    </row>
    <row r="3406">
      <c r="A3406" t="inlineStr">
        <is>
          <t>No</t>
        </is>
      </c>
      <c r="B3406" t="inlineStr">
        <is>
          <t>CURAL</t>
        </is>
      </c>
      <c r="C3406" t="inlineStr">
        <is>
          <t>SHELVES</t>
        </is>
      </c>
      <c r="D3406" t="inlineStr">
        <is>
          <t>PR6045.O72 Z8164 1991</t>
        </is>
      </c>
      <c r="E3406" t="inlineStr">
        <is>
          <t>0                      PR 6045000O  72                 Z  8164        1991</t>
        </is>
      </c>
      <c r="F3406" t="inlineStr">
        <is>
          <t>Virginia Woolf : a literary life / John Mepham.</t>
        </is>
      </c>
      <c r="H3406" t="inlineStr">
        <is>
          <t>No</t>
        </is>
      </c>
      <c r="I3406" t="inlineStr">
        <is>
          <t>1</t>
        </is>
      </c>
      <c r="J3406" t="inlineStr">
        <is>
          <t>No</t>
        </is>
      </c>
      <c r="K3406" t="inlineStr">
        <is>
          <t>No</t>
        </is>
      </c>
      <c r="L3406" t="inlineStr">
        <is>
          <t>0</t>
        </is>
      </c>
      <c r="M3406" t="inlineStr">
        <is>
          <t>Mepham, John, 1938-</t>
        </is>
      </c>
      <c r="N3406" t="inlineStr">
        <is>
          <t>New York : St. Martin's Press, 1991.</t>
        </is>
      </c>
      <c r="O3406" t="inlineStr">
        <is>
          <t>1991</t>
        </is>
      </c>
      <c r="Q3406" t="inlineStr">
        <is>
          <t>eng</t>
        </is>
      </c>
      <c r="R3406" t="inlineStr">
        <is>
          <t>nyu</t>
        </is>
      </c>
      <c r="S3406" t="inlineStr">
        <is>
          <t>Literary lives</t>
        </is>
      </c>
      <c r="T3406" t="inlineStr">
        <is>
          <t xml:space="preserve">PR </t>
        </is>
      </c>
      <c r="U3406" t="n">
        <v>4</v>
      </c>
      <c r="V3406" t="n">
        <v>4</v>
      </c>
      <c r="W3406" t="inlineStr">
        <is>
          <t>2006-03-20</t>
        </is>
      </c>
      <c r="X3406" t="inlineStr">
        <is>
          <t>2006-03-20</t>
        </is>
      </c>
      <c r="Y3406" t="inlineStr">
        <is>
          <t>1992-06-10</t>
        </is>
      </c>
      <c r="Z3406" t="inlineStr">
        <is>
          <t>1992-06-10</t>
        </is>
      </c>
      <c r="AA3406" t="n">
        <v>507</v>
      </c>
      <c r="AB3406" t="n">
        <v>445</v>
      </c>
      <c r="AC3406" t="n">
        <v>483</v>
      </c>
      <c r="AD3406" t="n">
        <v>4</v>
      </c>
      <c r="AE3406" t="n">
        <v>4</v>
      </c>
      <c r="AF3406" t="n">
        <v>27</v>
      </c>
      <c r="AG3406" t="n">
        <v>27</v>
      </c>
      <c r="AH3406" t="n">
        <v>11</v>
      </c>
      <c r="AI3406" t="n">
        <v>11</v>
      </c>
      <c r="AJ3406" t="n">
        <v>6</v>
      </c>
      <c r="AK3406" t="n">
        <v>6</v>
      </c>
      <c r="AL3406" t="n">
        <v>14</v>
      </c>
      <c r="AM3406" t="n">
        <v>14</v>
      </c>
      <c r="AN3406" t="n">
        <v>3</v>
      </c>
      <c r="AO3406" t="n">
        <v>3</v>
      </c>
      <c r="AP3406" t="n">
        <v>0</v>
      </c>
      <c r="AQ3406" t="n">
        <v>0</v>
      </c>
      <c r="AR3406" t="inlineStr">
        <is>
          <t>No</t>
        </is>
      </c>
      <c r="AS3406" t="inlineStr">
        <is>
          <t>No</t>
        </is>
      </c>
      <c r="AU3406">
        <f>HYPERLINK("https://creighton-primo.hosted.exlibrisgroup.com/primo-explore/search?tab=default_tab&amp;search_scope=EVERYTHING&amp;vid=01CRU&amp;lang=en_US&amp;offset=0&amp;query=any,contains,991001845569702656","Catalog Record")</f>
        <v/>
      </c>
      <c r="AV3406">
        <f>HYPERLINK("http://www.worldcat.org/oclc/23178107","WorldCat Record")</f>
        <v/>
      </c>
      <c r="AW3406" t="inlineStr">
        <is>
          <t>24186661:eng</t>
        </is>
      </c>
      <c r="AX3406" t="inlineStr">
        <is>
          <t>23178107</t>
        </is>
      </c>
      <c r="AY3406" t="inlineStr">
        <is>
          <t>991001845569702656</t>
        </is>
      </c>
      <c r="AZ3406" t="inlineStr">
        <is>
          <t>991001845569702656</t>
        </is>
      </c>
      <c r="BA3406" t="inlineStr">
        <is>
          <t>2265959150002656</t>
        </is>
      </c>
      <c r="BB3406" t="inlineStr">
        <is>
          <t>BOOK</t>
        </is>
      </c>
      <c r="BD3406" t="inlineStr">
        <is>
          <t>9780312062040</t>
        </is>
      </c>
      <c r="BE3406" t="inlineStr">
        <is>
          <t>32285001127702</t>
        </is>
      </c>
      <c r="BF3406" t="inlineStr">
        <is>
          <t>893510005</t>
        </is>
      </c>
    </row>
    <row r="3407">
      <c r="A3407" t="inlineStr">
        <is>
          <t>No</t>
        </is>
      </c>
      <c r="B3407" t="inlineStr">
        <is>
          <t>CURAL</t>
        </is>
      </c>
      <c r="C3407" t="inlineStr">
        <is>
          <t>SHELVES</t>
        </is>
      </c>
      <c r="D3407" t="inlineStr">
        <is>
          <t>PR6045.O72 Z826</t>
        </is>
      </c>
      <c r="E3407" t="inlineStr">
        <is>
          <t>0                      PR 6045000O  72                 Z  826</t>
        </is>
      </c>
      <c r="F3407" t="inlineStr">
        <is>
          <t>The world without a self; Virginia Woolf and the novel.</t>
        </is>
      </c>
      <c r="H3407" t="inlineStr">
        <is>
          <t>No</t>
        </is>
      </c>
      <c r="I3407" t="inlineStr">
        <is>
          <t>1</t>
        </is>
      </c>
      <c r="J3407" t="inlineStr">
        <is>
          <t>No</t>
        </is>
      </c>
      <c r="K3407" t="inlineStr">
        <is>
          <t>No</t>
        </is>
      </c>
      <c r="L3407" t="inlineStr">
        <is>
          <t>0</t>
        </is>
      </c>
      <c r="M3407" t="inlineStr">
        <is>
          <t>Naremore, James.</t>
        </is>
      </c>
      <c r="N3407" t="inlineStr">
        <is>
          <t>New Haven, Yale University Press, 1973.</t>
        </is>
      </c>
      <c r="O3407" t="inlineStr">
        <is>
          <t>1973</t>
        </is>
      </c>
      <c r="Q3407" t="inlineStr">
        <is>
          <t>eng</t>
        </is>
      </c>
      <c r="R3407" t="inlineStr">
        <is>
          <t>ctu</t>
        </is>
      </c>
      <c r="T3407" t="inlineStr">
        <is>
          <t xml:space="preserve">PR </t>
        </is>
      </c>
      <c r="U3407" t="n">
        <v>4</v>
      </c>
      <c r="V3407" t="n">
        <v>4</v>
      </c>
      <c r="W3407" t="inlineStr">
        <is>
          <t>2005-03-23</t>
        </is>
      </c>
      <c r="X3407" t="inlineStr">
        <is>
          <t>2005-03-23</t>
        </is>
      </c>
      <c r="Y3407" t="inlineStr">
        <is>
          <t>1997-04-23</t>
        </is>
      </c>
      <c r="Z3407" t="inlineStr">
        <is>
          <t>1997-04-23</t>
        </is>
      </c>
      <c r="AA3407" t="n">
        <v>1331</v>
      </c>
      <c r="AB3407" t="n">
        <v>1111</v>
      </c>
      <c r="AC3407" t="n">
        <v>1115</v>
      </c>
      <c r="AD3407" t="n">
        <v>10</v>
      </c>
      <c r="AE3407" t="n">
        <v>10</v>
      </c>
      <c r="AF3407" t="n">
        <v>50</v>
      </c>
      <c r="AG3407" t="n">
        <v>50</v>
      </c>
      <c r="AH3407" t="n">
        <v>18</v>
      </c>
      <c r="AI3407" t="n">
        <v>18</v>
      </c>
      <c r="AJ3407" t="n">
        <v>11</v>
      </c>
      <c r="AK3407" t="n">
        <v>11</v>
      </c>
      <c r="AL3407" t="n">
        <v>25</v>
      </c>
      <c r="AM3407" t="n">
        <v>25</v>
      </c>
      <c r="AN3407" t="n">
        <v>9</v>
      </c>
      <c r="AO3407" t="n">
        <v>9</v>
      </c>
      <c r="AP3407" t="n">
        <v>0</v>
      </c>
      <c r="AQ3407" t="n">
        <v>0</v>
      </c>
      <c r="AR3407" t="inlineStr">
        <is>
          <t>No</t>
        </is>
      </c>
      <c r="AS3407" t="inlineStr">
        <is>
          <t>No</t>
        </is>
      </c>
      <c r="AU3407">
        <f>HYPERLINK("https://creighton-primo.hosted.exlibrisgroup.com/primo-explore/search?tab=default_tab&amp;search_scope=EVERYTHING&amp;vid=01CRU&amp;lang=en_US&amp;offset=0&amp;query=any,contains,991003033069702656","Catalog Record")</f>
        <v/>
      </c>
      <c r="AV3407">
        <f>HYPERLINK("http://www.worldcat.org/oclc/595483","WorldCat Record")</f>
        <v/>
      </c>
      <c r="AW3407" t="inlineStr">
        <is>
          <t>488955421:eng</t>
        </is>
      </c>
      <c r="AX3407" t="inlineStr">
        <is>
          <t>595483</t>
        </is>
      </c>
      <c r="AY3407" t="inlineStr">
        <is>
          <t>991003033069702656</t>
        </is>
      </c>
      <c r="AZ3407" t="inlineStr">
        <is>
          <t>991003033069702656</t>
        </is>
      </c>
      <c r="BA3407" t="inlineStr">
        <is>
          <t>2272326640002656</t>
        </is>
      </c>
      <c r="BB3407" t="inlineStr">
        <is>
          <t>BOOK</t>
        </is>
      </c>
      <c r="BD3407" t="inlineStr">
        <is>
          <t>9780300015942</t>
        </is>
      </c>
      <c r="BE3407" t="inlineStr">
        <is>
          <t>32285002590528</t>
        </is>
      </c>
      <c r="BF3407" t="inlineStr">
        <is>
          <t>893893314</t>
        </is>
      </c>
    </row>
    <row r="3408">
      <c r="A3408" t="inlineStr">
        <is>
          <t>No</t>
        </is>
      </c>
      <c r="B3408" t="inlineStr">
        <is>
          <t>CURAL</t>
        </is>
      </c>
      <c r="C3408" t="inlineStr">
        <is>
          <t>SHELVES</t>
        </is>
      </c>
      <c r="D3408" t="inlineStr">
        <is>
          <t>PR6045.O72 Z837</t>
        </is>
      </c>
      <c r="E3408" t="inlineStr">
        <is>
          <t>0                      PR 6045000O  72                 Z  837</t>
        </is>
      </c>
      <c r="F3408" t="inlineStr">
        <is>
          <t>The razor edge of balance : a study of Virginia Woolf.</t>
        </is>
      </c>
      <c r="H3408" t="inlineStr">
        <is>
          <t>No</t>
        </is>
      </c>
      <c r="I3408" t="inlineStr">
        <is>
          <t>1</t>
        </is>
      </c>
      <c r="J3408" t="inlineStr">
        <is>
          <t>No</t>
        </is>
      </c>
      <c r="K3408" t="inlineStr">
        <is>
          <t>No</t>
        </is>
      </c>
      <c r="L3408" t="inlineStr">
        <is>
          <t>0</t>
        </is>
      </c>
      <c r="M3408" t="inlineStr">
        <is>
          <t>Novak, Jane.</t>
        </is>
      </c>
      <c r="N3408" t="inlineStr">
        <is>
          <t>Coral Gables, Fla. : University of Miami Press, [1975]</t>
        </is>
      </c>
      <c r="O3408" t="inlineStr">
        <is>
          <t>1975</t>
        </is>
      </c>
      <c r="Q3408" t="inlineStr">
        <is>
          <t>eng</t>
        </is>
      </c>
      <c r="R3408" t="inlineStr">
        <is>
          <t>flu</t>
        </is>
      </c>
      <c r="T3408" t="inlineStr">
        <is>
          <t xml:space="preserve">PR </t>
        </is>
      </c>
      <c r="U3408" t="n">
        <v>12</v>
      </c>
      <c r="V3408" t="n">
        <v>12</v>
      </c>
      <c r="W3408" t="inlineStr">
        <is>
          <t>2000-04-16</t>
        </is>
      </c>
      <c r="X3408" t="inlineStr">
        <is>
          <t>2000-04-16</t>
        </is>
      </c>
      <c r="Y3408" t="inlineStr">
        <is>
          <t>1992-07-23</t>
        </is>
      </c>
      <c r="Z3408" t="inlineStr">
        <is>
          <t>1992-07-23</t>
        </is>
      </c>
      <c r="AA3408" t="n">
        <v>573</v>
      </c>
      <c r="AB3408" t="n">
        <v>488</v>
      </c>
      <c r="AC3408" t="n">
        <v>501</v>
      </c>
      <c r="AD3408" t="n">
        <v>5</v>
      </c>
      <c r="AE3408" t="n">
        <v>5</v>
      </c>
      <c r="AF3408" t="n">
        <v>24</v>
      </c>
      <c r="AG3408" t="n">
        <v>24</v>
      </c>
      <c r="AH3408" t="n">
        <v>7</v>
      </c>
      <c r="AI3408" t="n">
        <v>7</v>
      </c>
      <c r="AJ3408" t="n">
        <v>6</v>
      </c>
      <c r="AK3408" t="n">
        <v>6</v>
      </c>
      <c r="AL3408" t="n">
        <v>15</v>
      </c>
      <c r="AM3408" t="n">
        <v>15</v>
      </c>
      <c r="AN3408" t="n">
        <v>4</v>
      </c>
      <c r="AO3408" t="n">
        <v>4</v>
      </c>
      <c r="AP3408" t="n">
        <v>0</v>
      </c>
      <c r="AQ3408" t="n">
        <v>0</v>
      </c>
      <c r="AR3408" t="inlineStr">
        <is>
          <t>No</t>
        </is>
      </c>
      <c r="AS3408" t="inlineStr">
        <is>
          <t>Yes</t>
        </is>
      </c>
      <c r="AT3408">
        <f>HYPERLINK("http://catalog.hathitrust.org/Record/000015853","HathiTrust Record")</f>
        <v/>
      </c>
      <c r="AU3408">
        <f>HYPERLINK("https://creighton-primo.hosted.exlibrisgroup.com/primo-explore/search?tab=default_tab&amp;search_scope=EVERYTHING&amp;vid=01CRU&amp;lang=en_US&amp;offset=0&amp;query=any,contains,991003443929702656","Catalog Record")</f>
        <v/>
      </c>
      <c r="AV3408">
        <f>HYPERLINK("http://www.worldcat.org/oclc/979942","WorldCat Record")</f>
        <v/>
      </c>
      <c r="AW3408" t="inlineStr">
        <is>
          <t>515002:eng</t>
        </is>
      </c>
      <c r="AX3408" t="inlineStr">
        <is>
          <t>979942</t>
        </is>
      </c>
      <c r="AY3408" t="inlineStr">
        <is>
          <t>991003443929702656</t>
        </is>
      </c>
      <c r="AZ3408" t="inlineStr">
        <is>
          <t>991003443929702656</t>
        </is>
      </c>
      <c r="BA3408" t="inlineStr">
        <is>
          <t>2259823930002656</t>
        </is>
      </c>
      <c r="BB3408" t="inlineStr">
        <is>
          <t>BOOK</t>
        </is>
      </c>
      <c r="BD3408" t="inlineStr">
        <is>
          <t>9780870242472</t>
        </is>
      </c>
      <c r="BE3408" t="inlineStr">
        <is>
          <t>32285001204758</t>
        </is>
      </c>
      <c r="BF3408" t="inlineStr">
        <is>
          <t>893623479</t>
        </is>
      </c>
    </row>
    <row r="3409">
      <c r="A3409" t="inlineStr">
        <is>
          <t>No</t>
        </is>
      </c>
      <c r="B3409" t="inlineStr">
        <is>
          <t>CURAL</t>
        </is>
      </c>
      <c r="C3409" t="inlineStr">
        <is>
          <t>SHELVES</t>
        </is>
      </c>
      <c r="D3409" t="inlineStr">
        <is>
          <t>PR6045.O72 Z854 1987</t>
        </is>
      </c>
      <c r="E3409" t="inlineStr">
        <is>
          <t>0                      PR 6045000O  72                 Z  854         1987</t>
        </is>
      </c>
      <c r="F3409" t="inlineStr">
        <is>
          <t>Virginia Woolf and the "Lust of creation" : a psychoanalytic exploration / Shirley Panken.</t>
        </is>
      </c>
      <c r="H3409" t="inlineStr">
        <is>
          <t>No</t>
        </is>
      </c>
      <c r="I3409" t="inlineStr">
        <is>
          <t>1</t>
        </is>
      </c>
      <c r="J3409" t="inlineStr">
        <is>
          <t>No</t>
        </is>
      </c>
      <c r="K3409" t="inlineStr">
        <is>
          <t>No</t>
        </is>
      </c>
      <c r="L3409" t="inlineStr">
        <is>
          <t>0</t>
        </is>
      </c>
      <c r="M3409" t="inlineStr">
        <is>
          <t>Panken, Shirley.</t>
        </is>
      </c>
      <c r="N3409" t="inlineStr">
        <is>
          <t>Albany : State University of New York Press, c1987.</t>
        </is>
      </c>
      <c r="O3409" t="inlineStr">
        <is>
          <t>1987</t>
        </is>
      </c>
      <c r="Q3409" t="inlineStr">
        <is>
          <t>eng</t>
        </is>
      </c>
      <c r="R3409" t="inlineStr">
        <is>
          <t>nyu</t>
        </is>
      </c>
      <c r="T3409" t="inlineStr">
        <is>
          <t xml:space="preserve">PR </t>
        </is>
      </c>
      <c r="U3409" t="n">
        <v>5</v>
      </c>
      <c r="V3409" t="n">
        <v>5</v>
      </c>
      <c r="W3409" t="inlineStr">
        <is>
          <t>2004-06-09</t>
        </is>
      </c>
      <c r="X3409" t="inlineStr">
        <is>
          <t>2004-06-09</t>
        </is>
      </c>
      <c r="Y3409" t="inlineStr">
        <is>
          <t>1992-07-23</t>
        </is>
      </c>
      <c r="Z3409" t="inlineStr">
        <is>
          <t>1992-07-23</t>
        </is>
      </c>
      <c r="AA3409" t="n">
        <v>332</v>
      </c>
      <c r="AB3409" t="n">
        <v>273</v>
      </c>
      <c r="AC3409" t="n">
        <v>273</v>
      </c>
      <c r="AD3409" t="n">
        <v>3</v>
      </c>
      <c r="AE3409" t="n">
        <v>3</v>
      </c>
      <c r="AF3409" t="n">
        <v>13</v>
      </c>
      <c r="AG3409" t="n">
        <v>13</v>
      </c>
      <c r="AH3409" t="n">
        <v>2</v>
      </c>
      <c r="AI3409" t="n">
        <v>2</v>
      </c>
      <c r="AJ3409" t="n">
        <v>3</v>
      </c>
      <c r="AK3409" t="n">
        <v>3</v>
      </c>
      <c r="AL3409" t="n">
        <v>10</v>
      </c>
      <c r="AM3409" t="n">
        <v>10</v>
      </c>
      <c r="AN3409" t="n">
        <v>2</v>
      </c>
      <c r="AO3409" t="n">
        <v>2</v>
      </c>
      <c r="AP3409" t="n">
        <v>0</v>
      </c>
      <c r="AQ3409" t="n">
        <v>0</v>
      </c>
      <c r="AR3409" t="inlineStr">
        <is>
          <t>No</t>
        </is>
      </c>
      <c r="AS3409" t="inlineStr">
        <is>
          <t>No</t>
        </is>
      </c>
      <c r="AU3409">
        <f>HYPERLINK("https://creighton-primo.hosted.exlibrisgroup.com/primo-explore/search?tab=default_tab&amp;search_scope=EVERYTHING&amp;vid=01CRU&amp;lang=en_US&amp;offset=0&amp;query=any,contains,991000962259702656","Catalog Record")</f>
        <v/>
      </c>
      <c r="AV3409">
        <f>HYPERLINK("http://www.worldcat.org/oclc/14819506","WorldCat Record")</f>
        <v/>
      </c>
      <c r="AW3409" t="inlineStr">
        <is>
          <t>8564495:eng</t>
        </is>
      </c>
      <c r="AX3409" t="inlineStr">
        <is>
          <t>14819506</t>
        </is>
      </c>
      <c r="AY3409" t="inlineStr">
        <is>
          <t>991000962259702656</t>
        </is>
      </c>
      <c r="AZ3409" t="inlineStr">
        <is>
          <t>991000962259702656</t>
        </is>
      </c>
      <c r="BA3409" t="inlineStr">
        <is>
          <t>2260210370002656</t>
        </is>
      </c>
      <c r="BB3409" t="inlineStr">
        <is>
          <t>BOOK</t>
        </is>
      </c>
      <c r="BD3409" t="inlineStr">
        <is>
          <t>9780887062018</t>
        </is>
      </c>
      <c r="BE3409" t="inlineStr">
        <is>
          <t>32285001204766</t>
        </is>
      </c>
      <c r="BF3409" t="inlineStr">
        <is>
          <t>893608416</t>
        </is>
      </c>
    </row>
    <row r="3410">
      <c r="A3410" t="inlineStr">
        <is>
          <t>No</t>
        </is>
      </c>
      <c r="B3410" t="inlineStr">
        <is>
          <t>CURAL</t>
        </is>
      </c>
      <c r="C3410" t="inlineStr">
        <is>
          <t>SHELVES</t>
        </is>
      </c>
      <c r="D3410" t="inlineStr">
        <is>
          <t>PR6045.O72 Z862</t>
        </is>
      </c>
      <c r="E3410" t="inlineStr">
        <is>
          <t>0                      PR 6045000O  72                 Z  862</t>
        </is>
      </c>
      <c r="F3410" t="inlineStr">
        <is>
          <t>The unknown Virginia Woolf / Roger Poole. --</t>
        </is>
      </c>
      <c r="H3410" t="inlineStr">
        <is>
          <t>No</t>
        </is>
      </c>
      <c r="I3410" t="inlineStr">
        <is>
          <t>1</t>
        </is>
      </c>
      <c r="J3410" t="inlineStr">
        <is>
          <t>No</t>
        </is>
      </c>
      <c r="K3410" t="inlineStr">
        <is>
          <t>No</t>
        </is>
      </c>
      <c r="L3410" t="inlineStr">
        <is>
          <t>0</t>
        </is>
      </c>
      <c r="M3410" t="inlineStr">
        <is>
          <t>Poole, Roger, 1939-2003.</t>
        </is>
      </c>
      <c r="N3410" t="inlineStr">
        <is>
          <t>Cambridge [Eng.] ; New York : Cambridge University Press, 1978.</t>
        </is>
      </c>
      <c r="O3410" t="inlineStr">
        <is>
          <t>1978</t>
        </is>
      </c>
      <c r="Q3410" t="inlineStr">
        <is>
          <t>eng</t>
        </is>
      </c>
      <c r="R3410" t="inlineStr">
        <is>
          <t>enk</t>
        </is>
      </c>
      <c r="T3410" t="inlineStr">
        <is>
          <t xml:space="preserve">PR </t>
        </is>
      </c>
      <c r="U3410" t="n">
        <v>4</v>
      </c>
      <c r="V3410" t="n">
        <v>4</v>
      </c>
      <c r="W3410" t="inlineStr">
        <is>
          <t>1995-10-25</t>
        </is>
      </c>
      <c r="X3410" t="inlineStr">
        <is>
          <t>1995-10-25</t>
        </is>
      </c>
      <c r="Y3410" t="inlineStr">
        <is>
          <t>1992-07-23</t>
        </is>
      </c>
      <c r="Z3410" t="inlineStr">
        <is>
          <t>1992-07-23</t>
        </is>
      </c>
      <c r="AA3410" t="n">
        <v>742</v>
      </c>
      <c r="AB3410" t="n">
        <v>525</v>
      </c>
      <c r="AC3410" t="n">
        <v>639</v>
      </c>
      <c r="AD3410" t="n">
        <v>7</v>
      </c>
      <c r="AE3410" t="n">
        <v>8</v>
      </c>
      <c r="AF3410" t="n">
        <v>28</v>
      </c>
      <c r="AG3410" t="n">
        <v>33</v>
      </c>
      <c r="AH3410" t="n">
        <v>6</v>
      </c>
      <c r="AI3410" t="n">
        <v>10</v>
      </c>
      <c r="AJ3410" t="n">
        <v>8</v>
      </c>
      <c r="AK3410" t="n">
        <v>8</v>
      </c>
      <c r="AL3410" t="n">
        <v>15</v>
      </c>
      <c r="AM3410" t="n">
        <v>18</v>
      </c>
      <c r="AN3410" t="n">
        <v>6</v>
      </c>
      <c r="AO3410" t="n">
        <v>7</v>
      </c>
      <c r="AP3410" t="n">
        <v>0</v>
      </c>
      <c r="AQ3410" t="n">
        <v>0</v>
      </c>
      <c r="AR3410" t="inlineStr">
        <is>
          <t>No</t>
        </is>
      </c>
      <c r="AS3410" t="inlineStr">
        <is>
          <t>No</t>
        </is>
      </c>
      <c r="AU3410">
        <f>HYPERLINK("https://creighton-primo.hosted.exlibrisgroup.com/primo-explore/search?tab=default_tab&amp;search_scope=EVERYTHING&amp;vid=01CRU&amp;lang=en_US&amp;offset=0&amp;query=any,contains,991004508269702656","Catalog Record")</f>
        <v/>
      </c>
      <c r="AV3410">
        <f>HYPERLINK("http://www.worldcat.org/oclc/3748906","WorldCat Record")</f>
        <v/>
      </c>
      <c r="AW3410" t="inlineStr">
        <is>
          <t>117881623:eng</t>
        </is>
      </c>
      <c r="AX3410" t="inlineStr">
        <is>
          <t>3748906</t>
        </is>
      </c>
      <c r="AY3410" t="inlineStr">
        <is>
          <t>991004508269702656</t>
        </is>
      </c>
      <c r="AZ3410" t="inlineStr">
        <is>
          <t>991004508269702656</t>
        </is>
      </c>
      <c r="BA3410" t="inlineStr">
        <is>
          <t>2269325870002656</t>
        </is>
      </c>
      <c r="BB3410" t="inlineStr">
        <is>
          <t>BOOK</t>
        </is>
      </c>
      <c r="BD3410" t="inlineStr">
        <is>
          <t>9780521219877</t>
        </is>
      </c>
      <c r="BE3410" t="inlineStr">
        <is>
          <t>32285001204774</t>
        </is>
      </c>
      <c r="BF3410" t="inlineStr">
        <is>
          <t>893882545</t>
        </is>
      </c>
    </row>
    <row r="3411">
      <c r="A3411" t="inlineStr">
        <is>
          <t>No</t>
        </is>
      </c>
      <c r="B3411" t="inlineStr">
        <is>
          <t>CURAL</t>
        </is>
      </c>
      <c r="C3411" t="inlineStr">
        <is>
          <t>SHELVES</t>
        </is>
      </c>
      <c r="D3411" t="inlineStr">
        <is>
          <t>PR6045.O72 Z863</t>
        </is>
      </c>
      <c r="E3411" t="inlineStr">
        <is>
          <t>0                      PR 6045000O  72                 Z  863</t>
        </is>
      </c>
      <c r="F3411" t="inlineStr">
        <is>
          <t>The elusive self : psyche and spirit in Virginia Woolf's novels / Louise A. Poresky.</t>
        </is>
      </c>
      <c r="H3411" t="inlineStr">
        <is>
          <t>No</t>
        </is>
      </c>
      <c r="I3411" t="inlineStr">
        <is>
          <t>1</t>
        </is>
      </c>
      <c r="J3411" t="inlineStr">
        <is>
          <t>No</t>
        </is>
      </c>
      <c r="K3411" t="inlineStr">
        <is>
          <t>No</t>
        </is>
      </c>
      <c r="L3411" t="inlineStr">
        <is>
          <t>0</t>
        </is>
      </c>
      <c r="M3411" t="inlineStr">
        <is>
          <t>Poresky, Louise A.</t>
        </is>
      </c>
      <c r="N3411" t="inlineStr">
        <is>
          <t>Newark : University of Delaware Press, c1981.</t>
        </is>
      </c>
      <c r="O3411" t="inlineStr">
        <is>
          <t>1981</t>
        </is>
      </c>
      <c r="Q3411" t="inlineStr">
        <is>
          <t>eng</t>
        </is>
      </c>
      <c r="R3411" t="inlineStr">
        <is>
          <t>nju</t>
        </is>
      </c>
      <c r="T3411" t="inlineStr">
        <is>
          <t xml:space="preserve">PR </t>
        </is>
      </c>
      <c r="U3411" t="n">
        <v>6</v>
      </c>
      <c r="V3411" t="n">
        <v>6</v>
      </c>
      <c r="W3411" t="inlineStr">
        <is>
          <t>2005-03-23</t>
        </is>
      </c>
      <c r="X3411" t="inlineStr">
        <is>
          <t>2005-03-23</t>
        </is>
      </c>
      <c r="Y3411" t="inlineStr">
        <is>
          <t>1992-07-23</t>
        </is>
      </c>
      <c r="Z3411" t="inlineStr">
        <is>
          <t>1992-07-23</t>
        </is>
      </c>
      <c r="AA3411" t="n">
        <v>474</v>
      </c>
      <c r="AB3411" t="n">
        <v>396</v>
      </c>
      <c r="AC3411" t="n">
        <v>407</v>
      </c>
      <c r="AD3411" t="n">
        <v>4</v>
      </c>
      <c r="AE3411" t="n">
        <v>4</v>
      </c>
      <c r="AF3411" t="n">
        <v>20</v>
      </c>
      <c r="AG3411" t="n">
        <v>21</v>
      </c>
      <c r="AH3411" t="n">
        <v>8</v>
      </c>
      <c r="AI3411" t="n">
        <v>8</v>
      </c>
      <c r="AJ3411" t="n">
        <v>3</v>
      </c>
      <c r="AK3411" t="n">
        <v>4</v>
      </c>
      <c r="AL3411" t="n">
        <v>11</v>
      </c>
      <c r="AM3411" t="n">
        <v>12</v>
      </c>
      <c r="AN3411" t="n">
        <v>3</v>
      </c>
      <c r="AO3411" t="n">
        <v>3</v>
      </c>
      <c r="AP3411" t="n">
        <v>0</v>
      </c>
      <c r="AQ3411" t="n">
        <v>0</v>
      </c>
      <c r="AR3411" t="inlineStr">
        <is>
          <t>No</t>
        </is>
      </c>
      <c r="AS3411" t="inlineStr">
        <is>
          <t>Yes</t>
        </is>
      </c>
      <c r="AT3411">
        <f>HYPERLINK("http://catalog.hathitrust.org/Record/000086316","HathiTrust Record")</f>
        <v/>
      </c>
      <c r="AU3411">
        <f>HYPERLINK("https://creighton-primo.hosted.exlibrisgroup.com/primo-explore/search?tab=default_tab&amp;search_scope=EVERYTHING&amp;vid=01CRU&amp;lang=en_US&amp;offset=0&amp;query=any,contains,991004989329702656","Catalog Record")</f>
        <v/>
      </c>
      <c r="AV3411">
        <f>HYPERLINK("http://www.worldcat.org/oclc/6485577","WorldCat Record")</f>
        <v/>
      </c>
      <c r="AW3411" t="inlineStr">
        <is>
          <t>521932:eng</t>
        </is>
      </c>
      <c r="AX3411" t="inlineStr">
        <is>
          <t>6485577</t>
        </is>
      </c>
      <c r="AY3411" t="inlineStr">
        <is>
          <t>991004989329702656</t>
        </is>
      </c>
      <c r="AZ3411" t="inlineStr">
        <is>
          <t>991004989329702656</t>
        </is>
      </c>
      <c r="BA3411" t="inlineStr">
        <is>
          <t>2271911360002656</t>
        </is>
      </c>
      <c r="BB3411" t="inlineStr">
        <is>
          <t>BOOK</t>
        </is>
      </c>
      <c r="BD3411" t="inlineStr">
        <is>
          <t>9780874131703</t>
        </is>
      </c>
      <c r="BE3411" t="inlineStr">
        <is>
          <t>32285001204782</t>
        </is>
      </c>
      <c r="BF3411" t="inlineStr">
        <is>
          <t>893782877</t>
        </is>
      </c>
    </row>
    <row r="3412">
      <c r="A3412" t="inlineStr">
        <is>
          <t>No</t>
        </is>
      </c>
      <c r="B3412" t="inlineStr">
        <is>
          <t>CURAL</t>
        </is>
      </c>
      <c r="C3412" t="inlineStr">
        <is>
          <t>SHELVES</t>
        </is>
      </c>
      <c r="D3412" t="inlineStr">
        <is>
          <t>PR6045.O72 Z8654 1996</t>
        </is>
      </c>
      <c r="E3412" t="inlineStr">
        <is>
          <t>0                      PR 6045000O  72                 Z  8654        1996</t>
        </is>
      </c>
      <c r="F3412" t="inlineStr">
        <is>
          <t>Art and affection : a life of Virginia Woolf / Panthea Reid.</t>
        </is>
      </c>
      <c r="H3412" t="inlineStr">
        <is>
          <t>No</t>
        </is>
      </c>
      <c r="I3412" t="inlineStr">
        <is>
          <t>1</t>
        </is>
      </c>
      <c r="J3412" t="inlineStr">
        <is>
          <t>No</t>
        </is>
      </c>
      <c r="K3412" t="inlineStr">
        <is>
          <t>No</t>
        </is>
      </c>
      <c r="L3412" t="inlineStr">
        <is>
          <t>0</t>
        </is>
      </c>
      <c r="M3412" t="inlineStr">
        <is>
          <t>Reid, Panthea.</t>
        </is>
      </c>
      <c r="N3412" t="inlineStr">
        <is>
          <t>New York : Oxford University Press, 1996.</t>
        </is>
      </c>
      <c r="O3412" t="inlineStr">
        <is>
          <t>1996</t>
        </is>
      </c>
      <c r="Q3412" t="inlineStr">
        <is>
          <t>eng</t>
        </is>
      </c>
      <c r="R3412" t="inlineStr">
        <is>
          <t>nyu</t>
        </is>
      </c>
      <c r="T3412" t="inlineStr">
        <is>
          <t xml:space="preserve">PR </t>
        </is>
      </c>
      <c r="U3412" t="n">
        <v>6</v>
      </c>
      <c r="V3412" t="n">
        <v>6</v>
      </c>
      <c r="W3412" t="inlineStr">
        <is>
          <t>1998-05-21</t>
        </is>
      </c>
      <c r="X3412" t="inlineStr">
        <is>
          <t>1998-05-21</t>
        </is>
      </c>
      <c r="Y3412" t="inlineStr">
        <is>
          <t>1997-01-27</t>
        </is>
      </c>
      <c r="Z3412" t="inlineStr">
        <is>
          <t>1997-01-27</t>
        </is>
      </c>
      <c r="AA3412" t="n">
        <v>1015</v>
      </c>
      <c r="AB3412" t="n">
        <v>922</v>
      </c>
      <c r="AC3412" t="n">
        <v>926</v>
      </c>
      <c r="AD3412" t="n">
        <v>8</v>
      </c>
      <c r="AE3412" t="n">
        <v>8</v>
      </c>
      <c r="AF3412" t="n">
        <v>39</v>
      </c>
      <c r="AG3412" t="n">
        <v>39</v>
      </c>
      <c r="AH3412" t="n">
        <v>18</v>
      </c>
      <c r="AI3412" t="n">
        <v>18</v>
      </c>
      <c r="AJ3412" t="n">
        <v>8</v>
      </c>
      <c r="AK3412" t="n">
        <v>8</v>
      </c>
      <c r="AL3412" t="n">
        <v>17</v>
      </c>
      <c r="AM3412" t="n">
        <v>17</v>
      </c>
      <c r="AN3412" t="n">
        <v>5</v>
      </c>
      <c r="AO3412" t="n">
        <v>5</v>
      </c>
      <c r="AP3412" t="n">
        <v>0</v>
      </c>
      <c r="AQ3412" t="n">
        <v>0</v>
      </c>
      <c r="AR3412" t="inlineStr">
        <is>
          <t>No</t>
        </is>
      </c>
      <c r="AS3412" t="inlineStr">
        <is>
          <t>No</t>
        </is>
      </c>
      <c r="AU3412">
        <f>HYPERLINK("https://creighton-primo.hosted.exlibrisgroup.com/primo-explore/search?tab=default_tab&amp;search_scope=EVERYTHING&amp;vid=01CRU&amp;lang=en_US&amp;offset=0&amp;query=any,contains,991002587759702656","Catalog Record")</f>
        <v/>
      </c>
      <c r="AV3412">
        <f>HYPERLINK("http://www.worldcat.org/oclc/33899995","WorldCat Record")</f>
        <v/>
      </c>
      <c r="AW3412" t="inlineStr">
        <is>
          <t>807035652:eng</t>
        </is>
      </c>
      <c r="AX3412" t="inlineStr">
        <is>
          <t>33899995</t>
        </is>
      </c>
      <c r="AY3412" t="inlineStr">
        <is>
          <t>991002587759702656</t>
        </is>
      </c>
      <c r="AZ3412" t="inlineStr">
        <is>
          <t>991002587759702656</t>
        </is>
      </c>
      <c r="BA3412" t="inlineStr">
        <is>
          <t>2271766510002656</t>
        </is>
      </c>
      <c r="BB3412" t="inlineStr">
        <is>
          <t>BOOK</t>
        </is>
      </c>
      <c r="BD3412" t="inlineStr">
        <is>
          <t>9780195101959</t>
        </is>
      </c>
      <c r="BE3412" t="inlineStr">
        <is>
          <t>32285002411584</t>
        </is>
      </c>
      <c r="BF3412" t="inlineStr">
        <is>
          <t>893245353</t>
        </is>
      </c>
    </row>
    <row r="3413">
      <c r="A3413" t="inlineStr">
        <is>
          <t>No</t>
        </is>
      </c>
      <c r="B3413" t="inlineStr">
        <is>
          <t>CURAL</t>
        </is>
      </c>
      <c r="C3413" t="inlineStr">
        <is>
          <t>SHELVES</t>
        </is>
      </c>
      <c r="D3413" t="inlineStr">
        <is>
          <t>PR6045.O72 Z8674 1979</t>
        </is>
      </c>
      <c r="E3413" t="inlineStr">
        <is>
          <t>0                      PR 6045000O  72                 Z  8674        1979</t>
        </is>
      </c>
      <c r="F3413" t="inlineStr">
        <is>
          <t>Virginia Woolf / by Michael Rosenthal.</t>
        </is>
      </c>
      <c r="H3413" t="inlineStr">
        <is>
          <t>No</t>
        </is>
      </c>
      <c r="I3413" t="inlineStr">
        <is>
          <t>1</t>
        </is>
      </c>
      <c r="J3413" t="inlineStr">
        <is>
          <t>No</t>
        </is>
      </c>
      <c r="K3413" t="inlineStr">
        <is>
          <t>No</t>
        </is>
      </c>
      <c r="L3413" t="inlineStr">
        <is>
          <t>0</t>
        </is>
      </c>
      <c r="M3413" t="inlineStr">
        <is>
          <t>Rosenthal, Michael, 1937-</t>
        </is>
      </c>
      <c r="N3413" t="inlineStr">
        <is>
          <t>New York : Columbia University Press, 1979.</t>
        </is>
      </c>
      <c r="O3413" t="inlineStr">
        <is>
          <t>1979</t>
        </is>
      </c>
      <c r="Q3413" t="inlineStr">
        <is>
          <t>eng</t>
        </is>
      </c>
      <c r="R3413" t="inlineStr">
        <is>
          <t>nyu</t>
        </is>
      </c>
      <c r="T3413" t="inlineStr">
        <is>
          <t xml:space="preserve">PR </t>
        </is>
      </c>
      <c r="U3413" t="n">
        <v>10</v>
      </c>
      <c r="V3413" t="n">
        <v>10</v>
      </c>
      <c r="W3413" t="inlineStr">
        <is>
          <t>2003-02-24</t>
        </is>
      </c>
      <c r="X3413" t="inlineStr">
        <is>
          <t>2003-02-24</t>
        </is>
      </c>
      <c r="Y3413" t="inlineStr">
        <is>
          <t>1992-07-23</t>
        </is>
      </c>
      <c r="Z3413" t="inlineStr">
        <is>
          <t>1992-07-23</t>
        </is>
      </c>
      <c r="AA3413" t="n">
        <v>797</v>
      </c>
      <c r="AB3413" t="n">
        <v>705</v>
      </c>
      <c r="AC3413" t="n">
        <v>729</v>
      </c>
      <c r="AD3413" t="n">
        <v>5</v>
      </c>
      <c r="AE3413" t="n">
        <v>5</v>
      </c>
      <c r="AF3413" t="n">
        <v>33</v>
      </c>
      <c r="AG3413" t="n">
        <v>34</v>
      </c>
      <c r="AH3413" t="n">
        <v>16</v>
      </c>
      <c r="AI3413" t="n">
        <v>16</v>
      </c>
      <c r="AJ3413" t="n">
        <v>8</v>
      </c>
      <c r="AK3413" t="n">
        <v>8</v>
      </c>
      <c r="AL3413" t="n">
        <v>14</v>
      </c>
      <c r="AM3413" t="n">
        <v>15</v>
      </c>
      <c r="AN3413" t="n">
        <v>4</v>
      </c>
      <c r="AO3413" t="n">
        <v>4</v>
      </c>
      <c r="AP3413" t="n">
        <v>0</v>
      </c>
      <c r="AQ3413" t="n">
        <v>0</v>
      </c>
      <c r="AR3413" t="inlineStr">
        <is>
          <t>No</t>
        </is>
      </c>
      <c r="AS3413" t="inlineStr">
        <is>
          <t>No</t>
        </is>
      </c>
      <c r="AU3413">
        <f>HYPERLINK("https://creighton-primo.hosted.exlibrisgroup.com/primo-explore/search?tab=default_tab&amp;search_scope=EVERYTHING&amp;vid=01CRU&amp;lang=en_US&amp;offset=0&amp;query=any,contains,991004735639702656","Catalog Record")</f>
        <v/>
      </c>
      <c r="AV3413">
        <f>HYPERLINK("http://www.worldcat.org/oclc/4857471","WorldCat Record")</f>
        <v/>
      </c>
      <c r="AW3413" t="inlineStr">
        <is>
          <t>5218641574:eng</t>
        </is>
      </c>
      <c r="AX3413" t="inlineStr">
        <is>
          <t>4857471</t>
        </is>
      </c>
      <c r="AY3413" t="inlineStr">
        <is>
          <t>991004735639702656</t>
        </is>
      </c>
      <c r="AZ3413" t="inlineStr">
        <is>
          <t>991004735639702656</t>
        </is>
      </c>
      <c r="BA3413" t="inlineStr">
        <is>
          <t>2266588740002656</t>
        </is>
      </c>
      <c r="BB3413" t="inlineStr">
        <is>
          <t>BOOK</t>
        </is>
      </c>
      <c r="BD3413" t="inlineStr">
        <is>
          <t>9780231048484</t>
        </is>
      </c>
      <c r="BE3413" t="inlineStr">
        <is>
          <t>32285001204790</t>
        </is>
      </c>
      <c r="BF3413" t="inlineStr">
        <is>
          <t>893235868</t>
        </is>
      </c>
    </row>
    <row r="3414">
      <c r="A3414" t="inlineStr">
        <is>
          <t>No</t>
        </is>
      </c>
      <c r="B3414" t="inlineStr">
        <is>
          <t>CURAL</t>
        </is>
      </c>
      <c r="C3414" t="inlineStr">
        <is>
          <t>SHELVES</t>
        </is>
      </c>
      <c r="D3414" t="inlineStr">
        <is>
          <t>PR6045.O72 Z8676 1986</t>
        </is>
      </c>
      <c r="E3414" t="inlineStr">
        <is>
          <t>0                      PR 6045000O  72                 Z  8676        1986</t>
        </is>
      </c>
      <c r="F3414" t="inlineStr">
        <is>
          <t>The interrupted moment : a view of Virginia Woolf's novels / Lucio P. Ruotolo.</t>
        </is>
      </c>
      <c r="H3414" t="inlineStr">
        <is>
          <t>No</t>
        </is>
      </c>
      <c r="I3414" t="inlineStr">
        <is>
          <t>1</t>
        </is>
      </c>
      <c r="J3414" t="inlineStr">
        <is>
          <t>No</t>
        </is>
      </c>
      <c r="K3414" t="inlineStr">
        <is>
          <t>No</t>
        </is>
      </c>
      <c r="L3414" t="inlineStr">
        <is>
          <t>0</t>
        </is>
      </c>
      <c r="M3414" t="inlineStr">
        <is>
          <t>Ruotolo, Lucio P.</t>
        </is>
      </c>
      <c r="N3414" t="inlineStr">
        <is>
          <t>Stanford, Calif. : Stanford University Press, 1986.</t>
        </is>
      </c>
      <c r="O3414" t="inlineStr">
        <is>
          <t>1986</t>
        </is>
      </c>
      <c r="Q3414" t="inlineStr">
        <is>
          <t>eng</t>
        </is>
      </c>
      <c r="R3414" t="inlineStr">
        <is>
          <t>cau</t>
        </is>
      </c>
      <c r="T3414" t="inlineStr">
        <is>
          <t xml:space="preserve">PR </t>
        </is>
      </c>
      <c r="U3414" t="n">
        <v>9</v>
      </c>
      <c r="V3414" t="n">
        <v>9</v>
      </c>
      <c r="W3414" t="inlineStr">
        <is>
          <t>2001-03-27</t>
        </is>
      </c>
      <c r="X3414" t="inlineStr">
        <is>
          <t>2001-03-27</t>
        </is>
      </c>
      <c r="Y3414" t="inlineStr">
        <is>
          <t>1992-07-23</t>
        </is>
      </c>
      <c r="Z3414" t="inlineStr">
        <is>
          <t>1992-07-23</t>
        </is>
      </c>
      <c r="AA3414" t="n">
        <v>712</v>
      </c>
      <c r="AB3414" t="n">
        <v>584</v>
      </c>
      <c r="AC3414" t="n">
        <v>587</v>
      </c>
      <c r="AD3414" t="n">
        <v>7</v>
      </c>
      <c r="AE3414" t="n">
        <v>7</v>
      </c>
      <c r="AF3414" t="n">
        <v>37</v>
      </c>
      <c r="AG3414" t="n">
        <v>37</v>
      </c>
      <c r="AH3414" t="n">
        <v>16</v>
      </c>
      <c r="AI3414" t="n">
        <v>16</v>
      </c>
      <c r="AJ3414" t="n">
        <v>6</v>
      </c>
      <c r="AK3414" t="n">
        <v>6</v>
      </c>
      <c r="AL3414" t="n">
        <v>19</v>
      </c>
      <c r="AM3414" t="n">
        <v>19</v>
      </c>
      <c r="AN3414" t="n">
        <v>6</v>
      </c>
      <c r="AO3414" t="n">
        <v>6</v>
      </c>
      <c r="AP3414" t="n">
        <v>0</v>
      </c>
      <c r="AQ3414" t="n">
        <v>0</v>
      </c>
      <c r="AR3414" t="inlineStr">
        <is>
          <t>No</t>
        </is>
      </c>
      <c r="AS3414" t="inlineStr">
        <is>
          <t>No</t>
        </is>
      </c>
      <c r="AU3414">
        <f>HYPERLINK("https://creighton-primo.hosted.exlibrisgroup.com/primo-explore/search?tab=default_tab&amp;search_scope=EVERYTHING&amp;vid=01CRU&amp;lang=en_US&amp;offset=0&amp;query=any,contains,991000863869702656","Catalog Record")</f>
        <v/>
      </c>
      <c r="AV3414">
        <f>HYPERLINK("http://www.worldcat.org/oclc/13702963","WorldCat Record")</f>
        <v/>
      </c>
      <c r="AW3414" t="inlineStr">
        <is>
          <t>6842971:eng</t>
        </is>
      </c>
      <c r="AX3414" t="inlineStr">
        <is>
          <t>13702963</t>
        </is>
      </c>
      <c r="AY3414" t="inlineStr">
        <is>
          <t>991000863869702656</t>
        </is>
      </c>
      <c r="AZ3414" t="inlineStr">
        <is>
          <t>991000863869702656</t>
        </is>
      </c>
      <c r="BA3414" t="inlineStr">
        <is>
          <t>2261430470002656</t>
        </is>
      </c>
      <c r="BB3414" t="inlineStr">
        <is>
          <t>BOOK</t>
        </is>
      </c>
      <c r="BD3414" t="inlineStr">
        <is>
          <t>9780804713429</t>
        </is>
      </c>
      <c r="BE3414" t="inlineStr">
        <is>
          <t>32285001204808</t>
        </is>
      </c>
      <c r="BF3414" t="inlineStr">
        <is>
          <t>893614561</t>
        </is>
      </c>
    </row>
    <row r="3415">
      <c r="A3415" t="inlineStr">
        <is>
          <t>No</t>
        </is>
      </c>
      <c r="B3415" t="inlineStr">
        <is>
          <t>CURAL</t>
        </is>
      </c>
      <c r="C3415" t="inlineStr">
        <is>
          <t>SHELVES</t>
        </is>
      </c>
      <c r="D3415" t="inlineStr">
        <is>
          <t>PR6045.O72 Z8745 1979</t>
        </is>
      </c>
      <c r="E3415" t="inlineStr">
        <is>
          <t>0                      PR 6045000O  72                 Z  8745        1979</t>
        </is>
      </c>
      <c r="F3415" t="inlineStr">
        <is>
          <t>Continuing presences : Virginia Woolf's use of literary allusion / Beverly Ann Schlack.</t>
        </is>
      </c>
      <c r="H3415" t="inlineStr">
        <is>
          <t>No</t>
        </is>
      </c>
      <c r="I3415" t="inlineStr">
        <is>
          <t>1</t>
        </is>
      </c>
      <c r="J3415" t="inlineStr">
        <is>
          <t>No</t>
        </is>
      </c>
      <c r="K3415" t="inlineStr">
        <is>
          <t>No</t>
        </is>
      </c>
      <c r="L3415" t="inlineStr">
        <is>
          <t>0</t>
        </is>
      </c>
      <c r="M3415" t="inlineStr">
        <is>
          <t>Schlack, Beverly Ann.</t>
        </is>
      </c>
      <c r="N3415" t="inlineStr">
        <is>
          <t>University Park : Pennsylvania State University Press, c1979.</t>
        </is>
      </c>
      <c r="O3415" t="inlineStr">
        <is>
          <t>1979</t>
        </is>
      </c>
      <c r="Q3415" t="inlineStr">
        <is>
          <t>eng</t>
        </is>
      </c>
      <c r="R3415" t="inlineStr">
        <is>
          <t>pau</t>
        </is>
      </c>
      <c r="T3415" t="inlineStr">
        <is>
          <t xml:space="preserve">PR </t>
        </is>
      </c>
      <c r="U3415" t="n">
        <v>2</v>
      </c>
      <c r="V3415" t="n">
        <v>2</v>
      </c>
      <c r="W3415" t="inlineStr">
        <is>
          <t>2003-10-05</t>
        </is>
      </c>
      <c r="X3415" t="inlineStr">
        <is>
          <t>2003-10-05</t>
        </is>
      </c>
      <c r="Y3415" t="inlineStr">
        <is>
          <t>1992-07-23</t>
        </is>
      </c>
      <c r="Z3415" t="inlineStr">
        <is>
          <t>1992-07-23</t>
        </is>
      </c>
      <c r="AA3415" t="n">
        <v>490</v>
      </c>
      <c r="AB3415" t="n">
        <v>398</v>
      </c>
      <c r="AC3415" t="n">
        <v>405</v>
      </c>
      <c r="AD3415" t="n">
        <v>5</v>
      </c>
      <c r="AE3415" t="n">
        <v>5</v>
      </c>
      <c r="AF3415" t="n">
        <v>23</v>
      </c>
      <c r="AG3415" t="n">
        <v>23</v>
      </c>
      <c r="AH3415" t="n">
        <v>7</v>
      </c>
      <c r="AI3415" t="n">
        <v>7</v>
      </c>
      <c r="AJ3415" t="n">
        <v>7</v>
      </c>
      <c r="AK3415" t="n">
        <v>7</v>
      </c>
      <c r="AL3415" t="n">
        <v>11</v>
      </c>
      <c r="AM3415" t="n">
        <v>11</v>
      </c>
      <c r="AN3415" t="n">
        <v>4</v>
      </c>
      <c r="AO3415" t="n">
        <v>4</v>
      </c>
      <c r="AP3415" t="n">
        <v>0</v>
      </c>
      <c r="AQ3415" t="n">
        <v>0</v>
      </c>
      <c r="AR3415" t="inlineStr">
        <is>
          <t>No</t>
        </is>
      </c>
      <c r="AS3415" t="inlineStr">
        <is>
          <t>Yes</t>
        </is>
      </c>
      <c r="AT3415">
        <f>HYPERLINK("http://catalog.hathitrust.org/Record/000216475","HathiTrust Record")</f>
        <v/>
      </c>
      <c r="AU3415">
        <f>HYPERLINK("https://creighton-primo.hosted.exlibrisgroup.com/primo-explore/search?tab=default_tab&amp;search_scope=EVERYTHING&amp;vid=01CRU&amp;lang=en_US&amp;offset=0&amp;query=any,contains,991004609909702656","Catalog Record")</f>
        <v/>
      </c>
      <c r="AV3415">
        <f>HYPERLINK("http://www.worldcat.org/oclc/4210979","WorldCat Record")</f>
        <v/>
      </c>
      <c r="AW3415" t="inlineStr">
        <is>
          <t>365451367:eng</t>
        </is>
      </c>
      <c r="AX3415" t="inlineStr">
        <is>
          <t>4210979</t>
        </is>
      </c>
      <c r="AY3415" t="inlineStr">
        <is>
          <t>991004609909702656</t>
        </is>
      </c>
      <c r="AZ3415" t="inlineStr">
        <is>
          <t>991004609909702656</t>
        </is>
      </c>
      <c r="BA3415" t="inlineStr">
        <is>
          <t>2256432710002656</t>
        </is>
      </c>
      <c r="BB3415" t="inlineStr">
        <is>
          <t>BOOK</t>
        </is>
      </c>
      <c r="BD3415" t="inlineStr">
        <is>
          <t>9780271002088</t>
        </is>
      </c>
      <c r="BE3415" t="inlineStr">
        <is>
          <t>32285001204816</t>
        </is>
      </c>
      <c r="BF3415" t="inlineStr">
        <is>
          <t>893337909</t>
        </is>
      </c>
    </row>
    <row r="3416">
      <c r="A3416" t="inlineStr">
        <is>
          <t>No</t>
        </is>
      </c>
      <c r="B3416" t="inlineStr">
        <is>
          <t>CURAL</t>
        </is>
      </c>
      <c r="C3416" t="inlineStr">
        <is>
          <t>SHELVES</t>
        </is>
      </c>
      <c r="D3416" t="inlineStr">
        <is>
          <t>PR6045.O72 Z877 1977</t>
        </is>
      </c>
      <c r="E3416" t="inlineStr">
        <is>
          <t>0                      PR 6045000O  72                 Z  877         1977</t>
        </is>
      </c>
      <c r="F3416" t="inlineStr">
        <is>
          <t>A marriage of true minds : an intimate portrait of Leonard and Virginia Woolf / George Spater and Ian Parsons.</t>
        </is>
      </c>
      <c r="H3416" t="inlineStr">
        <is>
          <t>No</t>
        </is>
      </c>
      <c r="I3416" t="inlineStr">
        <is>
          <t>1</t>
        </is>
      </c>
      <c r="J3416" t="inlineStr">
        <is>
          <t>No</t>
        </is>
      </c>
      <c r="K3416" t="inlineStr">
        <is>
          <t>No</t>
        </is>
      </c>
      <c r="L3416" t="inlineStr">
        <is>
          <t>0</t>
        </is>
      </c>
      <c r="M3416" t="inlineStr">
        <is>
          <t>Spater, George.</t>
        </is>
      </c>
      <c r="N3416" t="inlineStr">
        <is>
          <t>New York : Harcourt Brace Jovanovich, 1977.</t>
        </is>
      </c>
      <c r="O3416" t="inlineStr">
        <is>
          <t>1977</t>
        </is>
      </c>
      <c r="P3416" t="inlineStr">
        <is>
          <t>1st American ed.</t>
        </is>
      </c>
      <c r="Q3416" t="inlineStr">
        <is>
          <t>eng</t>
        </is>
      </c>
      <c r="R3416" t="inlineStr">
        <is>
          <t>nyu</t>
        </is>
      </c>
      <c r="T3416" t="inlineStr">
        <is>
          <t xml:space="preserve">PR </t>
        </is>
      </c>
      <c r="U3416" t="n">
        <v>4</v>
      </c>
      <c r="V3416" t="n">
        <v>4</v>
      </c>
      <c r="W3416" t="inlineStr">
        <is>
          <t>1997-08-04</t>
        </is>
      </c>
      <c r="X3416" t="inlineStr">
        <is>
          <t>1997-08-04</t>
        </is>
      </c>
      <c r="Y3416" t="inlineStr">
        <is>
          <t>1992-07-23</t>
        </is>
      </c>
      <c r="Z3416" t="inlineStr">
        <is>
          <t>1992-07-23</t>
        </is>
      </c>
      <c r="AA3416" t="n">
        <v>736</v>
      </c>
      <c r="AB3416" t="n">
        <v>701</v>
      </c>
      <c r="AC3416" t="n">
        <v>830</v>
      </c>
      <c r="AD3416" t="n">
        <v>6</v>
      </c>
      <c r="AE3416" t="n">
        <v>7</v>
      </c>
      <c r="AF3416" t="n">
        <v>30</v>
      </c>
      <c r="AG3416" t="n">
        <v>38</v>
      </c>
      <c r="AH3416" t="n">
        <v>12</v>
      </c>
      <c r="AI3416" t="n">
        <v>15</v>
      </c>
      <c r="AJ3416" t="n">
        <v>8</v>
      </c>
      <c r="AK3416" t="n">
        <v>10</v>
      </c>
      <c r="AL3416" t="n">
        <v>13</v>
      </c>
      <c r="AM3416" t="n">
        <v>19</v>
      </c>
      <c r="AN3416" t="n">
        <v>4</v>
      </c>
      <c r="AO3416" t="n">
        <v>5</v>
      </c>
      <c r="AP3416" t="n">
        <v>0</v>
      </c>
      <c r="AQ3416" t="n">
        <v>0</v>
      </c>
      <c r="AR3416" t="inlineStr">
        <is>
          <t>No</t>
        </is>
      </c>
      <c r="AS3416" t="inlineStr">
        <is>
          <t>No</t>
        </is>
      </c>
      <c r="AU3416">
        <f>HYPERLINK("https://creighton-primo.hosted.exlibrisgroup.com/primo-explore/search?tab=default_tab&amp;search_scope=EVERYTHING&amp;vid=01CRU&amp;lang=en_US&amp;offset=0&amp;query=any,contains,991004441719702656","Catalog Record")</f>
        <v/>
      </c>
      <c r="AV3416">
        <f>HYPERLINK("http://www.worldcat.org/oclc/3467009","WorldCat Record")</f>
        <v/>
      </c>
      <c r="AW3416" t="inlineStr">
        <is>
          <t>10187215:eng</t>
        </is>
      </c>
      <c r="AX3416" t="inlineStr">
        <is>
          <t>3467009</t>
        </is>
      </c>
      <c r="AY3416" t="inlineStr">
        <is>
          <t>991004441719702656</t>
        </is>
      </c>
      <c r="AZ3416" t="inlineStr">
        <is>
          <t>991004441719702656</t>
        </is>
      </c>
      <c r="BA3416" t="inlineStr">
        <is>
          <t>2256945030002656</t>
        </is>
      </c>
      <c r="BB3416" t="inlineStr">
        <is>
          <t>BOOK</t>
        </is>
      </c>
      <c r="BD3416" t="inlineStr">
        <is>
          <t>9780151574490</t>
        </is>
      </c>
      <c r="BE3416" t="inlineStr">
        <is>
          <t>32285001204824</t>
        </is>
      </c>
      <c r="BF3416" t="inlineStr">
        <is>
          <t>893417630</t>
        </is>
      </c>
    </row>
    <row r="3417">
      <c r="A3417" t="inlineStr">
        <is>
          <t>No</t>
        </is>
      </c>
      <c r="B3417" t="inlineStr">
        <is>
          <t>CURAL</t>
        </is>
      </c>
      <c r="C3417" t="inlineStr">
        <is>
          <t>SHELVES</t>
        </is>
      </c>
      <c r="D3417" t="inlineStr">
        <is>
          <t>PR6045.O72 Z8775</t>
        </is>
      </c>
      <c r="E3417" t="inlineStr">
        <is>
          <t>0                      PR 6045000O  72                 Z  8775</t>
        </is>
      </c>
      <c r="F3417" t="inlineStr">
        <is>
          <t>Virginia Woolf's quarrel with grieving / by Mark Spilka.</t>
        </is>
      </c>
      <c r="H3417" t="inlineStr">
        <is>
          <t>No</t>
        </is>
      </c>
      <c r="I3417" t="inlineStr">
        <is>
          <t>1</t>
        </is>
      </c>
      <c r="J3417" t="inlineStr">
        <is>
          <t>No</t>
        </is>
      </c>
      <c r="K3417" t="inlineStr">
        <is>
          <t>No</t>
        </is>
      </c>
      <c r="L3417" t="inlineStr">
        <is>
          <t>0</t>
        </is>
      </c>
      <c r="M3417" t="inlineStr">
        <is>
          <t>Spilka, Mark.</t>
        </is>
      </c>
      <c r="N3417" t="inlineStr">
        <is>
          <t>Lincoln : University of Nebraska Press, c1980.</t>
        </is>
      </c>
      <c r="O3417" t="inlineStr">
        <is>
          <t>1981</t>
        </is>
      </c>
      <c r="Q3417" t="inlineStr">
        <is>
          <t>eng</t>
        </is>
      </c>
      <c r="R3417" t="inlineStr">
        <is>
          <t>nbu</t>
        </is>
      </c>
      <c r="T3417" t="inlineStr">
        <is>
          <t xml:space="preserve">PR </t>
        </is>
      </c>
      <c r="U3417" t="n">
        <v>3</v>
      </c>
      <c r="V3417" t="n">
        <v>3</v>
      </c>
      <c r="W3417" t="inlineStr">
        <is>
          <t>1995-12-06</t>
        </is>
      </c>
      <c r="X3417" t="inlineStr">
        <is>
          <t>1995-12-06</t>
        </is>
      </c>
      <c r="Y3417" t="inlineStr">
        <is>
          <t>1989-12-11</t>
        </is>
      </c>
      <c r="Z3417" t="inlineStr">
        <is>
          <t>1989-12-11</t>
        </is>
      </c>
      <c r="AA3417" t="n">
        <v>517</v>
      </c>
      <c r="AB3417" t="n">
        <v>414</v>
      </c>
      <c r="AC3417" t="n">
        <v>420</v>
      </c>
      <c r="AD3417" t="n">
        <v>7</v>
      </c>
      <c r="AE3417" t="n">
        <v>7</v>
      </c>
      <c r="AF3417" t="n">
        <v>23</v>
      </c>
      <c r="AG3417" t="n">
        <v>23</v>
      </c>
      <c r="AH3417" t="n">
        <v>7</v>
      </c>
      <c r="AI3417" t="n">
        <v>7</v>
      </c>
      <c r="AJ3417" t="n">
        <v>7</v>
      </c>
      <c r="AK3417" t="n">
        <v>7</v>
      </c>
      <c r="AL3417" t="n">
        <v>9</v>
      </c>
      <c r="AM3417" t="n">
        <v>9</v>
      </c>
      <c r="AN3417" t="n">
        <v>5</v>
      </c>
      <c r="AO3417" t="n">
        <v>5</v>
      </c>
      <c r="AP3417" t="n">
        <v>0</v>
      </c>
      <c r="AQ3417" t="n">
        <v>0</v>
      </c>
      <c r="AR3417" t="inlineStr">
        <is>
          <t>No</t>
        </is>
      </c>
      <c r="AS3417" t="inlineStr">
        <is>
          <t>Yes</t>
        </is>
      </c>
      <c r="AT3417">
        <f>HYPERLINK("http://catalog.hathitrust.org/Record/000731888","HathiTrust Record")</f>
        <v/>
      </c>
      <c r="AU3417">
        <f>HYPERLINK("https://creighton-primo.hosted.exlibrisgroup.com/primo-explore/search?tab=default_tab&amp;search_scope=EVERYTHING&amp;vid=01CRU&amp;lang=en_US&amp;offset=0&amp;query=any,contains,991004926119702656","Catalog Record")</f>
        <v/>
      </c>
      <c r="AV3417">
        <f>HYPERLINK("http://www.worldcat.org/oclc/6086158","WorldCat Record")</f>
        <v/>
      </c>
      <c r="AW3417" t="inlineStr">
        <is>
          <t>21000702:eng</t>
        </is>
      </c>
      <c r="AX3417" t="inlineStr">
        <is>
          <t>6086158</t>
        </is>
      </c>
      <c r="AY3417" t="inlineStr">
        <is>
          <t>991004926119702656</t>
        </is>
      </c>
      <c r="AZ3417" t="inlineStr">
        <is>
          <t>991004926119702656</t>
        </is>
      </c>
      <c r="BA3417" t="inlineStr">
        <is>
          <t>2257683260002656</t>
        </is>
      </c>
      <c r="BB3417" t="inlineStr">
        <is>
          <t>BOOK</t>
        </is>
      </c>
      <c r="BD3417" t="inlineStr">
        <is>
          <t>9780803241206</t>
        </is>
      </c>
      <c r="BE3417" t="inlineStr">
        <is>
          <t>32285000030360</t>
        </is>
      </c>
      <c r="BF3417" t="inlineStr">
        <is>
          <t>893619226</t>
        </is>
      </c>
    </row>
    <row r="3418">
      <c r="A3418" t="inlineStr">
        <is>
          <t>No</t>
        </is>
      </c>
      <c r="B3418" t="inlineStr">
        <is>
          <t>CURAL</t>
        </is>
      </c>
      <c r="C3418" t="inlineStr">
        <is>
          <t>SHELVES</t>
        </is>
      </c>
      <c r="D3418" t="inlineStr">
        <is>
          <t>PR6045.O72 Z878</t>
        </is>
      </c>
      <c r="E3418" t="inlineStr">
        <is>
          <t>0                      PR 6045000O  72                 Z  878</t>
        </is>
      </c>
      <c r="F3418" t="inlineStr">
        <is>
          <t>Virginia Woolf; a collection of critical essays.</t>
        </is>
      </c>
      <c r="H3418" t="inlineStr">
        <is>
          <t>No</t>
        </is>
      </c>
      <c r="I3418" t="inlineStr">
        <is>
          <t>1</t>
        </is>
      </c>
      <c r="J3418" t="inlineStr">
        <is>
          <t>No</t>
        </is>
      </c>
      <c r="K3418" t="inlineStr">
        <is>
          <t>No</t>
        </is>
      </c>
      <c r="L3418" t="inlineStr">
        <is>
          <t>0</t>
        </is>
      </c>
      <c r="M3418" t="inlineStr">
        <is>
          <t>Sprague, Claire, compiler.</t>
        </is>
      </c>
      <c r="N3418" t="inlineStr">
        <is>
          <t>Englewood Cliffs, N.J., Prentice-Hall [1971]</t>
        </is>
      </c>
      <c r="O3418" t="inlineStr">
        <is>
          <t>1971</t>
        </is>
      </c>
      <c r="Q3418" t="inlineStr">
        <is>
          <t>eng</t>
        </is>
      </c>
      <c r="R3418" t="inlineStr">
        <is>
          <t>nju</t>
        </is>
      </c>
      <c r="S3418" t="inlineStr">
        <is>
          <t>A Spectrum book: Twentieth century views</t>
        </is>
      </c>
      <c r="T3418" t="inlineStr">
        <is>
          <t xml:space="preserve">PR </t>
        </is>
      </c>
      <c r="U3418" t="n">
        <v>2</v>
      </c>
      <c r="V3418" t="n">
        <v>2</v>
      </c>
      <c r="W3418" t="inlineStr">
        <is>
          <t>2008-03-26</t>
        </is>
      </c>
      <c r="X3418" t="inlineStr">
        <is>
          <t>2008-03-26</t>
        </is>
      </c>
      <c r="Y3418" t="inlineStr">
        <is>
          <t>1997-04-23</t>
        </is>
      </c>
      <c r="Z3418" t="inlineStr">
        <is>
          <t>1997-04-23</t>
        </is>
      </c>
      <c r="AA3418" t="n">
        <v>1781</v>
      </c>
      <c r="AB3418" t="n">
        <v>1571</v>
      </c>
      <c r="AC3418" t="n">
        <v>1591</v>
      </c>
      <c r="AD3418" t="n">
        <v>11</v>
      </c>
      <c r="AE3418" t="n">
        <v>11</v>
      </c>
      <c r="AF3418" t="n">
        <v>48</v>
      </c>
      <c r="AG3418" t="n">
        <v>49</v>
      </c>
      <c r="AH3418" t="n">
        <v>21</v>
      </c>
      <c r="AI3418" t="n">
        <v>22</v>
      </c>
      <c r="AJ3418" t="n">
        <v>8</v>
      </c>
      <c r="AK3418" t="n">
        <v>8</v>
      </c>
      <c r="AL3418" t="n">
        <v>20</v>
      </c>
      <c r="AM3418" t="n">
        <v>20</v>
      </c>
      <c r="AN3418" t="n">
        <v>9</v>
      </c>
      <c r="AO3418" t="n">
        <v>9</v>
      </c>
      <c r="AP3418" t="n">
        <v>0</v>
      </c>
      <c r="AQ3418" t="n">
        <v>0</v>
      </c>
      <c r="AR3418" t="inlineStr">
        <is>
          <t>No</t>
        </is>
      </c>
      <c r="AS3418" t="inlineStr">
        <is>
          <t>Yes</t>
        </is>
      </c>
      <c r="AT3418">
        <f>HYPERLINK("http://catalog.hathitrust.org/Record/001026004","HathiTrust Record")</f>
        <v/>
      </c>
      <c r="AU3418">
        <f>HYPERLINK("https://creighton-primo.hosted.exlibrisgroup.com/primo-explore/search?tab=default_tab&amp;search_scope=EVERYTHING&amp;vid=01CRU&amp;lang=en_US&amp;offset=0&amp;query=any,contains,991000678639702656","Catalog Record")</f>
        <v/>
      </c>
      <c r="AV3418">
        <f>HYPERLINK("http://www.worldcat.org/oclc/120771","WorldCat Record")</f>
        <v/>
      </c>
      <c r="AW3418" t="inlineStr">
        <is>
          <t>1865892204:eng</t>
        </is>
      </c>
      <c r="AX3418" t="inlineStr">
        <is>
          <t>120771</t>
        </is>
      </c>
      <c r="AY3418" t="inlineStr">
        <is>
          <t>991000678639702656</t>
        </is>
      </c>
      <c r="AZ3418" t="inlineStr">
        <is>
          <t>991000678639702656</t>
        </is>
      </c>
      <c r="BA3418" t="inlineStr">
        <is>
          <t>2264244460002656</t>
        </is>
      </c>
      <c r="BB3418" t="inlineStr">
        <is>
          <t>BOOK</t>
        </is>
      </c>
      <c r="BD3418" t="inlineStr">
        <is>
          <t>9780139628290</t>
        </is>
      </c>
      <c r="BE3418" t="inlineStr">
        <is>
          <t>32285002590544</t>
        </is>
      </c>
      <c r="BF3418" t="inlineStr">
        <is>
          <t>893339779</t>
        </is>
      </c>
    </row>
    <row r="3419">
      <c r="A3419" t="inlineStr">
        <is>
          <t>No</t>
        </is>
      </c>
      <c r="B3419" t="inlineStr">
        <is>
          <t>CURAL</t>
        </is>
      </c>
      <c r="C3419" t="inlineStr">
        <is>
          <t>SHELVES</t>
        </is>
      </c>
      <c r="D3419" t="inlineStr">
        <is>
          <t>PR6045.O72 Z886 1982</t>
        </is>
      </c>
      <c r="E3419" t="inlineStr">
        <is>
          <t>0                      PR 6045000O  72                 Z  886         1982</t>
        </is>
      </c>
      <c r="F3419" t="inlineStr">
        <is>
          <t>All that summer she was mad : Virginia Woolf, female victim of male medicine / Stephen Trombley.</t>
        </is>
      </c>
      <c r="H3419" t="inlineStr">
        <is>
          <t>No</t>
        </is>
      </c>
      <c r="I3419" t="inlineStr">
        <is>
          <t>1</t>
        </is>
      </c>
      <c r="J3419" t="inlineStr">
        <is>
          <t>No</t>
        </is>
      </c>
      <c r="K3419" t="inlineStr">
        <is>
          <t>No</t>
        </is>
      </c>
      <c r="L3419" t="inlineStr">
        <is>
          <t>0</t>
        </is>
      </c>
      <c r="M3419" t="inlineStr">
        <is>
          <t>Trombley, Stephen.</t>
        </is>
      </c>
      <c r="N3419" t="inlineStr">
        <is>
          <t>New York : Continuum, 1982.</t>
        </is>
      </c>
      <c r="O3419" t="inlineStr">
        <is>
          <t>1982</t>
        </is>
      </c>
      <c r="Q3419" t="inlineStr">
        <is>
          <t>eng</t>
        </is>
      </c>
      <c r="R3419" t="inlineStr">
        <is>
          <t>nyu</t>
        </is>
      </c>
      <c r="T3419" t="inlineStr">
        <is>
          <t xml:space="preserve">PR </t>
        </is>
      </c>
      <c r="U3419" t="n">
        <v>3</v>
      </c>
      <c r="V3419" t="n">
        <v>3</v>
      </c>
      <c r="W3419" t="inlineStr">
        <is>
          <t>1994-11-28</t>
        </is>
      </c>
      <c r="X3419" t="inlineStr">
        <is>
          <t>1994-11-28</t>
        </is>
      </c>
      <c r="Y3419" t="inlineStr">
        <is>
          <t>1992-07-23</t>
        </is>
      </c>
      <c r="Z3419" t="inlineStr">
        <is>
          <t>1992-07-23</t>
        </is>
      </c>
      <c r="AA3419" t="n">
        <v>442</v>
      </c>
      <c r="AB3419" t="n">
        <v>383</v>
      </c>
      <c r="AC3419" t="n">
        <v>385</v>
      </c>
      <c r="AD3419" t="n">
        <v>2</v>
      </c>
      <c r="AE3419" t="n">
        <v>2</v>
      </c>
      <c r="AF3419" t="n">
        <v>19</v>
      </c>
      <c r="AG3419" t="n">
        <v>19</v>
      </c>
      <c r="AH3419" t="n">
        <v>10</v>
      </c>
      <c r="AI3419" t="n">
        <v>10</v>
      </c>
      <c r="AJ3419" t="n">
        <v>7</v>
      </c>
      <c r="AK3419" t="n">
        <v>7</v>
      </c>
      <c r="AL3419" t="n">
        <v>9</v>
      </c>
      <c r="AM3419" t="n">
        <v>9</v>
      </c>
      <c r="AN3419" t="n">
        <v>1</v>
      </c>
      <c r="AO3419" t="n">
        <v>1</v>
      </c>
      <c r="AP3419" t="n">
        <v>0</v>
      </c>
      <c r="AQ3419" t="n">
        <v>0</v>
      </c>
      <c r="AR3419" t="inlineStr">
        <is>
          <t>No</t>
        </is>
      </c>
      <c r="AS3419" t="inlineStr">
        <is>
          <t>Yes</t>
        </is>
      </c>
      <c r="AT3419">
        <f>HYPERLINK("http://catalog.hathitrust.org/Record/003615035","HathiTrust Record")</f>
        <v/>
      </c>
      <c r="AU3419">
        <f>HYPERLINK("https://creighton-primo.hosted.exlibrisgroup.com/primo-explore/search?tab=default_tab&amp;search_scope=EVERYTHING&amp;vid=01CRU&amp;lang=en_US&amp;offset=0&amp;query=any,contains,991005189839702656","Catalog Record")</f>
        <v/>
      </c>
      <c r="AV3419">
        <f>HYPERLINK("http://www.worldcat.org/oclc/7997844","WorldCat Record")</f>
        <v/>
      </c>
      <c r="AW3419" t="inlineStr">
        <is>
          <t>3769124682:eng</t>
        </is>
      </c>
      <c r="AX3419" t="inlineStr">
        <is>
          <t>7997844</t>
        </is>
      </c>
      <c r="AY3419" t="inlineStr">
        <is>
          <t>991005189839702656</t>
        </is>
      </c>
      <c r="AZ3419" t="inlineStr">
        <is>
          <t>991005189839702656</t>
        </is>
      </c>
      <c r="BA3419" t="inlineStr">
        <is>
          <t>2258497630002656</t>
        </is>
      </c>
      <c r="BB3419" t="inlineStr">
        <is>
          <t>BOOK</t>
        </is>
      </c>
      <c r="BD3419" t="inlineStr">
        <is>
          <t>9780826402073</t>
        </is>
      </c>
      <c r="BE3419" t="inlineStr">
        <is>
          <t>32285001204840</t>
        </is>
      </c>
      <c r="BF3419" t="inlineStr">
        <is>
          <t>893701172</t>
        </is>
      </c>
    </row>
    <row r="3420">
      <c r="A3420" t="inlineStr">
        <is>
          <t>No</t>
        </is>
      </c>
      <c r="B3420" t="inlineStr">
        <is>
          <t>CURAL</t>
        </is>
      </c>
      <c r="C3420" t="inlineStr">
        <is>
          <t>SHELVES</t>
        </is>
      </c>
      <c r="D3420" t="inlineStr">
        <is>
          <t>PR6045.O72 Z8918 1992</t>
        </is>
      </c>
      <c r="E3420" t="inlineStr">
        <is>
          <t>0                      PR 6045000O  72                 Z  8918        1992</t>
        </is>
      </c>
      <c r="F3420" t="inlineStr">
        <is>
          <t>Virginia Woolf / edited and introduced by Rachel Bowlby.</t>
        </is>
      </c>
      <c r="H3420" t="inlineStr">
        <is>
          <t>No</t>
        </is>
      </c>
      <c r="I3420" t="inlineStr">
        <is>
          <t>1</t>
        </is>
      </c>
      <c r="J3420" t="inlineStr">
        <is>
          <t>No</t>
        </is>
      </c>
      <c r="K3420" t="inlineStr">
        <is>
          <t>Yes</t>
        </is>
      </c>
      <c r="L3420" t="inlineStr">
        <is>
          <t>0</t>
        </is>
      </c>
      <c r="N3420" t="inlineStr">
        <is>
          <t>London ; New York : Longman, 1992.</t>
        </is>
      </c>
      <c r="O3420" t="inlineStr">
        <is>
          <t>1992</t>
        </is>
      </c>
      <c r="Q3420" t="inlineStr">
        <is>
          <t>eng</t>
        </is>
      </c>
      <c r="R3420" t="inlineStr">
        <is>
          <t>enk</t>
        </is>
      </c>
      <c r="S3420" t="inlineStr">
        <is>
          <t>Longman critical readers</t>
        </is>
      </c>
      <c r="T3420" t="inlineStr">
        <is>
          <t xml:space="preserve">PR </t>
        </is>
      </c>
      <c r="U3420" t="n">
        <v>8</v>
      </c>
      <c r="V3420" t="n">
        <v>8</v>
      </c>
      <c r="W3420" t="inlineStr">
        <is>
          <t>2004-11-22</t>
        </is>
      </c>
      <c r="X3420" t="inlineStr">
        <is>
          <t>2004-11-22</t>
        </is>
      </c>
      <c r="Y3420" t="inlineStr">
        <is>
          <t>1993-03-25</t>
        </is>
      </c>
      <c r="Z3420" t="inlineStr">
        <is>
          <t>1993-03-25</t>
        </is>
      </c>
      <c r="AA3420" t="n">
        <v>334</v>
      </c>
      <c r="AB3420" t="n">
        <v>163</v>
      </c>
      <c r="AC3420" t="n">
        <v>383</v>
      </c>
      <c r="AD3420" t="n">
        <v>3</v>
      </c>
      <c r="AE3420" t="n">
        <v>5</v>
      </c>
      <c r="AF3420" t="n">
        <v>11</v>
      </c>
      <c r="AG3420" t="n">
        <v>18</v>
      </c>
      <c r="AH3420" t="n">
        <v>3</v>
      </c>
      <c r="AI3420" t="n">
        <v>6</v>
      </c>
      <c r="AJ3420" t="n">
        <v>3</v>
      </c>
      <c r="AK3420" t="n">
        <v>4</v>
      </c>
      <c r="AL3420" t="n">
        <v>5</v>
      </c>
      <c r="AM3420" t="n">
        <v>8</v>
      </c>
      <c r="AN3420" t="n">
        <v>2</v>
      </c>
      <c r="AO3420" t="n">
        <v>4</v>
      </c>
      <c r="AP3420" t="n">
        <v>0</v>
      </c>
      <c r="AQ3420" t="n">
        <v>0</v>
      </c>
      <c r="AR3420" t="inlineStr">
        <is>
          <t>No</t>
        </is>
      </c>
      <c r="AS3420" t="inlineStr">
        <is>
          <t>No</t>
        </is>
      </c>
      <c r="AU3420">
        <f>HYPERLINK("https://creighton-primo.hosted.exlibrisgroup.com/primo-explore/search?tab=default_tab&amp;search_scope=EVERYTHING&amp;vid=01CRU&amp;lang=en_US&amp;offset=0&amp;query=any,contains,991001967999702656","Catalog Record")</f>
        <v/>
      </c>
      <c r="AV3420">
        <f>HYPERLINK("http://www.worldcat.org/oclc/24952943","WorldCat Record")</f>
        <v/>
      </c>
      <c r="AW3420" t="inlineStr">
        <is>
          <t>807142309:eng</t>
        </is>
      </c>
      <c r="AX3420" t="inlineStr">
        <is>
          <t>24952943</t>
        </is>
      </c>
      <c r="AY3420" t="inlineStr">
        <is>
          <t>991001967999702656</t>
        </is>
      </c>
      <c r="AZ3420" t="inlineStr">
        <is>
          <t>991001967999702656</t>
        </is>
      </c>
      <c r="BA3420" t="inlineStr">
        <is>
          <t>2267164410002656</t>
        </is>
      </c>
      <c r="BB3420" t="inlineStr">
        <is>
          <t>BOOK</t>
        </is>
      </c>
      <c r="BD3420" t="inlineStr">
        <is>
          <t>9780582061514</t>
        </is>
      </c>
      <c r="BE3420" t="inlineStr">
        <is>
          <t>32285001498707</t>
        </is>
      </c>
      <c r="BF3420" t="inlineStr">
        <is>
          <t>893420813</t>
        </is>
      </c>
    </row>
    <row r="3421">
      <c r="A3421" t="inlineStr">
        <is>
          <t>No</t>
        </is>
      </c>
      <c r="B3421" t="inlineStr">
        <is>
          <t>CURAL</t>
        </is>
      </c>
      <c r="C3421" t="inlineStr">
        <is>
          <t>SHELVES</t>
        </is>
      </c>
      <c r="D3421" t="inlineStr">
        <is>
          <t>PR6047.E3 Z8 1989</t>
        </is>
      </c>
      <c r="E3421" t="inlineStr">
        <is>
          <t>0                      PR 6047000E  3                  Z  8           1989</t>
        </is>
      </c>
      <c r="F3421" t="inlineStr">
        <is>
          <t>Jack B. Yeats : a biography / Hilary Pyle.</t>
        </is>
      </c>
      <c r="H3421" t="inlineStr">
        <is>
          <t>No</t>
        </is>
      </c>
      <c r="I3421" t="inlineStr">
        <is>
          <t>1</t>
        </is>
      </c>
      <c r="J3421" t="inlineStr">
        <is>
          <t>No</t>
        </is>
      </c>
      <c r="K3421" t="inlineStr">
        <is>
          <t>No</t>
        </is>
      </c>
      <c r="L3421" t="inlineStr">
        <is>
          <t>0</t>
        </is>
      </c>
      <c r="M3421" t="inlineStr">
        <is>
          <t>Pyle, Hilary.</t>
        </is>
      </c>
      <c r="N3421" t="inlineStr">
        <is>
          <t>Savage, Md. : Barnes &amp; Noble Books, 1989.</t>
        </is>
      </c>
      <c r="O3421" t="inlineStr">
        <is>
          <t>1989</t>
        </is>
      </c>
      <c r="Q3421" t="inlineStr">
        <is>
          <t>eng</t>
        </is>
      </c>
      <c r="R3421" t="inlineStr">
        <is>
          <t>mdu</t>
        </is>
      </c>
      <c r="T3421" t="inlineStr">
        <is>
          <t xml:space="preserve">PR </t>
        </is>
      </c>
      <c r="U3421" t="n">
        <v>1</v>
      </c>
      <c r="V3421" t="n">
        <v>1</v>
      </c>
      <c r="W3421" t="inlineStr">
        <is>
          <t>1992-02-26</t>
        </is>
      </c>
      <c r="X3421" t="inlineStr">
        <is>
          <t>1992-02-26</t>
        </is>
      </c>
      <c r="Y3421" t="inlineStr">
        <is>
          <t>1992-02-13</t>
        </is>
      </c>
      <c r="Z3421" t="inlineStr">
        <is>
          <t>1992-02-13</t>
        </is>
      </c>
      <c r="AA3421" t="n">
        <v>79</v>
      </c>
      <c r="AB3421" t="n">
        <v>60</v>
      </c>
      <c r="AC3421" t="n">
        <v>254</v>
      </c>
      <c r="AD3421" t="n">
        <v>1</v>
      </c>
      <c r="AE3421" t="n">
        <v>2</v>
      </c>
      <c r="AF3421" t="n">
        <v>3</v>
      </c>
      <c r="AG3421" t="n">
        <v>14</v>
      </c>
      <c r="AH3421" t="n">
        <v>3</v>
      </c>
      <c r="AI3421" t="n">
        <v>6</v>
      </c>
      <c r="AJ3421" t="n">
        <v>1</v>
      </c>
      <c r="AK3421" t="n">
        <v>4</v>
      </c>
      <c r="AL3421" t="n">
        <v>2</v>
      </c>
      <c r="AM3421" t="n">
        <v>8</v>
      </c>
      <c r="AN3421" t="n">
        <v>0</v>
      </c>
      <c r="AO3421" t="n">
        <v>1</v>
      </c>
      <c r="AP3421" t="n">
        <v>0</v>
      </c>
      <c r="AQ3421" t="n">
        <v>0</v>
      </c>
      <c r="AR3421" t="inlineStr">
        <is>
          <t>No</t>
        </is>
      </c>
      <c r="AS3421" t="inlineStr">
        <is>
          <t>No</t>
        </is>
      </c>
      <c r="AU3421">
        <f>HYPERLINK("https://creighton-primo.hosted.exlibrisgroup.com/primo-explore/search?tab=default_tab&amp;search_scope=EVERYTHING&amp;vid=01CRU&amp;lang=en_US&amp;offset=0&amp;query=any,contains,991001558719702656","Catalog Record")</f>
        <v/>
      </c>
      <c r="AV3421">
        <f>HYPERLINK("http://www.worldcat.org/oclc/20295599","WorldCat Record")</f>
        <v/>
      </c>
      <c r="AW3421" t="inlineStr">
        <is>
          <t>1327565:eng</t>
        </is>
      </c>
      <c r="AX3421" t="inlineStr">
        <is>
          <t>20295599</t>
        </is>
      </c>
      <c r="AY3421" t="inlineStr">
        <is>
          <t>991001558719702656</t>
        </is>
      </c>
      <c r="AZ3421" t="inlineStr">
        <is>
          <t>991001558719702656</t>
        </is>
      </c>
      <c r="BA3421" t="inlineStr">
        <is>
          <t>2261758870002656</t>
        </is>
      </c>
      <c r="BB3421" t="inlineStr">
        <is>
          <t>BOOK</t>
        </is>
      </c>
      <c r="BD3421" t="inlineStr">
        <is>
          <t>9780389208921</t>
        </is>
      </c>
      <c r="BE3421" t="inlineStr">
        <is>
          <t>32285000869866</t>
        </is>
      </c>
      <c r="BF3421" t="inlineStr">
        <is>
          <t>893232063</t>
        </is>
      </c>
    </row>
    <row r="3422">
      <c r="A3422" t="inlineStr">
        <is>
          <t>No</t>
        </is>
      </c>
      <c r="B3422" t="inlineStr">
        <is>
          <t>CURAL</t>
        </is>
      </c>
      <c r="C3422" t="inlineStr">
        <is>
          <t>SHELVES</t>
        </is>
      </c>
      <c r="D3422" t="inlineStr">
        <is>
          <t>PR605.M63 L63 2000</t>
        </is>
      </c>
      <c r="E3422" t="inlineStr">
        <is>
          <t>0                      PR 0605000M  63                 L  63          2000</t>
        </is>
      </c>
      <c r="F3422" t="inlineStr">
        <is>
          <t>Locations of literary modernism : region and nation in British and American modernist poetry / edited by Alex Davis and Lee M. Jenkins.</t>
        </is>
      </c>
      <c r="H3422" t="inlineStr">
        <is>
          <t>No</t>
        </is>
      </c>
      <c r="I3422" t="inlineStr">
        <is>
          <t>1</t>
        </is>
      </c>
      <c r="J3422" t="inlineStr">
        <is>
          <t>No</t>
        </is>
      </c>
      <c r="K3422" t="inlineStr">
        <is>
          <t>No</t>
        </is>
      </c>
      <c r="L3422" t="inlineStr">
        <is>
          <t>0</t>
        </is>
      </c>
      <c r="N3422" t="inlineStr">
        <is>
          <t>Cambridge ; New York : Cambridge University Press, 2000.</t>
        </is>
      </c>
      <c r="O3422" t="inlineStr">
        <is>
          <t>2000</t>
        </is>
      </c>
      <c r="Q3422" t="inlineStr">
        <is>
          <t>eng</t>
        </is>
      </c>
      <c r="R3422" t="inlineStr">
        <is>
          <t>enk</t>
        </is>
      </c>
      <c r="T3422" t="inlineStr">
        <is>
          <t xml:space="preserve">PR </t>
        </is>
      </c>
      <c r="U3422" t="n">
        <v>4</v>
      </c>
      <c r="V3422" t="n">
        <v>4</v>
      </c>
      <c r="W3422" t="inlineStr">
        <is>
          <t>2005-10-10</t>
        </is>
      </c>
      <c r="X3422" t="inlineStr">
        <is>
          <t>2005-10-10</t>
        </is>
      </c>
      <c r="Y3422" t="inlineStr">
        <is>
          <t>2001-11-15</t>
        </is>
      </c>
      <c r="Z3422" t="inlineStr">
        <is>
          <t>2001-11-15</t>
        </is>
      </c>
      <c r="AA3422" t="n">
        <v>415</v>
      </c>
      <c r="AB3422" t="n">
        <v>309</v>
      </c>
      <c r="AC3422" t="n">
        <v>322</v>
      </c>
      <c r="AD3422" t="n">
        <v>4</v>
      </c>
      <c r="AE3422" t="n">
        <v>4</v>
      </c>
      <c r="AF3422" t="n">
        <v>19</v>
      </c>
      <c r="AG3422" t="n">
        <v>19</v>
      </c>
      <c r="AH3422" t="n">
        <v>6</v>
      </c>
      <c r="AI3422" t="n">
        <v>6</v>
      </c>
      <c r="AJ3422" t="n">
        <v>6</v>
      </c>
      <c r="AK3422" t="n">
        <v>6</v>
      </c>
      <c r="AL3422" t="n">
        <v>9</v>
      </c>
      <c r="AM3422" t="n">
        <v>9</v>
      </c>
      <c r="AN3422" t="n">
        <v>3</v>
      </c>
      <c r="AO3422" t="n">
        <v>3</v>
      </c>
      <c r="AP3422" t="n">
        <v>0</v>
      </c>
      <c r="AQ3422" t="n">
        <v>0</v>
      </c>
      <c r="AR3422" t="inlineStr">
        <is>
          <t>No</t>
        </is>
      </c>
      <c r="AS3422" t="inlineStr">
        <is>
          <t>No</t>
        </is>
      </c>
      <c r="AU3422">
        <f>HYPERLINK("https://creighton-primo.hosted.exlibrisgroup.com/primo-explore/search?tab=default_tab&amp;search_scope=EVERYTHING&amp;vid=01CRU&amp;lang=en_US&amp;offset=0&amp;query=any,contains,991003657719702656","Catalog Record")</f>
        <v/>
      </c>
      <c r="AV3422">
        <f>HYPERLINK("http://www.worldcat.org/oclc/43286748","WorldCat Record")</f>
        <v/>
      </c>
      <c r="AW3422" t="inlineStr">
        <is>
          <t>917504106:eng</t>
        </is>
      </c>
      <c r="AX3422" t="inlineStr">
        <is>
          <t>43286748</t>
        </is>
      </c>
      <c r="AY3422" t="inlineStr">
        <is>
          <t>991003657719702656</t>
        </is>
      </c>
      <c r="AZ3422" t="inlineStr">
        <is>
          <t>991003657719702656</t>
        </is>
      </c>
      <c r="BA3422" t="inlineStr">
        <is>
          <t>2258321940002656</t>
        </is>
      </c>
      <c r="BB3422" t="inlineStr">
        <is>
          <t>BOOK</t>
        </is>
      </c>
      <c r="BD3422" t="inlineStr">
        <is>
          <t>9780521780322</t>
        </is>
      </c>
      <c r="BE3422" t="inlineStr">
        <is>
          <t>32285004411871</t>
        </is>
      </c>
      <c r="BF3422" t="inlineStr">
        <is>
          <t>893318227</t>
        </is>
      </c>
    </row>
    <row r="3423">
      <c r="A3423" t="inlineStr">
        <is>
          <t>No</t>
        </is>
      </c>
      <c r="B3423" t="inlineStr">
        <is>
          <t>CURAL</t>
        </is>
      </c>
      <c r="C3423" t="inlineStr">
        <is>
          <t>SHELVES</t>
        </is>
      </c>
      <c r="D3423" t="inlineStr">
        <is>
          <t>PR605.M9 A5</t>
        </is>
      </c>
      <c r="E3423" t="inlineStr">
        <is>
          <t>0                      PR 0605000M  9                  A  5</t>
        </is>
      </c>
      <c r="F3423" t="inlineStr">
        <is>
          <t>Studies in structure : the stages of the spiritual life in four modern authors / [by] Robert J. Andreach.</t>
        </is>
      </c>
      <c r="H3423" t="inlineStr">
        <is>
          <t>No</t>
        </is>
      </c>
      <c r="I3423" t="inlineStr">
        <is>
          <t>1</t>
        </is>
      </c>
      <c r="J3423" t="inlineStr">
        <is>
          <t>No</t>
        </is>
      </c>
      <c r="K3423" t="inlineStr">
        <is>
          <t>No</t>
        </is>
      </c>
      <c r="L3423" t="inlineStr">
        <is>
          <t>0</t>
        </is>
      </c>
      <c r="M3423" t="inlineStr">
        <is>
          <t>Andreach, Robert J.</t>
        </is>
      </c>
      <c r="N3423" t="inlineStr">
        <is>
          <t>[New York] : Fordham University Press, 1964.</t>
        </is>
      </c>
      <c r="O3423" t="inlineStr">
        <is>
          <t>1964</t>
        </is>
      </c>
      <c r="Q3423" t="inlineStr">
        <is>
          <t>eng</t>
        </is>
      </c>
      <c r="R3423" t="inlineStr">
        <is>
          <t>nyu</t>
        </is>
      </c>
      <c r="T3423" t="inlineStr">
        <is>
          <t xml:space="preserve">PR </t>
        </is>
      </c>
      <c r="U3423" t="n">
        <v>4</v>
      </c>
      <c r="V3423" t="n">
        <v>4</v>
      </c>
      <c r="W3423" t="inlineStr">
        <is>
          <t>1997-12-01</t>
        </is>
      </c>
      <c r="X3423" t="inlineStr">
        <is>
          <t>1997-12-01</t>
        </is>
      </c>
      <c r="Y3423" t="inlineStr">
        <is>
          <t>1994-10-17</t>
        </is>
      </c>
      <c r="Z3423" t="inlineStr">
        <is>
          <t>1994-10-17</t>
        </is>
      </c>
      <c r="AA3423" t="n">
        <v>680</v>
      </c>
      <c r="AB3423" t="n">
        <v>609</v>
      </c>
      <c r="AC3423" t="n">
        <v>614</v>
      </c>
      <c r="AD3423" t="n">
        <v>4</v>
      </c>
      <c r="AE3423" t="n">
        <v>4</v>
      </c>
      <c r="AF3423" t="n">
        <v>35</v>
      </c>
      <c r="AG3423" t="n">
        <v>35</v>
      </c>
      <c r="AH3423" t="n">
        <v>13</v>
      </c>
      <c r="AI3423" t="n">
        <v>13</v>
      </c>
      <c r="AJ3423" t="n">
        <v>10</v>
      </c>
      <c r="AK3423" t="n">
        <v>10</v>
      </c>
      <c r="AL3423" t="n">
        <v>18</v>
      </c>
      <c r="AM3423" t="n">
        <v>18</v>
      </c>
      <c r="AN3423" t="n">
        <v>3</v>
      </c>
      <c r="AO3423" t="n">
        <v>3</v>
      </c>
      <c r="AP3423" t="n">
        <v>0</v>
      </c>
      <c r="AQ3423" t="n">
        <v>0</v>
      </c>
      <c r="AR3423" t="inlineStr">
        <is>
          <t>No</t>
        </is>
      </c>
      <c r="AS3423" t="inlineStr">
        <is>
          <t>No</t>
        </is>
      </c>
      <c r="AU3423">
        <f>HYPERLINK("https://creighton-primo.hosted.exlibrisgroup.com/primo-explore/search?tab=default_tab&amp;search_scope=EVERYTHING&amp;vid=01CRU&amp;lang=en_US&amp;offset=0&amp;query=any,contains,991002444249702656","Catalog Record")</f>
        <v/>
      </c>
      <c r="AV3423">
        <f>HYPERLINK("http://www.worldcat.org/oclc/351037","WorldCat Record")</f>
        <v/>
      </c>
      <c r="AW3423" t="inlineStr">
        <is>
          <t>889831598:eng</t>
        </is>
      </c>
      <c r="AX3423" t="inlineStr">
        <is>
          <t>351037</t>
        </is>
      </c>
      <c r="AY3423" t="inlineStr">
        <is>
          <t>991002444249702656</t>
        </is>
      </c>
      <c r="AZ3423" t="inlineStr">
        <is>
          <t>991002444249702656</t>
        </is>
      </c>
      <c r="BA3423" t="inlineStr">
        <is>
          <t>2266515740002656</t>
        </is>
      </c>
      <c r="BB3423" t="inlineStr">
        <is>
          <t>BOOK</t>
        </is>
      </c>
      <c r="BE3423" t="inlineStr">
        <is>
          <t>32285001961795</t>
        </is>
      </c>
      <c r="BF3423" t="inlineStr">
        <is>
          <t>893239046</t>
        </is>
      </c>
    </row>
    <row r="3424">
      <c r="A3424" t="inlineStr">
        <is>
          <t>No</t>
        </is>
      </c>
      <c r="B3424" t="inlineStr">
        <is>
          <t>CURAL</t>
        </is>
      </c>
      <c r="C3424" t="inlineStr">
        <is>
          <t>SHELVES</t>
        </is>
      </c>
      <c r="D3424" t="inlineStr">
        <is>
          <t>PR605.R5 N6</t>
        </is>
      </c>
      <c r="E3424" t="inlineStr">
        <is>
          <t>0                      PR 0605000R  5                  N  6</t>
        </is>
      </c>
      <c r="F3424" t="inlineStr">
        <is>
          <t>Poetry and prayer / [by] William T. Noon.</t>
        </is>
      </c>
      <c r="H3424" t="inlineStr">
        <is>
          <t>No</t>
        </is>
      </c>
      <c r="I3424" t="inlineStr">
        <is>
          <t>1</t>
        </is>
      </c>
      <c r="J3424" t="inlineStr">
        <is>
          <t>No</t>
        </is>
      </c>
      <c r="K3424" t="inlineStr">
        <is>
          <t>No</t>
        </is>
      </c>
      <c r="L3424" t="inlineStr">
        <is>
          <t>0</t>
        </is>
      </c>
      <c r="M3424" t="inlineStr">
        <is>
          <t>Noon, William T.</t>
        </is>
      </c>
      <c r="N3424" t="inlineStr">
        <is>
          <t>New Brunswick, N.J. : Rutgers University Press, 1967.</t>
        </is>
      </c>
      <c r="O3424" t="inlineStr">
        <is>
          <t>1967</t>
        </is>
      </c>
      <c r="Q3424" t="inlineStr">
        <is>
          <t>eng</t>
        </is>
      </c>
      <c r="R3424" t="inlineStr">
        <is>
          <t>nju</t>
        </is>
      </c>
      <c r="T3424" t="inlineStr">
        <is>
          <t xml:space="preserve">PR </t>
        </is>
      </c>
      <c r="U3424" t="n">
        <v>4</v>
      </c>
      <c r="V3424" t="n">
        <v>4</v>
      </c>
      <c r="W3424" t="inlineStr">
        <is>
          <t>2010-04-19</t>
        </is>
      </c>
      <c r="X3424" t="inlineStr">
        <is>
          <t>2010-04-19</t>
        </is>
      </c>
      <c r="Y3424" t="inlineStr">
        <is>
          <t>1991-09-09</t>
        </is>
      </c>
      <c r="Z3424" t="inlineStr">
        <is>
          <t>1991-09-09</t>
        </is>
      </c>
      <c r="AA3424" t="n">
        <v>676</v>
      </c>
      <c r="AB3424" t="n">
        <v>622</v>
      </c>
      <c r="AC3424" t="n">
        <v>629</v>
      </c>
      <c r="AD3424" t="n">
        <v>5</v>
      </c>
      <c r="AE3424" t="n">
        <v>5</v>
      </c>
      <c r="AF3424" t="n">
        <v>36</v>
      </c>
      <c r="AG3424" t="n">
        <v>36</v>
      </c>
      <c r="AH3424" t="n">
        <v>13</v>
      </c>
      <c r="AI3424" t="n">
        <v>13</v>
      </c>
      <c r="AJ3424" t="n">
        <v>8</v>
      </c>
      <c r="AK3424" t="n">
        <v>8</v>
      </c>
      <c r="AL3424" t="n">
        <v>21</v>
      </c>
      <c r="AM3424" t="n">
        <v>21</v>
      </c>
      <c r="AN3424" t="n">
        <v>4</v>
      </c>
      <c r="AO3424" t="n">
        <v>4</v>
      </c>
      <c r="AP3424" t="n">
        <v>0</v>
      </c>
      <c r="AQ3424" t="n">
        <v>0</v>
      </c>
      <c r="AR3424" t="inlineStr">
        <is>
          <t>No</t>
        </is>
      </c>
      <c r="AS3424" t="inlineStr">
        <is>
          <t>Yes</t>
        </is>
      </c>
      <c r="AT3424">
        <f>HYPERLINK("http://catalog.hathitrust.org/Record/001016561","HathiTrust Record")</f>
        <v/>
      </c>
      <c r="AU3424">
        <f>HYPERLINK("https://creighton-primo.hosted.exlibrisgroup.com/primo-explore/search?tab=default_tab&amp;search_scope=EVERYTHING&amp;vid=01CRU&amp;lang=en_US&amp;offset=0&amp;query=any,contains,991003213289702656","Catalog Record")</f>
        <v/>
      </c>
      <c r="AV3424">
        <f>HYPERLINK("http://www.worldcat.org/oclc/739765","WorldCat Record")</f>
        <v/>
      </c>
      <c r="AW3424" t="inlineStr">
        <is>
          <t>1798109:eng</t>
        </is>
      </c>
      <c r="AX3424" t="inlineStr">
        <is>
          <t>739765</t>
        </is>
      </c>
      <c r="AY3424" t="inlineStr">
        <is>
          <t>991003213289702656</t>
        </is>
      </c>
      <c r="AZ3424" t="inlineStr">
        <is>
          <t>991003213289702656</t>
        </is>
      </c>
      <c r="BA3424" t="inlineStr">
        <is>
          <t>2256086910002656</t>
        </is>
      </c>
      <c r="BB3424" t="inlineStr">
        <is>
          <t>BOOK</t>
        </is>
      </c>
      <c r="BE3424" t="inlineStr">
        <is>
          <t>32285000738632</t>
        </is>
      </c>
      <c r="BF3424" t="inlineStr">
        <is>
          <t>893793414</t>
        </is>
      </c>
    </row>
    <row r="3425">
      <c r="A3425" t="inlineStr">
        <is>
          <t>No</t>
        </is>
      </c>
      <c r="B3425" t="inlineStr">
        <is>
          <t>CURAL</t>
        </is>
      </c>
      <c r="C3425" t="inlineStr">
        <is>
          <t>SHELVES</t>
        </is>
      </c>
      <c r="D3425" t="inlineStr">
        <is>
          <t>PR605.S6 M38 1984</t>
        </is>
      </c>
      <c r="E3425" t="inlineStr">
        <is>
          <t>0                      PR 0605000S  6                  M  38          1984</t>
        </is>
      </c>
      <c r="F3425" t="inlineStr">
        <is>
          <t>Saving civilization : Yeats, Eliot, and Auden between the wars / Lucy McDiarmid.</t>
        </is>
      </c>
      <c r="H3425" t="inlineStr">
        <is>
          <t>No</t>
        </is>
      </c>
      <c r="I3425" t="inlineStr">
        <is>
          <t>1</t>
        </is>
      </c>
      <c r="J3425" t="inlineStr">
        <is>
          <t>No</t>
        </is>
      </c>
      <c r="K3425" t="inlineStr">
        <is>
          <t>No</t>
        </is>
      </c>
      <c r="L3425" t="inlineStr">
        <is>
          <t>0</t>
        </is>
      </c>
      <c r="M3425" t="inlineStr">
        <is>
          <t>McDiarmid, Lucy.</t>
        </is>
      </c>
      <c r="N3425" t="inlineStr">
        <is>
          <t>Cambridge [Cambridgeshire] ; New York : Cambridge University Press, 1984.</t>
        </is>
      </c>
      <c r="O3425" t="inlineStr">
        <is>
          <t>1984</t>
        </is>
      </c>
      <c r="Q3425" t="inlineStr">
        <is>
          <t>eng</t>
        </is>
      </c>
      <c r="R3425" t="inlineStr">
        <is>
          <t>enk</t>
        </is>
      </c>
      <c r="T3425" t="inlineStr">
        <is>
          <t xml:space="preserve">PR </t>
        </is>
      </c>
      <c r="U3425" t="n">
        <v>4</v>
      </c>
      <c r="V3425" t="n">
        <v>4</v>
      </c>
      <c r="W3425" t="inlineStr">
        <is>
          <t>2000-10-09</t>
        </is>
      </c>
      <c r="X3425" t="inlineStr">
        <is>
          <t>2000-10-09</t>
        </is>
      </c>
      <c r="Y3425" t="inlineStr">
        <is>
          <t>1991-09-09</t>
        </is>
      </c>
      <c r="Z3425" t="inlineStr">
        <is>
          <t>1991-09-09</t>
        </is>
      </c>
      <c r="AA3425" t="n">
        <v>621</v>
      </c>
      <c r="AB3425" t="n">
        <v>476</v>
      </c>
      <c r="AC3425" t="n">
        <v>481</v>
      </c>
      <c r="AD3425" t="n">
        <v>4</v>
      </c>
      <c r="AE3425" t="n">
        <v>4</v>
      </c>
      <c r="AF3425" t="n">
        <v>34</v>
      </c>
      <c r="AG3425" t="n">
        <v>34</v>
      </c>
      <c r="AH3425" t="n">
        <v>13</v>
      </c>
      <c r="AI3425" t="n">
        <v>13</v>
      </c>
      <c r="AJ3425" t="n">
        <v>9</v>
      </c>
      <c r="AK3425" t="n">
        <v>9</v>
      </c>
      <c r="AL3425" t="n">
        <v>20</v>
      </c>
      <c r="AM3425" t="n">
        <v>20</v>
      </c>
      <c r="AN3425" t="n">
        <v>3</v>
      </c>
      <c r="AO3425" t="n">
        <v>3</v>
      </c>
      <c r="AP3425" t="n">
        <v>0</v>
      </c>
      <c r="AQ3425" t="n">
        <v>0</v>
      </c>
      <c r="AR3425" t="inlineStr">
        <is>
          <t>No</t>
        </is>
      </c>
      <c r="AS3425" t="inlineStr">
        <is>
          <t>No</t>
        </is>
      </c>
      <c r="AU3425">
        <f>HYPERLINK("https://creighton-primo.hosted.exlibrisgroup.com/primo-explore/search?tab=default_tab&amp;search_scope=EVERYTHING&amp;vid=01CRU&amp;lang=en_US&amp;offset=0&amp;query=any,contains,991000337539702656","Catalog Record")</f>
        <v/>
      </c>
      <c r="AV3425">
        <f>HYPERLINK("http://www.worldcat.org/oclc/10230823","WorldCat Record")</f>
        <v/>
      </c>
      <c r="AW3425" t="inlineStr">
        <is>
          <t>836646754:eng</t>
        </is>
      </c>
      <c r="AX3425" t="inlineStr">
        <is>
          <t>10230823</t>
        </is>
      </c>
      <c r="AY3425" t="inlineStr">
        <is>
          <t>991000337539702656</t>
        </is>
      </c>
      <c r="AZ3425" t="inlineStr">
        <is>
          <t>991000337539702656</t>
        </is>
      </c>
      <c r="BA3425" t="inlineStr">
        <is>
          <t>2258543270002656</t>
        </is>
      </c>
      <c r="BB3425" t="inlineStr">
        <is>
          <t>BOOK</t>
        </is>
      </c>
      <c r="BD3425" t="inlineStr">
        <is>
          <t>9780521269308</t>
        </is>
      </c>
      <c r="BE3425" t="inlineStr">
        <is>
          <t>32285000738640</t>
        </is>
      </c>
      <c r="BF3425" t="inlineStr">
        <is>
          <t>893431873</t>
        </is>
      </c>
    </row>
    <row r="3426">
      <c r="A3426" t="inlineStr">
        <is>
          <t>No</t>
        </is>
      </c>
      <c r="B3426" t="inlineStr">
        <is>
          <t>CURAL</t>
        </is>
      </c>
      <c r="C3426" t="inlineStr">
        <is>
          <t>SHELVES</t>
        </is>
      </c>
      <c r="D3426" t="inlineStr">
        <is>
          <t>PR605.W65 G73 1984</t>
        </is>
      </c>
      <c r="E3426" t="inlineStr">
        <is>
          <t>0                      PR 0605000W  65                 G  73          1984</t>
        </is>
      </c>
      <c r="F3426" t="inlineStr">
        <is>
          <t>The Truth of War : Owen, Blunden, Rosenberg / Desmond Graham.</t>
        </is>
      </c>
      <c r="H3426" t="inlineStr">
        <is>
          <t>No</t>
        </is>
      </c>
      <c r="I3426" t="inlineStr">
        <is>
          <t>1</t>
        </is>
      </c>
      <c r="J3426" t="inlineStr">
        <is>
          <t>No</t>
        </is>
      </c>
      <c r="K3426" t="inlineStr">
        <is>
          <t>No</t>
        </is>
      </c>
      <c r="L3426" t="inlineStr">
        <is>
          <t>0</t>
        </is>
      </c>
      <c r="M3426" t="inlineStr">
        <is>
          <t>Graham, Desmond, 1940-</t>
        </is>
      </c>
      <c r="N3426" t="inlineStr">
        <is>
          <t>Manchester : Carcanet Press, c1984.</t>
        </is>
      </c>
      <c r="O3426" t="inlineStr">
        <is>
          <t>1984</t>
        </is>
      </c>
      <c r="Q3426" t="inlineStr">
        <is>
          <t>eng</t>
        </is>
      </c>
      <c r="R3426" t="inlineStr">
        <is>
          <t>enk</t>
        </is>
      </c>
      <c r="T3426" t="inlineStr">
        <is>
          <t xml:space="preserve">PR </t>
        </is>
      </c>
      <c r="U3426" t="n">
        <v>3</v>
      </c>
      <c r="V3426" t="n">
        <v>3</v>
      </c>
      <c r="W3426" t="inlineStr">
        <is>
          <t>1999-05-23</t>
        </is>
      </c>
      <c r="X3426" t="inlineStr">
        <is>
          <t>1999-05-23</t>
        </is>
      </c>
      <c r="Y3426" t="inlineStr">
        <is>
          <t>1991-09-09</t>
        </is>
      </c>
      <c r="Z3426" t="inlineStr">
        <is>
          <t>1991-09-09</t>
        </is>
      </c>
      <c r="AA3426" t="n">
        <v>424</v>
      </c>
      <c r="AB3426" t="n">
        <v>298</v>
      </c>
      <c r="AC3426" t="n">
        <v>300</v>
      </c>
      <c r="AD3426" t="n">
        <v>2</v>
      </c>
      <c r="AE3426" t="n">
        <v>2</v>
      </c>
      <c r="AF3426" t="n">
        <v>10</v>
      </c>
      <c r="AG3426" t="n">
        <v>10</v>
      </c>
      <c r="AH3426" t="n">
        <v>3</v>
      </c>
      <c r="AI3426" t="n">
        <v>3</v>
      </c>
      <c r="AJ3426" t="n">
        <v>4</v>
      </c>
      <c r="AK3426" t="n">
        <v>4</v>
      </c>
      <c r="AL3426" t="n">
        <v>6</v>
      </c>
      <c r="AM3426" t="n">
        <v>6</v>
      </c>
      <c r="AN3426" t="n">
        <v>1</v>
      </c>
      <c r="AO3426" t="n">
        <v>1</v>
      </c>
      <c r="AP3426" t="n">
        <v>0</v>
      </c>
      <c r="AQ3426" t="n">
        <v>0</v>
      </c>
      <c r="AR3426" t="inlineStr">
        <is>
          <t>No</t>
        </is>
      </c>
      <c r="AS3426" t="inlineStr">
        <is>
          <t>Yes</t>
        </is>
      </c>
      <c r="AT3426">
        <f>HYPERLINK("http://catalog.hathitrust.org/Record/000247885","HathiTrust Record")</f>
        <v/>
      </c>
      <c r="AU3426">
        <f>HYPERLINK("https://creighton-primo.hosted.exlibrisgroup.com/primo-explore/search?tab=default_tab&amp;search_scope=EVERYTHING&amp;vid=01CRU&amp;lang=en_US&amp;offset=0&amp;query=any,contains,991000465849702656","Catalog Record")</f>
        <v/>
      </c>
      <c r="AV3426">
        <f>HYPERLINK("http://www.worldcat.org/oclc/12554890","WorldCat Record")</f>
        <v/>
      </c>
      <c r="AW3426" t="inlineStr">
        <is>
          <t>138564116:eng</t>
        </is>
      </c>
      <c r="AX3426" t="inlineStr">
        <is>
          <t>12554890</t>
        </is>
      </c>
      <c r="AY3426" t="inlineStr">
        <is>
          <t>991000465849702656</t>
        </is>
      </c>
      <c r="AZ3426" t="inlineStr">
        <is>
          <t>991000465849702656</t>
        </is>
      </c>
      <c r="BA3426" t="inlineStr">
        <is>
          <t>2262826050002656</t>
        </is>
      </c>
      <c r="BB3426" t="inlineStr">
        <is>
          <t>BOOK</t>
        </is>
      </c>
      <c r="BD3426" t="inlineStr">
        <is>
          <t>9780856354960</t>
        </is>
      </c>
      <c r="BE3426" t="inlineStr">
        <is>
          <t>32285000738665</t>
        </is>
      </c>
      <c r="BF3426" t="inlineStr">
        <is>
          <t>893243276</t>
        </is>
      </c>
    </row>
    <row r="3427">
      <c r="A3427" t="inlineStr">
        <is>
          <t>No</t>
        </is>
      </c>
      <c r="B3427" t="inlineStr">
        <is>
          <t>CURAL</t>
        </is>
      </c>
      <c r="C3427" t="inlineStr">
        <is>
          <t>SHELVES</t>
        </is>
      </c>
      <c r="D3427" t="inlineStr">
        <is>
          <t>PR605.W65 Q56 1994</t>
        </is>
      </c>
      <c r="E3427" t="inlineStr">
        <is>
          <t>0                      PR 0605000W  65                 Q  56          1994</t>
        </is>
      </c>
      <c r="F3427" t="inlineStr">
        <is>
          <t>The great war and the missing muse : the early writings of Robert Graves and Siegfried Sassoon / Patrick J. Quinn.</t>
        </is>
      </c>
      <c r="H3427" t="inlineStr">
        <is>
          <t>No</t>
        </is>
      </c>
      <c r="I3427" t="inlineStr">
        <is>
          <t>1</t>
        </is>
      </c>
      <c r="J3427" t="inlineStr">
        <is>
          <t>No</t>
        </is>
      </c>
      <c r="K3427" t="inlineStr">
        <is>
          <t>No</t>
        </is>
      </c>
      <c r="L3427" t="inlineStr">
        <is>
          <t>0</t>
        </is>
      </c>
      <c r="M3427" t="inlineStr">
        <is>
          <t>Quinn, Patrick J., 1946-</t>
        </is>
      </c>
      <c r="N3427" t="inlineStr">
        <is>
          <t>Selinsgrove : Susquehanna University Press ; London ; Cranbury, NJ : Associated University Presses, c1994.</t>
        </is>
      </c>
      <c r="O3427" t="inlineStr">
        <is>
          <t>1994</t>
        </is>
      </c>
      <c r="Q3427" t="inlineStr">
        <is>
          <t>eng</t>
        </is>
      </c>
      <c r="R3427" t="inlineStr">
        <is>
          <t>pau</t>
        </is>
      </c>
      <c r="T3427" t="inlineStr">
        <is>
          <t xml:space="preserve">PR </t>
        </is>
      </c>
      <c r="U3427" t="n">
        <v>2</v>
      </c>
      <c r="V3427" t="n">
        <v>2</v>
      </c>
      <c r="W3427" t="inlineStr">
        <is>
          <t>2008-11-23</t>
        </is>
      </c>
      <c r="X3427" t="inlineStr">
        <is>
          <t>2008-11-23</t>
        </is>
      </c>
      <c r="Y3427" t="inlineStr">
        <is>
          <t>1994-12-15</t>
        </is>
      </c>
      <c r="Z3427" t="inlineStr">
        <is>
          <t>1994-12-15</t>
        </is>
      </c>
      <c r="AA3427" t="n">
        <v>295</v>
      </c>
      <c r="AB3427" t="n">
        <v>227</v>
      </c>
      <c r="AC3427" t="n">
        <v>232</v>
      </c>
      <c r="AD3427" t="n">
        <v>3</v>
      </c>
      <c r="AE3427" t="n">
        <v>3</v>
      </c>
      <c r="AF3427" t="n">
        <v>10</v>
      </c>
      <c r="AG3427" t="n">
        <v>11</v>
      </c>
      <c r="AH3427" t="n">
        <v>1</v>
      </c>
      <c r="AI3427" t="n">
        <v>1</v>
      </c>
      <c r="AJ3427" t="n">
        <v>4</v>
      </c>
      <c r="AK3427" t="n">
        <v>4</v>
      </c>
      <c r="AL3427" t="n">
        <v>6</v>
      </c>
      <c r="AM3427" t="n">
        <v>7</v>
      </c>
      <c r="AN3427" t="n">
        <v>2</v>
      </c>
      <c r="AO3427" t="n">
        <v>2</v>
      </c>
      <c r="AP3427" t="n">
        <v>0</v>
      </c>
      <c r="AQ3427" t="n">
        <v>0</v>
      </c>
      <c r="AR3427" t="inlineStr">
        <is>
          <t>No</t>
        </is>
      </c>
      <c r="AS3427" t="inlineStr">
        <is>
          <t>Yes</t>
        </is>
      </c>
      <c r="AT3427">
        <f>HYPERLINK("http://catalog.hathitrust.org/Record/002799812","HathiTrust Record")</f>
        <v/>
      </c>
      <c r="AU3427">
        <f>HYPERLINK("https://creighton-primo.hosted.exlibrisgroup.com/primo-explore/search?tab=default_tab&amp;search_scope=EVERYTHING&amp;vid=01CRU&amp;lang=en_US&amp;offset=0&amp;query=any,contains,991002194529702656","Catalog Record")</f>
        <v/>
      </c>
      <c r="AV3427">
        <f>HYPERLINK("http://www.worldcat.org/oclc/28217106","WorldCat Record")</f>
        <v/>
      </c>
      <c r="AW3427" t="inlineStr">
        <is>
          <t>199154661:eng</t>
        </is>
      </c>
      <c r="AX3427" t="inlineStr">
        <is>
          <t>28217106</t>
        </is>
      </c>
      <c r="AY3427" t="inlineStr">
        <is>
          <t>991002194529702656</t>
        </is>
      </c>
      <c r="AZ3427" t="inlineStr">
        <is>
          <t>991002194529702656</t>
        </is>
      </c>
      <c r="BA3427" t="inlineStr">
        <is>
          <t>2266523920002656</t>
        </is>
      </c>
      <c r="BB3427" t="inlineStr">
        <is>
          <t>BOOK</t>
        </is>
      </c>
      <c r="BD3427" t="inlineStr">
        <is>
          <t>9780945636496</t>
        </is>
      </c>
      <c r="BE3427" t="inlineStr">
        <is>
          <t>32285001977676</t>
        </is>
      </c>
      <c r="BF3427" t="inlineStr">
        <is>
          <t>893238755</t>
        </is>
      </c>
    </row>
    <row r="3428">
      <c r="A3428" t="inlineStr">
        <is>
          <t>No</t>
        </is>
      </c>
      <c r="B3428" t="inlineStr">
        <is>
          <t>CURAL</t>
        </is>
      </c>
      <c r="C3428" t="inlineStr">
        <is>
          <t>SHELVES</t>
        </is>
      </c>
      <c r="D3428" t="inlineStr">
        <is>
          <t>PR605.W66 R45 1986</t>
        </is>
      </c>
      <c r="E3428" t="inlineStr">
        <is>
          <t>0                      PR 0605000W  66                 R  45          1986</t>
        </is>
      </c>
      <c r="F3428" t="inlineStr">
        <is>
          <t>English poetry of the Second World War : a biobibliography / Catherine W. Reilly.</t>
        </is>
      </c>
      <c r="H3428" t="inlineStr">
        <is>
          <t>No</t>
        </is>
      </c>
      <c r="I3428" t="inlineStr">
        <is>
          <t>1</t>
        </is>
      </c>
      <c r="J3428" t="inlineStr">
        <is>
          <t>No</t>
        </is>
      </c>
      <c r="K3428" t="inlineStr">
        <is>
          <t>No</t>
        </is>
      </c>
      <c r="L3428" t="inlineStr">
        <is>
          <t>0</t>
        </is>
      </c>
      <c r="M3428" t="inlineStr">
        <is>
          <t>Reilly, Catherine W.</t>
        </is>
      </c>
      <c r="N3428" t="inlineStr">
        <is>
          <t>London ; New York : Mansell Pub., c1986.</t>
        </is>
      </c>
      <c r="O3428" t="inlineStr">
        <is>
          <t>1985</t>
        </is>
      </c>
      <c r="Q3428" t="inlineStr">
        <is>
          <t>eng</t>
        </is>
      </c>
      <c r="R3428" t="inlineStr">
        <is>
          <t>enk</t>
        </is>
      </c>
      <c r="T3428" t="inlineStr">
        <is>
          <t xml:space="preserve">PR </t>
        </is>
      </c>
      <c r="U3428" t="n">
        <v>3</v>
      </c>
      <c r="V3428" t="n">
        <v>3</v>
      </c>
      <c r="W3428" t="inlineStr">
        <is>
          <t>2005-10-11</t>
        </is>
      </c>
      <c r="X3428" t="inlineStr">
        <is>
          <t>2005-10-11</t>
        </is>
      </c>
      <c r="Y3428" t="inlineStr">
        <is>
          <t>1991-09-09</t>
        </is>
      </c>
      <c r="Z3428" t="inlineStr">
        <is>
          <t>1991-09-09</t>
        </is>
      </c>
      <c r="AA3428" t="n">
        <v>128</v>
      </c>
      <c r="AB3428" t="n">
        <v>98</v>
      </c>
      <c r="AC3428" t="n">
        <v>248</v>
      </c>
      <c r="AD3428" t="n">
        <v>3</v>
      </c>
      <c r="AE3428" t="n">
        <v>4</v>
      </c>
      <c r="AF3428" t="n">
        <v>5</v>
      </c>
      <c r="AG3428" t="n">
        <v>15</v>
      </c>
      <c r="AH3428" t="n">
        <v>1</v>
      </c>
      <c r="AI3428" t="n">
        <v>4</v>
      </c>
      <c r="AJ3428" t="n">
        <v>1</v>
      </c>
      <c r="AK3428" t="n">
        <v>4</v>
      </c>
      <c r="AL3428" t="n">
        <v>2</v>
      </c>
      <c r="AM3428" t="n">
        <v>6</v>
      </c>
      <c r="AN3428" t="n">
        <v>2</v>
      </c>
      <c r="AO3428" t="n">
        <v>3</v>
      </c>
      <c r="AP3428" t="n">
        <v>0</v>
      </c>
      <c r="AQ3428" t="n">
        <v>0</v>
      </c>
      <c r="AR3428" t="inlineStr">
        <is>
          <t>No</t>
        </is>
      </c>
      <c r="AS3428" t="inlineStr">
        <is>
          <t>Yes</t>
        </is>
      </c>
      <c r="AT3428">
        <f>HYPERLINK("http://catalog.hathitrust.org/Record/004469701","HathiTrust Record")</f>
        <v/>
      </c>
      <c r="AU3428">
        <f>HYPERLINK("https://creighton-primo.hosted.exlibrisgroup.com/primo-explore/search?tab=default_tab&amp;search_scope=EVERYTHING&amp;vid=01CRU&amp;lang=en_US&amp;offset=0&amp;query=any,contains,991000718289702656","Catalog Record")</f>
        <v/>
      </c>
      <c r="AV3428">
        <f>HYPERLINK("http://www.worldcat.org/oclc/12663353","WorldCat Record")</f>
        <v/>
      </c>
      <c r="AW3428" t="inlineStr">
        <is>
          <t>836679851:eng</t>
        </is>
      </c>
      <c r="AX3428" t="inlineStr">
        <is>
          <t>12663353</t>
        </is>
      </c>
      <c r="AY3428" t="inlineStr">
        <is>
          <t>991000718289702656</t>
        </is>
      </c>
      <c r="AZ3428" t="inlineStr">
        <is>
          <t>991000718289702656</t>
        </is>
      </c>
      <c r="BA3428" t="inlineStr">
        <is>
          <t>2269576230002656</t>
        </is>
      </c>
      <c r="BB3428" t="inlineStr">
        <is>
          <t>BOOK</t>
        </is>
      </c>
      <c r="BD3428" t="inlineStr">
        <is>
          <t>9780720117936</t>
        </is>
      </c>
      <c r="BE3428" t="inlineStr">
        <is>
          <t>32285000738673</t>
        </is>
      </c>
      <c r="BF3428" t="inlineStr">
        <is>
          <t>893871948</t>
        </is>
      </c>
    </row>
    <row r="3429">
      <c r="A3429" t="inlineStr">
        <is>
          <t>No</t>
        </is>
      </c>
      <c r="B3429" t="inlineStr">
        <is>
          <t>CURAL</t>
        </is>
      </c>
      <c r="C3429" t="inlineStr">
        <is>
          <t>SHELVES</t>
        </is>
      </c>
      <c r="D3429" t="inlineStr">
        <is>
          <t>PR6051.D3352 Z87 2003</t>
        </is>
      </c>
      <c r="E3429" t="inlineStr">
        <is>
          <t>0                      PR 6051000D  3352               Z  87          2003</t>
        </is>
      </c>
      <c r="F3429" t="inlineStr">
        <is>
          <t>Hitchhiker : a biography of Douglas Adams / M.J. Simpson ; historical consultant, Kevin Davies.</t>
        </is>
      </c>
      <c r="H3429" t="inlineStr">
        <is>
          <t>No</t>
        </is>
      </c>
      <c r="I3429" t="inlineStr">
        <is>
          <t>1</t>
        </is>
      </c>
      <c r="J3429" t="inlineStr">
        <is>
          <t>No</t>
        </is>
      </c>
      <c r="K3429" t="inlineStr">
        <is>
          <t>No</t>
        </is>
      </c>
      <c r="L3429" t="inlineStr">
        <is>
          <t>0</t>
        </is>
      </c>
      <c r="M3429" t="inlineStr">
        <is>
          <t>Simpson, M. J.</t>
        </is>
      </c>
      <c r="N3429" t="inlineStr">
        <is>
          <t>Boston : Justin, Charles &amp; Co., 2003.</t>
        </is>
      </c>
      <c r="O3429" t="inlineStr">
        <is>
          <t>2003</t>
        </is>
      </c>
      <c r="Q3429" t="inlineStr">
        <is>
          <t>eng</t>
        </is>
      </c>
      <c r="R3429" t="inlineStr">
        <is>
          <t>mau</t>
        </is>
      </c>
      <c r="T3429" t="inlineStr">
        <is>
          <t xml:space="preserve">PR </t>
        </is>
      </c>
      <c r="U3429" t="n">
        <v>1</v>
      </c>
      <c r="V3429" t="n">
        <v>1</v>
      </c>
      <c r="W3429" t="inlineStr">
        <is>
          <t>2003-12-08</t>
        </is>
      </c>
      <c r="X3429" t="inlineStr">
        <is>
          <t>2003-12-08</t>
        </is>
      </c>
      <c r="Y3429" t="inlineStr">
        <is>
          <t>2003-12-08</t>
        </is>
      </c>
      <c r="Z3429" t="inlineStr">
        <is>
          <t>2003-12-08</t>
        </is>
      </c>
      <c r="AA3429" t="n">
        <v>474</v>
      </c>
      <c r="AB3429" t="n">
        <v>457</v>
      </c>
      <c r="AC3429" t="n">
        <v>516</v>
      </c>
      <c r="AD3429" t="n">
        <v>2</v>
      </c>
      <c r="AE3429" t="n">
        <v>2</v>
      </c>
      <c r="AF3429" t="n">
        <v>6</v>
      </c>
      <c r="AG3429" t="n">
        <v>7</v>
      </c>
      <c r="AH3429" t="n">
        <v>3</v>
      </c>
      <c r="AI3429" t="n">
        <v>3</v>
      </c>
      <c r="AJ3429" t="n">
        <v>0</v>
      </c>
      <c r="AK3429" t="n">
        <v>1</v>
      </c>
      <c r="AL3429" t="n">
        <v>6</v>
      </c>
      <c r="AM3429" t="n">
        <v>7</v>
      </c>
      <c r="AN3429" t="n">
        <v>0</v>
      </c>
      <c r="AO3429" t="n">
        <v>0</v>
      </c>
      <c r="AP3429" t="n">
        <v>0</v>
      </c>
      <c r="AQ3429" t="n">
        <v>0</v>
      </c>
      <c r="AR3429" t="inlineStr">
        <is>
          <t>No</t>
        </is>
      </c>
      <c r="AS3429" t="inlineStr">
        <is>
          <t>No</t>
        </is>
      </c>
      <c r="AU3429">
        <f>HYPERLINK("https://creighton-primo.hosted.exlibrisgroup.com/primo-explore/search?tab=default_tab&amp;search_scope=EVERYTHING&amp;vid=01CRU&amp;lang=en_US&amp;offset=0&amp;query=any,contains,991004190099702656","Catalog Record")</f>
        <v/>
      </c>
      <c r="AV3429">
        <f>HYPERLINK("http://www.worldcat.org/oclc/53044893","WorldCat Record")</f>
        <v/>
      </c>
      <c r="AW3429" t="inlineStr">
        <is>
          <t>350995812:eng</t>
        </is>
      </c>
      <c r="AX3429" t="inlineStr">
        <is>
          <t>53044893</t>
        </is>
      </c>
      <c r="AY3429" t="inlineStr">
        <is>
          <t>991004190099702656</t>
        </is>
      </c>
      <c r="AZ3429" t="inlineStr">
        <is>
          <t>991004190099702656</t>
        </is>
      </c>
      <c r="BA3429" t="inlineStr">
        <is>
          <t>2263040880002656</t>
        </is>
      </c>
      <c r="BB3429" t="inlineStr">
        <is>
          <t>BOOK</t>
        </is>
      </c>
      <c r="BD3429" t="inlineStr">
        <is>
          <t>9781932112177</t>
        </is>
      </c>
      <c r="BE3429" t="inlineStr">
        <is>
          <t>32285004845466</t>
        </is>
      </c>
      <c r="BF3429" t="inlineStr">
        <is>
          <t>893904745</t>
        </is>
      </c>
    </row>
    <row r="3430">
      <c r="A3430" t="inlineStr">
        <is>
          <t>No</t>
        </is>
      </c>
      <c r="B3430" t="inlineStr">
        <is>
          <t>CURAL</t>
        </is>
      </c>
      <c r="C3430" t="inlineStr">
        <is>
          <t>SHELVES</t>
        </is>
      </c>
      <c r="D3430" t="inlineStr">
        <is>
          <t>PR6052.A57 I53 1989</t>
        </is>
      </c>
      <c r="E3430" t="inlineStr">
        <is>
          <t>0                      PR 6052000A  57                 I  53          1989</t>
        </is>
      </c>
      <c r="F3430" t="inlineStr">
        <is>
          <t>John Banville : a critical introduction / by Rüdiger Imhof.</t>
        </is>
      </c>
      <c r="H3430" t="inlineStr">
        <is>
          <t>No</t>
        </is>
      </c>
      <c r="I3430" t="inlineStr">
        <is>
          <t>1</t>
        </is>
      </c>
      <c r="J3430" t="inlineStr">
        <is>
          <t>No</t>
        </is>
      </c>
      <c r="K3430" t="inlineStr">
        <is>
          <t>No</t>
        </is>
      </c>
      <c r="L3430" t="inlineStr">
        <is>
          <t>0</t>
        </is>
      </c>
      <c r="M3430" t="inlineStr">
        <is>
          <t>Imhof, Rüdiger.</t>
        </is>
      </c>
      <c r="N3430" t="inlineStr">
        <is>
          <t>Dublin : Wolfhound, 1989.</t>
        </is>
      </c>
      <c r="O3430" t="inlineStr">
        <is>
          <t>1989</t>
        </is>
      </c>
      <c r="Q3430" t="inlineStr">
        <is>
          <t>eng</t>
        </is>
      </c>
      <c r="R3430" t="inlineStr">
        <is>
          <t xml:space="preserve">ie </t>
        </is>
      </c>
      <c r="T3430" t="inlineStr">
        <is>
          <t xml:space="preserve">PR </t>
        </is>
      </c>
      <c r="U3430" t="n">
        <v>1</v>
      </c>
      <c r="V3430" t="n">
        <v>1</v>
      </c>
      <c r="W3430" t="inlineStr">
        <is>
          <t>1995-10-08</t>
        </is>
      </c>
      <c r="X3430" t="inlineStr">
        <is>
          <t>1995-10-08</t>
        </is>
      </c>
      <c r="Y3430" t="inlineStr">
        <is>
          <t>1989-11-16</t>
        </is>
      </c>
      <c r="Z3430" t="inlineStr">
        <is>
          <t>1989-11-16</t>
        </is>
      </c>
      <c r="AA3430" t="n">
        <v>217</v>
      </c>
      <c r="AB3430" t="n">
        <v>159</v>
      </c>
      <c r="AC3430" t="n">
        <v>196</v>
      </c>
      <c r="AD3430" t="n">
        <v>3</v>
      </c>
      <c r="AE3430" t="n">
        <v>3</v>
      </c>
      <c r="AF3430" t="n">
        <v>13</v>
      </c>
      <c r="AG3430" t="n">
        <v>14</v>
      </c>
      <c r="AH3430" t="n">
        <v>3</v>
      </c>
      <c r="AI3430" t="n">
        <v>3</v>
      </c>
      <c r="AJ3430" t="n">
        <v>4</v>
      </c>
      <c r="AK3430" t="n">
        <v>5</v>
      </c>
      <c r="AL3430" t="n">
        <v>9</v>
      </c>
      <c r="AM3430" t="n">
        <v>10</v>
      </c>
      <c r="AN3430" t="n">
        <v>2</v>
      </c>
      <c r="AO3430" t="n">
        <v>2</v>
      </c>
      <c r="AP3430" t="n">
        <v>0</v>
      </c>
      <c r="AQ3430" t="n">
        <v>0</v>
      </c>
      <c r="AR3430" t="inlineStr">
        <is>
          <t>No</t>
        </is>
      </c>
      <c r="AS3430" t="inlineStr">
        <is>
          <t>Yes</t>
        </is>
      </c>
      <c r="AT3430">
        <f>HYPERLINK("http://catalog.hathitrust.org/Record/001545489","HathiTrust Record")</f>
        <v/>
      </c>
      <c r="AU3430">
        <f>HYPERLINK("https://creighton-primo.hosted.exlibrisgroup.com/primo-explore/search?tab=default_tab&amp;search_scope=EVERYTHING&amp;vid=01CRU&amp;lang=en_US&amp;offset=0&amp;query=any,contains,991001321489702656","Catalog Record")</f>
        <v/>
      </c>
      <c r="AV3430">
        <f>HYPERLINK("http://www.worldcat.org/oclc/21040060","WorldCat Record")</f>
        <v/>
      </c>
      <c r="AW3430" t="inlineStr">
        <is>
          <t>22689831:eng</t>
        </is>
      </c>
      <c r="AX3430" t="inlineStr">
        <is>
          <t>21040060</t>
        </is>
      </c>
      <c r="AY3430" t="inlineStr">
        <is>
          <t>991001321489702656</t>
        </is>
      </c>
      <c r="AZ3430" t="inlineStr">
        <is>
          <t>991001321489702656</t>
        </is>
      </c>
      <c r="BA3430" t="inlineStr">
        <is>
          <t>2261921870002656</t>
        </is>
      </c>
      <c r="BB3430" t="inlineStr">
        <is>
          <t>BOOK</t>
        </is>
      </c>
      <c r="BD3430" t="inlineStr">
        <is>
          <t>9780863271861</t>
        </is>
      </c>
      <c r="BE3430" t="inlineStr">
        <is>
          <t>32285000013226</t>
        </is>
      </c>
      <c r="BF3430" t="inlineStr">
        <is>
          <t>893614977</t>
        </is>
      </c>
    </row>
    <row r="3431">
      <c r="A3431" t="inlineStr">
        <is>
          <t>No</t>
        </is>
      </c>
      <c r="B3431" t="inlineStr">
        <is>
          <t>CURAL</t>
        </is>
      </c>
      <c r="C3431" t="inlineStr">
        <is>
          <t>SHELVES</t>
        </is>
      </c>
      <c r="D3431" t="inlineStr">
        <is>
          <t>PR6052.A57 Z78 1991</t>
        </is>
      </c>
      <c r="E3431" t="inlineStr">
        <is>
          <t>0                      PR 6052000A  57                 Z  78          1991</t>
        </is>
      </c>
      <c r="F3431" t="inlineStr">
        <is>
          <t>John Banville, a critical study / Joseph McMinn.</t>
        </is>
      </c>
      <c r="H3431" t="inlineStr">
        <is>
          <t>No</t>
        </is>
      </c>
      <c r="I3431" t="inlineStr">
        <is>
          <t>1</t>
        </is>
      </c>
      <c r="J3431" t="inlineStr">
        <is>
          <t>No</t>
        </is>
      </c>
      <c r="K3431" t="inlineStr">
        <is>
          <t>No</t>
        </is>
      </c>
      <c r="L3431" t="inlineStr">
        <is>
          <t>0</t>
        </is>
      </c>
      <c r="M3431" t="inlineStr">
        <is>
          <t>McMinn, Joseph.</t>
        </is>
      </c>
      <c r="N3431" t="inlineStr">
        <is>
          <t>Dublin ; New York : Gill and MacMillan, c1991.</t>
        </is>
      </c>
      <c r="O3431" t="inlineStr">
        <is>
          <t>1991</t>
        </is>
      </c>
      <c r="Q3431" t="inlineStr">
        <is>
          <t>eng</t>
        </is>
      </c>
      <c r="R3431" t="inlineStr">
        <is>
          <t xml:space="preserve">ie </t>
        </is>
      </c>
      <c r="S3431" t="inlineStr">
        <is>
          <t>Gill's studies in Irish literature</t>
        </is>
      </c>
      <c r="T3431" t="inlineStr">
        <is>
          <t xml:space="preserve">PR </t>
        </is>
      </c>
      <c r="U3431" t="n">
        <v>1</v>
      </c>
      <c r="V3431" t="n">
        <v>1</v>
      </c>
      <c r="W3431" t="inlineStr">
        <is>
          <t>1995-10-08</t>
        </is>
      </c>
      <c r="X3431" t="inlineStr">
        <is>
          <t>1995-10-08</t>
        </is>
      </c>
      <c r="Y3431" t="inlineStr">
        <is>
          <t>1991-12-15</t>
        </is>
      </c>
      <c r="Z3431" t="inlineStr">
        <is>
          <t>1991-12-15</t>
        </is>
      </c>
      <c r="AA3431" t="n">
        <v>116</v>
      </c>
      <c r="AB3431" t="n">
        <v>66</v>
      </c>
      <c r="AC3431" t="n">
        <v>68</v>
      </c>
      <c r="AD3431" t="n">
        <v>1</v>
      </c>
      <c r="AE3431" t="n">
        <v>1</v>
      </c>
      <c r="AF3431" t="n">
        <v>4</v>
      </c>
      <c r="AG3431" t="n">
        <v>4</v>
      </c>
      <c r="AH3431" t="n">
        <v>0</v>
      </c>
      <c r="AI3431" t="n">
        <v>0</v>
      </c>
      <c r="AJ3431" t="n">
        <v>2</v>
      </c>
      <c r="AK3431" t="n">
        <v>2</v>
      </c>
      <c r="AL3431" t="n">
        <v>3</v>
      </c>
      <c r="AM3431" t="n">
        <v>3</v>
      </c>
      <c r="AN3431" t="n">
        <v>0</v>
      </c>
      <c r="AO3431" t="n">
        <v>0</v>
      </c>
      <c r="AP3431" t="n">
        <v>0</v>
      </c>
      <c r="AQ3431" t="n">
        <v>0</v>
      </c>
      <c r="AR3431" t="inlineStr">
        <is>
          <t>No</t>
        </is>
      </c>
      <c r="AS3431" t="inlineStr">
        <is>
          <t>Yes</t>
        </is>
      </c>
      <c r="AT3431">
        <f>HYPERLINK("http://catalog.hathitrust.org/Record/002453229","HathiTrust Record")</f>
        <v/>
      </c>
      <c r="AU3431">
        <f>HYPERLINK("https://creighton-primo.hosted.exlibrisgroup.com/primo-explore/search?tab=default_tab&amp;search_scope=EVERYTHING&amp;vid=01CRU&amp;lang=en_US&amp;offset=0&amp;query=any,contains,991001963049702656","Catalog Record")</f>
        <v/>
      </c>
      <c r="AV3431">
        <f>HYPERLINK("http://www.worldcat.org/oclc/24871533","WorldCat Record")</f>
        <v/>
      </c>
      <c r="AW3431" t="inlineStr">
        <is>
          <t>26915562:eng</t>
        </is>
      </c>
      <c r="AX3431" t="inlineStr">
        <is>
          <t>24871533</t>
        </is>
      </c>
      <c r="AY3431" t="inlineStr">
        <is>
          <t>991001963049702656</t>
        </is>
      </c>
      <c r="AZ3431" t="inlineStr">
        <is>
          <t>991001963049702656</t>
        </is>
      </c>
      <c r="BA3431" t="inlineStr">
        <is>
          <t>2262792020002656</t>
        </is>
      </c>
      <c r="BB3431" t="inlineStr">
        <is>
          <t>BOOK</t>
        </is>
      </c>
      <c r="BD3431" t="inlineStr">
        <is>
          <t>9780717118038</t>
        </is>
      </c>
      <c r="BE3431" t="inlineStr">
        <is>
          <t>32285000860196</t>
        </is>
      </c>
      <c r="BF3431" t="inlineStr">
        <is>
          <t>893516733</t>
        </is>
      </c>
    </row>
    <row r="3432">
      <c r="A3432" t="inlineStr">
        <is>
          <t>No</t>
        </is>
      </c>
      <c r="B3432" t="inlineStr">
        <is>
          <t>CURAL</t>
        </is>
      </c>
      <c r="C3432" t="inlineStr">
        <is>
          <t>SHELVES</t>
        </is>
      </c>
      <c r="D3432" t="inlineStr">
        <is>
          <t>PR6052.U638 Z58 1986</t>
        </is>
      </c>
      <c r="E3432" t="inlineStr">
        <is>
          <t>0                      PR 6052000U  638                Z  58          1986</t>
        </is>
      </c>
      <c r="F3432" t="inlineStr">
        <is>
          <t>Critical essays on Anthony Burgess / [edited by] Geoffrey Aggeler.</t>
        </is>
      </c>
      <c r="H3432" t="inlineStr">
        <is>
          <t>No</t>
        </is>
      </c>
      <c r="I3432" t="inlineStr">
        <is>
          <t>1</t>
        </is>
      </c>
      <c r="J3432" t="inlineStr">
        <is>
          <t>No</t>
        </is>
      </c>
      <c r="K3432" t="inlineStr">
        <is>
          <t>No</t>
        </is>
      </c>
      <c r="L3432" t="inlineStr">
        <is>
          <t>0</t>
        </is>
      </c>
      <c r="N3432" t="inlineStr">
        <is>
          <t>Boston, Mass. : G.K. Hall, c1986.</t>
        </is>
      </c>
      <c r="O3432" t="inlineStr">
        <is>
          <t>1986</t>
        </is>
      </c>
      <c r="Q3432" t="inlineStr">
        <is>
          <t>eng</t>
        </is>
      </c>
      <c r="R3432" t="inlineStr">
        <is>
          <t>mau</t>
        </is>
      </c>
      <c r="S3432" t="inlineStr">
        <is>
          <t>Critical essays on modern British literature</t>
        </is>
      </c>
      <c r="T3432" t="inlineStr">
        <is>
          <t xml:space="preserve">PR </t>
        </is>
      </c>
      <c r="U3432" t="n">
        <v>6</v>
      </c>
      <c r="V3432" t="n">
        <v>6</v>
      </c>
      <c r="W3432" t="inlineStr">
        <is>
          <t>2005-12-10</t>
        </is>
      </c>
      <c r="X3432" t="inlineStr">
        <is>
          <t>2005-12-10</t>
        </is>
      </c>
      <c r="Y3432" t="inlineStr">
        <is>
          <t>1992-07-24</t>
        </is>
      </c>
      <c r="Z3432" t="inlineStr">
        <is>
          <t>1992-07-24</t>
        </is>
      </c>
      <c r="AA3432" t="n">
        <v>564</v>
      </c>
      <c r="AB3432" t="n">
        <v>493</v>
      </c>
      <c r="AC3432" t="n">
        <v>493</v>
      </c>
      <c r="AD3432" t="n">
        <v>5</v>
      </c>
      <c r="AE3432" t="n">
        <v>5</v>
      </c>
      <c r="AF3432" t="n">
        <v>27</v>
      </c>
      <c r="AG3432" t="n">
        <v>27</v>
      </c>
      <c r="AH3432" t="n">
        <v>10</v>
      </c>
      <c r="AI3432" t="n">
        <v>10</v>
      </c>
      <c r="AJ3432" t="n">
        <v>7</v>
      </c>
      <c r="AK3432" t="n">
        <v>7</v>
      </c>
      <c r="AL3432" t="n">
        <v>15</v>
      </c>
      <c r="AM3432" t="n">
        <v>15</v>
      </c>
      <c r="AN3432" t="n">
        <v>4</v>
      </c>
      <c r="AO3432" t="n">
        <v>4</v>
      </c>
      <c r="AP3432" t="n">
        <v>0</v>
      </c>
      <c r="AQ3432" t="n">
        <v>0</v>
      </c>
      <c r="AR3432" t="inlineStr">
        <is>
          <t>No</t>
        </is>
      </c>
      <c r="AS3432" t="inlineStr">
        <is>
          <t>No</t>
        </is>
      </c>
      <c r="AU3432">
        <f>HYPERLINK("https://creighton-primo.hosted.exlibrisgroup.com/primo-explore/search?tab=default_tab&amp;search_scope=EVERYTHING&amp;vid=01CRU&amp;lang=en_US&amp;offset=0&amp;query=any,contains,991000759259702656","Catalog Record")</f>
        <v/>
      </c>
      <c r="AV3432">
        <f>HYPERLINK("http://www.worldcat.org/oclc/12971208","WorldCat Record")</f>
        <v/>
      </c>
      <c r="AW3432" t="inlineStr">
        <is>
          <t>5584504:eng</t>
        </is>
      </c>
      <c r="AX3432" t="inlineStr">
        <is>
          <t>12971208</t>
        </is>
      </c>
      <c r="AY3432" t="inlineStr">
        <is>
          <t>991000759259702656</t>
        </is>
      </c>
      <c r="AZ3432" t="inlineStr">
        <is>
          <t>991000759259702656</t>
        </is>
      </c>
      <c r="BA3432" t="inlineStr">
        <is>
          <t>2268274510002656</t>
        </is>
      </c>
      <c r="BB3432" t="inlineStr">
        <is>
          <t>BOOK</t>
        </is>
      </c>
      <c r="BD3432" t="inlineStr">
        <is>
          <t>9780816187577</t>
        </is>
      </c>
      <c r="BE3432" t="inlineStr">
        <is>
          <t>32285001205599</t>
        </is>
      </c>
      <c r="BF3432" t="inlineStr">
        <is>
          <t>893690010</t>
        </is>
      </c>
    </row>
    <row r="3433">
      <c r="A3433" t="inlineStr">
        <is>
          <t>No</t>
        </is>
      </c>
      <c r="B3433" t="inlineStr">
        <is>
          <t>CURAL</t>
        </is>
      </c>
      <c r="C3433" t="inlineStr">
        <is>
          <t>SHELVES</t>
        </is>
      </c>
      <c r="D3433" t="inlineStr">
        <is>
          <t>PR6052.U638 Z695 2004</t>
        </is>
      </c>
      <c r="E3433" t="inlineStr">
        <is>
          <t>0                      PR 6052000U  638                Z  695         2004</t>
        </is>
      </c>
      <c r="F3433" t="inlineStr">
        <is>
          <t>Anthony Burgess / Roger Lewis.</t>
        </is>
      </c>
      <c r="H3433" t="inlineStr">
        <is>
          <t>No</t>
        </is>
      </c>
      <c r="I3433" t="inlineStr">
        <is>
          <t>1</t>
        </is>
      </c>
      <c r="J3433" t="inlineStr">
        <is>
          <t>No</t>
        </is>
      </c>
      <c r="K3433" t="inlineStr">
        <is>
          <t>No</t>
        </is>
      </c>
      <c r="L3433" t="inlineStr">
        <is>
          <t>0</t>
        </is>
      </c>
      <c r="M3433" t="inlineStr">
        <is>
          <t>Lewis, Roger, 1960-</t>
        </is>
      </c>
      <c r="N3433" t="inlineStr">
        <is>
          <t>New York : Thomas Dunne Books, 2004.</t>
        </is>
      </c>
      <c r="O3433" t="inlineStr">
        <is>
          <t>2004</t>
        </is>
      </c>
      <c r="P3433" t="inlineStr">
        <is>
          <t>1st U.S. ed.</t>
        </is>
      </c>
      <c r="Q3433" t="inlineStr">
        <is>
          <t>eng</t>
        </is>
      </c>
      <c r="R3433" t="inlineStr">
        <is>
          <t>nyu</t>
        </is>
      </c>
      <c r="T3433" t="inlineStr">
        <is>
          <t xml:space="preserve">PR </t>
        </is>
      </c>
      <c r="U3433" t="n">
        <v>1</v>
      </c>
      <c r="V3433" t="n">
        <v>1</v>
      </c>
      <c r="W3433" t="inlineStr">
        <is>
          <t>2004-03-22</t>
        </is>
      </c>
      <c r="X3433" t="inlineStr">
        <is>
          <t>2004-03-22</t>
        </is>
      </c>
      <c r="Y3433" t="inlineStr">
        <is>
          <t>2004-03-22</t>
        </is>
      </c>
      <c r="Z3433" t="inlineStr">
        <is>
          <t>2004-03-22</t>
        </is>
      </c>
      <c r="AA3433" t="n">
        <v>461</v>
      </c>
      <c r="AB3433" t="n">
        <v>440</v>
      </c>
      <c r="AC3433" t="n">
        <v>513</v>
      </c>
      <c r="AD3433" t="n">
        <v>6</v>
      </c>
      <c r="AE3433" t="n">
        <v>6</v>
      </c>
      <c r="AF3433" t="n">
        <v>21</v>
      </c>
      <c r="AG3433" t="n">
        <v>23</v>
      </c>
      <c r="AH3433" t="n">
        <v>9</v>
      </c>
      <c r="AI3433" t="n">
        <v>9</v>
      </c>
      <c r="AJ3433" t="n">
        <v>3</v>
      </c>
      <c r="AK3433" t="n">
        <v>4</v>
      </c>
      <c r="AL3433" t="n">
        <v>8</v>
      </c>
      <c r="AM3433" t="n">
        <v>10</v>
      </c>
      <c r="AN3433" t="n">
        <v>5</v>
      </c>
      <c r="AO3433" t="n">
        <v>5</v>
      </c>
      <c r="AP3433" t="n">
        <v>0</v>
      </c>
      <c r="AQ3433" t="n">
        <v>0</v>
      </c>
      <c r="AR3433" t="inlineStr">
        <is>
          <t>No</t>
        </is>
      </c>
      <c r="AS3433" t="inlineStr">
        <is>
          <t>No</t>
        </is>
      </c>
      <c r="AU3433">
        <f>HYPERLINK("https://creighton-primo.hosted.exlibrisgroup.com/primo-explore/search?tab=default_tab&amp;search_scope=EVERYTHING&amp;vid=01CRU&amp;lang=en_US&amp;offset=0&amp;query=any,contains,991004225629702656","Catalog Record")</f>
        <v/>
      </c>
      <c r="AV3433">
        <f>HYPERLINK("http://www.worldcat.org/oclc/53038114","WorldCat Record")</f>
        <v/>
      </c>
      <c r="AW3433" t="inlineStr">
        <is>
          <t>676190:eng</t>
        </is>
      </c>
      <c r="AX3433" t="inlineStr">
        <is>
          <t>53038114</t>
        </is>
      </c>
      <c r="AY3433" t="inlineStr">
        <is>
          <t>991004225629702656</t>
        </is>
      </c>
      <c r="AZ3433" t="inlineStr">
        <is>
          <t>991004225629702656</t>
        </is>
      </c>
      <c r="BA3433" t="inlineStr">
        <is>
          <t>2271587280002656</t>
        </is>
      </c>
      <c r="BB3433" t="inlineStr">
        <is>
          <t>BOOK</t>
        </is>
      </c>
      <c r="BD3433" t="inlineStr">
        <is>
          <t>9780312322519</t>
        </is>
      </c>
      <c r="BE3433" t="inlineStr">
        <is>
          <t>32285004895404</t>
        </is>
      </c>
      <c r="BF3433" t="inlineStr">
        <is>
          <t>893706121</t>
        </is>
      </c>
    </row>
    <row r="3434">
      <c r="A3434" t="inlineStr">
        <is>
          <t>No</t>
        </is>
      </c>
      <c r="B3434" t="inlineStr">
        <is>
          <t>CURAL</t>
        </is>
      </c>
      <c r="C3434" t="inlineStr">
        <is>
          <t>SHELVES</t>
        </is>
      </c>
      <c r="D3434" t="inlineStr">
        <is>
          <t>PR6052.U638 Z89 1991</t>
        </is>
      </c>
      <c r="E3434" t="inlineStr">
        <is>
          <t>0                      PR 6052000U  638                Z  89          1991</t>
        </is>
      </c>
      <c r="F3434" t="inlineStr">
        <is>
          <t>Anthony Burgess revisited / John J. Stinson.</t>
        </is>
      </c>
      <c r="H3434" t="inlineStr">
        <is>
          <t>No</t>
        </is>
      </c>
      <c r="I3434" t="inlineStr">
        <is>
          <t>1</t>
        </is>
      </c>
      <c r="J3434" t="inlineStr">
        <is>
          <t>No</t>
        </is>
      </c>
      <c r="K3434" t="inlineStr">
        <is>
          <t>No</t>
        </is>
      </c>
      <c r="L3434" t="inlineStr">
        <is>
          <t>0</t>
        </is>
      </c>
      <c r="M3434" t="inlineStr">
        <is>
          <t>Stinson, John J.</t>
        </is>
      </c>
      <c r="N3434" t="inlineStr">
        <is>
          <t>Boston, Mass. : Twayne, 1991.</t>
        </is>
      </c>
      <c r="O3434" t="inlineStr">
        <is>
          <t>1991</t>
        </is>
      </c>
      <c r="Q3434" t="inlineStr">
        <is>
          <t>eng</t>
        </is>
      </c>
      <c r="R3434" t="inlineStr">
        <is>
          <t>mau</t>
        </is>
      </c>
      <c r="S3434" t="inlineStr">
        <is>
          <t>Twayne's English authors series ; v. 482</t>
        </is>
      </c>
      <c r="T3434" t="inlineStr">
        <is>
          <t xml:space="preserve">PR </t>
        </is>
      </c>
      <c r="U3434" t="n">
        <v>4</v>
      </c>
      <c r="V3434" t="n">
        <v>4</v>
      </c>
      <c r="W3434" t="inlineStr">
        <is>
          <t>2005-12-10</t>
        </is>
      </c>
      <c r="X3434" t="inlineStr">
        <is>
          <t>2005-12-10</t>
        </is>
      </c>
      <c r="Y3434" t="inlineStr">
        <is>
          <t>1991-02-14</t>
        </is>
      </c>
      <c r="Z3434" t="inlineStr">
        <is>
          <t>1991-02-14</t>
        </is>
      </c>
      <c r="AA3434" t="n">
        <v>660</v>
      </c>
      <c r="AB3434" t="n">
        <v>570</v>
      </c>
      <c r="AC3434" t="n">
        <v>662</v>
      </c>
      <c r="AD3434" t="n">
        <v>7</v>
      </c>
      <c r="AE3434" t="n">
        <v>7</v>
      </c>
      <c r="AF3434" t="n">
        <v>29</v>
      </c>
      <c r="AG3434" t="n">
        <v>30</v>
      </c>
      <c r="AH3434" t="n">
        <v>10</v>
      </c>
      <c r="AI3434" t="n">
        <v>10</v>
      </c>
      <c r="AJ3434" t="n">
        <v>4</v>
      </c>
      <c r="AK3434" t="n">
        <v>4</v>
      </c>
      <c r="AL3434" t="n">
        <v>14</v>
      </c>
      <c r="AM3434" t="n">
        <v>15</v>
      </c>
      <c r="AN3434" t="n">
        <v>6</v>
      </c>
      <c r="AO3434" t="n">
        <v>6</v>
      </c>
      <c r="AP3434" t="n">
        <v>0</v>
      </c>
      <c r="AQ3434" t="n">
        <v>0</v>
      </c>
      <c r="AR3434" t="inlineStr">
        <is>
          <t>No</t>
        </is>
      </c>
      <c r="AS3434" t="inlineStr">
        <is>
          <t>Yes</t>
        </is>
      </c>
      <c r="AT3434">
        <f>HYPERLINK("http://catalog.hathitrust.org/Record/002446550","HathiTrust Record")</f>
        <v/>
      </c>
      <c r="AU3434">
        <f>HYPERLINK("https://creighton-primo.hosted.exlibrisgroup.com/primo-explore/search?tab=default_tab&amp;search_scope=EVERYTHING&amp;vid=01CRU&amp;lang=en_US&amp;offset=0&amp;query=any,contains,991001765519702656","Catalog Record")</f>
        <v/>
      </c>
      <c r="AV3434">
        <f>HYPERLINK("http://www.worldcat.org/oclc/22308375","WorldCat Record")</f>
        <v/>
      </c>
      <c r="AW3434" t="inlineStr">
        <is>
          <t>23984159:eng</t>
        </is>
      </c>
      <c r="AX3434" t="inlineStr">
        <is>
          <t>22308375</t>
        </is>
      </c>
      <c r="AY3434" t="inlineStr">
        <is>
          <t>991001765519702656</t>
        </is>
      </c>
      <c r="AZ3434" t="inlineStr">
        <is>
          <t>991001765519702656</t>
        </is>
      </c>
      <c r="BA3434" t="inlineStr">
        <is>
          <t>2258978620002656</t>
        </is>
      </c>
      <c r="BB3434" t="inlineStr">
        <is>
          <t>BOOK</t>
        </is>
      </c>
      <c r="BD3434" t="inlineStr">
        <is>
          <t>9780805770001</t>
        </is>
      </c>
      <c r="BE3434" t="inlineStr">
        <is>
          <t>32285000299403</t>
        </is>
      </c>
      <c r="BF3434" t="inlineStr">
        <is>
          <t>893316022</t>
        </is>
      </c>
    </row>
    <row r="3435">
      <c r="A3435" t="inlineStr">
        <is>
          <t>No</t>
        </is>
      </c>
      <c r="B3435" t="inlineStr">
        <is>
          <t>CURAL</t>
        </is>
      </c>
      <c r="C3435" t="inlineStr">
        <is>
          <t>SHELVES</t>
        </is>
      </c>
      <c r="D3435" t="inlineStr">
        <is>
          <t>PR6052.Y2 Z65 2001</t>
        </is>
      </c>
      <c r="E3435" t="inlineStr">
        <is>
          <t>0                      PR 6052000Y  2                  Z  65          2001</t>
        </is>
      </c>
      <c r="F3435" t="inlineStr">
        <is>
          <t>A.S. Byatt : art, authorship, creativity / Christien Franken.</t>
        </is>
      </c>
      <c r="H3435" t="inlineStr">
        <is>
          <t>No</t>
        </is>
      </c>
      <c r="I3435" t="inlineStr">
        <is>
          <t>1</t>
        </is>
      </c>
      <c r="J3435" t="inlineStr">
        <is>
          <t>No</t>
        </is>
      </c>
      <c r="K3435" t="inlineStr">
        <is>
          <t>No</t>
        </is>
      </c>
      <c r="L3435" t="inlineStr">
        <is>
          <t>0</t>
        </is>
      </c>
      <c r="M3435" t="inlineStr">
        <is>
          <t>Franken, Christien, 1961-</t>
        </is>
      </c>
      <c r="N3435" t="inlineStr">
        <is>
          <t>Houndmills, Basingstoke, Hampshire ; New York : Palgrave, 2001.</t>
        </is>
      </c>
      <c r="O3435" t="inlineStr">
        <is>
          <t>2001</t>
        </is>
      </c>
      <c r="Q3435" t="inlineStr">
        <is>
          <t>eng</t>
        </is>
      </c>
      <c r="R3435" t="inlineStr">
        <is>
          <t>enk</t>
        </is>
      </c>
      <c r="T3435" t="inlineStr">
        <is>
          <t xml:space="preserve">PR </t>
        </is>
      </c>
      <c r="U3435" t="n">
        <v>1</v>
      </c>
      <c r="V3435" t="n">
        <v>1</v>
      </c>
      <c r="W3435" t="inlineStr">
        <is>
          <t>2002-05-13</t>
        </is>
      </c>
      <c r="X3435" t="inlineStr">
        <is>
          <t>2002-05-13</t>
        </is>
      </c>
      <c r="Y3435" t="inlineStr">
        <is>
          <t>2002-05-01</t>
        </is>
      </c>
      <c r="Z3435" t="inlineStr">
        <is>
          <t>2002-05-01</t>
        </is>
      </c>
      <c r="AA3435" t="n">
        <v>379</v>
      </c>
      <c r="AB3435" t="n">
        <v>295</v>
      </c>
      <c r="AC3435" t="n">
        <v>324</v>
      </c>
      <c r="AD3435" t="n">
        <v>3</v>
      </c>
      <c r="AE3435" t="n">
        <v>3</v>
      </c>
      <c r="AF3435" t="n">
        <v>17</v>
      </c>
      <c r="AG3435" t="n">
        <v>17</v>
      </c>
      <c r="AH3435" t="n">
        <v>4</v>
      </c>
      <c r="AI3435" t="n">
        <v>4</v>
      </c>
      <c r="AJ3435" t="n">
        <v>8</v>
      </c>
      <c r="AK3435" t="n">
        <v>8</v>
      </c>
      <c r="AL3435" t="n">
        <v>7</v>
      </c>
      <c r="AM3435" t="n">
        <v>7</v>
      </c>
      <c r="AN3435" t="n">
        <v>2</v>
      </c>
      <c r="AO3435" t="n">
        <v>2</v>
      </c>
      <c r="AP3435" t="n">
        <v>0</v>
      </c>
      <c r="AQ3435" t="n">
        <v>0</v>
      </c>
      <c r="AR3435" t="inlineStr">
        <is>
          <t>No</t>
        </is>
      </c>
      <c r="AS3435" t="inlineStr">
        <is>
          <t>No</t>
        </is>
      </c>
      <c r="AU3435">
        <f>HYPERLINK("https://creighton-primo.hosted.exlibrisgroup.com/primo-explore/search?tab=default_tab&amp;search_scope=EVERYTHING&amp;vid=01CRU&amp;lang=en_US&amp;offset=0&amp;query=any,contains,991003777079702656","Catalog Record")</f>
        <v/>
      </c>
      <c r="AV3435">
        <f>HYPERLINK("http://www.worldcat.org/oclc/45636848","WorldCat Record")</f>
        <v/>
      </c>
      <c r="AW3435" t="inlineStr">
        <is>
          <t>797220094:eng</t>
        </is>
      </c>
      <c r="AX3435" t="inlineStr">
        <is>
          <t>45636848</t>
        </is>
      </c>
      <c r="AY3435" t="inlineStr">
        <is>
          <t>991003777079702656</t>
        </is>
      </c>
      <c r="AZ3435" t="inlineStr">
        <is>
          <t>991003777079702656</t>
        </is>
      </c>
      <c r="BA3435" t="inlineStr">
        <is>
          <t>2261638640002656</t>
        </is>
      </c>
      <c r="BB3435" t="inlineStr">
        <is>
          <t>BOOK</t>
        </is>
      </c>
      <c r="BD3435" t="inlineStr">
        <is>
          <t>9780333801086</t>
        </is>
      </c>
      <c r="BE3435" t="inlineStr">
        <is>
          <t>32285004485024</t>
        </is>
      </c>
      <c r="BF3435" t="inlineStr">
        <is>
          <t>893416787</t>
        </is>
      </c>
    </row>
    <row r="3436">
      <c r="A3436" t="inlineStr">
        <is>
          <t>No</t>
        </is>
      </c>
      <c r="B3436" t="inlineStr">
        <is>
          <t>CURAL</t>
        </is>
      </c>
      <c r="C3436" t="inlineStr">
        <is>
          <t>SHELVES</t>
        </is>
      </c>
      <c r="D3436" t="inlineStr">
        <is>
          <t>PR6054.A35 Z94 1992</t>
        </is>
      </c>
      <c r="E3436" t="inlineStr">
        <is>
          <t>0                      PR 6054000A  35                 Z  94          1992</t>
        </is>
      </c>
      <c r="F3436" t="inlineStr">
        <is>
          <t>Roald Dahl / Mark I. West.</t>
        </is>
      </c>
      <c r="H3436" t="inlineStr">
        <is>
          <t>No</t>
        </is>
      </c>
      <c r="I3436" t="inlineStr">
        <is>
          <t>1</t>
        </is>
      </c>
      <c r="J3436" t="inlineStr">
        <is>
          <t>No</t>
        </is>
      </c>
      <c r="K3436" t="inlineStr">
        <is>
          <t>No</t>
        </is>
      </c>
      <c r="L3436" t="inlineStr">
        <is>
          <t>0</t>
        </is>
      </c>
      <c r="M3436" t="inlineStr">
        <is>
          <t>West, Mark I.</t>
        </is>
      </c>
      <c r="N3436" t="inlineStr">
        <is>
          <t>New York : Twayne ; Toronto : Maxwell Macmillan Canada ; New York : Maxwell Macmillan InternAtional, c1992.</t>
        </is>
      </c>
      <c r="O3436" t="inlineStr">
        <is>
          <t>1992</t>
        </is>
      </c>
      <c r="Q3436" t="inlineStr">
        <is>
          <t>eng</t>
        </is>
      </c>
      <c r="R3436" t="inlineStr">
        <is>
          <t>nyu</t>
        </is>
      </c>
      <c r="S3436" t="inlineStr">
        <is>
          <t>Twayne's English authors series ; TEAS 492. Children's literature</t>
        </is>
      </c>
      <c r="T3436" t="inlineStr">
        <is>
          <t xml:space="preserve">PR </t>
        </is>
      </c>
      <c r="U3436" t="n">
        <v>11</v>
      </c>
      <c r="V3436" t="n">
        <v>11</v>
      </c>
      <c r="W3436" t="inlineStr">
        <is>
          <t>2003-04-08</t>
        </is>
      </c>
      <c r="X3436" t="inlineStr">
        <is>
          <t>2003-04-08</t>
        </is>
      </c>
      <c r="Y3436" t="inlineStr">
        <is>
          <t>1992-10-08</t>
        </is>
      </c>
      <c r="Z3436" t="inlineStr">
        <is>
          <t>1992-10-08</t>
        </is>
      </c>
      <c r="AA3436" t="n">
        <v>554</v>
      </c>
      <c r="AB3436" t="n">
        <v>497</v>
      </c>
      <c r="AC3436" t="n">
        <v>595</v>
      </c>
      <c r="AD3436" t="n">
        <v>5</v>
      </c>
      <c r="AE3436" t="n">
        <v>5</v>
      </c>
      <c r="AF3436" t="n">
        <v>23</v>
      </c>
      <c r="AG3436" t="n">
        <v>25</v>
      </c>
      <c r="AH3436" t="n">
        <v>8</v>
      </c>
      <c r="AI3436" t="n">
        <v>8</v>
      </c>
      <c r="AJ3436" t="n">
        <v>4</v>
      </c>
      <c r="AK3436" t="n">
        <v>4</v>
      </c>
      <c r="AL3436" t="n">
        <v>13</v>
      </c>
      <c r="AM3436" t="n">
        <v>15</v>
      </c>
      <c r="AN3436" t="n">
        <v>4</v>
      </c>
      <c r="AO3436" t="n">
        <v>4</v>
      </c>
      <c r="AP3436" t="n">
        <v>0</v>
      </c>
      <c r="AQ3436" t="n">
        <v>0</v>
      </c>
      <c r="AR3436" t="inlineStr">
        <is>
          <t>No</t>
        </is>
      </c>
      <c r="AS3436" t="inlineStr">
        <is>
          <t>Yes</t>
        </is>
      </c>
      <c r="AT3436">
        <f>HYPERLINK("http://catalog.hathitrust.org/Record/002585877","HathiTrust Record")</f>
        <v/>
      </c>
      <c r="AU3436">
        <f>HYPERLINK("https://creighton-primo.hosted.exlibrisgroup.com/primo-explore/search?tab=default_tab&amp;search_scope=EVERYTHING&amp;vid=01CRU&amp;lang=en_US&amp;offset=0&amp;query=any,contains,991001936909702656","Catalog Record")</f>
        <v/>
      </c>
      <c r="AV3436">
        <f>HYPERLINK("http://www.worldcat.org/oclc/24468081","WorldCat Record")</f>
        <v/>
      </c>
      <c r="AW3436" t="inlineStr">
        <is>
          <t>17666802:eng</t>
        </is>
      </c>
      <c r="AX3436" t="inlineStr">
        <is>
          <t>24468081</t>
        </is>
      </c>
      <c r="AY3436" t="inlineStr">
        <is>
          <t>991001936909702656</t>
        </is>
      </c>
      <c r="AZ3436" t="inlineStr">
        <is>
          <t>991001936909702656</t>
        </is>
      </c>
      <c r="BA3436" t="inlineStr">
        <is>
          <t>2271173110002656</t>
        </is>
      </c>
      <c r="BB3436" t="inlineStr">
        <is>
          <t>BOOK</t>
        </is>
      </c>
      <c r="BD3436" t="inlineStr">
        <is>
          <t>9780805770193</t>
        </is>
      </c>
      <c r="BE3436" t="inlineStr">
        <is>
          <t>32285001338226</t>
        </is>
      </c>
      <c r="BF3436" t="inlineStr">
        <is>
          <t>893316187</t>
        </is>
      </c>
    </row>
    <row r="3437">
      <c r="A3437" t="inlineStr">
        <is>
          <t>No</t>
        </is>
      </c>
      <c r="B3437" t="inlineStr">
        <is>
          <t>CURAL</t>
        </is>
      </c>
      <c r="C3437" t="inlineStr">
        <is>
          <t>SHELVES</t>
        </is>
      </c>
      <c r="D3437" t="inlineStr">
        <is>
          <t>PR6056.O85 Z635 1986</t>
        </is>
      </c>
      <c r="E3437" t="inlineStr">
        <is>
          <t>0                      PR 6056000O  85                 Z  635         1986</t>
        </is>
      </c>
      <c r="F3437" t="inlineStr">
        <is>
          <t>Critical essays on John Fowles / [edited by] Ellen Pifer.</t>
        </is>
      </c>
      <c r="H3437" t="inlineStr">
        <is>
          <t>No</t>
        </is>
      </c>
      <c r="I3437" t="inlineStr">
        <is>
          <t>1</t>
        </is>
      </c>
      <c r="J3437" t="inlineStr">
        <is>
          <t>No</t>
        </is>
      </c>
      <c r="K3437" t="inlineStr">
        <is>
          <t>No</t>
        </is>
      </c>
      <c r="L3437" t="inlineStr">
        <is>
          <t>0</t>
        </is>
      </c>
      <c r="N3437" t="inlineStr">
        <is>
          <t>Boston, Mass. : G.K. Hall, c1986.</t>
        </is>
      </c>
      <c r="O3437" t="inlineStr">
        <is>
          <t>1986</t>
        </is>
      </c>
      <c r="Q3437" t="inlineStr">
        <is>
          <t>eng</t>
        </is>
      </c>
      <c r="R3437" t="inlineStr">
        <is>
          <t>mau</t>
        </is>
      </c>
      <c r="S3437" t="inlineStr">
        <is>
          <t>Critical essays on modern British literature</t>
        </is>
      </c>
      <c r="T3437" t="inlineStr">
        <is>
          <t xml:space="preserve">PR </t>
        </is>
      </c>
      <c r="U3437" t="n">
        <v>2</v>
      </c>
      <c r="V3437" t="n">
        <v>2</v>
      </c>
      <c r="W3437" t="inlineStr">
        <is>
          <t>2010-11-13</t>
        </is>
      </c>
      <c r="X3437" t="inlineStr">
        <is>
          <t>2010-11-13</t>
        </is>
      </c>
      <c r="Y3437" t="inlineStr">
        <is>
          <t>1992-07-24</t>
        </is>
      </c>
      <c r="Z3437" t="inlineStr">
        <is>
          <t>1992-07-24</t>
        </is>
      </c>
      <c r="AA3437" t="n">
        <v>546</v>
      </c>
      <c r="AB3437" t="n">
        <v>472</v>
      </c>
      <c r="AC3437" t="n">
        <v>477</v>
      </c>
      <c r="AD3437" t="n">
        <v>5</v>
      </c>
      <c r="AE3437" t="n">
        <v>5</v>
      </c>
      <c r="AF3437" t="n">
        <v>25</v>
      </c>
      <c r="AG3437" t="n">
        <v>25</v>
      </c>
      <c r="AH3437" t="n">
        <v>11</v>
      </c>
      <c r="AI3437" t="n">
        <v>11</v>
      </c>
      <c r="AJ3437" t="n">
        <v>4</v>
      </c>
      <c r="AK3437" t="n">
        <v>4</v>
      </c>
      <c r="AL3437" t="n">
        <v>12</v>
      </c>
      <c r="AM3437" t="n">
        <v>12</v>
      </c>
      <c r="AN3437" t="n">
        <v>4</v>
      </c>
      <c r="AO3437" t="n">
        <v>4</v>
      </c>
      <c r="AP3437" t="n">
        <v>0</v>
      </c>
      <c r="AQ3437" t="n">
        <v>0</v>
      </c>
      <c r="AR3437" t="inlineStr">
        <is>
          <t>No</t>
        </is>
      </c>
      <c r="AS3437" t="inlineStr">
        <is>
          <t>No</t>
        </is>
      </c>
      <c r="AU3437">
        <f>HYPERLINK("https://creighton-primo.hosted.exlibrisgroup.com/primo-explore/search?tab=default_tab&amp;search_scope=EVERYTHING&amp;vid=01CRU&amp;lang=en_US&amp;offset=0&amp;query=any,contains,991000849459702656","Catalog Record")</f>
        <v/>
      </c>
      <c r="AV3437">
        <f>HYPERLINK("http://www.worldcat.org/oclc/13581485","WorldCat Record")</f>
        <v/>
      </c>
      <c r="AW3437" t="inlineStr">
        <is>
          <t>7510842:eng</t>
        </is>
      </c>
      <c r="AX3437" t="inlineStr">
        <is>
          <t>13581485</t>
        </is>
      </c>
      <c r="AY3437" t="inlineStr">
        <is>
          <t>991000849459702656</t>
        </is>
      </c>
      <c r="AZ3437" t="inlineStr">
        <is>
          <t>991000849459702656</t>
        </is>
      </c>
      <c r="BA3437" t="inlineStr">
        <is>
          <t>2257382780002656</t>
        </is>
      </c>
      <c r="BB3437" t="inlineStr">
        <is>
          <t>BOOK</t>
        </is>
      </c>
      <c r="BD3437" t="inlineStr">
        <is>
          <t>9780816187591</t>
        </is>
      </c>
      <c r="BE3437" t="inlineStr">
        <is>
          <t>32285001206241</t>
        </is>
      </c>
      <c r="BF3437" t="inlineStr">
        <is>
          <t>893614543</t>
        </is>
      </c>
    </row>
    <row r="3438">
      <c r="A3438" t="inlineStr">
        <is>
          <t>No</t>
        </is>
      </c>
      <c r="B3438" t="inlineStr">
        <is>
          <t>CURAL</t>
        </is>
      </c>
      <c r="C3438" t="inlineStr">
        <is>
          <t>SHELVES</t>
        </is>
      </c>
      <c r="D3438" t="inlineStr">
        <is>
          <t>PR6056.O85 Z66 1984</t>
        </is>
      </c>
      <c r="E3438" t="inlineStr">
        <is>
          <t>0                      PR 6056000O  85                 Z  66          1984</t>
        </is>
      </c>
      <c r="F3438" t="inlineStr">
        <is>
          <t>The timescapes of John Fowles / H.W. Fawkner ; foreword by John Fowles.</t>
        </is>
      </c>
      <c r="H3438" t="inlineStr">
        <is>
          <t>No</t>
        </is>
      </c>
      <c r="I3438" t="inlineStr">
        <is>
          <t>1</t>
        </is>
      </c>
      <c r="J3438" t="inlineStr">
        <is>
          <t>No</t>
        </is>
      </c>
      <c r="K3438" t="inlineStr">
        <is>
          <t>No</t>
        </is>
      </c>
      <c r="L3438" t="inlineStr">
        <is>
          <t>0</t>
        </is>
      </c>
      <c r="M3438" t="inlineStr">
        <is>
          <t>Fawkner, Harald William, 1946-</t>
        </is>
      </c>
      <c r="N3438" t="inlineStr">
        <is>
          <t>Rutherford : Fairleigh Dickinson University Press, c1984.</t>
        </is>
      </c>
      <c r="O3438" t="inlineStr">
        <is>
          <t>1984</t>
        </is>
      </c>
      <c r="Q3438" t="inlineStr">
        <is>
          <t>eng</t>
        </is>
      </c>
      <c r="R3438" t="inlineStr">
        <is>
          <t>nju</t>
        </is>
      </c>
      <c r="T3438" t="inlineStr">
        <is>
          <t xml:space="preserve">PR </t>
        </is>
      </c>
      <c r="U3438" t="n">
        <v>2</v>
      </c>
      <c r="V3438" t="n">
        <v>2</v>
      </c>
      <c r="W3438" t="inlineStr">
        <is>
          <t>2010-11-13</t>
        </is>
      </c>
      <c r="X3438" t="inlineStr">
        <is>
          <t>2010-11-13</t>
        </is>
      </c>
      <c r="Y3438" t="inlineStr">
        <is>
          <t>1992-07-24</t>
        </is>
      </c>
      <c r="Z3438" t="inlineStr">
        <is>
          <t>1992-07-24</t>
        </is>
      </c>
      <c r="AA3438" t="n">
        <v>405</v>
      </c>
      <c r="AB3438" t="n">
        <v>323</v>
      </c>
      <c r="AC3438" t="n">
        <v>329</v>
      </c>
      <c r="AD3438" t="n">
        <v>4</v>
      </c>
      <c r="AE3438" t="n">
        <v>4</v>
      </c>
      <c r="AF3438" t="n">
        <v>16</v>
      </c>
      <c r="AG3438" t="n">
        <v>16</v>
      </c>
      <c r="AH3438" t="n">
        <v>4</v>
      </c>
      <c r="AI3438" t="n">
        <v>4</v>
      </c>
      <c r="AJ3438" t="n">
        <v>5</v>
      </c>
      <c r="AK3438" t="n">
        <v>5</v>
      </c>
      <c r="AL3438" t="n">
        <v>7</v>
      </c>
      <c r="AM3438" t="n">
        <v>7</v>
      </c>
      <c r="AN3438" t="n">
        <v>3</v>
      </c>
      <c r="AO3438" t="n">
        <v>3</v>
      </c>
      <c r="AP3438" t="n">
        <v>0</v>
      </c>
      <c r="AQ3438" t="n">
        <v>0</v>
      </c>
      <c r="AR3438" t="inlineStr">
        <is>
          <t>No</t>
        </is>
      </c>
      <c r="AS3438" t="inlineStr">
        <is>
          <t>Yes</t>
        </is>
      </c>
      <c r="AT3438">
        <f>HYPERLINK("http://catalog.hathitrust.org/Record/000201431","HathiTrust Record")</f>
        <v/>
      </c>
      <c r="AU3438">
        <f>HYPERLINK("https://creighton-primo.hosted.exlibrisgroup.com/primo-explore/search?tab=default_tab&amp;search_scope=EVERYTHING&amp;vid=01CRU&amp;lang=en_US&amp;offset=0&amp;query=any,contains,991000226829702656","Catalog Record")</f>
        <v/>
      </c>
      <c r="AV3438">
        <f>HYPERLINK("http://www.worldcat.org/oclc/9620975","WorldCat Record")</f>
        <v/>
      </c>
      <c r="AW3438" t="inlineStr">
        <is>
          <t>20703819:eng</t>
        </is>
      </c>
      <c r="AX3438" t="inlineStr">
        <is>
          <t>9620975</t>
        </is>
      </c>
      <c r="AY3438" t="inlineStr">
        <is>
          <t>991000226829702656</t>
        </is>
      </c>
      <c r="AZ3438" t="inlineStr">
        <is>
          <t>991000226829702656</t>
        </is>
      </c>
      <c r="BA3438" t="inlineStr">
        <is>
          <t>2270448210002656</t>
        </is>
      </c>
      <c r="BB3438" t="inlineStr">
        <is>
          <t>BOOK</t>
        </is>
      </c>
      <c r="BD3438" t="inlineStr">
        <is>
          <t>9780838631751</t>
        </is>
      </c>
      <c r="BE3438" t="inlineStr">
        <is>
          <t>32285001206258</t>
        </is>
      </c>
      <c r="BF3438" t="inlineStr">
        <is>
          <t>893589288</t>
        </is>
      </c>
    </row>
    <row r="3439">
      <c r="A3439" t="inlineStr">
        <is>
          <t>No</t>
        </is>
      </c>
      <c r="B3439" t="inlineStr">
        <is>
          <t>CURAL</t>
        </is>
      </c>
      <c r="C3439" t="inlineStr">
        <is>
          <t>SHELVES</t>
        </is>
      </c>
      <c r="D3439" t="inlineStr">
        <is>
          <t>PR6056.O85 Z69</t>
        </is>
      </c>
      <c r="E3439" t="inlineStr">
        <is>
          <t>0                      PR 6056000O  85                 Z  69</t>
        </is>
      </c>
      <c r="F3439" t="inlineStr">
        <is>
          <t>John Fowles / by Robert Huffaker.</t>
        </is>
      </c>
      <c r="H3439" t="inlineStr">
        <is>
          <t>No</t>
        </is>
      </c>
      <c r="I3439" t="inlineStr">
        <is>
          <t>1</t>
        </is>
      </c>
      <c r="J3439" t="inlineStr">
        <is>
          <t>No</t>
        </is>
      </c>
      <c r="K3439" t="inlineStr">
        <is>
          <t>No</t>
        </is>
      </c>
      <c r="L3439" t="inlineStr">
        <is>
          <t>0</t>
        </is>
      </c>
      <c r="M3439" t="inlineStr">
        <is>
          <t>Huffaker, Robert, 1936-</t>
        </is>
      </c>
      <c r="N3439" t="inlineStr">
        <is>
          <t>Boston : Twayne Publishers, 1980.</t>
        </is>
      </c>
      <c r="O3439" t="inlineStr">
        <is>
          <t>1980</t>
        </is>
      </c>
      <c r="Q3439" t="inlineStr">
        <is>
          <t>eng</t>
        </is>
      </c>
      <c r="R3439" t="inlineStr">
        <is>
          <t>mau</t>
        </is>
      </c>
      <c r="S3439" t="inlineStr">
        <is>
          <t>Twayne's English authors series ; TEAS 292</t>
        </is>
      </c>
      <c r="T3439" t="inlineStr">
        <is>
          <t xml:space="preserve">PR </t>
        </is>
      </c>
      <c r="U3439" t="n">
        <v>4</v>
      </c>
      <c r="V3439" t="n">
        <v>4</v>
      </c>
      <c r="W3439" t="inlineStr">
        <is>
          <t>2010-11-13</t>
        </is>
      </c>
      <c r="X3439" t="inlineStr">
        <is>
          <t>2010-11-13</t>
        </is>
      </c>
      <c r="Y3439" t="inlineStr">
        <is>
          <t>1992-07-24</t>
        </is>
      </c>
      <c r="Z3439" t="inlineStr">
        <is>
          <t>1992-07-24</t>
        </is>
      </c>
      <c r="AA3439" t="n">
        <v>1058</v>
      </c>
      <c r="AB3439" t="n">
        <v>934</v>
      </c>
      <c r="AC3439" t="n">
        <v>1017</v>
      </c>
      <c r="AD3439" t="n">
        <v>7</v>
      </c>
      <c r="AE3439" t="n">
        <v>7</v>
      </c>
      <c r="AF3439" t="n">
        <v>34</v>
      </c>
      <c r="AG3439" t="n">
        <v>36</v>
      </c>
      <c r="AH3439" t="n">
        <v>13</v>
      </c>
      <c r="AI3439" t="n">
        <v>14</v>
      </c>
      <c r="AJ3439" t="n">
        <v>7</v>
      </c>
      <c r="AK3439" t="n">
        <v>7</v>
      </c>
      <c r="AL3439" t="n">
        <v>18</v>
      </c>
      <c r="AM3439" t="n">
        <v>19</v>
      </c>
      <c r="AN3439" t="n">
        <v>6</v>
      </c>
      <c r="AO3439" t="n">
        <v>6</v>
      </c>
      <c r="AP3439" t="n">
        <v>0</v>
      </c>
      <c r="AQ3439" t="n">
        <v>0</v>
      </c>
      <c r="AR3439" t="inlineStr">
        <is>
          <t>No</t>
        </is>
      </c>
      <c r="AS3439" t="inlineStr">
        <is>
          <t>Yes</t>
        </is>
      </c>
      <c r="AT3439">
        <f>HYPERLINK("http://catalog.hathitrust.org/Record/000713905","HathiTrust Record")</f>
        <v/>
      </c>
      <c r="AU3439">
        <f>HYPERLINK("https://creighton-primo.hosted.exlibrisgroup.com/primo-explore/search?tab=default_tab&amp;search_scope=EVERYTHING&amp;vid=01CRU&amp;lang=en_US&amp;offset=0&amp;query=any,contains,991004896309702656","Catalog Record")</f>
        <v/>
      </c>
      <c r="AV3439">
        <f>HYPERLINK("http://www.worldcat.org/oclc/5894181","WorldCat Record")</f>
        <v/>
      </c>
      <c r="AW3439" t="inlineStr">
        <is>
          <t>1909011778:eng</t>
        </is>
      </c>
      <c r="AX3439" t="inlineStr">
        <is>
          <t>5894181</t>
        </is>
      </c>
      <c r="AY3439" t="inlineStr">
        <is>
          <t>991004896309702656</t>
        </is>
      </c>
      <c r="AZ3439" t="inlineStr">
        <is>
          <t>991004896309702656</t>
        </is>
      </c>
      <c r="BA3439" t="inlineStr">
        <is>
          <t>2264356050002656</t>
        </is>
      </c>
      <c r="BB3439" t="inlineStr">
        <is>
          <t>BOOK</t>
        </is>
      </c>
      <c r="BD3439" t="inlineStr">
        <is>
          <t>9780805767858</t>
        </is>
      </c>
      <c r="BE3439" t="inlineStr">
        <is>
          <t>32285001206266</t>
        </is>
      </c>
      <c r="BF3439" t="inlineStr">
        <is>
          <t>893350477</t>
        </is>
      </c>
    </row>
    <row r="3440">
      <c r="A3440" t="inlineStr">
        <is>
          <t>No</t>
        </is>
      </c>
      <c r="B3440" t="inlineStr">
        <is>
          <t>CURAL</t>
        </is>
      </c>
      <c r="C3440" t="inlineStr">
        <is>
          <t>SHELVES</t>
        </is>
      </c>
      <c r="D3440" t="inlineStr">
        <is>
          <t>PR6056.O85 Z74 1985</t>
        </is>
      </c>
      <c r="E3440" t="inlineStr">
        <is>
          <t>0                      PR 6056000O  85                 Z  74          1985</t>
        </is>
      </c>
      <c r="F3440" t="inlineStr">
        <is>
          <t>The romances of John Fowles / Simon Loveday.</t>
        </is>
      </c>
      <c r="H3440" t="inlineStr">
        <is>
          <t>No</t>
        </is>
      </c>
      <c r="I3440" t="inlineStr">
        <is>
          <t>1</t>
        </is>
      </c>
      <c r="J3440" t="inlineStr">
        <is>
          <t>No</t>
        </is>
      </c>
      <c r="K3440" t="inlineStr">
        <is>
          <t>No</t>
        </is>
      </c>
      <c r="L3440" t="inlineStr">
        <is>
          <t>0</t>
        </is>
      </c>
      <c r="M3440" t="inlineStr">
        <is>
          <t>Loveday, Simon, 1949-2016.</t>
        </is>
      </c>
      <c r="N3440" t="inlineStr">
        <is>
          <t>New York : St. Martin's Press, 1985.</t>
        </is>
      </c>
      <c r="O3440" t="inlineStr">
        <is>
          <t>1985</t>
        </is>
      </c>
      <c r="Q3440" t="inlineStr">
        <is>
          <t>eng</t>
        </is>
      </c>
      <c r="R3440" t="inlineStr">
        <is>
          <t>nyu</t>
        </is>
      </c>
      <c r="T3440" t="inlineStr">
        <is>
          <t xml:space="preserve">PR </t>
        </is>
      </c>
      <c r="U3440" t="n">
        <v>4</v>
      </c>
      <c r="V3440" t="n">
        <v>4</v>
      </c>
      <c r="W3440" t="inlineStr">
        <is>
          <t>2010-11-13</t>
        </is>
      </c>
      <c r="X3440" t="inlineStr">
        <is>
          <t>2010-11-13</t>
        </is>
      </c>
      <c r="Y3440" t="inlineStr">
        <is>
          <t>1992-07-24</t>
        </is>
      </c>
      <c r="Z3440" t="inlineStr">
        <is>
          <t>1992-07-24</t>
        </is>
      </c>
      <c r="AA3440" t="n">
        <v>458</v>
      </c>
      <c r="AB3440" t="n">
        <v>416</v>
      </c>
      <c r="AC3440" t="n">
        <v>489</v>
      </c>
      <c r="AD3440" t="n">
        <v>3</v>
      </c>
      <c r="AE3440" t="n">
        <v>5</v>
      </c>
      <c r="AF3440" t="n">
        <v>22</v>
      </c>
      <c r="AG3440" t="n">
        <v>25</v>
      </c>
      <c r="AH3440" t="n">
        <v>9</v>
      </c>
      <c r="AI3440" t="n">
        <v>9</v>
      </c>
      <c r="AJ3440" t="n">
        <v>8</v>
      </c>
      <c r="AK3440" t="n">
        <v>8</v>
      </c>
      <c r="AL3440" t="n">
        <v>11</v>
      </c>
      <c r="AM3440" t="n">
        <v>12</v>
      </c>
      <c r="AN3440" t="n">
        <v>2</v>
      </c>
      <c r="AO3440" t="n">
        <v>4</v>
      </c>
      <c r="AP3440" t="n">
        <v>0</v>
      </c>
      <c r="AQ3440" t="n">
        <v>0</v>
      </c>
      <c r="AR3440" t="inlineStr">
        <is>
          <t>No</t>
        </is>
      </c>
      <c r="AS3440" t="inlineStr">
        <is>
          <t>No</t>
        </is>
      </c>
      <c r="AU3440">
        <f>HYPERLINK("https://creighton-primo.hosted.exlibrisgroup.com/primo-explore/search?tab=default_tab&amp;search_scope=EVERYTHING&amp;vid=01CRU&amp;lang=en_US&amp;offset=0&amp;query=any,contains,991000459329702656","Catalog Record")</f>
        <v/>
      </c>
      <c r="AV3440">
        <f>HYPERLINK("http://www.worldcat.org/oclc/10924313","WorldCat Record")</f>
        <v/>
      </c>
      <c r="AW3440" t="inlineStr">
        <is>
          <t>3393913:eng</t>
        </is>
      </c>
      <c r="AX3440" t="inlineStr">
        <is>
          <t>10924313</t>
        </is>
      </c>
      <c r="AY3440" t="inlineStr">
        <is>
          <t>991000459329702656</t>
        </is>
      </c>
      <c r="AZ3440" t="inlineStr">
        <is>
          <t>991000459329702656</t>
        </is>
      </c>
      <c r="BA3440" t="inlineStr">
        <is>
          <t>2272639090002656</t>
        </is>
      </c>
      <c r="BB3440" t="inlineStr">
        <is>
          <t>BOOK</t>
        </is>
      </c>
      <c r="BD3440" t="inlineStr">
        <is>
          <t>9780312691073</t>
        </is>
      </c>
      <c r="BE3440" t="inlineStr">
        <is>
          <t>32285001206274</t>
        </is>
      </c>
      <c r="BF3440" t="inlineStr">
        <is>
          <t>893327304</t>
        </is>
      </c>
    </row>
    <row r="3441">
      <c r="A3441" t="inlineStr">
        <is>
          <t>No</t>
        </is>
      </c>
      <c r="B3441" t="inlineStr">
        <is>
          <t>CURAL</t>
        </is>
      </c>
      <c r="C3441" t="inlineStr">
        <is>
          <t>SHELVES</t>
        </is>
      </c>
      <c r="D3441" t="inlineStr">
        <is>
          <t>PR6056.O85 Z82</t>
        </is>
      </c>
      <c r="E3441" t="inlineStr">
        <is>
          <t>0                      PR 6056000O  85                 Z  82</t>
        </is>
      </c>
      <c r="F3441" t="inlineStr">
        <is>
          <t>The fiction of John Fowles : tradition, art, and the loneliness of selfhood / William J. Palmer.</t>
        </is>
      </c>
      <c r="H3441" t="inlineStr">
        <is>
          <t>No</t>
        </is>
      </c>
      <c r="I3441" t="inlineStr">
        <is>
          <t>1</t>
        </is>
      </c>
      <c r="J3441" t="inlineStr">
        <is>
          <t>No</t>
        </is>
      </c>
      <c r="K3441" t="inlineStr">
        <is>
          <t>No</t>
        </is>
      </c>
      <c r="L3441" t="inlineStr">
        <is>
          <t>0</t>
        </is>
      </c>
      <c r="M3441" t="inlineStr">
        <is>
          <t>Palmer, William J.</t>
        </is>
      </c>
      <c r="N3441" t="inlineStr">
        <is>
          <t>Columbia : University of Missouri Press, [1974]</t>
        </is>
      </c>
      <c r="O3441" t="inlineStr">
        <is>
          <t>1974</t>
        </is>
      </c>
      <c r="Q3441" t="inlineStr">
        <is>
          <t>eng</t>
        </is>
      </c>
      <c r="R3441" t="inlineStr">
        <is>
          <t>mou</t>
        </is>
      </c>
      <c r="S3441" t="inlineStr">
        <is>
          <t>A Literary frontiers edition</t>
        </is>
      </c>
      <c r="T3441" t="inlineStr">
        <is>
          <t xml:space="preserve">PR </t>
        </is>
      </c>
      <c r="U3441" t="n">
        <v>2</v>
      </c>
      <c r="V3441" t="n">
        <v>2</v>
      </c>
      <c r="W3441" t="inlineStr">
        <is>
          <t>2010-11-13</t>
        </is>
      </c>
      <c r="X3441" t="inlineStr">
        <is>
          <t>2010-11-13</t>
        </is>
      </c>
      <c r="Y3441" t="inlineStr">
        <is>
          <t>1992-07-24</t>
        </is>
      </c>
      <c r="Z3441" t="inlineStr">
        <is>
          <t>1992-07-24</t>
        </is>
      </c>
      <c r="AA3441" t="n">
        <v>816</v>
      </c>
      <c r="AB3441" t="n">
        <v>740</v>
      </c>
      <c r="AC3441" t="n">
        <v>748</v>
      </c>
      <c r="AD3441" t="n">
        <v>7</v>
      </c>
      <c r="AE3441" t="n">
        <v>7</v>
      </c>
      <c r="AF3441" t="n">
        <v>35</v>
      </c>
      <c r="AG3441" t="n">
        <v>35</v>
      </c>
      <c r="AH3441" t="n">
        <v>14</v>
      </c>
      <c r="AI3441" t="n">
        <v>14</v>
      </c>
      <c r="AJ3441" t="n">
        <v>9</v>
      </c>
      <c r="AK3441" t="n">
        <v>9</v>
      </c>
      <c r="AL3441" t="n">
        <v>17</v>
      </c>
      <c r="AM3441" t="n">
        <v>17</v>
      </c>
      <c r="AN3441" t="n">
        <v>6</v>
      </c>
      <c r="AO3441" t="n">
        <v>6</v>
      </c>
      <c r="AP3441" t="n">
        <v>0</v>
      </c>
      <c r="AQ3441" t="n">
        <v>0</v>
      </c>
      <c r="AR3441" t="inlineStr">
        <is>
          <t>No</t>
        </is>
      </c>
      <c r="AS3441" t="inlineStr">
        <is>
          <t>Yes</t>
        </is>
      </c>
      <c r="AT3441">
        <f>HYPERLINK("http://catalog.hathitrust.org/Record/000034077","HathiTrust Record")</f>
        <v/>
      </c>
      <c r="AU3441">
        <f>HYPERLINK("https://creighton-primo.hosted.exlibrisgroup.com/primo-explore/search?tab=default_tab&amp;search_scope=EVERYTHING&amp;vid=01CRU&amp;lang=en_US&amp;offset=0&amp;query=any,contains,991003551949702656","Catalog Record")</f>
        <v/>
      </c>
      <c r="AV3441">
        <f>HYPERLINK("http://www.worldcat.org/oclc/1119962","WorldCat Record")</f>
        <v/>
      </c>
      <c r="AW3441" t="inlineStr">
        <is>
          <t>367741888:eng</t>
        </is>
      </c>
      <c r="AX3441" t="inlineStr">
        <is>
          <t>1119962</t>
        </is>
      </c>
      <c r="AY3441" t="inlineStr">
        <is>
          <t>991003551949702656</t>
        </is>
      </c>
      <c r="AZ3441" t="inlineStr">
        <is>
          <t>991003551949702656</t>
        </is>
      </c>
      <c r="BA3441" t="inlineStr">
        <is>
          <t>2255959160002656</t>
        </is>
      </c>
      <c r="BB3441" t="inlineStr">
        <is>
          <t>BOOK</t>
        </is>
      </c>
      <c r="BD3441" t="inlineStr">
        <is>
          <t>9780826201669</t>
        </is>
      </c>
      <c r="BE3441" t="inlineStr">
        <is>
          <t>32285001206282</t>
        </is>
      </c>
      <c r="BF3441" t="inlineStr">
        <is>
          <t>893445720</t>
        </is>
      </c>
    </row>
    <row r="3442">
      <c r="A3442" t="inlineStr">
        <is>
          <t>No</t>
        </is>
      </c>
      <c r="B3442" t="inlineStr">
        <is>
          <t>CURAL</t>
        </is>
      </c>
      <c r="C3442" t="inlineStr">
        <is>
          <t>SHELVES</t>
        </is>
      </c>
      <c r="D3442" t="inlineStr">
        <is>
          <t>PR6056.O85 Z84 1992</t>
        </is>
      </c>
      <c r="E3442" t="inlineStr">
        <is>
          <t>0                      PR 6056000O  85                 Z  84          1992</t>
        </is>
      </c>
      <c r="F3442" t="inlineStr">
        <is>
          <t>John Fowles's fiction and the poetics of postmodernism / Mahmoud Salami.</t>
        </is>
      </c>
      <c r="H3442" t="inlineStr">
        <is>
          <t>No</t>
        </is>
      </c>
      <c r="I3442" t="inlineStr">
        <is>
          <t>1</t>
        </is>
      </c>
      <c r="J3442" t="inlineStr">
        <is>
          <t>No</t>
        </is>
      </c>
      <c r="K3442" t="inlineStr">
        <is>
          <t>No</t>
        </is>
      </c>
      <c r="L3442" t="inlineStr">
        <is>
          <t>0</t>
        </is>
      </c>
      <c r="M3442" t="inlineStr">
        <is>
          <t>Salami, Mahmoud, 1958-</t>
        </is>
      </c>
      <c r="N3442" t="inlineStr">
        <is>
          <t>Rutherford : Fairleigh Dickinson University Press ; London : Associated University Presses, c1992.</t>
        </is>
      </c>
      <c r="O3442" t="inlineStr">
        <is>
          <t>1992</t>
        </is>
      </c>
      <c r="Q3442" t="inlineStr">
        <is>
          <t>eng</t>
        </is>
      </c>
      <c r="R3442" t="inlineStr">
        <is>
          <t>nju</t>
        </is>
      </c>
      <c r="T3442" t="inlineStr">
        <is>
          <t xml:space="preserve">PR </t>
        </is>
      </c>
      <c r="U3442" t="n">
        <v>2</v>
      </c>
      <c r="V3442" t="n">
        <v>2</v>
      </c>
      <c r="W3442" t="inlineStr">
        <is>
          <t>2010-11-13</t>
        </is>
      </c>
      <c r="X3442" t="inlineStr">
        <is>
          <t>2010-11-13</t>
        </is>
      </c>
      <c r="Y3442" t="inlineStr">
        <is>
          <t>1992-12-08</t>
        </is>
      </c>
      <c r="Z3442" t="inlineStr">
        <is>
          <t>1992-12-08</t>
        </is>
      </c>
      <c r="AA3442" t="n">
        <v>346</v>
      </c>
      <c r="AB3442" t="n">
        <v>255</v>
      </c>
      <c r="AC3442" t="n">
        <v>257</v>
      </c>
      <c r="AD3442" t="n">
        <v>4</v>
      </c>
      <c r="AE3442" t="n">
        <v>4</v>
      </c>
      <c r="AF3442" t="n">
        <v>18</v>
      </c>
      <c r="AG3442" t="n">
        <v>18</v>
      </c>
      <c r="AH3442" t="n">
        <v>6</v>
      </c>
      <c r="AI3442" t="n">
        <v>6</v>
      </c>
      <c r="AJ3442" t="n">
        <v>6</v>
      </c>
      <c r="AK3442" t="n">
        <v>6</v>
      </c>
      <c r="AL3442" t="n">
        <v>10</v>
      </c>
      <c r="AM3442" t="n">
        <v>10</v>
      </c>
      <c r="AN3442" t="n">
        <v>3</v>
      </c>
      <c r="AO3442" t="n">
        <v>3</v>
      </c>
      <c r="AP3442" t="n">
        <v>0</v>
      </c>
      <c r="AQ3442" t="n">
        <v>0</v>
      </c>
      <c r="AR3442" t="inlineStr">
        <is>
          <t>No</t>
        </is>
      </c>
      <c r="AS3442" t="inlineStr">
        <is>
          <t>Yes</t>
        </is>
      </c>
      <c r="AT3442">
        <f>HYPERLINK("http://catalog.hathitrust.org/Record/002562149","HathiTrust Record")</f>
        <v/>
      </c>
      <c r="AU3442">
        <f>HYPERLINK("https://creighton-primo.hosted.exlibrisgroup.com/primo-explore/search?tab=default_tab&amp;search_scope=EVERYTHING&amp;vid=01CRU&amp;lang=en_US&amp;offset=0&amp;query=any,contains,991001929809702656","Catalog Record")</f>
        <v/>
      </c>
      <c r="AV3442">
        <f>HYPERLINK("http://www.worldcat.org/oclc/24375816","WorldCat Record")</f>
        <v/>
      </c>
      <c r="AW3442" t="inlineStr">
        <is>
          <t>26703691:eng</t>
        </is>
      </c>
      <c r="AX3442" t="inlineStr">
        <is>
          <t>24375816</t>
        </is>
      </c>
      <c r="AY3442" t="inlineStr">
        <is>
          <t>991001929809702656</t>
        </is>
      </c>
      <c r="AZ3442" t="inlineStr">
        <is>
          <t>991001929809702656</t>
        </is>
      </c>
      <c r="BA3442" t="inlineStr">
        <is>
          <t>2263009350002656</t>
        </is>
      </c>
      <c r="BB3442" t="inlineStr">
        <is>
          <t>BOOK</t>
        </is>
      </c>
      <c r="BD3442" t="inlineStr">
        <is>
          <t>9780838634462</t>
        </is>
      </c>
      <c r="BE3442" t="inlineStr">
        <is>
          <t>32285001401388</t>
        </is>
      </c>
      <c r="BF3442" t="inlineStr">
        <is>
          <t>893684772</t>
        </is>
      </c>
    </row>
    <row r="3443">
      <c r="A3443" t="inlineStr">
        <is>
          <t>No</t>
        </is>
      </c>
      <c r="B3443" t="inlineStr">
        <is>
          <t>CURAL</t>
        </is>
      </c>
      <c r="C3443" t="inlineStr">
        <is>
          <t>SHELVES</t>
        </is>
      </c>
      <c r="D3443" t="inlineStr">
        <is>
          <t>PR6056.O85 Z92 1984</t>
        </is>
      </c>
      <c r="E3443" t="inlineStr">
        <is>
          <t>0                      PR 6056000O  85                 Z  92          1984</t>
        </is>
      </c>
      <c r="F3443" t="inlineStr">
        <is>
          <t>Male mythologies : John Fowles and masculinity / Bruce Woodcock.</t>
        </is>
      </c>
      <c r="H3443" t="inlineStr">
        <is>
          <t>No</t>
        </is>
      </c>
      <c r="I3443" t="inlineStr">
        <is>
          <t>1</t>
        </is>
      </c>
      <c r="J3443" t="inlineStr">
        <is>
          <t>No</t>
        </is>
      </c>
      <c r="K3443" t="inlineStr">
        <is>
          <t>No</t>
        </is>
      </c>
      <c r="L3443" t="inlineStr">
        <is>
          <t>0</t>
        </is>
      </c>
      <c r="M3443" t="inlineStr">
        <is>
          <t>Woodcock, Bruce.</t>
        </is>
      </c>
      <c r="N3443" t="inlineStr">
        <is>
          <t>Brighton, Sussex : Harvester Press ; Totowa, N.J. : Barnes &amp; Noble Books, 1984.</t>
        </is>
      </c>
      <c r="O3443" t="inlineStr">
        <is>
          <t>1984</t>
        </is>
      </c>
      <c r="Q3443" t="inlineStr">
        <is>
          <t>eng</t>
        </is>
      </c>
      <c r="R3443" t="inlineStr">
        <is>
          <t>enk</t>
        </is>
      </c>
      <c r="T3443" t="inlineStr">
        <is>
          <t xml:space="preserve">PR </t>
        </is>
      </c>
      <c r="U3443" t="n">
        <v>4</v>
      </c>
      <c r="V3443" t="n">
        <v>4</v>
      </c>
      <c r="W3443" t="inlineStr">
        <is>
          <t>2010-11-13</t>
        </is>
      </c>
      <c r="X3443" t="inlineStr">
        <is>
          <t>2010-11-13</t>
        </is>
      </c>
      <c r="Y3443" t="inlineStr">
        <is>
          <t>1992-07-24</t>
        </is>
      </c>
      <c r="Z3443" t="inlineStr">
        <is>
          <t>1992-07-24</t>
        </is>
      </c>
      <c r="AA3443" t="n">
        <v>498</v>
      </c>
      <c r="AB3443" t="n">
        <v>360</v>
      </c>
      <c r="AC3443" t="n">
        <v>364</v>
      </c>
      <c r="AD3443" t="n">
        <v>4</v>
      </c>
      <c r="AE3443" t="n">
        <v>4</v>
      </c>
      <c r="AF3443" t="n">
        <v>16</v>
      </c>
      <c r="AG3443" t="n">
        <v>16</v>
      </c>
      <c r="AH3443" t="n">
        <v>3</v>
      </c>
      <c r="AI3443" t="n">
        <v>3</v>
      </c>
      <c r="AJ3443" t="n">
        <v>5</v>
      </c>
      <c r="AK3443" t="n">
        <v>5</v>
      </c>
      <c r="AL3443" t="n">
        <v>9</v>
      </c>
      <c r="AM3443" t="n">
        <v>9</v>
      </c>
      <c r="AN3443" t="n">
        <v>3</v>
      </c>
      <c r="AO3443" t="n">
        <v>3</v>
      </c>
      <c r="AP3443" t="n">
        <v>0</v>
      </c>
      <c r="AQ3443" t="n">
        <v>0</v>
      </c>
      <c r="AR3443" t="inlineStr">
        <is>
          <t>No</t>
        </is>
      </c>
      <c r="AS3443" t="inlineStr">
        <is>
          <t>No</t>
        </is>
      </c>
      <c r="AU3443">
        <f>HYPERLINK("https://creighton-primo.hosted.exlibrisgroup.com/primo-explore/search?tab=default_tab&amp;search_scope=EVERYTHING&amp;vid=01CRU&amp;lang=en_US&amp;offset=0&amp;query=any,contains,991000475419702656","Catalog Record")</f>
        <v/>
      </c>
      <c r="AV3443">
        <f>HYPERLINK("http://www.worldcat.org/oclc/11029573","WorldCat Record")</f>
        <v/>
      </c>
      <c r="AW3443" t="inlineStr">
        <is>
          <t>836673611:eng</t>
        </is>
      </c>
      <c r="AX3443" t="inlineStr">
        <is>
          <t>11029573</t>
        </is>
      </c>
      <c r="AY3443" t="inlineStr">
        <is>
          <t>991000475419702656</t>
        </is>
      </c>
      <c r="AZ3443" t="inlineStr">
        <is>
          <t>991000475419702656</t>
        </is>
      </c>
      <c r="BA3443" t="inlineStr">
        <is>
          <t>2266028140002656</t>
        </is>
      </c>
      <c r="BB3443" t="inlineStr">
        <is>
          <t>BOOK</t>
        </is>
      </c>
      <c r="BD3443" t="inlineStr">
        <is>
          <t>9780389204978</t>
        </is>
      </c>
      <c r="BE3443" t="inlineStr">
        <is>
          <t>32285001206290</t>
        </is>
      </c>
      <c r="BF3443" t="inlineStr">
        <is>
          <t>893808695</t>
        </is>
      </c>
    </row>
    <row r="3444">
      <c r="A3444" t="inlineStr">
        <is>
          <t>No</t>
        </is>
      </c>
      <c r="B3444" t="inlineStr">
        <is>
          <t>CURAL</t>
        </is>
      </c>
      <c r="C3444" t="inlineStr">
        <is>
          <t>SHELVES</t>
        </is>
      </c>
      <c r="D3444" t="inlineStr">
        <is>
          <t>PR6058.E2 Z54 1988</t>
        </is>
      </c>
      <c r="E3444" t="inlineStr">
        <is>
          <t>0                      PR 6058000E  2                  Z  54          1988</t>
        </is>
      </c>
      <c r="F3444" t="inlineStr">
        <is>
          <t>The poetry of Seamus Heaney : all the realms of whisper / Elmer Andrews.</t>
        </is>
      </c>
      <c r="H3444" t="inlineStr">
        <is>
          <t>No</t>
        </is>
      </c>
      <c r="I3444" t="inlineStr">
        <is>
          <t>1</t>
        </is>
      </c>
      <c r="J3444" t="inlineStr">
        <is>
          <t>No</t>
        </is>
      </c>
      <c r="K3444" t="inlineStr">
        <is>
          <t>No</t>
        </is>
      </c>
      <c r="L3444" t="inlineStr">
        <is>
          <t>0</t>
        </is>
      </c>
      <c r="M3444" t="inlineStr">
        <is>
          <t>Andrews, Elmer.</t>
        </is>
      </c>
      <c r="N3444" t="inlineStr">
        <is>
          <t>New York : St. Martin's Press, 1988.</t>
        </is>
      </c>
      <c r="O3444" t="inlineStr">
        <is>
          <t>1988</t>
        </is>
      </c>
      <c r="Q3444" t="inlineStr">
        <is>
          <t>eng</t>
        </is>
      </c>
      <c r="R3444" t="inlineStr">
        <is>
          <t>nyu</t>
        </is>
      </c>
      <c r="T3444" t="inlineStr">
        <is>
          <t xml:space="preserve">PR </t>
        </is>
      </c>
      <c r="U3444" t="n">
        <v>15</v>
      </c>
      <c r="V3444" t="n">
        <v>15</v>
      </c>
      <c r="W3444" t="inlineStr">
        <is>
          <t>2008-02-16</t>
        </is>
      </c>
      <c r="X3444" t="inlineStr">
        <is>
          <t>2008-02-16</t>
        </is>
      </c>
      <c r="Y3444" t="inlineStr">
        <is>
          <t>1991-11-06</t>
        </is>
      </c>
      <c r="Z3444" t="inlineStr">
        <is>
          <t>1991-11-06</t>
        </is>
      </c>
      <c r="AA3444" t="n">
        <v>218</v>
      </c>
      <c r="AB3444" t="n">
        <v>191</v>
      </c>
      <c r="AC3444" t="n">
        <v>242</v>
      </c>
      <c r="AD3444" t="n">
        <v>2</v>
      </c>
      <c r="AE3444" t="n">
        <v>4</v>
      </c>
      <c r="AF3444" t="n">
        <v>7</v>
      </c>
      <c r="AG3444" t="n">
        <v>11</v>
      </c>
      <c r="AH3444" t="n">
        <v>1</v>
      </c>
      <c r="AI3444" t="n">
        <v>1</v>
      </c>
      <c r="AJ3444" t="n">
        <v>1</v>
      </c>
      <c r="AK3444" t="n">
        <v>3</v>
      </c>
      <c r="AL3444" t="n">
        <v>5</v>
      </c>
      <c r="AM3444" t="n">
        <v>7</v>
      </c>
      <c r="AN3444" t="n">
        <v>1</v>
      </c>
      <c r="AO3444" t="n">
        <v>3</v>
      </c>
      <c r="AP3444" t="n">
        <v>0</v>
      </c>
      <c r="AQ3444" t="n">
        <v>0</v>
      </c>
      <c r="AR3444" t="inlineStr">
        <is>
          <t>No</t>
        </is>
      </c>
      <c r="AS3444" t="inlineStr">
        <is>
          <t>No</t>
        </is>
      </c>
      <c r="AU3444">
        <f>HYPERLINK("https://creighton-primo.hosted.exlibrisgroup.com/primo-explore/search?tab=default_tab&amp;search_scope=EVERYTHING&amp;vid=01CRU&amp;lang=en_US&amp;offset=0&amp;query=any,contains,991001194419702656","Catalog Record")</f>
        <v/>
      </c>
      <c r="AV3444">
        <f>HYPERLINK("http://www.worldcat.org/oclc/17264861","WorldCat Record")</f>
        <v/>
      </c>
      <c r="AW3444" t="inlineStr">
        <is>
          <t>4494896175:eng</t>
        </is>
      </c>
      <c r="AX3444" t="inlineStr">
        <is>
          <t>17264861</t>
        </is>
      </c>
      <c r="AY3444" t="inlineStr">
        <is>
          <t>991001194419702656</t>
        </is>
      </c>
      <c r="AZ3444" t="inlineStr">
        <is>
          <t>991001194419702656</t>
        </is>
      </c>
      <c r="BA3444" t="inlineStr">
        <is>
          <t>2261933860002656</t>
        </is>
      </c>
      <c r="BB3444" t="inlineStr">
        <is>
          <t>BOOK</t>
        </is>
      </c>
      <c r="BD3444" t="inlineStr">
        <is>
          <t>9780312015978</t>
        </is>
      </c>
      <c r="BE3444" t="inlineStr">
        <is>
          <t>32285000798297</t>
        </is>
      </c>
      <c r="BF3444" t="inlineStr">
        <is>
          <t>893256095</t>
        </is>
      </c>
    </row>
    <row r="3445">
      <c r="A3445" t="inlineStr">
        <is>
          <t>No</t>
        </is>
      </c>
      <c r="B3445" t="inlineStr">
        <is>
          <t>CURAL</t>
        </is>
      </c>
      <c r="C3445" t="inlineStr">
        <is>
          <t>SHELVES</t>
        </is>
      </c>
      <c r="D3445" t="inlineStr">
        <is>
          <t>PR6058.E2 Z55 1985</t>
        </is>
      </c>
      <c r="E3445" t="inlineStr">
        <is>
          <t>0                      PR 6058000E  2                  Z  55          1985</t>
        </is>
      </c>
      <c r="F3445" t="inlineStr">
        <is>
          <t>The Art of Seamus Heaney / edited &amp; introduced by Tony Curtis.</t>
        </is>
      </c>
      <c r="H3445" t="inlineStr">
        <is>
          <t>No</t>
        </is>
      </c>
      <c r="I3445" t="inlineStr">
        <is>
          <t>1</t>
        </is>
      </c>
      <c r="J3445" t="inlineStr">
        <is>
          <t>No</t>
        </is>
      </c>
      <c r="K3445" t="inlineStr">
        <is>
          <t>Yes</t>
        </is>
      </c>
      <c r="L3445" t="inlineStr">
        <is>
          <t>0</t>
        </is>
      </c>
      <c r="N3445" t="inlineStr">
        <is>
          <t>Chester Springs, Pa. : Dufour Editions, 1985.</t>
        </is>
      </c>
      <c r="O3445" t="inlineStr">
        <is>
          <t>1985</t>
        </is>
      </c>
      <c r="Q3445" t="inlineStr">
        <is>
          <t>eng</t>
        </is>
      </c>
      <c r="R3445" t="inlineStr">
        <is>
          <t>pau</t>
        </is>
      </c>
      <c r="T3445" t="inlineStr">
        <is>
          <t xml:space="preserve">PR </t>
        </is>
      </c>
      <c r="U3445" t="n">
        <v>9</v>
      </c>
      <c r="V3445" t="n">
        <v>9</v>
      </c>
      <c r="W3445" t="inlineStr">
        <is>
          <t>2008-02-16</t>
        </is>
      </c>
      <c r="X3445" t="inlineStr">
        <is>
          <t>2008-02-16</t>
        </is>
      </c>
      <c r="Y3445" t="inlineStr">
        <is>
          <t>1993-04-20</t>
        </is>
      </c>
      <c r="Z3445" t="inlineStr">
        <is>
          <t>1993-04-20</t>
        </is>
      </c>
      <c r="AA3445" t="n">
        <v>364</v>
      </c>
      <c r="AB3445" t="n">
        <v>340</v>
      </c>
      <c r="AC3445" t="n">
        <v>602</v>
      </c>
      <c r="AD3445" t="n">
        <v>4</v>
      </c>
      <c r="AE3445" t="n">
        <v>5</v>
      </c>
      <c r="AF3445" t="n">
        <v>19</v>
      </c>
      <c r="AG3445" t="n">
        <v>31</v>
      </c>
      <c r="AH3445" t="n">
        <v>10</v>
      </c>
      <c r="AI3445" t="n">
        <v>14</v>
      </c>
      <c r="AJ3445" t="n">
        <v>4</v>
      </c>
      <c r="AK3445" t="n">
        <v>8</v>
      </c>
      <c r="AL3445" t="n">
        <v>9</v>
      </c>
      <c r="AM3445" t="n">
        <v>15</v>
      </c>
      <c r="AN3445" t="n">
        <v>3</v>
      </c>
      <c r="AO3445" t="n">
        <v>4</v>
      </c>
      <c r="AP3445" t="n">
        <v>0</v>
      </c>
      <c r="AQ3445" t="n">
        <v>0</v>
      </c>
      <c r="AR3445" t="inlineStr">
        <is>
          <t>No</t>
        </is>
      </c>
      <c r="AS3445" t="inlineStr">
        <is>
          <t>Yes</t>
        </is>
      </c>
      <c r="AT3445">
        <f>HYPERLINK("http://catalog.hathitrust.org/Record/000382347","HathiTrust Record")</f>
        <v/>
      </c>
      <c r="AU3445">
        <f>HYPERLINK("https://creighton-primo.hosted.exlibrisgroup.com/primo-explore/search?tab=default_tab&amp;search_scope=EVERYTHING&amp;vid=01CRU&amp;lang=en_US&amp;offset=0&amp;query=any,contains,991000600599702656","Catalog Record")</f>
        <v/>
      </c>
      <c r="AV3445">
        <f>HYPERLINK("http://www.worldcat.org/oclc/11840855","WorldCat Record")</f>
        <v/>
      </c>
      <c r="AW3445" t="inlineStr">
        <is>
          <t>54597042:eng</t>
        </is>
      </c>
      <c r="AX3445" t="inlineStr">
        <is>
          <t>11840855</t>
        </is>
      </c>
      <c r="AY3445" t="inlineStr">
        <is>
          <t>991000600599702656</t>
        </is>
      </c>
      <c r="AZ3445" t="inlineStr">
        <is>
          <t>991000600599702656</t>
        </is>
      </c>
      <c r="BA3445" t="inlineStr">
        <is>
          <t>2267908250002656</t>
        </is>
      </c>
      <c r="BB3445" t="inlineStr">
        <is>
          <t>BOOK</t>
        </is>
      </c>
      <c r="BD3445" t="inlineStr">
        <is>
          <t>9780802312792</t>
        </is>
      </c>
      <c r="BE3445" t="inlineStr">
        <is>
          <t>32285001621514</t>
        </is>
      </c>
      <c r="BF3445" t="inlineStr">
        <is>
          <t>893903085</t>
        </is>
      </c>
    </row>
    <row r="3446">
      <c r="A3446" t="inlineStr">
        <is>
          <t>No</t>
        </is>
      </c>
      <c r="B3446" t="inlineStr">
        <is>
          <t>CURAL</t>
        </is>
      </c>
      <c r="C3446" t="inlineStr">
        <is>
          <t>SHELVES</t>
        </is>
      </c>
      <c r="D3446" t="inlineStr">
        <is>
          <t>PR6058.E2 Z55 1994</t>
        </is>
      </c>
      <c r="E3446" t="inlineStr">
        <is>
          <t>0                      PR 6058000E  2                  Z  55          1994</t>
        </is>
      </c>
      <c r="F3446" t="inlineStr">
        <is>
          <t>The Art of Seamus Heaney / edited by Tony Curtis.</t>
        </is>
      </c>
      <c r="H3446" t="inlineStr">
        <is>
          <t>No</t>
        </is>
      </c>
      <c r="I3446" t="inlineStr">
        <is>
          <t>1</t>
        </is>
      </c>
      <c r="J3446" t="inlineStr">
        <is>
          <t>No</t>
        </is>
      </c>
      <c r="K3446" t="inlineStr">
        <is>
          <t>Yes</t>
        </is>
      </c>
      <c r="L3446" t="inlineStr">
        <is>
          <t>0</t>
        </is>
      </c>
      <c r="N3446" t="inlineStr">
        <is>
          <t>Chester Springs, Pa. : Dufour Editions, c1994.</t>
        </is>
      </c>
      <c r="O3446" t="inlineStr">
        <is>
          <t>1994</t>
        </is>
      </c>
      <c r="P3446" t="inlineStr">
        <is>
          <t>3rd ed.</t>
        </is>
      </c>
      <c r="Q3446" t="inlineStr">
        <is>
          <t>eng</t>
        </is>
      </c>
      <c r="R3446" t="inlineStr">
        <is>
          <t>pau</t>
        </is>
      </c>
      <c r="T3446" t="inlineStr">
        <is>
          <t xml:space="preserve">PR </t>
        </is>
      </c>
      <c r="U3446" t="n">
        <v>23</v>
      </c>
      <c r="V3446" t="n">
        <v>23</v>
      </c>
      <c r="W3446" t="inlineStr">
        <is>
          <t>2004-11-28</t>
        </is>
      </c>
      <c r="X3446" t="inlineStr">
        <is>
          <t>2004-11-28</t>
        </is>
      </c>
      <c r="Y3446" t="inlineStr">
        <is>
          <t>1994-09-19</t>
        </is>
      </c>
      <c r="Z3446" t="inlineStr">
        <is>
          <t>1994-09-19</t>
        </is>
      </c>
      <c r="AA3446" t="n">
        <v>141</v>
      </c>
      <c r="AB3446" t="n">
        <v>130</v>
      </c>
      <c r="AC3446" t="n">
        <v>602</v>
      </c>
      <c r="AD3446" t="n">
        <v>2</v>
      </c>
      <c r="AE3446" t="n">
        <v>5</v>
      </c>
      <c r="AF3446" t="n">
        <v>10</v>
      </c>
      <c r="AG3446" t="n">
        <v>31</v>
      </c>
      <c r="AH3446" t="n">
        <v>2</v>
      </c>
      <c r="AI3446" t="n">
        <v>14</v>
      </c>
      <c r="AJ3446" t="n">
        <v>2</v>
      </c>
      <c r="AK3446" t="n">
        <v>8</v>
      </c>
      <c r="AL3446" t="n">
        <v>6</v>
      </c>
      <c r="AM3446" t="n">
        <v>15</v>
      </c>
      <c r="AN3446" t="n">
        <v>1</v>
      </c>
      <c r="AO3446" t="n">
        <v>4</v>
      </c>
      <c r="AP3446" t="n">
        <v>0</v>
      </c>
      <c r="AQ3446" t="n">
        <v>0</v>
      </c>
      <c r="AR3446" t="inlineStr">
        <is>
          <t>No</t>
        </is>
      </c>
      <c r="AS3446" t="inlineStr">
        <is>
          <t>No</t>
        </is>
      </c>
      <c r="AU3446">
        <f>HYPERLINK("https://creighton-primo.hosted.exlibrisgroup.com/primo-explore/search?tab=default_tab&amp;search_scope=EVERYTHING&amp;vid=01CRU&amp;lang=en_US&amp;offset=0&amp;query=any,contains,991002195989702656","Catalog Record")</f>
        <v/>
      </c>
      <c r="AV3446">
        <f>HYPERLINK("http://www.worldcat.org/oclc/28222453","WorldCat Record")</f>
        <v/>
      </c>
      <c r="AW3446" t="inlineStr">
        <is>
          <t>54597042:eng</t>
        </is>
      </c>
      <c r="AX3446" t="inlineStr">
        <is>
          <t>28222453</t>
        </is>
      </c>
      <c r="AY3446" t="inlineStr">
        <is>
          <t>991002195989702656</t>
        </is>
      </c>
      <c r="AZ3446" t="inlineStr">
        <is>
          <t>991002195989702656</t>
        </is>
      </c>
      <c r="BA3446" t="inlineStr">
        <is>
          <t>2261895390002656</t>
        </is>
      </c>
      <c r="BB3446" t="inlineStr">
        <is>
          <t>BOOK</t>
        </is>
      </c>
      <c r="BD3446" t="inlineStr">
        <is>
          <t>9780802313027</t>
        </is>
      </c>
      <c r="BE3446" t="inlineStr">
        <is>
          <t>32285001946176</t>
        </is>
      </c>
      <c r="BF3446" t="inlineStr">
        <is>
          <t>893244878</t>
        </is>
      </c>
    </row>
    <row r="3447">
      <c r="A3447" t="inlineStr">
        <is>
          <t>No</t>
        </is>
      </c>
      <c r="B3447" t="inlineStr">
        <is>
          <t>CURAL</t>
        </is>
      </c>
      <c r="C3447" t="inlineStr">
        <is>
          <t>SHELVES</t>
        </is>
      </c>
      <c r="D3447" t="inlineStr">
        <is>
          <t>PR6058.E2 Z57 1975</t>
        </is>
      </c>
      <c r="E3447" t="inlineStr">
        <is>
          <t>0                      PR 6058000E  2                  Z  57          1975</t>
        </is>
      </c>
      <c r="F3447" t="inlineStr">
        <is>
          <t>Seamus Heaney / Robert Buttel.</t>
        </is>
      </c>
      <c r="H3447" t="inlineStr">
        <is>
          <t>No</t>
        </is>
      </c>
      <c r="I3447" t="inlineStr">
        <is>
          <t>1</t>
        </is>
      </c>
      <c r="J3447" t="inlineStr">
        <is>
          <t>No</t>
        </is>
      </c>
      <c r="K3447" t="inlineStr">
        <is>
          <t>No</t>
        </is>
      </c>
      <c r="L3447" t="inlineStr">
        <is>
          <t>0</t>
        </is>
      </c>
      <c r="M3447" t="inlineStr">
        <is>
          <t>Buttel, Robert.</t>
        </is>
      </c>
      <c r="N3447" t="inlineStr">
        <is>
          <t>Lewisburg [Pa.] : Bucknell University Press, [1975]</t>
        </is>
      </c>
      <c r="O3447" t="inlineStr">
        <is>
          <t>1975</t>
        </is>
      </c>
      <c r="Q3447" t="inlineStr">
        <is>
          <t>eng</t>
        </is>
      </c>
      <c r="R3447" t="inlineStr">
        <is>
          <t>pau</t>
        </is>
      </c>
      <c r="S3447" t="inlineStr">
        <is>
          <t>The Irish writers series</t>
        </is>
      </c>
      <c r="T3447" t="inlineStr">
        <is>
          <t xml:space="preserve">PR </t>
        </is>
      </c>
      <c r="U3447" t="n">
        <v>12</v>
      </c>
      <c r="V3447" t="n">
        <v>12</v>
      </c>
      <c r="W3447" t="inlineStr">
        <is>
          <t>2008-02-16</t>
        </is>
      </c>
      <c r="X3447" t="inlineStr">
        <is>
          <t>2008-02-16</t>
        </is>
      </c>
      <c r="Y3447" t="inlineStr">
        <is>
          <t>1992-07-27</t>
        </is>
      </c>
      <c r="Z3447" t="inlineStr">
        <is>
          <t>1992-07-27</t>
        </is>
      </c>
      <c r="AA3447" t="n">
        <v>516</v>
      </c>
      <c r="AB3447" t="n">
        <v>395</v>
      </c>
      <c r="AC3447" t="n">
        <v>397</v>
      </c>
      <c r="AD3447" t="n">
        <v>4</v>
      </c>
      <c r="AE3447" t="n">
        <v>4</v>
      </c>
      <c r="AF3447" t="n">
        <v>26</v>
      </c>
      <c r="AG3447" t="n">
        <v>26</v>
      </c>
      <c r="AH3447" t="n">
        <v>10</v>
      </c>
      <c r="AI3447" t="n">
        <v>10</v>
      </c>
      <c r="AJ3447" t="n">
        <v>9</v>
      </c>
      <c r="AK3447" t="n">
        <v>9</v>
      </c>
      <c r="AL3447" t="n">
        <v>12</v>
      </c>
      <c r="AM3447" t="n">
        <v>12</v>
      </c>
      <c r="AN3447" t="n">
        <v>3</v>
      </c>
      <c r="AO3447" t="n">
        <v>3</v>
      </c>
      <c r="AP3447" t="n">
        <v>0</v>
      </c>
      <c r="AQ3447" t="n">
        <v>0</v>
      </c>
      <c r="AR3447" t="inlineStr">
        <is>
          <t>No</t>
        </is>
      </c>
      <c r="AS3447" t="inlineStr">
        <is>
          <t>Yes</t>
        </is>
      </c>
      <c r="AT3447">
        <f>HYPERLINK("http://catalog.hathitrust.org/Record/000478044","HathiTrust Record")</f>
        <v/>
      </c>
      <c r="AU3447">
        <f>HYPERLINK("https://creighton-primo.hosted.exlibrisgroup.com/primo-explore/search?tab=default_tab&amp;search_scope=EVERYTHING&amp;vid=01CRU&amp;lang=en_US&amp;offset=0&amp;query=any,contains,991003530069702656","Catalog Record")</f>
        <v/>
      </c>
      <c r="AV3447">
        <f>HYPERLINK("http://www.worldcat.org/oclc/1093316","WorldCat Record")</f>
        <v/>
      </c>
      <c r="AW3447" t="inlineStr">
        <is>
          <t>1908973465:eng</t>
        </is>
      </c>
      <c r="AX3447" t="inlineStr">
        <is>
          <t>1093316</t>
        </is>
      </c>
      <c r="AY3447" t="inlineStr">
        <is>
          <t>991003530069702656</t>
        </is>
      </c>
      <c r="AZ3447" t="inlineStr">
        <is>
          <t>991003530069702656</t>
        </is>
      </c>
      <c r="BA3447" t="inlineStr">
        <is>
          <t>2264846120002656</t>
        </is>
      </c>
      <c r="BB3447" t="inlineStr">
        <is>
          <t>BOOK</t>
        </is>
      </c>
      <c r="BD3447" t="inlineStr">
        <is>
          <t>9780838715673</t>
        </is>
      </c>
      <c r="BE3447" t="inlineStr">
        <is>
          <t>32285001207660</t>
        </is>
      </c>
      <c r="BF3447" t="inlineStr">
        <is>
          <t>893435088</t>
        </is>
      </c>
    </row>
    <row r="3448">
      <c r="A3448" t="inlineStr">
        <is>
          <t>No</t>
        </is>
      </c>
      <c r="B3448" t="inlineStr">
        <is>
          <t>CURAL</t>
        </is>
      </c>
      <c r="C3448" t="inlineStr">
        <is>
          <t>SHELVES</t>
        </is>
      </c>
      <c r="D3448" t="inlineStr">
        <is>
          <t>PR6058.E2 Z64 2009</t>
        </is>
      </c>
      <c r="E3448" t="inlineStr">
        <is>
          <t>0                      PR 6058000E  2                  Z  64          2009</t>
        </is>
      </c>
      <c r="F3448" t="inlineStr">
        <is>
          <t>Gravity and grace : Seamus Heaney and the force of light / John F. Desmond.</t>
        </is>
      </c>
      <c r="H3448" t="inlineStr">
        <is>
          <t>No</t>
        </is>
      </c>
      <c r="I3448" t="inlineStr">
        <is>
          <t>1</t>
        </is>
      </c>
      <c r="J3448" t="inlineStr">
        <is>
          <t>No</t>
        </is>
      </c>
      <c r="K3448" t="inlineStr">
        <is>
          <t>No</t>
        </is>
      </c>
      <c r="L3448" t="inlineStr">
        <is>
          <t>0</t>
        </is>
      </c>
      <c r="M3448" t="inlineStr">
        <is>
          <t>Desmond, John F.</t>
        </is>
      </c>
      <c r="N3448" t="inlineStr">
        <is>
          <t>Waco, Tex. : Baylor University Press, c2009.</t>
        </is>
      </c>
      <c r="O3448" t="inlineStr">
        <is>
          <t>2009</t>
        </is>
      </c>
      <c r="Q3448" t="inlineStr">
        <is>
          <t>eng</t>
        </is>
      </c>
      <c r="R3448" t="inlineStr">
        <is>
          <t>txu</t>
        </is>
      </c>
      <c r="S3448" t="inlineStr">
        <is>
          <t>Studies in Christianity and literature ; 2</t>
        </is>
      </c>
      <c r="T3448" t="inlineStr">
        <is>
          <t xml:space="preserve">PR </t>
        </is>
      </c>
      <c r="U3448" t="n">
        <v>1</v>
      </c>
      <c r="V3448" t="n">
        <v>1</v>
      </c>
      <c r="W3448" t="inlineStr">
        <is>
          <t>2010-05-04</t>
        </is>
      </c>
      <c r="X3448" t="inlineStr">
        <is>
          <t>2010-05-04</t>
        </is>
      </c>
      <c r="Y3448" t="inlineStr">
        <is>
          <t>2010-05-04</t>
        </is>
      </c>
      <c r="Z3448" t="inlineStr">
        <is>
          <t>2010-05-04</t>
        </is>
      </c>
      <c r="AA3448" t="n">
        <v>268</v>
      </c>
      <c r="AB3448" t="n">
        <v>222</v>
      </c>
      <c r="AC3448" t="n">
        <v>223</v>
      </c>
      <c r="AD3448" t="n">
        <v>1</v>
      </c>
      <c r="AE3448" t="n">
        <v>1</v>
      </c>
      <c r="AF3448" t="n">
        <v>17</v>
      </c>
      <c r="AG3448" t="n">
        <v>17</v>
      </c>
      <c r="AH3448" t="n">
        <v>7</v>
      </c>
      <c r="AI3448" t="n">
        <v>7</v>
      </c>
      <c r="AJ3448" t="n">
        <v>6</v>
      </c>
      <c r="AK3448" t="n">
        <v>6</v>
      </c>
      <c r="AL3448" t="n">
        <v>13</v>
      </c>
      <c r="AM3448" t="n">
        <v>13</v>
      </c>
      <c r="AN3448" t="n">
        <v>0</v>
      </c>
      <c r="AO3448" t="n">
        <v>0</v>
      </c>
      <c r="AP3448" t="n">
        <v>0</v>
      </c>
      <c r="AQ3448" t="n">
        <v>0</v>
      </c>
      <c r="AR3448" t="inlineStr">
        <is>
          <t>No</t>
        </is>
      </c>
      <c r="AS3448" t="inlineStr">
        <is>
          <t>Yes</t>
        </is>
      </c>
      <c r="AT3448">
        <f>HYPERLINK("http://catalog.hathitrust.org/Record/006305266","HathiTrust Record")</f>
        <v/>
      </c>
      <c r="AU3448">
        <f>HYPERLINK("https://creighton-primo.hosted.exlibrisgroup.com/primo-explore/search?tab=default_tab&amp;search_scope=EVERYTHING&amp;vid=01CRU&amp;lang=en_US&amp;offset=0&amp;query=any,contains,991005391749702656","Catalog Record")</f>
        <v/>
      </c>
      <c r="AV3448">
        <f>HYPERLINK("http://www.worldcat.org/oclc/233697424","WorldCat Record")</f>
        <v/>
      </c>
      <c r="AW3448" t="inlineStr">
        <is>
          <t>867261812:eng</t>
        </is>
      </c>
      <c r="AX3448" t="inlineStr">
        <is>
          <t>233697424</t>
        </is>
      </c>
      <c r="AY3448" t="inlineStr">
        <is>
          <t>991005391749702656</t>
        </is>
      </c>
      <c r="AZ3448" t="inlineStr">
        <is>
          <t>991005391749702656</t>
        </is>
      </c>
      <c r="BA3448" t="inlineStr">
        <is>
          <t>2262539750002656</t>
        </is>
      </c>
      <c r="BB3448" t="inlineStr">
        <is>
          <t>BOOK</t>
        </is>
      </c>
      <c r="BD3448" t="inlineStr">
        <is>
          <t>9781602580671</t>
        </is>
      </c>
      <c r="BE3448" t="inlineStr">
        <is>
          <t>32285005569727</t>
        </is>
      </c>
      <c r="BF3448" t="inlineStr">
        <is>
          <t>893431441</t>
        </is>
      </c>
    </row>
    <row r="3449">
      <c r="A3449" t="inlineStr">
        <is>
          <t>No</t>
        </is>
      </c>
      <c r="B3449" t="inlineStr">
        <is>
          <t>CURAL</t>
        </is>
      </c>
      <c r="C3449" t="inlineStr">
        <is>
          <t>SHELVES</t>
        </is>
      </c>
      <c r="D3449" t="inlineStr">
        <is>
          <t>PR6058.E2 Z66 1989</t>
        </is>
      </c>
      <c r="E3449" t="inlineStr">
        <is>
          <t>0                      PR 6058000E  2                  Z  66          1989</t>
        </is>
      </c>
      <c r="F3449" t="inlineStr">
        <is>
          <t>Seamus Heaney / by Thomas C. Foster.</t>
        </is>
      </c>
      <c r="H3449" t="inlineStr">
        <is>
          <t>No</t>
        </is>
      </c>
      <c r="I3449" t="inlineStr">
        <is>
          <t>1</t>
        </is>
      </c>
      <c r="J3449" t="inlineStr">
        <is>
          <t>No</t>
        </is>
      </c>
      <c r="K3449" t="inlineStr">
        <is>
          <t>No</t>
        </is>
      </c>
      <c r="L3449" t="inlineStr">
        <is>
          <t>0</t>
        </is>
      </c>
      <c r="M3449" t="inlineStr">
        <is>
          <t>Foster, Thomas C.</t>
        </is>
      </c>
      <c r="N3449" t="inlineStr">
        <is>
          <t>Boston : Twayne Publishers, c1989.</t>
        </is>
      </c>
      <c r="O3449" t="inlineStr">
        <is>
          <t>1989</t>
        </is>
      </c>
      <c r="Q3449" t="inlineStr">
        <is>
          <t>eng</t>
        </is>
      </c>
      <c r="R3449" t="inlineStr">
        <is>
          <t>mau</t>
        </is>
      </c>
      <c r="S3449" t="inlineStr">
        <is>
          <t>Twayne's English authors series ; TEAS 468</t>
        </is>
      </c>
      <c r="T3449" t="inlineStr">
        <is>
          <t xml:space="preserve">PR </t>
        </is>
      </c>
      <c r="U3449" t="n">
        <v>11</v>
      </c>
      <c r="V3449" t="n">
        <v>11</v>
      </c>
      <c r="W3449" t="inlineStr">
        <is>
          <t>2004-12-09</t>
        </is>
      </c>
      <c r="X3449" t="inlineStr">
        <is>
          <t>2004-12-09</t>
        </is>
      </c>
      <c r="Y3449" t="inlineStr">
        <is>
          <t>1992-07-27</t>
        </is>
      </c>
      <c r="Z3449" t="inlineStr">
        <is>
          <t>1992-07-27</t>
        </is>
      </c>
      <c r="AA3449" t="n">
        <v>572</v>
      </c>
      <c r="AB3449" t="n">
        <v>478</v>
      </c>
      <c r="AC3449" t="n">
        <v>586</v>
      </c>
      <c r="AD3449" t="n">
        <v>6</v>
      </c>
      <c r="AE3449" t="n">
        <v>6</v>
      </c>
      <c r="AF3449" t="n">
        <v>29</v>
      </c>
      <c r="AG3449" t="n">
        <v>30</v>
      </c>
      <c r="AH3449" t="n">
        <v>12</v>
      </c>
      <c r="AI3449" t="n">
        <v>12</v>
      </c>
      <c r="AJ3449" t="n">
        <v>6</v>
      </c>
      <c r="AK3449" t="n">
        <v>6</v>
      </c>
      <c r="AL3449" t="n">
        <v>14</v>
      </c>
      <c r="AM3449" t="n">
        <v>15</v>
      </c>
      <c r="AN3449" t="n">
        <v>5</v>
      </c>
      <c r="AO3449" t="n">
        <v>5</v>
      </c>
      <c r="AP3449" t="n">
        <v>0</v>
      </c>
      <c r="AQ3449" t="n">
        <v>0</v>
      </c>
      <c r="AR3449" t="inlineStr">
        <is>
          <t>No</t>
        </is>
      </c>
      <c r="AS3449" t="inlineStr">
        <is>
          <t>Yes</t>
        </is>
      </c>
      <c r="AT3449">
        <f>HYPERLINK("http://catalog.hathitrust.org/Record/001548125","HathiTrust Record")</f>
        <v/>
      </c>
      <c r="AU3449">
        <f>HYPERLINK("https://creighton-primo.hosted.exlibrisgroup.com/primo-explore/search?tab=default_tab&amp;search_scope=EVERYTHING&amp;vid=01CRU&amp;lang=en_US&amp;offset=0&amp;query=any,contains,991001460849702656","Catalog Record")</f>
        <v/>
      </c>
      <c r="AV3449">
        <f>HYPERLINK("http://www.worldcat.org/oclc/19455104","WorldCat Record")</f>
        <v/>
      </c>
      <c r="AW3449" t="inlineStr">
        <is>
          <t>8020196:eng</t>
        </is>
      </c>
      <c r="AX3449" t="inlineStr">
        <is>
          <t>19455104</t>
        </is>
      </c>
      <c r="AY3449" t="inlineStr">
        <is>
          <t>991001460849702656</t>
        </is>
      </c>
      <c r="AZ3449" t="inlineStr">
        <is>
          <t>991001460849702656</t>
        </is>
      </c>
      <c r="BA3449" t="inlineStr">
        <is>
          <t>2270781150002656</t>
        </is>
      </c>
      <c r="BB3449" t="inlineStr">
        <is>
          <t>BOOK</t>
        </is>
      </c>
      <c r="BD3449" t="inlineStr">
        <is>
          <t>9780805769845</t>
        </is>
      </c>
      <c r="BE3449" t="inlineStr">
        <is>
          <t>32285001207678</t>
        </is>
      </c>
      <c r="BF3449" t="inlineStr">
        <is>
          <t>893621401</t>
        </is>
      </c>
    </row>
    <row r="3450">
      <c r="A3450" t="inlineStr">
        <is>
          <t>No</t>
        </is>
      </c>
      <c r="B3450" t="inlineStr">
        <is>
          <t>CURAL</t>
        </is>
      </c>
      <c r="C3450" t="inlineStr">
        <is>
          <t>SHELVES</t>
        </is>
      </c>
      <c r="D3450" t="inlineStr">
        <is>
          <t>PR6058.U37 Z52 1983</t>
        </is>
      </c>
      <c r="E3450" t="inlineStr">
        <is>
          <t>0                      PR 6058000U  37                 Z  52          1983</t>
        </is>
      </c>
      <c r="F3450" t="inlineStr">
        <is>
          <t>The Achievement of Ted Hughes / edited by Keith Sagar.</t>
        </is>
      </c>
      <c r="H3450" t="inlineStr">
        <is>
          <t>No</t>
        </is>
      </c>
      <c r="I3450" t="inlineStr">
        <is>
          <t>1</t>
        </is>
      </c>
      <c r="J3450" t="inlineStr">
        <is>
          <t>No</t>
        </is>
      </c>
      <c r="K3450" t="inlineStr">
        <is>
          <t>No</t>
        </is>
      </c>
      <c r="L3450" t="inlineStr">
        <is>
          <t>0</t>
        </is>
      </c>
      <c r="N3450" t="inlineStr">
        <is>
          <t>Athens : University of Georgia Press, 1983.</t>
        </is>
      </c>
      <c r="O3450" t="inlineStr">
        <is>
          <t>1983</t>
        </is>
      </c>
      <c r="Q3450" t="inlineStr">
        <is>
          <t>eng</t>
        </is>
      </c>
      <c r="R3450" t="inlineStr">
        <is>
          <t>gau</t>
        </is>
      </c>
      <c r="T3450" t="inlineStr">
        <is>
          <t xml:space="preserve">PR </t>
        </is>
      </c>
      <c r="U3450" t="n">
        <v>2</v>
      </c>
      <c r="V3450" t="n">
        <v>2</v>
      </c>
      <c r="W3450" t="inlineStr">
        <is>
          <t>1993-09-26</t>
        </is>
      </c>
      <c r="X3450" t="inlineStr">
        <is>
          <t>1993-09-26</t>
        </is>
      </c>
      <c r="Y3450" t="inlineStr">
        <is>
          <t>1992-07-27</t>
        </is>
      </c>
      <c r="Z3450" t="inlineStr">
        <is>
          <t>1992-07-27</t>
        </is>
      </c>
      <c r="AA3450" t="n">
        <v>594</v>
      </c>
      <c r="AB3450" t="n">
        <v>543</v>
      </c>
      <c r="AC3450" t="n">
        <v>588</v>
      </c>
      <c r="AD3450" t="n">
        <v>8</v>
      </c>
      <c r="AE3450" t="n">
        <v>8</v>
      </c>
      <c r="AF3450" t="n">
        <v>34</v>
      </c>
      <c r="AG3450" t="n">
        <v>37</v>
      </c>
      <c r="AH3450" t="n">
        <v>11</v>
      </c>
      <c r="AI3450" t="n">
        <v>12</v>
      </c>
      <c r="AJ3450" t="n">
        <v>8</v>
      </c>
      <c r="AK3450" t="n">
        <v>9</v>
      </c>
      <c r="AL3450" t="n">
        <v>18</v>
      </c>
      <c r="AM3450" t="n">
        <v>20</v>
      </c>
      <c r="AN3450" t="n">
        <v>7</v>
      </c>
      <c r="AO3450" t="n">
        <v>7</v>
      </c>
      <c r="AP3450" t="n">
        <v>0</v>
      </c>
      <c r="AQ3450" t="n">
        <v>0</v>
      </c>
      <c r="AR3450" t="inlineStr">
        <is>
          <t>No</t>
        </is>
      </c>
      <c r="AS3450" t="inlineStr">
        <is>
          <t>No</t>
        </is>
      </c>
      <c r="AU3450">
        <f>HYPERLINK("https://creighton-primo.hosted.exlibrisgroup.com/primo-explore/search?tab=default_tab&amp;search_scope=EVERYTHING&amp;vid=01CRU&amp;lang=en_US&amp;offset=0&amp;query=any,contains,991000120109702656","Catalog Record")</f>
        <v/>
      </c>
      <c r="AV3450">
        <f>HYPERLINK("http://www.worldcat.org/oclc/9066228","WorldCat Record")</f>
        <v/>
      </c>
      <c r="AW3450" t="inlineStr">
        <is>
          <t>54544484:eng</t>
        </is>
      </c>
      <c r="AX3450" t="inlineStr">
        <is>
          <t>9066228</t>
        </is>
      </c>
      <c r="AY3450" t="inlineStr">
        <is>
          <t>991000120109702656</t>
        </is>
      </c>
      <c r="AZ3450" t="inlineStr">
        <is>
          <t>991000120109702656</t>
        </is>
      </c>
      <c r="BA3450" t="inlineStr">
        <is>
          <t>2269616090002656</t>
        </is>
      </c>
      <c r="BB3450" t="inlineStr">
        <is>
          <t>BOOK</t>
        </is>
      </c>
      <c r="BD3450" t="inlineStr">
        <is>
          <t>9780820306506</t>
        </is>
      </c>
      <c r="BE3450" t="inlineStr">
        <is>
          <t>32285001207843</t>
        </is>
      </c>
      <c r="BF3450" t="inlineStr">
        <is>
          <t>893796434</t>
        </is>
      </c>
    </row>
    <row r="3451">
      <c r="A3451" t="inlineStr">
        <is>
          <t>No</t>
        </is>
      </c>
      <c r="B3451" t="inlineStr">
        <is>
          <t>CURAL</t>
        </is>
      </c>
      <c r="C3451" t="inlineStr">
        <is>
          <t>SHELVES</t>
        </is>
      </c>
      <c r="D3451" t="inlineStr">
        <is>
          <t>PR6058.U37 Z69 2001</t>
        </is>
      </c>
      <c r="E3451" t="inlineStr">
        <is>
          <t>0                      PR 6058000U  37                 Z  69          2001</t>
        </is>
      </c>
      <c r="F3451" t="inlineStr">
        <is>
          <t>Ted Hughes : the life of a poet / Elaine Feinstein.</t>
        </is>
      </c>
      <c r="H3451" t="inlineStr">
        <is>
          <t>No</t>
        </is>
      </c>
      <c r="I3451" t="inlineStr">
        <is>
          <t>1</t>
        </is>
      </c>
      <c r="J3451" t="inlineStr">
        <is>
          <t>No</t>
        </is>
      </c>
      <c r="K3451" t="inlineStr">
        <is>
          <t>No</t>
        </is>
      </c>
      <c r="L3451" t="inlineStr">
        <is>
          <t>0</t>
        </is>
      </c>
      <c r="M3451" t="inlineStr">
        <is>
          <t>Feinstein, Elaine.</t>
        </is>
      </c>
      <c r="N3451" t="inlineStr">
        <is>
          <t>New York : Norton, 2001.</t>
        </is>
      </c>
      <c r="O3451" t="inlineStr">
        <is>
          <t>2001</t>
        </is>
      </c>
      <c r="P3451" t="inlineStr">
        <is>
          <t>1st American ed.</t>
        </is>
      </c>
      <c r="Q3451" t="inlineStr">
        <is>
          <t>eng</t>
        </is>
      </c>
      <c r="R3451" t="inlineStr">
        <is>
          <t>nyu</t>
        </is>
      </c>
      <c r="T3451" t="inlineStr">
        <is>
          <t xml:space="preserve">PR </t>
        </is>
      </c>
      <c r="U3451" t="n">
        <v>1</v>
      </c>
      <c r="V3451" t="n">
        <v>1</v>
      </c>
      <c r="W3451" t="inlineStr">
        <is>
          <t>2003-02-27</t>
        </is>
      </c>
      <c r="X3451" t="inlineStr">
        <is>
          <t>2003-02-27</t>
        </is>
      </c>
      <c r="Y3451" t="inlineStr">
        <is>
          <t>2003-02-27</t>
        </is>
      </c>
      <c r="Z3451" t="inlineStr">
        <is>
          <t>2003-02-27</t>
        </is>
      </c>
      <c r="AA3451" t="n">
        <v>853</v>
      </c>
      <c r="AB3451" t="n">
        <v>765</v>
      </c>
      <c r="AC3451" t="n">
        <v>869</v>
      </c>
      <c r="AD3451" t="n">
        <v>7</v>
      </c>
      <c r="AE3451" t="n">
        <v>9</v>
      </c>
      <c r="AF3451" t="n">
        <v>38</v>
      </c>
      <c r="AG3451" t="n">
        <v>41</v>
      </c>
      <c r="AH3451" t="n">
        <v>19</v>
      </c>
      <c r="AI3451" t="n">
        <v>20</v>
      </c>
      <c r="AJ3451" t="n">
        <v>8</v>
      </c>
      <c r="AK3451" t="n">
        <v>8</v>
      </c>
      <c r="AL3451" t="n">
        <v>17</v>
      </c>
      <c r="AM3451" t="n">
        <v>17</v>
      </c>
      <c r="AN3451" t="n">
        <v>4</v>
      </c>
      <c r="AO3451" t="n">
        <v>6</v>
      </c>
      <c r="AP3451" t="n">
        <v>0</v>
      </c>
      <c r="AQ3451" t="n">
        <v>0</v>
      </c>
      <c r="AR3451" t="inlineStr">
        <is>
          <t>No</t>
        </is>
      </c>
      <c r="AS3451" t="inlineStr">
        <is>
          <t>No</t>
        </is>
      </c>
      <c r="AU3451">
        <f>HYPERLINK("https://creighton-primo.hosted.exlibrisgroup.com/primo-explore/search?tab=default_tab&amp;search_scope=EVERYTHING&amp;vid=01CRU&amp;lang=en_US&amp;offset=0&amp;query=any,contains,991003999639702656","Catalog Record")</f>
        <v/>
      </c>
      <c r="AV3451">
        <f>HYPERLINK("http://www.worldcat.org/oclc/47996078","WorldCat Record")</f>
        <v/>
      </c>
      <c r="AW3451" t="inlineStr">
        <is>
          <t>9491365:eng</t>
        </is>
      </c>
      <c r="AX3451" t="inlineStr">
        <is>
          <t>47996078</t>
        </is>
      </c>
      <c r="AY3451" t="inlineStr">
        <is>
          <t>991003999639702656</t>
        </is>
      </c>
      <c r="AZ3451" t="inlineStr">
        <is>
          <t>991003999639702656</t>
        </is>
      </c>
      <c r="BA3451" t="inlineStr">
        <is>
          <t>2269566940002656</t>
        </is>
      </c>
      <c r="BB3451" t="inlineStr">
        <is>
          <t>BOOK</t>
        </is>
      </c>
      <c r="BD3451" t="inlineStr">
        <is>
          <t>9780393049671</t>
        </is>
      </c>
      <c r="BE3451" t="inlineStr">
        <is>
          <t>32285004681317</t>
        </is>
      </c>
      <c r="BF3451" t="inlineStr">
        <is>
          <t>893417095</t>
        </is>
      </c>
    </row>
    <row r="3452">
      <c r="A3452" t="inlineStr">
        <is>
          <t>No</t>
        </is>
      </c>
      <c r="B3452" t="inlineStr">
        <is>
          <t>CURAL</t>
        </is>
      </c>
      <c r="C3452" t="inlineStr">
        <is>
          <t>SHELVES</t>
        </is>
      </c>
      <c r="D3452" t="inlineStr">
        <is>
          <t>PR6058.U37 Z76 2003</t>
        </is>
      </c>
      <c r="E3452" t="inlineStr">
        <is>
          <t>0                      PR 6058000U  37                 Z  76          2003</t>
        </is>
      </c>
      <c r="F3452" t="inlineStr">
        <is>
          <t>Her husband : Hughes and Plath--a marriage / Diane Middlebrook.</t>
        </is>
      </c>
      <c r="H3452" t="inlineStr">
        <is>
          <t>No</t>
        </is>
      </c>
      <c r="I3452" t="inlineStr">
        <is>
          <t>1</t>
        </is>
      </c>
      <c r="J3452" t="inlineStr">
        <is>
          <t>No</t>
        </is>
      </c>
      <c r="K3452" t="inlineStr">
        <is>
          <t>No</t>
        </is>
      </c>
      <c r="L3452" t="inlineStr">
        <is>
          <t>0</t>
        </is>
      </c>
      <c r="M3452" t="inlineStr">
        <is>
          <t>Middlebrook, Diane Wood, 1939-2007.</t>
        </is>
      </c>
      <c r="N3452" t="inlineStr">
        <is>
          <t>New York : Viking, 2003.</t>
        </is>
      </c>
      <c r="O3452" t="inlineStr">
        <is>
          <t>2003</t>
        </is>
      </c>
      <c r="Q3452" t="inlineStr">
        <is>
          <t>eng</t>
        </is>
      </c>
      <c r="R3452" t="inlineStr">
        <is>
          <t>nyu</t>
        </is>
      </c>
      <c r="T3452" t="inlineStr">
        <is>
          <t xml:space="preserve">PR </t>
        </is>
      </c>
      <c r="U3452" t="n">
        <v>3</v>
      </c>
      <c r="V3452" t="n">
        <v>3</v>
      </c>
      <c r="W3452" t="inlineStr">
        <is>
          <t>2004-01-23</t>
        </is>
      </c>
      <c r="X3452" t="inlineStr">
        <is>
          <t>2004-01-23</t>
        </is>
      </c>
      <c r="Y3452" t="inlineStr">
        <is>
          <t>2003-11-18</t>
        </is>
      </c>
      <c r="Z3452" t="inlineStr">
        <is>
          <t>2003-11-18</t>
        </is>
      </c>
      <c r="AA3452" t="n">
        <v>1307</v>
      </c>
      <c r="AB3452" t="n">
        <v>1216</v>
      </c>
      <c r="AC3452" t="n">
        <v>1299</v>
      </c>
      <c r="AD3452" t="n">
        <v>8</v>
      </c>
      <c r="AE3452" t="n">
        <v>8</v>
      </c>
      <c r="AF3452" t="n">
        <v>36</v>
      </c>
      <c r="AG3452" t="n">
        <v>38</v>
      </c>
      <c r="AH3452" t="n">
        <v>17</v>
      </c>
      <c r="AI3452" t="n">
        <v>19</v>
      </c>
      <c r="AJ3452" t="n">
        <v>7</v>
      </c>
      <c r="AK3452" t="n">
        <v>7</v>
      </c>
      <c r="AL3452" t="n">
        <v>16</v>
      </c>
      <c r="AM3452" t="n">
        <v>16</v>
      </c>
      <c r="AN3452" t="n">
        <v>5</v>
      </c>
      <c r="AO3452" t="n">
        <v>5</v>
      </c>
      <c r="AP3452" t="n">
        <v>0</v>
      </c>
      <c r="AQ3452" t="n">
        <v>0</v>
      </c>
      <c r="AR3452" t="inlineStr">
        <is>
          <t>No</t>
        </is>
      </c>
      <c r="AS3452" t="inlineStr">
        <is>
          <t>Yes</t>
        </is>
      </c>
      <c r="AT3452">
        <f>HYPERLINK("http://catalog.hathitrust.org/Record/004345615","HathiTrust Record")</f>
        <v/>
      </c>
      <c r="AU3452">
        <f>HYPERLINK("https://creighton-primo.hosted.exlibrisgroup.com/primo-explore/search?tab=default_tab&amp;search_scope=EVERYTHING&amp;vid=01CRU&amp;lang=en_US&amp;offset=0&amp;query=any,contains,991004171659702656","Catalog Record")</f>
        <v/>
      </c>
      <c r="AV3452">
        <f>HYPERLINK("http://www.worldcat.org/oclc/52377628","WorldCat Record")</f>
        <v/>
      </c>
      <c r="AW3452" t="inlineStr">
        <is>
          <t>196067211:eng</t>
        </is>
      </c>
      <c r="AX3452" t="inlineStr">
        <is>
          <t>52377628</t>
        </is>
      </c>
      <c r="AY3452" t="inlineStr">
        <is>
          <t>991004171659702656</t>
        </is>
      </c>
      <c r="AZ3452" t="inlineStr">
        <is>
          <t>991004171659702656</t>
        </is>
      </c>
      <c r="BA3452" t="inlineStr">
        <is>
          <t>2271229920002656</t>
        </is>
      </c>
      <c r="BB3452" t="inlineStr">
        <is>
          <t>BOOK</t>
        </is>
      </c>
      <c r="BD3452" t="inlineStr">
        <is>
          <t>9780670031870</t>
        </is>
      </c>
      <c r="BE3452" t="inlineStr">
        <is>
          <t>32285004799234</t>
        </is>
      </c>
      <c r="BF3452" t="inlineStr">
        <is>
          <t>893500211</t>
        </is>
      </c>
    </row>
    <row r="3453">
      <c r="A3453" t="inlineStr">
        <is>
          <t>No</t>
        </is>
      </c>
      <c r="B3453" t="inlineStr">
        <is>
          <t>CURAL</t>
        </is>
      </c>
      <c r="C3453" t="inlineStr">
        <is>
          <t>SHELVES</t>
        </is>
      </c>
      <c r="D3453" t="inlineStr">
        <is>
          <t>PR6058.U37 Z85 1989</t>
        </is>
      </c>
      <c r="E3453" t="inlineStr">
        <is>
          <t>0                      PR 6058000U  37                 Z  85          1989</t>
        </is>
      </c>
      <c r="F3453" t="inlineStr">
        <is>
          <t>Ted Hughes as shepherd of being / Craig Robinson.</t>
        </is>
      </c>
      <c r="H3453" t="inlineStr">
        <is>
          <t>No</t>
        </is>
      </c>
      <c r="I3453" t="inlineStr">
        <is>
          <t>1</t>
        </is>
      </c>
      <c r="J3453" t="inlineStr">
        <is>
          <t>No</t>
        </is>
      </c>
      <c r="K3453" t="inlineStr">
        <is>
          <t>No</t>
        </is>
      </c>
      <c r="L3453" t="inlineStr">
        <is>
          <t>0</t>
        </is>
      </c>
      <c r="M3453" t="inlineStr">
        <is>
          <t>Robinson, Craig, 1954-</t>
        </is>
      </c>
      <c r="N3453" t="inlineStr">
        <is>
          <t>New York : St. Martin's Press, 1989.</t>
        </is>
      </c>
      <c r="O3453" t="inlineStr">
        <is>
          <t>1989</t>
        </is>
      </c>
      <c r="Q3453" t="inlineStr">
        <is>
          <t>eng</t>
        </is>
      </c>
      <c r="R3453" t="inlineStr">
        <is>
          <t>nyu</t>
        </is>
      </c>
      <c r="T3453" t="inlineStr">
        <is>
          <t xml:space="preserve">PR </t>
        </is>
      </c>
      <c r="U3453" t="n">
        <v>3</v>
      </c>
      <c r="V3453" t="n">
        <v>3</v>
      </c>
      <c r="W3453" t="inlineStr">
        <is>
          <t>2001-03-03</t>
        </is>
      </c>
      <c r="X3453" t="inlineStr">
        <is>
          <t>2001-03-03</t>
        </is>
      </c>
      <c r="Y3453" t="inlineStr">
        <is>
          <t>1990-03-12</t>
        </is>
      </c>
      <c r="Z3453" t="inlineStr">
        <is>
          <t>1990-03-12</t>
        </is>
      </c>
      <c r="AA3453" t="n">
        <v>258</v>
      </c>
      <c r="AB3453" t="n">
        <v>233</v>
      </c>
      <c r="AC3453" t="n">
        <v>292</v>
      </c>
      <c r="AD3453" t="n">
        <v>2</v>
      </c>
      <c r="AE3453" t="n">
        <v>2</v>
      </c>
      <c r="AF3453" t="n">
        <v>16</v>
      </c>
      <c r="AG3453" t="n">
        <v>18</v>
      </c>
      <c r="AH3453" t="n">
        <v>5</v>
      </c>
      <c r="AI3453" t="n">
        <v>6</v>
      </c>
      <c r="AJ3453" t="n">
        <v>5</v>
      </c>
      <c r="AK3453" t="n">
        <v>6</v>
      </c>
      <c r="AL3453" t="n">
        <v>10</v>
      </c>
      <c r="AM3453" t="n">
        <v>12</v>
      </c>
      <c r="AN3453" t="n">
        <v>1</v>
      </c>
      <c r="AO3453" t="n">
        <v>1</v>
      </c>
      <c r="AP3453" t="n">
        <v>0</v>
      </c>
      <c r="AQ3453" t="n">
        <v>0</v>
      </c>
      <c r="AR3453" t="inlineStr">
        <is>
          <t>No</t>
        </is>
      </c>
      <c r="AS3453" t="inlineStr">
        <is>
          <t>No</t>
        </is>
      </c>
      <c r="AU3453">
        <f>HYPERLINK("https://creighton-primo.hosted.exlibrisgroup.com/primo-explore/search?tab=default_tab&amp;search_scope=EVERYTHING&amp;vid=01CRU&amp;lang=en_US&amp;offset=0&amp;query=any,contains,991001481769702656","Catalog Record")</f>
        <v/>
      </c>
      <c r="AV3453">
        <f>HYPERLINK("http://www.worldcat.org/oclc/19626926","WorldCat Record")</f>
        <v/>
      </c>
      <c r="AW3453" t="inlineStr">
        <is>
          <t>138648646:eng</t>
        </is>
      </c>
      <c r="AX3453" t="inlineStr">
        <is>
          <t>19626926</t>
        </is>
      </c>
      <c r="AY3453" t="inlineStr">
        <is>
          <t>991001481769702656</t>
        </is>
      </c>
      <c r="AZ3453" t="inlineStr">
        <is>
          <t>991001481769702656</t>
        </is>
      </c>
      <c r="BA3453" t="inlineStr">
        <is>
          <t>2264497400002656</t>
        </is>
      </c>
      <c r="BB3453" t="inlineStr">
        <is>
          <t>BOOK</t>
        </is>
      </c>
      <c r="BD3453" t="inlineStr">
        <is>
          <t>9780312032029</t>
        </is>
      </c>
      <c r="BE3453" t="inlineStr">
        <is>
          <t>32285000044759</t>
        </is>
      </c>
      <c r="BF3453" t="inlineStr">
        <is>
          <t>893885311</t>
        </is>
      </c>
    </row>
    <row r="3454">
      <c r="A3454" t="inlineStr">
        <is>
          <t>No</t>
        </is>
      </c>
      <c r="B3454" t="inlineStr">
        <is>
          <t>CURAL</t>
        </is>
      </c>
      <c r="C3454" t="inlineStr">
        <is>
          <t>SHELVES</t>
        </is>
      </c>
      <c r="D3454" t="inlineStr">
        <is>
          <t>PR6058.U37 Z94 1985</t>
        </is>
      </c>
      <c r="E3454" t="inlineStr">
        <is>
          <t>0                      PR 6058000U  37                 Z  94          1985</t>
        </is>
      </c>
      <c r="F3454" t="inlineStr">
        <is>
          <t>Ted Hughes / Thomas West.</t>
        </is>
      </c>
      <c r="H3454" t="inlineStr">
        <is>
          <t>No</t>
        </is>
      </c>
      <c r="I3454" t="inlineStr">
        <is>
          <t>1</t>
        </is>
      </c>
      <c r="J3454" t="inlineStr">
        <is>
          <t>No</t>
        </is>
      </c>
      <c r="K3454" t="inlineStr">
        <is>
          <t>No</t>
        </is>
      </c>
      <c r="L3454" t="inlineStr">
        <is>
          <t>0</t>
        </is>
      </c>
      <c r="M3454" t="inlineStr">
        <is>
          <t>West, Thomas, 1948-</t>
        </is>
      </c>
      <c r="N3454" t="inlineStr">
        <is>
          <t>London ; New York : Methuen, 1985.</t>
        </is>
      </c>
      <c r="O3454" t="inlineStr">
        <is>
          <t>1985</t>
        </is>
      </c>
      <c r="Q3454" t="inlineStr">
        <is>
          <t>eng</t>
        </is>
      </c>
      <c r="R3454" t="inlineStr">
        <is>
          <t>enk</t>
        </is>
      </c>
      <c r="S3454" t="inlineStr">
        <is>
          <t>Contemporary writers</t>
        </is>
      </c>
      <c r="T3454" t="inlineStr">
        <is>
          <t xml:space="preserve">PR </t>
        </is>
      </c>
      <c r="U3454" t="n">
        <v>3</v>
      </c>
      <c r="V3454" t="n">
        <v>3</v>
      </c>
      <c r="W3454" t="inlineStr">
        <is>
          <t>1993-09-26</t>
        </is>
      </c>
      <c r="X3454" t="inlineStr">
        <is>
          <t>1993-09-26</t>
        </is>
      </c>
      <c r="Y3454" t="inlineStr">
        <is>
          <t>1992-07-27</t>
        </is>
      </c>
      <c r="Z3454" t="inlineStr">
        <is>
          <t>1992-07-27</t>
        </is>
      </c>
      <c r="AA3454" t="n">
        <v>625</v>
      </c>
      <c r="AB3454" t="n">
        <v>420</v>
      </c>
      <c r="AC3454" t="n">
        <v>427</v>
      </c>
      <c r="AD3454" t="n">
        <v>4</v>
      </c>
      <c r="AE3454" t="n">
        <v>4</v>
      </c>
      <c r="AF3454" t="n">
        <v>29</v>
      </c>
      <c r="AG3454" t="n">
        <v>29</v>
      </c>
      <c r="AH3454" t="n">
        <v>13</v>
      </c>
      <c r="AI3454" t="n">
        <v>13</v>
      </c>
      <c r="AJ3454" t="n">
        <v>8</v>
      </c>
      <c r="AK3454" t="n">
        <v>8</v>
      </c>
      <c r="AL3454" t="n">
        <v>15</v>
      </c>
      <c r="AM3454" t="n">
        <v>15</v>
      </c>
      <c r="AN3454" t="n">
        <v>3</v>
      </c>
      <c r="AO3454" t="n">
        <v>3</v>
      </c>
      <c r="AP3454" t="n">
        <v>0</v>
      </c>
      <c r="AQ3454" t="n">
        <v>0</v>
      </c>
      <c r="AR3454" t="inlineStr">
        <is>
          <t>No</t>
        </is>
      </c>
      <c r="AS3454" t="inlineStr">
        <is>
          <t>Yes</t>
        </is>
      </c>
      <c r="AT3454">
        <f>HYPERLINK("http://catalog.hathitrust.org/Record/000661930","HathiTrust Record")</f>
        <v/>
      </c>
      <c r="AU3454">
        <f>HYPERLINK("https://creighton-primo.hosted.exlibrisgroup.com/primo-explore/search?tab=default_tab&amp;search_scope=EVERYTHING&amp;vid=01CRU&amp;lang=en_US&amp;offset=0&amp;query=any,contains,991000642429702656","Catalog Record")</f>
        <v/>
      </c>
      <c r="AV3454">
        <f>HYPERLINK("http://www.worldcat.org/oclc/12106991","WorldCat Record")</f>
        <v/>
      </c>
      <c r="AW3454" t="inlineStr">
        <is>
          <t>349124523:eng</t>
        </is>
      </c>
      <c r="AX3454" t="inlineStr">
        <is>
          <t>12106991</t>
        </is>
      </c>
      <c r="AY3454" t="inlineStr">
        <is>
          <t>991000642429702656</t>
        </is>
      </c>
      <c r="AZ3454" t="inlineStr">
        <is>
          <t>991000642429702656</t>
        </is>
      </c>
      <c r="BA3454" t="inlineStr">
        <is>
          <t>2267902050002656</t>
        </is>
      </c>
      <c r="BB3454" t="inlineStr">
        <is>
          <t>BOOK</t>
        </is>
      </c>
      <c r="BD3454" t="inlineStr">
        <is>
          <t>9780416354003</t>
        </is>
      </c>
      <c r="BE3454" t="inlineStr">
        <is>
          <t>32285001207850</t>
        </is>
      </c>
      <c r="BF3454" t="inlineStr">
        <is>
          <t>893696012</t>
        </is>
      </c>
    </row>
    <row r="3455">
      <c r="A3455" t="inlineStr">
        <is>
          <t>No</t>
        </is>
      </c>
      <c r="B3455" t="inlineStr">
        <is>
          <t>CURAL</t>
        </is>
      </c>
      <c r="C3455" t="inlineStr">
        <is>
          <t>SHELVES</t>
        </is>
      </c>
      <c r="D3455" t="inlineStr">
        <is>
          <t>PR6068.U757 Z598 1999</t>
        </is>
      </c>
      <c r="E3455" t="inlineStr">
        <is>
          <t>0                      PR 6068000U  757                Z  598         1999</t>
        </is>
      </c>
      <c r="F3455" t="inlineStr">
        <is>
          <t>Critical essays on Salman Rushdie / edited by M. Keith Booker.</t>
        </is>
      </c>
      <c r="H3455" t="inlineStr">
        <is>
          <t>No</t>
        </is>
      </c>
      <c r="I3455" t="inlineStr">
        <is>
          <t>1</t>
        </is>
      </c>
      <c r="J3455" t="inlineStr">
        <is>
          <t>No</t>
        </is>
      </c>
      <c r="K3455" t="inlineStr">
        <is>
          <t>No</t>
        </is>
      </c>
      <c r="L3455" t="inlineStr">
        <is>
          <t>0</t>
        </is>
      </c>
      <c r="N3455" t="inlineStr">
        <is>
          <t>New York : G.K. Hall, c1999.</t>
        </is>
      </c>
      <c r="O3455" t="inlineStr">
        <is>
          <t>1999</t>
        </is>
      </c>
      <c r="Q3455" t="inlineStr">
        <is>
          <t>eng</t>
        </is>
      </c>
      <c r="R3455" t="inlineStr">
        <is>
          <t>nyu</t>
        </is>
      </c>
      <c r="S3455" t="inlineStr">
        <is>
          <t>Critical essays on British literature</t>
        </is>
      </c>
      <c r="T3455" t="inlineStr">
        <is>
          <t xml:space="preserve">PR </t>
        </is>
      </c>
      <c r="U3455" t="n">
        <v>4</v>
      </c>
      <c r="V3455" t="n">
        <v>4</v>
      </c>
      <c r="W3455" t="inlineStr">
        <is>
          <t>2009-11-24</t>
        </is>
      </c>
      <c r="X3455" t="inlineStr">
        <is>
          <t>2009-11-24</t>
        </is>
      </c>
      <c r="Y3455" t="inlineStr">
        <is>
          <t>2001-05-03</t>
        </is>
      </c>
      <c r="Z3455" t="inlineStr">
        <is>
          <t>2001-05-03</t>
        </is>
      </c>
      <c r="AA3455" t="n">
        <v>516</v>
      </c>
      <c r="AB3455" t="n">
        <v>407</v>
      </c>
      <c r="AC3455" t="n">
        <v>413</v>
      </c>
      <c r="AD3455" t="n">
        <v>5</v>
      </c>
      <c r="AE3455" t="n">
        <v>5</v>
      </c>
      <c r="AF3455" t="n">
        <v>29</v>
      </c>
      <c r="AG3455" t="n">
        <v>29</v>
      </c>
      <c r="AH3455" t="n">
        <v>13</v>
      </c>
      <c r="AI3455" t="n">
        <v>13</v>
      </c>
      <c r="AJ3455" t="n">
        <v>6</v>
      </c>
      <c r="AK3455" t="n">
        <v>6</v>
      </c>
      <c r="AL3455" t="n">
        <v>12</v>
      </c>
      <c r="AM3455" t="n">
        <v>12</v>
      </c>
      <c r="AN3455" t="n">
        <v>4</v>
      </c>
      <c r="AO3455" t="n">
        <v>4</v>
      </c>
      <c r="AP3455" t="n">
        <v>0</v>
      </c>
      <c r="AQ3455" t="n">
        <v>0</v>
      </c>
      <c r="AR3455" t="inlineStr">
        <is>
          <t>No</t>
        </is>
      </c>
      <c r="AS3455" t="inlineStr">
        <is>
          <t>Yes</t>
        </is>
      </c>
      <c r="AT3455">
        <f>HYPERLINK("http://catalog.hathitrust.org/Record/008325444","HathiTrust Record")</f>
        <v/>
      </c>
      <c r="AU3455">
        <f>HYPERLINK("https://creighton-primo.hosted.exlibrisgroup.com/primo-explore/search?tab=default_tab&amp;search_scope=EVERYTHING&amp;vid=01CRU&amp;lang=en_US&amp;offset=0&amp;query=any,contains,991003504939702656","Catalog Record")</f>
        <v/>
      </c>
      <c r="AV3455">
        <f>HYPERLINK("http://www.worldcat.org/oclc/40996071","WorldCat Record")</f>
        <v/>
      </c>
      <c r="AW3455" t="inlineStr">
        <is>
          <t>26170773:eng</t>
        </is>
      </c>
      <c r="AX3455" t="inlineStr">
        <is>
          <t>40996071</t>
        </is>
      </c>
      <c r="AY3455" t="inlineStr">
        <is>
          <t>991003504939702656</t>
        </is>
      </c>
      <c r="AZ3455" t="inlineStr">
        <is>
          <t>991003504939702656</t>
        </is>
      </c>
      <c r="BA3455" t="inlineStr">
        <is>
          <t>2265168070002656</t>
        </is>
      </c>
      <c r="BB3455" t="inlineStr">
        <is>
          <t>BOOK</t>
        </is>
      </c>
      <c r="BD3455" t="inlineStr">
        <is>
          <t>9780783804293</t>
        </is>
      </c>
      <c r="BE3455" t="inlineStr">
        <is>
          <t>32285004316336</t>
        </is>
      </c>
      <c r="BF3455" t="inlineStr">
        <is>
          <t>893705291</t>
        </is>
      </c>
    </row>
    <row r="3456">
      <c r="A3456" t="inlineStr">
        <is>
          <t>No</t>
        </is>
      </c>
      <c r="B3456" t="inlineStr">
        <is>
          <t>CURAL</t>
        </is>
      </c>
      <c r="C3456" t="inlineStr">
        <is>
          <t>SHELVES</t>
        </is>
      </c>
      <c r="D3456" t="inlineStr">
        <is>
          <t>PR6068.U757 Z63 1992</t>
        </is>
      </c>
      <c r="E3456" t="inlineStr">
        <is>
          <t>0                      PR 6068000U  757                Z  63          1992</t>
        </is>
      </c>
      <c r="F3456" t="inlineStr">
        <is>
          <t>Salman Rushdie / by James Harrison.</t>
        </is>
      </c>
      <c r="H3456" t="inlineStr">
        <is>
          <t>No</t>
        </is>
      </c>
      <c r="I3456" t="inlineStr">
        <is>
          <t>1</t>
        </is>
      </c>
      <c r="J3456" t="inlineStr">
        <is>
          <t>No</t>
        </is>
      </c>
      <c r="K3456" t="inlineStr">
        <is>
          <t>No</t>
        </is>
      </c>
      <c r="L3456" t="inlineStr">
        <is>
          <t>0</t>
        </is>
      </c>
      <c r="M3456" t="inlineStr">
        <is>
          <t>Harrison, James, 1927-</t>
        </is>
      </c>
      <c r="N3456" t="inlineStr">
        <is>
          <t>New York : Twayne Publishers ; Toronto : Maxwell Macmillan Canada ; New York : Maxwell Macmillan International, c1992.</t>
        </is>
      </c>
      <c r="O3456" t="inlineStr">
        <is>
          <t>1992</t>
        </is>
      </c>
      <c r="Q3456" t="inlineStr">
        <is>
          <t>eng</t>
        </is>
      </c>
      <c r="R3456" t="inlineStr">
        <is>
          <t>nyu</t>
        </is>
      </c>
      <c r="S3456" t="inlineStr">
        <is>
          <t>Twayne's English authors series ; TEAS 488</t>
        </is>
      </c>
      <c r="T3456" t="inlineStr">
        <is>
          <t xml:space="preserve">PR </t>
        </is>
      </c>
      <c r="U3456" t="n">
        <v>9</v>
      </c>
      <c r="V3456" t="n">
        <v>9</v>
      </c>
      <c r="W3456" t="inlineStr">
        <is>
          <t>2009-11-24</t>
        </is>
      </c>
      <c r="X3456" t="inlineStr">
        <is>
          <t>2009-11-24</t>
        </is>
      </c>
      <c r="Y3456" t="inlineStr">
        <is>
          <t>1992-02-21</t>
        </is>
      </c>
      <c r="Z3456" t="inlineStr">
        <is>
          <t>1992-02-21</t>
        </is>
      </c>
      <c r="AA3456" t="n">
        <v>750</v>
      </c>
      <c r="AB3456" t="n">
        <v>637</v>
      </c>
      <c r="AC3456" t="n">
        <v>728</v>
      </c>
      <c r="AD3456" t="n">
        <v>8</v>
      </c>
      <c r="AE3456" t="n">
        <v>8</v>
      </c>
      <c r="AF3456" t="n">
        <v>26</v>
      </c>
      <c r="AG3456" t="n">
        <v>28</v>
      </c>
      <c r="AH3456" t="n">
        <v>12</v>
      </c>
      <c r="AI3456" t="n">
        <v>12</v>
      </c>
      <c r="AJ3456" t="n">
        <v>4</v>
      </c>
      <c r="AK3456" t="n">
        <v>4</v>
      </c>
      <c r="AL3456" t="n">
        <v>11</v>
      </c>
      <c r="AM3456" t="n">
        <v>13</v>
      </c>
      <c r="AN3456" t="n">
        <v>6</v>
      </c>
      <c r="AO3456" t="n">
        <v>6</v>
      </c>
      <c r="AP3456" t="n">
        <v>0</v>
      </c>
      <c r="AQ3456" t="n">
        <v>0</v>
      </c>
      <c r="AR3456" t="inlineStr">
        <is>
          <t>No</t>
        </is>
      </c>
      <c r="AS3456" t="inlineStr">
        <is>
          <t>Yes</t>
        </is>
      </c>
      <c r="AT3456">
        <f>HYPERLINK("http://catalog.hathitrust.org/Record/002528704","HathiTrust Record")</f>
        <v/>
      </c>
      <c r="AU3456">
        <f>HYPERLINK("https://creighton-primo.hosted.exlibrisgroup.com/primo-explore/search?tab=default_tab&amp;search_scope=EVERYTHING&amp;vid=01CRU&amp;lang=en_US&amp;offset=0&amp;query=any,contains,991001925659702656","Catalog Record")</f>
        <v/>
      </c>
      <c r="AV3456">
        <f>HYPERLINK("http://www.worldcat.org/oclc/24319203","WorldCat Record")</f>
        <v/>
      </c>
      <c r="AW3456" t="inlineStr">
        <is>
          <t>17679641:eng</t>
        </is>
      </c>
      <c r="AX3456" t="inlineStr">
        <is>
          <t>24319203</t>
        </is>
      </c>
      <c r="AY3456" t="inlineStr">
        <is>
          <t>991001925659702656</t>
        </is>
      </c>
      <c r="AZ3456" t="inlineStr">
        <is>
          <t>991001925659702656</t>
        </is>
      </c>
      <c r="BA3456" t="inlineStr">
        <is>
          <t>2272073920002656</t>
        </is>
      </c>
      <c r="BB3456" t="inlineStr">
        <is>
          <t>BOOK</t>
        </is>
      </c>
      <c r="BD3456" t="inlineStr">
        <is>
          <t>9780805770117</t>
        </is>
      </c>
      <c r="BE3456" t="inlineStr">
        <is>
          <t>32285000935170</t>
        </is>
      </c>
      <c r="BF3456" t="inlineStr">
        <is>
          <t>893529339</t>
        </is>
      </c>
    </row>
    <row r="3457">
      <c r="A3457" t="inlineStr">
        <is>
          <t>No</t>
        </is>
      </c>
      <c r="B3457" t="inlineStr">
        <is>
          <t>CURAL</t>
        </is>
      </c>
      <c r="C3457" t="inlineStr">
        <is>
          <t>SHELVES</t>
        </is>
      </c>
      <c r="D3457" t="inlineStr">
        <is>
          <t>PR6069.T6 Z35 1987</t>
        </is>
      </c>
      <c r="E3457" t="inlineStr">
        <is>
          <t>0                      PR 6069000T  6                  Z  35          1987</t>
        </is>
      </c>
      <c r="F3457" t="inlineStr">
        <is>
          <t>Stoppard : the playwright / Michael Billington.</t>
        </is>
      </c>
      <c r="H3457" t="inlineStr">
        <is>
          <t>No</t>
        </is>
      </c>
      <c r="I3457" t="inlineStr">
        <is>
          <t>1</t>
        </is>
      </c>
      <c r="J3457" t="inlineStr">
        <is>
          <t>No</t>
        </is>
      </c>
      <c r="K3457" t="inlineStr">
        <is>
          <t>No</t>
        </is>
      </c>
      <c r="L3457" t="inlineStr">
        <is>
          <t>0</t>
        </is>
      </c>
      <c r="M3457" t="inlineStr">
        <is>
          <t>Billington, Michael.</t>
        </is>
      </c>
      <c r="N3457" t="inlineStr">
        <is>
          <t>London : Methuen, 1987.</t>
        </is>
      </c>
      <c r="O3457" t="inlineStr">
        <is>
          <t>1987</t>
        </is>
      </c>
      <c r="Q3457" t="inlineStr">
        <is>
          <t>eng</t>
        </is>
      </c>
      <c r="R3457" t="inlineStr">
        <is>
          <t>enk</t>
        </is>
      </c>
      <c r="T3457" t="inlineStr">
        <is>
          <t xml:space="preserve">PR </t>
        </is>
      </c>
      <c r="U3457" t="n">
        <v>2</v>
      </c>
      <c r="V3457" t="n">
        <v>2</v>
      </c>
      <c r="W3457" t="inlineStr">
        <is>
          <t>2002-10-10</t>
        </is>
      </c>
      <c r="X3457" t="inlineStr">
        <is>
          <t>2002-10-10</t>
        </is>
      </c>
      <c r="Y3457" t="inlineStr">
        <is>
          <t>1991-12-10</t>
        </is>
      </c>
      <c r="Z3457" t="inlineStr">
        <is>
          <t>1991-12-10</t>
        </is>
      </c>
      <c r="AA3457" t="n">
        <v>504</v>
      </c>
      <c r="AB3457" t="n">
        <v>314</v>
      </c>
      <c r="AC3457" t="n">
        <v>322</v>
      </c>
      <c r="AD3457" t="n">
        <v>4</v>
      </c>
      <c r="AE3457" t="n">
        <v>4</v>
      </c>
      <c r="AF3457" t="n">
        <v>18</v>
      </c>
      <c r="AG3457" t="n">
        <v>18</v>
      </c>
      <c r="AH3457" t="n">
        <v>8</v>
      </c>
      <c r="AI3457" t="n">
        <v>8</v>
      </c>
      <c r="AJ3457" t="n">
        <v>4</v>
      </c>
      <c r="AK3457" t="n">
        <v>4</v>
      </c>
      <c r="AL3457" t="n">
        <v>8</v>
      </c>
      <c r="AM3457" t="n">
        <v>8</v>
      </c>
      <c r="AN3457" t="n">
        <v>3</v>
      </c>
      <c r="AO3457" t="n">
        <v>3</v>
      </c>
      <c r="AP3457" t="n">
        <v>0</v>
      </c>
      <c r="AQ3457" t="n">
        <v>0</v>
      </c>
      <c r="AR3457" t="inlineStr">
        <is>
          <t>No</t>
        </is>
      </c>
      <c r="AS3457" t="inlineStr">
        <is>
          <t>Yes</t>
        </is>
      </c>
      <c r="AT3457">
        <f>HYPERLINK("http://catalog.hathitrust.org/Record/000834562","HathiTrust Record")</f>
        <v/>
      </c>
      <c r="AU3457">
        <f>HYPERLINK("https://creighton-primo.hosted.exlibrisgroup.com/primo-explore/search?tab=default_tab&amp;search_scope=EVERYTHING&amp;vid=01CRU&amp;lang=en_US&amp;offset=0&amp;query=any,contains,991000988769702656","Catalog Record")</f>
        <v/>
      </c>
      <c r="AV3457">
        <f>HYPERLINK("http://www.worldcat.org/oclc/17649994","WorldCat Record")</f>
        <v/>
      </c>
      <c r="AW3457" t="inlineStr">
        <is>
          <t>16249183:eng</t>
        </is>
      </c>
      <c r="AX3457" t="inlineStr">
        <is>
          <t>17649994</t>
        </is>
      </c>
      <c r="AY3457" t="inlineStr">
        <is>
          <t>991000988769702656</t>
        </is>
      </c>
      <c r="AZ3457" t="inlineStr">
        <is>
          <t>991000988769702656</t>
        </is>
      </c>
      <c r="BA3457" t="inlineStr">
        <is>
          <t>2255314090002656</t>
        </is>
      </c>
      <c r="BB3457" t="inlineStr">
        <is>
          <t>BOOK</t>
        </is>
      </c>
      <c r="BD3457" t="inlineStr">
        <is>
          <t>9780413458605</t>
        </is>
      </c>
      <c r="BE3457" t="inlineStr">
        <is>
          <t>32285000886712</t>
        </is>
      </c>
      <c r="BF3457" t="inlineStr">
        <is>
          <t>893791065</t>
        </is>
      </c>
    </row>
    <row r="3458">
      <c r="A3458" t="inlineStr">
        <is>
          <t>No</t>
        </is>
      </c>
      <c r="B3458" t="inlineStr">
        <is>
          <t>CURAL</t>
        </is>
      </c>
      <c r="C3458" t="inlineStr">
        <is>
          <t>SHELVES</t>
        </is>
      </c>
      <c r="D3458" t="inlineStr">
        <is>
          <t>PR6069.T6 Z6</t>
        </is>
      </c>
      <c r="E3458" t="inlineStr">
        <is>
          <t>0                      PR 6069000T  6                  Z  6</t>
        </is>
      </c>
      <c r="F3458" t="inlineStr">
        <is>
          <t>Beyond absurdity : the plays of Tom Stoppard / Victor L. Cahn.</t>
        </is>
      </c>
      <c r="H3458" t="inlineStr">
        <is>
          <t>No</t>
        </is>
      </c>
      <c r="I3458" t="inlineStr">
        <is>
          <t>1</t>
        </is>
      </c>
      <c r="J3458" t="inlineStr">
        <is>
          <t>No</t>
        </is>
      </c>
      <c r="K3458" t="inlineStr">
        <is>
          <t>No</t>
        </is>
      </c>
      <c r="L3458" t="inlineStr">
        <is>
          <t>0</t>
        </is>
      </c>
      <c r="M3458" t="inlineStr">
        <is>
          <t>Cahn, Victor L.</t>
        </is>
      </c>
      <c r="N3458" t="inlineStr">
        <is>
          <t>Rutherford [N.J.] : Fairleigh Dickinson University Press, c1979.</t>
        </is>
      </c>
      <c r="O3458" t="inlineStr">
        <is>
          <t>1979</t>
        </is>
      </c>
      <c r="Q3458" t="inlineStr">
        <is>
          <t>eng</t>
        </is>
      </c>
      <c r="R3458" t="inlineStr">
        <is>
          <t>nju</t>
        </is>
      </c>
      <c r="T3458" t="inlineStr">
        <is>
          <t xml:space="preserve">PR </t>
        </is>
      </c>
      <c r="U3458" t="n">
        <v>4</v>
      </c>
      <c r="V3458" t="n">
        <v>4</v>
      </c>
      <c r="W3458" t="inlineStr">
        <is>
          <t>2002-12-02</t>
        </is>
      </c>
      <c r="X3458" t="inlineStr">
        <is>
          <t>2002-12-02</t>
        </is>
      </c>
      <c r="Y3458" t="inlineStr">
        <is>
          <t>1992-08-13</t>
        </is>
      </c>
      <c r="Z3458" t="inlineStr">
        <is>
          <t>1992-08-13</t>
        </is>
      </c>
      <c r="AA3458" t="n">
        <v>749</v>
      </c>
      <c r="AB3458" t="n">
        <v>628</v>
      </c>
      <c r="AC3458" t="n">
        <v>636</v>
      </c>
      <c r="AD3458" t="n">
        <v>4</v>
      </c>
      <c r="AE3458" t="n">
        <v>4</v>
      </c>
      <c r="AF3458" t="n">
        <v>27</v>
      </c>
      <c r="AG3458" t="n">
        <v>27</v>
      </c>
      <c r="AH3458" t="n">
        <v>13</v>
      </c>
      <c r="AI3458" t="n">
        <v>13</v>
      </c>
      <c r="AJ3458" t="n">
        <v>6</v>
      </c>
      <c r="AK3458" t="n">
        <v>6</v>
      </c>
      <c r="AL3458" t="n">
        <v>12</v>
      </c>
      <c r="AM3458" t="n">
        <v>12</v>
      </c>
      <c r="AN3458" t="n">
        <v>3</v>
      </c>
      <c r="AO3458" t="n">
        <v>3</v>
      </c>
      <c r="AP3458" t="n">
        <v>0</v>
      </c>
      <c r="AQ3458" t="n">
        <v>0</v>
      </c>
      <c r="AR3458" t="inlineStr">
        <is>
          <t>No</t>
        </is>
      </c>
      <c r="AS3458" t="inlineStr">
        <is>
          <t>Yes</t>
        </is>
      </c>
      <c r="AT3458">
        <f>HYPERLINK("http://catalog.hathitrust.org/Record/000299059","HathiTrust Record")</f>
        <v/>
      </c>
      <c r="AU3458">
        <f>HYPERLINK("https://creighton-primo.hosted.exlibrisgroup.com/primo-explore/search?tab=default_tab&amp;search_scope=EVERYTHING&amp;vid=01CRU&amp;lang=en_US&amp;offset=0&amp;query=any,contains,991004730789702656","Catalog Record")</f>
        <v/>
      </c>
      <c r="AV3458">
        <f>HYPERLINK("http://www.worldcat.org/oclc/4834620","WorldCat Record")</f>
        <v/>
      </c>
      <c r="AW3458" t="inlineStr">
        <is>
          <t>723497:eng</t>
        </is>
      </c>
      <c r="AX3458" t="inlineStr">
        <is>
          <t>4834620</t>
        </is>
      </c>
      <c r="AY3458" t="inlineStr">
        <is>
          <t>991004730789702656</t>
        </is>
      </c>
      <c r="AZ3458" t="inlineStr">
        <is>
          <t>991004730789702656</t>
        </is>
      </c>
      <c r="BA3458" t="inlineStr">
        <is>
          <t>2267765450002656</t>
        </is>
      </c>
      <c r="BB3458" t="inlineStr">
        <is>
          <t>BOOK</t>
        </is>
      </c>
      <c r="BD3458" t="inlineStr">
        <is>
          <t>9780838623664</t>
        </is>
      </c>
      <c r="BE3458" t="inlineStr">
        <is>
          <t>32285001244390</t>
        </is>
      </c>
      <c r="BF3458" t="inlineStr">
        <is>
          <t>893810667</t>
        </is>
      </c>
    </row>
    <row r="3459">
      <c r="A3459" t="inlineStr">
        <is>
          <t>No</t>
        </is>
      </c>
      <c r="B3459" t="inlineStr">
        <is>
          <t>CURAL</t>
        </is>
      </c>
      <c r="C3459" t="inlineStr">
        <is>
          <t>SHELVES</t>
        </is>
      </c>
      <c r="D3459" t="inlineStr">
        <is>
          <t>PR6069.T6 Z637</t>
        </is>
      </c>
      <c r="E3459" t="inlineStr">
        <is>
          <t>0                      PR 6069000T  6                  Z  637</t>
        </is>
      </c>
      <c r="F3459" t="inlineStr">
        <is>
          <t>The Stoppard plays / by Lucina Paquet Gabbard.</t>
        </is>
      </c>
      <c r="H3459" t="inlineStr">
        <is>
          <t>No</t>
        </is>
      </c>
      <c r="I3459" t="inlineStr">
        <is>
          <t>1</t>
        </is>
      </c>
      <c r="J3459" t="inlineStr">
        <is>
          <t>No</t>
        </is>
      </c>
      <c r="K3459" t="inlineStr">
        <is>
          <t>No</t>
        </is>
      </c>
      <c r="L3459" t="inlineStr">
        <is>
          <t>0</t>
        </is>
      </c>
      <c r="M3459" t="inlineStr">
        <is>
          <t>Gabbard, Lucina Paquet.</t>
        </is>
      </c>
      <c r="N3459" t="inlineStr">
        <is>
          <t>Troy, New York : Whitson Publishing Company, 1982.</t>
        </is>
      </c>
      <c r="O3459" t="inlineStr">
        <is>
          <t>1982</t>
        </is>
      </c>
      <c r="Q3459" t="inlineStr">
        <is>
          <t>eng</t>
        </is>
      </c>
      <c r="R3459" t="inlineStr">
        <is>
          <t>nyu</t>
        </is>
      </c>
      <c r="T3459" t="inlineStr">
        <is>
          <t xml:space="preserve">PR </t>
        </is>
      </c>
      <c r="U3459" t="n">
        <v>3</v>
      </c>
      <c r="V3459" t="n">
        <v>3</v>
      </c>
      <c r="W3459" t="inlineStr">
        <is>
          <t>2002-10-10</t>
        </is>
      </c>
      <c r="X3459" t="inlineStr">
        <is>
          <t>2002-10-10</t>
        </is>
      </c>
      <c r="Y3459" t="inlineStr">
        <is>
          <t>1991-12-10</t>
        </is>
      </c>
      <c r="Z3459" t="inlineStr">
        <is>
          <t>1991-12-10</t>
        </is>
      </c>
      <c r="AA3459" t="n">
        <v>351</v>
      </c>
      <c r="AB3459" t="n">
        <v>283</v>
      </c>
      <c r="AC3459" t="n">
        <v>285</v>
      </c>
      <c r="AD3459" t="n">
        <v>3</v>
      </c>
      <c r="AE3459" t="n">
        <v>3</v>
      </c>
      <c r="AF3459" t="n">
        <v>15</v>
      </c>
      <c r="AG3459" t="n">
        <v>15</v>
      </c>
      <c r="AH3459" t="n">
        <v>5</v>
      </c>
      <c r="AI3459" t="n">
        <v>5</v>
      </c>
      <c r="AJ3459" t="n">
        <v>3</v>
      </c>
      <c r="AK3459" t="n">
        <v>3</v>
      </c>
      <c r="AL3459" t="n">
        <v>9</v>
      </c>
      <c r="AM3459" t="n">
        <v>9</v>
      </c>
      <c r="AN3459" t="n">
        <v>2</v>
      </c>
      <c r="AO3459" t="n">
        <v>2</v>
      </c>
      <c r="AP3459" t="n">
        <v>0</v>
      </c>
      <c r="AQ3459" t="n">
        <v>0</v>
      </c>
      <c r="AR3459" t="inlineStr">
        <is>
          <t>No</t>
        </is>
      </c>
      <c r="AS3459" t="inlineStr">
        <is>
          <t>Yes</t>
        </is>
      </c>
      <c r="AT3459">
        <f>HYPERLINK("http://catalog.hathitrust.org/Record/000306589","HathiTrust Record")</f>
        <v/>
      </c>
      <c r="AU3459">
        <f>HYPERLINK("https://creighton-primo.hosted.exlibrisgroup.com/primo-explore/search?tab=default_tab&amp;search_scope=EVERYTHING&amp;vid=01CRU&amp;lang=en_US&amp;offset=0&amp;query=any,contains,991005210189702656","Catalog Record")</f>
        <v/>
      </c>
      <c r="AV3459">
        <f>HYPERLINK("http://www.worldcat.org/oclc/8161150","WorldCat Record")</f>
        <v/>
      </c>
      <c r="AW3459" t="inlineStr">
        <is>
          <t>732670:eng</t>
        </is>
      </c>
      <c r="AX3459" t="inlineStr">
        <is>
          <t>8161150</t>
        </is>
      </c>
      <c r="AY3459" t="inlineStr">
        <is>
          <t>991005210189702656</t>
        </is>
      </c>
      <c r="AZ3459" t="inlineStr">
        <is>
          <t>991005210189702656</t>
        </is>
      </c>
      <c r="BA3459" t="inlineStr">
        <is>
          <t>2258006020002656</t>
        </is>
      </c>
      <c r="BB3459" t="inlineStr">
        <is>
          <t>BOOK</t>
        </is>
      </c>
      <c r="BD3459" t="inlineStr">
        <is>
          <t>9780878752331</t>
        </is>
      </c>
      <c r="BE3459" t="inlineStr">
        <is>
          <t>32285000886720</t>
        </is>
      </c>
      <c r="BF3459" t="inlineStr">
        <is>
          <t>893431050</t>
        </is>
      </c>
    </row>
    <row r="3460">
      <c r="A3460" t="inlineStr">
        <is>
          <t>No</t>
        </is>
      </c>
      <c r="B3460" t="inlineStr">
        <is>
          <t>CURAL</t>
        </is>
      </c>
      <c r="C3460" t="inlineStr">
        <is>
          <t>SHELVES</t>
        </is>
      </c>
      <c r="D3460" t="inlineStr">
        <is>
          <t>PR6069.T6 Z64 1990</t>
        </is>
      </c>
      <c r="E3460" t="inlineStr">
        <is>
          <t>0                      PR 6069000T  6                  Z  64          1990</t>
        </is>
      </c>
      <c r="F3460" t="inlineStr">
        <is>
          <t>Tom Stoppard : the moral vision of the major plays / Paul Delaney.</t>
        </is>
      </c>
      <c r="H3460" t="inlineStr">
        <is>
          <t>No</t>
        </is>
      </c>
      <c r="I3460" t="inlineStr">
        <is>
          <t>1</t>
        </is>
      </c>
      <c r="J3460" t="inlineStr">
        <is>
          <t>No</t>
        </is>
      </c>
      <c r="K3460" t="inlineStr">
        <is>
          <t>No</t>
        </is>
      </c>
      <c r="L3460" t="inlineStr">
        <is>
          <t>0</t>
        </is>
      </c>
      <c r="M3460" t="inlineStr">
        <is>
          <t>Delaney, Paul, 1948-</t>
        </is>
      </c>
      <c r="N3460" t="inlineStr">
        <is>
          <t>New York : St. Martin's Press, 1990.</t>
        </is>
      </c>
      <c r="O3460" t="inlineStr">
        <is>
          <t>1990</t>
        </is>
      </c>
      <c r="Q3460" t="inlineStr">
        <is>
          <t>eng</t>
        </is>
      </c>
      <c r="R3460" t="inlineStr">
        <is>
          <t>nyu</t>
        </is>
      </c>
      <c r="T3460" t="inlineStr">
        <is>
          <t xml:space="preserve">PR </t>
        </is>
      </c>
      <c r="U3460" t="n">
        <v>2</v>
      </c>
      <c r="V3460" t="n">
        <v>2</v>
      </c>
      <c r="W3460" t="inlineStr">
        <is>
          <t>2002-10-10</t>
        </is>
      </c>
      <c r="X3460" t="inlineStr">
        <is>
          <t>2002-10-10</t>
        </is>
      </c>
      <c r="Y3460" t="inlineStr">
        <is>
          <t>1990-05-03</t>
        </is>
      </c>
      <c r="Z3460" t="inlineStr">
        <is>
          <t>1990-05-03</t>
        </is>
      </c>
      <c r="AA3460" t="n">
        <v>400</v>
      </c>
      <c r="AB3460" t="n">
        <v>373</v>
      </c>
      <c r="AC3460" t="n">
        <v>477</v>
      </c>
      <c r="AD3460" t="n">
        <v>5</v>
      </c>
      <c r="AE3460" t="n">
        <v>7</v>
      </c>
      <c r="AF3460" t="n">
        <v>20</v>
      </c>
      <c r="AG3460" t="n">
        <v>33</v>
      </c>
      <c r="AH3460" t="n">
        <v>7</v>
      </c>
      <c r="AI3460" t="n">
        <v>13</v>
      </c>
      <c r="AJ3460" t="n">
        <v>4</v>
      </c>
      <c r="AK3460" t="n">
        <v>5</v>
      </c>
      <c r="AL3460" t="n">
        <v>11</v>
      </c>
      <c r="AM3460" t="n">
        <v>18</v>
      </c>
      <c r="AN3460" t="n">
        <v>4</v>
      </c>
      <c r="AO3460" t="n">
        <v>6</v>
      </c>
      <c r="AP3460" t="n">
        <v>0</v>
      </c>
      <c r="AQ3460" t="n">
        <v>0</v>
      </c>
      <c r="AR3460" t="inlineStr">
        <is>
          <t>No</t>
        </is>
      </c>
      <c r="AS3460" t="inlineStr">
        <is>
          <t>No</t>
        </is>
      </c>
      <c r="AU3460">
        <f>HYPERLINK("https://creighton-primo.hosted.exlibrisgroup.com/primo-explore/search?tab=default_tab&amp;search_scope=EVERYTHING&amp;vid=01CRU&amp;lang=en_US&amp;offset=0&amp;query=any,contains,991001499149702656","Catalog Record")</f>
        <v/>
      </c>
      <c r="AV3460">
        <f>HYPERLINK("http://www.worldcat.org/oclc/19778893","WorldCat Record")</f>
        <v/>
      </c>
      <c r="AW3460" t="inlineStr">
        <is>
          <t>233791994:eng</t>
        </is>
      </c>
      <c r="AX3460" t="inlineStr">
        <is>
          <t>19778893</t>
        </is>
      </c>
      <c r="AY3460" t="inlineStr">
        <is>
          <t>991001499149702656</t>
        </is>
      </c>
      <c r="AZ3460" t="inlineStr">
        <is>
          <t>991001499149702656</t>
        </is>
      </c>
      <c r="BA3460" t="inlineStr">
        <is>
          <t>2264681960002656</t>
        </is>
      </c>
      <c r="BB3460" t="inlineStr">
        <is>
          <t>BOOK</t>
        </is>
      </c>
      <c r="BD3460" t="inlineStr">
        <is>
          <t>9780312035563</t>
        </is>
      </c>
      <c r="BE3460" t="inlineStr">
        <is>
          <t>32285000118082</t>
        </is>
      </c>
      <c r="BF3460" t="inlineStr">
        <is>
          <t>893608902</t>
        </is>
      </c>
    </row>
    <row r="3461">
      <c r="A3461" t="inlineStr">
        <is>
          <t>No</t>
        </is>
      </c>
      <c r="B3461" t="inlineStr">
        <is>
          <t>CURAL</t>
        </is>
      </c>
      <c r="C3461" t="inlineStr">
        <is>
          <t>SHELVES</t>
        </is>
      </c>
      <c r="D3461" t="inlineStr">
        <is>
          <t>PR6069.T6 Z657 1988</t>
        </is>
      </c>
      <c r="E3461" t="inlineStr">
        <is>
          <t>0                      PR 6069000T  6                  Z  657         1988</t>
        </is>
      </c>
      <c r="F3461" t="inlineStr">
        <is>
          <t>Tom Stoppard : a casebook / edited by John Harty, III.</t>
        </is>
      </c>
      <c r="H3461" t="inlineStr">
        <is>
          <t>No</t>
        </is>
      </c>
      <c r="I3461" t="inlineStr">
        <is>
          <t>1</t>
        </is>
      </c>
      <c r="J3461" t="inlineStr">
        <is>
          <t>No</t>
        </is>
      </c>
      <c r="K3461" t="inlineStr">
        <is>
          <t>No</t>
        </is>
      </c>
      <c r="L3461" t="inlineStr">
        <is>
          <t>0</t>
        </is>
      </c>
      <c r="M3461" t="inlineStr">
        <is>
          <t>Harty, John, 1945-</t>
        </is>
      </c>
      <c r="N3461" t="inlineStr">
        <is>
          <t>New York : Garland, c1988.</t>
        </is>
      </c>
      <c r="O3461" t="inlineStr">
        <is>
          <t>1987</t>
        </is>
      </c>
      <c r="Q3461" t="inlineStr">
        <is>
          <t>eng</t>
        </is>
      </c>
      <c r="R3461" t="inlineStr">
        <is>
          <t>nyu</t>
        </is>
      </c>
      <c r="S3461" t="inlineStr">
        <is>
          <t>Casebooks on modern dramatists ; v. 1</t>
        </is>
      </c>
      <c r="T3461" t="inlineStr">
        <is>
          <t xml:space="preserve">PR </t>
        </is>
      </c>
      <c r="U3461" t="n">
        <v>3</v>
      </c>
      <c r="V3461" t="n">
        <v>3</v>
      </c>
      <c r="W3461" t="inlineStr">
        <is>
          <t>2002-10-10</t>
        </is>
      </c>
      <c r="X3461" t="inlineStr">
        <is>
          <t>2002-10-10</t>
        </is>
      </c>
      <c r="Y3461" t="inlineStr">
        <is>
          <t>1991-12-10</t>
        </is>
      </c>
      <c r="Z3461" t="inlineStr">
        <is>
          <t>1991-12-10</t>
        </is>
      </c>
      <c r="AA3461" t="n">
        <v>527</v>
      </c>
      <c r="AB3461" t="n">
        <v>423</v>
      </c>
      <c r="AC3461" t="n">
        <v>433</v>
      </c>
      <c r="AD3461" t="n">
        <v>3</v>
      </c>
      <c r="AE3461" t="n">
        <v>3</v>
      </c>
      <c r="AF3461" t="n">
        <v>23</v>
      </c>
      <c r="AG3461" t="n">
        <v>23</v>
      </c>
      <c r="AH3461" t="n">
        <v>10</v>
      </c>
      <c r="AI3461" t="n">
        <v>10</v>
      </c>
      <c r="AJ3461" t="n">
        <v>6</v>
      </c>
      <c r="AK3461" t="n">
        <v>6</v>
      </c>
      <c r="AL3461" t="n">
        <v>10</v>
      </c>
      <c r="AM3461" t="n">
        <v>10</v>
      </c>
      <c r="AN3461" t="n">
        <v>2</v>
      </c>
      <c r="AO3461" t="n">
        <v>2</v>
      </c>
      <c r="AP3461" t="n">
        <v>0</v>
      </c>
      <c r="AQ3461" t="n">
        <v>0</v>
      </c>
      <c r="AR3461" t="inlineStr">
        <is>
          <t>No</t>
        </is>
      </c>
      <c r="AS3461" t="inlineStr">
        <is>
          <t>Yes</t>
        </is>
      </c>
      <c r="AT3461">
        <f>HYPERLINK("http://catalog.hathitrust.org/Record/000907610","HathiTrust Record")</f>
        <v/>
      </c>
      <c r="AU3461">
        <f>HYPERLINK("https://creighton-primo.hosted.exlibrisgroup.com/primo-explore/search?tab=default_tab&amp;search_scope=EVERYTHING&amp;vid=01CRU&amp;lang=en_US&amp;offset=0&amp;query=any,contains,991001135149702656","Catalog Record")</f>
        <v/>
      </c>
      <c r="AV3461">
        <f>HYPERLINK("http://www.worldcat.org/oclc/16709161","WorldCat Record")</f>
        <v/>
      </c>
      <c r="AW3461" t="inlineStr">
        <is>
          <t>1862518627:eng</t>
        </is>
      </c>
      <c r="AX3461" t="inlineStr">
        <is>
          <t>16709161</t>
        </is>
      </c>
      <c r="AY3461" t="inlineStr">
        <is>
          <t>991001135149702656</t>
        </is>
      </c>
      <c r="AZ3461" t="inlineStr">
        <is>
          <t>991001135149702656</t>
        </is>
      </c>
      <c r="BA3461" t="inlineStr">
        <is>
          <t>2259586200002656</t>
        </is>
      </c>
      <c r="BB3461" t="inlineStr">
        <is>
          <t>BOOK</t>
        </is>
      </c>
      <c r="BD3461" t="inlineStr">
        <is>
          <t>9780824090234</t>
        </is>
      </c>
      <c r="BE3461" t="inlineStr">
        <is>
          <t>32285000886738</t>
        </is>
      </c>
      <c r="BF3461" t="inlineStr">
        <is>
          <t>893503129</t>
        </is>
      </c>
    </row>
    <row r="3462">
      <c r="A3462" t="inlineStr">
        <is>
          <t>No</t>
        </is>
      </c>
      <c r="B3462" t="inlineStr">
        <is>
          <t>CURAL</t>
        </is>
      </c>
      <c r="C3462" t="inlineStr">
        <is>
          <t>SHELVES</t>
        </is>
      </c>
      <c r="D3462" t="inlineStr">
        <is>
          <t>PR6069.T6 Z66</t>
        </is>
      </c>
      <c r="E3462" t="inlineStr">
        <is>
          <t>0                      PR 6069000T  6                  Z  66</t>
        </is>
      </c>
      <c r="F3462" t="inlineStr">
        <is>
          <t>Tom Stoppard / by Ronald Hayman.</t>
        </is>
      </c>
      <c r="H3462" t="inlineStr">
        <is>
          <t>No</t>
        </is>
      </c>
      <c r="I3462" t="inlineStr">
        <is>
          <t>1</t>
        </is>
      </c>
      <c r="J3462" t="inlineStr">
        <is>
          <t>No</t>
        </is>
      </c>
      <c r="K3462" t="inlineStr">
        <is>
          <t>No</t>
        </is>
      </c>
      <c r="L3462" t="inlineStr">
        <is>
          <t>0</t>
        </is>
      </c>
      <c r="M3462" t="inlineStr">
        <is>
          <t>Hayman, Ronald, 1932-</t>
        </is>
      </c>
      <c r="N3462" t="inlineStr">
        <is>
          <t>London : Heinemann ; Totowa, N.J. : Rowman and Littlefield, 1977.</t>
        </is>
      </c>
      <c r="O3462" t="inlineStr">
        <is>
          <t>1977</t>
        </is>
      </c>
      <c r="Q3462" t="inlineStr">
        <is>
          <t>eng</t>
        </is>
      </c>
      <c r="R3462" t="inlineStr">
        <is>
          <t>enk</t>
        </is>
      </c>
      <c r="S3462" t="inlineStr">
        <is>
          <t>Contemporary playwrights</t>
        </is>
      </c>
      <c r="T3462" t="inlineStr">
        <is>
          <t xml:space="preserve">PR </t>
        </is>
      </c>
      <c r="U3462" t="n">
        <v>6</v>
      </c>
      <c r="V3462" t="n">
        <v>6</v>
      </c>
      <c r="W3462" t="inlineStr">
        <is>
          <t>2002-11-07</t>
        </is>
      </c>
      <c r="X3462" t="inlineStr">
        <is>
          <t>2002-11-07</t>
        </is>
      </c>
      <c r="Y3462" t="inlineStr">
        <is>
          <t>1991-05-17</t>
        </is>
      </c>
      <c r="Z3462" t="inlineStr">
        <is>
          <t>1991-05-17</t>
        </is>
      </c>
      <c r="AA3462" t="n">
        <v>496</v>
      </c>
      <c r="AB3462" t="n">
        <v>369</v>
      </c>
      <c r="AC3462" t="n">
        <v>688</v>
      </c>
      <c r="AD3462" t="n">
        <v>3</v>
      </c>
      <c r="AE3462" t="n">
        <v>4</v>
      </c>
      <c r="AF3462" t="n">
        <v>18</v>
      </c>
      <c r="AG3462" t="n">
        <v>39</v>
      </c>
      <c r="AH3462" t="n">
        <v>3</v>
      </c>
      <c r="AI3462" t="n">
        <v>18</v>
      </c>
      <c r="AJ3462" t="n">
        <v>7</v>
      </c>
      <c r="AK3462" t="n">
        <v>9</v>
      </c>
      <c r="AL3462" t="n">
        <v>11</v>
      </c>
      <c r="AM3462" t="n">
        <v>19</v>
      </c>
      <c r="AN3462" t="n">
        <v>2</v>
      </c>
      <c r="AO3462" t="n">
        <v>3</v>
      </c>
      <c r="AP3462" t="n">
        <v>0</v>
      </c>
      <c r="AQ3462" t="n">
        <v>0</v>
      </c>
      <c r="AR3462" t="inlineStr">
        <is>
          <t>No</t>
        </is>
      </c>
      <c r="AS3462" t="inlineStr">
        <is>
          <t>No</t>
        </is>
      </c>
      <c r="AU3462">
        <f>HYPERLINK("https://creighton-primo.hosted.exlibrisgroup.com/primo-explore/search?tab=default_tab&amp;search_scope=EVERYTHING&amp;vid=01CRU&amp;lang=en_US&amp;offset=0&amp;query=any,contains,991004418439702656","Catalog Record")</f>
        <v/>
      </c>
      <c r="AV3462">
        <f>HYPERLINK("http://www.worldcat.org/oclc/3373607","WorldCat Record")</f>
        <v/>
      </c>
      <c r="AW3462" t="inlineStr">
        <is>
          <t>508043:eng</t>
        </is>
      </c>
      <c r="AX3462" t="inlineStr">
        <is>
          <t>3373607</t>
        </is>
      </c>
      <c r="AY3462" t="inlineStr">
        <is>
          <t>991004418439702656</t>
        </is>
      </c>
      <c r="AZ3462" t="inlineStr">
        <is>
          <t>991004418439702656</t>
        </is>
      </c>
      <c r="BA3462" t="inlineStr">
        <is>
          <t>2259561880002656</t>
        </is>
      </c>
      <c r="BB3462" t="inlineStr">
        <is>
          <t>BOOK</t>
        </is>
      </c>
      <c r="BD3462" t="inlineStr">
        <is>
          <t>9780874719932</t>
        </is>
      </c>
      <c r="BE3462" t="inlineStr">
        <is>
          <t>32285000596212</t>
        </is>
      </c>
      <c r="BF3462" t="inlineStr">
        <is>
          <t>893436263</t>
        </is>
      </c>
    </row>
    <row r="3463">
      <c r="A3463" t="inlineStr">
        <is>
          <t>No</t>
        </is>
      </c>
      <c r="B3463" t="inlineStr">
        <is>
          <t>CURAL</t>
        </is>
      </c>
      <c r="C3463" t="inlineStr">
        <is>
          <t>SHELVES</t>
        </is>
      </c>
      <c r="D3463" t="inlineStr">
        <is>
          <t>PR6069.T6 Z68 1982</t>
        </is>
      </c>
      <c r="E3463" t="inlineStr">
        <is>
          <t>0                      PR 6069000T  6                  Z  68          1982</t>
        </is>
      </c>
      <c r="F3463" t="inlineStr">
        <is>
          <t>Tom Stoppard's plays / Jim Hunter.</t>
        </is>
      </c>
      <c r="H3463" t="inlineStr">
        <is>
          <t>No</t>
        </is>
      </c>
      <c r="I3463" t="inlineStr">
        <is>
          <t>1</t>
        </is>
      </c>
      <c r="J3463" t="inlineStr">
        <is>
          <t>No</t>
        </is>
      </c>
      <c r="K3463" t="inlineStr">
        <is>
          <t>No</t>
        </is>
      </c>
      <c r="L3463" t="inlineStr">
        <is>
          <t>0</t>
        </is>
      </c>
      <c r="M3463" t="inlineStr">
        <is>
          <t>Hunter, Jim.</t>
        </is>
      </c>
      <c r="N3463" t="inlineStr">
        <is>
          <t>New York : Grove Press, 1982.</t>
        </is>
      </c>
      <c r="O3463" t="inlineStr">
        <is>
          <t>1982</t>
        </is>
      </c>
      <c r="P3463" t="inlineStr">
        <is>
          <t>1st Evergreen ed.</t>
        </is>
      </c>
      <c r="Q3463" t="inlineStr">
        <is>
          <t>eng</t>
        </is>
      </c>
      <c r="R3463" t="inlineStr">
        <is>
          <t>nyu</t>
        </is>
      </c>
      <c r="S3463" t="inlineStr">
        <is>
          <t>An Evergreen book ; E-825</t>
        </is>
      </c>
      <c r="T3463" t="inlineStr">
        <is>
          <t xml:space="preserve">PR </t>
        </is>
      </c>
      <c r="U3463" t="n">
        <v>7</v>
      </c>
      <c r="V3463" t="n">
        <v>7</v>
      </c>
      <c r="W3463" t="inlineStr">
        <is>
          <t>2002-11-07</t>
        </is>
      </c>
      <c r="X3463" t="inlineStr">
        <is>
          <t>2002-11-07</t>
        </is>
      </c>
      <c r="Y3463" t="inlineStr">
        <is>
          <t>1991-12-10</t>
        </is>
      </c>
      <c r="Z3463" t="inlineStr">
        <is>
          <t>1991-12-10</t>
        </is>
      </c>
      <c r="AA3463" t="n">
        <v>366</v>
      </c>
      <c r="AB3463" t="n">
        <v>333</v>
      </c>
      <c r="AC3463" t="n">
        <v>406</v>
      </c>
      <c r="AD3463" t="n">
        <v>2</v>
      </c>
      <c r="AE3463" t="n">
        <v>3</v>
      </c>
      <c r="AF3463" t="n">
        <v>13</v>
      </c>
      <c r="AG3463" t="n">
        <v>15</v>
      </c>
      <c r="AH3463" t="n">
        <v>5</v>
      </c>
      <c r="AI3463" t="n">
        <v>6</v>
      </c>
      <c r="AJ3463" t="n">
        <v>2</v>
      </c>
      <c r="AK3463" t="n">
        <v>2</v>
      </c>
      <c r="AL3463" t="n">
        <v>9</v>
      </c>
      <c r="AM3463" t="n">
        <v>9</v>
      </c>
      <c r="AN3463" t="n">
        <v>1</v>
      </c>
      <c r="AO3463" t="n">
        <v>2</v>
      </c>
      <c r="AP3463" t="n">
        <v>0</v>
      </c>
      <c r="AQ3463" t="n">
        <v>0</v>
      </c>
      <c r="AR3463" t="inlineStr">
        <is>
          <t>No</t>
        </is>
      </c>
      <c r="AS3463" t="inlineStr">
        <is>
          <t>No</t>
        </is>
      </c>
      <c r="AU3463">
        <f>HYPERLINK("https://creighton-primo.hosted.exlibrisgroup.com/primo-explore/search?tab=default_tab&amp;search_scope=EVERYTHING&amp;vid=01CRU&amp;lang=en_US&amp;offset=0&amp;query=any,contains,991000072049702656","Catalog Record")</f>
        <v/>
      </c>
      <c r="AV3463">
        <f>HYPERLINK("http://www.worldcat.org/oclc/8785785","WorldCat Record")</f>
        <v/>
      </c>
      <c r="AW3463" t="inlineStr">
        <is>
          <t>303538244:eng</t>
        </is>
      </c>
      <c r="AX3463" t="inlineStr">
        <is>
          <t>8785785</t>
        </is>
      </c>
      <c r="AY3463" t="inlineStr">
        <is>
          <t>991000072049702656</t>
        </is>
      </c>
      <c r="AZ3463" t="inlineStr">
        <is>
          <t>991000072049702656</t>
        </is>
      </c>
      <c r="BA3463" t="inlineStr">
        <is>
          <t>2266986720002656</t>
        </is>
      </c>
      <c r="BB3463" t="inlineStr">
        <is>
          <t>BOOK</t>
        </is>
      </c>
      <c r="BD3463" t="inlineStr">
        <is>
          <t>9780394624143</t>
        </is>
      </c>
      <c r="BE3463" t="inlineStr">
        <is>
          <t>32285000886746</t>
        </is>
      </c>
      <c r="BF3463" t="inlineStr">
        <is>
          <t>893802471</t>
        </is>
      </c>
    </row>
    <row r="3464">
      <c r="A3464" t="inlineStr">
        <is>
          <t>No</t>
        </is>
      </c>
      <c r="B3464" t="inlineStr">
        <is>
          <t>CURAL</t>
        </is>
      </c>
      <c r="C3464" t="inlineStr">
        <is>
          <t>SHELVES</t>
        </is>
      </c>
      <c r="D3464" t="inlineStr">
        <is>
          <t>PR6069.T6 Z7 1987</t>
        </is>
      </c>
      <c r="E3464" t="inlineStr">
        <is>
          <t>0                      PR 6069000T  6                  Z  7           1987</t>
        </is>
      </c>
      <c r="F3464" t="inlineStr">
        <is>
          <t>The theatre of Tom Stoppard / Anthony Jenkins.</t>
        </is>
      </c>
      <c r="H3464" t="inlineStr">
        <is>
          <t>No</t>
        </is>
      </c>
      <c r="I3464" t="inlineStr">
        <is>
          <t>1</t>
        </is>
      </c>
      <c r="J3464" t="inlineStr">
        <is>
          <t>No</t>
        </is>
      </c>
      <c r="K3464" t="inlineStr">
        <is>
          <t>No</t>
        </is>
      </c>
      <c r="L3464" t="inlineStr">
        <is>
          <t>0</t>
        </is>
      </c>
      <c r="M3464" t="inlineStr">
        <is>
          <t>Jenkins, Anthony, 1936-</t>
        </is>
      </c>
      <c r="N3464" t="inlineStr">
        <is>
          <t>Cambridge [Cambridgeshire] ; New York : Cambridge University Press, 1987.</t>
        </is>
      </c>
      <c r="O3464" t="inlineStr">
        <is>
          <t>1987</t>
        </is>
      </c>
      <c r="Q3464" t="inlineStr">
        <is>
          <t>eng</t>
        </is>
      </c>
      <c r="R3464" t="inlineStr">
        <is>
          <t>enk</t>
        </is>
      </c>
      <c r="T3464" t="inlineStr">
        <is>
          <t xml:space="preserve">PR </t>
        </is>
      </c>
      <c r="U3464" t="n">
        <v>7</v>
      </c>
      <c r="V3464" t="n">
        <v>7</v>
      </c>
      <c r="W3464" t="inlineStr">
        <is>
          <t>2002-10-10</t>
        </is>
      </c>
      <c r="X3464" t="inlineStr">
        <is>
          <t>2002-10-10</t>
        </is>
      </c>
      <c r="Y3464" t="inlineStr">
        <is>
          <t>1991-12-10</t>
        </is>
      </c>
      <c r="Z3464" t="inlineStr">
        <is>
          <t>1991-12-10</t>
        </is>
      </c>
      <c r="AA3464" t="n">
        <v>625</v>
      </c>
      <c r="AB3464" t="n">
        <v>464</v>
      </c>
      <c r="AC3464" t="n">
        <v>590</v>
      </c>
      <c r="AD3464" t="n">
        <v>4</v>
      </c>
      <c r="AE3464" t="n">
        <v>5</v>
      </c>
      <c r="AF3464" t="n">
        <v>26</v>
      </c>
      <c r="AG3464" t="n">
        <v>33</v>
      </c>
      <c r="AH3464" t="n">
        <v>12</v>
      </c>
      <c r="AI3464" t="n">
        <v>14</v>
      </c>
      <c r="AJ3464" t="n">
        <v>7</v>
      </c>
      <c r="AK3464" t="n">
        <v>8</v>
      </c>
      <c r="AL3464" t="n">
        <v>11</v>
      </c>
      <c r="AM3464" t="n">
        <v>14</v>
      </c>
      <c r="AN3464" t="n">
        <v>3</v>
      </c>
      <c r="AO3464" t="n">
        <v>4</v>
      </c>
      <c r="AP3464" t="n">
        <v>0</v>
      </c>
      <c r="AQ3464" t="n">
        <v>0</v>
      </c>
      <c r="AR3464" t="inlineStr">
        <is>
          <t>No</t>
        </is>
      </c>
      <c r="AS3464" t="inlineStr">
        <is>
          <t>No</t>
        </is>
      </c>
      <c r="AU3464">
        <f>HYPERLINK("https://creighton-primo.hosted.exlibrisgroup.com/primo-explore/search?tab=default_tab&amp;search_scope=EVERYTHING&amp;vid=01CRU&amp;lang=en_US&amp;offset=0&amp;query=any,contains,991000913669702656","Catalog Record")</f>
        <v/>
      </c>
      <c r="AV3464">
        <f>HYPERLINK("http://www.worldcat.org/oclc/14165028","WorldCat Record")</f>
        <v/>
      </c>
      <c r="AW3464" t="inlineStr">
        <is>
          <t>116089486:eng</t>
        </is>
      </c>
      <c r="AX3464" t="inlineStr">
        <is>
          <t>14165028</t>
        </is>
      </c>
      <c r="AY3464" t="inlineStr">
        <is>
          <t>991000913669702656</t>
        </is>
      </c>
      <c r="AZ3464" t="inlineStr">
        <is>
          <t>991000913669702656</t>
        </is>
      </c>
      <c r="BA3464" t="inlineStr">
        <is>
          <t>2268980810002656</t>
        </is>
      </c>
      <c r="BB3464" t="inlineStr">
        <is>
          <t>BOOK</t>
        </is>
      </c>
      <c r="BD3464" t="inlineStr">
        <is>
          <t>9780521332668</t>
        </is>
      </c>
      <c r="BE3464" t="inlineStr">
        <is>
          <t>32285000886753</t>
        </is>
      </c>
      <c r="BF3464" t="inlineStr">
        <is>
          <t>893683861</t>
        </is>
      </c>
    </row>
    <row r="3465">
      <c r="A3465" t="inlineStr">
        <is>
          <t>No</t>
        </is>
      </c>
      <c r="B3465" t="inlineStr">
        <is>
          <t>CURAL</t>
        </is>
      </c>
      <c r="C3465" t="inlineStr">
        <is>
          <t>SHELVES</t>
        </is>
      </c>
      <c r="D3465" t="inlineStr">
        <is>
          <t>PR6069.T6 Z86 1986</t>
        </is>
      </c>
      <c r="E3465" t="inlineStr">
        <is>
          <t>0                      PR 6069000T  6                  Z  86          1986</t>
        </is>
      </c>
      <c r="F3465" t="inlineStr">
        <is>
          <t>Tom Stoppard / by Susan Rusinko.</t>
        </is>
      </c>
      <c r="H3465" t="inlineStr">
        <is>
          <t>No</t>
        </is>
      </c>
      <c r="I3465" t="inlineStr">
        <is>
          <t>1</t>
        </is>
      </c>
      <c r="J3465" t="inlineStr">
        <is>
          <t>No</t>
        </is>
      </c>
      <c r="K3465" t="inlineStr">
        <is>
          <t>No</t>
        </is>
      </c>
      <c r="L3465" t="inlineStr">
        <is>
          <t>0</t>
        </is>
      </c>
      <c r="M3465" t="inlineStr">
        <is>
          <t>Rusinko, Susan.</t>
        </is>
      </c>
      <c r="N3465" t="inlineStr">
        <is>
          <t>Boston : Twayne Publishers, c1986.</t>
        </is>
      </c>
      <c r="O3465" t="inlineStr">
        <is>
          <t>1986</t>
        </is>
      </c>
      <c r="Q3465" t="inlineStr">
        <is>
          <t>eng</t>
        </is>
      </c>
      <c r="R3465" t="inlineStr">
        <is>
          <t>mau</t>
        </is>
      </c>
      <c r="S3465" t="inlineStr">
        <is>
          <t>Twayne's English authors series ; TEAS 419</t>
        </is>
      </c>
      <c r="T3465" t="inlineStr">
        <is>
          <t xml:space="preserve">PR </t>
        </is>
      </c>
      <c r="U3465" t="n">
        <v>3</v>
      </c>
      <c r="V3465" t="n">
        <v>3</v>
      </c>
      <c r="W3465" t="inlineStr">
        <is>
          <t>2002-11-07</t>
        </is>
      </c>
      <c r="X3465" t="inlineStr">
        <is>
          <t>2002-11-07</t>
        </is>
      </c>
      <c r="Y3465" t="inlineStr">
        <is>
          <t>1991-12-10</t>
        </is>
      </c>
      <c r="Z3465" t="inlineStr">
        <is>
          <t>1991-12-10</t>
        </is>
      </c>
      <c r="AA3465" t="n">
        <v>1040</v>
      </c>
      <c r="AB3465" t="n">
        <v>884</v>
      </c>
      <c r="AC3465" t="n">
        <v>960</v>
      </c>
      <c r="AD3465" t="n">
        <v>10</v>
      </c>
      <c r="AE3465" t="n">
        <v>10</v>
      </c>
      <c r="AF3465" t="n">
        <v>41</v>
      </c>
      <c r="AG3465" t="n">
        <v>42</v>
      </c>
      <c r="AH3465" t="n">
        <v>17</v>
      </c>
      <c r="AI3465" t="n">
        <v>17</v>
      </c>
      <c r="AJ3465" t="n">
        <v>7</v>
      </c>
      <c r="AK3465" t="n">
        <v>7</v>
      </c>
      <c r="AL3465" t="n">
        <v>17</v>
      </c>
      <c r="AM3465" t="n">
        <v>18</v>
      </c>
      <c r="AN3465" t="n">
        <v>8</v>
      </c>
      <c r="AO3465" t="n">
        <v>8</v>
      </c>
      <c r="AP3465" t="n">
        <v>0</v>
      </c>
      <c r="AQ3465" t="n">
        <v>0</v>
      </c>
      <c r="AR3465" t="inlineStr">
        <is>
          <t>No</t>
        </is>
      </c>
      <c r="AS3465" t="inlineStr">
        <is>
          <t>Yes</t>
        </is>
      </c>
      <c r="AT3465">
        <f>HYPERLINK("http://catalog.hathitrust.org/Record/000382615","HathiTrust Record")</f>
        <v/>
      </c>
      <c r="AU3465">
        <f>HYPERLINK("https://creighton-primo.hosted.exlibrisgroup.com/primo-explore/search?tab=default_tab&amp;search_scope=EVERYTHING&amp;vid=01CRU&amp;lang=en_US&amp;offset=0&amp;query=any,contains,991000687409702656","Catalog Record")</f>
        <v/>
      </c>
      <c r="AV3465">
        <f>HYPERLINK("http://www.worldcat.org/oclc/12421801","WorldCat Record")</f>
        <v/>
      </c>
      <c r="AW3465" t="inlineStr">
        <is>
          <t>5059062:eng</t>
        </is>
      </c>
      <c r="AX3465" t="inlineStr">
        <is>
          <t>12421801</t>
        </is>
      </c>
      <c r="AY3465" t="inlineStr">
        <is>
          <t>991000687409702656</t>
        </is>
      </c>
      <c r="AZ3465" t="inlineStr">
        <is>
          <t>991000687409702656</t>
        </is>
      </c>
      <c r="BA3465" t="inlineStr">
        <is>
          <t>2255898330002656</t>
        </is>
      </c>
      <c r="BB3465" t="inlineStr">
        <is>
          <t>BOOK</t>
        </is>
      </c>
      <c r="BD3465" t="inlineStr">
        <is>
          <t>9780805769098</t>
        </is>
      </c>
      <c r="BE3465" t="inlineStr">
        <is>
          <t>32285000886779</t>
        </is>
      </c>
      <c r="BF3465" t="inlineStr">
        <is>
          <t>893321262</t>
        </is>
      </c>
    </row>
    <row r="3466">
      <c r="A3466" t="inlineStr">
        <is>
          <t>No</t>
        </is>
      </c>
      <c r="B3466" t="inlineStr">
        <is>
          <t>CURAL</t>
        </is>
      </c>
      <c r="C3466" t="inlineStr">
        <is>
          <t>SHELVES</t>
        </is>
      </c>
      <c r="D3466" t="inlineStr">
        <is>
          <t>PR6069.T6 Z87 1988</t>
        </is>
      </c>
      <c r="E3466" t="inlineStr">
        <is>
          <t>0                      PR 6069000T  6                  Z  87          1988</t>
        </is>
      </c>
      <c r="F3466" t="inlineStr">
        <is>
          <t>Tom Stoppard, the artist as critic / Neil Sammells.</t>
        </is>
      </c>
      <c r="H3466" t="inlineStr">
        <is>
          <t>No</t>
        </is>
      </c>
      <c r="I3466" t="inlineStr">
        <is>
          <t>1</t>
        </is>
      </c>
      <c r="J3466" t="inlineStr">
        <is>
          <t>No</t>
        </is>
      </c>
      <c r="K3466" t="inlineStr">
        <is>
          <t>No</t>
        </is>
      </c>
      <c r="L3466" t="inlineStr">
        <is>
          <t>0</t>
        </is>
      </c>
      <c r="M3466" t="inlineStr">
        <is>
          <t>Sammells, Neil.</t>
        </is>
      </c>
      <c r="N3466" t="inlineStr">
        <is>
          <t>New York : St. Martin's, 1988.</t>
        </is>
      </c>
      <c r="O3466" t="inlineStr">
        <is>
          <t>1988</t>
        </is>
      </c>
      <c r="Q3466" t="inlineStr">
        <is>
          <t>eng</t>
        </is>
      </c>
      <c r="R3466" t="inlineStr">
        <is>
          <t>nyu</t>
        </is>
      </c>
      <c r="T3466" t="inlineStr">
        <is>
          <t xml:space="preserve">PR </t>
        </is>
      </c>
      <c r="U3466" t="n">
        <v>5</v>
      </c>
      <c r="V3466" t="n">
        <v>5</v>
      </c>
      <c r="W3466" t="inlineStr">
        <is>
          <t>2006-02-20</t>
        </is>
      </c>
      <c r="X3466" t="inlineStr">
        <is>
          <t>2006-02-20</t>
        </is>
      </c>
      <c r="Y3466" t="inlineStr">
        <is>
          <t>1990-03-12</t>
        </is>
      </c>
      <c r="Z3466" t="inlineStr">
        <is>
          <t>1990-03-12</t>
        </is>
      </c>
      <c r="AA3466" t="n">
        <v>411</v>
      </c>
      <c r="AB3466" t="n">
        <v>372</v>
      </c>
      <c r="AC3466" t="n">
        <v>437</v>
      </c>
      <c r="AD3466" t="n">
        <v>4</v>
      </c>
      <c r="AE3466" t="n">
        <v>6</v>
      </c>
      <c r="AF3466" t="n">
        <v>19</v>
      </c>
      <c r="AG3466" t="n">
        <v>25</v>
      </c>
      <c r="AH3466" t="n">
        <v>9</v>
      </c>
      <c r="AI3466" t="n">
        <v>11</v>
      </c>
      <c r="AJ3466" t="n">
        <v>5</v>
      </c>
      <c r="AK3466" t="n">
        <v>6</v>
      </c>
      <c r="AL3466" t="n">
        <v>7</v>
      </c>
      <c r="AM3466" t="n">
        <v>10</v>
      </c>
      <c r="AN3466" t="n">
        <v>3</v>
      </c>
      <c r="AO3466" t="n">
        <v>5</v>
      </c>
      <c r="AP3466" t="n">
        <v>0</v>
      </c>
      <c r="AQ3466" t="n">
        <v>0</v>
      </c>
      <c r="AR3466" t="inlineStr">
        <is>
          <t>No</t>
        </is>
      </c>
      <c r="AS3466" t="inlineStr">
        <is>
          <t>No</t>
        </is>
      </c>
      <c r="AU3466">
        <f>HYPERLINK("https://creighton-primo.hosted.exlibrisgroup.com/primo-explore/search?tab=default_tab&amp;search_scope=EVERYTHING&amp;vid=01CRU&amp;lang=en_US&amp;offset=0&amp;query=any,contains,991000993269702656","Catalog Record")</f>
        <v/>
      </c>
      <c r="AV3466">
        <f>HYPERLINK("http://www.worldcat.org/oclc/15109373","WorldCat Record")</f>
        <v/>
      </c>
      <c r="AW3466" t="inlineStr">
        <is>
          <t>8404695:eng</t>
        </is>
      </c>
      <c r="AX3466" t="inlineStr">
        <is>
          <t>15109373</t>
        </is>
      </c>
      <c r="AY3466" t="inlineStr">
        <is>
          <t>991000993269702656</t>
        </is>
      </c>
      <c r="AZ3466" t="inlineStr">
        <is>
          <t>991000993269702656</t>
        </is>
      </c>
      <c r="BA3466" t="inlineStr">
        <is>
          <t>2270410800002656</t>
        </is>
      </c>
      <c r="BB3466" t="inlineStr">
        <is>
          <t>BOOK</t>
        </is>
      </c>
      <c r="BD3466" t="inlineStr">
        <is>
          <t>9780312005344</t>
        </is>
      </c>
      <c r="BE3466" t="inlineStr">
        <is>
          <t>32285000044833</t>
        </is>
      </c>
      <c r="BF3466" t="inlineStr">
        <is>
          <t>893528566</t>
        </is>
      </c>
    </row>
    <row r="3467">
      <c r="A3467" t="inlineStr">
        <is>
          <t>No</t>
        </is>
      </c>
      <c r="B3467" t="inlineStr">
        <is>
          <t>CURAL</t>
        </is>
      </c>
      <c r="C3467" t="inlineStr">
        <is>
          <t>SHELVES</t>
        </is>
      </c>
      <c r="D3467" t="inlineStr">
        <is>
          <t>PR6073.I4329 Z85 1989</t>
        </is>
      </c>
      <c r="E3467" t="inlineStr">
        <is>
          <t>0                      PR 6073000I  4329               Z  85          1989</t>
        </is>
      </c>
      <c r="F3467" t="inlineStr">
        <is>
          <t>Raymond Williams : writing, culture, politics / Alan O'Connor.</t>
        </is>
      </c>
      <c r="H3467" t="inlineStr">
        <is>
          <t>No</t>
        </is>
      </c>
      <c r="I3467" t="inlineStr">
        <is>
          <t>1</t>
        </is>
      </c>
      <c r="J3467" t="inlineStr">
        <is>
          <t>No</t>
        </is>
      </c>
      <c r="K3467" t="inlineStr">
        <is>
          <t>No</t>
        </is>
      </c>
      <c r="L3467" t="inlineStr">
        <is>
          <t>0</t>
        </is>
      </c>
      <c r="M3467" t="inlineStr">
        <is>
          <t>O'Connor, Alan.</t>
        </is>
      </c>
      <c r="N3467" t="inlineStr">
        <is>
          <t>New York, NY, USA : Basil Blackwell, 1989.</t>
        </is>
      </c>
      <c r="O3467" t="inlineStr">
        <is>
          <t>1989</t>
        </is>
      </c>
      <c r="Q3467" t="inlineStr">
        <is>
          <t>eng</t>
        </is>
      </c>
      <c r="R3467" t="inlineStr">
        <is>
          <t>nyu</t>
        </is>
      </c>
      <c r="T3467" t="inlineStr">
        <is>
          <t xml:space="preserve">PR </t>
        </is>
      </c>
      <c r="U3467" t="n">
        <v>7</v>
      </c>
      <c r="V3467" t="n">
        <v>7</v>
      </c>
      <c r="W3467" t="inlineStr">
        <is>
          <t>2009-04-22</t>
        </is>
      </c>
      <c r="X3467" t="inlineStr">
        <is>
          <t>2009-04-22</t>
        </is>
      </c>
      <c r="Y3467" t="inlineStr">
        <is>
          <t>1990-03-12</t>
        </is>
      </c>
      <c r="Z3467" t="inlineStr">
        <is>
          <t>1990-03-12</t>
        </is>
      </c>
      <c r="AA3467" t="n">
        <v>417</v>
      </c>
      <c r="AB3467" t="n">
        <v>269</v>
      </c>
      <c r="AC3467" t="n">
        <v>282</v>
      </c>
      <c r="AD3467" t="n">
        <v>2</v>
      </c>
      <c r="AE3467" t="n">
        <v>2</v>
      </c>
      <c r="AF3467" t="n">
        <v>12</v>
      </c>
      <c r="AG3467" t="n">
        <v>12</v>
      </c>
      <c r="AH3467" t="n">
        <v>3</v>
      </c>
      <c r="AI3467" t="n">
        <v>3</v>
      </c>
      <c r="AJ3467" t="n">
        <v>3</v>
      </c>
      <c r="AK3467" t="n">
        <v>3</v>
      </c>
      <c r="AL3467" t="n">
        <v>9</v>
      </c>
      <c r="AM3467" t="n">
        <v>9</v>
      </c>
      <c r="AN3467" t="n">
        <v>1</v>
      </c>
      <c r="AO3467" t="n">
        <v>1</v>
      </c>
      <c r="AP3467" t="n">
        <v>0</v>
      </c>
      <c r="AQ3467" t="n">
        <v>0</v>
      </c>
      <c r="AR3467" t="inlineStr">
        <is>
          <t>No</t>
        </is>
      </c>
      <c r="AS3467" t="inlineStr">
        <is>
          <t>No</t>
        </is>
      </c>
      <c r="AU3467">
        <f>HYPERLINK("https://creighton-primo.hosted.exlibrisgroup.com/primo-explore/search?tab=default_tab&amp;search_scope=EVERYTHING&amp;vid=01CRU&amp;lang=en_US&amp;offset=0&amp;query=any,contains,991001376769702656","Catalog Record")</f>
        <v/>
      </c>
      <c r="AV3467">
        <f>HYPERLINK("http://www.worldcat.org/oclc/18624923","WorldCat Record")</f>
        <v/>
      </c>
      <c r="AW3467" t="inlineStr">
        <is>
          <t>17721216:eng</t>
        </is>
      </c>
      <c r="AX3467" t="inlineStr">
        <is>
          <t>18624923</t>
        </is>
      </c>
      <c r="AY3467" t="inlineStr">
        <is>
          <t>991001376769702656</t>
        </is>
      </c>
      <c r="AZ3467" t="inlineStr">
        <is>
          <t>991001376769702656</t>
        </is>
      </c>
      <c r="BA3467" t="inlineStr">
        <is>
          <t>2266047970002656</t>
        </is>
      </c>
      <c r="BB3467" t="inlineStr">
        <is>
          <t>BOOK</t>
        </is>
      </c>
      <c r="BD3467" t="inlineStr">
        <is>
          <t>9780631165897</t>
        </is>
      </c>
      <c r="BE3467" t="inlineStr">
        <is>
          <t>32285000044866</t>
        </is>
      </c>
      <c r="BF3467" t="inlineStr">
        <is>
          <t>893696697</t>
        </is>
      </c>
    </row>
    <row r="3468">
      <c r="A3468" t="inlineStr">
        <is>
          <t>No</t>
        </is>
      </c>
      <c r="B3468" t="inlineStr">
        <is>
          <t>CURAL</t>
        </is>
      </c>
      <c r="C3468" t="inlineStr">
        <is>
          <t>SHELVES</t>
        </is>
      </c>
      <c r="D3468" t="inlineStr">
        <is>
          <t>PR610 .B6 1969</t>
        </is>
      </c>
      <c r="E3468" t="inlineStr">
        <is>
          <t>0                      PR 0610000B  6           1969</t>
        </is>
      </c>
      <c r="F3468" t="inlineStr">
        <is>
          <t>War poets, 1914-1918, by Edmund Blunden.</t>
        </is>
      </c>
      <c r="H3468" t="inlineStr">
        <is>
          <t>No</t>
        </is>
      </c>
      <c r="I3468" t="inlineStr">
        <is>
          <t>1</t>
        </is>
      </c>
      <c r="J3468" t="inlineStr">
        <is>
          <t>No</t>
        </is>
      </c>
      <c r="K3468" t="inlineStr">
        <is>
          <t>No</t>
        </is>
      </c>
      <c r="L3468" t="inlineStr">
        <is>
          <t>0</t>
        </is>
      </c>
      <c r="M3468" t="inlineStr">
        <is>
          <t>Blunden, Edmund, 1896-1974.</t>
        </is>
      </c>
      <c r="N3468" t="inlineStr">
        <is>
          <t>[Harlow, Eng.] Published for the British Council and the National Book League by Longmans, Green [1969, c1958]</t>
        </is>
      </c>
      <c r="O3468" t="inlineStr">
        <is>
          <t>1969</t>
        </is>
      </c>
      <c r="Q3468" t="inlineStr">
        <is>
          <t>eng</t>
        </is>
      </c>
      <c r="R3468" t="inlineStr">
        <is>
          <t>enk</t>
        </is>
      </c>
      <c r="S3468" t="inlineStr">
        <is>
          <t>Writers and their work, no. 100</t>
        </is>
      </c>
      <c r="T3468" t="inlineStr">
        <is>
          <t xml:space="preserve">PR </t>
        </is>
      </c>
      <c r="U3468" t="n">
        <v>2</v>
      </c>
      <c r="V3468" t="n">
        <v>2</v>
      </c>
      <c r="W3468" t="inlineStr">
        <is>
          <t>2008-11-23</t>
        </is>
      </c>
      <c r="X3468" t="inlineStr">
        <is>
          <t>2008-11-23</t>
        </is>
      </c>
      <c r="Y3468" t="inlineStr">
        <is>
          <t>1997-09-04</t>
        </is>
      </c>
      <c r="Z3468" t="inlineStr">
        <is>
          <t>1997-09-04</t>
        </is>
      </c>
      <c r="AA3468" t="n">
        <v>177</v>
      </c>
      <c r="AB3468" t="n">
        <v>132</v>
      </c>
      <c r="AC3468" t="n">
        <v>635</v>
      </c>
      <c r="AD3468" t="n">
        <v>2</v>
      </c>
      <c r="AE3468" t="n">
        <v>5</v>
      </c>
      <c r="AF3468" t="n">
        <v>6</v>
      </c>
      <c r="AG3468" t="n">
        <v>35</v>
      </c>
      <c r="AH3468" t="n">
        <v>3</v>
      </c>
      <c r="AI3468" t="n">
        <v>15</v>
      </c>
      <c r="AJ3468" t="n">
        <v>1</v>
      </c>
      <c r="AK3468" t="n">
        <v>8</v>
      </c>
      <c r="AL3468" t="n">
        <v>2</v>
      </c>
      <c r="AM3468" t="n">
        <v>19</v>
      </c>
      <c r="AN3468" t="n">
        <v>1</v>
      </c>
      <c r="AO3468" t="n">
        <v>4</v>
      </c>
      <c r="AP3468" t="n">
        <v>0</v>
      </c>
      <c r="AQ3468" t="n">
        <v>0</v>
      </c>
      <c r="AR3468" t="inlineStr">
        <is>
          <t>No</t>
        </is>
      </c>
      <c r="AS3468" t="inlineStr">
        <is>
          <t>Yes</t>
        </is>
      </c>
      <c r="AT3468">
        <f>HYPERLINK("http://catalog.hathitrust.org/Record/102068766","HathiTrust Record")</f>
        <v/>
      </c>
      <c r="AU3468">
        <f>HYPERLINK("https://creighton-primo.hosted.exlibrisgroup.com/primo-explore/search?tab=default_tab&amp;search_scope=EVERYTHING&amp;vid=01CRU&amp;lang=en_US&amp;offset=0&amp;query=any,contains,991000551189702656","Catalog Record")</f>
        <v/>
      </c>
      <c r="AV3468">
        <f>HYPERLINK("http://www.worldcat.org/oclc/92806","WorldCat Record")</f>
        <v/>
      </c>
      <c r="AW3468" t="inlineStr">
        <is>
          <t>494230:eng</t>
        </is>
      </c>
      <c r="AX3468" t="inlineStr">
        <is>
          <t>92806</t>
        </is>
      </c>
      <c r="AY3468" t="inlineStr">
        <is>
          <t>991000551189702656</t>
        </is>
      </c>
      <c r="AZ3468" t="inlineStr">
        <is>
          <t>991000551189702656</t>
        </is>
      </c>
      <c r="BA3468" t="inlineStr">
        <is>
          <t>2262512500002656</t>
        </is>
      </c>
      <c r="BB3468" t="inlineStr">
        <is>
          <t>BOOK</t>
        </is>
      </c>
      <c r="BE3468" t="inlineStr">
        <is>
          <t>32285003154845</t>
        </is>
      </c>
      <c r="BF3468" t="inlineStr">
        <is>
          <t>893695934</t>
        </is>
      </c>
    </row>
    <row r="3469">
      <c r="A3469" t="inlineStr">
        <is>
          <t>No</t>
        </is>
      </c>
      <c r="B3469" t="inlineStr">
        <is>
          <t>CURAL</t>
        </is>
      </c>
      <c r="C3469" t="inlineStr">
        <is>
          <t>SHELVES</t>
        </is>
      </c>
      <c r="D3469" t="inlineStr">
        <is>
          <t>PR610 .C8 1967</t>
        </is>
      </c>
      <c r="E3469" t="inlineStr">
        <is>
          <t>0                      PR 0610000C  8           1967</t>
        </is>
      </c>
      <c r="F3469" t="inlineStr">
        <is>
          <t>Poets of the 1939-1945 war, by R. N. Currey.</t>
        </is>
      </c>
      <c r="H3469" t="inlineStr">
        <is>
          <t>No</t>
        </is>
      </c>
      <c r="I3469" t="inlineStr">
        <is>
          <t>1</t>
        </is>
      </c>
      <c r="J3469" t="inlineStr">
        <is>
          <t>No</t>
        </is>
      </c>
      <c r="K3469" t="inlineStr">
        <is>
          <t>No</t>
        </is>
      </c>
      <c r="L3469" t="inlineStr">
        <is>
          <t>0</t>
        </is>
      </c>
      <c r="M3469" t="inlineStr">
        <is>
          <t>Currey, R. N. (Ralph Nixon), 1907-2001.</t>
        </is>
      </c>
      <c r="N3469" t="inlineStr">
        <is>
          <t>London] Published for the British Council and the National Book League, by Longmans, Green [1967]</t>
        </is>
      </c>
      <c r="O3469" t="inlineStr">
        <is>
          <t>1967</t>
        </is>
      </c>
      <c r="P3469" t="inlineStr">
        <is>
          <t>[Rev.</t>
        </is>
      </c>
      <c r="Q3469" t="inlineStr">
        <is>
          <t>eng</t>
        </is>
      </c>
      <c r="R3469" t="inlineStr">
        <is>
          <t>enk</t>
        </is>
      </c>
      <c r="S3469" t="inlineStr">
        <is>
          <t>Bibliographical series of supplements to British book news on writers and their work ; no. 127</t>
        </is>
      </c>
      <c r="T3469" t="inlineStr">
        <is>
          <t xml:space="preserve">PR </t>
        </is>
      </c>
      <c r="U3469" t="n">
        <v>3</v>
      </c>
      <c r="V3469" t="n">
        <v>3</v>
      </c>
      <c r="W3469" t="inlineStr">
        <is>
          <t>1999-05-23</t>
        </is>
      </c>
      <c r="X3469" t="inlineStr">
        <is>
          <t>1999-05-23</t>
        </is>
      </c>
      <c r="Y3469" t="inlineStr">
        <is>
          <t>1997-09-04</t>
        </is>
      </c>
      <c r="Z3469" t="inlineStr">
        <is>
          <t>1997-09-04</t>
        </is>
      </c>
      <c r="AA3469" t="n">
        <v>227</v>
      </c>
      <c r="AB3469" t="n">
        <v>164</v>
      </c>
      <c r="AC3469" t="n">
        <v>552</v>
      </c>
      <c r="AD3469" t="n">
        <v>2</v>
      </c>
      <c r="AE3469" t="n">
        <v>5</v>
      </c>
      <c r="AF3469" t="n">
        <v>10</v>
      </c>
      <c r="AG3469" t="n">
        <v>32</v>
      </c>
      <c r="AH3469" t="n">
        <v>6</v>
      </c>
      <c r="AI3469" t="n">
        <v>14</v>
      </c>
      <c r="AJ3469" t="n">
        <v>1</v>
      </c>
      <c r="AK3469" t="n">
        <v>8</v>
      </c>
      <c r="AL3469" t="n">
        <v>3</v>
      </c>
      <c r="AM3469" t="n">
        <v>15</v>
      </c>
      <c r="AN3469" t="n">
        <v>1</v>
      </c>
      <c r="AO3469" t="n">
        <v>4</v>
      </c>
      <c r="AP3469" t="n">
        <v>0</v>
      </c>
      <c r="AQ3469" t="n">
        <v>0</v>
      </c>
      <c r="AR3469" t="inlineStr">
        <is>
          <t>No</t>
        </is>
      </c>
      <c r="AS3469" t="inlineStr">
        <is>
          <t>No</t>
        </is>
      </c>
      <c r="AU3469">
        <f>HYPERLINK("https://creighton-primo.hosted.exlibrisgroup.com/primo-explore/search?tab=default_tab&amp;search_scope=EVERYTHING&amp;vid=01CRU&amp;lang=en_US&amp;offset=0&amp;query=any,contains,991000707819702656","Catalog Record")</f>
        <v/>
      </c>
      <c r="AV3469">
        <f>HYPERLINK("http://www.worldcat.org/oclc/124593","WorldCat Record")</f>
        <v/>
      </c>
      <c r="AW3469" t="inlineStr">
        <is>
          <t>1248811:eng</t>
        </is>
      </c>
      <c r="AX3469" t="inlineStr">
        <is>
          <t>124593</t>
        </is>
      </c>
      <c r="AY3469" t="inlineStr">
        <is>
          <t>991000707819702656</t>
        </is>
      </c>
      <c r="AZ3469" t="inlineStr">
        <is>
          <t>991000707819702656</t>
        </is>
      </c>
      <c r="BA3469" t="inlineStr">
        <is>
          <t>2259725710002656</t>
        </is>
      </c>
      <c r="BB3469" t="inlineStr">
        <is>
          <t>BOOK</t>
        </is>
      </c>
      <c r="BE3469" t="inlineStr">
        <is>
          <t>32285003154852</t>
        </is>
      </c>
      <c r="BF3469" t="inlineStr">
        <is>
          <t>893327512</t>
        </is>
      </c>
    </row>
    <row r="3470">
      <c r="A3470" t="inlineStr">
        <is>
          <t>No</t>
        </is>
      </c>
      <c r="B3470" t="inlineStr">
        <is>
          <t>CURAL</t>
        </is>
      </c>
      <c r="C3470" t="inlineStr">
        <is>
          <t>SHELVES</t>
        </is>
      </c>
      <c r="D3470" t="inlineStr">
        <is>
          <t>PR610 .O54 1992</t>
        </is>
      </c>
      <c r="E3470" t="inlineStr">
        <is>
          <t>0                      PR 0610000O  54          1992</t>
        </is>
      </c>
      <c r="F3470" t="inlineStr">
        <is>
          <t>Auden, MacNeice, Spender : the thirties poetry / Michael O'Neill and Gareth Reeves.</t>
        </is>
      </c>
      <c r="H3470" t="inlineStr">
        <is>
          <t>No</t>
        </is>
      </c>
      <c r="I3470" t="inlineStr">
        <is>
          <t>1</t>
        </is>
      </c>
      <c r="J3470" t="inlineStr">
        <is>
          <t>No</t>
        </is>
      </c>
      <c r="K3470" t="inlineStr">
        <is>
          <t>No</t>
        </is>
      </c>
      <c r="L3470" t="inlineStr">
        <is>
          <t>0</t>
        </is>
      </c>
      <c r="M3470" t="inlineStr">
        <is>
          <t>O'Neill, Michael, 1953-</t>
        </is>
      </c>
      <c r="N3470" t="inlineStr">
        <is>
          <t>New York : St. Martin's Press, 1992.</t>
        </is>
      </c>
      <c r="O3470" t="inlineStr">
        <is>
          <t>1992</t>
        </is>
      </c>
      <c r="Q3470" t="inlineStr">
        <is>
          <t>eng</t>
        </is>
      </c>
      <c r="R3470" t="inlineStr">
        <is>
          <t>nyu</t>
        </is>
      </c>
      <c r="T3470" t="inlineStr">
        <is>
          <t xml:space="preserve">PR </t>
        </is>
      </c>
      <c r="U3470" t="n">
        <v>1</v>
      </c>
      <c r="V3470" t="n">
        <v>1</v>
      </c>
      <c r="W3470" t="inlineStr">
        <is>
          <t>1993-04-27</t>
        </is>
      </c>
      <c r="X3470" t="inlineStr">
        <is>
          <t>1993-04-27</t>
        </is>
      </c>
      <c r="Y3470" t="inlineStr">
        <is>
          <t>1992-11-24</t>
        </is>
      </c>
      <c r="Z3470" t="inlineStr">
        <is>
          <t>1992-11-24</t>
        </is>
      </c>
      <c r="AA3470" t="n">
        <v>264</v>
      </c>
      <c r="AB3470" t="n">
        <v>233</v>
      </c>
      <c r="AC3470" t="n">
        <v>285</v>
      </c>
      <c r="AD3470" t="n">
        <v>3</v>
      </c>
      <c r="AE3470" t="n">
        <v>3</v>
      </c>
      <c r="AF3470" t="n">
        <v>17</v>
      </c>
      <c r="AG3470" t="n">
        <v>18</v>
      </c>
      <c r="AH3470" t="n">
        <v>8</v>
      </c>
      <c r="AI3470" t="n">
        <v>9</v>
      </c>
      <c r="AJ3470" t="n">
        <v>4</v>
      </c>
      <c r="AK3470" t="n">
        <v>4</v>
      </c>
      <c r="AL3470" t="n">
        <v>11</v>
      </c>
      <c r="AM3470" t="n">
        <v>11</v>
      </c>
      <c r="AN3470" t="n">
        <v>2</v>
      </c>
      <c r="AO3470" t="n">
        <v>2</v>
      </c>
      <c r="AP3470" t="n">
        <v>0</v>
      </c>
      <c r="AQ3470" t="n">
        <v>0</v>
      </c>
      <c r="AR3470" t="inlineStr">
        <is>
          <t>No</t>
        </is>
      </c>
      <c r="AS3470" t="inlineStr">
        <is>
          <t>No</t>
        </is>
      </c>
      <c r="AU3470">
        <f>HYPERLINK("https://creighton-primo.hosted.exlibrisgroup.com/primo-explore/search?tab=default_tab&amp;search_scope=EVERYTHING&amp;vid=01CRU&amp;lang=en_US&amp;offset=0&amp;query=any,contains,991001926489702656","Catalog Record")</f>
        <v/>
      </c>
      <c r="AV3470">
        <f>HYPERLINK("http://www.worldcat.org/oclc/24320234","WorldCat Record")</f>
        <v/>
      </c>
      <c r="AW3470" t="inlineStr">
        <is>
          <t>364291323:eng</t>
        </is>
      </c>
      <c r="AX3470" t="inlineStr">
        <is>
          <t>24320234</t>
        </is>
      </c>
      <c r="AY3470" t="inlineStr">
        <is>
          <t>991001926489702656</t>
        </is>
      </c>
      <c r="AZ3470" t="inlineStr">
        <is>
          <t>991001926489702656</t>
        </is>
      </c>
      <c r="BA3470" t="inlineStr">
        <is>
          <t>2272652670002656</t>
        </is>
      </c>
      <c r="BB3470" t="inlineStr">
        <is>
          <t>BOOK</t>
        </is>
      </c>
      <c r="BD3470" t="inlineStr">
        <is>
          <t>9780312068288</t>
        </is>
      </c>
      <c r="BE3470" t="inlineStr">
        <is>
          <t>32285001364974</t>
        </is>
      </c>
      <c r="BF3470" t="inlineStr">
        <is>
          <t>893898190</t>
        </is>
      </c>
    </row>
    <row r="3471">
      <c r="A3471" t="inlineStr">
        <is>
          <t>No</t>
        </is>
      </c>
      <c r="B3471" t="inlineStr">
        <is>
          <t>CURAL</t>
        </is>
      </c>
      <c r="C3471" t="inlineStr">
        <is>
          <t>SHELVES</t>
        </is>
      </c>
      <c r="D3471" t="inlineStr">
        <is>
          <t>PR610 .P4</t>
        </is>
      </c>
      <c r="E3471" t="inlineStr">
        <is>
          <t>0                      PR 0610000P  4</t>
        </is>
      </c>
      <c r="F3471" t="inlineStr">
        <is>
          <t>A history of modern poetry / David Perkins.</t>
        </is>
      </c>
      <c r="G3471" t="inlineStr">
        <is>
          <t>V.1</t>
        </is>
      </c>
      <c r="H3471" t="inlineStr">
        <is>
          <t>Yes</t>
        </is>
      </c>
      <c r="I3471" t="inlineStr">
        <is>
          <t>1</t>
        </is>
      </c>
      <c r="J3471" t="inlineStr">
        <is>
          <t>No</t>
        </is>
      </c>
      <c r="K3471" t="inlineStr">
        <is>
          <t>No</t>
        </is>
      </c>
      <c r="L3471" t="inlineStr">
        <is>
          <t>0</t>
        </is>
      </c>
      <c r="M3471" t="inlineStr">
        <is>
          <t>Perkins, David, 1928-</t>
        </is>
      </c>
      <c r="N3471" t="inlineStr">
        <is>
          <t>Cambridge, Mass. : Belknap Press of Harvard University Press, 1976-1987.</t>
        </is>
      </c>
      <c r="O3471" t="inlineStr">
        <is>
          <t>1976</t>
        </is>
      </c>
      <c r="Q3471" t="inlineStr">
        <is>
          <t>eng</t>
        </is>
      </c>
      <c r="R3471" t="inlineStr">
        <is>
          <t>mau</t>
        </is>
      </c>
      <c r="T3471" t="inlineStr">
        <is>
          <t xml:space="preserve">PR </t>
        </is>
      </c>
      <c r="U3471" t="n">
        <v>0</v>
      </c>
      <c r="V3471" t="n">
        <v>5</v>
      </c>
      <c r="X3471" t="inlineStr">
        <is>
          <t>2000-04-16</t>
        </is>
      </c>
      <c r="Y3471" t="inlineStr">
        <is>
          <t>1991-09-09</t>
        </is>
      </c>
      <c r="Z3471" t="inlineStr">
        <is>
          <t>1991-09-09</t>
        </is>
      </c>
      <c r="AA3471" t="n">
        <v>1667</v>
      </c>
      <c r="AB3471" t="n">
        <v>1518</v>
      </c>
      <c r="AC3471" t="n">
        <v>1697</v>
      </c>
      <c r="AD3471" t="n">
        <v>14</v>
      </c>
      <c r="AE3471" t="n">
        <v>14</v>
      </c>
      <c r="AF3471" t="n">
        <v>56</v>
      </c>
      <c r="AG3471" t="n">
        <v>59</v>
      </c>
      <c r="AH3471" t="n">
        <v>21</v>
      </c>
      <c r="AI3471" t="n">
        <v>24</v>
      </c>
      <c r="AJ3471" t="n">
        <v>11</v>
      </c>
      <c r="AK3471" t="n">
        <v>11</v>
      </c>
      <c r="AL3471" t="n">
        <v>25</v>
      </c>
      <c r="AM3471" t="n">
        <v>26</v>
      </c>
      <c r="AN3471" t="n">
        <v>11</v>
      </c>
      <c r="AO3471" t="n">
        <v>11</v>
      </c>
      <c r="AP3471" t="n">
        <v>0</v>
      </c>
      <c r="AQ3471" t="n">
        <v>0</v>
      </c>
      <c r="AR3471" t="inlineStr">
        <is>
          <t>No</t>
        </is>
      </c>
      <c r="AS3471" t="inlineStr">
        <is>
          <t>Yes</t>
        </is>
      </c>
      <c r="AT3471">
        <f>HYPERLINK("http://catalog.hathitrust.org/Record/000083865","HathiTrust Record")</f>
        <v/>
      </c>
      <c r="AU3471">
        <f>HYPERLINK("https://creighton-primo.hosted.exlibrisgroup.com/primo-explore/search?tab=default_tab&amp;search_scope=EVERYTHING&amp;vid=01CRU&amp;lang=en_US&amp;offset=0&amp;query=any,contains,991004148509702656","Catalog Record")</f>
        <v/>
      </c>
      <c r="AV3471">
        <f>HYPERLINK("http://www.worldcat.org/oclc/2518774","WorldCat Record")</f>
        <v/>
      </c>
      <c r="AW3471" t="inlineStr">
        <is>
          <t>2680710:eng</t>
        </is>
      </c>
      <c r="AX3471" t="inlineStr">
        <is>
          <t>2518774</t>
        </is>
      </c>
      <c r="AY3471" t="inlineStr">
        <is>
          <t>991004148509702656</t>
        </is>
      </c>
      <c r="AZ3471" t="inlineStr">
        <is>
          <t>991004148509702656</t>
        </is>
      </c>
      <c r="BA3471" t="inlineStr">
        <is>
          <t>2257485710002656</t>
        </is>
      </c>
      <c r="BB3471" t="inlineStr">
        <is>
          <t>BOOK</t>
        </is>
      </c>
      <c r="BD3471" t="inlineStr">
        <is>
          <t>9780674399419</t>
        </is>
      </c>
      <c r="BE3471" t="inlineStr">
        <is>
          <t>32285000738707</t>
        </is>
      </c>
      <c r="BF3471" t="inlineStr">
        <is>
          <t>893794538</t>
        </is>
      </c>
    </row>
    <row r="3472">
      <c r="A3472" t="inlineStr">
        <is>
          <t>No</t>
        </is>
      </c>
      <c r="B3472" t="inlineStr">
        <is>
          <t>CURAL</t>
        </is>
      </c>
      <c r="C3472" t="inlineStr">
        <is>
          <t>SHELVES</t>
        </is>
      </c>
      <c r="D3472" t="inlineStr">
        <is>
          <t>PR610 .P4</t>
        </is>
      </c>
      <c r="E3472" t="inlineStr">
        <is>
          <t>0                      PR 0610000P  4</t>
        </is>
      </c>
      <c r="F3472" t="inlineStr">
        <is>
          <t>A history of modern poetry / David Perkins.</t>
        </is>
      </c>
      <c r="G3472" t="inlineStr">
        <is>
          <t>V.2</t>
        </is>
      </c>
      <c r="H3472" t="inlineStr">
        <is>
          <t>Yes</t>
        </is>
      </c>
      <c r="I3472" t="inlineStr">
        <is>
          <t>1</t>
        </is>
      </c>
      <c r="J3472" t="inlineStr">
        <is>
          <t>No</t>
        </is>
      </c>
      <c r="K3472" t="inlineStr">
        <is>
          <t>No</t>
        </is>
      </c>
      <c r="L3472" t="inlineStr">
        <is>
          <t>0</t>
        </is>
      </c>
      <c r="M3472" t="inlineStr">
        <is>
          <t>Perkins, David, 1928-</t>
        </is>
      </c>
      <c r="N3472" t="inlineStr">
        <is>
          <t>Cambridge, Mass. : Belknap Press of Harvard University Press, 1976-1987.</t>
        </is>
      </c>
      <c r="O3472" t="inlineStr">
        <is>
          <t>1976</t>
        </is>
      </c>
      <c r="Q3472" t="inlineStr">
        <is>
          <t>eng</t>
        </is>
      </c>
      <c r="R3472" t="inlineStr">
        <is>
          <t>mau</t>
        </is>
      </c>
      <c r="T3472" t="inlineStr">
        <is>
          <t xml:space="preserve">PR </t>
        </is>
      </c>
      <c r="U3472" t="n">
        <v>5</v>
      </c>
      <c r="V3472" t="n">
        <v>5</v>
      </c>
      <c r="W3472" t="inlineStr">
        <is>
          <t>2000-04-16</t>
        </is>
      </c>
      <c r="X3472" t="inlineStr">
        <is>
          <t>2000-04-16</t>
        </is>
      </c>
      <c r="Y3472" t="inlineStr">
        <is>
          <t>1991-09-09</t>
        </is>
      </c>
      <c r="Z3472" t="inlineStr">
        <is>
          <t>1991-09-09</t>
        </is>
      </c>
      <c r="AA3472" t="n">
        <v>1667</v>
      </c>
      <c r="AB3472" t="n">
        <v>1518</v>
      </c>
      <c r="AC3472" t="n">
        <v>1697</v>
      </c>
      <c r="AD3472" t="n">
        <v>14</v>
      </c>
      <c r="AE3472" t="n">
        <v>14</v>
      </c>
      <c r="AF3472" t="n">
        <v>56</v>
      </c>
      <c r="AG3472" t="n">
        <v>59</v>
      </c>
      <c r="AH3472" t="n">
        <v>21</v>
      </c>
      <c r="AI3472" t="n">
        <v>24</v>
      </c>
      <c r="AJ3472" t="n">
        <v>11</v>
      </c>
      <c r="AK3472" t="n">
        <v>11</v>
      </c>
      <c r="AL3472" t="n">
        <v>25</v>
      </c>
      <c r="AM3472" t="n">
        <v>26</v>
      </c>
      <c r="AN3472" t="n">
        <v>11</v>
      </c>
      <c r="AO3472" t="n">
        <v>11</v>
      </c>
      <c r="AP3472" t="n">
        <v>0</v>
      </c>
      <c r="AQ3472" t="n">
        <v>0</v>
      </c>
      <c r="AR3472" t="inlineStr">
        <is>
          <t>No</t>
        </is>
      </c>
      <c r="AS3472" t="inlineStr">
        <is>
          <t>Yes</t>
        </is>
      </c>
      <c r="AT3472">
        <f>HYPERLINK("http://catalog.hathitrust.org/Record/000083865","HathiTrust Record")</f>
        <v/>
      </c>
      <c r="AU3472">
        <f>HYPERLINK("https://creighton-primo.hosted.exlibrisgroup.com/primo-explore/search?tab=default_tab&amp;search_scope=EVERYTHING&amp;vid=01CRU&amp;lang=en_US&amp;offset=0&amp;query=any,contains,991004148509702656","Catalog Record")</f>
        <v/>
      </c>
      <c r="AV3472">
        <f>HYPERLINK("http://www.worldcat.org/oclc/2518774","WorldCat Record")</f>
        <v/>
      </c>
      <c r="AW3472" t="inlineStr">
        <is>
          <t>2680710:eng</t>
        </is>
      </c>
      <c r="AX3472" t="inlineStr">
        <is>
          <t>2518774</t>
        </is>
      </c>
      <c r="AY3472" t="inlineStr">
        <is>
          <t>991004148509702656</t>
        </is>
      </c>
      <c r="AZ3472" t="inlineStr">
        <is>
          <t>991004148509702656</t>
        </is>
      </c>
      <c r="BA3472" t="inlineStr">
        <is>
          <t>2257485710002656</t>
        </is>
      </c>
      <c r="BB3472" t="inlineStr">
        <is>
          <t>BOOK</t>
        </is>
      </c>
      <c r="BD3472" t="inlineStr">
        <is>
          <t>9780674399419</t>
        </is>
      </c>
      <c r="BE3472" t="inlineStr">
        <is>
          <t>32285000738715</t>
        </is>
      </c>
      <c r="BF3472" t="inlineStr">
        <is>
          <t>893775692</t>
        </is>
      </c>
    </row>
    <row r="3473">
      <c r="A3473" t="inlineStr">
        <is>
          <t>No</t>
        </is>
      </c>
      <c r="B3473" t="inlineStr">
        <is>
          <t>CURAL</t>
        </is>
      </c>
      <c r="C3473" t="inlineStr">
        <is>
          <t>SHELVES</t>
        </is>
      </c>
      <c r="D3473" t="inlineStr">
        <is>
          <t>PR610 .S45</t>
        </is>
      </c>
      <c r="E3473" t="inlineStr">
        <is>
          <t>0                      PR 0610000S  45</t>
        </is>
      </c>
      <c r="F3473" t="inlineStr">
        <is>
          <t>Out of battle : the poetry of the Great War.</t>
        </is>
      </c>
      <c r="H3473" t="inlineStr">
        <is>
          <t>No</t>
        </is>
      </c>
      <c r="I3473" t="inlineStr">
        <is>
          <t>1</t>
        </is>
      </c>
      <c r="J3473" t="inlineStr">
        <is>
          <t>No</t>
        </is>
      </c>
      <c r="K3473" t="inlineStr">
        <is>
          <t>No</t>
        </is>
      </c>
      <c r="L3473" t="inlineStr">
        <is>
          <t>0</t>
        </is>
      </c>
      <c r="M3473" t="inlineStr">
        <is>
          <t>Silkin, Jon.</t>
        </is>
      </c>
      <c r="N3473" t="inlineStr">
        <is>
          <t>London : Oxford University Press, 1972.</t>
        </is>
      </c>
      <c r="O3473" t="inlineStr">
        <is>
          <t>1972</t>
        </is>
      </c>
      <c r="Q3473" t="inlineStr">
        <is>
          <t>eng</t>
        </is>
      </c>
      <c r="R3473" t="inlineStr">
        <is>
          <t>enk</t>
        </is>
      </c>
      <c r="T3473" t="inlineStr">
        <is>
          <t xml:space="preserve">PR </t>
        </is>
      </c>
      <c r="U3473" t="n">
        <v>5</v>
      </c>
      <c r="V3473" t="n">
        <v>5</v>
      </c>
      <c r="W3473" t="inlineStr">
        <is>
          <t>2008-11-23</t>
        </is>
      </c>
      <c r="X3473" t="inlineStr">
        <is>
          <t>2008-11-23</t>
        </is>
      </c>
      <c r="Y3473" t="inlineStr">
        <is>
          <t>1991-09-11</t>
        </is>
      </c>
      <c r="Z3473" t="inlineStr">
        <is>
          <t>1991-09-11</t>
        </is>
      </c>
      <c r="AA3473" t="n">
        <v>669</v>
      </c>
      <c r="AB3473" t="n">
        <v>465</v>
      </c>
      <c r="AC3473" t="n">
        <v>676</v>
      </c>
      <c r="AD3473" t="n">
        <v>2</v>
      </c>
      <c r="AE3473" t="n">
        <v>3</v>
      </c>
      <c r="AF3473" t="n">
        <v>14</v>
      </c>
      <c r="AG3473" t="n">
        <v>30</v>
      </c>
      <c r="AH3473" t="n">
        <v>3</v>
      </c>
      <c r="AI3473" t="n">
        <v>12</v>
      </c>
      <c r="AJ3473" t="n">
        <v>5</v>
      </c>
      <c r="AK3473" t="n">
        <v>7</v>
      </c>
      <c r="AL3473" t="n">
        <v>9</v>
      </c>
      <c r="AM3473" t="n">
        <v>18</v>
      </c>
      <c r="AN3473" t="n">
        <v>1</v>
      </c>
      <c r="AO3473" t="n">
        <v>2</v>
      </c>
      <c r="AP3473" t="n">
        <v>0</v>
      </c>
      <c r="AQ3473" t="n">
        <v>0</v>
      </c>
      <c r="AR3473" t="inlineStr">
        <is>
          <t>No</t>
        </is>
      </c>
      <c r="AS3473" t="inlineStr">
        <is>
          <t>No</t>
        </is>
      </c>
      <c r="AU3473">
        <f>HYPERLINK("https://creighton-primo.hosted.exlibrisgroup.com/primo-explore/search?tab=default_tab&amp;search_scope=EVERYTHING&amp;vid=01CRU&amp;lang=en_US&amp;offset=0&amp;query=any,contains,991002887529702656","Catalog Record")</f>
        <v/>
      </c>
      <c r="AV3473">
        <f>HYPERLINK("http://www.worldcat.org/oclc/509581","WorldCat Record")</f>
        <v/>
      </c>
      <c r="AW3473" t="inlineStr">
        <is>
          <t>836691961:eng</t>
        </is>
      </c>
      <c r="AX3473" t="inlineStr">
        <is>
          <t>509581</t>
        </is>
      </c>
      <c r="AY3473" t="inlineStr">
        <is>
          <t>991002887529702656</t>
        </is>
      </c>
      <c r="AZ3473" t="inlineStr">
        <is>
          <t>991002887529702656</t>
        </is>
      </c>
      <c r="BA3473" t="inlineStr">
        <is>
          <t>2261643040002656</t>
        </is>
      </c>
      <c r="BB3473" t="inlineStr">
        <is>
          <t>BOOK</t>
        </is>
      </c>
      <c r="BD3473" t="inlineStr">
        <is>
          <t>9780192118042</t>
        </is>
      </c>
      <c r="BE3473" t="inlineStr">
        <is>
          <t>32285000738756</t>
        </is>
      </c>
      <c r="BF3473" t="inlineStr">
        <is>
          <t>893257847</t>
        </is>
      </c>
    </row>
    <row r="3474">
      <c r="A3474" t="inlineStr">
        <is>
          <t>No</t>
        </is>
      </c>
      <c r="B3474" t="inlineStr">
        <is>
          <t>CURAL</t>
        </is>
      </c>
      <c r="C3474" t="inlineStr">
        <is>
          <t>SHELVES</t>
        </is>
      </c>
      <c r="D3474" t="inlineStr">
        <is>
          <t>PR610 .S5 1970</t>
        </is>
      </c>
      <c r="E3474" t="inlineStr">
        <is>
          <t>0                      PR 0610000S  5           1970</t>
        </is>
      </c>
      <c r="F3474" t="inlineStr">
        <is>
          <t>Aspects of modern poetry.</t>
        </is>
      </c>
      <c r="H3474" t="inlineStr">
        <is>
          <t>No</t>
        </is>
      </c>
      <c r="I3474" t="inlineStr">
        <is>
          <t>1</t>
        </is>
      </c>
      <c r="J3474" t="inlineStr">
        <is>
          <t>No</t>
        </is>
      </c>
      <c r="K3474" t="inlineStr">
        <is>
          <t>No</t>
        </is>
      </c>
      <c r="L3474" t="inlineStr">
        <is>
          <t>0</t>
        </is>
      </c>
      <c r="M3474" t="inlineStr">
        <is>
          <t>Sitwell, Edith, 1887-1964.</t>
        </is>
      </c>
      <c r="N3474" t="inlineStr">
        <is>
          <t>Freeport, N.Y. : Books for Libraries Press, [1970]</t>
        </is>
      </c>
      <c r="O3474" t="inlineStr">
        <is>
          <t>1970</t>
        </is>
      </c>
      <c r="Q3474" t="inlineStr">
        <is>
          <t>eng</t>
        </is>
      </c>
      <c r="R3474" t="inlineStr">
        <is>
          <t>nyu</t>
        </is>
      </c>
      <c r="S3474" t="inlineStr">
        <is>
          <t>Essay index reprint series</t>
        </is>
      </c>
      <c r="T3474" t="inlineStr">
        <is>
          <t xml:space="preserve">PR </t>
        </is>
      </c>
      <c r="U3474" t="n">
        <v>3</v>
      </c>
      <c r="V3474" t="n">
        <v>3</v>
      </c>
      <c r="W3474" t="inlineStr">
        <is>
          <t>1999-03-25</t>
        </is>
      </c>
      <c r="X3474" t="inlineStr">
        <is>
          <t>1999-03-25</t>
        </is>
      </c>
      <c r="Y3474" t="inlineStr">
        <is>
          <t>1991-02-04</t>
        </is>
      </c>
      <c r="Z3474" t="inlineStr">
        <is>
          <t>1991-02-04</t>
        </is>
      </c>
      <c r="AA3474" t="n">
        <v>290</v>
      </c>
      <c r="AB3474" t="n">
        <v>277</v>
      </c>
      <c r="AC3474" t="n">
        <v>516</v>
      </c>
      <c r="AD3474" t="n">
        <v>2</v>
      </c>
      <c r="AE3474" t="n">
        <v>6</v>
      </c>
      <c r="AF3474" t="n">
        <v>15</v>
      </c>
      <c r="AG3474" t="n">
        <v>30</v>
      </c>
      <c r="AH3474" t="n">
        <v>6</v>
      </c>
      <c r="AI3474" t="n">
        <v>11</v>
      </c>
      <c r="AJ3474" t="n">
        <v>5</v>
      </c>
      <c r="AK3474" t="n">
        <v>9</v>
      </c>
      <c r="AL3474" t="n">
        <v>7</v>
      </c>
      <c r="AM3474" t="n">
        <v>13</v>
      </c>
      <c r="AN3474" t="n">
        <v>1</v>
      </c>
      <c r="AO3474" t="n">
        <v>5</v>
      </c>
      <c r="AP3474" t="n">
        <v>0</v>
      </c>
      <c r="AQ3474" t="n">
        <v>0</v>
      </c>
      <c r="AR3474" t="inlineStr">
        <is>
          <t>No</t>
        </is>
      </c>
      <c r="AS3474" t="inlineStr">
        <is>
          <t>No</t>
        </is>
      </c>
      <c r="AU3474">
        <f>HYPERLINK("https://creighton-primo.hosted.exlibrisgroup.com/primo-explore/search?tab=default_tab&amp;search_scope=EVERYTHING&amp;vid=01CRU&amp;lang=en_US&amp;offset=0&amp;query=any,contains,991000524489702656","Catalog Record")</f>
        <v/>
      </c>
      <c r="AV3474">
        <f>HYPERLINK("http://www.worldcat.org/oclc/88802","WorldCat Record")</f>
        <v/>
      </c>
      <c r="AW3474" t="inlineStr">
        <is>
          <t>1291061:eng</t>
        </is>
      </c>
      <c r="AX3474" t="inlineStr">
        <is>
          <t>88802</t>
        </is>
      </c>
      <c r="AY3474" t="inlineStr">
        <is>
          <t>991000524489702656</t>
        </is>
      </c>
      <c r="AZ3474" t="inlineStr">
        <is>
          <t>991000524489702656</t>
        </is>
      </c>
      <c r="BA3474" t="inlineStr">
        <is>
          <t>2269320810002656</t>
        </is>
      </c>
      <c r="BB3474" t="inlineStr">
        <is>
          <t>BOOK</t>
        </is>
      </c>
      <c r="BD3474" t="inlineStr">
        <is>
          <t>9780836916843</t>
        </is>
      </c>
      <c r="BE3474" t="inlineStr">
        <is>
          <t>32285000471002</t>
        </is>
      </c>
      <c r="BF3474" t="inlineStr">
        <is>
          <t>893689779</t>
        </is>
      </c>
    </row>
    <row r="3475">
      <c r="A3475" t="inlineStr">
        <is>
          <t>No</t>
        </is>
      </c>
      <c r="B3475" t="inlineStr">
        <is>
          <t>CURAL</t>
        </is>
      </c>
      <c r="C3475" t="inlineStr">
        <is>
          <t>SHELVES</t>
        </is>
      </c>
      <c r="D3475" t="inlineStr">
        <is>
          <t>PR611 .B37 2000</t>
        </is>
      </c>
      <c r="E3475" t="inlineStr">
        <is>
          <t>0                      PR 0611000B  37          2000</t>
        </is>
      </c>
      <c r="F3475" t="inlineStr">
        <is>
          <t>Contemporary British poetry and the city / Peter Barry.</t>
        </is>
      </c>
      <c r="H3475" t="inlineStr">
        <is>
          <t>No</t>
        </is>
      </c>
      <c r="I3475" t="inlineStr">
        <is>
          <t>1</t>
        </is>
      </c>
      <c r="J3475" t="inlineStr">
        <is>
          <t>No</t>
        </is>
      </c>
      <c r="K3475" t="inlineStr">
        <is>
          <t>No</t>
        </is>
      </c>
      <c r="L3475" t="inlineStr">
        <is>
          <t>0</t>
        </is>
      </c>
      <c r="M3475" t="inlineStr">
        <is>
          <t>Barry, Peter, 1947-</t>
        </is>
      </c>
      <c r="N3475" t="inlineStr">
        <is>
          <t>Manchester ; New York : Manchester University Press, 2000.</t>
        </is>
      </c>
      <c r="O3475" t="inlineStr">
        <is>
          <t>2000</t>
        </is>
      </c>
      <c r="Q3475" t="inlineStr">
        <is>
          <t>eng</t>
        </is>
      </c>
      <c r="R3475" t="inlineStr">
        <is>
          <t>enk</t>
        </is>
      </c>
      <c r="T3475" t="inlineStr">
        <is>
          <t xml:space="preserve">PR </t>
        </is>
      </c>
      <c r="U3475" t="n">
        <v>1</v>
      </c>
      <c r="V3475" t="n">
        <v>1</v>
      </c>
      <c r="W3475" t="inlineStr">
        <is>
          <t>2001-11-08</t>
        </is>
      </c>
      <c r="X3475" t="inlineStr">
        <is>
          <t>2001-11-08</t>
        </is>
      </c>
      <c r="Y3475" t="inlineStr">
        <is>
          <t>2001-11-08</t>
        </is>
      </c>
      <c r="Z3475" t="inlineStr">
        <is>
          <t>2001-11-08</t>
        </is>
      </c>
      <c r="AA3475" t="n">
        <v>349</v>
      </c>
      <c r="AB3475" t="n">
        <v>243</v>
      </c>
      <c r="AC3475" t="n">
        <v>245</v>
      </c>
      <c r="AD3475" t="n">
        <v>1</v>
      </c>
      <c r="AE3475" t="n">
        <v>1</v>
      </c>
      <c r="AF3475" t="n">
        <v>11</v>
      </c>
      <c r="AG3475" t="n">
        <v>11</v>
      </c>
      <c r="AH3475" t="n">
        <v>4</v>
      </c>
      <c r="AI3475" t="n">
        <v>4</v>
      </c>
      <c r="AJ3475" t="n">
        <v>4</v>
      </c>
      <c r="AK3475" t="n">
        <v>4</v>
      </c>
      <c r="AL3475" t="n">
        <v>8</v>
      </c>
      <c r="AM3475" t="n">
        <v>8</v>
      </c>
      <c r="AN3475" t="n">
        <v>0</v>
      </c>
      <c r="AO3475" t="n">
        <v>0</v>
      </c>
      <c r="AP3475" t="n">
        <v>0</v>
      </c>
      <c r="AQ3475" t="n">
        <v>0</v>
      </c>
      <c r="AR3475" t="inlineStr">
        <is>
          <t>No</t>
        </is>
      </c>
      <c r="AS3475" t="inlineStr">
        <is>
          <t>Yes</t>
        </is>
      </c>
      <c r="AT3475">
        <f>HYPERLINK("http://catalog.hathitrust.org/Record/004167211","HathiTrust Record")</f>
        <v/>
      </c>
      <c r="AU3475">
        <f>HYPERLINK("https://creighton-primo.hosted.exlibrisgroup.com/primo-explore/search?tab=default_tab&amp;search_scope=EVERYTHING&amp;vid=01CRU&amp;lang=en_US&amp;offset=0&amp;query=any,contains,991003643659702656","Catalog Record")</f>
        <v/>
      </c>
      <c r="AV3475">
        <f>HYPERLINK("http://www.worldcat.org/oclc/45869010","WorldCat Record")</f>
        <v/>
      </c>
      <c r="AW3475" t="inlineStr">
        <is>
          <t>35478181:eng</t>
        </is>
      </c>
      <c r="AX3475" t="inlineStr">
        <is>
          <t>45869010</t>
        </is>
      </c>
      <c r="AY3475" t="inlineStr">
        <is>
          <t>991003643659702656</t>
        </is>
      </c>
      <c r="AZ3475" t="inlineStr">
        <is>
          <t>991003643659702656</t>
        </is>
      </c>
      <c r="BA3475" t="inlineStr">
        <is>
          <t>2260011470002656</t>
        </is>
      </c>
      <c r="BB3475" t="inlineStr">
        <is>
          <t>BOOK</t>
        </is>
      </c>
      <c r="BD3475" t="inlineStr">
        <is>
          <t>9780719055935</t>
        </is>
      </c>
      <c r="BE3475" t="inlineStr">
        <is>
          <t>32285004419783</t>
        </is>
      </c>
      <c r="BF3475" t="inlineStr">
        <is>
          <t>893441532</t>
        </is>
      </c>
    </row>
    <row r="3476">
      <c r="A3476" t="inlineStr">
        <is>
          <t>No</t>
        </is>
      </c>
      <c r="B3476" t="inlineStr">
        <is>
          <t>CURAL</t>
        </is>
      </c>
      <c r="C3476" t="inlineStr">
        <is>
          <t>SHELVES</t>
        </is>
      </c>
      <c r="D3476" t="inlineStr">
        <is>
          <t>PR611 .K56</t>
        </is>
      </c>
      <c r="E3476" t="inlineStr">
        <is>
          <t>0                      PR 0611000K  56</t>
        </is>
      </c>
      <c r="F3476" t="inlineStr">
        <is>
          <t>Nine contemporary poets : a critical introduction / P. R. King.</t>
        </is>
      </c>
      <c r="H3476" t="inlineStr">
        <is>
          <t>No</t>
        </is>
      </c>
      <c r="I3476" t="inlineStr">
        <is>
          <t>1</t>
        </is>
      </c>
      <c r="J3476" t="inlineStr">
        <is>
          <t>No</t>
        </is>
      </c>
      <c r="K3476" t="inlineStr">
        <is>
          <t>No</t>
        </is>
      </c>
      <c r="L3476" t="inlineStr">
        <is>
          <t>0</t>
        </is>
      </c>
      <c r="M3476" t="inlineStr">
        <is>
          <t>King, P. R. (Peter R.)</t>
        </is>
      </c>
      <c r="N3476" t="inlineStr">
        <is>
          <t>London ; New York : Methuen, 1979.</t>
        </is>
      </c>
      <c r="O3476" t="inlineStr">
        <is>
          <t>1979</t>
        </is>
      </c>
      <c r="Q3476" t="inlineStr">
        <is>
          <t>eng</t>
        </is>
      </c>
      <c r="R3476" t="inlineStr">
        <is>
          <t>enk</t>
        </is>
      </c>
      <c r="T3476" t="inlineStr">
        <is>
          <t xml:space="preserve">PR </t>
        </is>
      </c>
      <c r="U3476" t="n">
        <v>1</v>
      </c>
      <c r="V3476" t="n">
        <v>1</v>
      </c>
      <c r="W3476" t="inlineStr">
        <is>
          <t>1993-03-02</t>
        </is>
      </c>
      <c r="X3476" t="inlineStr">
        <is>
          <t>1993-03-02</t>
        </is>
      </c>
      <c r="Y3476" t="inlineStr">
        <is>
          <t>1991-09-09</t>
        </is>
      </c>
      <c r="Z3476" t="inlineStr">
        <is>
          <t>1991-09-09</t>
        </is>
      </c>
      <c r="AA3476" t="n">
        <v>486</v>
      </c>
      <c r="AB3476" t="n">
        <v>274</v>
      </c>
      <c r="AC3476" t="n">
        <v>279</v>
      </c>
      <c r="AD3476" t="n">
        <v>3</v>
      </c>
      <c r="AE3476" t="n">
        <v>3</v>
      </c>
      <c r="AF3476" t="n">
        <v>13</v>
      </c>
      <c r="AG3476" t="n">
        <v>13</v>
      </c>
      <c r="AH3476" t="n">
        <v>7</v>
      </c>
      <c r="AI3476" t="n">
        <v>7</v>
      </c>
      <c r="AJ3476" t="n">
        <v>3</v>
      </c>
      <c r="AK3476" t="n">
        <v>3</v>
      </c>
      <c r="AL3476" t="n">
        <v>6</v>
      </c>
      <c r="AM3476" t="n">
        <v>6</v>
      </c>
      <c r="AN3476" t="n">
        <v>2</v>
      </c>
      <c r="AO3476" t="n">
        <v>2</v>
      </c>
      <c r="AP3476" t="n">
        <v>0</v>
      </c>
      <c r="AQ3476" t="n">
        <v>0</v>
      </c>
      <c r="AR3476" t="inlineStr">
        <is>
          <t>No</t>
        </is>
      </c>
      <c r="AS3476" t="inlineStr">
        <is>
          <t>No</t>
        </is>
      </c>
      <c r="AU3476">
        <f>HYPERLINK("https://creighton-primo.hosted.exlibrisgroup.com/primo-explore/search?tab=default_tab&amp;search_scope=EVERYTHING&amp;vid=01CRU&amp;lang=en_US&amp;offset=0&amp;query=any,contains,991004907839702656","Catalog Record")</f>
        <v/>
      </c>
      <c r="AV3476">
        <f>HYPERLINK("http://www.worldcat.org/oclc/5965880","WorldCat Record")</f>
        <v/>
      </c>
      <c r="AW3476" t="inlineStr">
        <is>
          <t>197332539:eng</t>
        </is>
      </c>
      <c r="AX3476" t="inlineStr">
        <is>
          <t>5965880</t>
        </is>
      </c>
      <c r="AY3476" t="inlineStr">
        <is>
          <t>991004907839702656</t>
        </is>
      </c>
      <c r="AZ3476" t="inlineStr">
        <is>
          <t>991004907839702656</t>
        </is>
      </c>
      <c r="BA3476" t="inlineStr">
        <is>
          <t>2270276950002656</t>
        </is>
      </c>
      <c r="BB3476" t="inlineStr">
        <is>
          <t>BOOK</t>
        </is>
      </c>
      <c r="BD3476" t="inlineStr">
        <is>
          <t>9780416718508</t>
        </is>
      </c>
      <c r="BE3476" t="inlineStr">
        <is>
          <t>32285000738848</t>
        </is>
      </c>
      <c r="BF3476" t="inlineStr">
        <is>
          <t>893325923</t>
        </is>
      </c>
    </row>
    <row r="3477">
      <c r="A3477" t="inlineStr">
        <is>
          <t>No</t>
        </is>
      </c>
      <c r="B3477" t="inlineStr">
        <is>
          <t>CURAL</t>
        </is>
      </c>
      <c r="C3477" t="inlineStr">
        <is>
          <t>SHELVES</t>
        </is>
      </c>
      <c r="D3477" t="inlineStr">
        <is>
          <t>PR625 .C68 1982</t>
        </is>
      </c>
      <c r="E3477" t="inlineStr">
        <is>
          <t>0                      PR 0625000C  68          1982</t>
        </is>
      </c>
      <c r="F3477" t="inlineStr">
        <is>
          <t>Outline history of British drama / Richard Courtney.</t>
        </is>
      </c>
      <c r="H3477" t="inlineStr">
        <is>
          <t>No</t>
        </is>
      </c>
      <c r="I3477" t="inlineStr">
        <is>
          <t>1</t>
        </is>
      </c>
      <c r="J3477" t="inlineStr">
        <is>
          <t>No</t>
        </is>
      </c>
      <c r="K3477" t="inlineStr">
        <is>
          <t>No</t>
        </is>
      </c>
      <c r="L3477" t="inlineStr">
        <is>
          <t>0</t>
        </is>
      </c>
      <c r="M3477" t="inlineStr">
        <is>
          <t>Courtney, Richard.</t>
        </is>
      </c>
      <c r="N3477" t="inlineStr">
        <is>
          <t>Totowa, N.J. : Littlefield, Adams, c1982.</t>
        </is>
      </c>
      <c r="O3477" t="inlineStr">
        <is>
          <t>1982</t>
        </is>
      </c>
      <c r="Q3477" t="inlineStr">
        <is>
          <t>eng</t>
        </is>
      </c>
      <c r="R3477" t="inlineStr">
        <is>
          <t>nju</t>
        </is>
      </c>
      <c r="S3477" t="inlineStr">
        <is>
          <t>Littlefield, Adams quality paperback ; 373</t>
        </is>
      </c>
      <c r="T3477" t="inlineStr">
        <is>
          <t xml:space="preserve">PR </t>
        </is>
      </c>
      <c r="U3477" t="n">
        <v>2</v>
      </c>
      <c r="V3477" t="n">
        <v>2</v>
      </c>
      <c r="W3477" t="inlineStr">
        <is>
          <t>1993-09-17</t>
        </is>
      </c>
      <c r="X3477" t="inlineStr">
        <is>
          <t>1993-09-17</t>
        </is>
      </c>
      <c r="Y3477" t="inlineStr">
        <is>
          <t>1991-09-10</t>
        </is>
      </c>
      <c r="Z3477" t="inlineStr">
        <is>
          <t>1991-09-10</t>
        </is>
      </c>
      <c r="AA3477" t="n">
        <v>224</v>
      </c>
      <c r="AB3477" t="n">
        <v>185</v>
      </c>
      <c r="AC3477" t="n">
        <v>191</v>
      </c>
      <c r="AD3477" t="n">
        <v>2</v>
      </c>
      <c r="AE3477" t="n">
        <v>2</v>
      </c>
      <c r="AF3477" t="n">
        <v>10</v>
      </c>
      <c r="AG3477" t="n">
        <v>10</v>
      </c>
      <c r="AH3477" t="n">
        <v>6</v>
      </c>
      <c r="AI3477" t="n">
        <v>6</v>
      </c>
      <c r="AJ3477" t="n">
        <v>1</v>
      </c>
      <c r="AK3477" t="n">
        <v>1</v>
      </c>
      <c r="AL3477" t="n">
        <v>5</v>
      </c>
      <c r="AM3477" t="n">
        <v>5</v>
      </c>
      <c r="AN3477" t="n">
        <v>1</v>
      </c>
      <c r="AO3477" t="n">
        <v>1</v>
      </c>
      <c r="AP3477" t="n">
        <v>0</v>
      </c>
      <c r="AQ3477" t="n">
        <v>0</v>
      </c>
      <c r="AR3477" t="inlineStr">
        <is>
          <t>No</t>
        </is>
      </c>
      <c r="AS3477" t="inlineStr">
        <is>
          <t>No</t>
        </is>
      </c>
      <c r="AU3477">
        <f>HYPERLINK("https://creighton-primo.hosted.exlibrisgroup.com/primo-explore/search?tab=default_tab&amp;search_scope=EVERYTHING&amp;vid=01CRU&amp;lang=en_US&amp;offset=0&amp;query=any,contains,991005237709702656","Catalog Record")</f>
        <v/>
      </c>
      <c r="AV3477">
        <f>HYPERLINK("http://www.worldcat.org/oclc/8389005","WorldCat Record")</f>
        <v/>
      </c>
      <c r="AW3477" t="inlineStr">
        <is>
          <t>487767:eng</t>
        </is>
      </c>
      <c r="AX3477" t="inlineStr">
        <is>
          <t>8389005</t>
        </is>
      </c>
      <c r="AY3477" t="inlineStr">
        <is>
          <t>991005237709702656</t>
        </is>
      </c>
      <c r="AZ3477" t="inlineStr">
        <is>
          <t>991005237709702656</t>
        </is>
      </c>
      <c r="BA3477" t="inlineStr">
        <is>
          <t>2261437240002656</t>
        </is>
      </c>
      <c r="BB3477" t="inlineStr">
        <is>
          <t>BOOK</t>
        </is>
      </c>
      <c r="BD3477" t="inlineStr">
        <is>
          <t>9780822603733</t>
        </is>
      </c>
      <c r="BE3477" t="inlineStr">
        <is>
          <t>32285000739168</t>
        </is>
      </c>
      <c r="BF3477" t="inlineStr">
        <is>
          <t>893501564</t>
        </is>
      </c>
    </row>
    <row r="3478">
      <c r="A3478" t="inlineStr">
        <is>
          <t>No</t>
        </is>
      </c>
      <c r="B3478" t="inlineStr">
        <is>
          <t>CURAL</t>
        </is>
      </c>
      <c r="C3478" t="inlineStr">
        <is>
          <t>SHELVES</t>
        </is>
      </c>
      <c r="D3478" t="inlineStr">
        <is>
          <t>PR625 .E38</t>
        </is>
      </c>
      <c r="E3478" t="inlineStr">
        <is>
          <t>0                      PR 0625000E  38</t>
        </is>
      </c>
      <c r="F3478" t="inlineStr">
        <is>
          <t>Threshold of a nation : a study in English and Irish Drama / Philip Edwards.</t>
        </is>
      </c>
      <c r="H3478" t="inlineStr">
        <is>
          <t>No</t>
        </is>
      </c>
      <c r="I3478" t="inlineStr">
        <is>
          <t>1</t>
        </is>
      </c>
      <c r="J3478" t="inlineStr">
        <is>
          <t>No</t>
        </is>
      </c>
      <c r="K3478" t="inlineStr">
        <is>
          <t>No</t>
        </is>
      </c>
      <c r="L3478" t="inlineStr">
        <is>
          <t>0</t>
        </is>
      </c>
      <c r="M3478" t="inlineStr">
        <is>
          <t>Edwards, Philip, 1923-</t>
        </is>
      </c>
      <c r="N3478" t="inlineStr">
        <is>
          <t>Cambridge [Eng.] : New York : Cambridge University Press, 1979.</t>
        </is>
      </c>
      <c r="O3478" t="inlineStr">
        <is>
          <t>1979</t>
        </is>
      </c>
      <c r="Q3478" t="inlineStr">
        <is>
          <t>eng</t>
        </is>
      </c>
      <c r="R3478" t="inlineStr">
        <is>
          <t>enk</t>
        </is>
      </c>
      <c r="T3478" t="inlineStr">
        <is>
          <t xml:space="preserve">PR </t>
        </is>
      </c>
      <c r="U3478" t="n">
        <v>1</v>
      </c>
      <c r="V3478" t="n">
        <v>1</v>
      </c>
      <c r="W3478" t="inlineStr">
        <is>
          <t>2009-05-01</t>
        </is>
      </c>
      <c r="X3478" t="inlineStr">
        <is>
          <t>2009-05-01</t>
        </is>
      </c>
      <c r="Y3478" t="inlineStr">
        <is>
          <t>1991-09-10</t>
        </is>
      </c>
      <c r="Z3478" t="inlineStr">
        <is>
          <t>1991-09-10</t>
        </is>
      </c>
      <c r="AA3478" t="n">
        <v>581</v>
      </c>
      <c r="AB3478" t="n">
        <v>410</v>
      </c>
      <c r="AC3478" t="n">
        <v>415</v>
      </c>
      <c r="AD3478" t="n">
        <v>5</v>
      </c>
      <c r="AE3478" t="n">
        <v>5</v>
      </c>
      <c r="AF3478" t="n">
        <v>21</v>
      </c>
      <c r="AG3478" t="n">
        <v>21</v>
      </c>
      <c r="AH3478" t="n">
        <v>6</v>
      </c>
      <c r="AI3478" t="n">
        <v>6</v>
      </c>
      <c r="AJ3478" t="n">
        <v>6</v>
      </c>
      <c r="AK3478" t="n">
        <v>6</v>
      </c>
      <c r="AL3478" t="n">
        <v>9</v>
      </c>
      <c r="AM3478" t="n">
        <v>9</v>
      </c>
      <c r="AN3478" t="n">
        <v>4</v>
      </c>
      <c r="AO3478" t="n">
        <v>4</v>
      </c>
      <c r="AP3478" t="n">
        <v>0</v>
      </c>
      <c r="AQ3478" t="n">
        <v>0</v>
      </c>
      <c r="AR3478" t="inlineStr">
        <is>
          <t>No</t>
        </is>
      </c>
      <c r="AS3478" t="inlineStr">
        <is>
          <t>No</t>
        </is>
      </c>
      <c r="AU3478">
        <f>HYPERLINK("https://creighton-primo.hosted.exlibrisgroup.com/primo-explore/search?tab=default_tab&amp;search_scope=EVERYTHING&amp;vid=01CRU&amp;lang=en_US&amp;offset=0&amp;query=any,contains,991004685719702656","Catalog Record")</f>
        <v/>
      </c>
      <c r="AV3478">
        <f>HYPERLINK("http://www.worldcat.org/oclc/4592672","WorldCat Record")</f>
        <v/>
      </c>
      <c r="AW3478" t="inlineStr">
        <is>
          <t>865169703:eng</t>
        </is>
      </c>
      <c r="AX3478" t="inlineStr">
        <is>
          <t>4592672</t>
        </is>
      </c>
      <c r="AY3478" t="inlineStr">
        <is>
          <t>991004685719702656</t>
        </is>
      </c>
      <c r="AZ3478" t="inlineStr">
        <is>
          <t>991004685719702656</t>
        </is>
      </c>
      <c r="BA3478" t="inlineStr">
        <is>
          <t>2272595180002656</t>
        </is>
      </c>
      <c r="BB3478" t="inlineStr">
        <is>
          <t>BOOK</t>
        </is>
      </c>
      <c r="BD3478" t="inlineStr">
        <is>
          <t>9780521224635</t>
        </is>
      </c>
      <c r="BE3478" t="inlineStr">
        <is>
          <t>32285000739184</t>
        </is>
      </c>
      <c r="BF3478" t="inlineStr">
        <is>
          <t>893593968</t>
        </is>
      </c>
    </row>
    <row r="3479">
      <c r="A3479" t="inlineStr">
        <is>
          <t>No</t>
        </is>
      </c>
      <c r="B3479" t="inlineStr">
        <is>
          <t>CURAL</t>
        </is>
      </c>
      <c r="C3479" t="inlineStr">
        <is>
          <t>SHELVES</t>
        </is>
      </c>
      <c r="D3479" t="inlineStr">
        <is>
          <t>PR625 .E5 1987</t>
        </is>
      </c>
      <c r="E3479" t="inlineStr">
        <is>
          <t>0                      PR 0625000E  5           1987</t>
        </is>
      </c>
      <c r="F3479" t="inlineStr">
        <is>
          <t>English drama to 1710 / edited by Christopher Ricks.</t>
        </is>
      </c>
      <c r="H3479" t="inlineStr">
        <is>
          <t>No</t>
        </is>
      </c>
      <c r="I3479" t="inlineStr">
        <is>
          <t>1</t>
        </is>
      </c>
      <c r="J3479" t="inlineStr">
        <is>
          <t>No</t>
        </is>
      </c>
      <c r="K3479" t="inlineStr">
        <is>
          <t>No</t>
        </is>
      </c>
      <c r="L3479" t="inlineStr">
        <is>
          <t>0</t>
        </is>
      </c>
      <c r="N3479" t="inlineStr">
        <is>
          <t>New York : P. Bedrick Books, 1987.</t>
        </is>
      </c>
      <c r="O3479" t="inlineStr">
        <is>
          <t>1987</t>
        </is>
      </c>
      <c r="P3479" t="inlineStr">
        <is>
          <t>1st American ed.</t>
        </is>
      </c>
      <c r="Q3479" t="inlineStr">
        <is>
          <t>eng</t>
        </is>
      </c>
      <c r="R3479" t="inlineStr">
        <is>
          <t>nyu</t>
        </is>
      </c>
      <c r="S3479" t="inlineStr">
        <is>
          <t>The New history of literature ; 3</t>
        </is>
      </c>
      <c r="T3479" t="inlineStr">
        <is>
          <t xml:space="preserve">PR </t>
        </is>
      </c>
      <c r="U3479" t="n">
        <v>1</v>
      </c>
      <c r="V3479" t="n">
        <v>1</v>
      </c>
      <c r="W3479" t="inlineStr">
        <is>
          <t>1998-02-22</t>
        </is>
      </c>
      <c r="X3479" t="inlineStr">
        <is>
          <t>1998-02-22</t>
        </is>
      </c>
      <c r="Y3479" t="inlineStr">
        <is>
          <t>1991-09-10</t>
        </is>
      </c>
      <c r="Z3479" t="inlineStr">
        <is>
          <t>1991-09-10</t>
        </is>
      </c>
      <c r="AA3479" t="n">
        <v>287</v>
      </c>
      <c r="AB3479" t="n">
        <v>237</v>
      </c>
      <c r="AC3479" t="n">
        <v>239</v>
      </c>
      <c r="AD3479" t="n">
        <v>2</v>
      </c>
      <c r="AE3479" t="n">
        <v>2</v>
      </c>
      <c r="AF3479" t="n">
        <v>6</v>
      </c>
      <c r="AG3479" t="n">
        <v>6</v>
      </c>
      <c r="AH3479" t="n">
        <v>3</v>
      </c>
      <c r="AI3479" t="n">
        <v>3</v>
      </c>
      <c r="AJ3479" t="n">
        <v>0</v>
      </c>
      <c r="AK3479" t="n">
        <v>0</v>
      </c>
      <c r="AL3479" t="n">
        <v>4</v>
      </c>
      <c r="AM3479" t="n">
        <v>4</v>
      </c>
      <c r="AN3479" t="n">
        <v>1</v>
      </c>
      <c r="AO3479" t="n">
        <v>1</v>
      </c>
      <c r="AP3479" t="n">
        <v>0</v>
      </c>
      <c r="AQ3479" t="n">
        <v>0</v>
      </c>
      <c r="AR3479" t="inlineStr">
        <is>
          <t>No</t>
        </is>
      </c>
      <c r="AS3479" t="inlineStr">
        <is>
          <t>Yes</t>
        </is>
      </c>
      <c r="AT3479">
        <f>HYPERLINK("http://catalog.hathitrust.org/Record/009492240","HathiTrust Record")</f>
        <v/>
      </c>
      <c r="AU3479">
        <f>HYPERLINK("https://creighton-primo.hosted.exlibrisgroup.com/primo-explore/search?tab=default_tab&amp;search_scope=EVERYTHING&amp;vid=01CRU&amp;lang=en_US&amp;offset=0&amp;query=any,contains,991001069229702656","Catalog Record")</f>
        <v/>
      </c>
      <c r="AV3479">
        <f>HYPERLINK("http://www.worldcat.org/oclc/15856719","WorldCat Record")</f>
        <v/>
      </c>
      <c r="AW3479" t="inlineStr">
        <is>
          <t>5609215438:eng</t>
        </is>
      </c>
      <c r="AX3479" t="inlineStr">
        <is>
          <t>15856719</t>
        </is>
      </c>
      <c r="AY3479" t="inlineStr">
        <is>
          <t>991001069229702656</t>
        </is>
      </c>
      <c r="AZ3479" t="inlineStr">
        <is>
          <t>991001069229702656</t>
        </is>
      </c>
      <c r="BA3479" t="inlineStr">
        <is>
          <t>2272464900002656</t>
        </is>
      </c>
      <c r="BB3479" t="inlineStr">
        <is>
          <t>BOOK</t>
        </is>
      </c>
      <c r="BD3479" t="inlineStr">
        <is>
          <t>9780872261273</t>
        </is>
      </c>
      <c r="BE3479" t="inlineStr">
        <is>
          <t>32285000739192</t>
        </is>
      </c>
      <c r="BF3479" t="inlineStr">
        <is>
          <t>893315476</t>
        </is>
      </c>
    </row>
    <row r="3480">
      <c r="A3480" t="inlineStr">
        <is>
          <t>No</t>
        </is>
      </c>
      <c r="B3480" t="inlineStr">
        <is>
          <t>CURAL</t>
        </is>
      </c>
      <c r="C3480" t="inlineStr">
        <is>
          <t>SHELVES</t>
        </is>
      </c>
      <c r="D3480" t="inlineStr">
        <is>
          <t>PR625 .R44</t>
        </is>
      </c>
      <c r="E3480" t="inlineStr">
        <is>
          <t>0                      PR 0625000R  44</t>
        </is>
      </c>
      <c r="F3480" t="inlineStr">
        <is>
          <t>The Revels history of drama in English / general editors, Clifford Leech &amp; T. W. Craik.</t>
        </is>
      </c>
      <c r="G3480" t="inlineStr">
        <is>
          <t>V.2</t>
        </is>
      </c>
      <c r="H3480" t="inlineStr">
        <is>
          <t>Yes</t>
        </is>
      </c>
      <c r="I3480" t="inlineStr">
        <is>
          <t>1</t>
        </is>
      </c>
      <c r="J3480" t="inlineStr">
        <is>
          <t>No</t>
        </is>
      </c>
      <c r="K3480" t="inlineStr">
        <is>
          <t>No</t>
        </is>
      </c>
      <c r="L3480" t="inlineStr">
        <is>
          <t>0</t>
        </is>
      </c>
      <c r="N3480" t="inlineStr">
        <is>
          <t>London : Methuen ; [New York] : distributed by Harper and Row Publishers, Barnes and Noble Import Division, 1975-</t>
        </is>
      </c>
      <c r="O3480" t="inlineStr">
        <is>
          <t>1900</t>
        </is>
      </c>
      <c r="Q3480" t="inlineStr">
        <is>
          <t>eng</t>
        </is>
      </c>
      <c r="R3480" t="inlineStr">
        <is>
          <t>enk</t>
        </is>
      </c>
      <c r="T3480" t="inlineStr">
        <is>
          <t xml:space="preserve">PR </t>
        </is>
      </c>
      <c r="U3480" t="n">
        <v>0</v>
      </c>
      <c r="V3480" t="n">
        <v>2</v>
      </c>
      <c r="X3480" t="inlineStr">
        <is>
          <t>1994-04-19</t>
        </is>
      </c>
      <c r="Y3480" t="inlineStr">
        <is>
          <t>1991-09-10</t>
        </is>
      </c>
      <c r="Z3480" t="inlineStr">
        <is>
          <t>1991-09-10</t>
        </is>
      </c>
      <c r="AA3480" t="n">
        <v>758</v>
      </c>
      <c r="AB3480" t="n">
        <v>687</v>
      </c>
      <c r="AC3480" t="n">
        <v>808</v>
      </c>
      <c r="AD3480" t="n">
        <v>7</v>
      </c>
      <c r="AE3480" t="n">
        <v>7</v>
      </c>
      <c r="AF3480" t="n">
        <v>34</v>
      </c>
      <c r="AG3480" t="n">
        <v>38</v>
      </c>
      <c r="AH3480" t="n">
        <v>17</v>
      </c>
      <c r="AI3480" t="n">
        <v>20</v>
      </c>
      <c r="AJ3480" t="n">
        <v>5</v>
      </c>
      <c r="AK3480" t="n">
        <v>5</v>
      </c>
      <c r="AL3480" t="n">
        <v>14</v>
      </c>
      <c r="AM3480" t="n">
        <v>16</v>
      </c>
      <c r="AN3480" t="n">
        <v>6</v>
      </c>
      <c r="AO3480" t="n">
        <v>6</v>
      </c>
      <c r="AP3480" t="n">
        <v>0</v>
      </c>
      <c r="AQ3480" t="n">
        <v>0</v>
      </c>
      <c r="AR3480" t="inlineStr">
        <is>
          <t>No</t>
        </is>
      </c>
      <c r="AS3480" t="inlineStr">
        <is>
          <t>Yes</t>
        </is>
      </c>
      <c r="AT3480">
        <f>HYPERLINK("http://catalog.hathitrust.org/Record/000263799","HathiTrust Record")</f>
        <v/>
      </c>
      <c r="AU3480">
        <f>HYPERLINK("https://creighton-primo.hosted.exlibrisgroup.com/primo-explore/search?tab=default_tab&amp;search_scope=EVERYTHING&amp;vid=01CRU&amp;lang=en_US&amp;offset=0&amp;query=any,contains,991003859819702656","Catalog Record")</f>
        <v/>
      </c>
      <c r="AV3480">
        <f>HYPERLINK("http://www.worldcat.org/oclc/1663507","WorldCat Record")</f>
        <v/>
      </c>
      <c r="AW3480" t="inlineStr">
        <is>
          <t>5195030022:eng</t>
        </is>
      </c>
      <c r="AX3480" t="inlineStr">
        <is>
          <t>1663507</t>
        </is>
      </c>
      <c r="AY3480" t="inlineStr">
        <is>
          <t>991003859819702656</t>
        </is>
      </c>
      <c r="AZ3480" t="inlineStr">
        <is>
          <t>991003859819702656</t>
        </is>
      </c>
      <c r="BA3480" t="inlineStr">
        <is>
          <t>2267521360002656</t>
        </is>
      </c>
      <c r="BB3480" t="inlineStr">
        <is>
          <t>BOOK</t>
        </is>
      </c>
      <c r="BD3480" t="inlineStr">
        <is>
          <t>9780416130409</t>
        </is>
      </c>
      <c r="BE3480" t="inlineStr">
        <is>
          <t>32285000739218</t>
        </is>
      </c>
      <c r="BF3480" t="inlineStr">
        <is>
          <t>893252895</t>
        </is>
      </c>
    </row>
    <row r="3481">
      <c r="A3481" t="inlineStr">
        <is>
          <t>No</t>
        </is>
      </c>
      <c r="B3481" t="inlineStr">
        <is>
          <t>CURAL</t>
        </is>
      </c>
      <c r="C3481" t="inlineStr">
        <is>
          <t>SHELVES</t>
        </is>
      </c>
      <c r="D3481" t="inlineStr">
        <is>
          <t>PR625 .R44</t>
        </is>
      </c>
      <c r="E3481" t="inlineStr">
        <is>
          <t>0                      PR 0625000R  44</t>
        </is>
      </c>
      <c r="F3481" t="inlineStr">
        <is>
          <t>The Revels history of drama in English / general editors, Clifford Leech &amp; T. W. Craik.</t>
        </is>
      </c>
      <c r="G3481" t="inlineStr">
        <is>
          <t>V.3</t>
        </is>
      </c>
      <c r="H3481" t="inlineStr">
        <is>
          <t>Yes</t>
        </is>
      </c>
      <c r="I3481" t="inlineStr">
        <is>
          <t>1</t>
        </is>
      </c>
      <c r="J3481" t="inlineStr">
        <is>
          <t>No</t>
        </is>
      </c>
      <c r="K3481" t="inlineStr">
        <is>
          <t>No</t>
        </is>
      </c>
      <c r="L3481" t="inlineStr">
        <is>
          <t>0</t>
        </is>
      </c>
      <c r="N3481" t="inlineStr">
        <is>
          <t>London : Methuen ; [New York] : distributed by Harper and Row Publishers, Barnes and Noble Import Division, 1975-</t>
        </is>
      </c>
      <c r="O3481" t="inlineStr">
        <is>
          <t>1900</t>
        </is>
      </c>
      <c r="Q3481" t="inlineStr">
        <is>
          <t>eng</t>
        </is>
      </c>
      <c r="R3481" t="inlineStr">
        <is>
          <t>enk</t>
        </is>
      </c>
      <c r="T3481" t="inlineStr">
        <is>
          <t xml:space="preserve">PR </t>
        </is>
      </c>
      <c r="U3481" t="n">
        <v>0</v>
      </c>
      <c r="V3481" t="n">
        <v>2</v>
      </c>
      <c r="X3481" t="inlineStr">
        <is>
          <t>1994-04-19</t>
        </is>
      </c>
      <c r="Y3481" t="inlineStr">
        <is>
          <t>1991-09-10</t>
        </is>
      </c>
      <c r="Z3481" t="inlineStr">
        <is>
          <t>1991-09-10</t>
        </is>
      </c>
      <c r="AA3481" t="n">
        <v>758</v>
      </c>
      <c r="AB3481" t="n">
        <v>687</v>
      </c>
      <c r="AC3481" t="n">
        <v>808</v>
      </c>
      <c r="AD3481" t="n">
        <v>7</v>
      </c>
      <c r="AE3481" t="n">
        <v>7</v>
      </c>
      <c r="AF3481" t="n">
        <v>34</v>
      </c>
      <c r="AG3481" t="n">
        <v>38</v>
      </c>
      <c r="AH3481" t="n">
        <v>17</v>
      </c>
      <c r="AI3481" t="n">
        <v>20</v>
      </c>
      <c r="AJ3481" t="n">
        <v>5</v>
      </c>
      <c r="AK3481" t="n">
        <v>5</v>
      </c>
      <c r="AL3481" t="n">
        <v>14</v>
      </c>
      <c r="AM3481" t="n">
        <v>16</v>
      </c>
      <c r="AN3481" t="n">
        <v>6</v>
      </c>
      <c r="AO3481" t="n">
        <v>6</v>
      </c>
      <c r="AP3481" t="n">
        <v>0</v>
      </c>
      <c r="AQ3481" t="n">
        <v>0</v>
      </c>
      <c r="AR3481" t="inlineStr">
        <is>
          <t>No</t>
        </is>
      </c>
      <c r="AS3481" t="inlineStr">
        <is>
          <t>Yes</t>
        </is>
      </c>
      <c r="AT3481">
        <f>HYPERLINK("http://catalog.hathitrust.org/Record/000263799","HathiTrust Record")</f>
        <v/>
      </c>
      <c r="AU3481">
        <f>HYPERLINK("https://creighton-primo.hosted.exlibrisgroup.com/primo-explore/search?tab=default_tab&amp;search_scope=EVERYTHING&amp;vid=01CRU&amp;lang=en_US&amp;offset=0&amp;query=any,contains,991003859819702656","Catalog Record")</f>
        <v/>
      </c>
      <c r="AV3481">
        <f>HYPERLINK("http://www.worldcat.org/oclc/1663507","WorldCat Record")</f>
        <v/>
      </c>
      <c r="AW3481" t="inlineStr">
        <is>
          <t>5195030022:eng</t>
        </is>
      </c>
      <c r="AX3481" t="inlineStr">
        <is>
          <t>1663507</t>
        </is>
      </c>
      <c r="AY3481" t="inlineStr">
        <is>
          <t>991003859819702656</t>
        </is>
      </c>
      <c r="AZ3481" t="inlineStr">
        <is>
          <t>991003859819702656</t>
        </is>
      </c>
      <c r="BA3481" t="inlineStr">
        <is>
          <t>2267521360002656</t>
        </is>
      </c>
      <c r="BB3481" t="inlineStr">
        <is>
          <t>BOOK</t>
        </is>
      </c>
      <c r="BD3481" t="inlineStr">
        <is>
          <t>9780416130409</t>
        </is>
      </c>
      <c r="BE3481" t="inlineStr">
        <is>
          <t>32285000739226</t>
        </is>
      </c>
      <c r="BF3481" t="inlineStr">
        <is>
          <t>893240680</t>
        </is>
      </c>
    </row>
    <row r="3482">
      <c r="A3482" t="inlineStr">
        <is>
          <t>No</t>
        </is>
      </c>
      <c r="B3482" t="inlineStr">
        <is>
          <t>CURAL</t>
        </is>
      </c>
      <c r="C3482" t="inlineStr">
        <is>
          <t>SHELVES</t>
        </is>
      </c>
      <c r="D3482" t="inlineStr">
        <is>
          <t>PR625 .R44</t>
        </is>
      </c>
      <c r="E3482" t="inlineStr">
        <is>
          <t>0                      PR 0625000R  44</t>
        </is>
      </c>
      <c r="F3482" t="inlineStr">
        <is>
          <t>The Revels history of drama in English / general editors, Clifford Leech &amp; T. W. Craik.</t>
        </is>
      </c>
      <c r="G3482" t="inlineStr">
        <is>
          <t>V.7</t>
        </is>
      </c>
      <c r="H3482" t="inlineStr">
        <is>
          <t>Yes</t>
        </is>
      </c>
      <c r="I3482" t="inlineStr">
        <is>
          <t>1</t>
        </is>
      </c>
      <c r="J3482" t="inlineStr">
        <is>
          <t>No</t>
        </is>
      </c>
      <c r="K3482" t="inlineStr">
        <is>
          <t>No</t>
        </is>
      </c>
      <c r="L3482" t="inlineStr">
        <is>
          <t>0</t>
        </is>
      </c>
      <c r="N3482" t="inlineStr">
        <is>
          <t>London : Methuen ; [New York] : distributed by Harper and Row Publishers, Barnes and Noble Import Division, 1975-</t>
        </is>
      </c>
      <c r="O3482" t="inlineStr">
        <is>
          <t>1900</t>
        </is>
      </c>
      <c r="Q3482" t="inlineStr">
        <is>
          <t>eng</t>
        </is>
      </c>
      <c r="R3482" t="inlineStr">
        <is>
          <t>enk</t>
        </is>
      </c>
      <c r="T3482" t="inlineStr">
        <is>
          <t xml:space="preserve">PR </t>
        </is>
      </c>
      <c r="U3482" t="n">
        <v>2</v>
      </c>
      <c r="V3482" t="n">
        <v>2</v>
      </c>
      <c r="W3482" t="inlineStr">
        <is>
          <t>1994-04-19</t>
        </is>
      </c>
      <c r="X3482" t="inlineStr">
        <is>
          <t>1994-04-19</t>
        </is>
      </c>
      <c r="Y3482" t="inlineStr">
        <is>
          <t>1991-09-10</t>
        </is>
      </c>
      <c r="Z3482" t="inlineStr">
        <is>
          <t>1991-09-10</t>
        </is>
      </c>
      <c r="AA3482" t="n">
        <v>758</v>
      </c>
      <c r="AB3482" t="n">
        <v>687</v>
      </c>
      <c r="AC3482" t="n">
        <v>808</v>
      </c>
      <c r="AD3482" t="n">
        <v>7</v>
      </c>
      <c r="AE3482" t="n">
        <v>7</v>
      </c>
      <c r="AF3482" t="n">
        <v>34</v>
      </c>
      <c r="AG3482" t="n">
        <v>38</v>
      </c>
      <c r="AH3482" t="n">
        <v>17</v>
      </c>
      <c r="AI3482" t="n">
        <v>20</v>
      </c>
      <c r="AJ3482" t="n">
        <v>5</v>
      </c>
      <c r="AK3482" t="n">
        <v>5</v>
      </c>
      <c r="AL3482" t="n">
        <v>14</v>
      </c>
      <c r="AM3482" t="n">
        <v>16</v>
      </c>
      <c r="AN3482" t="n">
        <v>6</v>
      </c>
      <c r="AO3482" t="n">
        <v>6</v>
      </c>
      <c r="AP3482" t="n">
        <v>0</v>
      </c>
      <c r="AQ3482" t="n">
        <v>0</v>
      </c>
      <c r="AR3482" t="inlineStr">
        <is>
          <t>No</t>
        </is>
      </c>
      <c r="AS3482" t="inlineStr">
        <is>
          <t>Yes</t>
        </is>
      </c>
      <c r="AT3482">
        <f>HYPERLINK("http://catalog.hathitrust.org/Record/000263799","HathiTrust Record")</f>
        <v/>
      </c>
      <c r="AU3482">
        <f>HYPERLINK("https://creighton-primo.hosted.exlibrisgroup.com/primo-explore/search?tab=default_tab&amp;search_scope=EVERYTHING&amp;vid=01CRU&amp;lang=en_US&amp;offset=0&amp;query=any,contains,991003859819702656","Catalog Record")</f>
        <v/>
      </c>
      <c r="AV3482">
        <f>HYPERLINK("http://www.worldcat.org/oclc/1663507","WorldCat Record")</f>
        <v/>
      </c>
      <c r="AW3482" t="inlineStr">
        <is>
          <t>5195030022:eng</t>
        </is>
      </c>
      <c r="AX3482" t="inlineStr">
        <is>
          <t>1663507</t>
        </is>
      </c>
      <c r="AY3482" t="inlineStr">
        <is>
          <t>991003859819702656</t>
        </is>
      </c>
      <c r="AZ3482" t="inlineStr">
        <is>
          <t>991003859819702656</t>
        </is>
      </c>
      <c r="BA3482" t="inlineStr">
        <is>
          <t>2267521360002656</t>
        </is>
      </c>
      <c r="BB3482" t="inlineStr">
        <is>
          <t>BOOK</t>
        </is>
      </c>
      <c r="BD3482" t="inlineStr">
        <is>
          <t>9780416130409</t>
        </is>
      </c>
      <c r="BE3482" t="inlineStr">
        <is>
          <t>32285000739267</t>
        </is>
      </c>
      <c r="BF3482" t="inlineStr">
        <is>
          <t>893228563</t>
        </is>
      </c>
    </row>
    <row r="3483">
      <c r="A3483" t="inlineStr">
        <is>
          <t>No</t>
        </is>
      </c>
      <c r="B3483" t="inlineStr">
        <is>
          <t>CURAL</t>
        </is>
      </c>
      <c r="C3483" t="inlineStr">
        <is>
          <t>SHELVES</t>
        </is>
      </c>
      <c r="D3483" t="inlineStr">
        <is>
          <t>PR625 .R44</t>
        </is>
      </c>
      <c r="E3483" t="inlineStr">
        <is>
          <t>0                      PR 0625000R  44</t>
        </is>
      </c>
      <c r="F3483" t="inlineStr">
        <is>
          <t>The Revels history of drama in English / general editors, Clifford Leech &amp; T. W. Craik.</t>
        </is>
      </c>
      <c r="G3483" t="inlineStr">
        <is>
          <t>V.1</t>
        </is>
      </c>
      <c r="H3483" t="inlineStr">
        <is>
          <t>Yes</t>
        </is>
      </c>
      <c r="I3483" t="inlineStr">
        <is>
          <t>1</t>
        </is>
      </c>
      <c r="J3483" t="inlineStr">
        <is>
          <t>No</t>
        </is>
      </c>
      <c r="K3483" t="inlineStr">
        <is>
          <t>No</t>
        </is>
      </c>
      <c r="L3483" t="inlineStr">
        <is>
          <t>0</t>
        </is>
      </c>
      <c r="N3483" t="inlineStr">
        <is>
          <t>London : Methuen ; [New York] : distributed by Harper and Row Publishers, Barnes and Noble Import Division, 1975-</t>
        </is>
      </c>
      <c r="O3483" t="inlineStr">
        <is>
          <t>1900</t>
        </is>
      </c>
      <c r="Q3483" t="inlineStr">
        <is>
          <t>eng</t>
        </is>
      </c>
      <c r="R3483" t="inlineStr">
        <is>
          <t>enk</t>
        </is>
      </c>
      <c r="T3483" t="inlineStr">
        <is>
          <t xml:space="preserve">PR </t>
        </is>
      </c>
      <c r="U3483" t="n">
        <v>0</v>
      </c>
      <c r="V3483" t="n">
        <v>2</v>
      </c>
      <c r="X3483" t="inlineStr">
        <is>
          <t>1994-04-19</t>
        </is>
      </c>
      <c r="Y3483" t="inlineStr">
        <is>
          <t>1991-09-10</t>
        </is>
      </c>
      <c r="Z3483" t="inlineStr">
        <is>
          <t>1991-09-10</t>
        </is>
      </c>
      <c r="AA3483" t="n">
        <v>758</v>
      </c>
      <c r="AB3483" t="n">
        <v>687</v>
      </c>
      <c r="AC3483" t="n">
        <v>808</v>
      </c>
      <c r="AD3483" t="n">
        <v>7</v>
      </c>
      <c r="AE3483" t="n">
        <v>7</v>
      </c>
      <c r="AF3483" t="n">
        <v>34</v>
      </c>
      <c r="AG3483" t="n">
        <v>38</v>
      </c>
      <c r="AH3483" t="n">
        <v>17</v>
      </c>
      <c r="AI3483" t="n">
        <v>20</v>
      </c>
      <c r="AJ3483" t="n">
        <v>5</v>
      </c>
      <c r="AK3483" t="n">
        <v>5</v>
      </c>
      <c r="AL3483" t="n">
        <v>14</v>
      </c>
      <c r="AM3483" t="n">
        <v>16</v>
      </c>
      <c r="AN3483" t="n">
        <v>6</v>
      </c>
      <c r="AO3483" t="n">
        <v>6</v>
      </c>
      <c r="AP3483" t="n">
        <v>0</v>
      </c>
      <c r="AQ3483" t="n">
        <v>0</v>
      </c>
      <c r="AR3483" t="inlineStr">
        <is>
          <t>No</t>
        </is>
      </c>
      <c r="AS3483" t="inlineStr">
        <is>
          <t>Yes</t>
        </is>
      </c>
      <c r="AT3483">
        <f>HYPERLINK("http://catalog.hathitrust.org/Record/000263799","HathiTrust Record")</f>
        <v/>
      </c>
      <c r="AU3483">
        <f>HYPERLINK("https://creighton-primo.hosted.exlibrisgroup.com/primo-explore/search?tab=default_tab&amp;search_scope=EVERYTHING&amp;vid=01CRU&amp;lang=en_US&amp;offset=0&amp;query=any,contains,991003859819702656","Catalog Record")</f>
        <v/>
      </c>
      <c r="AV3483">
        <f>HYPERLINK("http://www.worldcat.org/oclc/1663507","WorldCat Record")</f>
        <v/>
      </c>
      <c r="AW3483" t="inlineStr">
        <is>
          <t>5195030022:eng</t>
        </is>
      </c>
      <c r="AX3483" t="inlineStr">
        <is>
          <t>1663507</t>
        </is>
      </c>
      <c r="AY3483" t="inlineStr">
        <is>
          <t>991003859819702656</t>
        </is>
      </c>
      <c r="AZ3483" t="inlineStr">
        <is>
          <t>991003859819702656</t>
        </is>
      </c>
      <c r="BA3483" t="inlineStr">
        <is>
          <t>2267521360002656</t>
        </is>
      </c>
      <c r="BB3483" t="inlineStr">
        <is>
          <t>BOOK</t>
        </is>
      </c>
      <c r="BD3483" t="inlineStr">
        <is>
          <t>9780416130409</t>
        </is>
      </c>
      <c r="BE3483" t="inlineStr">
        <is>
          <t>32285000739200</t>
        </is>
      </c>
      <c r="BF3483" t="inlineStr">
        <is>
          <t>893252896</t>
        </is>
      </c>
    </row>
    <row r="3484">
      <c r="A3484" t="inlineStr">
        <is>
          <t>No</t>
        </is>
      </c>
      <c r="B3484" t="inlineStr">
        <is>
          <t>CURAL</t>
        </is>
      </c>
      <c r="C3484" t="inlineStr">
        <is>
          <t>SHELVES</t>
        </is>
      </c>
      <c r="D3484" t="inlineStr">
        <is>
          <t>PR625 .R44</t>
        </is>
      </c>
      <c r="E3484" t="inlineStr">
        <is>
          <t>0                      PR 0625000R  44</t>
        </is>
      </c>
      <c r="F3484" t="inlineStr">
        <is>
          <t>The Revels history of drama in English / general editors, Clifford Leech &amp; T. W. Craik.</t>
        </is>
      </c>
      <c r="G3484" t="inlineStr">
        <is>
          <t>V.4</t>
        </is>
      </c>
      <c r="H3484" t="inlineStr">
        <is>
          <t>Yes</t>
        </is>
      </c>
      <c r="I3484" t="inlineStr">
        <is>
          <t>1</t>
        </is>
      </c>
      <c r="J3484" t="inlineStr">
        <is>
          <t>No</t>
        </is>
      </c>
      <c r="K3484" t="inlineStr">
        <is>
          <t>No</t>
        </is>
      </c>
      <c r="L3484" t="inlineStr">
        <is>
          <t>0</t>
        </is>
      </c>
      <c r="N3484" t="inlineStr">
        <is>
          <t>London : Methuen ; [New York] : distributed by Harper and Row Publishers, Barnes and Noble Import Division, 1975-</t>
        </is>
      </c>
      <c r="O3484" t="inlineStr">
        <is>
          <t>1900</t>
        </is>
      </c>
      <c r="Q3484" t="inlineStr">
        <is>
          <t>eng</t>
        </is>
      </c>
      <c r="R3484" t="inlineStr">
        <is>
          <t>enk</t>
        </is>
      </c>
      <c r="T3484" t="inlineStr">
        <is>
          <t xml:space="preserve">PR </t>
        </is>
      </c>
      <c r="U3484" t="n">
        <v>0</v>
      </c>
      <c r="V3484" t="n">
        <v>2</v>
      </c>
      <c r="X3484" t="inlineStr">
        <is>
          <t>1994-04-19</t>
        </is>
      </c>
      <c r="Y3484" t="inlineStr">
        <is>
          <t>1991-09-10</t>
        </is>
      </c>
      <c r="Z3484" t="inlineStr">
        <is>
          <t>1991-09-10</t>
        </is>
      </c>
      <c r="AA3484" t="n">
        <v>758</v>
      </c>
      <c r="AB3484" t="n">
        <v>687</v>
      </c>
      <c r="AC3484" t="n">
        <v>808</v>
      </c>
      <c r="AD3484" t="n">
        <v>7</v>
      </c>
      <c r="AE3484" t="n">
        <v>7</v>
      </c>
      <c r="AF3484" t="n">
        <v>34</v>
      </c>
      <c r="AG3484" t="n">
        <v>38</v>
      </c>
      <c r="AH3484" t="n">
        <v>17</v>
      </c>
      <c r="AI3484" t="n">
        <v>20</v>
      </c>
      <c r="AJ3484" t="n">
        <v>5</v>
      </c>
      <c r="AK3484" t="n">
        <v>5</v>
      </c>
      <c r="AL3484" t="n">
        <v>14</v>
      </c>
      <c r="AM3484" t="n">
        <v>16</v>
      </c>
      <c r="AN3484" t="n">
        <v>6</v>
      </c>
      <c r="AO3484" t="n">
        <v>6</v>
      </c>
      <c r="AP3484" t="n">
        <v>0</v>
      </c>
      <c r="AQ3484" t="n">
        <v>0</v>
      </c>
      <c r="AR3484" t="inlineStr">
        <is>
          <t>No</t>
        </is>
      </c>
      <c r="AS3484" t="inlineStr">
        <is>
          <t>Yes</t>
        </is>
      </c>
      <c r="AT3484">
        <f>HYPERLINK("http://catalog.hathitrust.org/Record/000263799","HathiTrust Record")</f>
        <v/>
      </c>
      <c r="AU3484">
        <f>HYPERLINK("https://creighton-primo.hosted.exlibrisgroup.com/primo-explore/search?tab=default_tab&amp;search_scope=EVERYTHING&amp;vid=01CRU&amp;lang=en_US&amp;offset=0&amp;query=any,contains,991003859819702656","Catalog Record")</f>
        <v/>
      </c>
      <c r="AV3484">
        <f>HYPERLINK("http://www.worldcat.org/oclc/1663507","WorldCat Record")</f>
        <v/>
      </c>
      <c r="AW3484" t="inlineStr">
        <is>
          <t>5195030022:eng</t>
        </is>
      </c>
      <c r="AX3484" t="inlineStr">
        <is>
          <t>1663507</t>
        </is>
      </c>
      <c r="AY3484" t="inlineStr">
        <is>
          <t>991003859819702656</t>
        </is>
      </c>
      <c r="AZ3484" t="inlineStr">
        <is>
          <t>991003859819702656</t>
        </is>
      </c>
      <c r="BA3484" t="inlineStr">
        <is>
          <t>2267521360002656</t>
        </is>
      </c>
      <c r="BB3484" t="inlineStr">
        <is>
          <t>BOOK</t>
        </is>
      </c>
      <c r="BD3484" t="inlineStr">
        <is>
          <t>9780416130409</t>
        </is>
      </c>
      <c r="BE3484" t="inlineStr">
        <is>
          <t>32285000739234</t>
        </is>
      </c>
      <c r="BF3484" t="inlineStr">
        <is>
          <t>893228562</t>
        </is>
      </c>
    </row>
    <row r="3485">
      <c r="A3485" t="inlineStr">
        <is>
          <t>No</t>
        </is>
      </c>
      <c r="B3485" t="inlineStr">
        <is>
          <t>CURAL</t>
        </is>
      </c>
      <c r="C3485" t="inlineStr">
        <is>
          <t>SHELVES</t>
        </is>
      </c>
      <c r="D3485" t="inlineStr">
        <is>
          <t>PR625 .R44</t>
        </is>
      </c>
      <c r="E3485" t="inlineStr">
        <is>
          <t>0                      PR 0625000R  44</t>
        </is>
      </c>
      <c r="F3485" t="inlineStr">
        <is>
          <t>The Revels history of drama in English / general editors, Clifford Leech &amp; T. W. Craik.</t>
        </is>
      </c>
      <c r="G3485" t="inlineStr">
        <is>
          <t>V.8</t>
        </is>
      </c>
      <c r="H3485" t="inlineStr">
        <is>
          <t>Yes</t>
        </is>
      </c>
      <c r="I3485" t="inlineStr">
        <is>
          <t>1</t>
        </is>
      </c>
      <c r="J3485" t="inlineStr">
        <is>
          <t>No</t>
        </is>
      </c>
      <c r="K3485" t="inlineStr">
        <is>
          <t>No</t>
        </is>
      </c>
      <c r="L3485" t="inlineStr">
        <is>
          <t>0</t>
        </is>
      </c>
      <c r="N3485" t="inlineStr">
        <is>
          <t>London : Methuen ; [New York] : distributed by Harper and Row Publishers, Barnes and Noble Import Division, 1975-</t>
        </is>
      </c>
      <c r="O3485" t="inlineStr">
        <is>
          <t>1900</t>
        </is>
      </c>
      <c r="Q3485" t="inlineStr">
        <is>
          <t>eng</t>
        </is>
      </c>
      <c r="R3485" t="inlineStr">
        <is>
          <t>enk</t>
        </is>
      </c>
      <c r="T3485" t="inlineStr">
        <is>
          <t xml:space="preserve">PR </t>
        </is>
      </c>
      <c r="U3485" t="n">
        <v>0</v>
      </c>
      <c r="V3485" t="n">
        <v>2</v>
      </c>
      <c r="X3485" t="inlineStr">
        <is>
          <t>1994-04-19</t>
        </is>
      </c>
      <c r="Y3485" t="inlineStr">
        <is>
          <t>1991-09-10</t>
        </is>
      </c>
      <c r="Z3485" t="inlineStr">
        <is>
          <t>1991-09-10</t>
        </is>
      </c>
      <c r="AA3485" t="n">
        <v>758</v>
      </c>
      <c r="AB3485" t="n">
        <v>687</v>
      </c>
      <c r="AC3485" t="n">
        <v>808</v>
      </c>
      <c r="AD3485" t="n">
        <v>7</v>
      </c>
      <c r="AE3485" t="n">
        <v>7</v>
      </c>
      <c r="AF3485" t="n">
        <v>34</v>
      </c>
      <c r="AG3485" t="n">
        <v>38</v>
      </c>
      <c r="AH3485" t="n">
        <v>17</v>
      </c>
      <c r="AI3485" t="n">
        <v>20</v>
      </c>
      <c r="AJ3485" t="n">
        <v>5</v>
      </c>
      <c r="AK3485" t="n">
        <v>5</v>
      </c>
      <c r="AL3485" t="n">
        <v>14</v>
      </c>
      <c r="AM3485" t="n">
        <v>16</v>
      </c>
      <c r="AN3485" t="n">
        <v>6</v>
      </c>
      <c r="AO3485" t="n">
        <v>6</v>
      </c>
      <c r="AP3485" t="n">
        <v>0</v>
      </c>
      <c r="AQ3485" t="n">
        <v>0</v>
      </c>
      <c r="AR3485" t="inlineStr">
        <is>
          <t>No</t>
        </is>
      </c>
      <c r="AS3485" t="inlineStr">
        <is>
          <t>Yes</t>
        </is>
      </c>
      <c r="AT3485">
        <f>HYPERLINK("http://catalog.hathitrust.org/Record/000263799","HathiTrust Record")</f>
        <v/>
      </c>
      <c r="AU3485">
        <f>HYPERLINK("https://creighton-primo.hosted.exlibrisgroup.com/primo-explore/search?tab=default_tab&amp;search_scope=EVERYTHING&amp;vid=01CRU&amp;lang=en_US&amp;offset=0&amp;query=any,contains,991003859819702656","Catalog Record")</f>
        <v/>
      </c>
      <c r="AV3485">
        <f>HYPERLINK("http://www.worldcat.org/oclc/1663507","WorldCat Record")</f>
        <v/>
      </c>
      <c r="AW3485" t="inlineStr">
        <is>
          <t>5195030022:eng</t>
        </is>
      </c>
      <c r="AX3485" t="inlineStr">
        <is>
          <t>1663507</t>
        </is>
      </c>
      <c r="AY3485" t="inlineStr">
        <is>
          <t>991003859819702656</t>
        </is>
      </c>
      <c r="AZ3485" t="inlineStr">
        <is>
          <t>991003859819702656</t>
        </is>
      </c>
      <c r="BA3485" t="inlineStr">
        <is>
          <t>2267521360002656</t>
        </is>
      </c>
      <c r="BB3485" t="inlineStr">
        <is>
          <t>BOOK</t>
        </is>
      </c>
      <c r="BD3485" t="inlineStr">
        <is>
          <t>9780416130409</t>
        </is>
      </c>
      <c r="BE3485" t="inlineStr">
        <is>
          <t>32285000739275</t>
        </is>
      </c>
      <c r="BF3485" t="inlineStr">
        <is>
          <t>893252894</t>
        </is>
      </c>
    </row>
    <row r="3486">
      <c r="A3486" t="inlineStr">
        <is>
          <t>No</t>
        </is>
      </c>
      <c r="B3486" t="inlineStr">
        <is>
          <t>CURAL</t>
        </is>
      </c>
      <c r="C3486" t="inlineStr">
        <is>
          <t>SHELVES</t>
        </is>
      </c>
      <c r="D3486" t="inlineStr">
        <is>
          <t>PR625 .R44</t>
        </is>
      </c>
      <c r="E3486" t="inlineStr">
        <is>
          <t>0                      PR 0625000R  44</t>
        </is>
      </c>
      <c r="F3486" t="inlineStr">
        <is>
          <t>The Revels history of drama in English / general editors, Clifford Leech &amp; T. W. Craik.</t>
        </is>
      </c>
      <c r="G3486" t="inlineStr">
        <is>
          <t>V.5</t>
        </is>
      </c>
      <c r="H3486" t="inlineStr">
        <is>
          <t>Yes</t>
        </is>
      </c>
      <c r="I3486" t="inlineStr">
        <is>
          <t>1</t>
        </is>
      </c>
      <c r="J3486" t="inlineStr">
        <is>
          <t>No</t>
        </is>
      </c>
      <c r="K3486" t="inlineStr">
        <is>
          <t>No</t>
        </is>
      </c>
      <c r="L3486" t="inlineStr">
        <is>
          <t>0</t>
        </is>
      </c>
      <c r="N3486" t="inlineStr">
        <is>
          <t>London : Methuen ; [New York] : distributed by Harper and Row Publishers, Barnes and Noble Import Division, 1975-</t>
        </is>
      </c>
      <c r="O3486" t="inlineStr">
        <is>
          <t>1900</t>
        </is>
      </c>
      <c r="Q3486" t="inlineStr">
        <is>
          <t>eng</t>
        </is>
      </c>
      <c r="R3486" t="inlineStr">
        <is>
          <t>enk</t>
        </is>
      </c>
      <c r="T3486" t="inlineStr">
        <is>
          <t xml:space="preserve">PR </t>
        </is>
      </c>
      <c r="U3486" t="n">
        <v>0</v>
      </c>
      <c r="V3486" t="n">
        <v>2</v>
      </c>
      <c r="X3486" t="inlineStr">
        <is>
          <t>1994-04-19</t>
        </is>
      </c>
      <c r="Y3486" t="inlineStr">
        <is>
          <t>1991-09-10</t>
        </is>
      </c>
      <c r="Z3486" t="inlineStr">
        <is>
          <t>1991-09-10</t>
        </is>
      </c>
      <c r="AA3486" t="n">
        <v>758</v>
      </c>
      <c r="AB3486" t="n">
        <v>687</v>
      </c>
      <c r="AC3486" t="n">
        <v>808</v>
      </c>
      <c r="AD3486" t="n">
        <v>7</v>
      </c>
      <c r="AE3486" t="n">
        <v>7</v>
      </c>
      <c r="AF3486" t="n">
        <v>34</v>
      </c>
      <c r="AG3486" t="n">
        <v>38</v>
      </c>
      <c r="AH3486" t="n">
        <v>17</v>
      </c>
      <c r="AI3486" t="n">
        <v>20</v>
      </c>
      <c r="AJ3486" t="n">
        <v>5</v>
      </c>
      <c r="AK3486" t="n">
        <v>5</v>
      </c>
      <c r="AL3486" t="n">
        <v>14</v>
      </c>
      <c r="AM3486" t="n">
        <v>16</v>
      </c>
      <c r="AN3486" t="n">
        <v>6</v>
      </c>
      <c r="AO3486" t="n">
        <v>6</v>
      </c>
      <c r="AP3486" t="n">
        <v>0</v>
      </c>
      <c r="AQ3486" t="n">
        <v>0</v>
      </c>
      <c r="AR3486" t="inlineStr">
        <is>
          <t>No</t>
        </is>
      </c>
      <c r="AS3486" t="inlineStr">
        <is>
          <t>Yes</t>
        </is>
      </c>
      <c r="AT3486">
        <f>HYPERLINK("http://catalog.hathitrust.org/Record/000263799","HathiTrust Record")</f>
        <v/>
      </c>
      <c r="AU3486">
        <f>HYPERLINK("https://creighton-primo.hosted.exlibrisgroup.com/primo-explore/search?tab=default_tab&amp;search_scope=EVERYTHING&amp;vid=01CRU&amp;lang=en_US&amp;offset=0&amp;query=any,contains,991003859819702656","Catalog Record")</f>
        <v/>
      </c>
      <c r="AV3486">
        <f>HYPERLINK("http://www.worldcat.org/oclc/1663507","WorldCat Record")</f>
        <v/>
      </c>
      <c r="AW3486" t="inlineStr">
        <is>
          <t>5195030022:eng</t>
        </is>
      </c>
      <c r="AX3486" t="inlineStr">
        <is>
          <t>1663507</t>
        </is>
      </c>
      <c r="AY3486" t="inlineStr">
        <is>
          <t>991003859819702656</t>
        </is>
      </c>
      <c r="AZ3486" t="inlineStr">
        <is>
          <t>991003859819702656</t>
        </is>
      </c>
      <c r="BA3486" t="inlineStr">
        <is>
          <t>2267521360002656</t>
        </is>
      </c>
      <c r="BB3486" t="inlineStr">
        <is>
          <t>BOOK</t>
        </is>
      </c>
      <c r="BD3486" t="inlineStr">
        <is>
          <t>9780416130409</t>
        </is>
      </c>
      <c r="BE3486" t="inlineStr">
        <is>
          <t>32285000739242</t>
        </is>
      </c>
      <c r="BF3486" t="inlineStr">
        <is>
          <t>893258977</t>
        </is>
      </c>
    </row>
    <row r="3487">
      <c r="A3487" t="inlineStr">
        <is>
          <t>No</t>
        </is>
      </c>
      <c r="B3487" t="inlineStr">
        <is>
          <t>CURAL</t>
        </is>
      </c>
      <c r="C3487" t="inlineStr">
        <is>
          <t>SHELVES</t>
        </is>
      </c>
      <c r="D3487" t="inlineStr">
        <is>
          <t>PR625 .R44</t>
        </is>
      </c>
      <c r="E3487" t="inlineStr">
        <is>
          <t>0                      PR 0625000R  44</t>
        </is>
      </c>
      <c r="F3487" t="inlineStr">
        <is>
          <t>The Revels history of drama in English / general editors, Clifford Leech &amp; T. W. Craik.</t>
        </is>
      </c>
      <c r="G3487" t="inlineStr">
        <is>
          <t>V.6</t>
        </is>
      </c>
      <c r="H3487" t="inlineStr">
        <is>
          <t>Yes</t>
        </is>
      </c>
      <c r="I3487" t="inlineStr">
        <is>
          <t>1</t>
        </is>
      </c>
      <c r="J3487" t="inlineStr">
        <is>
          <t>No</t>
        </is>
      </c>
      <c r="K3487" t="inlineStr">
        <is>
          <t>No</t>
        </is>
      </c>
      <c r="L3487" t="inlineStr">
        <is>
          <t>0</t>
        </is>
      </c>
      <c r="N3487" t="inlineStr">
        <is>
          <t>London : Methuen ; [New York] : distributed by Harper and Row Publishers, Barnes and Noble Import Division, 1975-</t>
        </is>
      </c>
      <c r="O3487" t="inlineStr">
        <is>
          <t>1900</t>
        </is>
      </c>
      <c r="Q3487" t="inlineStr">
        <is>
          <t>eng</t>
        </is>
      </c>
      <c r="R3487" t="inlineStr">
        <is>
          <t>enk</t>
        </is>
      </c>
      <c r="T3487" t="inlineStr">
        <is>
          <t xml:space="preserve">PR </t>
        </is>
      </c>
      <c r="U3487" t="n">
        <v>0</v>
      </c>
      <c r="V3487" t="n">
        <v>2</v>
      </c>
      <c r="X3487" t="inlineStr">
        <is>
          <t>1994-04-19</t>
        </is>
      </c>
      <c r="Y3487" t="inlineStr">
        <is>
          <t>1991-09-10</t>
        </is>
      </c>
      <c r="Z3487" t="inlineStr">
        <is>
          <t>1991-09-10</t>
        </is>
      </c>
      <c r="AA3487" t="n">
        <v>758</v>
      </c>
      <c r="AB3487" t="n">
        <v>687</v>
      </c>
      <c r="AC3487" t="n">
        <v>808</v>
      </c>
      <c r="AD3487" t="n">
        <v>7</v>
      </c>
      <c r="AE3487" t="n">
        <v>7</v>
      </c>
      <c r="AF3487" t="n">
        <v>34</v>
      </c>
      <c r="AG3487" t="n">
        <v>38</v>
      </c>
      <c r="AH3487" t="n">
        <v>17</v>
      </c>
      <c r="AI3487" t="n">
        <v>20</v>
      </c>
      <c r="AJ3487" t="n">
        <v>5</v>
      </c>
      <c r="AK3487" t="n">
        <v>5</v>
      </c>
      <c r="AL3487" t="n">
        <v>14</v>
      </c>
      <c r="AM3487" t="n">
        <v>16</v>
      </c>
      <c r="AN3487" t="n">
        <v>6</v>
      </c>
      <c r="AO3487" t="n">
        <v>6</v>
      </c>
      <c r="AP3487" t="n">
        <v>0</v>
      </c>
      <c r="AQ3487" t="n">
        <v>0</v>
      </c>
      <c r="AR3487" t="inlineStr">
        <is>
          <t>No</t>
        </is>
      </c>
      <c r="AS3487" t="inlineStr">
        <is>
          <t>Yes</t>
        </is>
      </c>
      <c r="AT3487">
        <f>HYPERLINK("http://catalog.hathitrust.org/Record/000263799","HathiTrust Record")</f>
        <v/>
      </c>
      <c r="AU3487">
        <f>HYPERLINK("https://creighton-primo.hosted.exlibrisgroup.com/primo-explore/search?tab=default_tab&amp;search_scope=EVERYTHING&amp;vid=01CRU&amp;lang=en_US&amp;offset=0&amp;query=any,contains,991003859819702656","Catalog Record")</f>
        <v/>
      </c>
      <c r="AV3487">
        <f>HYPERLINK("http://www.worldcat.org/oclc/1663507","WorldCat Record")</f>
        <v/>
      </c>
      <c r="AW3487" t="inlineStr">
        <is>
          <t>5195030022:eng</t>
        </is>
      </c>
      <c r="AX3487" t="inlineStr">
        <is>
          <t>1663507</t>
        </is>
      </c>
      <c r="AY3487" t="inlineStr">
        <is>
          <t>991003859819702656</t>
        </is>
      </c>
      <c r="AZ3487" t="inlineStr">
        <is>
          <t>991003859819702656</t>
        </is>
      </c>
      <c r="BA3487" t="inlineStr">
        <is>
          <t>2267521360002656</t>
        </is>
      </c>
      <c r="BB3487" t="inlineStr">
        <is>
          <t>BOOK</t>
        </is>
      </c>
      <c r="BD3487" t="inlineStr">
        <is>
          <t>9780416130409</t>
        </is>
      </c>
      <c r="BE3487" t="inlineStr">
        <is>
          <t>32285000739259</t>
        </is>
      </c>
      <c r="BF3487" t="inlineStr">
        <is>
          <t>893240679</t>
        </is>
      </c>
    </row>
    <row r="3488">
      <c r="A3488" t="inlineStr">
        <is>
          <t>No</t>
        </is>
      </c>
      <c r="B3488" t="inlineStr">
        <is>
          <t>CURAL</t>
        </is>
      </c>
      <c r="C3488" t="inlineStr">
        <is>
          <t>SHELVES</t>
        </is>
      </c>
      <c r="D3488" t="inlineStr">
        <is>
          <t>PR625 .S44</t>
        </is>
      </c>
      <c r="E3488" t="inlineStr">
        <is>
          <t>0                      PR 0625000S  44</t>
        </is>
      </c>
      <c r="F3488" t="inlineStr">
        <is>
          <t>Renaissance drama and a modern audience / Michael Scott.</t>
        </is>
      </c>
      <c r="H3488" t="inlineStr">
        <is>
          <t>No</t>
        </is>
      </c>
      <c r="I3488" t="inlineStr">
        <is>
          <t>1</t>
        </is>
      </c>
      <c r="J3488" t="inlineStr">
        <is>
          <t>No</t>
        </is>
      </c>
      <c r="K3488" t="inlineStr">
        <is>
          <t>No</t>
        </is>
      </c>
      <c r="L3488" t="inlineStr">
        <is>
          <t>0</t>
        </is>
      </c>
      <c r="M3488" t="inlineStr">
        <is>
          <t>Scott, Michael, 1949-</t>
        </is>
      </c>
      <c r="N3488" t="inlineStr">
        <is>
          <t>London : Macmillan, 1982.</t>
        </is>
      </c>
      <c r="O3488" t="inlineStr">
        <is>
          <t>1982</t>
        </is>
      </c>
      <c r="Q3488" t="inlineStr">
        <is>
          <t>eng</t>
        </is>
      </c>
      <c r="R3488" t="inlineStr">
        <is>
          <t>enk</t>
        </is>
      </c>
      <c r="T3488" t="inlineStr">
        <is>
          <t xml:space="preserve">PR </t>
        </is>
      </c>
      <c r="U3488" t="n">
        <v>4</v>
      </c>
      <c r="V3488" t="n">
        <v>4</v>
      </c>
      <c r="W3488" t="inlineStr">
        <is>
          <t>1998-04-26</t>
        </is>
      </c>
      <c r="X3488" t="inlineStr">
        <is>
          <t>1998-04-26</t>
        </is>
      </c>
      <c r="Y3488" t="inlineStr">
        <is>
          <t>1991-09-10</t>
        </is>
      </c>
      <c r="Z3488" t="inlineStr">
        <is>
          <t>1991-09-10</t>
        </is>
      </c>
      <c r="AA3488" t="n">
        <v>308</v>
      </c>
      <c r="AB3488" t="n">
        <v>172</v>
      </c>
      <c r="AC3488" t="n">
        <v>184</v>
      </c>
      <c r="AD3488" t="n">
        <v>3</v>
      </c>
      <c r="AE3488" t="n">
        <v>3</v>
      </c>
      <c r="AF3488" t="n">
        <v>9</v>
      </c>
      <c r="AG3488" t="n">
        <v>10</v>
      </c>
      <c r="AH3488" t="n">
        <v>2</v>
      </c>
      <c r="AI3488" t="n">
        <v>3</v>
      </c>
      <c r="AJ3488" t="n">
        <v>3</v>
      </c>
      <c r="AK3488" t="n">
        <v>3</v>
      </c>
      <c r="AL3488" t="n">
        <v>5</v>
      </c>
      <c r="AM3488" t="n">
        <v>6</v>
      </c>
      <c r="AN3488" t="n">
        <v>2</v>
      </c>
      <c r="AO3488" t="n">
        <v>2</v>
      </c>
      <c r="AP3488" t="n">
        <v>0</v>
      </c>
      <c r="AQ3488" t="n">
        <v>0</v>
      </c>
      <c r="AR3488" t="inlineStr">
        <is>
          <t>No</t>
        </is>
      </c>
      <c r="AS3488" t="inlineStr">
        <is>
          <t>No</t>
        </is>
      </c>
      <c r="AU3488">
        <f>HYPERLINK("https://creighton-primo.hosted.exlibrisgroup.com/primo-explore/search?tab=default_tab&amp;search_scope=EVERYTHING&amp;vid=01CRU&amp;lang=en_US&amp;offset=0&amp;query=any,contains,991000063519702656","Catalog Record")</f>
        <v/>
      </c>
      <c r="AV3488">
        <f>HYPERLINK("http://www.worldcat.org/oclc/8754684","WorldCat Record")</f>
        <v/>
      </c>
      <c r="AW3488" t="inlineStr">
        <is>
          <t>449260:eng</t>
        </is>
      </c>
      <c r="AX3488" t="inlineStr">
        <is>
          <t>8754684</t>
        </is>
      </c>
      <c r="AY3488" t="inlineStr">
        <is>
          <t>991000063519702656</t>
        </is>
      </c>
      <c r="AZ3488" t="inlineStr">
        <is>
          <t>991000063519702656</t>
        </is>
      </c>
      <c r="BA3488" t="inlineStr">
        <is>
          <t>2268683160002656</t>
        </is>
      </c>
      <c r="BB3488" t="inlineStr">
        <is>
          <t>BOOK</t>
        </is>
      </c>
      <c r="BD3488" t="inlineStr">
        <is>
          <t>9780333275993</t>
        </is>
      </c>
      <c r="BE3488" t="inlineStr">
        <is>
          <t>32285000739283</t>
        </is>
      </c>
      <c r="BF3488" t="inlineStr">
        <is>
          <t>893444185</t>
        </is>
      </c>
    </row>
    <row r="3489">
      <c r="A3489" t="inlineStr">
        <is>
          <t>No</t>
        </is>
      </c>
      <c r="B3489" t="inlineStr">
        <is>
          <t>CURAL</t>
        </is>
      </c>
      <c r="C3489" t="inlineStr">
        <is>
          <t>SHELVES</t>
        </is>
      </c>
      <c r="D3489" t="inlineStr">
        <is>
          <t>PR625 .S54 1996</t>
        </is>
      </c>
      <c r="E3489" t="inlineStr">
        <is>
          <t>0                      PR 0625000S  54          1996</t>
        </is>
      </c>
      <c r="F3489" t="inlineStr">
        <is>
          <t>English drama : a cultural history / Simon Shepherd and Peter Womack.</t>
        </is>
      </c>
      <c r="H3489" t="inlineStr">
        <is>
          <t>No</t>
        </is>
      </c>
      <c r="I3489" t="inlineStr">
        <is>
          <t>1</t>
        </is>
      </c>
      <c r="J3489" t="inlineStr">
        <is>
          <t>No</t>
        </is>
      </c>
      <c r="K3489" t="inlineStr">
        <is>
          <t>No</t>
        </is>
      </c>
      <c r="L3489" t="inlineStr">
        <is>
          <t>0</t>
        </is>
      </c>
      <c r="M3489" t="inlineStr">
        <is>
          <t>Shepherd, Simon.</t>
        </is>
      </c>
      <c r="N3489" t="inlineStr">
        <is>
          <t>Oxford, Eng. ; Cambridge, Mass. : Blackwell Publishers, 1996.</t>
        </is>
      </c>
      <c r="O3489" t="inlineStr">
        <is>
          <t>1996</t>
        </is>
      </c>
      <c r="Q3489" t="inlineStr">
        <is>
          <t>eng</t>
        </is>
      </c>
      <c r="R3489" t="inlineStr">
        <is>
          <t>mau</t>
        </is>
      </c>
      <c r="T3489" t="inlineStr">
        <is>
          <t xml:space="preserve">PR </t>
        </is>
      </c>
      <c r="U3489" t="n">
        <v>2</v>
      </c>
      <c r="V3489" t="n">
        <v>2</v>
      </c>
      <c r="W3489" t="inlineStr">
        <is>
          <t>1998-04-03</t>
        </is>
      </c>
      <c r="X3489" t="inlineStr">
        <is>
          <t>1998-04-03</t>
        </is>
      </c>
      <c r="Y3489" t="inlineStr">
        <is>
          <t>1997-12-09</t>
        </is>
      </c>
      <c r="Z3489" t="inlineStr">
        <is>
          <t>1997-12-09</t>
        </is>
      </c>
      <c r="AA3489" t="n">
        <v>678</v>
      </c>
      <c r="AB3489" t="n">
        <v>467</v>
      </c>
      <c r="AC3489" t="n">
        <v>472</v>
      </c>
      <c r="AD3489" t="n">
        <v>4</v>
      </c>
      <c r="AE3489" t="n">
        <v>4</v>
      </c>
      <c r="AF3489" t="n">
        <v>26</v>
      </c>
      <c r="AG3489" t="n">
        <v>26</v>
      </c>
      <c r="AH3489" t="n">
        <v>11</v>
      </c>
      <c r="AI3489" t="n">
        <v>11</v>
      </c>
      <c r="AJ3489" t="n">
        <v>5</v>
      </c>
      <c r="AK3489" t="n">
        <v>5</v>
      </c>
      <c r="AL3489" t="n">
        <v>14</v>
      </c>
      <c r="AM3489" t="n">
        <v>14</v>
      </c>
      <c r="AN3489" t="n">
        <v>3</v>
      </c>
      <c r="AO3489" t="n">
        <v>3</v>
      </c>
      <c r="AP3489" t="n">
        <v>0</v>
      </c>
      <c r="AQ3489" t="n">
        <v>0</v>
      </c>
      <c r="AR3489" t="inlineStr">
        <is>
          <t>No</t>
        </is>
      </c>
      <c r="AS3489" t="inlineStr">
        <is>
          <t>No</t>
        </is>
      </c>
      <c r="AU3489">
        <f>HYPERLINK("https://creighton-primo.hosted.exlibrisgroup.com/primo-explore/search?tab=default_tab&amp;search_scope=EVERYTHING&amp;vid=01CRU&amp;lang=en_US&amp;offset=0&amp;query=any,contains,991002524039702656","Catalog Record")</f>
        <v/>
      </c>
      <c r="AV3489">
        <f>HYPERLINK("http://www.worldcat.org/oclc/32820801","WorldCat Record")</f>
        <v/>
      </c>
      <c r="AW3489" t="inlineStr">
        <is>
          <t>914519:eng</t>
        </is>
      </c>
      <c r="AX3489" t="inlineStr">
        <is>
          <t>32820801</t>
        </is>
      </c>
      <c r="AY3489" t="inlineStr">
        <is>
          <t>991002524039702656</t>
        </is>
      </c>
      <c r="AZ3489" t="inlineStr">
        <is>
          <t>991002524039702656</t>
        </is>
      </c>
      <c r="BA3489" t="inlineStr">
        <is>
          <t>2263183270002656</t>
        </is>
      </c>
      <c r="BB3489" t="inlineStr">
        <is>
          <t>BOOK</t>
        </is>
      </c>
      <c r="BD3489" t="inlineStr">
        <is>
          <t>9780631168126</t>
        </is>
      </c>
      <c r="BE3489" t="inlineStr">
        <is>
          <t>32285003282067</t>
        </is>
      </c>
      <c r="BF3489" t="inlineStr">
        <is>
          <t>893798696</t>
        </is>
      </c>
    </row>
    <row r="3490">
      <c r="A3490" t="inlineStr">
        <is>
          <t>No</t>
        </is>
      </c>
      <c r="B3490" t="inlineStr">
        <is>
          <t>CURAL</t>
        </is>
      </c>
      <c r="C3490" t="inlineStr">
        <is>
          <t>SHELVES</t>
        </is>
      </c>
      <c r="D3490" t="inlineStr">
        <is>
          <t>PR627 .E48</t>
        </is>
      </c>
      <c r="E3490" t="inlineStr">
        <is>
          <t>0                      PR 0627000E  48</t>
        </is>
      </c>
      <c r="F3490" t="inlineStr">
        <is>
          <t>English drama : forms and development : essays in honour of Muriel Clara Bradbrook / edited by Marie Axton and Raymond Williams ; with an introduction by Raymond Williams.</t>
        </is>
      </c>
      <c r="H3490" t="inlineStr">
        <is>
          <t>No</t>
        </is>
      </c>
      <c r="I3490" t="inlineStr">
        <is>
          <t>1</t>
        </is>
      </c>
      <c r="J3490" t="inlineStr">
        <is>
          <t>No</t>
        </is>
      </c>
      <c r="K3490" t="inlineStr">
        <is>
          <t>No</t>
        </is>
      </c>
      <c r="L3490" t="inlineStr">
        <is>
          <t>0</t>
        </is>
      </c>
      <c r="N3490" t="inlineStr">
        <is>
          <t>Cambridge ; New York : Cambridge University Press, c1977.</t>
        </is>
      </c>
      <c r="O3490" t="inlineStr">
        <is>
          <t>1977</t>
        </is>
      </c>
      <c r="Q3490" t="inlineStr">
        <is>
          <t>eng</t>
        </is>
      </c>
      <c r="R3490" t="inlineStr">
        <is>
          <t>nyu</t>
        </is>
      </c>
      <c r="T3490" t="inlineStr">
        <is>
          <t xml:space="preserve">PR </t>
        </is>
      </c>
      <c r="U3490" t="n">
        <v>2</v>
      </c>
      <c r="V3490" t="n">
        <v>2</v>
      </c>
      <c r="W3490" t="inlineStr">
        <is>
          <t>1997-09-30</t>
        </is>
      </c>
      <c r="X3490" t="inlineStr">
        <is>
          <t>1997-09-30</t>
        </is>
      </c>
      <c r="Y3490" t="inlineStr">
        <is>
          <t>1991-09-10</t>
        </is>
      </c>
      <c r="Z3490" t="inlineStr">
        <is>
          <t>1991-09-10</t>
        </is>
      </c>
      <c r="AA3490" t="n">
        <v>774</v>
      </c>
      <c r="AB3490" t="n">
        <v>583</v>
      </c>
      <c r="AC3490" t="n">
        <v>591</v>
      </c>
      <c r="AD3490" t="n">
        <v>5</v>
      </c>
      <c r="AE3490" t="n">
        <v>5</v>
      </c>
      <c r="AF3490" t="n">
        <v>24</v>
      </c>
      <c r="AG3490" t="n">
        <v>24</v>
      </c>
      <c r="AH3490" t="n">
        <v>7</v>
      </c>
      <c r="AI3490" t="n">
        <v>7</v>
      </c>
      <c r="AJ3490" t="n">
        <v>7</v>
      </c>
      <c r="AK3490" t="n">
        <v>7</v>
      </c>
      <c r="AL3490" t="n">
        <v>11</v>
      </c>
      <c r="AM3490" t="n">
        <v>11</v>
      </c>
      <c r="AN3490" t="n">
        <v>4</v>
      </c>
      <c r="AO3490" t="n">
        <v>4</v>
      </c>
      <c r="AP3490" t="n">
        <v>0</v>
      </c>
      <c r="AQ3490" t="n">
        <v>0</v>
      </c>
      <c r="AR3490" t="inlineStr">
        <is>
          <t>No</t>
        </is>
      </c>
      <c r="AS3490" t="inlineStr">
        <is>
          <t>No</t>
        </is>
      </c>
      <c r="AU3490">
        <f>HYPERLINK("https://creighton-primo.hosted.exlibrisgroup.com/primo-explore/search?tab=default_tab&amp;search_scope=EVERYTHING&amp;vid=01CRU&amp;lang=en_US&amp;offset=0&amp;query=any,contains,991004299409702656","Catalog Record")</f>
        <v/>
      </c>
      <c r="AV3490">
        <f>HYPERLINK("http://www.worldcat.org/oclc/2967609","WorldCat Record")</f>
        <v/>
      </c>
      <c r="AW3490" t="inlineStr">
        <is>
          <t>803387524:eng</t>
        </is>
      </c>
      <c r="AX3490" t="inlineStr">
        <is>
          <t>2967609</t>
        </is>
      </c>
      <c r="AY3490" t="inlineStr">
        <is>
          <t>991004299409702656</t>
        </is>
      </c>
      <c r="AZ3490" t="inlineStr">
        <is>
          <t>991004299409702656</t>
        </is>
      </c>
      <c r="BA3490" t="inlineStr">
        <is>
          <t>2269584280002656</t>
        </is>
      </c>
      <c r="BB3490" t="inlineStr">
        <is>
          <t>BOOK</t>
        </is>
      </c>
      <c r="BD3490" t="inlineStr">
        <is>
          <t>9780521215886</t>
        </is>
      </c>
      <c r="BE3490" t="inlineStr">
        <is>
          <t>32285000739309</t>
        </is>
      </c>
      <c r="BF3490" t="inlineStr">
        <is>
          <t>893782084</t>
        </is>
      </c>
    </row>
    <row r="3491">
      <c r="A3491" t="inlineStr">
        <is>
          <t>No</t>
        </is>
      </c>
      <c r="B3491" t="inlineStr">
        <is>
          <t>CURAL</t>
        </is>
      </c>
      <c r="C3491" t="inlineStr">
        <is>
          <t>SHELVES</t>
        </is>
      </c>
      <c r="D3491" t="inlineStr">
        <is>
          <t>PR631 .C64 1986</t>
        </is>
      </c>
      <c r="E3491" t="inlineStr">
        <is>
          <t>0                      PR 0631000C  64          1986</t>
        </is>
      </c>
      <c r="F3491" t="inlineStr">
        <is>
          <t>Comedy from Shakespeare to Sheridan : change and continuity in the English and European dramatic tradition : essays in honor of Eugene M. Waith / edited and with an introduction by A.R. Braunmuller and J.C. Bulman.</t>
        </is>
      </c>
      <c r="H3491" t="inlineStr">
        <is>
          <t>No</t>
        </is>
      </c>
      <c r="I3491" t="inlineStr">
        <is>
          <t>1</t>
        </is>
      </c>
      <c r="J3491" t="inlineStr">
        <is>
          <t>No</t>
        </is>
      </c>
      <c r="K3491" t="inlineStr">
        <is>
          <t>No</t>
        </is>
      </c>
      <c r="L3491" t="inlineStr">
        <is>
          <t>0</t>
        </is>
      </c>
      <c r="N3491" t="inlineStr">
        <is>
          <t>Newark : University of Delaware Press ; London ; Toronto : Associated University Presses, c1986.</t>
        </is>
      </c>
      <c r="O3491" t="inlineStr">
        <is>
          <t>1986</t>
        </is>
      </c>
      <c r="Q3491" t="inlineStr">
        <is>
          <t>eng</t>
        </is>
      </c>
      <c r="R3491" t="inlineStr">
        <is>
          <t>nju</t>
        </is>
      </c>
      <c r="T3491" t="inlineStr">
        <is>
          <t xml:space="preserve">PR </t>
        </is>
      </c>
      <c r="U3491" t="n">
        <v>0</v>
      </c>
      <c r="V3491" t="n">
        <v>0</v>
      </c>
      <c r="W3491" t="inlineStr">
        <is>
          <t>2005-11-09</t>
        </is>
      </c>
      <c r="X3491" t="inlineStr">
        <is>
          <t>2005-11-09</t>
        </is>
      </c>
      <c r="Y3491" t="inlineStr">
        <is>
          <t>1991-09-10</t>
        </is>
      </c>
      <c r="Z3491" t="inlineStr">
        <is>
          <t>1991-09-10</t>
        </is>
      </c>
      <c r="AA3491" t="n">
        <v>429</v>
      </c>
      <c r="AB3491" t="n">
        <v>314</v>
      </c>
      <c r="AC3491" t="n">
        <v>321</v>
      </c>
      <c r="AD3491" t="n">
        <v>3</v>
      </c>
      <c r="AE3491" t="n">
        <v>3</v>
      </c>
      <c r="AF3491" t="n">
        <v>18</v>
      </c>
      <c r="AG3491" t="n">
        <v>18</v>
      </c>
      <c r="AH3491" t="n">
        <v>5</v>
      </c>
      <c r="AI3491" t="n">
        <v>5</v>
      </c>
      <c r="AJ3491" t="n">
        <v>3</v>
      </c>
      <c r="AK3491" t="n">
        <v>3</v>
      </c>
      <c r="AL3491" t="n">
        <v>13</v>
      </c>
      <c r="AM3491" t="n">
        <v>13</v>
      </c>
      <c r="AN3491" t="n">
        <v>2</v>
      </c>
      <c r="AO3491" t="n">
        <v>2</v>
      </c>
      <c r="AP3491" t="n">
        <v>0</v>
      </c>
      <c r="AQ3491" t="n">
        <v>0</v>
      </c>
      <c r="AR3491" t="inlineStr">
        <is>
          <t>No</t>
        </is>
      </c>
      <c r="AS3491" t="inlineStr">
        <is>
          <t>Yes</t>
        </is>
      </c>
      <c r="AT3491">
        <f>HYPERLINK("http://catalog.hathitrust.org/Record/000480370","HathiTrust Record")</f>
        <v/>
      </c>
      <c r="AU3491">
        <f>HYPERLINK("https://creighton-primo.hosted.exlibrisgroup.com/primo-explore/search?tab=default_tab&amp;search_scope=EVERYTHING&amp;vid=01CRU&amp;lang=en_US&amp;offset=0&amp;query=any,contains,991000704609702656","Catalog Record")</f>
        <v/>
      </c>
      <c r="AV3491">
        <f>HYPERLINK("http://www.worldcat.org/oclc/12555957","WorldCat Record")</f>
        <v/>
      </c>
      <c r="AW3491" t="inlineStr">
        <is>
          <t>370044715:eng</t>
        </is>
      </c>
      <c r="AX3491" t="inlineStr">
        <is>
          <t>12555957</t>
        </is>
      </c>
      <c r="AY3491" t="inlineStr">
        <is>
          <t>991000704609702656</t>
        </is>
      </c>
      <c r="AZ3491" t="inlineStr">
        <is>
          <t>991000704609702656</t>
        </is>
      </c>
      <c r="BA3491" t="inlineStr">
        <is>
          <t>2257789680002656</t>
        </is>
      </c>
      <c r="BB3491" t="inlineStr">
        <is>
          <t>BOOK</t>
        </is>
      </c>
      <c r="BD3491" t="inlineStr">
        <is>
          <t>9780874132762</t>
        </is>
      </c>
      <c r="BE3491" t="inlineStr">
        <is>
          <t>32285000739317</t>
        </is>
      </c>
      <c r="BF3491" t="inlineStr">
        <is>
          <t>893589676</t>
        </is>
      </c>
    </row>
    <row r="3492">
      <c r="A3492" t="inlineStr">
        <is>
          <t>No</t>
        </is>
      </c>
      <c r="B3492" t="inlineStr">
        <is>
          <t>CURAL</t>
        </is>
      </c>
      <c r="C3492" t="inlineStr">
        <is>
          <t>SHELVES</t>
        </is>
      </c>
      <c r="D3492" t="inlineStr">
        <is>
          <t>PR631 .F37 1981</t>
        </is>
      </c>
      <c r="E3492" t="inlineStr">
        <is>
          <t>0                      PR 0631000F  37          1981</t>
        </is>
      </c>
      <c r="F3492" t="inlineStr">
        <is>
          <t>The comic in Renaissance comedy / David Farley-Hills.</t>
        </is>
      </c>
      <c r="H3492" t="inlineStr">
        <is>
          <t>No</t>
        </is>
      </c>
      <c r="I3492" t="inlineStr">
        <is>
          <t>1</t>
        </is>
      </c>
      <c r="J3492" t="inlineStr">
        <is>
          <t>No</t>
        </is>
      </c>
      <c r="K3492" t="inlineStr">
        <is>
          <t>No</t>
        </is>
      </c>
      <c r="L3492" t="inlineStr">
        <is>
          <t>0</t>
        </is>
      </c>
      <c r="M3492" t="inlineStr">
        <is>
          <t>Farley-Hills, David.</t>
        </is>
      </c>
      <c r="N3492" t="inlineStr">
        <is>
          <t>Totowa, N. J. : Barnes &amp; Noble, 1981.</t>
        </is>
      </c>
      <c r="O3492" t="inlineStr">
        <is>
          <t>1981</t>
        </is>
      </c>
      <c r="Q3492" t="inlineStr">
        <is>
          <t>eng</t>
        </is>
      </c>
      <c r="R3492" t="inlineStr">
        <is>
          <t>nyu</t>
        </is>
      </c>
      <c r="T3492" t="inlineStr">
        <is>
          <t xml:space="preserve">PR </t>
        </is>
      </c>
      <c r="U3492" t="n">
        <v>3</v>
      </c>
      <c r="V3492" t="n">
        <v>3</v>
      </c>
      <c r="W3492" t="inlineStr">
        <is>
          <t>1994-08-19</t>
        </is>
      </c>
      <c r="X3492" t="inlineStr">
        <is>
          <t>1994-08-19</t>
        </is>
      </c>
      <c r="Y3492" t="inlineStr">
        <is>
          <t>1991-09-10</t>
        </is>
      </c>
      <c r="Z3492" t="inlineStr">
        <is>
          <t>1991-09-10</t>
        </is>
      </c>
      <c r="AA3492" t="n">
        <v>449</v>
      </c>
      <c r="AB3492" t="n">
        <v>418</v>
      </c>
      <c r="AC3492" t="n">
        <v>474</v>
      </c>
      <c r="AD3492" t="n">
        <v>2</v>
      </c>
      <c r="AE3492" t="n">
        <v>4</v>
      </c>
      <c r="AF3492" t="n">
        <v>20</v>
      </c>
      <c r="AG3492" t="n">
        <v>22</v>
      </c>
      <c r="AH3492" t="n">
        <v>9</v>
      </c>
      <c r="AI3492" t="n">
        <v>9</v>
      </c>
      <c r="AJ3492" t="n">
        <v>6</v>
      </c>
      <c r="AK3492" t="n">
        <v>6</v>
      </c>
      <c r="AL3492" t="n">
        <v>12</v>
      </c>
      <c r="AM3492" t="n">
        <v>12</v>
      </c>
      <c r="AN3492" t="n">
        <v>1</v>
      </c>
      <c r="AO3492" t="n">
        <v>3</v>
      </c>
      <c r="AP3492" t="n">
        <v>0</v>
      </c>
      <c r="AQ3492" t="n">
        <v>0</v>
      </c>
      <c r="AR3492" t="inlineStr">
        <is>
          <t>No</t>
        </is>
      </c>
      <c r="AS3492" t="inlineStr">
        <is>
          <t>Yes</t>
        </is>
      </c>
      <c r="AT3492">
        <f>HYPERLINK("http://catalog.hathitrust.org/Record/000304030","HathiTrust Record")</f>
        <v/>
      </c>
      <c r="AU3492">
        <f>HYPERLINK("https://creighton-primo.hosted.exlibrisgroup.com/primo-explore/search?tab=default_tab&amp;search_scope=EVERYTHING&amp;vid=01CRU&amp;lang=en_US&amp;offset=0&amp;query=any,contains,991005142949702656","Catalog Record")</f>
        <v/>
      </c>
      <c r="AV3492">
        <f>HYPERLINK("http://www.worldcat.org/oclc/7640001","WorldCat Record")</f>
        <v/>
      </c>
      <c r="AW3492" t="inlineStr">
        <is>
          <t>458504:eng</t>
        </is>
      </c>
      <c r="AX3492" t="inlineStr">
        <is>
          <t>7640001</t>
        </is>
      </c>
      <c r="AY3492" t="inlineStr">
        <is>
          <t>991005142949702656</t>
        </is>
      </c>
      <c r="AZ3492" t="inlineStr">
        <is>
          <t>991005142949702656</t>
        </is>
      </c>
      <c r="BA3492" t="inlineStr">
        <is>
          <t>2268795940002656</t>
        </is>
      </c>
      <c r="BB3492" t="inlineStr">
        <is>
          <t>BOOK</t>
        </is>
      </c>
      <c r="BE3492" t="inlineStr">
        <is>
          <t>32285000739333</t>
        </is>
      </c>
      <c r="BF3492" t="inlineStr">
        <is>
          <t>893707333</t>
        </is>
      </c>
    </row>
    <row r="3493">
      <c r="A3493" t="inlineStr">
        <is>
          <t>No</t>
        </is>
      </c>
      <c r="B3493" t="inlineStr">
        <is>
          <t>CURAL</t>
        </is>
      </c>
      <c r="C3493" t="inlineStr">
        <is>
          <t>SHELVES</t>
        </is>
      </c>
      <c r="D3493" t="inlineStr">
        <is>
          <t>PR631 .T38 1993</t>
        </is>
      </c>
      <c r="E3493" t="inlineStr">
        <is>
          <t>0                      PR 0631000T  38          1993</t>
        </is>
      </c>
      <c r="F3493" t="inlineStr">
        <is>
          <t>Lovers, clowns, and fairies : an essay on comedies / Stuart M. Tave.</t>
        </is>
      </c>
      <c r="H3493" t="inlineStr">
        <is>
          <t>No</t>
        </is>
      </c>
      <c r="I3493" t="inlineStr">
        <is>
          <t>1</t>
        </is>
      </c>
      <c r="J3493" t="inlineStr">
        <is>
          <t>No</t>
        </is>
      </c>
      <c r="K3493" t="inlineStr">
        <is>
          <t>No</t>
        </is>
      </c>
      <c r="L3493" t="inlineStr">
        <is>
          <t>0</t>
        </is>
      </c>
      <c r="M3493" t="inlineStr">
        <is>
          <t>Tave, Stuart M.</t>
        </is>
      </c>
      <c r="N3493" t="inlineStr">
        <is>
          <t>Chicago : University of Chicago Press, 1993.</t>
        </is>
      </c>
      <c r="O3493" t="inlineStr">
        <is>
          <t>1993</t>
        </is>
      </c>
      <c r="Q3493" t="inlineStr">
        <is>
          <t>eng</t>
        </is>
      </c>
      <c r="R3493" t="inlineStr">
        <is>
          <t>ilu</t>
        </is>
      </c>
      <c r="T3493" t="inlineStr">
        <is>
          <t xml:space="preserve">PR </t>
        </is>
      </c>
      <c r="U3493" t="n">
        <v>2</v>
      </c>
      <c r="V3493" t="n">
        <v>2</v>
      </c>
      <c r="W3493" t="inlineStr">
        <is>
          <t>1997-09-18</t>
        </is>
      </c>
      <c r="X3493" t="inlineStr">
        <is>
          <t>1997-09-18</t>
        </is>
      </c>
      <c r="Y3493" t="inlineStr">
        <is>
          <t>1993-09-28</t>
        </is>
      </c>
      <c r="Z3493" t="inlineStr">
        <is>
          <t>1993-09-28</t>
        </is>
      </c>
      <c r="AA3493" t="n">
        <v>385</v>
      </c>
      <c r="AB3493" t="n">
        <v>317</v>
      </c>
      <c r="AC3493" t="n">
        <v>322</v>
      </c>
      <c r="AD3493" t="n">
        <v>3</v>
      </c>
      <c r="AE3493" t="n">
        <v>3</v>
      </c>
      <c r="AF3493" t="n">
        <v>21</v>
      </c>
      <c r="AG3493" t="n">
        <v>21</v>
      </c>
      <c r="AH3493" t="n">
        <v>9</v>
      </c>
      <c r="AI3493" t="n">
        <v>9</v>
      </c>
      <c r="AJ3493" t="n">
        <v>6</v>
      </c>
      <c r="AK3493" t="n">
        <v>6</v>
      </c>
      <c r="AL3493" t="n">
        <v>12</v>
      </c>
      <c r="AM3493" t="n">
        <v>12</v>
      </c>
      <c r="AN3493" t="n">
        <v>2</v>
      </c>
      <c r="AO3493" t="n">
        <v>2</v>
      </c>
      <c r="AP3493" t="n">
        <v>0</v>
      </c>
      <c r="AQ3493" t="n">
        <v>0</v>
      </c>
      <c r="AR3493" t="inlineStr">
        <is>
          <t>No</t>
        </is>
      </c>
      <c r="AS3493" t="inlineStr">
        <is>
          <t>No</t>
        </is>
      </c>
      <c r="AU3493">
        <f>HYPERLINK("https://creighton-primo.hosted.exlibrisgroup.com/primo-explore/search?tab=default_tab&amp;search_scope=EVERYTHING&amp;vid=01CRU&amp;lang=en_US&amp;offset=0&amp;query=any,contains,991002111049702656","Catalog Record")</f>
        <v/>
      </c>
      <c r="AV3493">
        <f>HYPERLINK("http://www.worldcat.org/oclc/27066258","WorldCat Record")</f>
        <v/>
      </c>
      <c r="AW3493" t="inlineStr">
        <is>
          <t>836883692:eng</t>
        </is>
      </c>
      <c r="AX3493" t="inlineStr">
        <is>
          <t>27066258</t>
        </is>
      </c>
      <c r="AY3493" t="inlineStr">
        <is>
          <t>991002111049702656</t>
        </is>
      </c>
      <c r="AZ3493" t="inlineStr">
        <is>
          <t>991002111049702656</t>
        </is>
      </c>
      <c r="BA3493" t="inlineStr">
        <is>
          <t>2256911400002656</t>
        </is>
      </c>
      <c r="BB3493" t="inlineStr">
        <is>
          <t>BOOK</t>
        </is>
      </c>
      <c r="BD3493" t="inlineStr">
        <is>
          <t>9780226790190</t>
        </is>
      </c>
      <c r="BE3493" t="inlineStr">
        <is>
          <t>32285001767879</t>
        </is>
      </c>
      <c r="BF3493" t="inlineStr">
        <is>
          <t>893798194</t>
        </is>
      </c>
    </row>
    <row r="3494">
      <c r="A3494" t="inlineStr">
        <is>
          <t>No</t>
        </is>
      </c>
      <c r="B3494" t="inlineStr">
        <is>
          <t>CURAL</t>
        </is>
      </c>
      <c r="C3494" t="inlineStr">
        <is>
          <t>SHELVES</t>
        </is>
      </c>
      <c r="D3494" t="inlineStr">
        <is>
          <t>PR635.F6 B7 1970</t>
        </is>
      </c>
      <c r="E3494" t="inlineStr">
        <is>
          <t>0                      PR 0635000F  6                  B  7           1970</t>
        </is>
      </c>
      <c r="F3494" t="inlineStr">
        <is>
          <t>The English mummers and their plays; traces of ancient mystery.</t>
        </is>
      </c>
      <c r="H3494" t="inlineStr">
        <is>
          <t>No</t>
        </is>
      </c>
      <c r="I3494" t="inlineStr">
        <is>
          <t>1</t>
        </is>
      </c>
      <c r="J3494" t="inlineStr">
        <is>
          <t>No</t>
        </is>
      </c>
      <c r="K3494" t="inlineStr">
        <is>
          <t>No</t>
        </is>
      </c>
      <c r="L3494" t="inlineStr">
        <is>
          <t>0</t>
        </is>
      </c>
      <c r="M3494" t="inlineStr">
        <is>
          <t>Brody, Alan, 1937-</t>
        </is>
      </c>
      <c r="N3494" t="inlineStr">
        <is>
          <t>Philadelphia, University of Pennsylvania Press [1970]</t>
        </is>
      </c>
      <c r="O3494" t="inlineStr">
        <is>
          <t>1970</t>
        </is>
      </c>
      <c r="Q3494" t="inlineStr">
        <is>
          <t>eng</t>
        </is>
      </c>
      <c r="R3494" t="inlineStr">
        <is>
          <t>pau</t>
        </is>
      </c>
      <c r="S3494" t="inlineStr">
        <is>
          <t>University of Pennsylvania publications in folklore and folklife</t>
        </is>
      </c>
      <c r="T3494" t="inlineStr">
        <is>
          <t xml:space="preserve">PR </t>
        </is>
      </c>
      <c r="U3494" t="n">
        <v>1</v>
      </c>
      <c r="V3494" t="n">
        <v>1</v>
      </c>
      <c r="W3494" t="inlineStr">
        <is>
          <t>2005-10-02</t>
        </is>
      </c>
      <c r="X3494" t="inlineStr">
        <is>
          <t>2005-10-02</t>
        </is>
      </c>
      <c r="Y3494" t="inlineStr">
        <is>
          <t>1997-09-09</t>
        </is>
      </c>
      <c r="Z3494" t="inlineStr">
        <is>
          <t>1997-09-09</t>
        </is>
      </c>
      <c r="AA3494" t="n">
        <v>687</v>
      </c>
      <c r="AB3494" t="n">
        <v>618</v>
      </c>
      <c r="AC3494" t="n">
        <v>772</v>
      </c>
      <c r="AD3494" t="n">
        <v>6</v>
      </c>
      <c r="AE3494" t="n">
        <v>7</v>
      </c>
      <c r="AF3494" t="n">
        <v>33</v>
      </c>
      <c r="AG3494" t="n">
        <v>42</v>
      </c>
      <c r="AH3494" t="n">
        <v>14</v>
      </c>
      <c r="AI3494" t="n">
        <v>20</v>
      </c>
      <c r="AJ3494" t="n">
        <v>7</v>
      </c>
      <c r="AK3494" t="n">
        <v>9</v>
      </c>
      <c r="AL3494" t="n">
        <v>16</v>
      </c>
      <c r="AM3494" t="n">
        <v>18</v>
      </c>
      <c r="AN3494" t="n">
        <v>5</v>
      </c>
      <c r="AO3494" t="n">
        <v>6</v>
      </c>
      <c r="AP3494" t="n">
        <v>0</v>
      </c>
      <c r="AQ3494" t="n">
        <v>0</v>
      </c>
      <c r="AR3494" t="inlineStr">
        <is>
          <t>No</t>
        </is>
      </c>
      <c r="AS3494" t="inlineStr">
        <is>
          <t>Yes</t>
        </is>
      </c>
      <c r="AT3494">
        <f>HYPERLINK("http://catalog.hathitrust.org/Record/000001682","HathiTrust Record")</f>
        <v/>
      </c>
      <c r="AU3494">
        <f>HYPERLINK("https://creighton-primo.hosted.exlibrisgroup.com/primo-explore/search?tab=default_tab&amp;search_scope=EVERYTHING&amp;vid=01CRU&amp;lang=en_US&amp;offset=0&amp;query=any,contains,991000672949702656","Catalog Record")</f>
        <v/>
      </c>
      <c r="AV3494">
        <f>HYPERLINK("http://www.worldcat.org/oclc/119477","WorldCat Record")</f>
        <v/>
      </c>
      <c r="AW3494" t="inlineStr">
        <is>
          <t>1239618:eng</t>
        </is>
      </c>
      <c r="AX3494" t="inlineStr">
        <is>
          <t>119477</t>
        </is>
      </c>
      <c r="AY3494" t="inlineStr">
        <is>
          <t>991000672949702656</t>
        </is>
      </c>
      <c r="AZ3494" t="inlineStr">
        <is>
          <t>991000672949702656</t>
        </is>
      </c>
      <c r="BA3494" t="inlineStr">
        <is>
          <t>2264302430002656</t>
        </is>
      </c>
      <c r="BB3494" t="inlineStr">
        <is>
          <t>BOOK</t>
        </is>
      </c>
      <c r="BD3494" t="inlineStr">
        <is>
          <t>9780812276114</t>
        </is>
      </c>
      <c r="BE3494" t="inlineStr">
        <is>
          <t>32285003215018</t>
        </is>
      </c>
      <c r="BF3494" t="inlineStr">
        <is>
          <t>893432190</t>
        </is>
      </c>
    </row>
    <row r="3495">
      <c r="A3495" t="inlineStr">
        <is>
          <t>No</t>
        </is>
      </c>
      <c r="B3495" t="inlineStr">
        <is>
          <t>CURAL</t>
        </is>
      </c>
      <c r="C3495" t="inlineStr">
        <is>
          <t>SHELVES</t>
        </is>
      </c>
      <c r="D3495" t="inlineStr">
        <is>
          <t>PR635.F6 W55</t>
        </is>
      </c>
      <c r="E3495" t="inlineStr">
        <is>
          <t>0                      PR 0635000F  6                  W  55</t>
        </is>
      </c>
      <c r="F3495" t="inlineStr">
        <is>
          <t>The early plays of Robin Hood / David Wiles.</t>
        </is>
      </c>
      <c r="H3495" t="inlineStr">
        <is>
          <t>No</t>
        </is>
      </c>
      <c r="I3495" t="inlineStr">
        <is>
          <t>1</t>
        </is>
      </c>
      <c r="J3495" t="inlineStr">
        <is>
          <t>No</t>
        </is>
      </c>
      <c r="K3495" t="inlineStr">
        <is>
          <t>No</t>
        </is>
      </c>
      <c r="L3495" t="inlineStr">
        <is>
          <t>0</t>
        </is>
      </c>
      <c r="M3495" t="inlineStr">
        <is>
          <t>Wiles, David.</t>
        </is>
      </c>
      <c r="N3495" t="inlineStr">
        <is>
          <t>Cambridge : D.S. Brewer, 1981.</t>
        </is>
      </c>
      <c r="O3495" t="inlineStr">
        <is>
          <t>1981</t>
        </is>
      </c>
      <c r="Q3495" t="inlineStr">
        <is>
          <t>eng</t>
        </is>
      </c>
      <c r="R3495" t="inlineStr">
        <is>
          <t>enk</t>
        </is>
      </c>
      <c r="T3495" t="inlineStr">
        <is>
          <t xml:space="preserve">PR </t>
        </is>
      </c>
      <c r="U3495" t="n">
        <v>6</v>
      </c>
      <c r="V3495" t="n">
        <v>6</v>
      </c>
      <c r="W3495" t="inlineStr">
        <is>
          <t>2002-10-09</t>
        </is>
      </c>
      <c r="X3495" t="inlineStr">
        <is>
          <t>2002-10-09</t>
        </is>
      </c>
      <c r="Y3495" t="inlineStr">
        <is>
          <t>1991-09-10</t>
        </is>
      </c>
      <c r="Z3495" t="inlineStr">
        <is>
          <t>1991-09-10</t>
        </is>
      </c>
      <c r="AA3495" t="n">
        <v>336</v>
      </c>
      <c r="AB3495" t="n">
        <v>223</v>
      </c>
      <c r="AC3495" t="n">
        <v>223</v>
      </c>
      <c r="AD3495" t="n">
        <v>3</v>
      </c>
      <c r="AE3495" t="n">
        <v>3</v>
      </c>
      <c r="AF3495" t="n">
        <v>8</v>
      </c>
      <c r="AG3495" t="n">
        <v>8</v>
      </c>
      <c r="AH3495" t="n">
        <v>2</v>
      </c>
      <c r="AI3495" t="n">
        <v>2</v>
      </c>
      <c r="AJ3495" t="n">
        <v>3</v>
      </c>
      <c r="AK3495" t="n">
        <v>3</v>
      </c>
      <c r="AL3495" t="n">
        <v>4</v>
      </c>
      <c r="AM3495" t="n">
        <v>4</v>
      </c>
      <c r="AN3495" t="n">
        <v>2</v>
      </c>
      <c r="AO3495" t="n">
        <v>2</v>
      </c>
      <c r="AP3495" t="n">
        <v>0</v>
      </c>
      <c r="AQ3495" t="n">
        <v>0</v>
      </c>
      <c r="AR3495" t="inlineStr">
        <is>
          <t>No</t>
        </is>
      </c>
      <c r="AS3495" t="inlineStr">
        <is>
          <t>No</t>
        </is>
      </c>
      <c r="AU3495">
        <f>HYPERLINK("https://creighton-primo.hosted.exlibrisgroup.com/primo-explore/search?tab=default_tab&amp;search_scope=EVERYTHING&amp;vid=01CRU&amp;lang=en_US&amp;offset=0&amp;query=any,contains,991005208999702656","Catalog Record")</f>
        <v/>
      </c>
      <c r="AV3495">
        <f>HYPERLINK("http://www.worldcat.org/oclc/9133421","WorldCat Record")</f>
        <v/>
      </c>
      <c r="AW3495" t="inlineStr">
        <is>
          <t>40936796:eng</t>
        </is>
      </c>
      <c r="AX3495" t="inlineStr">
        <is>
          <t>9133421</t>
        </is>
      </c>
      <c r="AY3495" t="inlineStr">
        <is>
          <t>991005208999702656</t>
        </is>
      </c>
      <c r="AZ3495" t="inlineStr">
        <is>
          <t>991005208999702656</t>
        </is>
      </c>
      <c r="BA3495" t="inlineStr">
        <is>
          <t>2264057400002656</t>
        </is>
      </c>
      <c r="BB3495" t="inlineStr">
        <is>
          <t>BOOK</t>
        </is>
      </c>
      <c r="BD3495" t="inlineStr">
        <is>
          <t>9780859910828</t>
        </is>
      </c>
      <c r="BE3495" t="inlineStr">
        <is>
          <t>32285000739366</t>
        </is>
      </c>
      <c r="BF3495" t="inlineStr">
        <is>
          <t>893344837</t>
        </is>
      </c>
    </row>
    <row r="3496">
      <c r="A3496" t="inlineStr">
        <is>
          <t>No</t>
        </is>
      </c>
      <c r="B3496" t="inlineStr">
        <is>
          <t>CURAL</t>
        </is>
      </c>
      <c r="C3496" t="inlineStr">
        <is>
          <t>SHELVES</t>
        </is>
      </c>
      <c r="D3496" t="inlineStr">
        <is>
          <t>PR635.I7 S5 1975</t>
        </is>
      </c>
      <c r="E3496" t="inlineStr">
        <is>
          <t>0                      PR 0635000I  7                  S  5           1975</t>
        </is>
      </c>
      <c r="F3496" t="inlineStr">
        <is>
          <t>Irony in the drama : an essay on impersonation, shock, and catharsis.</t>
        </is>
      </c>
      <c r="H3496" t="inlineStr">
        <is>
          <t>No</t>
        </is>
      </c>
      <c r="I3496" t="inlineStr">
        <is>
          <t>1</t>
        </is>
      </c>
      <c r="J3496" t="inlineStr">
        <is>
          <t>No</t>
        </is>
      </c>
      <c r="K3496" t="inlineStr">
        <is>
          <t>No</t>
        </is>
      </c>
      <c r="L3496" t="inlineStr">
        <is>
          <t>0</t>
        </is>
      </c>
      <c r="M3496" t="inlineStr">
        <is>
          <t>Sharpe, Robert Boies, 1897-</t>
        </is>
      </c>
      <c r="N3496" t="inlineStr">
        <is>
          <t>Westport, Conn. : Greenwood Press, [1975, c1959]</t>
        </is>
      </c>
      <c r="O3496" t="inlineStr">
        <is>
          <t>1975</t>
        </is>
      </c>
      <c r="Q3496" t="inlineStr">
        <is>
          <t>eng</t>
        </is>
      </c>
      <c r="R3496" t="inlineStr">
        <is>
          <t>ctu</t>
        </is>
      </c>
      <c r="T3496" t="inlineStr">
        <is>
          <t xml:space="preserve">PR </t>
        </is>
      </c>
      <c r="U3496" t="n">
        <v>5</v>
      </c>
      <c r="V3496" t="n">
        <v>5</v>
      </c>
      <c r="W3496" t="inlineStr">
        <is>
          <t>1995-09-13</t>
        </is>
      </c>
      <c r="X3496" t="inlineStr">
        <is>
          <t>1995-09-13</t>
        </is>
      </c>
      <c r="Y3496" t="inlineStr">
        <is>
          <t>1991-09-11</t>
        </is>
      </c>
      <c r="Z3496" t="inlineStr">
        <is>
          <t>1991-09-11</t>
        </is>
      </c>
      <c r="AA3496" t="n">
        <v>91</v>
      </c>
      <c r="AB3496" t="n">
        <v>69</v>
      </c>
      <c r="AC3496" t="n">
        <v>543</v>
      </c>
      <c r="AD3496" t="n">
        <v>1</v>
      </c>
      <c r="AE3496" t="n">
        <v>4</v>
      </c>
      <c r="AF3496" t="n">
        <v>4</v>
      </c>
      <c r="AG3496" t="n">
        <v>25</v>
      </c>
      <c r="AH3496" t="n">
        <v>2</v>
      </c>
      <c r="AI3496" t="n">
        <v>10</v>
      </c>
      <c r="AJ3496" t="n">
        <v>1</v>
      </c>
      <c r="AK3496" t="n">
        <v>4</v>
      </c>
      <c r="AL3496" t="n">
        <v>2</v>
      </c>
      <c r="AM3496" t="n">
        <v>12</v>
      </c>
      <c r="AN3496" t="n">
        <v>0</v>
      </c>
      <c r="AO3496" t="n">
        <v>3</v>
      </c>
      <c r="AP3496" t="n">
        <v>0</v>
      </c>
      <c r="AQ3496" t="n">
        <v>0</v>
      </c>
      <c r="AR3496" t="inlineStr">
        <is>
          <t>No</t>
        </is>
      </c>
      <c r="AS3496" t="inlineStr">
        <is>
          <t>Yes</t>
        </is>
      </c>
      <c r="AT3496">
        <f>HYPERLINK("http://catalog.hathitrust.org/Record/009913219","HathiTrust Record")</f>
        <v/>
      </c>
      <c r="AU3496">
        <f>HYPERLINK("https://creighton-primo.hosted.exlibrisgroup.com/primo-explore/search?tab=default_tab&amp;search_scope=EVERYTHING&amp;vid=01CRU&amp;lang=en_US&amp;offset=0&amp;query=any,contains,991003362489702656","Catalog Record")</f>
        <v/>
      </c>
      <c r="AV3496">
        <f>HYPERLINK("http://www.worldcat.org/oclc/898118","WorldCat Record")</f>
        <v/>
      </c>
      <c r="AW3496" t="inlineStr">
        <is>
          <t>950255030:eng</t>
        </is>
      </c>
      <c r="AX3496" t="inlineStr">
        <is>
          <t>898118</t>
        </is>
      </c>
      <c r="AY3496" t="inlineStr">
        <is>
          <t>991003362489702656</t>
        </is>
      </c>
      <c r="AZ3496" t="inlineStr">
        <is>
          <t>991003362489702656</t>
        </is>
      </c>
      <c r="BA3496" t="inlineStr">
        <is>
          <t>2259454090002656</t>
        </is>
      </c>
      <c r="BB3496" t="inlineStr">
        <is>
          <t>BOOK</t>
        </is>
      </c>
      <c r="BD3496" t="inlineStr">
        <is>
          <t>9780837175522</t>
        </is>
      </c>
      <c r="BE3496" t="inlineStr">
        <is>
          <t>32285000739374</t>
        </is>
      </c>
      <c r="BF3496" t="inlineStr">
        <is>
          <t>893445635</t>
        </is>
      </c>
    </row>
    <row r="3497">
      <c r="A3497" t="inlineStr">
        <is>
          <t>No</t>
        </is>
      </c>
      <c r="B3497" t="inlineStr">
        <is>
          <t>CURAL</t>
        </is>
      </c>
      <c r="C3497" t="inlineStr">
        <is>
          <t>SHELVES</t>
        </is>
      </c>
      <c r="D3497" t="inlineStr">
        <is>
          <t>PR635.P45 S3 1983</t>
        </is>
      </c>
      <c r="E3497" t="inlineStr">
        <is>
          <t>0                      PR 0635000P  45                 S  3           1983</t>
        </is>
      </c>
      <c r="F3497" t="inlineStr">
        <is>
          <t>Strangers and pilgrims : from The Castle of perseverance to King Lear / Edgar Schell.</t>
        </is>
      </c>
      <c r="H3497" t="inlineStr">
        <is>
          <t>No</t>
        </is>
      </c>
      <c r="I3497" t="inlineStr">
        <is>
          <t>1</t>
        </is>
      </c>
      <c r="J3497" t="inlineStr">
        <is>
          <t>No</t>
        </is>
      </c>
      <c r="K3497" t="inlineStr">
        <is>
          <t>No</t>
        </is>
      </c>
      <c r="L3497" t="inlineStr">
        <is>
          <t>0</t>
        </is>
      </c>
      <c r="M3497" t="inlineStr">
        <is>
          <t>Schell, Edgar.</t>
        </is>
      </c>
      <c r="N3497" t="inlineStr">
        <is>
          <t>Chicago : University of Chicago Press, 1983.</t>
        </is>
      </c>
      <c r="O3497" t="inlineStr">
        <is>
          <t>1983</t>
        </is>
      </c>
      <c r="Q3497" t="inlineStr">
        <is>
          <t>eng</t>
        </is>
      </c>
      <c r="R3497" t="inlineStr">
        <is>
          <t>ilu</t>
        </is>
      </c>
      <c r="T3497" t="inlineStr">
        <is>
          <t xml:space="preserve">PR </t>
        </is>
      </c>
      <c r="U3497" t="n">
        <v>1</v>
      </c>
      <c r="V3497" t="n">
        <v>1</v>
      </c>
      <c r="W3497" t="inlineStr">
        <is>
          <t>2002-12-11</t>
        </is>
      </c>
      <c r="X3497" t="inlineStr">
        <is>
          <t>2002-12-11</t>
        </is>
      </c>
      <c r="Y3497" t="inlineStr">
        <is>
          <t>2002-12-11</t>
        </is>
      </c>
      <c r="Z3497" t="inlineStr">
        <is>
          <t>2002-12-11</t>
        </is>
      </c>
      <c r="AA3497" t="n">
        <v>542</v>
      </c>
      <c r="AB3497" t="n">
        <v>446</v>
      </c>
      <c r="AC3497" t="n">
        <v>452</v>
      </c>
      <c r="AD3497" t="n">
        <v>5</v>
      </c>
      <c r="AE3497" t="n">
        <v>5</v>
      </c>
      <c r="AF3497" t="n">
        <v>26</v>
      </c>
      <c r="AG3497" t="n">
        <v>26</v>
      </c>
      <c r="AH3497" t="n">
        <v>8</v>
      </c>
      <c r="AI3497" t="n">
        <v>8</v>
      </c>
      <c r="AJ3497" t="n">
        <v>8</v>
      </c>
      <c r="AK3497" t="n">
        <v>8</v>
      </c>
      <c r="AL3497" t="n">
        <v>13</v>
      </c>
      <c r="AM3497" t="n">
        <v>13</v>
      </c>
      <c r="AN3497" t="n">
        <v>4</v>
      </c>
      <c r="AO3497" t="n">
        <v>4</v>
      </c>
      <c r="AP3497" t="n">
        <v>0</v>
      </c>
      <c r="AQ3497" t="n">
        <v>0</v>
      </c>
      <c r="AR3497" t="inlineStr">
        <is>
          <t>No</t>
        </is>
      </c>
      <c r="AS3497" t="inlineStr">
        <is>
          <t>No</t>
        </is>
      </c>
      <c r="AU3497">
        <f>HYPERLINK("https://creighton-primo.hosted.exlibrisgroup.com/primo-explore/search?tab=default_tab&amp;search_scope=EVERYTHING&amp;vid=01CRU&amp;lang=en_US&amp;offset=0&amp;query=any,contains,991003960249702656","Catalog Record")</f>
        <v/>
      </c>
      <c r="AV3497">
        <f>HYPERLINK("http://www.worldcat.org/oclc/8928421","WorldCat Record")</f>
        <v/>
      </c>
      <c r="AW3497" t="inlineStr">
        <is>
          <t>197972023:eng</t>
        </is>
      </c>
      <c r="AX3497" t="inlineStr">
        <is>
          <t>8928421</t>
        </is>
      </c>
      <c r="AY3497" t="inlineStr">
        <is>
          <t>991003960249702656</t>
        </is>
      </c>
      <c r="AZ3497" t="inlineStr">
        <is>
          <t>991003960249702656</t>
        </is>
      </c>
      <c r="BA3497" t="inlineStr">
        <is>
          <t>2264417720002656</t>
        </is>
      </c>
      <c r="BB3497" t="inlineStr">
        <is>
          <t>BOOK</t>
        </is>
      </c>
      <c r="BD3497" t="inlineStr">
        <is>
          <t>9780226736730</t>
        </is>
      </c>
      <c r="BE3497" t="inlineStr">
        <is>
          <t>32285004690342</t>
        </is>
      </c>
      <c r="BF3497" t="inlineStr">
        <is>
          <t>893423211</t>
        </is>
      </c>
    </row>
    <row r="3498">
      <c r="A3498" t="inlineStr">
        <is>
          <t>No</t>
        </is>
      </c>
      <c r="B3498" t="inlineStr">
        <is>
          <t>CURAL</t>
        </is>
      </c>
      <c r="C3498" t="inlineStr">
        <is>
          <t>SHELVES</t>
        </is>
      </c>
      <c r="D3498" t="inlineStr">
        <is>
          <t>PR635.R4 R6 1968</t>
        </is>
      </c>
      <c r="E3498" t="inlineStr">
        <is>
          <t>0                      PR 0635000R  4                  R  6           1968</t>
        </is>
      </c>
      <c r="F3498" t="inlineStr">
        <is>
          <t>Biblical drama in England: from the Middle Ages to the present day.</t>
        </is>
      </c>
      <c r="H3498" t="inlineStr">
        <is>
          <t>No</t>
        </is>
      </c>
      <c r="I3498" t="inlineStr">
        <is>
          <t>1</t>
        </is>
      </c>
      <c r="J3498" t="inlineStr">
        <is>
          <t>No</t>
        </is>
      </c>
      <c r="K3498" t="inlineStr">
        <is>
          <t>No</t>
        </is>
      </c>
      <c r="L3498" t="inlineStr">
        <is>
          <t>0</t>
        </is>
      </c>
      <c r="M3498" t="inlineStr">
        <is>
          <t>Roston, Murray.</t>
        </is>
      </c>
      <c r="N3498" t="inlineStr">
        <is>
          <t>Evanston, Northwestern University Press, 1968.</t>
        </is>
      </c>
      <c r="O3498" t="inlineStr">
        <is>
          <t>1968</t>
        </is>
      </c>
      <c r="Q3498" t="inlineStr">
        <is>
          <t>eng</t>
        </is>
      </c>
      <c r="R3498" t="inlineStr">
        <is>
          <t>ilu</t>
        </is>
      </c>
      <c r="T3498" t="inlineStr">
        <is>
          <t xml:space="preserve">PR </t>
        </is>
      </c>
      <c r="U3498" t="n">
        <v>1</v>
      </c>
      <c r="V3498" t="n">
        <v>1</v>
      </c>
      <c r="W3498" t="inlineStr">
        <is>
          <t>1998-02-22</t>
        </is>
      </c>
      <c r="X3498" t="inlineStr">
        <is>
          <t>1998-02-22</t>
        </is>
      </c>
      <c r="Y3498" t="inlineStr">
        <is>
          <t>1997-09-09</t>
        </is>
      </c>
      <c r="Z3498" t="inlineStr">
        <is>
          <t>1997-09-09</t>
        </is>
      </c>
      <c r="AA3498" t="n">
        <v>666</v>
      </c>
      <c r="AB3498" t="n">
        <v>624</v>
      </c>
      <c r="AC3498" t="n">
        <v>756</v>
      </c>
      <c r="AD3498" t="n">
        <v>7</v>
      </c>
      <c r="AE3498" t="n">
        <v>8</v>
      </c>
      <c r="AF3498" t="n">
        <v>31</v>
      </c>
      <c r="AG3498" t="n">
        <v>42</v>
      </c>
      <c r="AH3498" t="n">
        <v>8</v>
      </c>
      <c r="AI3498" t="n">
        <v>13</v>
      </c>
      <c r="AJ3498" t="n">
        <v>8</v>
      </c>
      <c r="AK3498" t="n">
        <v>11</v>
      </c>
      <c r="AL3498" t="n">
        <v>15</v>
      </c>
      <c r="AM3498" t="n">
        <v>22</v>
      </c>
      <c r="AN3498" t="n">
        <v>6</v>
      </c>
      <c r="AO3498" t="n">
        <v>7</v>
      </c>
      <c r="AP3498" t="n">
        <v>0</v>
      </c>
      <c r="AQ3498" t="n">
        <v>0</v>
      </c>
      <c r="AR3498" t="inlineStr">
        <is>
          <t>No</t>
        </is>
      </c>
      <c r="AS3498" t="inlineStr">
        <is>
          <t>Yes</t>
        </is>
      </c>
      <c r="AT3498">
        <f>HYPERLINK("http://catalog.hathitrust.org/Record/001016584","HathiTrust Record")</f>
        <v/>
      </c>
      <c r="AU3498">
        <f>HYPERLINK("https://creighton-primo.hosted.exlibrisgroup.com/primo-explore/search?tab=default_tab&amp;search_scope=EVERYTHING&amp;vid=01CRU&amp;lang=en_US&amp;offset=0&amp;query=any,contains,991002465959702656","Catalog Record")</f>
        <v/>
      </c>
      <c r="AV3498">
        <f>HYPERLINK("http://www.worldcat.org/oclc/357739","WorldCat Record")</f>
        <v/>
      </c>
      <c r="AW3498" t="inlineStr">
        <is>
          <t>1404751:eng</t>
        </is>
      </c>
      <c r="AX3498" t="inlineStr">
        <is>
          <t>357739</t>
        </is>
      </c>
      <c r="AY3498" t="inlineStr">
        <is>
          <t>991002465959702656</t>
        </is>
      </c>
      <c r="AZ3498" t="inlineStr">
        <is>
          <t>991002465959702656</t>
        </is>
      </c>
      <c r="BA3498" t="inlineStr">
        <is>
          <t>2265586560002656</t>
        </is>
      </c>
      <c r="BB3498" t="inlineStr">
        <is>
          <t>BOOK</t>
        </is>
      </c>
      <c r="BE3498" t="inlineStr">
        <is>
          <t>32285003215042</t>
        </is>
      </c>
      <c r="BF3498" t="inlineStr">
        <is>
          <t>893603629</t>
        </is>
      </c>
    </row>
    <row r="3499">
      <c r="A3499" t="inlineStr">
        <is>
          <t>No</t>
        </is>
      </c>
      <c r="B3499" t="inlineStr">
        <is>
          <t>CURAL</t>
        </is>
      </c>
      <c r="C3499" t="inlineStr">
        <is>
          <t>SHELVES</t>
        </is>
      </c>
      <c r="D3499" t="inlineStr">
        <is>
          <t>PR635.S4 E4 1991</t>
        </is>
      </c>
      <c r="E3499" t="inlineStr">
        <is>
          <t>0                      PR 0635000S  4                  E  4           1991</t>
        </is>
      </c>
      <c r="F3499" t="inlineStr">
        <is>
          <t>Sentimental comedy : theory &amp; practice / Frank H. Ellis.</t>
        </is>
      </c>
      <c r="H3499" t="inlineStr">
        <is>
          <t>No</t>
        </is>
      </c>
      <c r="I3499" t="inlineStr">
        <is>
          <t>1</t>
        </is>
      </c>
      <c r="J3499" t="inlineStr">
        <is>
          <t>No</t>
        </is>
      </c>
      <c r="K3499" t="inlineStr">
        <is>
          <t>No</t>
        </is>
      </c>
      <c r="L3499" t="inlineStr">
        <is>
          <t>0</t>
        </is>
      </c>
      <c r="M3499" t="inlineStr">
        <is>
          <t>Ellis, Frank H. (Frank Hale), 1916-2007.</t>
        </is>
      </c>
      <c r="N3499" t="inlineStr">
        <is>
          <t>Cambridge ; New York : Cambridge University Press, 1991.</t>
        </is>
      </c>
      <c r="O3499" t="inlineStr">
        <is>
          <t>1991</t>
        </is>
      </c>
      <c r="Q3499" t="inlineStr">
        <is>
          <t>eng</t>
        </is>
      </c>
      <c r="R3499" t="inlineStr">
        <is>
          <t>enk</t>
        </is>
      </c>
      <c r="S3499" t="inlineStr">
        <is>
          <t>Cambridge studies in eighteenth-century English literature and thought ; 10</t>
        </is>
      </c>
      <c r="T3499" t="inlineStr">
        <is>
          <t xml:space="preserve">PR </t>
        </is>
      </c>
      <c r="U3499" t="n">
        <v>1</v>
      </c>
      <c r="V3499" t="n">
        <v>1</v>
      </c>
      <c r="W3499" t="inlineStr">
        <is>
          <t>2005-09-23</t>
        </is>
      </c>
      <c r="X3499" t="inlineStr">
        <is>
          <t>2005-09-23</t>
        </is>
      </c>
      <c r="Y3499" t="inlineStr">
        <is>
          <t>1991-09-17</t>
        </is>
      </c>
      <c r="Z3499" t="inlineStr">
        <is>
          <t>1991-09-17</t>
        </is>
      </c>
      <c r="AA3499" t="n">
        <v>451</v>
      </c>
      <c r="AB3499" t="n">
        <v>322</v>
      </c>
      <c r="AC3499" t="n">
        <v>327</v>
      </c>
      <c r="AD3499" t="n">
        <v>3</v>
      </c>
      <c r="AE3499" t="n">
        <v>3</v>
      </c>
      <c r="AF3499" t="n">
        <v>21</v>
      </c>
      <c r="AG3499" t="n">
        <v>21</v>
      </c>
      <c r="AH3499" t="n">
        <v>6</v>
      </c>
      <c r="AI3499" t="n">
        <v>6</v>
      </c>
      <c r="AJ3499" t="n">
        <v>7</v>
      </c>
      <c r="AK3499" t="n">
        <v>7</v>
      </c>
      <c r="AL3499" t="n">
        <v>11</v>
      </c>
      <c r="AM3499" t="n">
        <v>11</v>
      </c>
      <c r="AN3499" t="n">
        <v>2</v>
      </c>
      <c r="AO3499" t="n">
        <v>2</v>
      </c>
      <c r="AP3499" t="n">
        <v>0</v>
      </c>
      <c r="AQ3499" t="n">
        <v>0</v>
      </c>
      <c r="AR3499" t="inlineStr">
        <is>
          <t>No</t>
        </is>
      </c>
      <c r="AS3499" t="inlineStr">
        <is>
          <t>No</t>
        </is>
      </c>
      <c r="AU3499">
        <f>HYPERLINK("https://creighton-primo.hosted.exlibrisgroup.com/primo-explore/search?tab=default_tab&amp;search_scope=EVERYTHING&amp;vid=01CRU&amp;lang=en_US&amp;offset=0&amp;query=any,contains,991001730569702656","Catalog Record")</f>
        <v/>
      </c>
      <c r="AV3499">
        <f>HYPERLINK("http://www.worldcat.org/oclc/21910573","WorldCat Record")</f>
        <v/>
      </c>
      <c r="AW3499" t="inlineStr">
        <is>
          <t>347394330:eng</t>
        </is>
      </c>
      <c r="AX3499" t="inlineStr">
        <is>
          <t>21910573</t>
        </is>
      </c>
      <c r="AY3499" t="inlineStr">
        <is>
          <t>991001730569702656</t>
        </is>
      </c>
      <c r="AZ3499" t="inlineStr">
        <is>
          <t>991001730569702656</t>
        </is>
      </c>
      <c r="BA3499" t="inlineStr">
        <is>
          <t>2264143960002656</t>
        </is>
      </c>
      <c r="BB3499" t="inlineStr">
        <is>
          <t>BOOK</t>
        </is>
      </c>
      <c r="BD3499" t="inlineStr">
        <is>
          <t>9780521394314</t>
        </is>
      </c>
      <c r="BE3499" t="inlineStr">
        <is>
          <t>32285000703867</t>
        </is>
      </c>
      <c r="BF3499" t="inlineStr">
        <is>
          <t>893509870</t>
        </is>
      </c>
    </row>
    <row r="3500">
      <c r="A3500" t="inlineStr">
        <is>
          <t>No</t>
        </is>
      </c>
      <c r="B3500" t="inlineStr">
        <is>
          <t>CURAL</t>
        </is>
      </c>
      <c r="C3500" t="inlineStr">
        <is>
          <t>SHELVES</t>
        </is>
      </c>
      <c r="D3500" t="inlineStr">
        <is>
          <t>PR635.S64 S55 1985</t>
        </is>
      </c>
      <c r="E3500" t="inlineStr">
        <is>
          <t>0                      PR 0635000S  64                 S  55          1985</t>
        </is>
      </c>
      <c r="F3500" t="inlineStr">
        <is>
          <t>The history of English soliloquy : Aeschylus to Shakespeare / Lloyd A. Skiffington.</t>
        </is>
      </c>
      <c r="H3500" t="inlineStr">
        <is>
          <t>No</t>
        </is>
      </c>
      <c r="I3500" t="inlineStr">
        <is>
          <t>1</t>
        </is>
      </c>
      <c r="J3500" t="inlineStr">
        <is>
          <t>No</t>
        </is>
      </c>
      <c r="K3500" t="inlineStr">
        <is>
          <t>No</t>
        </is>
      </c>
      <c r="L3500" t="inlineStr">
        <is>
          <t>0</t>
        </is>
      </c>
      <c r="M3500" t="inlineStr">
        <is>
          <t>Skiffington, Lloyd A., 1925-</t>
        </is>
      </c>
      <c r="N3500" t="inlineStr">
        <is>
          <t>Lanham, MD : University Press of America, c1985.</t>
        </is>
      </c>
      <c r="O3500" t="inlineStr">
        <is>
          <t>1985</t>
        </is>
      </c>
      <c r="Q3500" t="inlineStr">
        <is>
          <t>eng</t>
        </is>
      </c>
      <c r="R3500" t="inlineStr">
        <is>
          <t>mdu</t>
        </is>
      </c>
      <c r="T3500" t="inlineStr">
        <is>
          <t xml:space="preserve">PR </t>
        </is>
      </c>
      <c r="U3500" t="n">
        <v>1</v>
      </c>
      <c r="V3500" t="n">
        <v>1</v>
      </c>
      <c r="W3500" t="inlineStr">
        <is>
          <t>1992-03-11</t>
        </is>
      </c>
      <c r="X3500" t="inlineStr">
        <is>
          <t>1992-03-11</t>
        </is>
      </c>
      <c r="Y3500" t="inlineStr">
        <is>
          <t>1991-09-10</t>
        </is>
      </c>
      <c r="Z3500" t="inlineStr">
        <is>
          <t>1991-09-10</t>
        </is>
      </c>
      <c r="AA3500" t="n">
        <v>217</v>
      </c>
      <c r="AB3500" t="n">
        <v>168</v>
      </c>
      <c r="AC3500" t="n">
        <v>175</v>
      </c>
      <c r="AD3500" t="n">
        <v>2</v>
      </c>
      <c r="AE3500" t="n">
        <v>2</v>
      </c>
      <c r="AF3500" t="n">
        <v>6</v>
      </c>
      <c r="AG3500" t="n">
        <v>6</v>
      </c>
      <c r="AH3500" t="n">
        <v>0</v>
      </c>
      <c r="AI3500" t="n">
        <v>0</v>
      </c>
      <c r="AJ3500" t="n">
        <v>1</v>
      </c>
      <c r="AK3500" t="n">
        <v>1</v>
      </c>
      <c r="AL3500" t="n">
        <v>5</v>
      </c>
      <c r="AM3500" t="n">
        <v>5</v>
      </c>
      <c r="AN3500" t="n">
        <v>1</v>
      </c>
      <c r="AO3500" t="n">
        <v>1</v>
      </c>
      <c r="AP3500" t="n">
        <v>0</v>
      </c>
      <c r="AQ3500" t="n">
        <v>0</v>
      </c>
      <c r="AR3500" t="inlineStr">
        <is>
          <t>No</t>
        </is>
      </c>
      <c r="AS3500" t="inlineStr">
        <is>
          <t>Yes</t>
        </is>
      </c>
      <c r="AT3500">
        <f>HYPERLINK("http://catalog.hathitrust.org/Record/000574609","HathiTrust Record")</f>
        <v/>
      </c>
      <c r="AU3500">
        <f>HYPERLINK("https://creighton-primo.hosted.exlibrisgroup.com/primo-explore/search?tab=default_tab&amp;search_scope=EVERYTHING&amp;vid=01CRU&amp;lang=en_US&amp;offset=0&amp;query=any,contains,991000603369702656","Catalog Record")</f>
        <v/>
      </c>
      <c r="AV3500">
        <f>HYPERLINK("http://www.worldcat.org/oclc/11842780","WorldCat Record")</f>
        <v/>
      </c>
      <c r="AW3500" t="inlineStr">
        <is>
          <t>4728599:eng</t>
        </is>
      </c>
      <c r="AX3500" t="inlineStr">
        <is>
          <t>11842780</t>
        </is>
      </c>
      <c r="AY3500" t="inlineStr">
        <is>
          <t>991000603369702656</t>
        </is>
      </c>
      <c r="AZ3500" t="inlineStr">
        <is>
          <t>991000603369702656</t>
        </is>
      </c>
      <c r="BA3500" t="inlineStr">
        <is>
          <t>2264506730002656</t>
        </is>
      </c>
      <c r="BB3500" t="inlineStr">
        <is>
          <t>BOOK</t>
        </is>
      </c>
      <c r="BD3500" t="inlineStr">
        <is>
          <t>9780819146182</t>
        </is>
      </c>
      <c r="BE3500" t="inlineStr">
        <is>
          <t>32285000739382</t>
        </is>
      </c>
      <c r="BF3500" t="inlineStr">
        <is>
          <t>893778064</t>
        </is>
      </c>
    </row>
    <row r="3501">
      <c r="A3501" t="inlineStr">
        <is>
          <t>No</t>
        </is>
      </c>
      <c r="B3501" t="inlineStr">
        <is>
          <t>CURAL</t>
        </is>
      </c>
      <c r="C3501" t="inlineStr">
        <is>
          <t>SHELVES</t>
        </is>
      </c>
      <c r="D3501" t="inlineStr">
        <is>
          <t>PR635.W6 H65 1989</t>
        </is>
      </c>
      <c r="E3501" t="inlineStr">
        <is>
          <t>0                      PR 0635000W  6                  H  65          1989</t>
        </is>
      </c>
      <c r="F3501" t="inlineStr">
        <is>
          <t>Images of woman in literature / David Holbrook.</t>
        </is>
      </c>
      <c r="H3501" t="inlineStr">
        <is>
          <t>No</t>
        </is>
      </c>
      <c r="I3501" t="inlineStr">
        <is>
          <t>1</t>
        </is>
      </c>
      <c r="J3501" t="inlineStr">
        <is>
          <t>No</t>
        </is>
      </c>
      <c r="K3501" t="inlineStr">
        <is>
          <t>No</t>
        </is>
      </c>
      <c r="L3501" t="inlineStr">
        <is>
          <t>0</t>
        </is>
      </c>
      <c r="M3501" t="inlineStr">
        <is>
          <t>Holbrook, David, 1923-2011.</t>
        </is>
      </c>
      <c r="N3501" t="inlineStr">
        <is>
          <t>New York : New York University Press, c1989.</t>
        </is>
      </c>
      <c r="O3501" t="inlineStr">
        <is>
          <t>1989</t>
        </is>
      </c>
      <c r="Q3501" t="inlineStr">
        <is>
          <t>eng</t>
        </is>
      </c>
      <c r="R3501" t="inlineStr">
        <is>
          <t>nyu</t>
        </is>
      </c>
      <c r="T3501" t="inlineStr">
        <is>
          <t xml:space="preserve">PR </t>
        </is>
      </c>
      <c r="U3501" t="n">
        <v>14</v>
      </c>
      <c r="V3501" t="n">
        <v>14</v>
      </c>
      <c r="W3501" t="inlineStr">
        <is>
          <t>2008-04-22</t>
        </is>
      </c>
      <c r="X3501" t="inlineStr">
        <is>
          <t>2008-04-22</t>
        </is>
      </c>
      <c r="Y3501" t="inlineStr">
        <is>
          <t>1990-03-26</t>
        </is>
      </c>
      <c r="Z3501" t="inlineStr">
        <is>
          <t>1990-03-26</t>
        </is>
      </c>
      <c r="AA3501" t="n">
        <v>687</v>
      </c>
      <c r="AB3501" t="n">
        <v>566</v>
      </c>
      <c r="AC3501" t="n">
        <v>571</v>
      </c>
      <c r="AD3501" t="n">
        <v>4</v>
      </c>
      <c r="AE3501" t="n">
        <v>4</v>
      </c>
      <c r="AF3501" t="n">
        <v>29</v>
      </c>
      <c r="AG3501" t="n">
        <v>29</v>
      </c>
      <c r="AH3501" t="n">
        <v>12</v>
      </c>
      <c r="AI3501" t="n">
        <v>12</v>
      </c>
      <c r="AJ3501" t="n">
        <v>6</v>
      </c>
      <c r="AK3501" t="n">
        <v>6</v>
      </c>
      <c r="AL3501" t="n">
        <v>16</v>
      </c>
      <c r="AM3501" t="n">
        <v>16</v>
      </c>
      <c r="AN3501" t="n">
        <v>3</v>
      </c>
      <c r="AO3501" t="n">
        <v>3</v>
      </c>
      <c r="AP3501" t="n">
        <v>0</v>
      </c>
      <c r="AQ3501" t="n">
        <v>0</v>
      </c>
      <c r="AR3501" t="inlineStr">
        <is>
          <t>No</t>
        </is>
      </c>
      <c r="AS3501" t="inlineStr">
        <is>
          <t>No</t>
        </is>
      </c>
      <c r="AU3501">
        <f>HYPERLINK("https://creighton-primo.hosted.exlibrisgroup.com/primo-explore/search?tab=default_tab&amp;search_scope=EVERYTHING&amp;vid=01CRU&amp;lang=en_US&amp;offset=0&amp;query=any,contains,991001499249702656","Catalog Record")</f>
        <v/>
      </c>
      <c r="AV3501">
        <f>HYPERLINK("http://www.worldcat.org/oclc/19778944","WorldCat Record")</f>
        <v/>
      </c>
      <c r="AW3501" t="inlineStr">
        <is>
          <t>21586273:eng</t>
        </is>
      </c>
      <c r="AX3501" t="inlineStr">
        <is>
          <t>19778944</t>
        </is>
      </c>
      <c r="AY3501" t="inlineStr">
        <is>
          <t>991001499249702656</t>
        </is>
      </c>
      <c r="AZ3501" t="inlineStr">
        <is>
          <t>991001499249702656</t>
        </is>
      </c>
      <c r="BA3501" t="inlineStr">
        <is>
          <t>2264650710002656</t>
        </is>
      </c>
      <c r="BB3501" t="inlineStr">
        <is>
          <t>BOOK</t>
        </is>
      </c>
      <c r="BD3501" t="inlineStr">
        <is>
          <t>9780814734605</t>
        </is>
      </c>
      <c r="BE3501" t="inlineStr">
        <is>
          <t>32285000083666</t>
        </is>
      </c>
      <c r="BF3501" t="inlineStr">
        <is>
          <t>893420370</t>
        </is>
      </c>
    </row>
    <row r="3502">
      <c r="A3502" t="inlineStr">
        <is>
          <t>No</t>
        </is>
      </c>
      <c r="B3502" t="inlineStr">
        <is>
          <t>CURAL</t>
        </is>
      </c>
      <c r="C3502" t="inlineStr">
        <is>
          <t>SHELVES</t>
        </is>
      </c>
      <c r="D3502" t="inlineStr">
        <is>
          <t>PR635.W62 C6 1980</t>
        </is>
      </c>
      <c r="E3502" t="inlineStr">
        <is>
          <t>0                      PR 0635000W  62                 C  6           1980</t>
        </is>
      </c>
      <c r="F3502" t="inlineStr">
        <is>
          <t>Women playwrights in England, c1363-1750 / Nancy Cotton.</t>
        </is>
      </c>
      <c r="H3502" t="inlineStr">
        <is>
          <t>No</t>
        </is>
      </c>
      <c r="I3502" t="inlineStr">
        <is>
          <t>1</t>
        </is>
      </c>
      <c r="J3502" t="inlineStr">
        <is>
          <t>No</t>
        </is>
      </c>
      <c r="K3502" t="inlineStr">
        <is>
          <t>No</t>
        </is>
      </c>
      <c r="L3502" t="inlineStr">
        <is>
          <t>0</t>
        </is>
      </c>
      <c r="M3502" t="inlineStr">
        <is>
          <t>Cotton, Nancy.</t>
        </is>
      </c>
      <c r="N3502" t="inlineStr">
        <is>
          <t>Lewisburg : Bucknell University Press ; London : Associated University Presses, c1980.</t>
        </is>
      </c>
      <c r="O3502" t="inlineStr">
        <is>
          <t>1980</t>
        </is>
      </c>
      <c r="Q3502" t="inlineStr">
        <is>
          <t>eng</t>
        </is>
      </c>
      <c r="R3502" t="inlineStr">
        <is>
          <t>pau</t>
        </is>
      </c>
      <c r="T3502" t="inlineStr">
        <is>
          <t xml:space="preserve">PR </t>
        </is>
      </c>
      <c r="U3502" t="n">
        <v>1</v>
      </c>
      <c r="V3502" t="n">
        <v>1</v>
      </c>
      <c r="W3502" t="inlineStr">
        <is>
          <t>1997-02-24</t>
        </is>
      </c>
      <c r="X3502" t="inlineStr">
        <is>
          <t>1997-02-24</t>
        </is>
      </c>
      <c r="Y3502" t="inlineStr">
        <is>
          <t>1991-09-10</t>
        </is>
      </c>
      <c r="Z3502" t="inlineStr">
        <is>
          <t>1991-09-10</t>
        </is>
      </c>
      <c r="AA3502" t="n">
        <v>641</v>
      </c>
      <c r="AB3502" t="n">
        <v>521</v>
      </c>
      <c r="AC3502" t="n">
        <v>523</v>
      </c>
      <c r="AD3502" t="n">
        <v>4</v>
      </c>
      <c r="AE3502" t="n">
        <v>4</v>
      </c>
      <c r="AF3502" t="n">
        <v>26</v>
      </c>
      <c r="AG3502" t="n">
        <v>26</v>
      </c>
      <c r="AH3502" t="n">
        <v>10</v>
      </c>
      <c r="AI3502" t="n">
        <v>10</v>
      </c>
      <c r="AJ3502" t="n">
        <v>7</v>
      </c>
      <c r="AK3502" t="n">
        <v>7</v>
      </c>
      <c r="AL3502" t="n">
        <v>11</v>
      </c>
      <c r="AM3502" t="n">
        <v>11</v>
      </c>
      <c r="AN3502" t="n">
        <v>3</v>
      </c>
      <c r="AO3502" t="n">
        <v>3</v>
      </c>
      <c r="AP3502" t="n">
        <v>0</v>
      </c>
      <c r="AQ3502" t="n">
        <v>0</v>
      </c>
      <c r="AR3502" t="inlineStr">
        <is>
          <t>No</t>
        </is>
      </c>
      <c r="AS3502" t="inlineStr">
        <is>
          <t>Yes</t>
        </is>
      </c>
      <c r="AT3502">
        <f>HYPERLINK("http://catalog.hathitrust.org/Record/000127410","HathiTrust Record")</f>
        <v/>
      </c>
      <c r="AU3502">
        <f>HYPERLINK("https://creighton-primo.hosted.exlibrisgroup.com/primo-explore/search?tab=default_tab&amp;search_scope=EVERYTHING&amp;vid=01CRU&amp;lang=en_US&amp;offset=0&amp;query=any,contains,991004989109702656","Catalog Record")</f>
        <v/>
      </c>
      <c r="AV3502">
        <f>HYPERLINK("http://www.worldcat.org/oclc/6485368","WorldCat Record")</f>
        <v/>
      </c>
      <c r="AW3502" t="inlineStr">
        <is>
          <t>503647:eng</t>
        </is>
      </c>
      <c r="AX3502" t="inlineStr">
        <is>
          <t>6485368</t>
        </is>
      </c>
      <c r="AY3502" t="inlineStr">
        <is>
          <t>991004989109702656</t>
        </is>
      </c>
      <c r="AZ3502" t="inlineStr">
        <is>
          <t>991004989109702656</t>
        </is>
      </c>
      <c r="BA3502" t="inlineStr">
        <is>
          <t>2271841090002656</t>
        </is>
      </c>
      <c r="BB3502" t="inlineStr">
        <is>
          <t>BOOK</t>
        </is>
      </c>
      <c r="BD3502" t="inlineStr">
        <is>
          <t>9780838723814</t>
        </is>
      </c>
      <c r="BE3502" t="inlineStr">
        <is>
          <t>32285000739424</t>
        </is>
      </c>
      <c r="BF3502" t="inlineStr">
        <is>
          <t>893594319</t>
        </is>
      </c>
    </row>
    <row r="3503">
      <c r="A3503" t="inlineStr">
        <is>
          <t>No</t>
        </is>
      </c>
      <c r="B3503" t="inlineStr">
        <is>
          <t>CURAL</t>
        </is>
      </c>
      <c r="C3503" t="inlineStr">
        <is>
          <t>SHELVES</t>
        </is>
      </c>
      <c r="D3503" t="inlineStr">
        <is>
          <t>PR641 .A7</t>
        </is>
      </c>
      <c r="E3503" t="inlineStr">
        <is>
          <t>0                      PR 0641000A  7</t>
        </is>
      </c>
      <c r="F3503" t="inlineStr">
        <is>
          <t>Drama and imagery in English medieval churches / by M.D. Anderson.</t>
        </is>
      </c>
      <c r="H3503" t="inlineStr">
        <is>
          <t>No</t>
        </is>
      </c>
      <c r="I3503" t="inlineStr">
        <is>
          <t>1</t>
        </is>
      </c>
      <c r="J3503" t="inlineStr">
        <is>
          <t>No</t>
        </is>
      </c>
      <c r="K3503" t="inlineStr">
        <is>
          <t>No</t>
        </is>
      </c>
      <c r="L3503" t="inlineStr">
        <is>
          <t>0</t>
        </is>
      </c>
      <c r="M3503" t="inlineStr">
        <is>
          <t>Anderson, M. D. (Mary Désirée), 1902-1973.</t>
        </is>
      </c>
      <c r="N3503" t="inlineStr">
        <is>
          <t>Cambridge : University Press, c1963.</t>
        </is>
      </c>
      <c r="O3503" t="inlineStr">
        <is>
          <t>1963</t>
        </is>
      </c>
      <c r="Q3503" t="inlineStr">
        <is>
          <t>eng</t>
        </is>
      </c>
      <c r="R3503" t="inlineStr">
        <is>
          <t>enk</t>
        </is>
      </c>
      <c r="T3503" t="inlineStr">
        <is>
          <t xml:space="preserve">PR </t>
        </is>
      </c>
      <c r="U3503" t="n">
        <v>1</v>
      </c>
      <c r="V3503" t="n">
        <v>1</v>
      </c>
      <c r="W3503" t="inlineStr">
        <is>
          <t>2010-04-05</t>
        </is>
      </c>
      <c r="X3503" t="inlineStr">
        <is>
          <t>2010-04-05</t>
        </is>
      </c>
      <c r="Y3503" t="inlineStr">
        <is>
          <t>1997-09-09</t>
        </is>
      </c>
      <c r="Z3503" t="inlineStr">
        <is>
          <t>1997-09-09</t>
        </is>
      </c>
      <c r="AA3503" t="n">
        <v>216</v>
      </c>
      <c r="AB3503" t="n">
        <v>111</v>
      </c>
      <c r="AC3503" t="n">
        <v>575</v>
      </c>
      <c r="AD3503" t="n">
        <v>1</v>
      </c>
      <c r="AE3503" t="n">
        <v>5</v>
      </c>
      <c r="AF3503" t="n">
        <v>5</v>
      </c>
      <c r="AG3503" t="n">
        <v>30</v>
      </c>
      <c r="AH3503" t="n">
        <v>0</v>
      </c>
      <c r="AI3503" t="n">
        <v>8</v>
      </c>
      <c r="AJ3503" t="n">
        <v>2</v>
      </c>
      <c r="AK3503" t="n">
        <v>7</v>
      </c>
      <c r="AL3503" t="n">
        <v>4</v>
      </c>
      <c r="AM3503" t="n">
        <v>20</v>
      </c>
      <c r="AN3503" t="n">
        <v>0</v>
      </c>
      <c r="AO3503" t="n">
        <v>4</v>
      </c>
      <c r="AP3503" t="n">
        <v>0</v>
      </c>
      <c r="AQ3503" t="n">
        <v>0</v>
      </c>
      <c r="AR3503" t="inlineStr">
        <is>
          <t>No</t>
        </is>
      </c>
      <c r="AS3503" t="inlineStr">
        <is>
          <t>No</t>
        </is>
      </c>
      <c r="AU3503">
        <f>HYPERLINK("https://creighton-primo.hosted.exlibrisgroup.com/primo-explore/search?tab=default_tab&amp;search_scope=EVERYTHING&amp;vid=01CRU&amp;lang=en_US&amp;offset=0&amp;query=any,contains,991000900099702656","Catalog Record")</f>
        <v/>
      </c>
      <c r="AV3503">
        <f>HYPERLINK("http://www.worldcat.org/oclc/14037924","WorldCat Record")</f>
        <v/>
      </c>
      <c r="AW3503" t="inlineStr">
        <is>
          <t>1345146:eng</t>
        </is>
      </c>
      <c r="AX3503" t="inlineStr">
        <is>
          <t>14037924</t>
        </is>
      </c>
      <c r="AY3503" t="inlineStr">
        <is>
          <t>991000900099702656</t>
        </is>
      </c>
      <c r="AZ3503" t="inlineStr">
        <is>
          <t>991000900099702656</t>
        </is>
      </c>
      <c r="BA3503" t="inlineStr">
        <is>
          <t>2258528930002656</t>
        </is>
      </c>
      <c r="BB3503" t="inlineStr">
        <is>
          <t>BOOK</t>
        </is>
      </c>
      <c r="BE3503" t="inlineStr">
        <is>
          <t>32285003215067</t>
        </is>
      </c>
      <c r="BF3503" t="inlineStr">
        <is>
          <t>893333878</t>
        </is>
      </c>
    </row>
    <row r="3504">
      <c r="A3504" t="inlineStr">
        <is>
          <t>No</t>
        </is>
      </c>
      <c r="B3504" t="inlineStr">
        <is>
          <t>CURAL</t>
        </is>
      </c>
      <c r="C3504" t="inlineStr">
        <is>
          <t>SHELVES</t>
        </is>
      </c>
      <c r="D3504" t="inlineStr">
        <is>
          <t>PR641 .A8 1990</t>
        </is>
      </c>
      <c r="E3504" t="inlineStr">
        <is>
          <t>0                      PR 0641000A  8           1990</t>
        </is>
      </c>
      <c r="F3504" t="inlineStr">
        <is>
          <t>Approaches to teaching medieval English drama / edited by Richard K. Emmerson.</t>
        </is>
      </c>
      <c r="H3504" t="inlineStr">
        <is>
          <t>No</t>
        </is>
      </c>
      <c r="I3504" t="inlineStr">
        <is>
          <t>1</t>
        </is>
      </c>
      <c r="J3504" t="inlineStr">
        <is>
          <t>No</t>
        </is>
      </c>
      <c r="K3504" t="inlineStr">
        <is>
          <t>No</t>
        </is>
      </c>
      <c r="L3504" t="inlineStr">
        <is>
          <t>0</t>
        </is>
      </c>
      <c r="N3504" t="inlineStr">
        <is>
          <t>New York : Modern Language Association of America, 1990.</t>
        </is>
      </c>
      <c r="O3504" t="inlineStr">
        <is>
          <t>1990</t>
        </is>
      </c>
      <c r="Q3504" t="inlineStr">
        <is>
          <t>eng</t>
        </is>
      </c>
      <c r="R3504" t="inlineStr">
        <is>
          <t>nyu</t>
        </is>
      </c>
      <c r="S3504" t="inlineStr">
        <is>
          <t>Approaches to teaching world literature ; 29</t>
        </is>
      </c>
      <c r="T3504" t="inlineStr">
        <is>
          <t xml:space="preserve">PR </t>
        </is>
      </c>
      <c r="U3504" t="n">
        <v>4</v>
      </c>
      <c r="V3504" t="n">
        <v>4</v>
      </c>
      <c r="W3504" t="inlineStr">
        <is>
          <t>1992-10-06</t>
        </is>
      </c>
      <c r="X3504" t="inlineStr">
        <is>
          <t>1992-10-06</t>
        </is>
      </c>
      <c r="Y3504" t="inlineStr">
        <is>
          <t>1990-12-17</t>
        </is>
      </c>
      <c r="Z3504" t="inlineStr">
        <is>
          <t>1990-12-17</t>
        </is>
      </c>
      <c r="AA3504" t="n">
        <v>593</v>
      </c>
      <c r="AB3504" t="n">
        <v>522</v>
      </c>
      <c r="AC3504" t="n">
        <v>527</v>
      </c>
      <c r="AD3504" t="n">
        <v>5</v>
      </c>
      <c r="AE3504" t="n">
        <v>5</v>
      </c>
      <c r="AF3504" t="n">
        <v>26</v>
      </c>
      <c r="AG3504" t="n">
        <v>26</v>
      </c>
      <c r="AH3504" t="n">
        <v>9</v>
      </c>
      <c r="AI3504" t="n">
        <v>9</v>
      </c>
      <c r="AJ3504" t="n">
        <v>7</v>
      </c>
      <c r="AK3504" t="n">
        <v>7</v>
      </c>
      <c r="AL3504" t="n">
        <v>11</v>
      </c>
      <c r="AM3504" t="n">
        <v>11</v>
      </c>
      <c r="AN3504" t="n">
        <v>4</v>
      </c>
      <c r="AO3504" t="n">
        <v>4</v>
      </c>
      <c r="AP3504" t="n">
        <v>0</v>
      </c>
      <c r="AQ3504" t="n">
        <v>0</v>
      </c>
      <c r="AR3504" t="inlineStr">
        <is>
          <t>No</t>
        </is>
      </c>
      <c r="AS3504" t="inlineStr">
        <is>
          <t>No</t>
        </is>
      </c>
      <c r="AU3504">
        <f>HYPERLINK("https://creighton-primo.hosted.exlibrisgroup.com/primo-explore/search?tab=default_tab&amp;search_scope=EVERYTHING&amp;vid=01CRU&amp;lang=en_US&amp;offset=0&amp;query=any,contains,991001629169702656","Catalog Record")</f>
        <v/>
      </c>
      <c r="AV3504">
        <f>HYPERLINK("http://www.worldcat.org/oclc/20893159","WorldCat Record")</f>
        <v/>
      </c>
      <c r="AW3504" t="inlineStr">
        <is>
          <t>22694531:eng</t>
        </is>
      </c>
      <c r="AX3504" t="inlineStr">
        <is>
          <t>20893159</t>
        </is>
      </c>
      <c r="AY3504" t="inlineStr">
        <is>
          <t>991001629169702656</t>
        </is>
      </c>
      <c r="AZ3504" t="inlineStr">
        <is>
          <t>991001629169702656</t>
        </is>
      </c>
      <c r="BA3504" t="inlineStr">
        <is>
          <t>2265630170002656</t>
        </is>
      </c>
      <c r="BB3504" t="inlineStr">
        <is>
          <t>BOOK</t>
        </is>
      </c>
      <c r="BD3504" t="inlineStr">
        <is>
          <t>9780873525329</t>
        </is>
      </c>
      <c r="BE3504" t="inlineStr">
        <is>
          <t>32285000359447</t>
        </is>
      </c>
      <c r="BF3504" t="inlineStr">
        <is>
          <t>893238212</t>
        </is>
      </c>
    </row>
    <row r="3505">
      <c r="A3505" t="inlineStr">
        <is>
          <t>No</t>
        </is>
      </c>
      <c r="B3505" t="inlineStr">
        <is>
          <t>CURAL</t>
        </is>
      </c>
      <c r="C3505" t="inlineStr">
        <is>
          <t>SHELVES</t>
        </is>
      </c>
      <c r="D3505" t="inlineStr">
        <is>
          <t>PR641 .A86 1983</t>
        </is>
      </c>
      <c r="E3505" t="inlineStr">
        <is>
          <t>0                      PR 0641000A  86          1983</t>
        </is>
      </c>
      <c r="F3505" t="inlineStr">
        <is>
          <t>Aspects of early English drama / edited by Paula Neuss.</t>
        </is>
      </c>
      <c r="H3505" t="inlineStr">
        <is>
          <t>No</t>
        </is>
      </c>
      <c r="I3505" t="inlineStr">
        <is>
          <t>1</t>
        </is>
      </c>
      <c r="J3505" t="inlineStr">
        <is>
          <t>No</t>
        </is>
      </c>
      <c r="K3505" t="inlineStr">
        <is>
          <t>No</t>
        </is>
      </c>
      <c r="L3505" t="inlineStr">
        <is>
          <t>0</t>
        </is>
      </c>
      <c r="N3505" t="inlineStr">
        <is>
          <t>Totowa, NJ : Barnes &amp; Noble, c1983.</t>
        </is>
      </c>
      <c r="O3505" t="inlineStr">
        <is>
          <t>1984</t>
        </is>
      </c>
      <c r="Q3505" t="inlineStr">
        <is>
          <t>eng</t>
        </is>
      </c>
      <c r="R3505" t="inlineStr">
        <is>
          <t>nju</t>
        </is>
      </c>
      <c r="T3505" t="inlineStr">
        <is>
          <t xml:space="preserve">PR </t>
        </is>
      </c>
      <c r="U3505" t="n">
        <v>2</v>
      </c>
      <c r="V3505" t="n">
        <v>2</v>
      </c>
      <c r="W3505" t="inlineStr">
        <is>
          <t>2010-04-05</t>
        </is>
      </c>
      <c r="X3505" t="inlineStr">
        <is>
          <t>2010-04-05</t>
        </is>
      </c>
      <c r="Y3505" t="inlineStr">
        <is>
          <t>1991-09-10</t>
        </is>
      </c>
      <c r="Z3505" t="inlineStr">
        <is>
          <t>1991-09-10</t>
        </is>
      </c>
      <c r="AA3505" t="n">
        <v>541</v>
      </c>
      <c r="AB3505" t="n">
        <v>394</v>
      </c>
      <c r="AC3505" t="n">
        <v>405</v>
      </c>
      <c r="AD3505" t="n">
        <v>4</v>
      </c>
      <c r="AE3505" t="n">
        <v>4</v>
      </c>
      <c r="AF3505" t="n">
        <v>22</v>
      </c>
      <c r="AG3505" t="n">
        <v>22</v>
      </c>
      <c r="AH3505" t="n">
        <v>8</v>
      </c>
      <c r="AI3505" t="n">
        <v>8</v>
      </c>
      <c r="AJ3505" t="n">
        <v>6</v>
      </c>
      <c r="AK3505" t="n">
        <v>6</v>
      </c>
      <c r="AL3505" t="n">
        <v>11</v>
      </c>
      <c r="AM3505" t="n">
        <v>11</v>
      </c>
      <c r="AN3505" t="n">
        <v>3</v>
      </c>
      <c r="AO3505" t="n">
        <v>3</v>
      </c>
      <c r="AP3505" t="n">
        <v>0</v>
      </c>
      <c r="AQ3505" t="n">
        <v>0</v>
      </c>
      <c r="AR3505" t="inlineStr">
        <is>
          <t>No</t>
        </is>
      </c>
      <c r="AS3505" t="inlineStr">
        <is>
          <t>No</t>
        </is>
      </c>
      <c r="AU3505">
        <f>HYPERLINK("https://creighton-primo.hosted.exlibrisgroup.com/primo-explore/search?tab=default_tab&amp;search_scope=EVERYTHING&amp;vid=01CRU&amp;lang=en_US&amp;offset=0&amp;query=any,contains,991000304509702656","Catalog Record")</f>
        <v/>
      </c>
      <c r="AV3505">
        <f>HYPERLINK("http://www.worldcat.org/oclc/10046226","WorldCat Record")</f>
        <v/>
      </c>
      <c r="AW3505" t="inlineStr">
        <is>
          <t>3781975:eng</t>
        </is>
      </c>
      <c r="AX3505" t="inlineStr">
        <is>
          <t>10046226</t>
        </is>
      </c>
      <c r="AY3505" t="inlineStr">
        <is>
          <t>991000304509702656</t>
        </is>
      </c>
      <c r="AZ3505" t="inlineStr">
        <is>
          <t>991000304509702656</t>
        </is>
      </c>
      <c r="BA3505" t="inlineStr">
        <is>
          <t>2258545160002656</t>
        </is>
      </c>
      <c r="BB3505" t="inlineStr">
        <is>
          <t>BOOK</t>
        </is>
      </c>
      <c r="BD3505" t="inlineStr">
        <is>
          <t>9780389204282</t>
        </is>
      </c>
      <c r="BE3505" t="inlineStr">
        <is>
          <t>32285000739432</t>
        </is>
      </c>
      <c r="BF3505" t="inlineStr">
        <is>
          <t>893255324</t>
        </is>
      </c>
    </row>
    <row r="3506">
      <c r="A3506" t="inlineStr">
        <is>
          <t>No</t>
        </is>
      </c>
      <c r="B3506" t="inlineStr">
        <is>
          <t>CURAL</t>
        </is>
      </c>
      <c r="C3506" t="inlineStr">
        <is>
          <t>SHELVES</t>
        </is>
      </c>
      <c r="D3506" t="inlineStr">
        <is>
          <t>PR641 .C35 1969</t>
        </is>
      </c>
      <c r="E3506" t="inlineStr">
        <is>
          <t>0                      PR 0641000C  35          1969</t>
        </is>
      </c>
      <c r="F3506" t="inlineStr">
        <is>
          <t>Drama and liturgy.</t>
        </is>
      </c>
      <c r="H3506" t="inlineStr">
        <is>
          <t>No</t>
        </is>
      </c>
      <c r="I3506" t="inlineStr">
        <is>
          <t>1</t>
        </is>
      </c>
      <c r="J3506" t="inlineStr">
        <is>
          <t>No</t>
        </is>
      </c>
      <c r="K3506" t="inlineStr">
        <is>
          <t>No</t>
        </is>
      </c>
      <c r="L3506" t="inlineStr">
        <is>
          <t>0</t>
        </is>
      </c>
      <c r="M3506" t="inlineStr">
        <is>
          <t>Cargill, Oscar, 1898-1972.</t>
        </is>
      </c>
      <c r="N3506" t="inlineStr">
        <is>
          <t>New York, Octagon Books, 1969 [1930]</t>
        </is>
      </c>
      <c r="O3506" t="inlineStr">
        <is>
          <t>1969</t>
        </is>
      </c>
      <c r="Q3506" t="inlineStr">
        <is>
          <t>eng</t>
        </is>
      </c>
      <c r="R3506" t="inlineStr">
        <is>
          <t>nyu</t>
        </is>
      </c>
      <c r="S3506" t="inlineStr">
        <is>
          <t>Columbia University studies in English and comparative literature</t>
        </is>
      </c>
      <c r="T3506" t="inlineStr">
        <is>
          <t xml:space="preserve">PR </t>
        </is>
      </c>
      <c r="U3506" t="n">
        <v>3</v>
      </c>
      <c r="V3506" t="n">
        <v>3</v>
      </c>
      <c r="W3506" t="inlineStr">
        <is>
          <t>2010-04-05</t>
        </is>
      </c>
      <c r="X3506" t="inlineStr">
        <is>
          <t>2010-04-05</t>
        </is>
      </c>
      <c r="Y3506" t="inlineStr">
        <is>
          <t>1997-09-09</t>
        </is>
      </c>
      <c r="Z3506" t="inlineStr">
        <is>
          <t>1997-09-09</t>
        </is>
      </c>
      <c r="AA3506" t="n">
        <v>376</v>
      </c>
      <c r="AB3506" t="n">
        <v>339</v>
      </c>
      <c r="AC3506" t="n">
        <v>683</v>
      </c>
      <c r="AD3506" t="n">
        <v>2</v>
      </c>
      <c r="AE3506" t="n">
        <v>3</v>
      </c>
      <c r="AF3506" t="n">
        <v>10</v>
      </c>
      <c r="AG3506" t="n">
        <v>40</v>
      </c>
      <c r="AH3506" t="n">
        <v>5</v>
      </c>
      <c r="AI3506" t="n">
        <v>16</v>
      </c>
      <c r="AJ3506" t="n">
        <v>3</v>
      </c>
      <c r="AK3506" t="n">
        <v>9</v>
      </c>
      <c r="AL3506" t="n">
        <v>4</v>
      </c>
      <c r="AM3506" t="n">
        <v>24</v>
      </c>
      <c r="AN3506" t="n">
        <v>1</v>
      </c>
      <c r="AO3506" t="n">
        <v>2</v>
      </c>
      <c r="AP3506" t="n">
        <v>0</v>
      </c>
      <c r="AQ3506" t="n">
        <v>0</v>
      </c>
      <c r="AR3506" t="inlineStr">
        <is>
          <t>No</t>
        </is>
      </c>
      <c r="AS3506" t="inlineStr">
        <is>
          <t>Yes</t>
        </is>
      </c>
      <c r="AT3506">
        <f>HYPERLINK("http://catalog.hathitrust.org/Record/001436754","HathiTrust Record")</f>
        <v/>
      </c>
      <c r="AU3506">
        <f>HYPERLINK("https://creighton-primo.hosted.exlibrisgroup.com/primo-explore/search?tab=default_tab&amp;search_scope=EVERYTHING&amp;vid=01CRU&amp;lang=en_US&amp;offset=0&amp;query=any,contains,991000102939702656","Catalog Record")</f>
        <v/>
      </c>
      <c r="AV3506">
        <f>HYPERLINK("http://www.worldcat.org/oclc/45259","WorldCat Record")</f>
        <v/>
      </c>
      <c r="AW3506" t="inlineStr">
        <is>
          <t>422519730:eng</t>
        </is>
      </c>
      <c r="AX3506" t="inlineStr">
        <is>
          <t>45259</t>
        </is>
      </c>
      <c r="AY3506" t="inlineStr">
        <is>
          <t>991000102939702656</t>
        </is>
      </c>
      <c r="AZ3506" t="inlineStr">
        <is>
          <t>991000102939702656</t>
        </is>
      </c>
      <c r="BA3506" t="inlineStr">
        <is>
          <t>2261677060002656</t>
        </is>
      </c>
      <c r="BB3506" t="inlineStr">
        <is>
          <t>BOOK</t>
        </is>
      </c>
      <c r="BE3506" t="inlineStr">
        <is>
          <t>32285003215083</t>
        </is>
      </c>
      <c r="BF3506" t="inlineStr">
        <is>
          <t>893865089</t>
        </is>
      </c>
    </row>
    <row r="3507">
      <c r="A3507" t="inlineStr">
        <is>
          <t>No</t>
        </is>
      </c>
      <c r="B3507" t="inlineStr">
        <is>
          <t>CURAL</t>
        </is>
      </c>
      <c r="C3507" t="inlineStr">
        <is>
          <t>SHELVES</t>
        </is>
      </c>
      <c r="D3507" t="inlineStr">
        <is>
          <t>PR641 .C7</t>
        </is>
      </c>
      <c r="E3507" t="inlineStr">
        <is>
          <t>0                      PR 0641000C  7</t>
        </is>
      </c>
      <c r="F3507" t="inlineStr">
        <is>
          <t>English religious drama of the Middle Ages.</t>
        </is>
      </c>
      <c r="H3507" t="inlineStr">
        <is>
          <t>No</t>
        </is>
      </c>
      <c r="I3507" t="inlineStr">
        <is>
          <t>1</t>
        </is>
      </c>
      <c r="J3507" t="inlineStr">
        <is>
          <t>No</t>
        </is>
      </c>
      <c r="K3507" t="inlineStr">
        <is>
          <t>No</t>
        </is>
      </c>
      <c r="L3507" t="inlineStr">
        <is>
          <t>0</t>
        </is>
      </c>
      <c r="M3507" t="inlineStr">
        <is>
          <t>Craig, Hardin, 1875-1968.</t>
        </is>
      </c>
      <c r="N3507" t="inlineStr">
        <is>
          <t>Oxford : Clarendon Press, 1955.</t>
        </is>
      </c>
      <c r="O3507" t="inlineStr">
        <is>
          <t>1955</t>
        </is>
      </c>
      <c r="Q3507" t="inlineStr">
        <is>
          <t>eng</t>
        </is>
      </c>
      <c r="R3507" t="inlineStr">
        <is>
          <t>enk</t>
        </is>
      </c>
      <c r="T3507" t="inlineStr">
        <is>
          <t xml:space="preserve">PR </t>
        </is>
      </c>
      <c r="U3507" t="n">
        <v>3</v>
      </c>
      <c r="V3507" t="n">
        <v>3</v>
      </c>
      <c r="W3507" t="inlineStr">
        <is>
          <t>2010-04-05</t>
        </is>
      </c>
      <c r="X3507" t="inlineStr">
        <is>
          <t>2010-04-05</t>
        </is>
      </c>
      <c r="Y3507" t="inlineStr">
        <is>
          <t>1994-05-10</t>
        </is>
      </c>
      <c r="Z3507" t="inlineStr">
        <is>
          <t>1994-05-10</t>
        </is>
      </c>
      <c r="AA3507" t="n">
        <v>1060</v>
      </c>
      <c r="AB3507" t="n">
        <v>882</v>
      </c>
      <c r="AC3507" t="n">
        <v>1171</v>
      </c>
      <c r="AD3507" t="n">
        <v>9</v>
      </c>
      <c r="AE3507" t="n">
        <v>10</v>
      </c>
      <c r="AF3507" t="n">
        <v>47</v>
      </c>
      <c r="AG3507" t="n">
        <v>53</v>
      </c>
      <c r="AH3507" t="n">
        <v>18</v>
      </c>
      <c r="AI3507" t="n">
        <v>22</v>
      </c>
      <c r="AJ3507" t="n">
        <v>10</v>
      </c>
      <c r="AK3507" t="n">
        <v>10</v>
      </c>
      <c r="AL3507" t="n">
        <v>22</v>
      </c>
      <c r="AM3507" t="n">
        <v>23</v>
      </c>
      <c r="AN3507" t="n">
        <v>8</v>
      </c>
      <c r="AO3507" t="n">
        <v>9</v>
      </c>
      <c r="AP3507" t="n">
        <v>0</v>
      </c>
      <c r="AQ3507" t="n">
        <v>0</v>
      </c>
      <c r="AR3507" t="inlineStr">
        <is>
          <t>No</t>
        </is>
      </c>
      <c r="AS3507" t="inlineStr">
        <is>
          <t>Yes</t>
        </is>
      </c>
      <c r="AT3507">
        <f>HYPERLINK("http://catalog.hathitrust.org/Record/001111871","HathiTrust Record")</f>
        <v/>
      </c>
      <c r="AU3507">
        <f>HYPERLINK("https://creighton-primo.hosted.exlibrisgroup.com/primo-explore/search?tab=default_tab&amp;search_scope=EVERYTHING&amp;vid=01CRU&amp;lang=en_US&amp;offset=0&amp;query=any,contains,991002444149702656","Catalog Record")</f>
        <v/>
      </c>
      <c r="AV3507">
        <f>HYPERLINK("http://www.worldcat.org/oclc/351025","WorldCat Record")</f>
        <v/>
      </c>
      <c r="AW3507" t="inlineStr">
        <is>
          <t>1385184:eng</t>
        </is>
      </c>
      <c r="AX3507" t="inlineStr">
        <is>
          <t>351025</t>
        </is>
      </c>
      <c r="AY3507" t="inlineStr">
        <is>
          <t>991002444149702656</t>
        </is>
      </c>
      <c r="AZ3507" t="inlineStr">
        <is>
          <t>991002444149702656</t>
        </is>
      </c>
      <c r="BA3507" t="inlineStr">
        <is>
          <t>2266520010002656</t>
        </is>
      </c>
      <c r="BB3507" t="inlineStr">
        <is>
          <t>BOOK</t>
        </is>
      </c>
      <c r="BE3507" t="inlineStr">
        <is>
          <t>32285001909729</t>
        </is>
      </c>
      <c r="BF3507" t="inlineStr">
        <is>
          <t>893779822</t>
        </is>
      </c>
    </row>
    <row r="3508">
      <c r="A3508" t="inlineStr">
        <is>
          <t>No</t>
        </is>
      </c>
      <c r="B3508" t="inlineStr">
        <is>
          <t>CURAL</t>
        </is>
      </c>
      <c r="C3508" t="inlineStr">
        <is>
          <t>SHELVES</t>
        </is>
      </c>
      <c r="D3508" t="inlineStr">
        <is>
          <t>PR641 .D38 2002</t>
        </is>
      </c>
      <c r="E3508" t="inlineStr">
        <is>
          <t>0                      PR 0641000D  38          2002</t>
        </is>
      </c>
      <c r="F3508" t="inlineStr">
        <is>
          <t>History, religion, and violence : cultural contexts for medieval and renaissance English drama / Clifford Davidson.</t>
        </is>
      </c>
      <c r="H3508" t="inlineStr">
        <is>
          <t>No</t>
        </is>
      </c>
      <c r="I3508" t="inlineStr">
        <is>
          <t>1</t>
        </is>
      </c>
      <c r="J3508" t="inlineStr">
        <is>
          <t>No</t>
        </is>
      </c>
      <c r="K3508" t="inlineStr">
        <is>
          <t>No</t>
        </is>
      </c>
      <c r="L3508" t="inlineStr">
        <is>
          <t>0</t>
        </is>
      </c>
      <c r="M3508" t="inlineStr">
        <is>
          <t>Davidson, Clifford</t>
        </is>
      </c>
      <c r="N3508" t="inlineStr">
        <is>
          <t>Aldershot, Hampshire ; Burlington, Vt. : Ashgate, c2002.</t>
        </is>
      </c>
      <c r="O3508" t="inlineStr">
        <is>
          <t>2002</t>
        </is>
      </c>
      <c r="Q3508" t="inlineStr">
        <is>
          <t>eng</t>
        </is>
      </c>
      <c r="R3508" t="inlineStr">
        <is>
          <t>enk</t>
        </is>
      </c>
      <c r="S3508" t="inlineStr">
        <is>
          <t>Variorum collected studies series ; 744</t>
        </is>
      </c>
      <c r="T3508" t="inlineStr">
        <is>
          <t xml:space="preserve">PR </t>
        </is>
      </c>
      <c r="U3508" t="n">
        <v>3</v>
      </c>
      <c r="V3508" t="n">
        <v>3</v>
      </c>
      <c r="W3508" t="inlineStr">
        <is>
          <t>2003-11-06</t>
        </is>
      </c>
      <c r="X3508" t="inlineStr">
        <is>
          <t>2003-11-06</t>
        </is>
      </c>
      <c r="Y3508" t="inlineStr">
        <is>
          <t>2003-11-06</t>
        </is>
      </c>
      <c r="Z3508" t="inlineStr">
        <is>
          <t>2003-11-06</t>
        </is>
      </c>
      <c r="AA3508" t="n">
        <v>201</v>
      </c>
      <c r="AB3508" t="n">
        <v>137</v>
      </c>
      <c r="AC3508" t="n">
        <v>139</v>
      </c>
      <c r="AD3508" t="n">
        <v>1</v>
      </c>
      <c r="AE3508" t="n">
        <v>1</v>
      </c>
      <c r="AF3508" t="n">
        <v>8</v>
      </c>
      <c r="AG3508" t="n">
        <v>8</v>
      </c>
      <c r="AH3508" t="n">
        <v>1</v>
      </c>
      <c r="AI3508" t="n">
        <v>1</v>
      </c>
      <c r="AJ3508" t="n">
        <v>3</v>
      </c>
      <c r="AK3508" t="n">
        <v>3</v>
      </c>
      <c r="AL3508" t="n">
        <v>5</v>
      </c>
      <c r="AM3508" t="n">
        <v>5</v>
      </c>
      <c r="AN3508" t="n">
        <v>0</v>
      </c>
      <c r="AO3508" t="n">
        <v>0</v>
      </c>
      <c r="AP3508" t="n">
        <v>0</v>
      </c>
      <c r="AQ3508" t="n">
        <v>0</v>
      </c>
      <c r="AR3508" t="inlineStr">
        <is>
          <t>No</t>
        </is>
      </c>
      <c r="AS3508" t="inlineStr">
        <is>
          <t>Yes</t>
        </is>
      </c>
      <c r="AT3508">
        <f>HYPERLINK("http://catalog.hathitrust.org/Record/004257292","HathiTrust Record")</f>
        <v/>
      </c>
      <c r="AU3508">
        <f>HYPERLINK("https://creighton-primo.hosted.exlibrisgroup.com/primo-explore/search?tab=default_tab&amp;search_scope=EVERYTHING&amp;vid=01CRU&amp;lang=en_US&amp;offset=0&amp;query=any,contains,991004152049702656","Catalog Record")</f>
        <v/>
      </c>
      <c r="AV3508">
        <f>HYPERLINK("http://www.worldcat.org/oclc/48857849","WorldCat Record")</f>
        <v/>
      </c>
      <c r="AW3508" t="inlineStr">
        <is>
          <t>366404551:eng</t>
        </is>
      </c>
      <c r="AX3508" t="inlineStr">
        <is>
          <t>48857849</t>
        </is>
      </c>
      <c r="AY3508" t="inlineStr">
        <is>
          <t>991004152049702656</t>
        </is>
      </c>
      <c r="AZ3508" t="inlineStr">
        <is>
          <t>991004152049702656</t>
        </is>
      </c>
      <c r="BA3508" t="inlineStr">
        <is>
          <t>2267852060002656</t>
        </is>
      </c>
      <c r="BB3508" t="inlineStr">
        <is>
          <t>BOOK</t>
        </is>
      </c>
      <c r="BD3508" t="inlineStr">
        <is>
          <t>9780860788829</t>
        </is>
      </c>
      <c r="BE3508" t="inlineStr">
        <is>
          <t>32285004794714</t>
        </is>
      </c>
      <c r="BF3508" t="inlineStr">
        <is>
          <t>893353249</t>
        </is>
      </c>
    </row>
    <row r="3509">
      <c r="A3509" t="inlineStr">
        <is>
          <t>No</t>
        </is>
      </c>
      <c r="B3509" t="inlineStr">
        <is>
          <t>CURAL</t>
        </is>
      </c>
      <c r="C3509" t="inlineStr">
        <is>
          <t>SHELVES</t>
        </is>
      </c>
      <c r="D3509" t="inlineStr">
        <is>
          <t>PR641 .D4</t>
        </is>
      </c>
      <c r="E3509" t="inlineStr">
        <is>
          <t>0                      PR 0641000D  4</t>
        </is>
      </c>
      <c r="F3509" t="inlineStr">
        <is>
          <t>Medieval drama / associate editor Neville Denny.</t>
        </is>
      </c>
      <c r="H3509" t="inlineStr">
        <is>
          <t>No</t>
        </is>
      </c>
      <c r="I3509" t="inlineStr">
        <is>
          <t>1</t>
        </is>
      </c>
      <c r="J3509" t="inlineStr">
        <is>
          <t>No</t>
        </is>
      </c>
      <c r="K3509" t="inlineStr">
        <is>
          <t>No</t>
        </is>
      </c>
      <c r="L3509" t="inlineStr">
        <is>
          <t>0</t>
        </is>
      </c>
      <c r="M3509" t="inlineStr">
        <is>
          <t>Denny, Neville.</t>
        </is>
      </c>
      <c r="N3509" t="inlineStr">
        <is>
          <t>London : Edward Arnold ; New York : Crane Russak, 1973.</t>
        </is>
      </c>
      <c r="O3509" t="inlineStr">
        <is>
          <t>1973</t>
        </is>
      </c>
      <c r="Q3509" t="inlineStr">
        <is>
          <t>eng</t>
        </is>
      </c>
      <c r="R3509" t="inlineStr">
        <is>
          <t>enk</t>
        </is>
      </c>
      <c r="S3509" t="inlineStr">
        <is>
          <t>Stratford-upon-Avon studies ; 16</t>
        </is>
      </c>
      <c r="T3509" t="inlineStr">
        <is>
          <t xml:space="preserve">PR </t>
        </is>
      </c>
      <c r="U3509" t="n">
        <v>3</v>
      </c>
      <c r="V3509" t="n">
        <v>3</v>
      </c>
      <c r="W3509" t="inlineStr">
        <is>
          <t>2001-03-26</t>
        </is>
      </c>
      <c r="X3509" t="inlineStr">
        <is>
          <t>2001-03-26</t>
        </is>
      </c>
      <c r="Y3509" t="inlineStr">
        <is>
          <t>1991-09-11</t>
        </is>
      </c>
      <c r="Z3509" t="inlineStr">
        <is>
          <t>1991-09-11</t>
        </is>
      </c>
      <c r="AA3509" t="n">
        <v>729</v>
      </c>
      <c r="AB3509" t="n">
        <v>510</v>
      </c>
      <c r="AC3509" t="n">
        <v>517</v>
      </c>
      <c r="AD3509" t="n">
        <v>5</v>
      </c>
      <c r="AE3509" t="n">
        <v>5</v>
      </c>
      <c r="AF3509" t="n">
        <v>33</v>
      </c>
      <c r="AG3509" t="n">
        <v>33</v>
      </c>
      <c r="AH3509" t="n">
        <v>13</v>
      </c>
      <c r="AI3509" t="n">
        <v>13</v>
      </c>
      <c r="AJ3509" t="n">
        <v>8</v>
      </c>
      <c r="AK3509" t="n">
        <v>8</v>
      </c>
      <c r="AL3509" t="n">
        <v>17</v>
      </c>
      <c r="AM3509" t="n">
        <v>17</v>
      </c>
      <c r="AN3509" t="n">
        <v>4</v>
      </c>
      <c r="AO3509" t="n">
        <v>4</v>
      </c>
      <c r="AP3509" t="n">
        <v>0</v>
      </c>
      <c r="AQ3509" t="n">
        <v>0</v>
      </c>
      <c r="AR3509" t="inlineStr">
        <is>
          <t>No</t>
        </is>
      </c>
      <c r="AS3509" t="inlineStr">
        <is>
          <t>Yes</t>
        </is>
      </c>
      <c r="AT3509">
        <f>HYPERLINK("http://catalog.hathitrust.org/Record/000015429","HathiTrust Record")</f>
        <v/>
      </c>
      <c r="AU3509">
        <f>HYPERLINK("https://creighton-primo.hosted.exlibrisgroup.com/primo-explore/search?tab=default_tab&amp;search_scope=EVERYTHING&amp;vid=01CRU&amp;lang=en_US&amp;offset=0&amp;query=any,contains,991003418539702656","Catalog Record")</f>
        <v/>
      </c>
      <c r="AV3509">
        <f>HYPERLINK("http://www.worldcat.org/oclc/959883","WorldCat Record")</f>
        <v/>
      </c>
      <c r="AW3509" t="inlineStr">
        <is>
          <t>8914056884:eng</t>
        </is>
      </c>
      <c r="AX3509" t="inlineStr">
        <is>
          <t>959883</t>
        </is>
      </c>
      <c r="AY3509" t="inlineStr">
        <is>
          <t>991003418539702656</t>
        </is>
      </c>
      <c r="AZ3509" t="inlineStr">
        <is>
          <t>991003418539702656</t>
        </is>
      </c>
      <c r="BA3509" t="inlineStr">
        <is>
          <t>2266604920002656</t>
        </is>
      </c>
      <c r="BB3509" t="inlineStr">
        <is>
          <t>BOOK</t>
        </is>
      </c>
      <c r="BD3509" t="inlineStr">
        <is>
          <t>9780713156881</t>
        </is>
      </c>
      <c r="BE3509" t="inlineStr">
        <is>
          <t>32285000739440</t>
        </is>
      </c>
      <c r="BF3509" t="inlineStr">
        <is>
          <t>893692707</t>
        </is>
      </c>
    </row>
    <row r="3510">
      <c r="A3510" t="inlineStr">
        <is>
          <t>No</t>
        </is>
      </c>
      <c r="B3510" t="inlineStr">
        <is>
          <t>CURAL</t>
        </is>
      </c>
      <c r="C3510" t="inlineStr">
        <is>
          <t>SHELVES</t>
        </is>
      </c>
      <c r="D3510" t="inlineStr">
        <is>
          <t>PR641 .F67 2000</t>
        </is>
      </c>
      <c r="E3510" t="inlineStr">
        <is>
          <t>0                      PR 0641000F  67          2000</t>
        </is>
      </c>
      <c r="F3510" t="inlineStr">
        <is>
          <t>Transgressive language in medieval English drama : signs of challenge and change / Lynn Forest-Hill.</t>
        </is>
      </c>
      <c r="H3510" t="inlineStr">
        <is>
          <t>No</t>
        </is>
      </c>
      <c r="I3510" t="inlineStr">
        <is>
          <t>1</t>
        </is>
      </c>
      <c r="J3510" t="inlineStr">
        <is>
          <t>No</t>
        </is>
      </c>
      <c r="K3510" t="inlineStr">
        <is>
          <t>No</t>
        </is>
      </c>
      <c r="L3510" t="inlineStr">
        <is>
          <t>0</t>
        </is>
      </c>
      <c r="M3510" t="inlineStr">
        <is>
          <t>Forest-Hill, Lynn.</t>
        </is>
      </c>
      <c r="N3510" t="inlineStr">
        <is>
          <t>Aldershot, Hants, England ; Burlington, Vt., : Ashgate, c2000.</t>
        </is>
      </c>
      <c r="O3510" t="inlineStr">
        <is>
          <t>2000</t>
        </is>
      </c>
      <c r="Q3510" t="inlineStr">
        <is>
          <t>eng</t>
        </is>
      </c>
      <c r="R3510" t="inlineStr">
        <is>
          <t>enk</t>
        </is>
      </c>
      <c r="T3510" t="inlineStr">
        <is>
          <t xml:space="preserve">PR </t>
        </is>
      </c>
      <c r="U3510" t="n">
        <v>1</v>
      </c>
      <c r="V3510" t="n">
        <v>1</v>
      </c>
      <c r="W3510" t="inlineStr">
        <is>
          <t>2002-05-28</t>
        </is>
      </c>
      <c r="X3510" t="inlineStr">
        <is>
          <t>2002-05-28</t>
        </is>
      </c>
      <c r="Y3510" t="inlineStr">
        <is>
          <t>2002-05-22</t>
        </is>
      </c>
      <c r="Z3510" t="inlineStr">
        <is>
          <t>2002-05-22</t>
        </is>
      </c>
      <c r="AA3510" t="n">
        <v>270</v>
      </c>
      <c r="AB3510" t="n">
        <v>198</v>
      </c>
      <c r="AC3510" t="n">
        <v>231</v>
      </c>
      <c r="AD3510" t="n">
        <v>3</v>
      </c>
      <c r="AE3510" t="n">
        <v>3</v>
      </c>
      <c r="AF3510" t="n">
        <v>16</v>
      </c>
      <c r="AG3510" t="n">
        <v>16</v>
      </c>
      <c r="AH3510" t="n">
        <v>5</v>
      </c>
      <c r="AI3510" t="n">
        <v>5</v>
      </c>
      <c r="AJ3510" t="n">
        <v>5</v>
      </c>
      <c r="AK3510" t="n">
        <v>5</v>
      </c>
      <c r="AL3510" t="n">
        <v>8</v>
      </c>
      <c r="AM3510" t="n">
        <v>8</v>
      </c>
      <c r="AN3510" t="n">
        <v>2</v>
      </c>
      <c r="AO3510" t="n">
        <v>2</v>
      </c>
      <c r="AP3510" t="n">
        <v>0</v>
      </c>
      <c r="AQ3510" t="n">
        <v>0</v>
      </c>
      <c r="AR3510" t="inlineStr">
        <is>
          <t>No</t>
        </is>
      </c>
      <c r="AS3510" t="inlineStr">
        <is>
          <t>Yes</t>
        </is>
      </c>
      <c r="AT3510">
        <f>HYPERLINK("http://catalog.hathitrust.org/Record/004126632","HathiTrust Record")</f>
        <v/>
      </c>
      <c r="AU3510">
        <f>HYPERLINK("https://creighton-primo.hosted.exlibrisgroup.com/primo-explore/search?tab=default_tab&amp;search_scope=EVERYTHING&amp;vid=01CRU&amp;lang=en_US&amp;offset=0&amp;query=any,contains,991003791659702656","Catalog Record")</f>
        <v/>
      </c>
      <c r="AV3510">
        <f>HYPERLINK("http://www.worldcat.org/oclc/42021525","WorldCat Record")</f>
        <v/>
      </c>
      <c r="AW3510" t="inlineStr">
        <is>
          <t>292053082:eng</t>
        </is>
      </c>
      <c r="AX3510" t="inlineStr">
        <is>
          <t>42021525</t>
        </is>
      </c>
      <c r="AY3510" t="inlineStr">
        <is>
          <t>991003791659702656</t>
        </is>
      </c>
      <c r="AZ3510" t="inlineStr">
        <is>
          <t>991003791659702656</t>
        </is>
      </c>
      <c r="BA3510" t="inlineStr">
        <is>
          <t>2264622120002656</t>
        </is>
      </c>
      <c r="BB3510" t="inlineStr">
        <is>
          <t>BOOK</t>
        </is>
      </c>
      <c r="BD3510" t="inlineStr">
        <is>
          <t>9780754600862</t>
        </is>
      </c>
      <c r="BE3510" t="inlineStr">
        <is>
          <t>32285004489844</t>
        </is>
      </c>
      <c r="BF3510" t="inlineStr">
        <is>
          <t>893353043</t>
        </is>
      </c>
    </row>
    <row r="3511">
      <c r="A3511" t="inlineStr">
        <is>
          <t>No</t>
        </is>
      </c>
      <c r="B3511" t="inlineStr">
        <is>
          <t>CURAL</t>
        </is>
      </c>
      <c r="C3511" t="inlineStr">
        <is>
          <t>SHELVES</t>
        </is>
      </c>
      <c r="D3511" t="inlineStr">
        <is>
          <t>PR641 .G3</t>
        </is>
      </c>
      <c r="E3511" t="inlineStr">
        <is>
          <t>0                      PR 0641000G  3</t>
        </is>
      </c>
      <c r="F3511" t="inlineStr">
        <is>
          <t>Mysteries' end; an investigation of the last days of the medieval religious stage.</t>
        </is>
      </c>
      <c r="H3511" t="inlineStr">
        <is>
          <t>No</t>
        </is>
      </c>
      <c r="I3511" t="inlineStr">
        <is>
          <t>1</t>
        </is>
      </c>
      <c r="J3511" t="inlineStr">
        <is>
          <t>No</t>
        </is>
      </c>
      <c r="K3511" t="inlineStr">
        <is>
          <t>No</t>
        </is>
      </c>
      <c r="L3511" t="inlineStr">
        <is>
          <t>0</t>
        </is>
      </c>
      <c r="M3511" t="inlineStr">
        <is>
          <t>Gardiner, Harold C. (Harold Charles), 1904-</t>
        </is>
      </c>
      <c r="N3511" t="inlineStr">
        <is>
          <t>New Haven, Yale Univ. Press, 1946.</t>
        </is>
      </c>
      <c r="O3511" t="inlineStr">
        <is>
          <t>1946</t>
        </is>
      </c>
      <c r="Q3511" t="inlineStr">
        <is>
          <t>eng</t>
        </is>
      </c>
      <c r="R3511" t="inlineStr">
        <is>
          <t>ctu</t>
        </is>
      </c>
      <c r="S3511" t="inlineStr">
        <is>
          <t>Yale studies in English ; v. 103</t>
        </is>
      </c>
      <c r="T3511" t="inlineStr">
        <is>
          <t xml:space="preserve">PR </t>
        </is>
      </c>
      <c r="U3511" t="n">
        <v>2</v>
      </c>
      <c r="V3511" t="n">
        <v>2</v>
      </c>
      <c r="W3511" t="inlineStr">
        <is>
          <t>2005-11-22</t>
        </is>
      </c>
      <c r="X3511" t="inlineStr">
        <is>
          <t>2005-11-22</t>
        </is>
      </c>
      <c r="Y3511" t="inlineStr">
        <is>
          <t>1997-09-09</t>
        </is>
      </c>
      <c r="Z3511" t="inlineStr">
        <is>
          <t>1997-09-09</t>
        </is>
      </c>
      <c r="AA3511" t="n">
        <v>372</v>
      </c>
      <c r="AB3511" t="n">
        <v>314</v>
      </c>
      <c r="AC3511" t="n">
        <v>677</v>
      </c>
      <c r="AD3511" t="n">
        <v>4</v>
      </c>
      <c r="AE3511" t="n">
        <v>8</v>
      </c>
      <c r="AF3511" t="n">
        <v>28</v>
      </c>
      <c r="AG3511" t="n">
        <v>41</v>
      </c>
      <c r="AH3511" t="n">
        <v>7</v>
      </c>
      <c r="AI3511" t="n">
        <v>14</v>
      </c>
      <c r="AJ3511" t="n">
        <v>5</v>
      </c>
      <c r="AK3511" t="n">
        <v>7</v>
      </c>
      <c r="AL3511" t="n">
        <v>20</v>
      </c>
      <c r="AM3511" t="n">
        <v>22</v>
      </c>
      <c r="AN3511" t="n">
        <v>3</v>
      </c>
      <c r="AO3511" t="n">
        <v>7</v>
      </c>
      <c r="AP3511" t="n">
        <v>0</v>
      </c>
      <c r="AQ3511" t="n">
        <v>0</v>
      </c>
      <c r="AR3511" t="inlineStr">
        <is>
          <t>No</t>
        </is>
      </c>
      <c r="AS3511" t="inlineStr">
        <is>
          <t>Yes</t>
        </is>
      </c>
      <c r="AT3511">
        <f>HYPERLINK("http://catalog.hathitrust.org/Record/001016589","HathiTrust Record")</f>
        <v/>
      </c>
      <c r="AU3511">
        <f>HYPERLINK("https://creighton-primo.hosted.exlibrisgroup.com/primo-explore/search?tab=default_tab&amp;search_scope=EVERYTHING&amp;vid=01CRU&amp;lang=en_US&amp;offset=0&amp;query=any,contains,991003743599702656","Catalog Record")</f>
        <v/>
      </c>
      <c r="AV3511">
        <f>HYPERLINK("http://www.worldcat.org/oclc/1411536","WorldCat Record")</f>
        <v/>
      </c>
      <c r="AW3511" t="inlineStr">
        <is>
          <t>1385192:eng</t>
        </is>
      </c>
      <c r="AX3511" t="inlineStr">
        <is>
          <t>1411536</t>
        </is>
      </c>
      <c r="AY3511" t="inlineStr">
        <is>
          <t>991003743599702656</t>
        </is>
      </c>
      <c r="AZ3511" t="inlineStr">
        <is>
          <t>991003743599702656</t>
        </is>
      </c>
      <c r="BA3511" t="inlineStr">
        <is>
          <t>2256094090002656</t>
        </is>
      </c>
      <c r="BB3511" t="inlineStr">
        <is>
          <t>BOOK</t>
        </is>
      </c>
      <c r="BE3511" t="inlineStr">
        <is>
          <t>32285003215091</t>
        </is>
      </c>
      <c r="BF3511" t="inlineStr">
        <is>
          <t>893787692</t>
        </is>
      </c>
    </row>
    <row r="3512">
      <c r="A3512" t="inlineStr">
        <is>
          <t>No</t>
        </is>
      </c>
      <c r="B3512" t="inlineStr">
        <is>
          <t>CURAL</t>
        </is>
      </c>
      <c r="C3512" t="inlineStr">
        <is>
          <t>SHELVES</t>
        </is>
      </c>
      <c r="D3512" t="inlineStr">
        <is>
          <t>PR641 .K5</t>
        </is>
      </c>
      <c r="E3512" t="inlineStr">
        <is>
          <t>0                      PR 0641000K  5</t>
        </is>
      </c>
      <c r="F3512" t="inlineStr">
        <is>
          <t>Mediaeval drama / [by] A. M. Kinghorn.</t>
        </is>
      </c>
      <c r="H3512" t="inlineStr">
        <is>
          <t>No</t>
        </is>
      </c>
      <c r="I3512" t="inlineStr">
        <is>
          <t>1</t>
        </is>
      </c>
      <c r="J3512" t="inlineStr">
        <is>
          <t>No</t>
        </is>
      </c>
      <c r="K3512" t="inlineStr">
        <is>
          <t>No</t>
        </is>
      </c>
      <c r="L3512" t="inlineStr">
        <is>
          <t>0</t>
        </is>
      </c>
      <c r="M3512" t="inlineStr">
        <is>
          <t>Kinghorn, Alexander Manson.</t>
        </is>
      </c>
      <c r="N3512" t="inlineStr">
        <is>
          <t>London : Evans Bros., 1968.</t>
        </is>
      </c>
      <c r="O3512" t="inlineStr">
        <is>
          <t>1968</t>
        </is>
      </c>
      <c r="Q3512" t="inlineStr">
        <is>
          <t>eng</t>
        </is>
      </c>
      <c r="R3512" t="inlineStr">
        <is>
          <t>enk</t>
        </is>
      </c>
      <c r="S3512" t="inlineStr">
        <is>
          <t>Literature in perspective</t>
        </is>
      </c>
      <c r="T3512" t="inlineStr">
        <is>
          <t xml:space="preserve">PR </t>
        </is>
      </c>
      <c r="U3512" t="n">
        <v>3</v>
      </c>
      <c r="V3512" t="n">
        <v>3</v>
      </c>
      <c r="W3512" t="inlineStr">
        <is>
          <t>1998-10-04</t>
        </is>
      </c>
      <c r="X3512" t="inlineStr">
        <is>
          <t>1998-10-04</t>
        </is>
      </c>
      <c r="Y3512" t="inlineStr">
        <is>
          <t>1991-09-11</t>
        </is>
      </c>
      <c r="Z3512" t="inlineStr">
        <is>
          <t>1991-09-11</t>
        </is>
      </c>
      <c r="AA3512" t="n">
        <v>518</v>
      </c>
      <c r="AB3512" t="n">
        <v>357</v>
      </c>
      <c r="AC3512" t="n">
        <v>364</v>
      </c>
      <c r="AD3512" t="n">
        <v>4</v>
      </c>
      <c r="AE3512" t="n">
        <v>4</v>
      </c>
      <c r="AF3512" t="n">
        <v>25</v>
      </c>
      <c r="AG3512" t="n">
        <v>25</v>
      </c>
      <c r="AH3512" t="n">
        <v>9</v>
      </c>
      <c r="AI3512" t="n">
        <v>9</v>
      </c>
      <c r="AJ3512" t="n">
        <v>6</v>
      </c>
      <c r="AK3512" t="n">
        <v>6</v>
      </c>
      <c r="AL3512" t="n">
        <v>12</v>
      </c>
      <c r="AM3512" t="n">
        <v>12</v>
      </c>
      <c r="AN3512" t="n">
        <v>3</v>
      </c>
      <c r="AO3512" t="n">
        <v>3</v>
      </c>
      <c r="AP3512" t="n">
        <v>0</v>
      </c>
      <c r="AQ3512" t="n">
        <v>0</v>
      </c>
      <c r="AR3512" t="inlineStr">
        <is>
          <t>No</t>
        </is>
      </c>
      <c r="AS3512" t="inlineStr">
        <is>
          <t>Yes</t>
        </is>
      </c>
      <c r="AT3512">
        <f>HYPERLINK("http://catalog.hathitrust.org/Record/007118871","HathiTrust Record")</f>
        <v/>
      </c>
      <c r="AU3512">
        <f>HYPERLINK("https://creighton-primo.hosted.exlibrisgroup.com/primo-explore/search?tab=default_tab&amp;search_scope=EVERYTHING&amp;vid=01CRU&amp;lang=en_US&amp;offset=0&amp;query=any,contains,991002251729702656","Catalog Record")</f>
        <v/>
      </c>
      <c r="AV3512">
        <f>HYPERLINK("http://www.worldcat.org/oclc/299228","WorldCat Record")</f>
        <v/>
      </c>
      <c r="AW3512" t="inlineStr">
        <is>
          <t>1508619:eng</t>
        </is>
      </c>
      <c r="AX3512" t="inlineStr">
        <is>
          <t>299228</t>
        </is>
      </c>
      <c r="AY3512" t="inlineStr">
        <is>
          <t>991002251729702656</t>
        </is>
      </c>
      <c r="AZ3512" t="inlineStr">
        <is>
          <t>991002251729702656</t>
        </is>
      </c>
      <c r="BA3512" t="inlineStr">
        <is>
          <t>2264400890002656</t>
        </is>
      </c>
      <c r="BB3512" t="inlineStr">
        <is>
          <t>BOOK</t>
        </is>
      </c>
      <c r="BD3512" t="inlineStr">
        <is>
          <t>9780237350659</t>
        </is>
      </c>
      <c r="BE3512" t="inlineStr">
        <is>
          <t>32285000739457</t>
        </is>
      </c>
      <c r="BF3512" t="inlineStr">
        <is>
          <t>893603379</t>
        </is>
      </c>
    </row>
    <row r="3513">
      <c r="A3513" t="inlineStr">
        <is>
          <t>No</t>
        </is>
      </c>
      <c r="B3513" t="inlineStr">
        <is>
          <t>CURAL</t>
        </is>
      </c>
      <c r="C3513" t="inlineStr">
        <is>
          <t>SHELVES</t>
        </is>
      </c>
      <c r="D3513" t="inlineStr">
        <is>
          <t>PR641 .R5 1991</t>
        </is>
      </c>
      <c r="E3513" t="inlineStr">
        <is>
          <t>0                      PR 0641000R  5           1991</t>
        </is>
      </c>
      <c r="F3513" t="inlineStr">
        <is>
          <t>Medieval drama / Christine Richardson and Jackie Johnston.</t>
        </is>
      </c>
      <c r="H3513" t="inlineStr">
        <is>
          <t>No</t>
        </is>
      </c>
      <c r="I3513" t="inlineStr">
        <is>
          <t>1</t>
        </is>
      </c>
      <c r="J3513" t="inlineStr">
        <is>
          <t>No</t>
        </is>
      </c>
      <c r="K3513" t="inlineStr">
        <is>
          <t>No</t>
        </is>
      </c>
      <c r="L3513" t="inlineStr">
        <is>
          <t>0</t>
        </is>
      </c>
      <c r="M3513" t="inlineStr">
        <is>
          <t>Richardson, Christine.</t>
        </is>
      </c>
      <c r="N3513" t="inlineStr">
        <is>
          <t>New York : St. Martin's Press, 1991.</t>
        </is>
      </c>
      <c r="O3513" t="inlineStr">
        <is>
          <t>1991</t>
        </is>
      </c>
      <c r="Q3513" t="inlineStr">
        <is>
          <t>eng</t>
        </is>
      </c>
      <c r="R3513" t="inlineStr">
        <is>
          <t>nyu</t>
        </is>
      </c>
      <c r="S3513" t="inlineStr">
        <is>
          <t>English dramatists</t>
        </is>
      </c>
      <c r="T3513" t="inlineStr">
        <is>
          <t xml:space="preserve">PR </t>
        </is>
      </c>
      <c r="U3513" t="n">
        <v>6</v>
      </c>
      <c r="V3513" t="n">
        <v>6</v>
      </c>
      <c r="W3513" t="inlineStr">
        <is>
          <t>1998-11-16</t>
        </is>
      </c>
      <c r="X3513" t="inlineStr">
        <is>
          <t>1998-11-16</t>
        </is>
      </c>
      <c r="Y3513" t="inlineStr">
        <is>
          <t>1991-04-09</t>
        </is>
      </c>
      <c r="Z3513" t="inlineStr">
        <is>
          <t>1991-04-09</t>
        </is>
      </c>
      <c r="AA3513" t="n">
        <v>299</v>
      </c>
      <c r="AB3513" t="n">
        <v>252</v>
      </c>
      <c r="AC3513" t="n">
        <v>301</v>
      </c>
      <c r="AD3513" t="n">
        <v>1</v>
      </c>
      <c r="AE3513" t="n">
        <v>2</v>
      </c>
      <c r="AF3513" t="n">
        <v>10</v>
      </c>
      <c r="AG3513" t="n">
        <v>12</v>
      </c>
      <c r="AH3513" t="n">
        <v>3</v>
      </c>
      <c r="AI3513" t="n">
        <v>4</v>
      </c>
      <c r="AJ3513" t="n">
        <v>5</v>
      </c>
      <c r="AK3513" t="n">
        <v>5</v>
      </c>
      <c r="AL3513" t="n">
        <v>6</v>
      </c>
      <c r="AM3513" t="n">
        <v>7</v>
      </c>
      <c r="AN3513" t="n">
        <v>0</v>
      </c>
      <c r="AO3513" t="n">
        <v>1</v>
      </c>
      <c r="AP3513" t="n">
        <v>0</v>
      </c>
      <c r="AQ3513" t="n">
        <v>0</v>
      </c>
      <c r="AR3513" t="inlineStr">
        <is>
          <t>No</t>
        </is>
      </c>
      <c r="AS3513" t="inlineStr">
        <is>
          <t>No</t>
        </is>
      </c>
      <c r="AU3513">
        <f>HYPERLINK("https://creighton-primo.hosted.exlibrisgroup.com/primo-explore/search?tab=default_tab&amp;search_scope=EVERYTHING&amp;vid=01CRU&amp;lang=en_US&amp;offset=0&amp;query=any,contains,991001629129702656","Catalog Record")</f>
        <v/>
      </c>
      <c r="AV3513">
        <f>HYPERLINK("http://www.worldcat.org/oclc/20893091","WorldCat Record")</f>
        <v/>
      </c>
      <c r="AW3513" t="inlineStr">
        <is>
          <t>22241696:eng</t>
        </is>
      </c>
      <c r="AX3513" t="inlineStr">
        <is>
          <t>20893091</t>
        </is>
      </c>
      <c r="AY3513" t="inlineStr">
        <is>
          <t>991001629129702656</t>
        </is>
      </c>
      <c r="AZ3513" t="inlineStr">
        <is>
          <t>991001629129702656</t>
        </is>
      </c>
      <c r="BA3513" t="inlineStr">
        <is>
          <t>2265674480002656</t>
        </is>
      </c>
      <c r="BB3513" t="inlineStr">
        <is>
          <t>BOOK</t>
        </is>
      </c>
      <c r="BD3513" t="inlineStr">
        <is>
          <t>9780312046125</t>
        </is>
      </c>
      <c r="BE3513" t="inlineStr">
        <is>
          <t>32285000567072</t>
        </is>
      </c>
      <c r="BF3513" t="inlineStr">
        <is>
          <t>893414351</t>
        </is>
      </c>
    </row>
    <row r="3514">
      <c r="A3514" t="inlineStr">
        <is>
          <t>No</t>
        </is>
      </c>
      <c r="B3514" t="inlineStr">
        <is>
          <t>CURAL</t>
        </is>
      </c>
      <c r="C3514" t="inlineStr">
        <is>
          <t>SHELVES</t>
        </is>
      </c>
      <c r="D3514" t="inlineStr">
        <is>
          <t>PR641 .R6 1950a</t>
        </is>
      </c>
      <c r="E3514" t="inlineStr">
        <is>
          <t>0                      PR 0641000R  6           1950a</t>
        </is>
      </c>
      <c r="F3514" t="inlineStr">
        <is>
          <t>English drama from early times to the Elizabethans : its background, origins and developments / A.P. Rossiter.</t>
        </is>
      </c>
      <c r="H3514" t="inlineStr">
        <is>
          <t>No</t>
        </is>
      </c>
      <c r="I3514" t="inlineStr">
        <is>
          <t>1</t>
        </is>
      </c>
      <c r="J3514" t="inlineStr">
        <is>
          <t>No</t>
        </is>
      </c>
      <c r="K3514" t="inlineStr">
        <is>
          <t>No</t>
        </is>
      </c>
      <c r="L3514" t="inlineStr">
        <is>
          <t>0</t>
        </is>
      </c>
      <c r="M3514" t="inlineStr">
        <is>
          <t>Rossiter, A. P. (Arthur Percival), -1957.</t>
        </is>
      </c>
      <c r="N3514" t="inlineStr">
        <is>
          <t>New York : Barnes &amp; Noble, [1950?]</t>
        </is>
      </c>
      <c r="O3514" t="inlineStr">
        <is>
          <t>1950</t>
        </is>
      </c>
      <c r="Q3514" t="inlineStr">
        <is>
          <t>eng</t>
        </is>
      </c>
      <c r="R3514" t="inlineStr">
        <is>
          <t>nyu</t>
        </is>
      </c>
      <c r="T3514" t="inlineStr">
        <is>
          <t xml:space="preserve">PR </t>
        </is>
      </c>
      <c r="U3514" t="n">
        <v>2</v>
      </c>
      <c r="V3514" t="n">
        <v>2</v>
      </c>
      <c r="W3514" t="inlineStr">
        <is>
          <t>2005-11-08</t>
        </is>
      </c>
      <c r="X3514" t="inlineStr">
        <is>
          <t>2005-11-08</t>
        </is>
      </c>
      <c r="Y3514" t="inlineStr">
        <is>
          <t>2002-04-08</t>
        </is>
      </c>
      <c r="Z3514" t="inlineStr">
        <is>
          <t>2002-04-08</t>
        </is>
      </c>
      <c r="AA3514" t="n">
        <v>79</v>
      </c>
      <c r="AB3514" t="n">
        <v>78</v>
      </c>
      <c r="AC3514" t="n">
        <v>913</v>
      </c>
      <c r="AD3514" t="n">
        <v>1</v>
      </c>
      <c r="AE3514" t="n">
        <v>10</v>
      </c>
      <c r="AF3514" t="n">
        <v>4</v>
      </c>
      <c r="AG3514" t="n">
        <v>47</v>
      </c>
      <c r="AH3514" t="n">
        <v>0</v>
      </c>
      <c r="AI3514" t="n">
        <v>16</v>
      </c>
      <c r="AJ3514" t="n">
        <v>1</v>
      </c>
      <c r="AK3514" t="n">
        <v>10</v>
      </c>
      <c r="AL3514" t="n">
        <v>4</v>
      </c>
      <c r="AM3514" t="n">
        <v>22</v>
      </c>
      <c r="AN3514" t="n">
        <v>0</v>
      </c>
      <c r="AO3514" t="n">
        <v>9</v>
      </c>
      <c r="AP3514" t="n">
        <v>0</v>
      </c>
      <c r="AQ3514" t="n">
        <v>0</v>
      </c>
      <c r="AR3514" t="inlineStr">
        <is>
          <t>No</t>
        </is>
      </c>
      <c r="AS3514" t="inlineStr">
        <is>
          <t>No</t>
        </is>
      </c>
      <c r="AU3514">
        <f>HYPERLINK("https://creighton-primo.hosted.exlibrisgroup.com/primo-explore/search?tab=default_tab&amp;search_scope=EVERYTHING&amp;vid=01CRU&amp;lang=en_US&amp;offset=0&amp;query=any,contains,991003790779702656","Catalog Record")</f>
        <v/>
      </c>
      <c r="AV3514">
        <f>HYPERLINK("http://www.worldcat.org/oclc/9230922","WorldCat Record")</f>
        <v/>
      </c>
      <c r="AW3514" t="inlineStr">
        <is>
          <t>1988698:eng</t>
        </is>
      </c>
      <c r="AX3514" t="inlineStr">
        <is>
          <t>9230922</t>
        </is>
      </c>
      <c r="AY3514" t="inlineStr">
        <is>
          <t>991003790779702656</t>
        </is>
      </c>
      <c r="AZ3514" t="inlineStr">
        <is>
          <t>991003790779702656</t>
        </is>
      </c>
      <c r="BA3514" t="inlineStr">
        <is>
          <t>2259312710002656</t>
        </is>
      </c>
      <c r="BB3514" t="inlineStr">
        <is>
          <t>BOOK</t>
        </is>
      </c>
      <c r="BE3514" t="inlineStr">
        <is>
          <t>32285004478243</t>
        </is>
      </c>
      <c r="BF3514" t="inlineStr">
        <is>
          <t>893904524</t>
        </is>
      </c>
    </row>
    <row r="3515">
      <c r="A3515" t="inlineStr">
        <is>
          <t>No</t>
        </is>
      </c>
      <c r="B3515" t="inlineStr">
        <is>
          <t>CURAL</t>
        </is>
      </c>
      <c r="C3515" t="inlineStr">
        <is>
          <t>SHELVES</t>
        </is>
      </c>
      <c r="D3515" t="inlineStr">
        <is>
          <t>PR641 .T3</t>
        </is>
      </c>
      <c r="E3515" t="inlineStr">
        <is>
          <t>0                      PR 0641000T  3</t>
        </is>
      </c>
      <c r="F3515" t="inlineStr">
        <is>
          <t>Medieval English drama : essays critical and contextual / edited by Jerome Taylor and Alan H. Nelson.</t>
        </is>
      </c>
      <c r="H3515" t="inlineStr">
        <is>
          <t>No</t>
        </is>
      </c>
      <c r="I3515" t="inlineStr">
        <is>
          <t>1</t>
        </is>
      </c>
      <c r="J3515" t="inlineStr">
        <is>
          <t>No</t>
        </is>
      </c>
      <c r="K3515" t="inlineStr">
        <is>
          <t>No</t>
        </is>
      </c>
      <c r="L3515" t="inlineStr">
        <is>
          <t>0</t>
        </is>
      </c>
      <c r="M3515" t="inlineStr">
        <is>
          <t>Taylor, Jerome, 1918-1996 compiler.</t>
        </is>
      </c>
      <c r="N3515" t="inlineStr">
        <is>
          <t>Chicago : University of Chicago Press, [1972]</t>
        </is>
      </c>
      <c r="O3515" t="inlineStr">
        <is>
          <t>1972</t>
        </is>
      </c>
      <c r="Q3515" t="inlineStr">
        <is>
          <t>eng</t>
        </is>
      </c>
      <c r="R3515" t="inlineStr">
        <is>
          <t>ilu</t>
        </is>
      </c>
      <c r="S3515" t="inlineStr">
        <is>
          <t>Patterns of literary criticism</t>
        </is>
      </c>
      <c r="T3515" t="inlineStr">
        <is>
          <t xml:space="preserve">PR </t>
        </is>
      </c>
      <c r="U3515" t="n">
        <v>17</v>
      </c>
      <c r="V3515" t="n">
        <v>17</v>
      </c>
      <c r="W3515" t="inlineStr">
        <is>
          <t>2010-04-05</t>
        </is>
      </c>
      <c r="X3515" t="inlineStr">
        <is>
          <t>2010-04-05</t>
        </is>
      </c>
      <c r="Y3515" t="inlineStr">
        <is>
          <t>1991-09-11</t>
        </is>
      </c>
      <c r="Z3515" t="inlineStr">
        <is>
          <t>1991-09-11</t>
        </is>
      </c>
      <c r="AA3515" t="n">
        <v>968</v>
      </c>
      <c r="AB3515" t="n">
        <v>797</v>
      </c>
      <c r="AC3515" t="n">
        <v>803</v>
      </c>
      <c r="AD3515" t="n">
        <v>5</v>
      </c>
      <c r="AE3515" t="n">
        <v>5</v>
      </c>
      <c r="AF3515" t="n">
        <v>41</v>
      </c>
      <c r="AG3515" t="n">
        <v>41</v>
      </c>
      <c r="AH3515" t="n">
        <v>19</v>
      </c>
      <c r="AI3515" t="n">
        <v>19</v>
      </c>
      <c r="AJ3515" t="n">
        <v>8</v>
      </c>
      <c r="AK3515" t="n">
        <v>8</v>
      </c>
      <c r="AL3515" t="n">
        <v>22</v>
      </c>
      <c r="AM3515" t="n">
        <v>22</v>
      </c>
      <c r="AN3515" t="n">
        <v>4</v>
      </c>
      <c r="AO3515" t="n">
        <v>4</v>
      </c>
      <c r="AP3515" t="n">
        <v>0</v>
      </c>
      <c r="AQ3515" t="n">
        <v>0</v>
      </c>
      <c r="AR3515" t="inlineStr">
        <is>
          <t>No</t>
        </is>
      </c>
      <c r="AS3515" t="inlineStr">
        <is>
          <t>No</t>
        </is>
      </c>
      <c r="AU3515">
        <f>HYPERLINK("https://creighton-primo.hosted.exlibrisgroup.com/primo-explore/search?tab=default_tab&amp;search_scope=EVERYTHING&amp;vid=01CRU&amp;lang=en_US&amp;offset=0&amp;query=any,contains,991002979849702656","Catalog Record")</f>
        <v/>
      </c>
      <c r="AV3515">
        <f>HYPERLINK("http://www.worldcat.org/oclc/554303","WorldCat Record")</f>
        <v/>
      </c>
      <c r="AW3515" t="inlineStr">
        <is>
          <t>887967198:eng</t>
        </is>
      </c>
      <c r="AX3515" t="inlineStr">
        <is>
          <t>554303</t>
        </is>
      </c>
      <c r="AY3515" t="inlineStr">
        <is>
          <t>991002979849702656</t>
        </is>
      </c>
      <c r="AZ3515" t="inlineStr">
        <is>
          <t>991002979849702656</t>
        </is>
      </c>
      <c r="BA3515" t="inlineStr">
        <is>
          <t>2256248250002656</t>
        </is>
      </c>
      <c r="BB3515" t="inlineStr">
        <is>
          <t>BOOK</t>
        </is>
      </c>
      <c r="BD3515" t="inlineStr">
        <is>
          <t>9780226791463</t>
        </is>
      </c>
      <c r="BE3515" t="inlineStr">
        <is>
          <t>32285000739465</t>
        </is>
      </c>
      <c r="BF3515" t="inlineStr">
        <is>
          <t>893498795</t>
        </is>
      </c>
    </row>
    <row r="3516">
      <c r="A3516" t="inlineStr">
        <is>
          <t>No</t>
        </is>
      </c>
      <c r="B3516" t="inlineStr">
        <is>
          <t>CURAL</t>
        </is>
      </c>
      <c r="C3516" t="inlineStr">
        <is>
          <t>SHELVES</t>
        </is>
      </c>
      <c r="D3516" t="inlineStr">
        <is>
          <t>PR641 .W58 1969</t>
        </is>
      </c>
      <c r="E3516" t="inlineStr">
        <is>
          <t>0                      PR 0641000W  58          1969</t>
        </is>
      </c>
      <c r="F3516" t="inlineStr">
        <is>
          <t>The English drama, 1485-1585. Edited with a bibliography by G. K. Hunter.</t>
        </is>
      </c>
      <c r="H3516" t="inlineStr">
        <is>
          <t>No</t>
        </is>
      </c>
      <c r="I3516" t="inlineStr">
        <is>
          <t>1</t>
        </is>
      </c>
      <c r="J3516" t="inlineStr">
        <is>
          <t>No</t>
        </is>
      </c>
      <c r="K3516" t="inlineStr">
        <is>
          <t>No</t>
        </is>
      </c>
      <c r="L3516" t="inlineStr">
        <is>
          <t>0</t>
        </is>
      </c>
      <c r="M3516" t="inlineStr">
        <is>
          <t>Wilson, F. P. (Frank Percy), 1889-1963.</t>
        </is>
      </c>
      <c r="N3516" t="inlineStr">
        <is>
          <t>New York, Oxford University Press, 1969 [c1968]</t>
        </is>
      </c>
      <c r="O3516" t="inlineStr">
        <is>
          <t>1969</t>
        </is>
      </c>
      <c r="Q3516" t="inlineStr">
        <is>
          <t>eng</t>
        </is>
      </c>
      <c r="R3516" t="inlineStr">
        <is>
          <t>nyu</t>
        </is>
      </c>
      <c r="S3516" t="inlineStr">
        <is>
          <t>The Oxford history of English literature ; 4, pt. 1</t>
        </is>
      </c>
      <c r="T3516" t="inlineStr">
        <is>
          <t xml:space="preserve">PR </t>
        </is>
      </c>
      <c r="U3516" t="n">
        <v>1</v>
      </c>
      <c r="V3516" t="n">
        <v>1</v>
      </c>
      <c r="W3516" t="inlineStr">
        <is>
          <t>1998-02-22</t>
        </is>
      </c>
      <c r="X3516" t="inlineStr">
        <is>
          <t>1998-02-22</t>
        </is>
      </c>
      <c r="Y3516" t="inlineStr">
        <is>
          <t>1997-09-09</t>
        </is>
      </c>
      <c r="Z3516" t="inlineStr">
        <is>
          <t>1997-09-09</t>
        </is>
      </c>
      <c r="AA3516" t="n">
        <v>1195</v>
      </c>
      <c r="AB3516" t="n">
        <v>1149</v>
      </c>
      <c r="AC3516" t="n">
        <v>1360</v>
      </c>
      <c r="AD3516" t="n">
        <v>14</v>
      </c>
      <c r="AE3516" t="n">
        <v>14</v>
      </c>
      <c r="AF3516" t="n">
        <v>51</v>
      </c>
      <c r="AG3516" t="n">
        <v>59</v>
      </c>
      <c r="AH3516" t="n">
        <v>23</v>
      </c>
      <c r="AI3516" t="n">
        <v>26</v>
      </c>
      <c r="AJ3516" t="n">
        <v>8</v>
      </c>
      <c r="AK3516" t="n">
        <v>10</v>
      </c>
      <c r="AL3516" t="n">
        <v>21</v>
      </c>
      <c r="AM3516" t="n">
        <v>26</v>
      </c>
      <c r="AN3516" t="n">
        <v>10</v>
      </c>
      <c r="AO3516" t="n">
        <v>10</v>
      </c>
      <c r="AP3516" t="n">
        <v>0</v>
      </c>
      <c r="AQ3516" t="n">
        <v>0</v>
      </c>
      <c r="AR3516" t="inlineStr">
        <is>
          <t>No</t>
        </is>
      </c>
      <c r="AS3516" t="inlineStr">
        <is>
          <t>Yes</t>
        </is>
      </c>
      <c r="AT3516">
        <f>HYPERLINK("http://catalog.hathitrust.org/Record/001669109","HathiTrust Record")</f>
        <v/>
      </c>
      <c r="AU3516">
        <f>HYPERLINK("https://creighton-primo.hosted.exlibrisgroup.com/primo-explore/search?tab=default_tab&amp;search_scope=EVERYTHING&amp;vid=01CRU&amp;lang=en_US&amp;offset=0&amp;query=any,contains,991001928369702656","Catalog Record")</f>
        <v/>
      </c>
      <c r="AV3516">
        <f>HYPERLINK("http://www.worldcat.org/oclc/247913","WorldCat Record")</f>
        <v/>
      </c>
      <c r="AW3516" t="inlineStr">
        <is>
          <t>10227007003:eng</t>
        </is>
      </c>
      <c r="AX3516" t="inlineStr">
        <is>
          <t>247913</t>
        </is>
      </c>
      <c r="AY3516" t="inlineStr">
        <is>
          <t>991001928369702656</t>
        </is>
      </c>
      <c r="AZ3516" t="inlineStr">
        <is>
          <t>991001928369702656</t>
        </is>
      </c>
      <c r="BA3516" t="inlineStr">
        <is>
          <t>2257950360002656</t>
        </is>
      </c>
      <c r="BB3516" t="inlineStr">
        <is>
          <t>BOOK</t>
        </is>
      </c>
      <c r="BE3516" t="inlineStr">
        <is>
          <t>32285003215125</t>
        </is>
      </c>
      <c r="BF3516" t="inlineStr">
        <is>
          <t>893244550</t>
        </is>
      </c>
    </row>
    <row r="3517">
      <c r="A3517" t="inlineStr">
        <is>
          <t>No</t>
        </is>
      </c>
      <c r="B3517" t="inlineStr">
        <is>
          <t>CURAL</t>
        </is>
      </c>
      <c r="C3517" t="inlineStr">
        <is>
          <t>SHELVES</t>
        </is>
      </c>
      <c r="D3517" t="inlineStr">
        <is>
          <t>PR643.C67 J3 1989</t>
        </is>
      </c>
      <c r="E3517" t="inlineStr">
        <is>
          <t>0                      PR 0643000C  67                 J  3           1989</t>
        </is>
      </c>
      <c r="F3517" t="inlineStr">
        <is>
          <t>Patterns of divine comedy : a study of mediaeval English drama / R.D.S. Jack.</t>
        </is>
      </c>
      <c r="H3517" t="inlineStr">
        <is>
          <t>No</t>
        </is>
      </c>
      <c r="I3517" t="inlineStr">
        <is>
          <t>1</t>
        </is>
      </c>
      <c r="J3517" t="inlineStr">
        <is>
          <t>No</t>
        </is>
      </c>
      <c r="K3517" t="inlineStr">
        <is>
          <t>No</t>
        </is>
      </c>
      <c r="L3517" t="inlineStr">
        <is>
          <t>0</t>
        </is>
      </c>
      <c r="M3517" t="inlineStr">
        <is>
          <t>Jack, Ronald D. S.</t>
        </is>
      </c>
      <c r="N3517" t="inlineStr">
        <is>
          <t>Cambridge [England] : D.S. Brewer, 1989.</t>
        </is>
      </c>
      <c r="O3517" t="inlineStr">
        <is>
          <t>1989</t>
        </is>
      </c>
      <c r="Q3517" t="inlineStr">
        <is>
          <t>eng</t>
        </is>
      </c>
      <c r="R3517" t="inlineStr">
        <is>
          <t>enk</t>
        </is>
      </c>
      <c r="T3517" t="inlineStr">
        <is>
          <t xml:space="preserve">PR </t>
        </is>
      </c>
      <c r="U3517" t="n">
        <v>2</v>
      </c>
      <c r="V3517" t="n">
        <v>2</v>
      </c>
      <c r="W3517" t="inlineStr">
        <is>
          <t>1994-11-19</t>
        </is>
      </c>
      <c r="X3517" t="inlineStr">
        <is>
          <t>1994-11-19</t>
        </is>
      </c>
      <c r="Y3517" t="inlineStr">
        <is>
          <t>1990-01-14</t>
        </is>
      </c>
      <c r="Z3517" t="inlineStr">
        <is>
          <t>1990-01-14</t>
        </is>
      </c>
      <c r="AA3517" t="n">
        <v>297</v>
      </c>
      <c r="AB3517" t="n">
        <v>191</v>
      </c>
      <c r="AC3517" t="n">
        <v>191</v>
      </c>
      <c r="AD3517" t="n">
        <v>2</v>
      </c>
      <c r="AE3517" t="n">
        <v>2</v>
      </c>
      <c r="AF3517" t="n">
        <v>13</v>
      </c>
      <c r="AG3517" t="n">
        <v>13</v>
      </c>
      <c r="AH3517" t="n">
        <v>4</v>
      </c>
      <c r="AI3517" t="n">
        <v>4</v>
      </c>
      <c r="AJ3517" t="n">
        <v>4</v>
      </c>
      <c r="AK3517" t="n">
        <v>4</v>
      </c>
      <c r="AL3517" t="n">
        <v>9</v>
      </c>
      <c r="AM3517" t="n">
        <v>9</v>
      </c>
      <c r="AN3517" t="n">
        <v>1</v>
      </c>
      <c r="AO3517" t="n">
        <v>1</v>
      </c>
      <c r="AP3517" t="n">
        <v>0</v>
      </c>
      <c r="AQ3517" t="n">
        <v>0</v>
      </c>
      <c r="AR3517" t="inlineStr">
        <is>
          <t>No</t>
        </is>
      </c>
      <c r="AS3517" t="inlineStr">
        <is>
          <t>No</t>
        </is>
      </c>
      <c r="AU3517">
        <f>HYPERLINK("https://creighton-primo.hosted.exlibrisgroup.com/primo-explore/search?tab=default_tab&amp;search_scope=EVERYTHING&amp;vid=01CRU&amp;lang=en_US&amp;offset=0&amp;query=any,contains,991001369479702656","Catalog Record")</f>
        <v/>
      </c>
      <c r="AV3517">
        <f>HYPERLINK("http://www.worldcat.org/oclc/18560690","WorldCat Record")</f>
        <v/>
      </c>
      <c r="AW3517" t="inlineStr">
        <is>
          <t>17450792:eng</t>
        </is>
      </c>
      <c r="AX3517" t="inlineStr">
        <is>
          <t>18560690</t>
        </is>
      </c>
      <c r="AY3517" t="inlineStr">
        <is>
          <t>991001369479702656</t>
        </is>
      </c>
      <c r="AZ3517" t="inlineStr">
        <is>
          <t>991001369479702656</t>
        </is>
      </c>
      <c r="BA3517" t="inlineStr">
        <is>
          <t>2271565580002656</t>
        </is>
      </c>
      <c r="BB3517" t="inlineStr">
        <is>
          <t>BOOK</t>
        </is>
      </c>
      <c r="BE3517" t="inlineStr">
        <is>
          <t>32285000027812</t>
        </is>
      </c>
      <c r="BF3517" t="inlineStr">
        <is>
          <t>893497025</t>
        </is>
      </c>
    </row>
    <row r="3518">
      <c r="A3518" t="inlineStr">
        <is>
          <t>No</t>
        </is>
      </c>
      <c r="B3518" t="inlineStr">
        <is>
          <t>CURAL</t>
        </is>
      </c>
      <c r="C3518" t="inlineStr">
        <is>
          <t>SHELVES</t>
        </is>
      </c>
      <c r="D3518" t="inlineStr">
        <is>
          <t>PR643.C7 K6</t>
        </is>
      </c>
      <c r="E3518" t="inlineStr">
        <is>
          <t>0                      PR 0643000C  7                  K  6</t>
        </is>
      </c>
      <c r="F3518" t="inlineStr">
        <is>
          <t>The play called Corpus Christi / by V.A. Kolve.</t>
        </is>
      </c>
      <c r="H3518" t="inlineStr">
        <is>
          <t>No</t>
        </is>
      </c>
      <c r="I3518" t="inlineStr">
        <is>
          <t>1</t>
        </is>
      </c>
      <c r="J3518" t="inlineStr">
        <is>
          <t>No</t>
        </is>
      </c>
      <c r="K3518" t="inlineStr">
        <is>
          <t>No</t>
        </is>
      </c>
      <c r="L3518" t="inlineStr">
        <is>
          <t>0</t>
        </is>
      </c>
      <c r="M3518" t="inlineStr">
        <is>
          <t>Kolve, V. A.</t>
        </is>
      </c>
      <c r="N3518" t="inlineStr">
        <is>
          <t>Stanford, Calif. : Stanford University Press, 1966.</t>
        </is>
      </c>
      <c r="O3518" t="inlineStr">
        <is>
          <t>1966</t>
        </is>
      </c>
      <c r="Q3518" t="inlineStr">
        <is>
          <t>eng</t>
        </is>
      </c>
      <c r="R3518" t="inlineStr">
        <is>
          <t>cau</t>
        </is>
      </c>
      <c r="T3518" t="inlineStr">
        <is>
          <t xml:space="preserve">PR </t>
        </is>
      </c>
      <c r="U3518" t="n">
        <v>1</v>
      </c>
      <c r="V3518" t="n">
        <v>1</v>
      </c>
      <c r="W3518" t="inlineStr">
        <is>
          <t>2005-10-11</t>
        </is>
      </c>
      <c r="X3518" t="inlineStr">
        <is>
          <t>2005-10-11</t>
        </is>
      </c>
      <c r="Y3518" t="inlineStr">
        <is>
          <t>1991-09-10</t>
        </is>
      </c>
      <c r="Z3518" t="inlineStr">
        <is>
          <t>1991-09-10</t>
        </is>
      </c>
      <c r="AA3518" t="n">
        <v>951</v>
      </c>
      <c r="AB3518" t="n">
        <v>835</v>
      </c>
      <c r="AC3518" t="n">
        <v>872</v>
      </c>
      <c r="AD3518" t="n">
        <v>7</v>
      </c>
      <c r="AE3518" t="n">
        <v>7</v>
      </c>
      <c r="AF3518" t="n">
        <v>42</v>
      </c>
      <c r="AG3518" t="n">
        <v>42</v>
      </c>
      <c r="AH3518" t="n">
        <v>15</v>
      </c>
      <c r="AI3518" t="n">
        <v>15</v>
      </c>
      <c r="AJ3518" t="n">
        <v>8</v>
      </c>
      <c r="AK3518" t="n">
        <v>8</v>
      </c>
      <c r="AL3518" t="n">
        <v>24</v>
      </c>
      <c r="AM3518" t="n">
        <v>24</v>
      </c>
      <c r="AN3518" t="n">
        <v>6</v>
      </c>
      <c r="AO3518" t="n">
        <v>6</v>
      </c>
      <c r="AP3518" t="n">
        <v>0</v>
      </c>
      <c r="AQ3518" t="n">
        <v>0</v>
      </c>
      <c r="AR3518" t="inlineStr">
        <is>
          <t>No</t>
        </is>
      </c>
      <c r="AS3518" t="inlineStr">
        <is>
          <t>Yes</t>
        </is>
      </c>
      <c r="AT3518">
        <f>HYPERLINK("http://catalog.hathitrust.org/Record/001016593","HathiTrust Record")</f>
        <v/>
      </c>
      <c r="AU3518">
        <f>HYPERLINK("https://creighton-primo.hosted.exlibrisgroup.com/primo-explore/search?tab=default_tab&amp;search_scope=EVERYTHING&amp;vid=01CRU&amp;lang=en_US&amp;offset=0&amp;query=any,contains,991002256169702656","Catalog Record")</f>
        <v/>
      </c>
      <c r="AV3518">
        <f>HYPERLINK("http://www.worldcat.org/oclc/301855","WorldCat Record")</f>
        <v/>
      </c>
      <c r="AW3518" t="inlineStr">
        <is>
          <t>1345332:eng</t>
        </is>
      </c>
      <c r="AX3518" t="inlineStr">
        <is>
          <t>301855</t>
        </is>
      </c>
      <c r="AY3518" t="inlineStr">
        <is>
          <t>991002256169702656</t>
        </is>
      </c>
      <c r="AZ3518" t="inlineStr">
        <is>
          <t>991002256169702656</t>
        </is>
      </c>
      <c r="BA3518" t="inlineStr">
        <is>
          <t>2269951640002656</t>
        </is>
      </c>
      <c r="BB3518" t="inlineStr">
        <is>
          <t>BOOK</t>
        </is>
      </c>
      <c r="BE3518" t="inlineStr">
        <is>
          <t>32285000739481</t>
        </is>
      </c>
      <c r="BF3518" t="inlineStr">
        <is>
          <t>893615900</t>
        </is>
      </c>
    </row>
    <row r="3519">
      <c r="A3519" t="inlineStr">
        <is>
          <t>No</t>
        </is>
      </c>
      <c r="B3519" t="inlineStr">
        <is>
          <t>CURAL</t>
        </is>
      </c>
      <c r="C3519" t="inlineStr">
        <is>
          <t>SHELVES</t>
        </is>
      </c>
      <c r="D3519" t="inlineStr">
        <is>
          <t>PR643.C7 N4</t>
        </is>
      </c>
      <c r="E3519" t="inlineStr">
        <is>
          <t>0                      PR 0643000C  7                  N  4</t>
        </is>
      </c>
      <c r="F3519" t="inlineStr">
        <is>
          <t>The medieval English stage : Corpus Christi pageants and plays / Alan H. Nelson.</t>
        </is>
      </c>
      <c r="H3519" t="inlineStr">
        <is>
          <t>No</t>
        </is>
      </c>
      <c r="I3519" t="inlineStr">
        <is>
          <t>1</t>
        </is>
      </c>
      <c r="J3519" t="inlineStr">
        <is>
          <t>No</t>
        </is>
      </c>
      <c r="K3519" t="inlineStr">
        <is>
          <t>No</t>
        </is>
      </c>
      <c r="L3519" t="inlineStr">
        <is>
          <t>0</t>
        </is>
      </c>
      <c r="M3519" t="inlineStr">
        <is>
          <t>Nelson, Alan H.</t>
        </is>
      </c>
      <c r="N3519" t="inlineStr">
        <is>
          <t>Chicago : University of Chicago Press, 1974.</t>
        </is>
      </c>
      <c r="O3519" t="inlineStr">
        <is>
          <t>1974</t>
        </is>
      </c>
      <c r="Q3519" t="inlineStr">
        <is>
          <t>eng</t>
        </is>
      </c>
      <c r="R3519" t="inlineStr">
        <is>
          <t>ilu</t>
        </is>
      </c>
      <c r="T3519" t="inlineStr">
        <is>
          <t xml:space="preserve">PR </t>
        </is>
      </c>
      <c r="U3519" t="n">
        <v>2</v>
      </c>
      <c r="V3519" t="n">
        <v>2</v>
      </c>
      <c r="W3519" t="inlineStr">
        <is>
          <t>2005-10-11</t>
        </is>
      </c>
      <c r="X3519" t="inlineStr">
        <is>
          <t>2005-10-11</t>
        </is>
      </c>
      <c r="Y3519" t="inlineStr">
        <is>
          <t>1991-09-11</t>
        </is>
      </c>
      <c r="Z3519" t="inlineStr">
        <is>
          <t>1991-09-11</t>
        </is>
      </c>
      <c r="AA3519" t="n">
        <v>851</v>
      </c>
      <c r="AB3519" t="n">
        <v>663</v>
      </c>
      <c r="AC3519" t="n">
        <v>667</v>
      </c>
      <c r="AD3519" t="n">
        <v>7</v>
      </c>
      <c r="AE3519" t="n">
        <v>7</v>
      </c>
      <c r="AF3519" t="n">
        <v>36</v>
      </c>
      <c r="AG3519" t="n">
        <v>36</v>
      </c>
      <c r="AH3519" t="n">
        <v>14</v>
      </c>
      <c r="AI3519" t="n">
        <v>14</v>
      </c>
      <c r="AJ3519" t="n">
        <v>7</v>
      </c>
      <c r="AK3519" t="n">
        <v>7</v>
      </c>
      <c r="AL3519" t="n">
        <v>18</v>
      </c>
      <c r="AM3519" t="n">
        <v>18</v>
      </c>
      <c r="AN3519" t="n">
        <v>6</v>
      </c>
      <c r="AO3519" t="n">
        <v>6</v>
      </c>
      <c r="AP3519" t="n">
        <v>0</v>
      </c>
      <c r="AQ3519" t="n">
        <v>0</v>
      </c>
      <c r="AR3519" t="inlineStr">
        <is>
          <t>No</t>
        </is>
      </c>
      <c r="AS3519" t="inlineStr">
        <is>
          <t>No</t>
        </is>
      </c>
      <c r="AU3519">
        <f>HYPERLINK("https://creighton-primo.hosted.exlibrisgroup.com/primo-explore/search?tab=default_tab&amp;search_scope=EVERYTHING&amp;vid=01CRU&amp;lang=en_US&amp;offset=0&amp;query=any,contains,991003487449702656","Catalog Record")</f>
        <v/>
      </c>
      <c r="AV3519">
        <f>HYPERLINK("http://www.worldcat.org/oclc/1035283","WorldCat Record")</f>
        <v/>
      </c>
      <c r="AW3519" t="inlineStr">
        <is>
          <t>874653882:eng</t>
        </is>
      </c>
      <c r="AX3519" t="inlineStr">
        <is>
          <t>1035283</t>
        </is>
      </c>
      <c r="AY3519" t="inlineStr">
        <is>
          <t>991003487449702656</t>
        </is>
      </c>
      <c r="AZ3519" t="inlineStr">
        <is>
          <t>991003487449702656</t>
        </is>
      </c>
      <c r="BA3519" t="inlineStr">
        <is>
          <t>2262905900002656</t>
        </is>
      </c>
      <c r="BB3519" t="inlineStr">
        <is>
          <t>BOOK</t>
        </is>
      </c>
      <c r="BD3519" t="inlineStr">
        <is>
          <t>9780226571737</t>
        </is>
      </c>
      <c r="BE3519" t="inlineStr">
        <is>
          <t>32285000739499</t>
        </is>
      </c>
      <c r="BF3519" t="inlineStr">
        <is>
          <t>893342606</t>
        </is>
      </c>
    </row>
    <row r="3520">
      <c r="A3520" t="inlineStr">
        <is>
          <t>No</t>
        </is>
      </c>
      <c r="B3520" t="inlineStr">
        <is>
          <t>CURAL</t>
        </is>
      </c>
      <c r="C3520" t="inlineStr">
        <is>
          <t>SHELVES</t>
        </is>
      </c>
      <c r="D3520" t="inlineStr">
        <is>
          <t>PR643.M7 D3 1982</t>
        </is>
      </c>
      <c r="E3520" t="inlineStr">
        <is>
          <t>0                      PR 0643000M  7                  D  3           1982</t>
        </is>
      </c>
      <c r="F3520" t="inlineStr">
        <is>
          <t>Fifteenth-century English drama : the early moral plays and their literary relations / W.A. Davenport.</t>
        </is>
      </c>
      <c r="H3520" t="inlineStr">
        <is>
          <t>No</t>
        </is>
      </c>
      <c r="I3520" t="inlineStr">
        <is>
          <t>1</t>
        </is>
      </c>
      <c r="J3520" t="inlineStr">
        <is>
          <t>No</t>
        </is>
      </c>
      <c r="K3520" t="inlineStr">
        <is>
          <t>No</t>
        </is>
      </c>
      <c r="L3520" t="inlineStr">
        <is>
          <t>0</t>
        </is>
      </c>
      <c r="M3520" t="inlineStr">
        <is>
          <t>Davenport, W. A. (William Anthony), 1935-</t>
        </is>
      </c>
      <c r="N3520" t="inlineStr">
        <is>
          <t>Cambridge, Cambridgeshire : D.S. Brewer ; Totowa, N.J. : Rowman &amp; Littlefield, c1982.</t>
        </is>
      </c>
      <c r="O3520" t="inlineStr">
        <is>
          <t>1982</t>
        </is>
      </c>
      <c r="Q3520" t="inlineStr">
        <is>
          <t>eng</t>
        </is>
      </c>
      <c r="R3520" t="inlineStr">
        <is>
          <t>enk</t>
        </is>
      </c>
      <c r="T3520" t="inlineStr">
        <is>
          <t xml:space="preserve">PR </t>
        </is>
      </c>
      <c r="U3520" t="n">
        <v>2</v>
      </c>
      <c r="V3520" t="n">
        <v>2</v>
      </c>
      <c r="W3520" t="inlineStr">
        <is>
          <t>1998-02-22</t>
        </is>
      </c>
      <c r="X3520" t="inlineStr">
        <is>
          <t>1998-02-22</t>
        </is>
      </c>
      <c r="Y3520" t="inlineStr">
        <is>
          <t>1991-09-10</t>
        </is>
      </c>
      <c r="Z3520" t="inlineStr">
        <is>
          <t>1991-09-10</t>
        </is>
      </c>
      <c r="AA3520" t="n">
        <v>570</v>
      </c>
      <c r="AB3520" t="n">
        <v>419</v>
      </c>
      <c r="AC3520" t="n">
        <v>441</v>
      </c>
      <c r="AD3520" t="n">
        <v>4</v>
      </c>
      <c r="AE3520" t="n">
        <v>4</v>
      </c>
      <c r="AF3520" t="n">
        <v>25</v>
      </c>
      <c r="AG3520" t="n">
        <v>26</v>
      </c>
      <c r="AH3520" t="n">
        <v>10</v>
      </c>
      <c r="AI3520" t="n">
        <v>10</v>
      </c>
      <c r="AJ3520" t="n">
        <v>7</v>
      </c>
      <c r="AK3520" t="n">
        <v>8</v>
      </c>
      <c r="AL3520" t="n">
        <v>13</v>
      </c>
      <c r="AM3520" t="n">
        <v>14</v>
      </c>
      <c r="AN3520" t="n">
        <v>3</v>
      </c>
      <c r="AO3520" t="n">
        <v>3</v>
      </c>
      <c r="AP3520" t="n">
        <v>0</v>
      </c>
      <c r="AQ3520" t="n">
        <v>0</v>
      </c>
      <c r="AR3520" t="inlineStr">
        <is>
          <t>No</t>
        </is>
      </c>
      <c r="AS3520" t="inlineStr">
        <is>
          <t>Yes</t>
        </is>
      </c>
      <c r="AT3520">
        <f>HYPERLINK("http://catalog.hathitrust.org/Record/000145721","HathiTrust Record")</f>
        <v/>
      </c>
      <c r="AU3520">
        <f>HYPERLINK("https://creighton-primo.hosted.exlibrisgroup.com/primo-explore/search?tab=default_tab&amp;search_scope=EVERYTHING&amp;vid=01CRU&amp;lang=en_US&amp;offset=0&amp;query=any,contains,991005219909702656","Catalog Record")</f>
        <v/>
      </c>
      <c r="AV3520">
        <f>HYPERLINK("http://www.worldcat.org/oclc/8220714","WorldCat Record")</f>
        <v/>
      </c>
      <c r="AW3520" t="inlineStr">
        <is>
          <t>4150458:eng</t>
        </is>
      </c>
      <c r="AX3520" t="inlineStr">
        <is>
          <t>8220714</t>
        </is>
      </c>
      <c r="AY3520" t="inlineStr">
        <is>
          <t>991005219909702656</t>
        </is>
      </c>
      <c r="AZ3520" t="inlineStr">
        <is>
          <t>991005219909702656</t>
        </is>
      </c>
      <c r="BA3520" t="inlineStr">
        <is>
          <t>2268505310002656</t>
        </is>
      </c>
      <c r="BB3520" t="inlineStr">
        <is>
          <t>BOOK</t>
        </is>
      </c>
      <c r="BD3520" t="inlineStr">
        <is>
          <t>9780847671205</t>
        </is>
      </c>
      <c r="BE3520" t="inlineStr">
        <is>
          <t>32285000739507</t>
        </is>
      </c>
      <c r="BF3520" t="inlineStr">
        <is>
          <t>893722836</t>
        </is>
      </c>
    </row>
    <row r="3521">
      <c r="A3521" t="inlineStr">
        <is>
          <t>No</t>
        </is>
      </c>
      <c r="B3521" t="inlineStr">
        <is>
          <t>CURAL</t>
        </is>
      </c>
      <c r="C3521" t="inlineStr">
        <is>
          <t>SHELVES</t>
        </is>
      </c>
      <c r="D3521" t="inlineStr">
        <is>
          <t>PR643.M7 K4</t>
        </is>
      </c>
      <c r="E3521" t="inlineStr">
        <is>
          <t>0                      PR 0643000M  7                  K  4</t>
        </is>
      </c>
      <c r="F3521" t="inlineStr">
        <is>
          <t>Flamboyant drama : a study of The castle of perseverance, Mankind, and Wisdom / by Michael R. Kelley ; foreword by John Gardner.</t>
        </is>
      </c>
      <c r="H3521" t="inlineStr">
        <is>
          <t>No</t>
        </is>
      </c>
      <c r="I3521" t="inlineStr">
        <is>
          <t>1</t>
        </is>
      </c>
      <c r="J3521" t="inlineStr">
        <is>
          <t>No</t>
        </is>
      </c>
      <c r="K3521" t="inlineStr">
        <is>
          <t>No</t>
        </is>
      </c>
      <c r="L3521" t="inlineStr">
        <is>
          <t>0</t>
        </is>
      </c>
      <c r="M3521" t="inlineStr">
        <is>
          <t>Kelley, Michael R., 1940-2013.</t>
        </is>
      </c>
      <c r="N3521" t="inlineStr">
        <is>
          <t>Carbondale : Southern Illinois University Press, c1979.</t>
        </is>
      </c>
      <c r="O3521" t="inlineStr">
        <is>
          <t>1979</t>
        </is>
      </c>
      <c r="Q3521" t="inlineStr">
        <is>
          <t>eng</t>
        </is>
      </c>
      <c r="R3521" t="inlineStr">
        <is>
          <t>ilu</t>
        </is>
      </c>
      <c r="T3521" t="inlineStr">
        <is>
          <t xml:space="preserve">PR </t>
        </is>
      </c>
      <c r="U3521" t="n">
        <v>2</v>
      </c>
      <c r="V3521" t="n">
        <v>2</v>
      </c>
      <c r="W3521" t="inlineStr">
        <is>
          <t>1992-11-20</t>
        </is>
      </c>
      <c r="X3521" t="inlineStr">
        <is>
          <t>1992-11-20</t>
        </is>
      </c>
      <c r="Y3521" t="inlineStr">
        <is>
          <t>1991-09-10</t>
        </is>
      </c>
      <c r="Z3521" t="inlineStr">
        <is>
          <t>1991-09-10</t>
        </is>
      </c>
      <c r="AA3521" t="n">
        <v>376</v>
      </c>
      <c r="AB3521" t="n">
        <v>331</v>
      </c>
      <c r="AC3521" t="n">
        <v>334</v>
      </c>
      <c r="AD3521" t="n">
        <v>3</v>
      </c>
      <c r="AE3521" t="n">
        <v>3</v>
      </c>
      <c r="AF3521" t="n">
        <v>21</v>
      </c>
      <c r="AG3521" t="n">
        <v>21</v>
      </c>
      <c r="AH3521" t="n">
        <v>7</v>
      </c>
      <c r="AI3521" t="n">
        <v>7</v>
      </c>
      <c r="AJ3521" t="n">
        <v>6</v>
      </c>
      <c r="AK3521" t="n">
        <v>6</v>
      </c>
      <c r="AL3521" t="n">
        <v>11</v>
      </c>
      <c r="AM3521" t="n">
        <v>11</v>
      </c>
      <c r="AN3521" t="n">
        <v>2</v>
      </c>
      <c r="AO3521" t="n">
        <v>2</v>
      </c>
      <c r="AP3521" t="n">
        <v>0</v>
      </c>
      <c r="AQ3521" t="n">
        <v>0</v>
      </c>
      <c r="AR3521" t="inlineStr">
        <is>
          <t>No</t>
        </is>
      </c>
      <c r="AS3521" t="inlineStr">
        <is>
          <t>Yes</t>
        </is>
      </c>
      <c r="AT3521">
        <f>HYPERLINK("http://catalog.hathitrust.org/Record/000259164","HathiTrust Record")</f>
        <v/>
      </c>
      <c r="AU3521">
        <f>HYPERLINK("https://creighton-primo.hosted.exlibrisgroup.com/primo-explore/search?tab=default_tab&amp;search_scope=EVERYTHING&amp;vid=01CRU&amp;lang=en_US&amp;offset=0&amp;query=any,contains,991004686099702656","Catalog Record")</f>
        <v/>
      </c>
      <c r="AV3521">
        <f>HYPERLINK("http://www.worldcat.org/oclc/4593003","WorldCat Record")</f>
        <v/>
      </c>
      <c r="AW3521" t="inlineStr">
        <is>
          <t>367053356:eng</t>
        </is>
      </c>
      <c r="AX3521" t="inlineStr">
        <is>
          <t>4593003</t>
        </is>
      </c>
      <c r="AY3521" t="inlineStr">
        <is>
          <t>991004686099702656</t>
        </is>
      </c>
      <c r="AZ3521" t="inlineStr">
        <is>
          <t>991004686099702656</t>
        </is>
      </c>
      <c r="BA3521" t="inlineStr">
        <is>
          <t>2271074620002656</t>
        </is>
      </c>
      <c r="BB3521" t="inlineStr">
        <is>
          <t>BOOK</t>
        </is>
      </c>
      <c r="BD3521" t="inlineStr">
        <is>
          <t>9780809309153</t>
        </is>
      </c>
      <c r="BE3521" t="inlineStr">
        <is>
          <t>32285000739523</t>
        </is>
      </c>
      <c r="BF3521" t="inlineStr">
        <is>
          <t>893532689</t>
        </is>
      </c>
    </row>
    <row r="3522">
      <c r="A3522" t="inlineStr">
        <is>
          <t>No</t>
        </is>
      </c>
      <c r="B3522" t="inlineStr">
        <is>
          <t>CURAL</t>
        </is>
      </c>
      <c r="C3522" t="inlineStr">
        <is>
          <t>SHELVES</t>
        </is>
      </c>
      <c r="D3522" t="inlineStr">
        <is>
          <t>PR643.M7 P6 1975</t>
        </is>
      </c>
      <c r="E3522" t="inlineStr">
        <is>
          <t>0                      PR 0643000M  7                  P  6           1975</t>
        </is>
      </c>
      <c r="F3522" t="inlineStr">
        <is>
          <t>The English morality play : origins, history, and influence of a dramatic tradition / Robert Potter.</t>
        </is>
      </c>
      <c r="H3522" t="inlineStr">
        <is>
          <t>No</t>
        </is>
      </c>
      <c r="I3522" t="inlineStr">
        <is>
          <t>1</t>
        </is>
      </c>
      <c r="J3522" t="inlineStr">
        <is>
          <t>No</t>
        </is>
      </c>
      <c r="K3522" t="inlineStr">
        <is>
          <t>No</t>
        </is>
      </c>
      <c r="L3522" t="inlineStr">
        <is>
          <t>0</t>
        </is>
      </c>
      <c r="M3522" t="inlineStr">
        <is>
          <t>Potter, Robert A.</t>
        </is>
      </c>
      <c r="N3522" t="inlineStr">
        <is>
          <t>London ; Boston : Routledge &amp; K. Paul, 1975.</t>
        </is>
      </c>
      <c r="O3522" t="inlineStr">
        <is>
          <t>1975</t>
        </is>
      </c>
      <c r="Q3522" t="inlineStr">
        <is>
          <t>eng</t>
        </is>
      </c>
      <c r="R3522" t="inlineStr">
        <is>
          <t>enk</t>
        </is>
      </c>
      <c r="T3522" t="inlineStr">
        <is>
          <t xml:space="preserve">PR </t>
        </is>
      </c>
      <c r="U3522" t="n">
        <v>3</v>
      </c>
      <c r="V3522" t="n">
        <v>3</v>
      </c>
      <c r="W3522" t="inlineStr">
        <is>
          <t>2001-03-26</t>
        </is>
      </c>
      <c r="X3522" t="inlineStr">
        <is>
          <t>2001-03-26</t>
        </is>
      </c>
      <c r="Y3522" t="inlineStr">
        <is>
          <t>1991-09-11</t>
        </is>
      </c>
      <c r="Z3522" t="inlineStr">
        <is>
          <t>1991-09-11</t>
        </is>
      </c>
      <c r="AA3522" t="n">
        <v>847</v>
      </c>
      <c r="AB3522" t="n">
        <v>640</v>
      </c>
      <c r="AC3522" t="n">
        <v>648</v>
      </c>
      <c r="AD3522" t="n">
        <v>2</v>
      </c>
      <c r="AE3522" t="n">
        <v>2</v>
      </c>
      <c r="AF3522" t="n">
        <v>27</v>
      </c>
      <c r="AG3522" t="n">
        <v>27</v>
      </c>
      <c r="AH3522" t="n">
        <v>11</v>
      </c>
      <c r="AI3522" t="n">
        <v>11</v>
      </c>
      <c r="AJ3522" t="n">
        <v>7</v>
      </c>
      <c r="AK3522" t="n">
        <v>7</v>
      </c>
      <c r="AL3522" t="n">
        <v>17</v>
      </c>
      <c r="AM3522" t="n">
        <v>17</v>
      </c>
      <c r="AN3522" t="n">
        <v>1</v>
      </c>
      <c r="AO3522" t="n">
        <v>1</v>
      </c>
      <c r="AP3522" t="n">
        <v>0</v>
      </c>
      <c r="AQ3522" t="n">
        <v>0</v>
      </c>
      <c r="AR3522" t="inlineStr">
        <is>
          <t>No</t>
        </is>
      </c>
      <c r="AS3522" t="inlineStr">
        <is>
          <t>No</t>
        </is>
      </c>
      <c r="AU3522">
        <f>HYPERLINK("https://creighton-primo.hosted.exlibrisgroup.com/primo-explore/search?tab=default_tab&amp;search_scope=EVERYTHING&amp;vid=01CRU&amp;lang=en_US&amp;offset=0&amp;query=any,contains,991003826489702656","Catalog Record")</f>
        <v/>
      </c>
      <c r="AV3522">
        <f>HYPERLINK("http://www.worldcat.org/oclc/1578010","WorldCat Record")</f>
        <v/>
      </c>
      <c r="AW3522" t="inlineStr">
        <is>
          <t>863051581:eng</t>
        </is>
      </c>
      <c r="AX3522" t="inlineStr">
        <is>
          <t>1578010</t>
        </is>
      </c>
      <c r="AY3522" t="inlineStr">
        <is>
          <t>991003826489702656</t>
        </is>
      </c>
      <c r="AZ3522" t="inlineStr">
        <is>
          <t>991003826489702656</t>
        </is>
      </c>
      <c r="BA3522" t="inlineStr">
        <is>
          <t>2265925250002656</t>
        </is>
      </c>
      <c r="BB3522" t="inlineStr">
        <is>
          <t>BOOK</t>
        </is>
      </c>
      <c r="BD3522" t="inlineStr">
        <is>
          <t>9780710080332</t>
        </is>
      </c>
      <c r="BE3522" t="inlineStr">
        <is>
          <t>32285000739531</t>
        </is>
      </c>
      <c r="BF3522" t="inlineStr">
        <is>
          <t>893623963</t>
        </is>
      </c>
    </row>
    <row r="3523">
      <c r="A3523" t="inlineStr">
        <is>
          <t>No</t>
        </is>
      </c>
      <c r="B3523" t="inlineStr">
        <is>
          <t>CURAL</t>
        </is>
      </c>
      <c r="C3523" t="inlineStr">
        <is>
          <t>SHELVES</t>
        </is>
      </c>
      <c r="D3523" t="inlineStr">
        <is>
          <t>PR643.M8 D55 1992</t>
        </is>
      </c>
      <c r="E3523" t="inlineStr">
        <is>
          <t>0                      PR 0643000M  8                  D  55          1992</t>
        </is>
      </c>
      <c r="F3523" t="inlineStr">
        <is>
          <t>The Middle English mystery play : a study in dramatic speech and form / Hans-Jürgen Diller ; translated by Frances Wessels.</t>
        </is>
      </c>
      <c r="H3523" t="inlineStr">
        <is>
          <t>No</t>
        </is>
      </c>
      <c r="I3523" t="inlineStr">
        <is>
          <t>1</t>
        </is>
      </c>
      <c r="J3523" t="inlineStr">
        <is>
          <t>No</t>
        </is>
      </c>
      <c r="K3523" t="inlineStr">
        <is>
          <t>No</t>
        </is>
      </c>
      <c r="L3523" t="inlineStr">
        <is>
          <t>0</t>
        </is>
      </c>
      <c r="M3523" t="inlineStr">
        <is>
          <t>Diller, Hans-Jürgen.</t>
        </is>
      </c>
      <c r="N3523" t="inlineStr">
        <is>
          <t>Cambridge [England] ; New York : Cambridge University Press, 1992.</t>
        </is>
      </c>
      <c r="O3523" t="inlineStr">
        <is>
          <t>1992</t>
        </is>
      </c>
      <c r="Q3523" t="inlineStr">
        <is>
          <t>eng</t>
        </is>
      </c>
      <c r="R3523" t="inlineStr">
        <is>
          <t>enk</t>
        </is>
      </c>
      <c r="S3523" t="inlineStr">
        <is>
          <t>European studies in English literature</t>
        </is>
      </c>
      <c r="T3523" t="inlineStr">
        <is>
          <t xml:space="preserve">PR </t>
        </is>
      </c>
      <c r="U3523" t="n">
        <v>1</v>
      </c>
      <c r="V3523" t="n">
        <v>1</v>
      </c>
      <c r="W3523" t="inlineStr">
        <is>
          <t>1998-02-22</t>
        </is>
      </c>
      <c r="X3523" t="inlineStr">
        <is>
          <t>1998-02-22</t>
        </is>
      </c>
      <c r="Y3523" t="inlineStr">
        <is>
          <t>1993-02-22</t>
        </is>
      </c>
      <c r="Z3523" t="inlineStr">
        <is>
          <t>1993-02-22</t>
        </is>
      </c>
      <c r="AA3523" t="n">
        <v>369</v>
      </c>
      <c r="AB3523" t="n">
        <v>256</v>
      </c>
      <c r="AC3523" t="n">
        <v>269</v>
      </c>
      <c r="AD3523" t="n">
        <v>3</v>
      </c>
      <c r="AE3523" t="n">
        <v>3</v>
      </c>
      <c r="AF3523" t="n">
        <v>14</v>
      </c>
      <c r="AG3523" t="n">
        <v>14</v>
      </c>
      <c r="AH3523" t="n">
        <v>4</v>
      </c>
      <c r="AI3523" t="n">
        <v>4</v>
      </c>
      <c r="AJ3523" t="n">
        <v>3</v>
      </c>
      <c r="AK3523" t="n">
        <v>3</v>
      </c>
      <c r="AL3523" t="n">
        <v>9</v>
      </c>
      <c r="AM3523" t="n">
        <v>9</v>
      </c>
      <c r="AN3523" t="n">
        <v>2</v>
      </c>
      <c r="AO3523" t="n">
        <v>2</v>
      </c>
      <c r="AP3523" t="n">
        <v>0</v>
      </c>
      <c r="AQ3523" t="n">
        <v>0</v>
      </c>
      <c r="AR3523" t="inlineStr">
        <is>
          <t>No</t>
        </is>
      </c>
      <c r="AS3523" t="inlineStr">
        <is>
          <t>No</t>
        </is>
      </c>
      <c r="AU3523">
        <f>HYPERLINK("https://creighton-primo.hosted.exlibrisgroup.com/primo-explore/search?tab=default_tab&amp;search_scope=EVERYTHING&amp;vid=01CRU&amp;lang=en_US&amp;offset=0&amp;query=any,contains,991001885539702656","Catalog Record")</f>
        <v/>
      </c>
      <c r="AV3523">
        <f>HYPERLINK("http://www.worldcat.org/oclc/23766866","WorldCat Record")</f>
        <v/>
      </c>
      <c r="AW3523" t="inlineStr">
        <is>
          <t>1626667:eng</t>
        </is>
      </c>
      <c r="AX3523" t="inlineStr">
        <is>
          <t>23766866</t>
        </is>
      </c>
      <c r="AY3523" t="inlineStr">
        <is>
          <t>991001885539702656</t>
        </is>
      </c>
      <c r="AZ3523" t="inlineStr">
        <is>
          <t>991001885539702656</t>
        </is>
      </c>
      <c r="BA3523" t="inlineStr">
        <is>
          <t>2269670980002656</t>
        </is>
      </c>
      <c r="BB3523" t="inlineStr">
        <is>
          <t>BOOK</t>
        </is>
      </c>
      <c r="BD3523" t="inlineStr">
        <is>
          <t>9780521320627</t>
        </is>
      </c>
      <c r="BE3523" t="inlineStr">
        <is>
          <t>32285001496198</t>
        </is>
      </c>
      <c r="BF3523" t="inlineStr">
        <is>
          <t>893346864</t>
        </is>
      </c>
    </row>
    <row r="3524">
      <c r="A3524" t="inlineStr">
        <is>
          <t>No</t>
        </is>
      </c>
      <c r="B3524" t="inlineStr">
        <is>
          <t>CURAL</t>
        </is>
      </c>
      <c r="C3524" t="inlineStr">
        <is>
          <t>SHELVES</t>
        </is>
      </c>
      <c r="D3524" t="inlineStr">
        <is>
          <t>PR643.M8 P7</t>
        </is>
      </c>
      <c r="E3524" t="inlineStr">
        <is>
          <t>0                      PR 0643000M  8                  P  7</t>
        </is>
      </c>
      <c r="F3524" t="inlineStr">
        <is>
          <t>Drama and religion in the English mystery plays : a re-evaluation.</t>
        </is>
      </c>
      <c r="H3524" t="inlineStr">
        <is>
          <t>No</t>
        </is>
      </c>
      <c r="I3524" t="inlineStr">
        <is>
          <t>1</t>
        </is>
      </c>
      <c r="J3524" t="inlineStr">
        <is>
          <t>No</t>
        </is>
      </c>
      <c r="K3524" t="inlineStr">
        <is>
          <t>No</t>
        </is>
      </c>
      <c r="L3524" t="inlineStr">
        <is>
          <t>0</t>
        </is>
      </c>
      <c r="M3524" t="inlineStr">
        <is>
          <t>Prosser, Eleanor.</t>
        </is>
      </c>
      <c r="N3524" t="inlineStr">
        <is>
          <t>Stanford, Calif., Stanford University Press, 1961.</t>
        </is>
      </c>
      <c r="O3524" t="inlineStr">
        <is>
          <t>1961</t>
        </is>
      </c>
      <c r="Q3524" t="inlineStr">
        <is>
          <t>eng</t>
        </is>
      </c>
      <c r="R3524" t="inlineStr">
        <is>
          <t>cau</t>
        </is>
      </c>
      <c r="S3524" t="inlineStr">
        <is>
          <t>Stanford studies in language and literature ; 23</t>
        </is>
      </c>
      <c r="T3524" t="inlineStr">
        <is>
          <t xml:space="preserve">PR </t>
        </is>
      </c>
      <c r="U3524" t="n">
        <v>2</v>
      </c>
      <c r="V3524" t="n">
        <v>2</v>
      </c>
      <c r="W3524" t="inlineStr">
        <is>
          <t>2007-10-09</t>
        </is>
      </c>
      <c r="X3524" t="inlineStr">
        <is>
          <t>2007-10-09</t>
        </is>
      </c>
      <c r="Y3524" t="inlineStr">
        <is>
          <t>1997-09-09</t>
        </is>
      </c>
      <c r="Z3524" t="inlineStr">
        <is>
          <t>1997-09-09</t>
        </is>
      </c>
      <c r="AA3524" t="n">
        <v>1038</v>
      </c>
      <c r="AB3524" t="n">
        <v>868</v>
      </c>
      <c r="AC3524" t="n">
        <v>882</v>
      </c>
      <c r="AD3524" t="n">
        <v>6</v>
      </c>
      <c r="AE3524" t="n">
        <v>6</v>
      </c>
      <c r="AF3524" t="n">
        <v>48</v>
      </c>
      <c r="AG3524" t="n">
        <v>48</v>
      </c>
      <c r="AH3524" t="n">
        <v>23</v>
      </c>
      <c r="AI3524" t="n">
        <v>23</v>
      </c>
      <c r="AJ3524" t="n">
        <v>10</v>
      </c>
      <c r="AK3524" t="n">
        <v>10</v>
      </c>
      <c r="AL3524" t="n">
        <v>21</v>
      </c>
      <c r="AM3524" t="n">
        <v>21</v>
      </c>
      <c r="AN3524" t="n">
        <v>5</v>
      </c>
      <c r="AO3524" t="n">
        <v>5</v>
      </c>
      <c r="AP3524" t="n">
        <v>0</v>
      </c>
      <c r="AQ3524" t="n">
        <v>0</v>
      </c>
      <c r="AR3524" t="inlineStr">
        <is>
          <t>No</t>
        </is>
      </c>
      <c r="AS3524" t="inlineStr">
        <is>
          <t>No</t>
        </is>
      </c>
      <c r="AU3524">
        <f>HYPERLINK("https://creighton-primo.hosted.exlibrisgroup.com/primo-explore/search?tab=default_tab&amp;search_scope=EVERYTHING&amp;vid=01CRU&amp;lang=en_US&amp;offset=0&amp;query=any,contains,991002253429702656","Catalog Record")</f>
        <v/>
      </c>
      <c r="AV3524">
        <f>HYPERLINK("http://www.worldcat.org/oclc/300422","WorldCat Record")</f>
        <v/>
      </c>
      <c r="AW3524" t="inlineStr">
        <is>
          <t>144480019:eng</t>
        </is>
      </c>
      <c r="AX3524" t="inlineStr">
        <is>
          <t>300422</t>
        </is>
      </c>
      <c r="AY3524" t="inlineStr">
        <is>
          <t>991002253429702656</t>
        </is>
      </c>
      <c r="AZ3524" t="inlineStr">
        <is>
          <t>991002253429702656</t>
        </is>
      </c>
      <c r="BA3524" t="inlineStr">
        <is>
          <t>2269516380002656</t>
        </is>
      </c>
      <c r="BB3524" t="inlineStr">
        <is>
          <t>BOOK</t>
        </is>
      </c>
      <c r="BE3524" t="inlineStr">
        <is>
          <t>32285003215158</t>
        </is>
      </c>
      <c r="BF3524" t="inlineStr">
        <is>
          <t>893433675</t>
        </is>
      </c>
    </row>
    <row r="3525">
      <c r="A3525" t="inlineStr">
        <is>
          <t>No</t>
        </is>
      </c>
      <c r="B3525" t="inlineStr">
        <is>
          <t>CURAL</t>
        </is>
      </c>
      <c r="C3525" t="inlineStr">
        <is>
          <t>SHELVES</t>
        </is>
      </c>
      <c r="D3525" t="inlineStr">
        <is>
          <t>PR643.M8 W66</t>
        </is>
      </c>
      <c r="E3525" t="inlineStr">
        <is>
          <t>0                      PR 0643000M  8                  W  66</t>
        </is>
      </c>
      <c r="F3525" t="inlineStr">
        <is>
          <t>The English mystery plays.</t>
        </is>
      </c>
      <c r="H3525" t="inlineStr">
        <is>
          <t>No</t>
        </is>
      </c>
      <c r="I3525" t="inlineStr">
        <is>
          <t>1</t>
        </is>
      </c>
      <c r="J3525" t="inlineStr">
        <is>
          <t>No</t>
        </is>
      </c>
      <c r="K3525" t="inlineStr">
        <is>
          <t>No</t>
        </is>
      </c>
      <c r="L3525" t="inlineStr">
        <is>
          <t>0</t>
        </is>
      </c>
      <c r="M3525" t="inlineStr">
        <is>
          <t>Woolf, Rosemary.</t>
        </is>
      </c>
      <c r="N3525" t="inlineStr">
        <is>
          <t>Berkeley : University of California Press, 1972.</t>
        </is>
      </c>
      <c r="O3525" t="inlineStr">
        <is>
          <t>1972</t>
        </is>
      </c>
      <c r="Q3525" t="inlineStr">
        <is>
          <t>eng</t>
        </is>
      </c>
      <c r="R3525" t="inlineStr">
        <is>
          <t>cau</t>
        </is>
      </c>
      <c r="T3525" t="inlineStr">
        <is>
          <t xml:space="preserve">PR </t>
        </is>
      </c>
      <c r="U3525" t="n">
        <v>2</v>
      </c>
      <c r="V3525" t="n">
        <v>2</v>
      </c>
      <c r="W3525" t="inlineStr">
        <is>
          <t>2001-03-26</t>
        </is>
      </c>
      <c r="X3525" t="inlineStr">
        <is>
          <t>2001-03-26</t>
        </is>
      </c>
      <c r="Y3525" t="inlineStr">
        <is>
          <t>1991-09-11</t>
        </is>
      </c>
      <c r="Z3525" t="inlineStr">
        <is>
          <t>1991-09-11</t>
        </is>
      </c>
      <c r="AA3525" t="n">
        <v>820</v>
      </c>
      <c r="AB3525" t="n">
        <v>762</v>
      </c>
      <c r="AC3525" t="n">
        <v>898</v>
      </c>
      <c r="AD3525" t="n">
        <v>5</v>
      </c>
      <c r="AE3525" t="n">
        <v>6</v>
      </c>
      <c r="AF3525" t="n">
        <v>37</v>
      </c>
      <c r="AG3525" t="n">
        <v>42</v>
      </c>
      <c r="AH3525" t="n">
        <v>12</v>
      </c>
      <c r="AI3525" t="n">
        <v>16</v>
      </c>
      <c r="AJ3525" t="n">
        <v>9</v>
      </c>
      <c r="AK3525" t="n">
        <v>9</v>
      </c>
      <c r="AL3525" t="n">
        <v>23</v>
      </c>
      <c r="AM3525" t="n">
        <v>23</v>
      </c>
      <c r="AN3525" t="n">
        <v>4</v>
      </c>
      <c r="AO3525" t="n">
        <v>5</v>
      </c>
      <c r="AP3525" t="n">
        <v>0</v>
      </c>
      <c r="AQ3525" t="n">
        <v>0</v>
      </c>
      <c r="AR3525" t="inlineStr">
        <is>
          <t>No</t>
        </is>
      </c>
      <c r="AS3525" t="inlineStr">
        <is>
          <t>No</t>
        </is>
      </c>
      <c r="AU3525">
        <f>HYPERLINK("https://creighton-primo.hosted.exlibrisgroup.com/primo-explore/search?tab=default_tab&amp;search_scope=EVERYTHING&amp;vid=01CRU&amp;lang=en_US&amp;offset=0&amp;query=any,contains,991002988559702656","Catalog Record")</f>
        <v/>
      </c>
      <c r="AV3525">
        <f>HYPERLINK("http://www.worldcat.org/oclc/558984","WorldCat Record")</f>
        <v/>
      </c>
      <c r="AW3525" t="inlineStr">
        <is>
          <t>502155:eng</t>
        </is>
      </c>
      <c r="AX3525" t="inlineStr">
        <is>
          <t>558984</t>
        </is>
      </c>
      <c r="AY3525" t="inlineStr">
        <is>
          <t>991002988559702656</t>
        </is>
      </c>
      <c r="AZ3525" t="inlineStr">
        <is>
          <t>991002988559702656</t>
        </is>
      </c>
      <c r="BA3525" t="inlineStr">
        <is>
          <t>2258476830002656</t>
        </is>
      </c>
      <c r="BB3525" t="inlineStr">
        <is>
          <t>BOOK</t>
        </is>
      </c>
      <c r="BD3525" t="inlineStr">
        <is>
          <t>9780520022768</t>
        </is>
      </c>
      <c r="BE3525" t="inlineStr">
        <is>
          <t>32285000739556</t>
        </is>
      </c>
      <c r="BF3525" t="inlineStr">
        <is>
          <t>893698546</t>
        </is>
      </c>
    </row>
    <row r="3526">
      <c r="A3526" t="inlineStr">
        <is>
          <t>No</t>
        </is>
      </c>
      <c r="B3526" t="inlineStr">
        <is>
          <t>CURAL</t>
        </is>
      </c>
      <c r="C3526" t="inlineStr">
        <is>
          <t>SHELVES</t>
        </is>
      </c>
      <c r="D3526" t="inlineStr">
        <is>
          <t>PR644.C4 S3</t>
        </is>
      </c>
      <c r="E3526" t="inlineStr">
        <is>
          <t>0                      PR 0644000C  4                  S  3</t>
        </is>
      </c>
      <c r="F3526" t="inlineStr">
        <is>
          <t>Mediaeval drama in Chester.</t>
        </is>
      </c>
      <c r="H3526" t="inlineStr">
        <is>
          <t>No</t>
        </is>
      </c>
      <c r="I3526" t="inlineStr">
        <is>
          <t>1</t>
        </is>
      </c>
      <c r="J3526" t="inlineStr">
        <is>
          <t>No</t>
        </is>
      </c>
      <c r="K3526" t="inlineStr">
        <is>
          <t>No</t>
        </is>
      </c>
      <c r="L3526" t="inlineStr">
        <is>
          <t>0</t>
        </is>
      </c>
      <c r="M3526" t="inlineStr">
        <is>
          <t>Salter, F. M. (Frederick Millet), 1895-1962.</t>
        </is>
      </c>
      <c r="N3526" t="inlineStr">
        <is>
          <t>[Toronto] University of Toronto Press [1955]</t>
        </is>
      </c>
      <c r="O3526" t="inlineStr">
        <is>
          <t>1955</t>
        </is>
      </c>
      <c r="Q3526" t="inlineStr">
        <is>
          <t>eng</t>
        </is>
      </c>
      <c r="R3526" t="inlineStr">
        <is>
          <t>onc</t>
        </is>
      </c>
      <c r="S3526" t="inlineStr">
        <is>
          <t>The Alexander lectures, 1953-54</t>
        </is>
      </c>
      <c r="T3526" t="inlineStr">
        <is>
          <t xml:space="preserve">PR </t>
        </is>
      </c>
      <c r="U3526" t="n">
        <v>1</v>
      </c>
      <c r="V3526" t="n">
        <v>1</v>
      </c>
      <c r="W3526" t="inlineStr">
        <is>
          <t>1998-11-24</t>
        </is>
      </c>
      <c r="X3526" t="inlineStr">
        <is>
          <t>1998-11-24</t>
        </is>
      </c>
      <c r="Y3526" t="inlineStr">
        <is>
          <t>1997-09-09</t>
        </is>
      </c>
      <c r="Z3526" t="inlineStr">
        <is>
          <t>1997-09-09</t>
        </is>
      </c>
      <c r="AA3526" t="n">
        <v>493</v>
      </c>
      <c r="AB3526" t="n">
        <v>389</v>
      </c>
      <c r="AC3526" t="n">
        <v>634</v>
      </c>
      <c r="AD3526" t="n">
        <v>4</v>
      </c>
      <c r="AE3526" t="n">
        <v>4</v>
      </c>
      <c r="AF3526" t="n">
        <v>27</v>
      </c>
      <c r="AG3526" t="n">
        <v>36</v>
      </c>
      <c r="AH3526" t="n">
        <v>8</v>
      </c>
      <c r="AI3526" t="n">
        <v>17</v>
      </c>
      <c r="AJ3526" t="n">
        <v>7</v>
      </c>
      <c r="AK3526" t="n">
        <v>8</v>
      </c>
      <c r="AL3526" t="n">
        <v>16</v>
      </c>
      <c r="AM3526" t="n">
        <v>18</v>
      </c>
      <c r="AN3526" t="n">
        <v>3</v>
      </c>
      <c r="AO3526" t="n">
        <v>3</v>
      </c>
      <c r="AP3526" t="n">
        <v>0</v>
      </c>
      <c r="AQ3526" t="n">
        <v>0</v>
      </c>
      <c r="AR3526" t="inlineStr">
        <is>
          <t>No</t>
        </is>
      </c>
      <c r="AS3526" t="inlineStr">
        <is>
          <t>No</t>
        </is>
      </c>
      <c r="AT3526">
        <f>HYPERLINK("http://catalog.hathitrust.org/Record/006632388","HathiTrust Record")</f>
        <v/>
      </c>
      <c r="AU3526">
        <f>HYPERLINK("https://creighton-primo.hosted.exlibrisgroup.com/primo-explore/search?tab=default_tab&amp;search_scope=EVERYTHING&amp;vid=01CRU&amp;lang=en_US&amp;offset=0&amp;query=any,contains,991004204259702656","Catalog Record")</f>
        <v/>
      </c>
      <c r="AV3526">
        <f>HYPERLINK("http://www.worldcat.org/oclc/2660336","WorldCat Record")</f>
        <v/>
      </c>
      <c r="AW3526" t="inlineStr">
        <is>
          <t>1398444:eng</t>
        </is>
      </c>
      <c r="AX3526" t="inlineStr">
        <is>
          <t>2660336</t>
        </is>
      </c>
      <c r="AY3526" t="inlineStr">
        <is>
          <t>991004204259702656</t>
        </is>
      </c>
      <c r="AZ3526" t="inlineStr">
        <is>
          <t>991004204259702656</t>
        </is>
      </c>
      <c r="BA3526" t="inlineStr">
        <is>
          <t>2261961610002656</t>
        </is>
      </c>
      <c r="BB3526" t="inlineStr">
        <is>
          <t>BOOK</t>
        </is>
      </c>
      <c r="BE3526" t="inlineStr">
        <is>
          <t>32285003215166</t>
        </is>
      </c>
      <c r="BF3526" t="inlineStr">
        <is>
          <t>893788404</t>
        </is>
      </c>
    </row>
    <row r="3527">
      <c r="A3527" t="inlineStr">
        <is>
          <t>No</t>
        </is>
      </c>
      <c r="B3527" t="inlineStr">
        <is>
          <t>CURAL</t>
        </is>
      </c>
      <c r="C3527" t="inlineStr">
        <is>
          <t>SHELVES</t>
        </is>
      </c>
      <c r="D3527" t="inlineStr">
        <is>
          <t>PR644.C4 T7</t>
        </is>
      </c>
      <c r="E3527" t="inlineStr">
        <is>
          <t>0                      PR 0644000C  4                  T  7</t>
        </is>
      </c>
      <c r="F3527" t="inlineStr">
        <is>
          <t>Dramatic design in the Chester cycle / Peter W. Travis.</t>
        </is>
      </c>
      <c r="H3527" t="inlineStr">
        <is>
          <t>No</t>
        </is>
      </c>
      <c r="I3527" t="inlineStr">
        <is>
          <t>1</t>
        </is>
      </c>
      <c r="J3527" t="inlineStr">
        <is>
          <t>No</t>
        </is>
      </c>
      <c r="K3527" t="inlineStr">
        <is>
          <t>No</t>
        </is>
      </c>
      <c r="L3527" t="inlineStr">
        <is>
          <t>0</t>
        </is>
      </c>
      <c r="M3527" t="inlineStr">
        <is>
          <t>Travis, Peter W.</t>
        </is>
      </c>
      <c r="N3527" t="inlineStr">
        <is>
          <t>Chicago : University of Chicago Press, 1982.</t>
        </is>
      </c>
      <c r="O3527" t="inlineStr">
        <is>
          <t>1982</t>
        </is>
      </c>
      <c r="Q3527" t="inlineStr">
        <is>
          <t>eng</t>
        </is>
      </c>
      <c r="R3527" t="inlineStr">
        <is>
          <t>ilu</t>
        </is>
      </c>
      <c r="T3527" t="inlineStr">
        <is>
          <t xml:space="preserve">PR </t>
        </is>
      </c>
      <c r="U3527" t="n">
        <v>2</v>
      </c>
      <c r="V3527" t="n">
        <v>2</v>
      </c>
      <c r="W3527" t="inlineStr">
        <is>
          <t>1998-11-24</t>
        </is>
      </c>
      <c r="X3527" t="inlineStr">
        <is>
          <t>1998-11-24</t>
        </is>
      </c>
      <c r="Y3527" t="inlineStr">
        <is>
          <t>1991-09-10</t>
        </is>
      </c>
      <c r="Z3527" t="inlineStr">
        <is>
          <t>1991-09-10</t>
        </is>
      </c>
      <c r="AA3527" t="n">
        <v>644</v>
      </c>
      <c r="AB3527" t="n">
        <v>521</v>
      </c>
      <c r="AC3527" t="n">
        <v>521</v>
      </c>
      <c r="AD3527" t="n">
        <v>4</v>
      </c>
      <c r="AE3527" t="n">
        <v>4</v>
      </c>
      <c r="AF3527" t="n">
        <v>28</v>
      </c>
      <c r="AG3527" t="n">
        <v>28</v>
      </c>
      <c r="AH3527" t="n">
        <v>14</v>
      </c>
      <c r="AI3527" t="n">
        <v>14</v>
      </c>
      <c r="AJ3527" t="n">
        <v>5</v>
      </c>
      <c r="AK3527" t="n">
        <v>5</v>
      </c>
      <c r="AL3527" t="n">
        <v>13</v>
      </c>
      <c r="AM3527" t="n">
        <v>13</v>
      </c>
      <c r="AN3527" t="n">
        <v>3</v>
      </c>
      <c r="AO3527" t="n">
        <v>3</v>
      </c>
      <c r="AP3527" t="n">
        <v>0</v>
      </c>
      <c r="AQ3527" t="n">
        <v>0</v>
      </c>
      <c r="AR3527" t="inlineStr">
        <is>
          <t>No</t>
        </is>
      </c>
      <c r="AS3527" t="inlineStr">
        <is>
          <t>No</t>
        </is>
      </c>
      <c r="AU3527">
        <f>HYPERLINK("https://creighton-primo.hosted.exlibrisgroup.com/primo-explore/search?tab=default_tab&amp;search_scope=EVERYTHING&amp;vid=01CRU&amp;lang=en_US&amp;offset=0&amp;query=any,contains,991005155939702656","Catalog Record")</f>
        <v/>
      </c>
      <c r="AV3527">
        <f>HYPERLINK("http://www.worldcat.org/oclc/7739640","WorldCat Record")</f>
        <v/>
      </c>
      <c r="AW3527" t="inlineStr">
        <is>
          <t>29779513:eng</t>
        </is>
      </c>
      <c r="AX3527" t="inlineStr">
        <is>
          <t>7739640</t>
        </is>
      </c>
      <c r="AY3527" t="inlineStr">
        <is>
          <t>991005155939702656</t>
        </is>
      </c>
      <c r="AZ3527" t="inlineStr">
        <is>
          <t>991005155939702656</t>
        </is>
      </c>
      <c r="BA3527" t="inlineStr">
        <is>
          <t>2258534410002656</t>
        </is>
      </c>
      <c r="BB3527" t="inlineStr">
        <is>
          <t>BOOK</t>
        </is>
      </c>
      <c r="BD3527" t="inlineStr">
        <is>
          <t>9780226811642</t>
        </is>
      </c>
      <c r="BE3527" t="inlineStr">
        <is>
          <t>32285000739598</t>
        </is>
      </c>
      <c r="BF3527" t="inlineStr">
        <is>
          <t>893795702</t>
        </is>
      </c>
    </row>
    <row r="3528">
      <c r="A3528" t="inlineStr">
        <is>
          <t>No</t>
        </is>
      </c>
      <c r="B3528" t="inlineStr">
        <is>
          <t>CURAL</t>
        </is>
      </c>
      <c r="C3528" t="inlineStr">
        <is>
          <t>SHELVES</t>
        </is>
      </c>
      <c r="D3528" t="inlineStr">
        <is>
          <t>PR644.C7 S5 1973</t>
        </is>
      </c>
      <c r="E3528" t="inlineStr">
        <is>
          <t>0                      PR 0644000C  7                  S  5           1973</t>
        </is>
      </c>
      <c r="F3528" t="inlineStr">
        <is>
          <t>A dissertation on the pageants or dramatic mysteries anciently performed at Coventry / with a new foreword by A. C. Cawley.</t>
        </is>
      </c>
      <c r="H3528" t="inlineStr">
        <is>
          <t>No</t>
        </is>
      </c>
      <c r="I3528" t="inlineStr">
        <is>
          <t>1</t>
        </is>
      </c>
      <c r="J3528" t="inlineStr">
        <is>
          <t>No</t>
        </is>
      </c>
      <c r="K3528" t="inlineStr">
        <is>
          <t>No</t>
        </is>
      </c>
      <c r="L3528" t="inlineStr">
        <is>
          <t>0</t>
        </is>
      </c>
      <c r="M3528" t="inlineStr">
        <is>
          <t>Sharp, Thomas, 1770-1841.</t>
        </is>
      </c>
      <c r="N3528" t="inlineStr">
        <is>
          <t>Totowa, N.J. : Rowman and Littlefield, [1973]</t>
        </is>
      </c>
      <c r="O3528" t="inlineStr">
        <is>
          <t>1973</t>
        </is>
      </c>
      <c r="Q3528" t="inlineStr">
        <is>
          <t>eng</t>
        </is>
      </c>
      <c r="R3528" t="inlineStr">
        <is>
          <t>nju</t>
        </is>
      </c>
      <c r="T3528" t="inlineStr">
        <is>
          <t xml:space="preserve">PR </t>
        </is>
      </c>
      <c r="U3528" t="n">
        <v>2</v>
      </c>
      <c r="V3528" t="n">
        <v>2</v>
      </c>
      <c r="W3528" t="inlineStr">
        <is>
          <t>1998-02-24</t>
        </is>
      </c>
      <c r="X3528" t="inlineStr">
        <is>
          <t>1998-02-24</t>
        </is>
      </c>
      <c r="Y3528" t="inlineStr">
        <is>
          <t>1992-10-13</t>
        </is>
      </c>
      <c r="Z3528" t="inlineStr">
        <is>
          <t>1992-10-13</t>
        </is>
      </c>
      <c r="AA3528" t="n">
        <v>216</v>
      </c>
      <c r="AB3528" t="n">
        <v>201</v>
      </c>
      <c r="AC3528" t="n">
        <v>279</v>
      </c>
      <c r="AD3528" t="n">
        <v>2</v>
      </c>
      <c r="AE3528" t="n">
        <v>3</v>
      </c>
      <c r="AF3528" t="n">
        <v>10</v>
      </c>
      <c r="AG3528" t="n">
        <v>15</v>
      </c>
      <c r="AH3528" t="n">
        <v>4</v>
      </c>
      <c r="AI3528" t="n">
        <v>6</v>
      </c>
      <c r="AJ3528" t="n">
        <v>2</v>
      </c>
      <c r="AK3528" t="n">
        <v>2</v>
      </c>
      <c r="AL3528" t="n">
        <v>4</v>
      </c>
      <c r="AM3528" t="n">
        <v>7</v>
      </c>
      <c r="AN3528" t="n">
        <v>1</v>
      </c>
      <c r="AO3528" t="n">
        <v>2</v>
      </c>
      <c r="AP3528" t="n">
        <v>1</v>
      </c>
      <c r="AQ3528" t="n">
        <v>1</v>
      </c>
      <c r="AR3528" t="inlineStr">
        <is>
          <t>No</t>
        </is>
      </c>
      <c r="AS3528" t="inlineStr">
        <is>
          <t>Yes</t>
        </is>
      </c>
      <c r="AT3528">
        <f>HYPERLINK("http://catalog.hathitrust.org/Record/004436904","HathiTrust Record")</f>
        <v/>
      </c>
      <c r="AU3528">
        <f>HYPERLINK("https://creighton-primo.hosted.exlibrisgroup.com/primo-explore/search?tab=default_tab&amp;search_scope=EVERYTHING&amp;vid=01CRU&amp;lang=en_US&amp;offset=0&amp;query=any,contains,991003045359702656","Catalog Record")</f>
        <v/>
      </c>
      <c r="AV3528">
        <f>HYPERLINK("http://www.worldcat.org/oclc/606070","WorldCat Record")</f>
        <v/>
      </c>
      <c r="AW3528" t="inlineStr">
        <is>
          <t>4920210565:eng</t>
        </is>
      </c>
      <c r="AX3528" t="inlineStr">
        <is>
          <t>606070</t>
        </is>
      </c>
      <c r="AY3528" t="inlineStr">
        <is>
          <t>991003045359702656</t>
        </is>
      </c>
      <c r="AZ3528" t="inlineStr">
        <is>
          <t>991003045359702656</t>
        </is>
      </c>
      <c r="BA3528" t="inlineStr">
        <is>
          <t>2263960970002656</t>
        </is>
      </c>
      <c r="BB3528" t="inlineStr">
        <is>
          <t>BOOK</t>
        </is>
      </c>
      <c r="BD3528" t="inlineStr">
        <is>
          <t>9780874711455</t>
        </is>
      </c>
      <c r="BE3528" t="inlineStr">
        <is>
          <t>32285001346401</t>
        </is>
      </c>
      <c r="BF3528" t="inlineStr">
        <is>
          <t>893686134</t>
        </is>
      </c>
    </row>
    <row r="3529">
      <c r="A3529" t="inlineStr">
        <is>
          <t>No</t>
        </is>
      </c>
      <c r="B3529" t="inlineStr">
        <is>
          <t>CURAL</t>
        </is>
      </c>
      <c r="C3529" t="inlineStr">
        <is>
          <t>SHELVES</t>
        </is>
      </c>
      <c r="D3529" t="inlineStr">
        <is>
          <t>PR644.W3 G3</t>
        </is>
      </c>
      <c r="E3529" t="inlineStr">
        <is>
          <t>0                      PR 0644000W  3                  G  3</t>
        </is>
      </c>
      <c r="F3529" t="inlineStr">
        <is>
          <t>The construction of the Wakefield cycle.</t>
        </is>
      </c>
      <c r="H3529" t="inlineStr">
        <is>
          <t>No</t>
        </is>
      </c>
      <c r="I3529" t="inlineStr">
        <is>
          <t>1</t>
        </is>
      </c>
      <c r="J3529" t="inlineStr">
        <is>
          <t>No</t>
        </is>
      </c>
      <c r="K3529" t="inlineStr">
        <is>
          <t>No</t>
        </is>
      </c>
      <c r="L3529" t="inlineStr">
        <is>
          <t>0</t>
        </is>
      </c>
      <c r="M3529" t="inlineStr">
        <is>
          <t>Gardner, John, 1933-1982.</t>
        </is>
      </c>
      <c r="N3529" t="inlineStr">
        <is>
          <t>Carbondale : Southern Illinois University Press, [1974]</t>
        </is>
      </c>
      <c r="O3529" t="inlineStr">
        <is>
          <t>1974</t>
        </is>
      </c>
      <c r="Q3529" t="inlineStr">
        <is>
          <t>eng</t>
        </is>
      </c>
      <c r="R3529" t="inlineStr">
        <is>
          <t>ilu</t>
        </is>
      </c>
      <c r="S3529" t="inlineStr">
        <is>
          <t>Literary structures</t>
        </is>
      </c>
      <c r="T3529" t="inlineStr">
        <is>
          <t xml:space="preserve">PR </t>
        </is>
      </c>
      <c r="U3529" t="n">
        <v>3</v>
      </c>
      <c r="V3529" t="n">
        <v>3</v>
      </c>
      <c r="W3529" t="inlineStr">
        <is>
          <t>1998-02-23</t>
        </is>
      </c>
      <c r="X3529" t="inlineStr">
        <is>
          <t>1998-02-23</t>
        </is>
      </c>
      <c r="Y3529" t="inlineStr">
        <is>
          <t>1991-09-12</t>
        </is>
      </c>
      <c r="Z3529" t="inlineStr">
        <is>
          <t>1991-09-12</t>
        </is>
      </c>
      <c r="AA3529" t="n">
        <v>649</v>
      </c>
      <c r="AB3529" t="n">
        <v>543</v>
      </c>
      <c r="AC3529" t="n">
        <v>546</v>
      </c>
      <c r="AD3529" t="n">
        <v>3</v>
      </c>
      <c r="AE3529" t="n">
        <v>3</v>
      </c>
      <c r="AF3529" t="n">
        <v>26</v>
      </c>
      <c r="AG3529" t="n">
        <v>26</v>
      </c>
      <c r="AH3529" t="n">
        <v>8</v>
      </c>
      <c r="AI3529" t="n">
        <v>8</v>
      </c>
      <c r="AJ3529" t="n">
        <v>6</v>
      </c>
      <c r="AK3529" t="n">
        <v>6</v>
      </c>
      <c r="AL3529" t="n">
        <v>15</v>
      </c>
      <c r="AM3529" t="n">
        <v>15</v>
      </c>
      <c r="AN3529" t="n">
        <v>2</v>
      </c>
      <c r="AO3529" t="n">
        <v>2</v>
      </c>
      <c r="AP3529" t="n">
        <v>0</v>
      </c>
      <c r="AQ3529" t="n">
        <v>0</v>
      </c>
      <c r="AR3529" t="inlineStr">
        <is>
          <t>No</t>
        </is>
      </c>
      <c r="AS3529" t="inlineStr">
        <is>
          <t>Yes</t>
        </is>
      </c>
      <c r="AT3529">
        <f>HYPERLINK("http://catalog.hathitrust.org/Record/001909529","HathiTrust Record")</f>
        <v/>
      </c>
      <c r="AU3529">
        <f>HYPERLINK("https://creighton-primo.hosted.exlibrisgroup.com/primo-explore/search?tab=default_tab&amp;search_scope=EVERYTHING&amp;vid=01CRU&amp;lang=en_US&amp;offset=0&amp;query=any,contains,991003335549702656","Catalog Record")</f>
        <v/>
      </c>
      <c r="AV3529">
        <f>HYPERLINK("http://www.worldcat.org/oclc/866498","WorldCat Record")</f>
        <v/>
      </c>
      <c r="AW3529" t="inlineStr">
        <is>
          <t>466915:eng</t>
        </is>
      </c>
      <c r="AX3529" t="inlineStr">
        <is>
          <t>866498</t>
        </is>
      </c>
      <c r="AY3529" t="inlineStr">
        <is>
          <t>991003335549702656</t>
        </is>
      </c>
      <c r="AZ3529" t="inlineStr">
        <is>
          <t>991003335549702656</t>
        </is>
      </c>
      <c r="BA3529" t="inlineStr">
        <is>
          <t>2262785330002656</t>
        </is>
      </c>
      <c r="BB3529" t="inlineStr">
        <is>
          <t>BOOK</t>
        </is>
      </c>
      <c r="BD3529" t="inlineStr">
        <is>
          <t>9780809306657</t>
        </is>
      </c>
      <c r="BE3529" t="inlineStr">
        <is>
          <t>32285000739606</t>
        </is>
      </c>
      <c r="BF3529" t="inlineStr">
        <is>
          <t>893610929</t>
        </is>
      </c>
    </row>
    <row r="3530">
      <c r="A3530" t="inlineStr">
        <is>
          <t>No</t>
        </is>
      </c>
      <c r="B3530" t="inlineStr">
        <is>
          <t>CURAL</t>
        </is>
      </c>
      <c r="C3530" t="inlineStr">
        <is>
          <t>SHELVES</t>
        </is>
      </c>
      <c r="D3530" t="inlineStr">
        <is>
          <t>PR644.W3 H4</t>
        </is>
      </c>
      <c r="E3530" t="inlineStr">
        <is>
          <t>0                      PR 0644000W  3                  H  4</t>
        </is>
      </c>
      <c r="F3530" t="inlineStr">
        <is>
          <t>Symbolic action in the plays of the Wakefield Master / Jeffrey Helterman.</t>
        </is>
      </c>
      <c r="H3530" t="inlineStr">
        <is>
          <t>No</t>
        </is>
      </c>
      <c r="I3530" t="inlineStr">
        <is>
          <t>1</t>
        </is>
      </c>
      <c r="J3530" t="inlineStr">
        <is>
          <t>No</t>
        </is>
      </c>
      <c r="K3530" t="inlineStr">
        <is>
          <t>No</t>
        </is>
      </c>
      <c r="L3530" t="inlineStr">
        <is>
          <t>0</t>
        </is>
      </c>
      <c r="M3530" t="inlineStr">
        <is>
          <t>Helterman, Jeffrey.</t>
        </is>
      </c>
      <c r="N3530" t="inlineStr">
        <is>
          <t>Athens : University of Georgia Press, c1981.</t>
        </is>
      </c>
      <c r="O3530" t="inlineStr">
        <is>
          <t>1981</t>
        </is>
      </c>
      <c r="Q3530" t="inlineStr">
        <is>
          <t>eng</t>
        </is>
      </c>
      <c r="R3530" t="inlineStr">
        <is>
          <t>ohu</t>
        </is>
      </c>
      <c r="T3530" t="inlineStr">
        <is>
          <t xml:space="preserve">PR </t>
        </is>
      </c>
      <c r="U3530" t="n">
        <v>1</v>
      </c>
      <c r="V3530" t="n">
        <v>1</v>
      </c>
      <c r="W3530" t="inlineStr">
        <is>
          <t>1998-02-23</t>
        </is>
      </c>
      <c r="X3530" t="inlineStr">
        <is>
          <t>1998-02-23</t>
        </is>
      </c>
      <c r="Y3530" t="inlineStr">
        <is>
          <t>1991-09-10</t>
        </is>
      </c>
      <c r="Z3530" t="inlineStr">
        <is>
          <t>1991-09-10</t>
        </is>
      </c>
      <c r="AA3530" t="n">
        <v>528</v>
      </c>
      <c r="AB3530" t="n">
        <v>431</v>
      </c>
      <c r="AC3530" t="n">
        <v>436</v>
      </c>
      <c r="AD3530" t="n">
        <v>3</v>
      </c>
      <c r="AE3530" t="n">
        <v>3</v>
      </c>
      <c r="AF3530" t="n">
        <v>22</v>
      </c>
      <c r="AG3530" t="n">
        <v>22</v>
      </c>
      <c r="AH3530" t="n">
        <v>6</v>
      </c>
      <c r="AI3530" t="n">
        <v>6</v>
      </c>
      <c r="AJ3530" t="n">
        <v>6</v>
      </c>
      <c r="AK3530" t="n">
        <v>6</v>
      </c>
      <c r="AL3530" t="n">
        <v>13</v>
      </c>
      <c r="AM3530" t="n">
        <v>13</v>
      </c>
      <c r="AN3530" t="n">
        <v>2</v>
      </c>
      <c r="AO3530" t="n">
        <v>2</v>
      </c>
      <c r="AP3530" t="n">
        <v>0</v>
      </c>
      <c r="AQ3530" t="n">
        <v>0</v>
      </c>
      <c r="AR3530" t="inlineStr">
        <is>
          <t>No</t>
        </is>
      </c>
      <c r="AS3530" t="inlineStr">
        <is>
          <t>No</t>
        </is>
      </c>
      <c r="AU3530">
        <f>HYPERLINK("https://creighton-primo.hosted.exlibrisgroup.com/primo-explore/search?tab=default_tab&amp;search_scope=EVERYTHING&amp;vid=01CRU&amp;lang=en_US&amp;offset=0&amp;query=any,contains,991004997919702656","Catalog Record")</f>
        <v/>
      </c>
      <c r="AV3530">
        <f>HYPERLINK("http://www.worldcat.org/oclc/6532202","WorldCat Record")</f>
        <v/>
      </c>
      <c r="AW3530" t="inlineStr">
        <is>
          <t>3147436:eng</t>
        </is>
      </c>
      <c r="AX3530" t="inlineStr">
        <is>
          <t>6532202</t>
        </is>
      </c>
      <c r="AY3530" t="inlineStr">
        <is>
          <t>991004997919702656</t>
        </is>
      </c>
      <c r="AZ3530" t="inlineStr">
        <is>
          <t>991004997919702656</t>
        </is>
      </c>
      <c r="BA3530" t="inlineStr">
        <is>
          <t>2262056640002656</t>
        </is>
      </c>
      <c r="BB3530" t="inlineStr">
        <is>
          <t>BOOK</t>
        </is>
      </c>
      <c r="BD3530" t="inlineStr">
        <is>
          <t>9780820305349</t>
        </is>
      </c>
      <c r="BE3530" t="inlineStr">
        <is>
          <t>32285000739614</t>
        </is>
      </c>
      <c r="BF3530" t="inlineStr">
        <is>
          <t>893694597</t>
        </is>
      </c>
    </row>
    <row r="3531">
      <c r="A3531" t="inlineStr">
        <is>
          <t>No</t>
        </is>
      </c>
      <c r="B3531" t="inlineStr">
        <is>
          <t>CURAL</t>
        </is>
      </c>
      <c r="C3531" t="inlineStr">
        <is>
          <t>SHELVES</t>
        </is>
      </c>
      <c r="D3531" t="inlineStr">
        <is>
          <t>PR644.Y6 B43 2001</t>
        </is>
      </c>
      <c r="E3531" t="inlineStr">
        <is>
          <t>0                      PR 0644000Y  6                  B  43          2001</t>
        </is>
      </c>
      <c r="F3531" t="inlineStr">
        <is>
          <t>Signifying God : social relation and symbolic act in the York Corpus Christi plays / Sarah Beckwith.</t>
        </is>
      </c>
      <c r="H3531" t="inlineStr">
        <is>
          <t>No</t>
        </is>
      </c>
      <c r="I3531" t="inlineStr">
        <is>
          <t>1</t>
        </is>
      </c>
      <c r="J3531" t="inlineStr">
        <is>
          <t>No</t>
        </is>
      </c>
      <c r="K3531" t="inlineStr">
        <is>
          <t>No</t>
        </is>
      </c>
      <c r="L3531" t="inlineStr">
        <is>
          <t>0</t>
        </is>
      </c>
      <c r="M3531" t="inlineStr">
        <is>
          <t>Beckwith, Sarah, 1959-</t>
        </is>
      </c>
      <c r="N3531" t="inlineStr">
        <is>
          <t>Chicago : University of Chicago Press, 2001.</t>
        </is>
      </c>
      <c r="O3531" t="inlineStr">
        <is>
          <t>2001</t>
        </is>
      </c>
      <c r="Q3531" t="inlineStr">
        <is>
          <t>eng</t>
        </is>
      </c>
      <c r="R3531" t="inlineStr">
        <is>
          <t>ilu</t>
        </is>
      </c>
      <c r="T3531" t="inlineStr">
        <is>
          <t xml:space="preserve">PR </t>
        </is>
      </c>
      <c r="U3531" t="n">
        <v>2</v>
      </c>
      <c r="V3531" t="n">
        <v>2</v>
      </c>
      <c r="W3531" t="inlineStr">
        <is>
          <t>2005-10-11</t>
        </is>
      </c>
      <c r="X3531" t="inlineStr">
        <is>
          <t>2005-10-11</t>
        </is>
      </c>
      <c r="Y3531" t="inlineStr">
        <is>
          <t>2003-03-18</t>
        </is>
      </c>
      <c r="Z3531" t="inlineStr">
        <is>
          <t>2003-03-18</t>
        </is>
      </c>
      <c r="AA3531" t="n">
        <v>404</v>
      </c>
      <c r="AB3531" t="n">
        <v>315</v>
      </c>
      <c r="AC3531" t="n">
        <v>327</v>
      </c>
      <c r="AD3531" t="n">
        <v>3</v>
      </c>
      <c r="AE3531" t="n">
        <v>3</v>
      </c>
      <c r="AF3531" t="n">
        <v>19</v>
      </c>
      <c r="AG3531" t="n">
        <v>20</v>
      </c>
      <c r="AH3531" t="n">
        <v>7</v>
      </c>
      <c r="AI3531" t="n">
        <v>7</v>
      </c>
      <c r="AJ3531" t="n">
        <v>4</v>
      </c>
      <c r="AK3531" t="n">
        <v>4</v>
      </c>
      <c r="AL3531" t="n">
        <v>11</v>
      </c>
      <c r="AM3531" t="n">
        <v>12</v>
      </c>
      <c r="AN3531" t="n">
        <v>2</v>
      </c>
      <c r="AO3531" t="n">
        <v>2</v>
      </c>
      <c r="AP3531" t="n">
        <v>0</v>
      </c>
      <c r="AQ3531" t="n">
        <v>0</v>
      </c>
      <c r="AR3531" t="inlineStr">
        <is>
          <t>No</t>
        </is>
      </c>
      <c r="AS3531" t="inlineStr">
        <is>
          <t>No</t>
        </is>
      </c>
      <c r="AU3531">
        <f>HYPERLINK("https://creighton-primo.hosted.exlibrisgroup.com/primo-explore/search?tab=default_tab&amp;search_scope=EVERYTHING&amp;vid=01CRU&amp;lang=en_US&amp;offset=0&amp;query=any,contains,991003990319702656","Catalog Record")</f>
        <v/>
      </c>
      <c r="AV3531">
        <f>HYPERLINK("http://www.worldcat.org/oclc/48066826","WorldCat Record")</f>
        <v/>
      </c>
      <c r="AW3531" t="inlineStr">
        <is>
          <t>784454820:eng</t>
        </is>
      </c>
      <c r="AX3531" t="inlineStr">
        <is>
          <t>48066826</t>
        </is>
      </c>
      <c r="AY3531" t="inlineStr">
        <is>
          <t>991003990319702656</t>
        </is>
      </c>
      <c r="AZ3531" t="inlineStr">
        <is>
          <t>991003990319702656</t>
        </is>
      </c>
      <c r="BA3531" t="inlineStr">
        <is>
          <t>2267418180002656</t>
        </is>
      </c>
      <c r="BB3531" t="inlineStr">
        <is>
          <t>BOOK</t>
        </is>
      </c>
      <c r="BD3531" t="inlineStr">
        <is>
          <t>9780226041346</t>
        </is>
      </c>
      <c r="BE3531" t="inlineStr">
        <is>
          <t>32285004684840</t>
        </is>
      </c>
      <c r="BF3531" t="inlineStr">
        <is>
          <t>893605500</t>
        </is>
      </c>
    </row>
    <row r="3532">
      <c r="A3532" t="inlineStr">
        <is>
          <t>No</t>
        </is>
      </c>
      <c r="B3532" t="inlineStr">
        <is>
          <t>CURAL</t>
        </is>
      </c>
      <c r="C3532" t="inlineStr">
        <is>
          <t>SHELVES</t>
        </is>
      </c>
      <c r="D3532" t="inlineStr">
        <is>
          <t>PR646 .B45 1962</t>
        </is>
      </c>
      <c r="E3532" t="inlineStr">
        <is>
          <t>0                      PR 0646000B  45          1962</t>
        </is>
      </c>
      <c r="F3532" t="inlineStr">
        <is>
          <t>From mankind to Marlowe; growth of structure in the popular drama of Tudor England.</t>
        </is>
      </c>
      <c r="H3532" t="inlineStr">
        <is>
          <t>No</t>
        </is>
      </c>
      <c r="I3532" t="inlineStr">
        <is>
          <t>1</t>
        </is>
      </c>
      <c r="J3532" t="inlineStr">
        <is>
          <t>No</t>
        </is>
      </c>
      <c r="K3532" t="inlineStr">
        <is>
          <t>No</t>
        </is>
      </c>
      <c r="L3532" t="inlineStr">
        <is>
          <t>0</t>
        </is>
      </c>
      <c r="M3532" t="inlineStr">
        <is>
          <t>Bevington, David M.</t>
        </is>
      </c>
      <c r="N3532" t="inlineStr">
        <is>
          <t>Cambridge, Harvard University Press, 1962.</t>
        </is>
      </c>
      <c r="O3532" t="inlineStr">
        <is>
          <t>1962</t>
        </is>
      </c>
      <c r="Q3532" t="inlineStr">
        <is>
          <t>eng</t>
        </is>
      </c>
      <c r="R3532" t="inlineStr">
        <is>
          <t>enk</t>
        </is>
      </c>
      <c r="T3532" t="inlineStr">
        <is>
          <t xml:space="preserve">PR </t>
        </is>
      </c>
      <c r="U3532" t="n">
        <v>2</v>
      </c>
      <c r="V3532" t="n">
        <v>2</v>
      </c>
      <c r="W3532" t="inlineStr">
        <is>
          <t>1998-04-26</t>
        </is>
      </c>
      <c r="X3532" t="inlineStr">
        <is>
          <t>1998-04-26</t>
        </is>
      </c>
      <c r="Y3532" t="inlineStr">
        <is>
          <t>1997-09-09</t>
        </is>
      </c>
      <c r="Z3532" t="inlineStr">
        <is>
          <t>1997-09-09</t>
        </is>
      </c>
      <c r="AA3532" t="n">
        <v>1072</v>
      </c>
      <c r="AB3532" t="n">
        <v>901</v>
      </c>
      <c r="AC3532" t="n">
        <v>941</v>
      </c>
      <c r="AD3532" t="n">
        <v>10</v>
      </c>
      <c r="AE3532" t="n">
        <v>10</v>
      </c>
      <c r="AF3532" t="n">
        <v>43</v>
      </c>
      <c r="AG3532" t="n">
        <v>46</v>
      </c>
      <c r="AH3532" t="n">
        <v>14</v>
      </c>
      <c r="AI3532" t="n">
        <v>16</v>
      </c>
      <c r="AJ3532" t="n">
        <v>9</v>
      </c>
      <c r="AK3532" t="n">
        <v>11</v>
      </c>
      <c r="AL3532" t="n">
        <v>20</v>
      </c>
      <c r="AM3532" t="n">
        <v>22</v>
      </c>
      <c r="AN3532" t="n">
        <v>9</v>
      </c>
      <c r="AO3532" t="n">
        <v>9</v>
      </c>
      <c r="AP3532" t="n">
        <v>0</v>
      </c>
      <c r="AQ3532" t="n">
        <v>0</v>
      </c>
      <c r="AR3532" t="inlineStr">
        <is>
          <t>No</t>
        </is>
      </c>
      <c r="AS3532" t="inlineStr">
        <is>
          <t>No</t>
        </is>
      </c>
      <c r="AU3532">
        <f>HYPERLINK("https://creighton-primo.hosted.exlibrisgroup.com/primo-explore/search?tab=default_tab&amp;search_scope=EVERYTHING&amp;vid=01CRU&amp;lang=en_US&amp;offset=0&amp;query=any,contains,991002266329702656","Catalog Record")</f>
        <v/>
      </c>
      <c r="AV3532">
        <f>HYPERLINK("http://www.worldcat.org/oclc/307097","WorldCat Record")</f>
        <v/>
      </c>
      <c r="AW3532" t="inlineStr">
        <is>
          <t>1360294:eng</t>
        </is>
      </c>
      <c r="AX3532" t="inlineStr">
        <is>
          <t>307097</t>
        </is>
      </c>
      <c r="AY3532" t="inlineStr">
        <is>
          <t>991002266329702656</t>
        </is>
      </c>
      <c r="AZ3532" t="inlineStr">
        <is>
          <t>991002266329702656</t>
        </is>
      </c>
      <c r="BA3532" t="inlineStr">
        <is>
          <t>2265654650002656</t>
        </is>
      </c>
      <c r="BB3532" t="inlineStr">
        <is>
          <t>BOOK</t>
        </is>
      </c>
      <c r="BE3532" t="inlineStr">
        <is>
          <t>32285003215190</t>
        </is>
      </c>
      <c r="BF3532" t="inlineStr">
        <is>
          <t>893866997</t>
        </is>
      </c>
    </row>
    <row r="3533">
      <c r="A3533" t="inlineStr">
        <is>
          <t>No</t>
        </is>
      </c>
      <c r="B3533" t="inlineStr">
        <is>
          <t>CURAL</t>
        </is>
      </c>
      <c r="C3533" t="inlineStr">
        <is>
          <t>SHELVES</t>
        </is>
      </c>
      <c r="D3533" t="inlineStr">
        <is>
          <t>PR646 .B6 1977</t>
        </is>
      </c>
      <c r="E3533" t="inlineStr">
        <is>
          <t>0                      PR 0646000B  6           1977</t>
        </is>
      </c>
      <c r="F3533" t="inlineStr">
        <is>
          <t>An introduction to Tudor drama / by Frederick S. Boas.</t>
        </is>
      </c>
      <c r="H3533" t="inlineStr">
        <is>
          <t>No</t>
        </is>
      </c>
      <c r="I3533" t="inlineStr">
        <is>
          <t>1</t>
        </is>
      </c>
      <c r="J3533" t="inlineStr">
        <is>
          <t>No</t>
        </is>
      </c>
      <c r="K3533" t="inlineStr">
        <is>
          <t>No</t>
        </is>
      </c>
      <c r="L3533" t="inlineStr">
        <is>
          <t>0</t>
        </is>
      </c>
      <c r="M3533" t="inlineStr">
        <is>
          <t>Boas, Frederick S. (Frederick Samuel), 1862-1957.</t>
        </is>
      </c>
      <c r="N3533" t="inlineStr">
        <is>
          <t>Westport, Conn. : Greenwood Press, [1977]</t>
        </is>
      </c>
      <c r="O3533" t="inlineStr">
        <is>
          <t>1977</t>
        </is>
      </c>
      <c r="Q3533" t="inlineStr">
        <is>
          <t>eng</t>
        </is>
      </c>
      <c r="R3533" t="inlineStr">
        <is>
          <t>ctu</t>
        </is>
      </c>
      <c r="T3533" t="inlineStr">
        <is>
          <t xml:space="preserve">PR </t>
        </is>
      </c>
      <c r="U3533" t="n">
        <v>1</v>
      </c>
      <c r="V3533" t="n">
        <v>1</v>
      </c>
      <c r="W3533" t="inlineStr">
        <is>
          <t>2004-10-07</t>
        </is>
      </c>
      <c r="X3533" t="inlineStr">
        <is>
          <t>2004-10-07</t>
        </is>
      </c>
      <c r="Y3533" t="inlineStr">
        <is>
          <t>1991-09-12</t>
        </is>
      </c>
      <c r="Z3533" t="inlineStr">
        <is>
          <t>1991-09-12</t>
        </is>
      </c>
      <c r="AA3533" t="n">
        <v>77</v>
      </c>
      <c r="AB3533" t="n">
        <v>66</v>
      </c>
      <c r="AC3533" t="n">
        <v>972</v>
      </c>
      <c r="AD3533" t="n">
        <v>2</v>
      </c>
      <c r="AE3533" t="n">
        <v>10</v>
      </c>
      <c r="AF3533" t="n">
        <v>3</v>
      </c>
      <c r="AG3533" t="n">
        <v>50</v>
      </c>
      <c r="AH3533" t="n">
        <v>1</v>
      </c>
      <c r="AI3533" t="n">
        <v>19</v>
      </c>
      <c r="AJ3533" t="n">
        <v>0</v>
      </c>
      <c r="AK3533" t="n">
        <v>10</v>
      </c>
      <c r="AL3533" t="n">
        <v>2</v>
      </c>
      <c r="AM3533" t="n">
        <v>22</v>
      </c>
      <c r="AN3533" t="n">
        <v>1</v>
      </c>
      <c r="AO3533" t="n">
        <v>9</v>
      </c>
      <c r="AP3533" t="n">
        <v>0</v>
      </c>
      <c r="AQ3533" t="n">
        <v>0</v>
      </c>
      <c r="AR3533" t="inlineStr">
        <is>
          <t>No</t>
        </is>
      </c>
      <c r="AS3533" t="inlineStr">
        <is>
          <t>Yes</t>
        </is>
      </c>
      <c r="AT3533">
        <f>HYPERLINK("http://catalog.hathitrust.org/Record/102041368","HathiTrust Record")</f>
        <v/>
      </c>
      <c r="AU3533">
        <f>HYPERLINK("https://creighton-primo.hosted.exlibrisgroup.com/primo-explore/search?tab=default_tab&amp;search_scope=EVERYTHING&amp;vid=01CRU&amp;lang=en_US&amp;offset=0&amp;query=any,contains,991004284629702656","Catalog Record")</f>
        <v/>
      </c>
      <c r="AV3533">
        <f>HYPERLINK("http://www.worldcat.org/oclc/2920047","WorldCat Record")</f>
        <v/>
      </c>
      <c r="AW3533" t="inlineStr">
        <is>
          <t>1398453:eng</t>
        </is>
      </c>
      <c r="AX3533" t="inlineStr">
        <is>
          <t>2920047</t>
        </is>
      </c>
      <c r="AY3533" t="inlineStr">
        <is>
          <t>991004284629702656</t>
        </is>
      </c>
      <c r="AZ3533" t="inlineStr">
        <is>
          <t>991004284629702656</t>
        </is>
      </c>
      <c r="BA3533" t="inlineStr">
        <is>
          <t>2263148560002656</t>
        </is>
      </c>
      <c r="BB3533" t="inlineStr">
        <is>
          <t>BOOK</t>
        </is>
      </c>
      <c r="BD3533" t="inlineStr">
        <is>
          <t>9780837190730</t>
        </is>
      </c>
      <c r="BE3533" t="inlineStr">
        <is>
          <t>32285000739630</t>
        </is>
      </c>
      <c r="BF3533" t="inlineStr">
        <is>
          <t>893775851</t>
        </is>
      </c>
    </row>
    <row r="3534">
      <c r="A3534" t="inlineStr">
        <is>
          <t>No</t>
        </is>
      </c>
      <c r="B3534" t="inlineStr">
        <is>
          <t>CURAL</t>
        </is>
      </c>
      <c r="C3534" t="inlineStr">
        <is>
          <t>SHELVES</t>
        </is>
      </c>
      <c r="D3534" t="inlineStr">
        <is>
          <t>PR646 .R45</t>
        </is>
      </c>
      <c r="E3534" t="inlineStr">
        <is>
          <t>0                      PR 0646000R  45</t>
        </is>
      </c>
      <c r="F3534" t="inlineStr">
        <is>
          <t>Early Tudor drama; Medwall, the Rastells, Heywood, and the More circle, by A.W. Reed ... With nine illustrations.</t>
        </is>
      </c>
      <c r="H3534" t="inlineStr">
        <is>
          <t>No</t>
        </is>
      </c>
      <c r="I3534" t="inlineStr">
        <is>
          <t>1</t>
        </is>
      </c>
      <c r="J3534" t="inlineStr">
        <is>
          <t>No</t>
        </is>
      </c>
      <c r="K3534" t="inlineStr">
        <is>
          <t>No</t>
        </is>
      </c>
      <c r="L3534" t="inlineStr">
        <is>
          <t>0</t>
        </is>
      </c>
      <c r="M3534" t="inlineStr">
        <is>
          <t>Reed, A. W. (Arthur William), 1873-1957.</t>
        </is>
      </c>
      <c r="N3534" t="inlineStr">
        <is>
          <t>London, Methuen &amp; Co., ltd. [1926]</t>
        </is>
      </c>
      <c r="O3534" t="inlineStr">
        <is>
          <t>1926</t>
        </is>
      </c>
      <c r="Q3534" t="inlineStr">
        <is>
          <t>eng</t>
        </is>
      </c>
      <c r="R3534" t="inlineStr">
        <is>
          <t>enk</t>
        </is>
      </c>
      <c r="T3534" t="inlineStr">
        <is>
          <t xml:space="preserve">PR </t>
        </is>
      </c>
      <c r="U3534" t="n">
        <v>1</v>
      </c>
      <c r="V3534" t="n">
        <v>1</v>
      </c>
      <c r="W3534" t="inlineStr">
        <is>
          <t>2004-11-21</t>
        </is>
      </c>
      <c r="X3534" t="inlineStr">
        <is>
          <t>2004-11-21</t>
        </is>
      </c>
      <c r="Y3534" t="inlineStr">
        <is>
          <t>1997-09-09</t>
        </is>
      </c>
      <c r="Z3534" t="inlineStr">
        <is>
          <t>1997-09-09</t>
        </is>
      </c>
      <c r="AA3534" t="n">
        <v>304</v>
      </c>
      <c r="AB3534" t="n">
        <v>217</v>
      </c>
      <c r="AC3534" t="n">
        <v>530</v>
      </c>
      <c r="AD3534" t="n">
        <v>2</v>
      </c>
      <c r="AE3534" t="n">
        <v>3</v>
      </c>
      <c r="AF3534" t="n">
        <v>17</v>
      </c>
      <c r="AG3534" t="n">
        <v>26</v>
      </c>
      <c r="AH3534" t="n">
        <v>5</v>
      </c>
      <c r="AI3534" t="n">
        <v>10</v>
      </c>
      <c r="AJ3534" t="n">
        <v>3</v>
      </c>
      <c r="AK3534" t="n">
        <v>6</v>
      </c>
      <c r="AL3534" t="n">
        <v>11</v>
      </c>
      <c r="AM3534" t="n">
        <v>14</v>
      </c>
      <c r="AN3534" t="n">
        <v>1</v>
      </c>
      <c r="AO3534" t="n">
        <v>2</v>
      </c>
      <c r="AP3534" t="n">
        <v>0</v>
      </c>
      <c r="AQ3534" t="n">
        <v>0</v>
      </c>
      <c r="AR3534" t="inlineStr">
        <is>
          <t>No</t>
        </is>
      </c>
      <c r="AS3534" t="inlineStr">
        <is>
          <t>No</t>
        </is>
      </c>
      <c r="AT3534">
        <f>HYPERLINK("http://catalog.hathitrust.org/Record/001016601","HathiTrust Record")</f>
        <v/>
      </c>
      <c r="AU3534">
        <f>HYPERLINK("https://creighton-primo.hosted.exlibrisgroup.com/primo-explore/search?tab=default_tab&amp;search_scope=EVERYTHING&amp;vid=01CRU&amp;lang=en_US&amp;offset=0&amp;query=any,contains,991003487609702656","Catalog Record")</f>
        <v/>
      </c>
      <c r="AV3534">
        <f>HYPERLINK("http://www.worldcat.org/oclc/1035599","WorldCat Record")</f>
        <v/>
      </c>
      <c r="AW3534" t="inlineStr">
        <is>
          <t>1130355:eng</t>
        </is>
      </c>
      <c r="AX3534" t="inlineStr">
        <is>
          <t>1035599</t>
        </is>
      </c>
      <c r="AY3534" t="inlineStr">
        <is>
          <t>991003487609702656</t>
        </is>
      </c>
      <c r="AZ3534" t="inlineStr">
        <is>
          <t>991003487609702656</t>
        </is>
      </c>
      <c r="BA3534" t="inlineStr">
        <is>
          <t>2262900300002656</t>
        </is>
      </c>
      <c r="BB3534" t="inlineStr">
        <is>
          <t>BOOK</t>
        </is>
      </c>
      <c r="BE3534" t="inlineStr">
        <is>
          <t>32285003215208</t>
        </is>
      </c>
      <c r="BF3534" t="inlineStr">
        <is>
          <t>893435038</t>
        </is>
      </c>
    </row>
    <row r="3535">
      <c r="A3535" t="inlineStr">
        <is>
          <t>No</t>
        </is>
      </c>
      <c r="B3535" t="inlineStr">
        <is>
          <t>CURAL</t>
        </is>
      </c>
      <c r="C3535" t="inlineStr">
        <is>
          <t>SHELVES</t>
        </is>
      </c>
      <c r="D3535" t="inlineStr">
        <is>
          <t>PR646 .W3 1968</t>
        </is>
      </c>
      <c r="E3535" t="inlineStr">
        <is>
          <t>0                      PR 0646000W  3           1968</t>
        </is>
      </c>
      <c r="F3535" t="inlineStr">
        <is>
          <t>The evolution of the English drama up to Shakespeare, with a history of the first Blackfriars Theatre; a survey based upon original records now for the first time collected and published.</t>
        </is>
      </c>
      <c r="H3535" t="inlineStr">
        <is>
          <t>No</t>
        </is>
      </c>
      <c r="I3535" t="inlineStr">
        <is>
          <t>1</t>
        </is>
      </c>
      <c r="J3535" t="inlineStr">
        <is>
          <t>No</t>
        </is>
      </c>
      <c r="K3535" t="inlineStr">
        <is>
          <t>No</t>
        </is>
      </c>
      <c r="L3535" t="inlineStr">
        <is>
          <t>0</t>
        </is>
      </c>
      <c r="M3535" t="inlineStr">
        <is>
          <t>Wallace, Charles William, 1865-1932.</t>
        </is>
      </c>
      <c r="N3535" t="inlineStr">
        <is>
          <t>Port Washington, N.Y., Kennikat Press [1968]</t>
        </is>
      </c>
      <c r="O3535" t="inlineStr">
        <is>
          <t>1968</t>
        </is>
      </c>
      <c r="Q3535" t="inlineStr">
        <is>
          <t>eng</t>
        </is>
      </c>
      <c r="R3535" t="inlineStr">
        <is>
          <t>nyu</t>
        </is>
      </c>
      <c r="T3535" t="inlineStr">
        <is>
          <t xml:space="preserve">PR </t>
        </is>
      </c>
      <c r="U3535" t="n">
        <v>5</v>
      </c>
      <c r="V3535" t="n">
        <v>5</v>
      </c>
      <c r="W3535" t="inlineStr">
        <is>
          <t>2005-11-22</t>
        </is>
      </c>
      <c r="X3535" t="inlineStr">
        <is>
          <t>2005-11-22</t>
        </is>
      </c>
      <c r="Y3535" t="inlineStr">
        <is>
          <t>1997-09-09</t>
        </is>
      </c>
      <c r="Z3535" t="inlineStr">
        <is>
          <t>1997-09-09</t>
        </is>
      </c>
      <c r="AA3535" t="n">
        <v>349</v>
      </c>
      <c r="AB3535" t="n">
        <v>320</v>
      </c>
      <c r="AC3535" t="n">
        <v>478</v>
      </c>
      <c r="AD3535" t="n">
        <v>6</v>
      </c>
      <c r="AE3535" t="n">
        <v>8</v>
      </c>
      <c r="AF3535" t="n">
        <v>17</v>
      </c>
      <c r="AG3535" t="n">
        <v>23</v>
      </c>
      <c r="AH3535" t="n">
        <v>5</v>
      </c>
      <c r="AI3535" t="n">
        <v>7</v>
      </c>
      <c r="AJ3535" t="n">
        <v>3</v>
      </c>
      <c r="AK3535" t="n">
        <v>4</v>
      </c>
      <c r="AL3535" t="n">
        <v>8</v>
      </c>
      <c r="AM3535" t="n">
        <v>11</v>
      </c>
      <c r="AN3535" t="n">
        <v>4</v>
      </c>
      <c r="AO3535" t="n">
        <v>5</v>
      </c>
      <c r="AP3535" t="n">
        <v>0</v>
      </c>
      <c r="AQ3535" t="n">
        <v>0</v>
      </c>
      <c r="AR3535" t="inlineStr">
        <is>
          <t>No</t>
        </is>
      </c>
      <c r="AS3535" t="inlineStr">
        <is>
          <t>Yes</t>
        </is>
      </c>
      <c r="AT3535">
        <f>HYPERLINK("http://catalog.hathitrust.org/Record/004436908","HathiTrust Record")</f>
        <v/>
      </c>
      <c r="AU3535">
        <f>HYPERLINK("https://creighton-primo.hosted.exlibrisgroup.com/primo-explore/search?tab=default_tab&amp;search_scope=EVERYTHING&amp;vid=01CRU&amp;lang=en_US&amp;offset=0&amp;query=any,contains,991002793119702656","Catalog Record")</f>
        <v/>
      </c>
      <c r="AV3535">
        <f>HYPERLINK("http://www.worldcat.org/oclc/444210","WorldCat Record")</f>
        <v/>
      </c>
      <c r="AW3535" t="inlineStr">
        <is>
          <t>1576909:eng</t>
        </is>
      </c>
      <c r="AX3535" t="inlineStr">
        <is>
          <t>444210</t>
        </is>
      </c>
      <c r="AY3535" t="inlineStr">
        <is>
          <t>991002793119702656</t>
        </is>
      </c>
      <c r="AZ3535" t="inlineStr">
        <is>
          <t>991002793119702656</t>
        </is>
      </c>
      <c r="BA3535" t="inlineStr">
        <is>
          <t>2265144520002656</t>
        </is>
      </c>
      <c r="BB3535" t="inlineStr">
        <is>
          <t>BOOK</t>
        </is>
      </c>
      <c r="BE3535" t="inlineStr">
        <is>
          <t>32285003215216</t>
        </is>
      </c>
      <c r="BF3535" t="inlineStr">
        <is>
          <t>893524056</t>
        </is>
      </c>
    </row>
    <row r="3536">
      <c r="A3536" t="inlineStr">
        <is>
          <t>No</t>
        </is>
      </c>
      <c r="B3536" t="inlineStr">
        <is>
          <t>CURAL</t>
        </is>
      </c>
      <c r="C3536" t="inlineStr">
        <is>
          <t>SHELVES</t>
        </is>
      </c>
      <c r="D3536" t="inlineStr">
        <is>
          <t>PR649.P6 B4</t>
        </is>
      </c>
      <c r="E3536" t="inlineStr">
        <is>
          <t>0                      PR 0649000P  6                  B  4</t>
        </is>
      </c>
      <c r="F3536" t="inlineStr">
        <is>
          <t>Tudor drama and politics : a critical approach to topical meaning / by David Bevington.</t>
        </is>
      </c>
      <c r="H3536" t="inlineStr">
        <is>
          <t>No</t>
        </is>
      </c>
      <c r="I3536" t="inlineStr">
        <is>
          <t>1</t>
        </is>
      </c>
      <c r="J3536" t="inlineStr">
        <is>
          <t>No</t>
        </is>
      </c>
      <c r="K3536" t="inlineStr">
        <is>
          <t>No</t>
        </is>
      </c>
      <c r="L3536" t="inlineStr">
        <is>
          <t>0</t>
        </is>
      </c>
      <c r="M3536" t="inlineStr">
        <is>
          <t>Bevington, David M.</t>
        </is>
      </c>
      <c r="N3536" t="inlineStr">
        <is>
          <t>Cambridge : Harvard University Press, 1968.</t>
        </is>
      </c>
      <c r="O3536" t="inlineStr">
        <is>
          <t>1968</t>
        </is>
      </c>
      <c r="Q3536" t="inlineStr">
        <is>
          <t>eng</t>
        </is>
      </c>
      <c r="R3536" t="inlineStr">
        <is>
          <t>mau</t>
        </is>
      </c>
      <c r="T3536" t="inlineStr">
        <is>
          <t xml:space="preserve">PR </t>
        </is>
      </c>
      <c r="U3536" t="n">
        <v>2</v>
      </c>
      <c r="V3536" t="n">
        <v>2</v>
      </c>
      <c r="W3536" t="inlineStr">
        <is>
          <t>1997-02-01</t>
        </is>
      </c>
      <c r="X3536" t="inlineStr">
        <is>
          <t>1997-02-01</t>
        </is>
      </c>
      <c r="Y3536" t="inlineStr">
        <is>
          <t>1991-09-12</t>
        </is>
      </c>
      <c r="Z3536" t="inlineStr">
        <is>
          <t>1991-09-12</t>
        </is>
      </c>
      <c r="AA3536" t="n">
        <v>809</v>
      </c>
      <c r="AB3536" t="n">
        <v>675</v>
      </c>
      <c r="AC3536" t="n">
        <v>690</v>
      </c>
      <c r="AD3536" t="n">
        <v>5</v>
      </c>
      <c r="AE3536" t="n">
        <v>5</v>
      </c>
      <c r="AF3536" t="n">
        <v>41</v>
      </c>
      <c r="AG3536" t="n">
        <v>41</v>
      </c>
      <c r="AH3536" t="n">
        <v>15</v>
      </c>
      <c r="AI3536" t="n">
        <v>15</v>
      </c>
      <c r="AJ3536" t="n">
        <v>11</v>
      </c>
      <c r="AK3536" t="n">
        <v>11</v>
      </c>
      <c r="AL3536" t="n">
        <v>22</v>
      </c>
      <c r="AM3536" t="n">
        <v>22</v>
      </c>
      <c r="AN3536" t="n">
        <v>4</v>
      </c>
      <c r="AO3536" t="n">
        <v>4</v>
      </c>
      <c r="AP3536" t="n">
        <v>0</v>
      </c>
      <c r="AQ3536" t="n">
        <v>0</v>
      </c>
      <c r="AR3536" t="inlineStr">
        <is>
          <t>No</t>
        </is>
      </c>
      <c r="AS3536" t="inlineStr">
        <is>
          <t>Yes</t>
        </is>
      </c>
      <c r="AT3536">
        <f>HYPERLINK("http://catalog.hathitrust.org/Record/001374204","HathiTrust Record")</f>
        <v/>
      </c>
      <c r="AU3536">
        <f>HYPERLINK("https://creighton-primo.hosted.exlibrisgroup.com/primo-explore/search?tab=default_tab&amp;search_scope=EVERYTHING&amp;vid=01CRU&amp;lang=en_US&amp;offset=0&amp;query=any,contains,991001210719702656","Catalog Record")</f>
        <v/>
      </c>
      <c r="AV3536">
        <f>HYPERLINK("http://www.worldcat.org/oclc/193265","WorldCat Record")</f>
        <v/>
      </c>
      <c r="AW3536" t="inlineStr">
        <is>
          <t>281956268:eng</t>
        </is>
      </c>
      <c r="AX3536" t="inlineStr">
        <is>
          <t>193265</t>
        </is>
      </c>
      <c r="AY3536" t="inlineStr">
        <is>
          <t>991001210719702656</t>
        </is>
      </c>
      <c r="AZ3536" t="inlineStr">
        <is>
          <t>991001210719702656</t>
        </is>
      </c>
      <c r="BA3536" t="inlineStr">
        <is>
          <t>2270895400002656</t>
        </is>
      </c>
      <c r="BB3536" t="inlineStr">
        <is>
          <t>BOOK</t>
        </is>
      </c>
      <c r="BE3536" t="inlineStr">
        <is>
          <t>32285000739655</t>
        </is>
      </c>
      <c r="BF3536" t="inlineStr">
        <is>
          <t>893334157</t>
        </is>
      </c>
    </row>
    <row r="3537">
      <c r="A3537" t="inlineStr">
        <is>
          <t>No</t>
        </is>
      </c>
      <c r="B3537" t="inlineStr">
        <is>
          <t>CURAL</t>
        </is>
      </c>
      <c r="C3537" t="inlineStr">
        <is>
          <t>SHELVES</t>
        </is>
      </c>
      <c r="D3537" t="inlineStr">
        <is>
          <t>PR65 .T5</t>
        </is>
      </c>
      <c r="E3537" t="inlineStr">
        <is>
          <t>0                      PR 0065000T  5</t>
        </is>
      </c>
      <c r="F3537" t="inlineStr">
        <is>
          <t>Principles of textual criticism, by James Thorpe.</t>
        </is>
      </c>
      <c r="H3537" t="inlineStr">
        <is>
          <t>No</t>
        </is>
      </c>
      <c r="I3537" t="inlineStr">
        <is>
          <t>1</t>
        </is>
      </c>
      <c r="J3537" t="inlineStr">
        <is>
          <t>No</t>
        </is>
      </c>
      <c r="K3537" t="inlineStr">
        <is>
          <t>No</t>
        </is>
      </c>
      <c r="L3537" t="inlineStr">
        <is>
          <t>0</t>
        </is>
      </c>
      <c r="M3537" t="inlineStr">
        <is>
          <t>Thorpe, James, 1915-2009.</t>
        </is>
      </c>
      <c r="N3537" t="inlineStr">
        <is>
          <t>San Marino, Calif., Huntington Library, 1972.</t>
        </is>
      </c>
      <c r="O3537" t="inlineStr">
        <is>
          <t>1972</t>
        </is>
      </c>
      <c r="Q3537" t="inlineStr">
        <is>
          <t>eng</t>
        </is>
      </c>
      <c r="R3537" t="inlineStr">
        <is>
          <t>cau</t>
        </is>
      </c>
      <c r="T3537" t="inlineStr">
        <is>
          <t xml:space="preserve">PR </t>
        </is>
      </c>
      <c r="U3537" t="n">
        <v>1</v>
      </c>
      <c r="V3537" t="n">
        <v>1</v>
      </c>
      <c r="W3537" t="inlineStr">
        <is>
          <t>2000-10-04</t>
        </is>
      </c>
      <c r="X3537" t="inlineStr">
        <is>
          <t>2000-10-04</t>
        </is>
      </c>
      <c r="Y3537" t="inlineStr">
        <is>
          <t>1997-08-13</t>
        </is>
      </c>
      <c r="Z3537" t="inlineStr">
        <is>
          <t>1997-08-13</t>
        </is>
      </c>
      <c r="AA3537" t="n">
        <v>787</v>
      </c>
      <c r="AB3537" t="n">
        <v>671</v>
      </c>
      <c r="AC3537" t="n">
        <v>676</v>
      </c>
      <c r="AD3537" t="n">
        <v>4</v>
      </c>
      <c r="AE3537" t="n">
        <v>4</v>
      </c>
      <c r="AF3537" t="n">
        <v>35</v>
      </c>
      <c r="AG3537" t="n">
        <v>35</v>
      </c>
      <c r="AH3537" t="n">
        <v>13</v>
      </c>
      <c r="AI3537" t="n">
        <v>13</v>
      </c>
      <c r="AJ3537" t="n">
        <v>6</v>
      </c>
      <c r="AK3537" t="n">
        <v>6</v>
      </c>
      <c r="AL3537" t="n">
        <v>20</v>
      </c>
      <c r="AM3537" t="n">
        <v>20</v>
      </c>
      <c r="AN3537" t="n">
        <v>3</v>
      </c>
      <c r="AO3537" t="n">
        <v>3</v>
      </c>
      <c r="AP3537" t="n">
        <v>0</v>
      </c>
      <c r="AQ3537" t="n">
        <v>0</v>
      </c>
      <c r="AR3537" t="inlineStr">
        <is>
          <t>No</t>
        </is>
      </c>
      <c r="AS3537" t="inlineStr">
        <is>
          <t>Yes</t>
        </is>
      </c>
      <c r="AT3537">
        <f>HYPERLINK("http://catalog.hathitrust.org/Record/001435958","HathiTrust Record")</f>
        <v/>
      </c>
      <c r="AU3537">
        <f>HYPERLINK("https://creighton-primo.hosted.exlibrisgroup.com/primo-explore/search?tab=default_tab&amp;search_scope=EVERYTHING&amp;vid=01CRU&amp;lang=en_US&amp;offset=0&amp;query=any,contains,991001994559702656","Catalog Record")</f>
        <v/>
      </c>
      <c r="AV3537">
        <f>HYPERLINK("http://www.worldcat.org/oclc/255900","WorldCat Record")</f>
        <v/>
      </c>
      <c r="AW3537" t="inlineStr">
        <is>
          <t>1353468:eng</t>
        </is>
      </c>
      <c r="AX3537" t="inlineStr">
        <is>
          <t>255900</t>
        </is>
      </c>
      <c r="AY3537" t="inlineStr">
        <is>
          <t>991001994559702656</t>
        </is>
      </c>
      <c r="AZ3537" t="inlineStr">
        <is>
          <t>991001994559702656</t>
        </is>
      </c>
      <c r="BA3537" t="inlineStr">
        <is>
          <t>2270697340002656</t>
        </is>
      </c>
      <c r="BB3537" t="inlineStr">
        <is>
          <t>BOOK</t>
        </is>
      </c>
      <c r="BE3537" t="inlineStr">
        <is>
          <t>32285003063400</t>
        </is>
      </c>
      <c r="BF3537" t="inlineStr">
        <is>
          <t>893316245</t>
        </is>
      </c>
    </row>
    <row r="3538">
      <c r="A3538" t="inlineStr">
        <is>
          <t>No</t>
        </is>
      </c>
      <c r="B3538" t="inlineStr">
        <is>
          <t>CURAL</t>
        </is>
      </c>
      <c r="C3538" t="inlineStr">
        <is>
          <t>SHELVES</t>
        </is>
      </c>
      <c r="D3538" t="inlineStr">
        <is>
          <t>PR651 .A3</t>
        </is>
      </c>
      <c r="E3538" t="inlineStr">
        <is>
          <t>0                      PR 0651000A  3</t>
        </is>
      </c>
      <c r="F3538" t="inlineStr">
        <is>
          <t>A companion to Shakespeare : the non-Shakespearean Elizabethan drama : an introduction / Robert P. Adams.</t>
        </is>
      </c>
      <c r="H3538" t="inlineStr">
        <is>
          <t>No</t>
        </is>
      </c>
      <c r="I3538" t="inlineStr">
        <is>
          <t>1</t>
        </is>
      </c>
      <c r="J3538" t="inlineStr">
        <is>
          <t>No</t>
        </is>
      </c>
      <c r="K3538" t="inlineStr">
        <is>
          <t>No</t>
        </is>
      </c>
      <c r="L3538" t="inlineStr">
        <is>
          <t>0</t>
        </is>
      </c>
      <c r="M3538" t="inlineStr">
        <is>
          <t>Adams, Robert P. (Robert Pardee), 1910-</t>
        </is>
      </c>
      <c r="N3538" t="inlineStr">
        <is>
          <t>Washington : University Press of America, c1978.</t>
        </is>
      </c>
      <c r="O3538" t="inlineStr">
        <is>
          <t>1978</t>
        </is>
      </c>
      <c r="Q3538" t="inlineStr">
        <is>
          <t>eng</t>
        </is>
      </c>
      <c r="R3538" t="inlineStr">
        <is>
          <t>dcu</t>
        </is>
      </c>
      <c r="T3538" t="inlineStr">
        <is>
          <t xml:space="preserve">PR </t>
        </is>
      </c>
      <c r="U3538" t="n">
        <v>2</v>
      </c>
      <c r="V3538" t="n">
        <v>2</v>
      </c>
      <c r="W3538" t="inlineStr">
        <is>
          <t>2010-11-28</t>
        </is>
      </c>
      <c r="X3538" t="inlineStr">
        <is>
          <t>2010-11-28</t>
        </is>
      </c>
      <c r="Y3538" t="inlineStr">
        <is>
          <t>1991-09-10</t>
        </is>
      </c>
      <c r="Z3538" t="inlineStr">
        <is>
          <t>1991-09-10</t>
        </is>
      </c>
      <c r="AA3538" t="n">
        <v>405</v>
      </c>
      <c r="AB3538" t="n">
        <v>362</v>
      </c>
      <c r="AC3538" t="n">
        <v>368</v>
      </c>
      <c r="AD3538" t="n">
        <v>4</v>
      </c>
      <c r="AE3538" t="n">
        <v>4</v>
      </c>
      <c r="AF3538" t="n">
        <v>17</v>
      </c>
      <c r="AG3538" t="n">
        <v>17</v>
      </c>
      <c r="AH3538" t="n">
        <v>7</v>
      </c>
      <c r="AI3538" t="n">
        <v>7</v>
      </c>
      <c r="AJ3538" t="n">
        <v>4</v>
      </c>
      <c r="AK3538" t="n">
        <v>4</v>
      </c>
      <c r="AL3538" t="n">
        <v>7</v>
      </c>
      <c r="AM3538" t="n">
        <v>7</v>
      </c>
      <c r="AN3538" t="n">
        <v>3</v>
      </c>
      <c r="AO3538" t="n">
        <v>3</v>
      </c>
      <c r="AP3538" t="n">
        <v>0</v>
      </c>
      <c r="AQ3538" t="n">
        <v>0</v>
      </c>
      <c r="AR3538" t="inlineStr">
        <is>
          <t>No</t>
        </is>
      </c>
      <c r="AS3538" t="inlineStr">
        <is>
          <t>Yes</t>
        </is>
      </c>
      <c r="AT3538">
        <f>HYPERLINK("http://catalog.hathitrust.org/Record/006214992","HathiTrust Record")</f>
        <v/>
      </c>
      <c r="AU3538">
        <f>HYPERLINK("https://creighton-primo.hosted.exlibrisgroup.com/primo-explore/search?tab=default_tab&amp;search_scope=EVERYTHING&amp;vid=01CRU&amp;lang=en_US&amp;offset=0&amp;query=any,contains,991004755609702656","Catalog Record")</f>
        <v/>
      </c>
      <c r="AV3538">
        <f>HYPERLINK("http://www.worldcat.org/oclc/4952070","WorldCat Record")</f>
        <v/>
      </c>
      <c r="AW3538" t="inlineStr">
        <is>
          <t>803225816:eng</t>
        </is>
      </c>
      <c r="AX3538" t="inlineStr">
        <is>
          <t>4952070</t>
        </is>
      </c>
      <c r="AY3538" t="inlineStr">
        <is>
          <t>991004755609702656</t>
        </is>
      </c>
      <c r="AZ3538" t="inlineStr">
        <is>
          <t>991004755609702656</t>
        </is>
      </c>
      <c r="BA3538" t="inlineStr">
        <is>
          <t>2255197400002656</t>
        </is>
      </c>
      <c r="BB3538" t="inlineStr">
        <is>
          <t>BOOK</t>
        </is>
      </c>
      <c r="BD3538" t="inlineStr">
        <is>
          <t>9780819105400</t>
        </is>
      </c>
      <c r="BE3538" t="inlineStr">
        <is>
          <t>32285000739754</t>
        </is>
      </c>
      <c r="BF3538" t="inlineStr">
        <is>
          <t>893532760</t>
        </is>
      </c>
    </row>
    <row r="3539">
      <c r="A3539" t="inlineStr">
        <is>
          <t>No</t>
        </is>
      </c>
      <c r="B3539" t="inlineStr">
        <is>
          <t>CURAL</t>
        </is>
      </c>
      <c r="C3539" t="inlineStr">
        <is>
          <t>SHELVES</t>
        </is>
      </c>
      <c r="D3539" t="inlineStr">
        <is>
          <t>PR651 .C36 1990</t>
        </is>
      </c>
      <c r="E3539" t="inlineStr">
        <is>
          <t>0                      PR 0651000C  36          1990</t>
        </is>
      </c>
      <c r="F3539" t="inlineStr">
        <is>
          <t>The Cambridge companion to English Renaissance drama / edited by A.R. Braunmuller and Michael Hattaway.</t>
        </is>
      </c>
      <c r="H3539" t="inlineStr">
        <is>
          <t>No</t>
        </is>
      </c>
      <c r="I3539" t="inlineStr">
        <is>
          <t>1</t>
        </is>
      </c>
      <c r="J3539" t="inlineStr">
        <is>
          <t>No</t>
        </is>
      </c>
      <c r="K3539" t="inlineStr">
        <is>
          <t>No</t>
        </is>
      </c>
      <c r="L3539" t="inlineStr">
        <is>
          <t>0</t>
        </is>
      </c>
      <c r="N3539" t="inlineStr">
        <is>
          <t>Cambridge [England] ; New York : Cambridge University Press, 1990.</t>
        </is>
      </c>
      <c r="O3539" t="inlineStr">
        <is>
          <t>1990</t>
        </is>
      </c>
      <c r="Q3539" t="inlineStr">
        <is>
          <t>eng</t>
        </is>
      </c>
      <c r="R3539" t="inlineStr">
        <is>
          <t>enk</t>
        </is>
      </c>
      <c r="T3539" t="inlineStr">
        <is>
          <t xml:space="preserve">PR </t>
        </is>
      </c>
      <c r="U3539" t="n">
        <v>6</v>
      </c>
      <c r="V3539" t="n">
        <v>6</v>
      </c>
      <c r="W3539" t="inlineStr">
        <is>
          <t>2000-11-19</t>
        </is>
      </c>
      <c r="X3539" t="inlineStr">
        <is>
          <t>2000-11-19</t>
        </is>
      </c>
      <c r="Y3539" t="inlineStr">
        <is>
          <t>1991-04-24</t>
        </is>
      </c>
      <c r="Z3539" t="inlineStr">
        <is>
          <t>1991-04-24</t>
        </is>
      </c>
      <c r="AA3539" t="n">
        <v>972</v>
      </c>
      <c r="AB3539" t="n">
        <v>687</v>
      </c>
      <c r="AC3539" t="n">
        <v>918</v>
      </c>
      <c r="AD3539" t="n">
        <v>5</v>
      </c>
      <c r="AE3539" t="n">
        <v>6</v>
      </c>
      <c r="AF3539" t="n">
        <v>36</v>
      </c>
      <c r="AG3539" t="n">
        <v>48</v>
      </c>
      <c r="AH3539" t="n">
        <v>16</v>
      </c>
      <c r="AI3539" t="n">
        <v>21</v>
      </c>
      <c r="AJ3539" t="n">
        <v>6</v>
      </c>
      <c r="AK3539" t="n">
        <v>10</v>
      </c>
      <c r="AL3539" t="n">
        <v>20</v>
      </c>
      <c r="AM3539" t="n">
        <v>24</v>
      </c>
      <c r="AN3539" t="n">
        <v>4</v>
      </c>
      <c r="AO3539" t="n">
        <v>5</v>
      </c>
      <c r="AP3539" t="n">
        <v>0</v>
      </c>
      <c r="AQ3539" t="n">
        <v>0</v>
      </c>
      <c r="AR3539" t="inlineStr">
        <is>
          <t>No</t>
        </is>
      </c>
      <c r="AS3539" t="inlineStr">
        <is>
          <t>No</t>
        </is>
      </c>
      <c r="AU3539">
        <f>HYPERLINK("https://creighton-primo.hosted.exlibrisgroup.com/primo-explore/search?tab=default_tab&amp;search_scope=EVERYTHING&amp;vid=01CRU&amp;lang=en_US&amp;offset=0&amp;query=any,contains,991001588249702656","Catalog Record")</f>
        <v/>
      </c>
      <c r="AV3539">
        <f>HYPERLINK("http://www.worldcat.org/oclc/20561419","WorldCat Record")</f>
        <v/>
      </c>
      <c r="AW3539" t="inlineStr">
        <is>
          <t>350365615:eng</t>
        </is>
      </c>
      <c r="AX3539" t="inlineStr">
        <is>
          <t>20561419</t>
        </is>
      </c>
      <c r="AY3539" t="inlineStr">
        <is>
          <t>991001588249702656</t>
        </is>
      </c>
      <c r="AZ3539" t="inlineStr">
        <is>
          <t>991001588249702656</t>
        </is>
      </c>
      <c r="BA3539" t="inlineStr">
        <is>
          <t>2258651070002656</t>
        </is>
      </c>
      <c r="BB3539" t="inlineStr">
        <is>
          <t>BOOK</t>
        </is>
      </c>
      <c r="BD3539" t="inlineStr">
        <is>
          <t>9780521386623</t>
        </is>
      </c>
      <c r="BE3539" t="inlineStr">
        <is>
          <t>32285000569243</t>
        </is>
      </c>
      <c r="BF3539" t="inlineStr">
        <is>
          <t>893328219</t>
        </is>
      </c>
    </row>
    <row r="3540">
      <c r="A3540" t="inlineStr">
        <is>
          <t>No</t>
        </is>
      </c>
      <c r="B3540" t="inlineStr">
        <is>
          <t>CURAL</t>
        </is>
      </c>
      <c r="C3540" t="inlineStr">
        <is>
          <t>SHELVES</t>
        </is>
      </c>
      <c r="D3540" t="inlineStr">
        <is>
          <t>PR651 .D4</t>
        </is>
      </c>
      <c r="E3540" t="inlineStr">
        <is>
          <t>0                      PR 0651000D  4</t>
        </is>
      </c>
      <c r="F3540" t="inlineStr">
        <is>
          <t>Elizabethan drama and the viewer's eye / Alan C. Dessen. --</t>
        </is>
      </c>
      <c r="H3540" t="inlineStr">
        <is>
          <t>No</t>
        </is>
      </c>
      <c r="I3540" t="inlineStr">
        <is>
          <t>1</t>
        </is>
      </c>
      <c r="J3540" t="inlineStr">
        <is>
          <t>No</t>
        </is>
      </c>
      <c r="K3540" t="inlineStr">
        <is>
          <t>No</t>
        </is>
      </c>
      <c r="L3540" t="inlineStr">
        <is>
          <t>0</t>
        </is>
      </c>
      <c r="M3540" t="inlineStr">
        <is>
          <t>Dessen, Alan C., 1935-</t>
        </is>
      </c>
      <c r="N3540" t="inlineStr">
        <is>
          <t>Chapel Hill : University of North Carolina Press, c1977.</t>
        </is>
      </c>
      <c r="O3540" t="inlineStr">
        <is>
          <t>1977</t>
        </is>
      </c>
      <c r="Q3540" t="inlineStr">
        <is>
          <t>eng</t>
        </is>
      </c>
      <c r="R3540" t="inlineStr">
        <is>
          <t>ncu</t>
        </is>
      </c>
      <c r="T3540" t="inlineStr">
        <is>
          <t xml:space="preserve">PR </t>
        </is>
      </c>
      <c r="U3540" t="n">
        <v>2</v>
      </c>
      <c r="V3540" t="n">
        <v>2</v>
      </c>
      <c r="W3540" t="inlineStr">
        <is>
          <t>1997-09-30</t>
        </is>
      </c>
      <c r="X3540" t="inlineStr">
        <is>
          <t>1997-09-30</t>
        </is>
      </c>
      <c r="Y3540" t="inlineStr">
        <is>
          <t>1991-09-10</t>
        </is>
      </c>
      <c r="Z3540" t="inlineStr">
        <is>
          <t>1991-09-10</t>
        </is>
      </c>
      <c r="AA3540" t="n">
        <v>859</v>
      </c>
      <c r="AB3540" t="n">
        <v>736</v>
      </c>
      <c r="AC3540" t="n">
        <v>753</v>
      </c>
      <c r="AD3540" t="n">
        <v>5</v>
      </c>
      <c r="AE3540" t="n">
        <v>5</v>
      </c>
      <c r="AF3540" t="n">
        <v>34</v>
      </c>
      <c r="AG3540" t="n">
        <v>35</v>
      </c>
      <c r="AH3540" t="n">
        <v>16</v>
      </c>
      <c r="AI3540" t="n">
        <v>17</v>
      </c>
      <c r="AJ3540" t="n">
        <v>9</v>
      </c>
      <c r="AK3540" t="n">
        <v>9</v>
      </c>
      <c r="AL3540" t="n">
        <v>16</v>
      </c>
      <c r="AM3540" t="n">
        <v>16</v>
      </c>
      <c r="AN3540" t="n">
        <v>4</v>
      </c>
      <c r="AO3540" t="n">
        <v>4</v>
      </c>
      <c r="AP3540" t="n">
        <v>0</v>
      </c>
      <c r="AQ3540" t="n">
        <v>0</v>
      </c>
      <c r="AR3540" t="inlineStr">
        <is>
          <t>No</t>
        </is>
      </c>
      <c r="AS3540" t="inlineStr">
        <is>
          <t>Yes</t>
        </is>
      </c>
      <c r="AT3540">
        <f>HYPERLINK("http://catalog.hathitrust.org/Record/000723744","HathiTrust Record")</f>
        <v/>
      </c>
      <c r="AU3540">
        <f>HYPERLINK("https://creighton-primo.hosted.exlibrisgroup.com/primo-explore/search?tab=default_tab&amp;search_scope=EVERYTHING&amp;vid=01CRU&amp;lang=en_US&amp;offset=0&amp;query=any,contains,991004101579702656","Catalog Record")</f>
        <v/>
      </c>
      <c r="AV3540">
        <f>HYPERLINK("http://www.worldcat.org/oclc/2372774","WorldCat Record")</f>
        <v/>
      </c>
      <c r="AW3540" t="inlineStr">
        <is>
          <t>4748646:eng</t>
        </is>
      </c>
      <c r="AX3540" t="inlineStr">
        <is>
          <t>2372774</t>
        </is>
      </c>
      <c r="AY3540" t="inlineStr">
        <is>
          <t>991004101579702656</t>
        </is>
      </c>
      <c r="AZ3540" t="inlineStr">
        <is>
          <t>991004101579702656</t>
        </is>
      </c>
      <c r="BA3540" t="inlineStr">
        <is>
          <t>2255381920002656</t>
        </is>
      </c>
      <c r="BB3540" t="inlineStr">
        <is>
          <t>BOOK</t>
        </is>
      </c>
      <c r="BD3540" t="inlineStr">
        <is>
          <t>9780807812914</t>
        </is>
      </c>
      <c r="BE3540" t="inlineStr">
        <is>
          <t>32285000739671</t>
        </is>
      </c>
      <c r="BF3540" t="inlineStr">
        <is>
          <t>893500119</t>
        </is>
      </c>
    </row>
    <row r="3541">
      <c r="A3541" t="inlineStr">
        <is>
          <t>No</t>
        </is>
      </c>
      <c r="B3541" t="inlineStr">
        <is>
          <t>CURAL</t>
        </is>
      </c>
      <c r="C3541" t="inlineStr">
        <is>
          <t>SHELVES</t>
        </is>
      </c>
      <c r="D3541" t="inlineStr">
        <is>
          <t>PR651 .D67</t>
        </is>
      </c>
      <c r="E3541" t="inlineStr">
        <is>
          <t>0                      PR 0651000D  67</t>
        </is>
      </c>
      <c r="F3541" t="inlineStr">
        <is>
          <t>Endeavors of art : a study of form in Elizabethan drama.</t>
        </is>
      </c>
      <c r="H3541" t="inlineStr">
        <is>
          <t>No</t>
        </is>
      </c>
      <c r="I3541" t="inlineStr">
        <is>
          <t>1</t>
        </is>
      </c>
      <c r="J3541" t="inlineStr">
        <is>
          <t>No</t>
        </is>
      </c>
      <c r="K3541" t="inlineStr">
        <is>
          <t>No</t>
        </is>
      </c>
      <c r="L3541" t="inlineStr">
        <is>
          <t>0</t>
        </is>
      </c>
      <c r="M3541" t="inlineStr">
        <is>
          <t>Doran, Madeleine, 1905-1996.</t>
        </is>
      </c>
      <c r="N3541" t="inlineStr">
        <is>
          <t>Madison : University of Wisconsin Press, 1954.</t>
        </is>
      </c>
      <c r="O3541" t="inlineStr">
        <is>
          <t>1954</t>
        </is>
      </c>
      <c r="Q3541" t="inlineStr">
        <is>
          <t>eng</t>
        </is>
      </c>
      <c r="R3541" t="inlineStr">
        <is>
          <t>wiu</t>
        </is>
      </c>
      <c r="T3541" t="inlineStr">
        <is>
          <t xml:space="preserve">PR </t>
        </is>
      </c>
      <c r="U3541" t="n">
        <v>2</v>
      </c>
      <c r="V3541" t="n">
        <v>2</v>
      </c>
      <c r="W3541" t="inlineStr">
        <is>
          <t>1997-04-11</t>
        </is>
      </c>
      <c r="X3541" t="inlineStr">
        <is>
          <t>1997-04-11</t>
        </is>
      </c>
      <c r="Y3541" t="inlineStr">
        <is>
          <t>1991-07-11</t>
        </is>
      </c>
      <c r="Z3541" t="inlineStr">
        <is>
          <t>1991-07-11</t>
        </is>
      </c>
      <c r="AA3541" t="n">
        <v>970</v>
      </c>
      <c r="AB3541" t="n">
        <v>849</v>
      </c>
      <c r="AC3541" t="n">
        <v>971</v>
      </c>
      <c r="AD3541" t="n">
        <v>7</v>
      </c>
      <c r="AE3541" t="n">
        <v>11</v>
      </c>
      <c r="AF3541" t="n">
        <v>41</v>
      </c>
      <c r="AG3541" t="n">
        <v>48</v>
      </c>
      <c r="AH3541" t="n">
        <v>15</v>
      </c>
      <c r="AI3541" t="n">
        <v>16</v>
      </c>
      <c r="AJ3541" t="n">
        <v>9</v>
      </c>
      <c r="AK3541" t="n">
        <v>9</v>
      </c>
      <c r="AL3541" t="n">
        <v>20</v>
      </c>
      <c r="AM3541" t="n">
        <v>22</v>
      </c>
      <c r="AN3541" t="n">
        <v>6</v>
      </c>
      <c r="AO3541" t="n">
        <v>10</v>
      </c>
      <c r="AP3541" t="n">
        <v>0</v>
      </c>
      <c r="AQ3541" t="n">
        <v>0</v>
      </c>
      <c r="AR3541" t="inlineStr">
        <is>
          <t>No</t>
        </is>
      </c>
      <c r="AS3541" t="inlineStr">
        <is>
          <t>Yes</t>
        </is>
      </c>
      <c r="AT3541">
        <f>HYPERLINK("http://catalog.hathitrust.org/Record/001016610","HathiTrust Record")</f>
        <v/>
      </c>
      <c r="AU3541">
        <f>HYPERLINK("https://creighton-primo.hosted.exlibrisgroup.com/primo-explore/search?tab=default_tab&amp;search_scope=EVERYTHING&amp;vid=01CRU&amp;lang=en_US&amp;offset=0&amp;query=any,contains,991002440549702656","Catalog Record")</f>
        <v/>
      </c>
      <c r="AV3541">
        <f>HYPERLINK("http://www.worldcat.org/oclc/349985","WorldCat Record")</f>
        <v/>
      </c>
      <c r="AW3541" t="inlineStr">
        <is>
          <t>434060:eng</t>
        </is>
      </c>
      <c r="AX3541" t="inlineStr">
        <is>
          <t>349985</t>
        </is>
      </c>
      <c r="AY3541" t="inlineStr">
        <is>
          <t>991002440549702656</t>
        </is>
      </c>
      <c r="AZ3541" t="inlineStr">
        <is>
          <t>991002440549702656</t>
        </is>
      </c>
      <c r="BA3541" t="inlineStr">
        <is>
          <t>2267266970002656</t>
        </is>
      </c>
      <c r="BB3541" t="inlineStr">
        <is>
          <t>BOOK</t>
        </is>
      </c>
      <c r="BE3541" t="inlineStr">
        <is>
          <t>32285000638162</t>
        </is>
      </c>
      <c r="BF3541" t="inlineStr">
        <is>
          <t>893710293</t>
        </is>
      </c>
    </row>
    <row r="3542">
      <c r="A3542" t="inlineStr">
        <is>
          <t>No</t>
        </is>
      </c>
      <c r="B3542" t="inlineStr">
        <is>
          <t>CURAL</t>
        </is>
      </c>
      <c r="C3542" t="inlineStr">
        <is>
          <t>SHELVES</t>
        </is>
      </c>
      <c r="D3542" t="inlineStr">
        <is>
          <t>PR651 .G66 1990</t>
        </is>
      </c>
      <c r="E3542" t="inlineStr">
        <is>
          <t>0                      PR 0651000G  66          1990</t>
        </is>
      </c>
      <c r="F3542" t="inlineStr">
        <is>
          <t>British drama before 1660 : a critical history / Jennifer R. Goodman.</t>
        </is>
      </c>
      <c r="H3542" t="inlineStr">
        <is>
          <t>No</t>
        </is>
      </c>
      <c r="I3542" t="inlineStr">
        <is>
          <t>1</t>
        </is>
      </c>
      <c r="J3542" t="inlineStr">
        <is>
          <t>No</t>
        </is>
      </c>
      <c r="K3542" t="inlineStr">
        <is>
          <t>No</t>
        </is>
      </c>
      <c r="L3542" t="inlineStr">
        <is>
          <t>0</t>
        </is>
      </c>
      <c r="M3542" t="inlineStr">
        <is>
          <t>Goodman, Jennifer R. (Jennifer Robin), 1953-</t>
        </is>
      </c>
      <c r="N3542" t="inlineStr">
        <is>
          <t>Boston : Twayne Publishers, 1990.</t>
        </is>
      </c>
      <c r="O3542" t="inlineStr">
        <is>
          <t>1990</t>
        </is>
      </c>
      <c r="Q3542" t="inlineStr">
        <is>
          <t>eng</t>
        </is>
      </c>
      <c r="R3542" t="inlineStr">
        <is>
          <t>mau</t>
        </is>
      </c>
      <c r="S3542" t="inlineStr">
        <is>
          <t>Twayne's critical history of British drama</t>
        </is>
      </c>
      <c r="T3542" t="inlineStr">
        <is>
          <t xml:space="preserve">PR </t>
        </is>
      </c>
      <c r="U3542" t="n">
        <v>4</v>
      </c>
      <c r="V3542" t="n">
        <v>4</v>
      </c>
      <c r="W3542" t="inlineStr">
        <is>
          <t>1998-04-26</t>
        </is>
      </c>
      <c r="X3542" t="inlineStr">
        <is>
          <t>1998-04-26</t>
        </is>
      </c>
      <c r="Y3542" t="inlineStr">
        <is>
          <t>1991-06-04</t>
        </is>
      </c>
      <c r="Z3542" t="inlineStr">
        <is>
          <t>1991-06-04</t>
        </is>
      </c>
      <c r="AA3542" t="n">
        <v>645</v>
      </c>
      <c r="AB3542" t="n">
        <v>563</v>
      </c>
      <c r="AC3542" t="n">
        <v>586</v>
      </c>
      <c r="AD3542" t="n">
        <v>5</v>
      </c>
      <c r="AE3542" t="n">
        <v>5</v>
      </c>
      <c r="AF3542" t="n">
        <v>29</v>
      </c>
      <c r="AG3542" t="n">
        <v>30</v>
      </c>
      <c r="AH3542" t="n">
        <v>11</v>
      </c>
      <c r="AI3542" t="n">
        <v>12</v>
      </c>
      <c r="AJ3542" t="n">
        <v>5</v>
      </c>
      <c r="AK3542" t="n">
        <v>5</v>
      </c>
      <c r="AL3542" t="n">
        <v>16</v>
      </c>
      <c r="AM3542" t="n">
        <v>17</v>
      </c>
      <c r="AN3542" t="n">
        <v>4</v>
      </c>
      <c r="AO3542" t="n">
        <v>4</v>
      </c>
      <c r="AP3542" t="n">
        <v>0</v>
      </c>
      <c r="AQ3542" t="n">
        <v>0</v>
      </c>
      <c r="AR3542" t="inlineStr">
        <is>
          <t>No</t>
        </is>
      </c>
      <c r="AS3542" t="inlineStr">
        <is>
          <t>Yes</t>
        </is>
      </c>
      <c r="AT3542">
        <f>HYPERLINK("http://catalog.hathitrust.org/Record/006209987","HathiTrust Record")</f>
        <v/>
      </c>
      <c r="AU3542">
        <f>HYPERLINK("https://creighton-primo.hosted.exlibrisgroup.com/primo-explore/search?tab=default_tab&amp;search_scope=EVERYTHING&amp;vid=01CRU&amp;lang=en_US&amp;offset=0&amp;query=any,contains,991001732579702656","Catalog Record")</f>
        <v/>
      </c>
      <c r="AV3542">
        <f>HYPERLINK("http://www.worldcat.org/oclc/21949024","WorldCat Record")</f>
        <v/>
      </c>
      <c r="AW3542" t="inlineStr">
        <is>
          <t>23941737:eng</t>
        </is>
      </c>
      <c r="AX3542" t="inlineStr">
        <is>
          <t>21949024</t>
        </is>
      </c>
      <c r="AY3542" t="inlineStr">
        <is>
          <t>991001732579702656</t>
        </is>
      </c>
      <c r="AZ3542" t="inlineStr">
        <is>
          <t>991001732579702656</t>
        </is>
      </c>
      <c r="BA3542" t="inlineStr">
        <is>
          <t>2258576000002656</t>
        </is>
      </c>
      <c r="BB3542" t="inlineStr">
        <is>
          <t>BOOK</t>
        </is>
      </c>
      <c r="BD3542" t="inlineStr">
        <is>
          <t>9780805789539</t>
        </is>
      </c>
      <c r="BE3542" t="inlineStr">
        <is>
          <t>32285000592138</t>
        </is>
      </c>
      <c r="BF3542" t="inlineStr">
        <is>
          <t>893590589</t>
        </is>
      </c>
    </row>
    <row r="3543">
      <c r="A3543" t="inlineStr">
        <is>
          <t>No</t>
        </is>
      </c>
      <c r="B3543" t="inlineStr">
        <is>
          <t>CURAL</t>
        </is>
      </c>
      <c r="C3543" t="inlineStr">
        <is>
          <t>SHELVES</t>
        </is>
      </c>
      <c r="D3543" t="inlineStr">
        <is>
          <t>PR651 .L44 1988</t>
        </is>
      </c>
      <c r="E3543" t="inlineStr">
        <is>
          <t>0                      PR 0651000L  44          1988</t>
        </is>
      </c>
      <c r="F3543" t="inlineStr">
        <is>
          <t>English drama : Shakespeare to the Restoration, 1590-1660 / Alexander Leggatt.</t>
        </is>
      </c>
      <c r="H3543" t="inlineStr">
        <is>
          <t>No</t>
        </is>
      </c>
      <c r="I3543" t="inlineStr">
        <is>
          <t>1</t>
        </is>
      </c>
      <c r="J3543" t="inlineStr">
        <is>
          <t>No</t>
        </is>
      </c>
      <c r="K3543" t="inlineStr">
        <is>
          <t>No</t>
        </is>
      </c>
      <c r="L3543" t="inlineStr">
        <is>
          <t>0</t>
        </is>
      </c>
      <c r="M3543" t="inlineStr">
        <is>
          <t>Leggatt, Alexander.</t>
        </is>
      </c>
      <c r="N3543" t="inlineStr">
        <is>
          <t>London ; New York : Longman, 1988.</t>
        </is>
      </c>
      <c r="O3543" t="inlineStr">
        <is>
          <t>1988</t>
        </is>
      </c>
      <c r="Q3543" t="inlineStr">
        <is>
          <t>eng</t>
        </is>
      </c>
      <c r="R3543" t="inlineStr">
        <is>
          <t>enk</t>
        </is>
      </c>
      <c r="S3543" t="inlineStr">
        <is>
          <t>Longman literature in English series</t>
        </is>
      </c>
      <c r="T3543" t="inlineStr">
        <is>
          <t xml:space="preserve">PR </t>
        </is>
      </c>
      <c r="U3543" t="n">
        <v>9</v>
      </c>
      <c r="V3543" t="n">
        <v>9</v>
      </c>
      <c r="W3543" t="inlineStr">
        <is>
          <t>1998-12-13</t>
        </is>
      </c>
      <c r="X3543" t="inlineStr">
        <is>
          <t>1998-12-13</t>
        </is>
      </c>
      <c r="Y3543" t="inlineStr">
        <is>
          <t>1989-12-07</t>
        </is>
      </c>
      <c r="Z3543" t="inlineStr">
        <is>
          <t>1989-12-07</t>
        </is>
      </c>
      <c r="AA3543" t="n">
        <v>718</v>
      </c>
      <c r="AB3543" t="n">
        <v>511</v>
      </c>
      <c r="AC3543" t="n">
        <v>536</v>
      </c>
      <c r="AD3543" t="n">
        <v>4</v>
      </c>
      <c r="AE3543" t="n">
        <v>4</v>
      </c>
      <c r="AF3543" t="n">
        <v>23</v>
      </c>
      <c r="AG3543" t="n">
        <v>23</v>
      </c>
      <c r="AH3543" t="n">
        <v>12</v>
      </c>
      <c r="AI3543" t="n">
        <v>12</v>
      </c>
      <c r="AJ3543" t="n">
        <v>4</v>
      </c>
      <c r="AK3543" t="n">
        <v>4</v>
      </c>
      <c r="AL3543" t="n">
        <v>12</v>
      </c>
      <c r="AM3543" t="n">
        <v>12</v>
      </c>
      <c r="AN3543" t="n">
        <v>3</v>
      </c>
      <c r="AO3543" t="n">
        <v>3</v>
      </c>
      <c r="AP3543" t="n">
        <v>0</v>
      </c>
      <c r="AQ3543" t="n">
        <v>0</v>
      </c>
      <c r="AR3543" t="inlineStr">
        <is>
          <t>No</t>
        </is>
      </c>
      <c r="AS3543" t="inlineStr">
        <is>
          <t>Yes</t>
        </is>
      </c>
      <c r="AT3543">
        <f>HYPERLINK("http://catalog.hathitrust.org/Record/000926090","HathiTrust Record")</f>
        <v/>
      </c>
      <c r="AU3543">
        <f>HYPERLINK("https://creighton-primo.hosted.exlibrisgroup.com/primo-explore/search?tab=default_tab&amp;search_scope=EVERYTHING&amp;vid=01CRU&amp;lang=en_US&amp;offset=0&amp;query=any,contains,991001031899702656","Catalog Record")</f>
        <v/>
      </c>
      <c r="AV3543">
        <f>HYPERLINK("http://www.worldcat.org/oclc/15519356","WorldCat Record")</f>
        <v/>
      </c>
      <c r="AW3543" t="inlineStr">
        <is>
          <t>807142311:eng</t>
        </is>
      </c>
      <c r="AX3543" t="inlineStr">
        <is>
          <t>15519356</t>
        </is>
      </c>
      <c r="AY3543" t="inlineStr">
        <is>
          <t>991001031899702656</t>
        </is>
      </c>
      <c r="AZ3543" t="inlineStr">
        <is>
          <t>991001031899702656</t>
        </is>
      </c>
      <c r="BA3543" t="inlineStr">
        <is>
          <t>2265206150002656</t>
        </is>
      </c>
      <c r="BB3543" t="inlineStr">
        <is>
          <t>BOOK</t>
        </is>
      </c>
      <c r="BD3543" t="inlineStr">
        <is>
          <t>9780582493117</t>
        </is>
      </c>
      <c r="BE3543" t="inlineStr">
        <is>
          <t>32285000017615</t>
        </is>
      </c>
      <c r="BF3543" t="inlineStr">
        <is>
          <t>893333994</t>
        </is>
      </c>
    </row>
    <row r="3544">
      <c r="A3544" t="inlineStr">
        <is>
          <t>No</t>
        </is>
      </c>
      <c r="B3544" t="inlineStr">
        <is>
          <t>CURAL</t>
        </is>
      </c>
      <c r="C3544" t="inlineStr">
        <is>
          <t>SHELVES</t>
        </is>
      </c>
      <c r="D3544" t="inlineStr">
        <is>
          <t>PR651 .P3</t>
        </is>
      </c>
      <c r="E3544" t="inlineStr">
        <is>
          <t>0                      PR 0651000P  3</t>
        </is>
      </c>
      <c r="F3544" t="inlineStr">
        <is>
          <t>A short view of Elizabethan drama : together with some account of its principal playwrights and the conditions under which it was produced / by Thomas Marc Parrott and Robert Hamilton Ball.</t>
        </is>
      </c>
      <c r="H3544" t="inlineStr">
        <is>
          <t>No</t>
        </is>
      </c>
      <c r="I3544" t="inlineStr">
        <is>
          <t>1</t>
        </is>
      </c>
      <c r="J3544" t="inlineStr">
        <is>
          <t>No</t>
        </is>
      </c>
      <c r="K3544" t="inlineStr">
        <is>
          <t>No</t>
        </is>
      </c>
      <c r="L3544" t="inlineStr">
        <is>
          <t>0</t>
        </is>
      </c>
      <c r="M3544" t="inlineStr">
        <is>
          <t>Parrott, Thomas Marc, 1866-1960.</t>
        </is>
      </c>
      <c r="N3544" t="inlineStr">
        <is>
          <t>New York : C. Scribner's Sons, [1943]</t>
        </is>
      </c>
      <c r="O3544" t="inlineStr">
        <is>
          <t>1943</t>
        </is>
      </c>
      <c r="Q3544" t="inlineStr">
        <is>
          <t>eng</t>
        </is>
      </c>
      <c r="R3544" t="inlineStr">
        <is>
          <t>nyu</t>
        </is>
      </c>
      <c r="T3544" t="inlineStr">
        <is>
          <t xml:space="preserve">PR </t>
        </is>
      </c>
      <c r="U3544" t="n">
        <v>7</v>
      </c>
      <c r="V3544" t="n">
        <v>7</v>
      </c>
      <c r="W3544" t="inlineStr">
        <is>
          <t>1998-12-13</t>
        </is>
      </c>
      <c r="X3544" t="inlineStr">
        <is>
          <t>1998-12-13</t>
        </is>
      </c>
      <c r="Y3544" t="inlineStr">
        <is>
          <t>1994-03-21</t>
        </is>
      </c>
      <c r="Z3544" t="inlineStr">
        <is>
          <t>1994-03-21</t>
        </is>
      </c>
      <c r="AA3544" t="n">
        <v>554</v>
      </c>
      <c r="AB3544" t="n">
        <v>520</v>
      </c>
      <c r="AC3544" t="n">
        <v>1174</v>
      </c>
      <c r="AD3544" t="n">
        <v>8</v>
      </c>
      <c r="AE3544" t="n">
        <v>11</v>
      </c>
      <c r="AF3544" t="n">
        <v>32</v>
      </c>
      <c r="AG3544" t="n">
        <v>47</v>
      </c>
      <c r="AH3544" t="n">
        <v>12</v>
      </c>
      <c r="AI3544" t="n">
        <v>18</v>
      </c>
      <c r="AJ3544" t="n">
        <v>5</v>
      </c>
      <c r="AK3544" t="n">
        <v>9</v>
      </c>
      <c r="AL3544" t="n">
        <v>15</v>
      </c>
      <c r="AM3544" t="n">
        <v>20</v>
      </c>
      <c r="AN3544" t="n">
        <v>6</v>
      </c>
      <c r="AO3544" t="n">
        <v>9</v>
      </c>
      <c r="AP3544" t="n">
        <v>0</v>
      </c>
      <c r="AQ3544" t="n">
        <v>0</v>
      </c>
      <c r="AR3544" t="inlineStr">
        <is>
          <t>No</t>
        </is>
      </c>
      <c r="AS3544" t="inlineStr">
        <is>
          <t>No</t>
        </is>
      </c>
      <c r="AU3544">
        <f>HYPERLINK("https://creighton-primo.hosted.exlibrisgroup.com/primo-explore/search?tab=default_tab&amp;search_scope=EVERYTHING&amp;vid=01CRU&amp;lang=en_US&amp;offset=0&amp;query=any,contains,991001058339702656","Catalog Record")</f>
        <v/>
      </c>
      <c r="AV3544">
        <f>HYPERLINK("http://www.worldcat.org/oclc/177817","WorldCat Record")</f>
        <v/>
      </c>
      <c r="AW3544" t="inlineStr">
        <is>
          <t>1315120:eng</t>
        </is>
      </c>
      <c r="AX3544" t="inlineStr">
        <is>
          <t>177817</t>
        </is>
      </c>
      <c r="AY3544" t="inlineStr">
        <is>
          <t>991001058339702656</t>
        </is>
      </c>
      <c r="AZ3544" t="inlineStr">
        <is>
          <t>991001058339702656</t>
        </is>
      </c>
      <c r="BA3544" t="inlineStr">
        <is>
          <t>2266367330002656</t>
        </is>
      </c>
      <c r="BB3544" t="inlineStr">
        <is>
          <t>BOOK</t>
        </is>
      </c>
      <c r="BE3544" t="inlineStr">
        <is>
          <t>32285001854776</t>
        </is>
      </c>
      <c r="BF3544" t="inlineStr">
        <is>
          <t>893327846</t>
        </is>
      </c>
    </row>
    <row r="3545">
      <c r="A3545" t="inlineStr">
        <is>
          <t>No</t>
        </is>
      </c>
      <c r="B3545" t="inlineStr">
        <is>
          <t>CURAL</t>
        </is>
      </c>
      <c r="C3545" t="inlineStr">
        <is>
          <t>SHELVES</t>
        </is>
      </c>
      <c r="D3545" t="inlineStr">
        <is>
          <t>PR651 .P8</t>
        </is>
      </c>
      <c r="E3545" t="inlineStr">
        <is>
          <t>0                      PR 0651000P  8</t>
        </is>
      </c>
      <c r="F3545" t="inlineStr">
        <is>
          <t>The golden age of English drama : enjoyment of Elizabethan and Jacobean plays / S. Gorley Putt.</t>
        </is>
      </c>
      <c r="H3545" t="inlineStr">
        <is>
          <t>No</t>
        </is>
      </c>
      <c r="I3545" t="inlineStr">
        <is>
          <t>1</t>
        </is>
      </c>
      <c r="J3545" t="inlineStr">
        <is>
          <t>No</t>
        </is>
      </c>
      <c r="K3545" t="inlineStr">
        <is>
          <t>No</t>
        </is>
      </c>
      <c r="L3545" t="inlineStr">
        <is>
          <t>0</t>
        </is>
      </c>
      <c r="M3545" t="inlineStr">
        <is>
          <t>Putt, S. Gorley (Samuel Gorley)</t>
        </is>
      </c>
      <c r="N3545" t="inlineStr">
        <is>
          <t>Cambridge [Eng.] : Published on behalf of the English Association by D.S. Brewer and Rowman and Littlefield, 1981.</t>
        </is>
      </c>
      <c r="O3545" t="inlineStr">
        <is>
          <t>1981</t>
        </is>
      </c>
      <c r="Q3545" t="inlineStr">
        <is>
          <t>eng</t>
        </is>
      </c>
      <c r="R3545" t="inlineStr">
        <is>
          <t>enk</t>
        </is>
      </c>
      <c r="T3545" t="inlineStr">
        <is>
          <t xml:space="preserve">PR </t>
        </is>
      </c>
      <c r="U3545" t="n">
        <v>4</v>
      </c>
      <c r="V3545" t="n">
        <v>4</v>
      </c>
      <c r="W3545" t="inlineStr">
        <is>
          <t>1998-04-26</t>
        </is>
      </c>
      <c r="X3545" t="inlineStr">
        <is>
          <t>1998-04-26</t>
        </is>
      </c>
      <c r="Y3545" t="inlineStr">
        <is>
          <t>1991-09-10</t>
        </is>
      </c>
      <c r="Z3545" t="inlineStr">
        <is>
          <t>1991-09-10</t>
        </is>
      </c>
      <c r="AA3545" t="n">
        <v>485</v>
      </c>
      <c r="AB3545" t="n">
        <v>344</v>
      </c>
      <c r="AC3545" t="n">
        <v>351</v>
      </c>
      <c r="AD3545" t="n">
        <v>5</v>
      </c>
      <c r="AE3545" t="n">
        <v>5</v>
      </c>
      <c r="AF3545" t="n">
        <v>17</v>
      </c>
      <c r="AG3545" t="n">
        <v>17</v>
      </c>
      <c r="AH3545" t="n">
        <v>7</v>
      </c>
      <c r="AI3545" t="n">
        <v>7</v>
      </c>
      <c r="AJ3545" t="n">
        <v>4</v>
      </c>
      <c r="AK3545" t="n">
        <v>4</v>
      </c>
      <c r="AL3545" t="n">
        <v>8</v>
      </c>
      <c r="AM3545" t="n">
        <v>8</v>
      </c>
      <c r="AN3545" t="n">
        <v>4</v>
      </c>
      <c r="AO3545" t="n">
        <v>4</v>
      </c>
      <c r="AP3545" t="n">
        <v>0</v>
      </c>
      <c r="AQ3545" t="n">
        <v>0</v>
      </c>
      <c r="AR3545" t="inlineStr">
        <is>
          <t>No</t>
        </is>
      </c>
      <c r="AS3545" t="inlineStr">
        <is>
          <t>Yes</t>
        </is>
      </c>
      <c r="AT3545">
        <f>HYPERLINK("http://catalog.hathitrust.org/Record/006209989","HathiTrust Record")</f>
        <v/>
      </c>
      <c r="AU3545">
        <f>HYPERLINK("https://creighton-primo.hosted.exlibrisgroup.com/primo-explore/search?tab=default_tab&amp;search_scope=EVERYTHING&amp;vid=01CRU&amp;lang=en_US&amp;offset=0&amp;query=any,contains,991005199869702656","Catalog Record")</f>
        <v/>
      </c>
      <c r="AV3545">
        <f>HYPERLINK("http://www.worldcat.org/oclc/8430831","WorldCat Record")</f>
        <v/>
      </c>
      <c r="AW3545" t="inlineStr">
        <is>
          <t>30194799:eng</t>
        </is>
      </c>
      <c r="AX3545" t="inlineStr">
        <is>
          <t>8430831</t>
        </is>
      </c>
      <c r="AY3545" t="inlineStr">
        <is>
          <t>991005199869702656</t>
        </is>
      </c>
      <c r="AZ3545" t="inlineStr">
        <is>
          <t>991005199869702656</t>
        </is>
      </c>
      <c r="BA3545" t="inlineStr">
        <is>
          <t>2261577190002656</t>
        </is>
      </c>
      <c r="BB3545" t="inlineStr">
        <is>
          <t>BOOK</t>
        </is>
      </c>
      <c r="BD3545" t="inlineStr">
        <is>
          <t>9780847670581</t>
        </is>
      </c>
      <c r="BE3545" t="inlineStr">
        <is>
          <t>32285000739747</t>
        </is>
      </c>
      <c r="BF3545" t="inlineStr">
        <is>
          <t>893236463</t>
        </is>
      </c>
    </row>
    <row r="3546">
      <c r="A3546" t="inlineStr">
        <is>
          <t>No</t>
        </is>
      </c>
      <c r="B3546" t="inlineStr">
        <is>
          <t>CURAL</t>
        </is>
      </c>
      <c r="C3546" t="inlineStr">
        <is>
          <t>SHELVES</t>
        </is>
      </c>
      <c r="D3546" t="inlineStr">
        <is>
          <t>PR651 .S73 1968</t>
        </is>
      </c>
      <c r="E3546" t="inlineStr">
        <is>
          <t>0                      PR 0651000S  73          1968</t>
        </is>
      </c>
      <c r="F3546" t="inlineStr">
        <is>
          <t>Plays &amp; masques at court during the reigns of Elizabeth, James, and Charles.</t>
        </is>
      </c>
      <c r="H3546" t="inlineStr">
        <is>
          <t>No</t>
        </is>
      </c>
      <c r="I3546" t="inlineStr">
        <is>
          <t>1</t>
        </is>
      </c>
      <c r="J3546" t="inlineStr">
        <is>
          <t>No</t>
        </is>
      </c>
      <c r="K3546" t="inlineStr">
        <is>
          <t>No</t>
        </is>
      </c>
      <c r="L3546" t="inlineStr">
        <is>
          <t>0</t>
        </is>
      </c>
      <c r="M3546" t="inlineStr">
        <is>
          <t>Steele, Mary Susan.</t>
        </is>
      </c>
      <c r="N3546" t="inlineStr">
        <is>
          <t>New York, Russell &amp; Russell [1968]</t>
        </is>
      </c>
      <c r="O3546" t="inlineStr">
        <is>
          <t>1968</t>
        </is>
      </c>
      <c r="Q3546" t="inlineStr">
        <is>
          <t>eng</t>
        </is>
      </c>
      <c r="R3546" t="inlineStr">
        <is>
          <t>nyu</t>
        </is>
      </c>
      <c r="T3546" t="inlineStr">
        <is>
          <t xml:space="preserve">PR </t>
        </is>
      </c>
      <c r="U3546" t="n">
        <v>1</v>
      </c>
      <c r="V3546" t="n">
        <v>1</v>
      </c>
      <c r="W3546" t="inlineStr">
        <is>
          <t>2000-07-31</t>
        </is>
      </c>
      <c r="X3546" t="inlineStr">
        <is>
          <t>2000-07-31</t>
        </is>
      </c>
      <c r="Y3546" t="inlineStr">
        <is>
          <t>1997-09-11</t>
        </is>
      </c>
      <c r="Z3546" t="inlineStr">
        <is>
          <t>1997-09-11</t>
        </is>
      </c>
      <c r="AA3546" t="n">
        <v>256</v>
      </c>
      <c r="AB3546" t="n">
        <v>223</v>
      </c>
      <c r="AC3546" t="n">
        <v>489</v>
      </c>
      <c r="AD3546" t="n">
        <v>2</v>
      </c>
      <c r="AE3546" t="n">
        <v>4</v>
      </c>
      <c r="AF3546" t="n">
        <v>10</v>
      </c>
      <c r="AG3546" t="n">
        <v>26</v>
      </c>
      <c r="AH3546" t="n">
        <v>5</v>
      </c>
      <c r="AI3546" t="n">
        <v>11</v>
      </c>
      <c r="AJ3546" t="n">
        <v>3</v>
      </c>
      <c r="AK3546" t="n">
        <v>6</v>
      </c>
      <c r="AL3546" t="n">
        <v>3</v>
      </c>
      <c r="AM3546" t="n">
        <v>12</v>
      </c>
      <c r="AN3546" t="n">
        <v>1</v>
      </c>
      <c r="AO3546" t="n">
        <v>3</v>
      </c>
      <c r="AP3546" t="n">
        <v>0</v>
      </c>
      <c r="AQ3546" t="n">
        <v>0</v>
      </c>
      <c r="AR3546" t="inlineStr">
        <is>
          <t>No</t>
        </is>
      </c>
      <c r="AS3546" t="inlineStr">
        <is>
          <t>Yes</t>
        </is>
      </c>
      <c r="AT3546">
        <f>HYPERLINK("http://catalog.hathitrust.org/Record/008009366","HathiTrust Record")</f>
        <v/>
      </c>
      <c r="AU3546">
        <f>HYPERLINK("https://creighton-primo.hosted.exlibrisgroup.com/primo-explore/search?tab=default_tab&amp;search_scope=EVERYTHING&amp;vid=01CRU&amp;lang=en_US&amp;offset=0&amp;query=any,contains,991002206109702656","Catalog Record")</f>
        <v/>
      </c>
      <c r="AV3546">
        <f>HYPERLINK("http://www.worldcat.org/oclc/285834","WorldCat Record")</f>
        <v/>
      </c>
      <c r="AW3546" t="inlineStr">
        <is>
          <t>44109980:eng</t>
        </is>
      </c>
      <c r="AX3546" t="inlineStr">
        <is>
          <t>285834</t>
        </is>
      </c>
      <c r="AY3546" t="inlineStr">
        <is>
          <t>991002206109702656</t>
        </is>
      </c>
      <c r="AZ3546" t="inlineStr">
        <is>
          <t>991002206109702656</t>
        </is>
      </c>
      <c r="BA3546" t="inlineStr">
        <is>
          <t>2263115080002656</t>
        </is>
      </c>
      <c r="BB3546" t="inlineStr">
        <is>
          <t>BOOK</t>
        </is>
      </c>
      <c r="BE3546" t="inlineStr">
        <is>
          <t>32285003215323</t>
        </is>
      </c>
      <c r="BF3546" t="inlineStr">
        <is>
          <t>893903761</t>
        </is>
      </c>
    </row>
    <row r="3547">
      <c r="A3547" t="inlineStr">
        <is>
          <t>No</t>
        </is>
      </c>
      <c r="B3547" t="inlineStr">
        <is>
          <t>CURAL</t>
        </is>
      </c>
      <c r="C3547" t="inlineStr">
        <is>
          <t>SHELVES</t>
        </is>
      </c>
      <c r="D3547" t="inlineStr">
        <is>
          <t>PR653 .B67 1983</t>
        </is>
      </c>
      <c r="E3547" t="inlineStr">
        <is>
          <t>0                      PR 0653000B  67          1983</t>
        </is>
      </c>
      <c r="F3547" t="inlineStr">
        <is>
          <t>Aspects of dramatic form in the English and the Irish Renaissance / M.C. Bradbrook.</t>
        </is>
      </c>
      <c r="H3547" t="inlineStr">
        <is>
          <t>No</t>
        </is>
      </c>
      <c r="I3547" t="inlineStr">
        <is>
          <t>1</t>
        </is>
      </c>
      <c r="J3547" t="inlineStr">
        <is>
          <t>No</t>
        </is>
      </c>
      <c r="K3547" t="inlineStr">
        <is>
          <t>No</t>
        </is>
      </c>
      <c r="L3547" t="inlineStr">
        <is>
          <t>0</t>
        </is>
      </c>
      <c r="M3547" t="inlineStr">
        <is>
          <t>Bradbrook, M. C. (Muriel Clara), 1909-1993.</t>
        </is>
      </c>
      <c r="N3547" t="inlineStr">
        <is>
          <t>Brighton, Sussex : Harvester Press ; Totowa, N.J. : Barnes &amp; Noble Books, 1983.</t>
        </is>
      </c>
      <c r="O3547" t="inlineStr">
        <is>
          <t>1983</t>
        </is>
      </c>
      <c r="Q3547" t="inlineStr">
        <is>
          <t>eng</t>
        </is>
      </c>
      <c r="R3547" t="inlineStr">
        <is>
          <t>enk</t>
        </is>
      </c>
      <c r="S3547" t="inlineStr">
        <is>
          <t>The collected papers of Muriel Bradbrook ; v. 3</t>
        </is>
      </c>
      <c r="T3547" t="inlineStr">
        <is>
          <t xml:space="preserve">PR </t>
        </is>
      </c>
      <c r="U3547" t="n">
        <v>5</v>
      </c>
      <c r="V3547" t="n">
        <v>5</v>
      </c>
      <c r="W3547" t="inlineStr">
        <is>
          <t>1994-11-05</t>
        </is>
      </c>
      <c r="X3547" t="inlineStr">
        <is>
          <t>1994-11-05</t>
        </is>
      </c>
      <c r="Y3547" t="inlineStr">
        <is>
          <t>1992-02-13</t>
        </is>
      </c>
      <c r="Z3547" t="inlineStr">
        <is>
          <t>1992-02-13</t>
        </is>
      </c>
      <c r="AA3547" t="n">
        <v>582</v>
      </c>
      <c r="AB3547" t="n">
        <v>454</v>
      </c>
      <c r="AC3547" t="n">
        <v>461</v>
      </c>
      <c r="AD3547" t="n">
        <v>7</v>
      </c>
      <c r="AE3547" t="n">
        <v>7</v>
      </c>
      <c r="AF3547" t="n">
        <v>32</v>
      </c>
      <c r="AG3547" t="n">
        <v>32</v>
      </c>
      <c r="AH3547" t="n">
        <v>14</v>
      </c>
      <c r="AI3547" t="n">
        <v>14</v>
      </c>
      <c r="AJ3547" t="n">
        <v>8</v>
      </c>
      <c r="AK3547" t="n">
        <v>8</v>
      </c>
      <c r="AL3547" t="n">
        <v>14</v>
      </c>
      <c r="AM3547" t="n">
        <v>14</v>
      </c>
      <c r="AN3547" t="n">
        <v>6</v>
      </c>
      <c r="AO3547" t="n">
        <v>6</v>
      </c>
      <c r="AP3547" t="n">
        <v>0</v>
      </c>
      <c r="AQ3547" t="n">
        <v>0</v>
      </c>
      <c r="AR3547" t="inlineStr">
        <is>
          <t>No</t>
        </is>
      </c>
      <c r="AS3547" t="inlineStr">
        <is>
          <t>Yes</t>
        </is>
      </c>
      <c r="AT3547">
        <f>HYPERLINK("http://catalog.hathitrust.org/Record/000321055","HathiTrust Record")</f>
        <v/>
      </c>
      <c r="AU3547">
        <f>HYPERLINK("https://creighton-primo.hosted.exlibrisgroup.com/primo-explore/search?tab=default_tab&amp;search_scope=EVERYTHING&amp;vid=01CRU&amp;lang=en_US&amp;offset=0&amp;query=any,contains,991000321969702656","Catalog Record")</f>
        <v/>
      </c>
      <c r="AV3547">
        <f>HYPERLINK("http://www.worldcat.org/oclc/10148943","WorldCat Record")</f>
        <v/>
      </c>
      <c r="AW3547" t="inlineStr">
        <is>
          <t>3738054:eng</t>
        </is>
      </c>
      <c r="AX3547" t="inlineStr">
        <is>
          <t>10148943</t>
        </is>
      </c>
      <c r="AY3547" t="inlineStr">
        <is>
          <t>991000321969702656</t>
        </is>
      </c>
      <c r="AZ3547" t="inlineStr">
        <is>
          <t>991000321969702656</t>
        </is>
      </c>
      <c r="BA3547" t="inlineStr">
        <is>
          <t>2255249350002656</t>
        </is>
      </c>
      <c r="BB3547" t="inlineStr">
        <is>
          <t>BOOK</t>
        </is>
      </c>
      <c r="BD3547" t="inlineStr">
        <is>
          <t>9780389202967</t>
        </is>
      </c>
      <c r="BE3547" t="inlineStr">
        <is>
          <t>32285000869700</t>
        </is>
      </c>
      <c r="BF3547" t="inlineStr">
        <is>
          <t>893702014</t>
        </is>
      </c>
    </row>
    <row r="3548">
      <c r="A3548" t="inlineStr">
        <is>
          <t>No</t>
        </is>
      </c>
      <c r="B3548" t="inlineStr">
        <is>
          <t>CURAL</t>
        </is>
      </c>
      <c r="C3548" t="inlineStr">
        <is>
          <t>SHELVES</t>
        </is>
      </c>
      <c r="D3548" t="inlineStr">
        <is>
          <t>PR653 .E6</t>
        </is>
      </c>
      <c r="E3548" t="inlineStr">
        <is>
          <t>0                      PR 0653000E  6</t>
        </is>
      </c>
      <c r="F3548" t="inlineStr">
        <is>
          <t>Elizabethan essays / by T.S. Eliot.</t>
        </is>
      </c>
      <c r="H3548" t="inlineStr">
        <is>
          <t>No</t>
        </is>
      </c>
      <c r="I3548" t="inlineStr">
        <is>
          <t>1</t>
        </is>
      </c>
      <c r="J3548" t="inlineStr">
        <is>
          <t>No</t>
        </is>
      </c>
      <c r="K3548" t="inlineStr">
        <is>
          <t>No</t>
        </is>
      </c>
      <c r="L3548" t="inlineStr">
        <is>
          <t>0</t>
        </is>
      </c>
      <c r="M3548" t="inlineStr">
        <is>
          <t>Eliot, T. S. (Thomas Stearns), 1888-1965.</t>
        </is>
      </c>
      <c r="N3548" t="inlineStr">
        <is>
          <t>London : Faber &amp; Faber Limited ..., 1934.</t>
        </is>
      </c>
      <c r="O3548" t="inlineStr">
        <is>
          <t>1934</t>
        </is>
      </c>
      <c r="P3548" t="inlineStr">
        <is>
          <t>[1st ed.]</t>
        </is>
      </c>
      <c r="Q3548" t="inlineStr">
        <is>
          <t>eng</t>
        </is>
      </c>
      <c r="R3548" t="inlineStr">
        <is>
          <t>enk</t>
        </is>
      </c>
      <c r="S3548" t="inlineStr">
        <is>
          <t>The Faber library ; no. 24</t>
        </is>
      </c>
      <c r="T3548" t="inlineStr">
        <is>
          <t xml:space="preserve">PR </t>
        </is>
      </c>
      <c r="U3548" t="n">
        <v>4</v>
      </c>
      <c r="V3548" t="n">
        <v>4</v>
      </c>
      <c r="W3548" t="inlineStr">
        <is>
          <t>2006-02-17</t>
        </is>
      </c>
      <c r="X3548" t="inlineStr">
        <is>
          <t>2006-02-17</t>
        </is>
      </c>
      <c r="Y3548" t="inlineStr">
        <is>
          <t>1997-09-11</t>
        </is>
      </c>
      <c r="Z3548" t="inlineStr">
        <is>
          <t>1997-09-11</t>
        </is>
      </c>
      <c r="AA3548" t="n">
        <v>301</v>
      </c>
      <c r="AB3548" t="n">
        <v>222</v>
      </c>
      <c r="AC3548" t="n">
        <v>699</v>
      </c>
      <c r="AD3548" t="n">
        <v>2</v>
      </c>
      <c r="AE3548" t="n">
        <v>7</v>
      </c>
      <c r="AF3548" t="n">
        <v>13</v>
      </c>
      <c r="AG3548" t="n">
        <v>39</v>
      </c>
      <c r="AH3548" t="n">
        <v>2</v>
      </c>
      <c r="AI3548" t="n">
        <v>15</v>
      </c>
      <c r="AJ3548" t="n">
        <v>3</v>
      </c>
      <c r="AK3548" t="n">
        <v>10</v>
      </c>
      <c r="AL3548" t="n">
        <v>10</v>
      </c>
      <c r="AM3548" t="n">
        <v>18</v>
      </c>
      <c r="AN3548" t="n">
        <v>1</v>
      </c>
      <c r="AO3548" t="n">
        <v>6</v>
      </c>
      <c r="AP3548" t="n">
        <v>0</v>
      </c>
      <c r="AQ3548" t="n">
        <v>0</v>
      </c>
      <c r="AR3548" t="inlineStr">
        <is>
          <t>No</t>
        </is>
      </c>
      <c r="AS3548" t="inlineStr">
        <is>
          <t>Yes</t>
        </is>
      </c>
      <c r="AT3548">
        <f>HYPERLINK("http://catalog.hathitrust.org/Record/001016620","HathiTrust Record")</f>
        <v/>
      </c>
      <c r="AU3548">
        <f>HYPERLINK("https://creighton-primo.hosted.exlibrisgroup.com/primo-explore/search?tab=default_tab&amp;search_scope=EVERYTHING&amp;vid=01CRU&amp;lang=en_US&amp;offset=0&amp;query=any,contains,991000249239702656","Catalog Record")</f>
        <v/>
      </c>
      <c r="AV3548">
        <f>HYPERLINK("http://www.worldcat.org/oclc/9738219","WorldCat Record")</f>
        <v/>
      </c>
      <c r="AW3548" t="inlineStr">
        <is>
          <t>2486746527:eng</t>
        </is>
      </c>
      <c r="AX3548" t="inlineStr">
        <is>
          <t>9738219</t>
        </is>
      </c>
      <c r="AY3548" t="inlineStr">
        <is>
          <t>991000249239702656</t>
        </is>
      </c>
      <c r="AZ3548" t="inlineStr">
        <is>
          <t>991000249239702656</t>
        </is>
      </c>
      <c r="BA3548" t="inlineStr">
        <is>
          <t>2267053200002656</t>
        </is>
      </c>
      <c r="BB3548" t="inlineStr">
        <is>
          <t>BOOK</t>
        </is>
      </c>
      <c r="BE3548" t="inlineStr">
        <is>
          <t>32285003215364</t>
        </is>
      </c>
      <c r="BF3548" t="inlineStr">
        <is>
          <t>893224864</t>
        </is>
      </c>
    </row>
    <row r="3549">
      <c r="A3549" t="inlineStr">
        <is>
          <t>No</t>
        </is>
      </c>
      <c r="B3549" t="inlineStr">
        <is>
          <t>CURAL</t>
        </is>
      </c>
      <c r="C3549" t="inlineStr">
        <is>
          <t>SHELVES</t>
        </is>
      </c>
      <c r="D3549" t="inlineStr">
        <is>
          <t>PR653 .E69 1976</t>
        </is>
      </c>
      <c r="E3549" t="inlineStr">
        <is>
          <t>0                      PR 0653000E  69          1976</t>
        </is>
      </c>
      <c r="F3549" t="inlineStr">
        <is>
          <t>English Renaissance drama : essays in honor of Madeleine Doran &amp; Mark Eccles / edited by Standish Henning, Robert Kimbrough, Richard Knowles.</t>
        </is>
      </c>
      <c r="H3549" t="inlineStr">
        <is>
          <t>No</t>
        </is>
      </c>
      <c r="I3549" t="inlineStr">
        <is>
          <t>1</t>
        </is>
      </c>
      <c r="J3549" t="inlineStr">
        <is>
          <t>No</t>
        </is>
      </c>
      <c r="K3549" t="inlineStr">
        <is>
          <t>No</t>
        </is>
      </c>
      <c r="L3549" t="inlineStr">
        <is>
          <t>0</t>
        </is>
      </c>
      <c r="N3549" t="inlineStr">
        <is>
          <t>Carbondale : Southern Illinois University Press, c1976.</t>
        </is>
      </c>
      <c r="O3549" t="inlineStr">
        <is>
          <t>1976</t>
        </is>
      </c>
      <c r="Q3549" t="inlineStr">
        <is>
          <t>eng</t>
        </is>
      </c>
      <c r="R3549" t="inlineStr">
        <is>
          <t>ilu</t>
        </is>
      </c>
      <c r="T3549" t="inlineStr">
        <is>
          <t xml:space="preserve">PR </t>
        </is>
      </c>
      <c r="U3549" t="n">
        <v>9</v>
      </c>
      <c r="V3549" t="n">
        <v>9</v>
      </c>
      <c r="W3549" t="inlineStr">
        <is>
          <t>1998-11-19</t>
        </is>
      </c>
      <c r="X3549" t="inlineStr">
        <is>
          <t>1998-11-19</t>
        </is>
      </c>
      <c r="Y3549" t="inlineStr">
        <is>
          <t>1991-09-12</t>
        </is>
      </c>
      <c r="Z3549" t="inlineStr">
        <is>
          <t>1991-09-12</t>
        </is>
      </c>
      <c r="AA3549" t="n">
        <v>543</v>
      </c>
      <c r="AB3549" t="n">
        <v>481</v>
      </c>
      <c r="AC3549" t="n">
        <v>484</v>
      </c>
      <c r="AD3549" t="n">
        <v>6</v>
      </c>
      <c r="AE3549" t="n">
        <v>6</v>
      </c>
      <c r="AF3549" t="n">
        <v>24</v>
      </c>
      <c r="AG3549" t="n">
        <v>24</v>
      </c>
      <c r="AH3549" t="n">
        <v>6</v>
      </c>
      <c r="AI3549" t="n">
        <v>6</v>
      </c>
      <c r="AJ3549" t="n">
        <v>9</v>
      </c>
      <c r="AK3549" t="n">
        <v>9</v>
      </c>
      <c r="AL3549" t="n">
        <v>9</v>
      </c>
      <c r="AM3549" t="n">
        <v>9</v>
      </c>
      <c r="AN3549" t="n">
        <v>5</v>
      </c>
      <c r="AO3549" t="n">
        <v>5</v>
      </c>
      <c r="AP3549" t="n">
        <v>0</v>
      </c>
      <c r="AQ3549" t="n">
        <v>0</v>
      </c>
      <c r="AR3549" t="inlineStr">
        <is>
          <t>No</t>
        </is>
      </c>
      <c r="AS3549" t="inlineStr">
        <is>
          <t>Yes</t>
        </is>
      </c>
      <c r="AT3549">
        <f>HYPERLINK("http://catalog.hathitrust.org/Record/000729761","HathiTrust Record")</f>
        <v/>
      </c>
      <c r="AU3549">
        <f>HYPERLINK("https://creighton-primo.hosted.exlibrisgroup.com/primo-explore/search?tab=default_tab&amp;search_scope=EVERYTHING&amp;vid=01CRU&amp;lang=en_US&amp;offset=0&amp;query=any,contains,991004076419702656","Catalog Record")</f>
        <v/>
      </c>
      <c r="AV3549">
        <f>HYPERLINK("http://www.worldcat.org/oclc/2318174","WorldCat Record")</f>
        <v/>
      </c>
      <c r="AW3549" t="inlineStr">
        <is>
          <t>908877976:eng</t>
        </is>
      </c>
      <c r="AX3549" t="inlineStr">
        <is>
          <t>2318174</t>
        </is>
      </c>
      <c r="AY3549" t="inlineStr">
        <is>
          <t>991004076419702656</t>
        </is>
      </c>
      <c r="AZ3549" t="inlineStr">
        <is>
          <t>991004076419702656</t>
        </is>
      </c>
      <c r="BA3549" t="inlineStr">
        <is>
          <t>2263946440002656</t>
        </is>
      </c>
      <c r="BB3549" t="inlineStr">
        <is>
          <t>BOOK</t>
        </is>
      </c>
      <c r="BD3549" t="inlineStr">
        <is>
          <t>9780809307777</t>
        </is>
      </c>
      <c r="BE3549" t="inlineStr">
        <is>
          <t>32285000739762</t>
        </is>
      </c>
      <c r="BF3549" t="inlineStr">
        <is>
          <t>893869253</t>
        </is>
      </c>
    </row>
    <row r="3550">
      <c r="A3550" t="inlineStr">
        <is>
          <t>No</t>
        </is>
      </c>
      <c r="B3550" t="inlineStr">
        <is>
          <t>CURAL</t>
        </is>
      </c>
      <c r="C3550" t="inlineStr">
        <is>
          <t>SHELVES</t>
        </is>
      </c>
      <c r="D3550" t="inlineStr">
        <is>
          <t>PR653 .K3</t>
        </is>
      </c>
      <c r="E3550" t="inlineStr">
        <is>
          <t>0                      PR 0653000K  3</t>
        </is>
      </c>
      <c r="F3550" t="inlineStr">
        <is>
          <t>Elizabethan drama; modern essays in criticism.</t>
        </is>
      </c>
      <c r="H3550" t="inlineStr">
        <is>
          <t>No</t>
        </is>
      </c>
      <c r="I3550" t="inlineStr">
        <is>
          <t>1</t>
        </is>
      </c>
      <c r="J3550" t="inlineStr">
        <is>
          <t>No</t>
        </is>
      </c>
      <c r="K3550" t="inlineStr">
        <is>
          <t>No</t>
        </is>
      </c>
      <c r="L3550" t="inlineStr">
        <is>
          <t>0</t>
        </is>
      </c>
      <c r="M3550" t="inlineStr">
        <is>
          <t>Kaufmann, R. J. (Ralph James), 1924-, editor.</t>
        </is>
      </c>
      <c r="N3550" t="inlineStr">
        <is>
          <t>New York, Oxford University Press, 1961.</t>
        </is>
      </c>
      <c r="O3550" t="inlineStr">
        <is>
          <t>1961</t>
        </is>
      </c>
      <c r="Q3550" t="inlineStr">
        <is>
          <t>eng</t>
        </is>
      </c>
      <c r="R3550" t="inlineStr">
        <is>
          <t>nyu</t>
        </is>
      </c>
      <c r="S3550" t="inlineStr">
        <is>
          <t>A Galaxy book, GB63</t>
        </is>
      </c>
      <c r="T3550" t="inlineStr">
        <is>
          <t xml:space="preserve">PR </t>
        </is>
      </c>
      <c r="U3550" t="n">
        <v>3</v>
      </c>
      <c r="V3550" t="n">
        <v>3</v>
      </c>
      <c r="W3550" t="inlineStr">
        <is>
          <t>1998-12-13</t>
        </is>
      </c>
      <c r="X3550" t="inlineStr">
        <is>
          <t>1998-12-13</t>
        </is>
      </c>
      <c r="Y3550" t="inlineStr">
        <is>
          <t>1997-09-11</t>
        </is>
      </c>
      <c r="Z3550" t="inlineStr">
        <is>
          <t>1997-09-11</t>
        </is>
      </c>
      <c r="AA3550" t="n">
        <v>1245</v>
      </c>
      <c r="AB3550" t="n">
        <v>1052</v>
      </c>
      <c r="AC3550" t="n">
        <v>1074</v>
      </c>
      <c r="AD3550" t="n">
        <v>8</v>
      </c>
      <c r="AE3550" t="n">
        <v>8</v>
      </c>
      <c r="AF3550" t="n">
        <v>41</v>
      </c>
      <c r="AG3550" t="n">
        <v>43</v>
      </c>
      <c r="AH3550" t="n">
        <v>15</v>
      </c>
      <c r="AI3550" t="n">
        <v>16</v>
      </c>
      <c r="AJ3550" t="n">
        <v>8</v>
      </c>
      <c r="AK3550" t="n">
        <v>9</v>
      </c>
      <c r="AL3550" t="n">
        <v>20</v>
      </c>
      <c r="AM3550" t="n">
        <v>20</v>
      </c>
      <c r="AN3550" t="n">
        <v>7</v>
      </c>
      <c r="AO3550" t="n">
        <v>7</v>
      </c>
      <c r="AP3550" t="n">
        <v>0</v>
      </c>
      <c r="AQ3550" t="n">
        <v>0</v>
      </c>
      <c r="AR3550" t="inlineStr">
        <is>
          <t>No</t>
        </is>
      </c>
      <c r="AS3550" t="inlineStr">
        <is>
          <t>No</t>
        </is>
      </c>
      <c r="AT3550">
        <f>HYPERLINK("http://catalog.hathitrust.org/Record/001016623","HathiTrust Record")</f>
        <v/>
      </c>
      <c r="AU3550">
        <f>HYPERLINK("https://creighton-primo.hosted.exlibrisgroup.com/primo-explore/search?tab=default_tab&amp;search_scope=EVERYTHING&amp;vid=01CRU&amp;lang=en_US&amp;offset=0&amp;query=any,contains,991002010219702656","Catalog Record")</f>
        <v/>
      </c>
      <c r="AV3550">
        <f>HYPERLINK("http://www.worldcat.org/oclc/258855","WorldCat Record")</f>
        <v/>
      </c>
      <c r="AW3550" t="inlineStr">
        <is>
          <t>865018192:eng</t>
        </is>
      </c>
      <c r="AX3550" t="inlineStr">
        <is>
          <t>258855</t>
        </is>
      </c>
      <c r="AY3550" t="inlineStr">
        <is>
          <t>991002010219702656</t>
        </is>
      </c>
      <c r="AZ3550" t="inlineStr">
        <is>
          <t>991002010219702656</t>
        </is>
      </c>
      <c r="BA3550" t="inlineStr">
        <is>
          <t>2271718510002656</t>
        </is>
      </c>
      <c r="BB3550" t="inlineStr">
        <is>
          <t>BOOK</t>
        </is>
      </c>
      <c r="BE3550" t="inlineStr">
        <is>
          <t>32285003215398</t>
        </is>
      </c>
      <c r="BF3550" t="inlineStr">
        <is>
          <t>893250708</t>
        </is>
      </c>
    </row>
    <row r="3551">
      <c r="A3551" t="inlineStr">
        <is>
          <t>No</t>
        </is>
      </c>
      <c r="B3551" t="inlineStr">
        <is>
          <t>CURAL</t>
        </is>
      </c>
      <c r="C3551" t="inlineStr">
        <is>
          <t>SHELVES</t>
        </is>
      </c>
      <c r="D3551" t="inlineStr">
        <is>
          <t>PR653 .R4</t>
        </is>
      </c>
      <c r="E3551" t="inlineStr">
        <is>
          <t>0                      PR 0653000R  4</t>
        </is>
      </c>
      <c r="F3551" t="inlineStr">
        <is>
          <t>Reinterpretations of Elizabethan drama; selected papers from the English Institute. Edited with a foreword by Norman Rabkin.</t>
        </is>
      </c>
      <c r="H3551" t="inlineStr">
        <is>
          <t>No</t>
        </is>
      </c>
      <c r="I3551" t="inlineStr">
        <is>
          <t>1</t>
        </is>
      </c>
      <c r="J3551" t="inlineStr">
        <is>
          <t>No</t>
        </is>
      </c>
      <c r="K3551" t="inlineStr">
        <is>
          <t>No</t>
        </is>
      </c>
      <c r="L3551" t="inlineStr">
        <is>
          <t>0</t>
        </is>
      </c>
      <c r="N3551" t="inlineStr">
        <is>
          <t>New York, Columbia University Press, 1969.</t>
        </is>
      </c>
      <c r="O3551" t="inlineStr">
        <is>
          <t>1969</t>
        </is>
      </c>
      <c r="Q3551" t="inlineStr">
        <is>
          <t>eng</t>
        </is>
      </c>
      <c r="R3551" t="inlineStr">
        <is>
          <t>nyu</t>
        </is>
      </c>
      <c r="T3551" t="inlineStr">
        <is>
          <t xml:space="preserve">PR </t>
        </is>
      </c>
      <c r="U3551" t="n">
        <v>3</v>
      </c>
      <c r="V3551" t="n">
        <v>3</v>
      </c>
      <c r="W3551" t="inlineStr">
        <is>
          <t>1998-11-19</t>
        </is>
      </c>
      <c r="X3551" t="inlineStr">
        <is>
          <t>1998-11-19</t>
        </is>
      </c>
      <c r="Y3551" t="inlineStr">
        <is>
          <t>1997-09-11</t>
        </is>
      </c>
      <c r="Z3551" t="inlineStr">
        <is>
          <t>1997-09-11</t>
        </is>
      </c>
      <c r="AA3551" t="n">
        <v>1045</v>
      </c>
      <c r="AB3551" t="n">
        <v>923</v>
      </c>
      <c r="AC3551" t="n">
        <v>1033</v>
      </c>
      <c r="AD3551" t="n">
        <v>8</v>
      </c>
      <c r="AE3551" t="n">
        <v>9</v>
      </c>
      <c r="AF3551" t="n">
        <v>47</v>
      </c>
      <c r="AG3551" t="n">
        <v>53</v>
      </c>
      <c r="AH3551" t="n">
        <v>20</v>
      </c>
      <c r="AI3551" t="n">
        <v>25</v>
      </c>
      <c r="AJ3551" t="n">
        <v>10</v>
      </c>
      <c r="AK3551" t="n">
        <v>11</v>
      </c>
      <c r="AL3551" t="n">
        <v>22</v>
      </c>
      <c r="AM3551" t="n">
        <v>22</v>
      </c>
      <c r="AN3551" t="n">
        <v>7</v>
      </c>
      <c r="AO3551" t="n">
        <v>8</v>
      </c>
      <c r="AP3551" t="n">
        <v>0</v>
      </c>
      <c r="AQ3551" t="n">
        <v>0</v>
      </c>
      <c r="AR3551" t="inlineStr">
        <is>
          <t>No</t>
        </is>
      </c>
      <c r="AS3551" t="inlineStr">
        <is>
          <t>No</t>
        </is>
      </c>
      <c r="AU3551">
        <f>HYPERLINK("https://creighton-primo.hosted.exlibrisgroup.com/primo-explore/search?tab=default_tab&amp;search_scope=EVERYTHING&amp;vid=01CRU&amp;lang=en_US&amp;offset=0&amp;query=any,contains,991000083299702656","Catalog Record")</f>
        <v/>
      </c>
      <c r="AV3551">
        <f>HYPERLINK("http://www.worldcat.org/oclc/32524","WorldCat Record")</f>
        <v/>
      </c>
      <c r="AW3551" t="inlineStr">
        <is>
          <t>118088464:eng</t>
        </is>
      </c>
      <c r="AX3551" t="inlineStr">
        <is>
          <t>32524</t>
        </is>
      </c>
      <c r="AY3551" t="inlineStr">
        <is>
          <t>991000083299702656</t>
        </is>
      </c>
      <c r="AZ3551" t="inlineStr">
        <is>
          <t>991000083299702656</t>
        </is>
      </c>
      <c r="BA3551" t="inlineStr">
        <is>
          <t>2258343910002656</t>
        </is>
      </c>
      <c r="BB3551" t="inlineStr">
        <is>
          <t>BOOK</t>
        </is>
      </c>
      <c r="BD3551" t="inlineStr">
        <is>
          <t>9780231033282</t>
        </is>
      </c>
      <c r="BE3551" t="inlineStr">
        <is>
          <t>32285003215414</t>
        </is>
      </c>
      <c r="BF3551" t="inlineStr">
        <is>
          <t>893425398</t>
        </is>
      </c>
    </row>
    <row r="3552">
      <c r="A3552" t="inlineStr">
        <is>
          <t>No</t>
        </is>
      </c>
      <c r="B3552" t="inlineStr">
        <is>
          <t>CURAL</t>
        </is>
      </c>
      <c r="C3552" t="inlineStr">
        <is>
          <t>SHELVES</t>
        </is>
      </c>
      <c r="D3552" t="inlineStr">
        <is>
          <t>PR654 .B4</t>
        </is>
      </c>
      <c r="E3552" t="inlineStr">
        <is>
          <t>0                      PR 0654000B  4</t>
        </is>
      </c>
      <c r="F3552" t="inlineStr">
        <is>
          <t>Studies in the English Renaissance drama; edited by Josephine W. Bennett, Oscar Cargill [and] Vernon Hall, Jr.</t>
        </is>
      </c>
      <c r="H3552" t="inlineStr">
        <is>
          <t>No</t>
        </is>
      </c>
      <c r="I3552" t="inlineStr">
        <is>
          <t>1</t>
        </is>
      </c>
      <c r="J3552" t="inlineStr">
        <is>
          <t>No</t>
        </is>
      </c>
      <c r="K3552" t="inlineStr">
        <is>
          <t>No</t>
        </is>
      </c>
      <c r="L3552" t="inlineStr">
        <is>
          <t>0</t>
        </is>
      </c>
      <c r="M3552" t="inlineStr">
        <is>
          <t>Bennett, Josephine Waters.</t>
        </is>
      </c>
      <c r="N3552" t="inlineStr">
        <is>
          <t>New York, New York University Press, 1959.</t>
        </is>
      </c>
      <c r="O3552" t="inlineStr">
        <is>
          <t>1959</t>
        </is>
      </c>
      <c r="Q3552" t="inlineStr">
        <is>
          <t>eng</t>
        </is>
      </c>
      <c r="R3552" t="inlineStr">
        <is>
          <t>nyu</t>
        </is>
      </c>
      <c r="T3552" t="inlineStr">
        <is>
          <t xml:space="preserve">PR </t>
        </is>
      </c>
      <c r="U3552" t="n">
        <v>2</v>
      </c>
      <c r="V3552" t="n">
        <v>2</v>
      </c>
      <c r="W3552" t="inlineStr">
        <is>
          <t>1998-12-03</t>
        </is>
      </c>
      <c r="X3552" t="inlineStr">
        <is>
          <t>1998-12-03</t>
        </is>
      </c>
      <c r="Y3552" t="inlineStr">
        <is>
          <t>1997-09-11</t>
        </is>
      </c>
      <c r="Z3552" t="inlineStr">
        <is>
          <t>1997-09-11</t>
        </is>
      </c>
      <c r="AA3552" t="n">
        <v>667</v>
      </c>
      <c r="AB3552" t="n">
        <v>622</v>
      </c>
      <c r="AC3552" t="n">
        <v>639</v>
      </c>
      <c r="AD3552" t="n">
        <v>5</v>
      </c>
      <c r="AE3552" t="n">
        <v>5</v>
      </c>
      <c r="AF3552" t="n">
        <v>37</v>
      </c>
      <c r="AG3552" t="n">
        <v>38</v>
      </c>
      <c r="AH3552" t="n">
        <v>15</v>
      </c>
      <c r="AI3552" t="n">
        <v>16</v>
      </c>
      <c r="AJ3552" t="n">
        <v>6</v>
      </c>
      <c r="AK3552" t="n">
        <v>6</v>
      </c>
      <c r="AL3552" t="n">
        <v>20</v>
      </c>
      <c r="AM3552" t="n">
        <v>21</v>
      </c>
      <c r="AN3552" t="n">
        <v>4</v>
      </c>
      <c r="AO3552" t="n">
        <v>4</v>
      </c>
      <c r="AP3552" t="n">
        <v>0</v>
      </c>
      <c r="AQ3552" t="n">
        <v>0</v>
      </c>
      <c r="AR3552" t="inlineStr">
        <is>
          <t>No</t>
        </is>
      </c>
      <c r="AS3552" t="inlineStr">
        <is>
          <t>No</t>
        </is>
      </c>
      <c r="AU3552">
        <f>HYPERLINK("https://creighton-primo.hosted.exlibrisgroup.com/primo-explore/search?tab=default_tab&amp;search_scope=EVERYTHING&amp;vid=01CRU&amp;lang=en_US&amp;offset=0&amp;query=any,contains,991003438239702656","Catalog Record")</f>
        <v/>
      </c>
      <c r="AV3552">
        <f>HYPERLINK("http://www.worldcat.org/oclc/974037","WorldCat Record")</f>
        <v/>
      </c>
      <c r="AW3552" t="inlineStr">
        <is>
          <t>510077105:eng</t>
        </is>
      </c>
      <c r="AX3552" t="inlineStr">
        <is>
          <t>974037</t>
        </is>
      </c>
      <c r="AY3552" t="inlineStr">
        <is>
          <t>991003438239702656</t>
        </is>
      </c>
      <c r="AZ3552" t="inlineStr">
        <is>
          <t>991003438239702656</t>
        </is>
      </c>
      <c r="BA3552" t="inlineStr">
        <is>
          <t>2257923540002656</t>
        </is>
      </c>
      <c r="BB3552" t="inlineStr">
        <is>
          <t>BOOK</t>
        </is>
      </c>
      <c r="BE3552" t="inlineStr">
        <is>
          <t>32285003215430</t>
        </is>
      </c>
      <c r="BF3552" t="inlineStr">
        <is>
          <t>893611039</t>
        </is>
      </c>
    </row>
    <row r="3553">
      <c r="A3553" t="inlineStr">
        <is>
          <t>No</t>
        </is>
      </c>
      <c r="B3553" t="inlineStr">
        <is>
          <t>CURAL</t>
        </is>
      </c>
      <c r="C3553" t="inlineStr">
        <is>
          <t>SHELVES</t>
        </is>
      </c>
      <c r="D3553" t="inlineStr">
        <is>
          <t>PR655 .C8</t>
        </is>
      </c>
      <c r="E3553" t="inlineStr">
        <is>
          <t>0                      PR 0655000C  8</t>
        </is>
      </c>
      <c r="F3553" t="inlineStr">
        <is>
          <t>The influence of Seneca on Elizabethan tragedy, an essay, by John W. Cunliffe... London and New York, Macmillan and co., 1893.</t>
        </is>
      </c>
      <c r="H3553" t="inlineStr">
        <is>
          <t>No</t>
        </is>
      </c>
      <c r="I3553" t="inlineStr">
        <is>
          <t>1</t>
        </is>
      </c>
      <c r="J3553" t="inlineStr">
        <is>
          <t>No</t>
        </is>
      </c>
      <c r="K3553" t="inlineStr">
        <is>
          <t>No</t>
        </is>
      </c>
      <c r="L3553" t="inlineStr">
        <is>
          <t>0</t>
        </is>
      </c>
      <c r="M3553" t="inlineStr">
        <is>
          <t>Cunliffe, John William, 1865-1946.</t>
        </is>
      </c>
      <c r="N3553" t="inlineStr">
        <is>
          <t>New York, G.E.Stechert &amp; co., anastatic reprint, 1907.</t>
        </is>
      </c>
      <c r="O3553" t="inlineStr">
        <is>
          <t>1907</t>
        </is>
      </c>
      <c r="Q3553" t="inlineStr">
        <is>
          <t>eng</t>
        </is>
      </c>
      <c r="R3553" t="inlineStr">
        <is>
          <t>nyu</t>
        </is>
      </c>
      <c r="T3553" t="inlineStr">
        <is>
          <t xml:space="preserve">PR </t>
        </is>
      </c>
      <c r="U3553" t="n">
        <v>1</v>
      </c>
      <c r="V3553" t="n">
        <v>1</v>
      </c>
      <c r="W3553" t="inlineStr">
        <is>
          <t>2009-11-30</t>
        </is>
      </c>
      <c r="X3553" t="inlineStr">
        <is>
          <t>2009-11-30</t>
        </is>
      </c>
      <c r="Y3553" t="inlineStr">
        <is>
          <t>1997-09-11</t>
        </is>
      </c>
      <c r="Z3553" t="inlineStr">
        <is>
          <t>1997-09-11</t>
        </is>
      </c>
      <c r="AA3553" t="n">
        <v>87</v>
      </c>
      <c r="AB3553" t="n">
        <v>87</v>
      </c>
      <c r="AC3553" t="n">
        <v>714</v>
      </c>
      <c r="AD3553" t="n">
        <v>1</v>
      </c>
      <c r="AE3553" t="n">
        <v>5</v>
      </c>
      <c r="AF3553" t="n">
        <v>2</v>
      </c>
      <c r="AG3553" t="n">
        <v>37</v>
      </c>
      <c r="AH3553" t="n">
        <v>0</v>
      </c>
      <c r="AI3553" t="n">
        <v>14</v>
      </c>
      <c r="AJ3553" t="n">
        <v>1</v>
      </c>
      <c r="AK3553" t="n">
        <v>8</v>
      </c>
      <c r="AL3553" t="n">
        <v>2</v>
      </c>
      <c r="AM3553" t="n">
        <v>20</v>
      </c>
      <c r="AN3553" t="n">
        <v>0</v>
      </c>
      <c r="AO3553" t="n">
        <v>4</v>
      </c>
      <c r="AP3553" t="n">
        <v>0</v>
      </c>
      <c r="AQ3553" t="n">
        <v>0</v>
      </c>
      <c r="AR3553" t="inlineStr">
        <is>
          <t>Yes</t>
        </is>
      </c>
      <c r="AS3553" t="inlineStr">
        <is>
          <t>No</t>
        </is>
      </c>
      <c r="AT3553">
        <f>HYPERLINK("http://catalog.hathitrust.org/Record/009024112","HathiTrust Record")</f>
        <v/>
      </c>
      <c r="AU3553">
        <f>HYPERLINK("https://creighton-primo.hosted.exlibrisgroup.com/primo-explore/search?tab=default_tab&amp;search_scope=EVERYTHING&amp;vid=01CRU&amp;lang=en_US&amp;offset=0&amp;query=any,contains,991004080129702656","Catalog Record")</f>
        <v/>
      </c>
      <c r="AV3553">
        <f>HYPERLINK("http://www.worldcat.org/oclc/2325505","WorldCat Record")</f>
        <v/>
      </c>
      <c r="AW3553" t="inlineStr">
        <is>
          <t>429292616:eng</t>
        </is>
      </c>
      <c r="AX3553" t="inlineStr">
        <is>
          <t>2325505</t>
        </is>
      </c>
      <c r="AY3553" t="inlineStr">
        <is>
          <t>991004080129702656</t>
        </is>
      </c>
      <c r="AZ3553" t="inlineStr">
        <is>
          <t>991004080129702656</t>
        </is>
      </c>
      <c r="BA3553" t="inlineStr">
        <is>
          <t>2259860000002656</t>
        </is>
      </c>
      <c r="BB3553" t="inlineStr">
        <is>
          <t>BOOK</t>
        </is>
      </c>
      <c r="BE3553" t="inlineStr">
        <is>
          <t>32285003215455</t>
        </is>
      </c>
      <c r="BF3553" t="inlineStr">
        <is>
          <t>893259305</t>
        </is>
      </c>
    </row>
    <row r="3554">
      <c r="A3554" t="inlineStr">
        <is>
          <t>No</t>
        </is>
      </c>
      <c r="B3554" t="inlineStr">
        <is>
          <t>CURAL</t>
        </is>
      </c>
      <c r="C3554" t="inlineStr">
        <is>
          <t>SHELVES</t>
        </is>
      </c>
      <c r="D3554" t="inlineStr">
        <is>
          <t>PR658.A4 T6 1982</t>
        </is>
      </c>
      <c r="E3554" t="inlineStr">
        <is>
          <t>0                      PR 0658000A  4                  T  6           1982</t>
        </is>
      </c>
      <c r="F3554" t="inlineStr">
        <is>
          <t>The popular image of the black man in English drama, 1550-1688 / Elliot H. Tokson.</t>
        </is>
      </c>
      <c r="H3554" t="inlineStr">
        <is>
          <t>No</t>
        </is>
      </c>
      <c r="I3554" t="inlineStr">
        <is>
          <t>1</t>
        </is>
      </c>
      <c r="J3554" t="inlineStr">
        <is>
          <t>No</t>
        </is>
      </c>
      <c r="K3554" t="inlineStr">
        <is>
          <t>No</t>
        </is>
      </c>
      <c r="L3554" t="inlineStr">
        <is>
          <t>0</t>
        </is>
      </c>
      <c r="M3554" t="inlineStr">
        <is>
          <t>Tokson, Elliot H.</t>
        </is>
      </c>
      <c r="N3554" t="inlineStr">
        <is>
          <t>Boston, Mass. : G.K. Hall, c1982.</t>
        </is>
      </c>
      <c r="O3554" t="inlineStr">
        <is>
          <t>1982</t>
        </is>
      </c>
      <c r="Q3554" t="inlineStr">
        <is>
          <t>eng</t>
        </is>
      </c>
      <c r="R3554" t="inlineStr">
        <is>
          <t>mau</t>
        </is>
      </c>
      <c r="T3554" t="inlineStr">
        <is>
          <t xml:space="preserve">PR </t>
        </is>
      </c>
      <c r="U3554" t="n">
        <v>3</v>
      </c>
      <c r="V3554" t="n">
        <v>3</v>
      </c>
      <c r="W3554" t="inlineStr">
        <is>
          <t>1993-12-08</t>
        </is>
      </c>
      <c r="X3554" t="inlineStr">
        <is>
          <t>1993-12-08</t>
        </is>
      </c>
      <c r="Y3554" t="inlineStr">
        <is>
          <t>1991-09-10</t>
        </is>
      </c>
      <c r="Z3554" t="inlineStr">
        <is>
          <t>1991-09-10</t>
        </is>
      </c>
      <c r="AA3554" t="n">
        <v>322</v>
      </c>
      <c r="AB3554" t="n">
        <v>275</v>
      </c>
      <c r="AC3554" t="n">
        <v>277</v>
      </c>
      <c r="AD3554" t="n">
        <v>3</v>
      </c>
      <c r="AE3554" t="n">
        <v>3</v>
      </c>
      <c r="AF3554" t="n">
        <v>9</v>
      </c>
      <c r="AG3554" t="n">
        <v>9</v>
      </c>
      <c r="AH3554" t="n">
        <v>3</v>
      </c>
      <c r="AI3554" t="n">
        <v>3</v>
      </c>
      <c r="AJ3554" t="n">
        <v>3</v>
      </c>
      <c r="AK3554" t="n">
        <v>3</v>
      </c>
      <c r="AL3554" t="n">
        <v>4</v>
      </c>
      <c r="AM3554" t="n">
        <v>4</v>
      </c>
      <c r="AN3554" t="n">
        <v>2</v>
      </c>
      <c r="AO3554" t="n">
        <v>2</v>
      </c>
      <c r="AP3554" t="n">
        <v>0</v>
      </c>
      <c r="AQ3554" t="n">
        <v>0</v>
      </c>
      <c r="AR3554" t="inlineStr">
        <is>
          <t>No</t>
        </is>
      </c>
      <c r="AS3554" t="inlineStr">
        <is>
          <t>No</t>
        </is>
      </c>
      <c r="AU3554">
        <f>HYPERLINK("https://creighton-primo.hosted.exlibrisgroup.com/primo-explore/search?tab=default_tab&amp;search_scope=EVERYTHING&amp;vid=01CRU&amp;lang=en_US&amp;offset=0&amp;query=any,contains,991005175769702656","Catalog Record")</f>
        <v/>
      </c>
      <c r="AV3554">
        <f>HYPERLINK("http://www.worldcat.org/oclc/7922896","WorldCat Record")</f>
        <v/>
      </c>
      <c r="AW3554" t="inlineStr">
        <is>
          <t>479010:eng</t>
        </is>
      </c>
      <c r="AX3554" t="inlineStr">
        <is>
          <t>7922896</t>
        </is>
      </c>
      <c r="AY3554" t="inlineStr">
        <is>
          <t>991005175769702656</t>
        </is>
      </c>
      <c r="AZ3554" t="inlineStr">
        <is>
          <t>991005175769702656</t>
        </is>
      </c>
      <c r="BA3554" t="inlineStr">
        <is>
          <t>2259437960002656</t>
        </is>
      </c>
      <c r="BB3554" t="inlineStr">
        <is>
          <t>BOOK</t>
        </is>
      </c>
      <c r="BD3554" t="inlineStr">
        <is>
          <t>9780816183920</t>
        </is>
      </c>
      <c r="BE3554" t="inlineStr">
        <is>
          <t>32285000739796</t>
        </is>
      </c>
      <c r="BF3554" t="inlineStr">
        <is>
          <t>893254590</t>
        </is>
      </c>
    </row>
    <row r="3555">
      <c r="A3555" t="inlineStr">
        <is>
          <t>No</t>
        </is>
      </c>
      <c r="B3555" t="inlineStr">
        <is>
          <t>CURAL</t>
        </is>
      </c>
      <c r="C3555" t="inlineStr">
        <is>
          <t>SHELVES</t>
        </is>
      </c>
      <c r="D3555" t="inlineStr">
        <is>
          <t>PR658.A8 P3</t>
        </is>
      </c>
      <c r="E3555" t="inlineStr">
        <is>
          <t>0                      PR 0658000A  8                  P  3</t>
        </is>
      </c>
      <c r="F3555" t="inlineStr">
        <is>
          <t>Tamburlaine's malady, and other essays on astrology in Elizabethan drama.</t>
        </is>
      </c>
      <c r="H3555" t="inlineStr">
        <is>
          <t>No</t>
        </is>
      </c>
      <c r="I3555" t="inlineStr">
        <is>
          <t>1</t>
        </is>
      </c>
      <c r="J3555" t="inlineStr">
        <is>
          <t>No</t>
        </is>
      </c>
      <c r="K3555" t="inlineStr">
        <is>
          <t>No</t>
        </is>
      </c>
      <c r="L3555" t="inlineStr">
        <is>
          <t>0</t>
        </is>
      </c>
      <c r="M3555" t="inlineStr">
        <is>
          <t>Parr, Johnstone, 1911-</t>
        </is>
      </c>
      <c r="N3555" t="inlineStr">
        <is>
          <t>University, Ala., University of Alabama Press, 1953.</t>
        </is>
      </c>
      <c r="O3555" t="inlineStr">
        <is>
          <t>1953</t>
        </is>
      </c>
      <c r="Q3555" t="inlineStr">
        <is>
          <t>eng</t>
        </is>
      </c>
      <c r="R3555" t="inlineStr">
        <is>
          <t>alu</t>
        </is>
      </c>
      <c r="T3555" t="inlineStr">
        <is>
          <t xml:space="preserve">PR </t>
        </is>
      </c>
      <c r="U3555" t="n">
        <v>1</v>
      </c>
      <c r="V3555" t="n">
        <v>1</v>
      </c>
      <c r="W3555" t="inlineStr">
        <is>
          <t>2009-09-14</t>
        </is>
      </c>
      <c r="X3555" t="inlineStr">
        <is>
          <t>2009-09-14</t>
        </is>
      </c>
      <c r="Y3555" t="inlineStr">
        <is>
          <t>1997-09-11</t>
        </is>
      </c>
      <c r="Z3555" t="inlineStr">
        <is>
          <t>1997-09-11</t>
        </is>
      </c>
      <c r="AA3555" t="n">
        <v>446</v>
      </c>
      <c r="AB3555" t="n">
        <v>396</v>
      </c>
      <c r="AC3555" t="n">
        <v>510</v>
      </c>
      <c r="AD3555" t="n">
        <v>4</v>
      </c>
      <c r="AE3555" t="n">
        <v>5</v>
      </c>
      <c r="AF3555" t="n">
        <v>24</v>
      </c>
      <c r="AG3555" t="n">
        <v>29</v>
      </c>
      <c r="AH3555" t="n">
        <v>6</v>
      </c>
      <c r="AI3555" t="n">
        <v>8</v>
      </c>
      <c r="AJ3555" t="n">
        <v>6</v>
      </c>
      <c r="AK3555" t="n">
        <v>8</v>
      </c>
      <c r="AL3555" t="n">
        <v>16</v>
      </c>
      <c r="AM3555" t="n">
        <v>18</v>
      </c>
      <c r="AN3555" t="n">
        <v>3</v>
      </c>
      <c r="AO3555" t="n">
        <v>4</v>
      </c>
      <c r="AP3555" t="n">
        <v>0</v>
      </c>
      <c r="AQ3555" t="n">
        <v>0</v>
      </c>
      <c r="AR3555" t="inlineStr">
        <is>
          <t>Yes</t>
        </is>
      </c>
      <c r="AS3555" t="inlineStr">
        <is>
          <t>No</t>
        </is>
      </c>
      <c r="AT3555">
        <f>HYPERLINK("http://catalog.hathitrust.org/Record/001374676","HathiTrust Record")</f>
        <v/>
      </c>
      <c r="AU3555">
        <f>HYPERLINK("https://creighton-primo.hosted.exlibrisgroup.com/primo-explore/search?tab=default_tab&amp;search_scope=EVERYTHING&amp;vid=01CRU&amp;lang=en_US&amp;offset=0&amp;query=any,contains,991002454939702656","Catalog Record")</f>
        <v/>
      </c>
      <c r="AV3555">
        <f>HYPERLINK("http://www.worldcat.org/oclc/353973","WorldCat Record")</f>
        <v/>
      </c>
      <c r="AW3555" t="inlineStr">
        <is>
          <t>294279445:eng</t>
        </is>
      </c>
      <c r="AX3555" t="inlineStr">
        <is>
          <t>353973</t>
        </is>
      </c>
      <c r="AY3555" t="inlineStr">
        <is>
          <t>991002454939702656</t>
        </is>
      </c>
      <c r="AZ3555" t="inlineStr">
        <is>
          <t>991002454939702656</t>
        </is>
      </c>
      <c r="BA3555" t="inlineStr">
        <is>
          <t>2267829000002656</t>
        </is>
      </c>
      <c r="BB3555" t="inlineStr">
        <is>
          <t>BOOK</t>
        </is>
      </c>
      <c r="BE3555" t="inlineStr">
        <is>
          <t>32285003215463</t>
        </is>
      </c>
      <c r="BF3555" t="inlineStr">
        <is>
          <t>893445170</t>
        </is>
      </c>
    </row>
    <row r="3556">
      <c r="A3556" t="inlineStr">
        <is>
          <t>No</t>
        </is>
      </c>
      <c r="B3556" t="inlineStr">
        <is>
          <t>CURAL</t>
        </is>
      </c>
      <c r="C3556" t="inlineStr">
        <is>
          <t>SHELVES</t>
        </is>
      </c>
      <c r="D3556" t="inlineStr">
        <is>
          <t>PR658.C4 D87 1991</t>
        </is>
      </c>
      <c r="E3556" t="inlineStr">
        <is>
          <t>0                      PR 0658000C  4                  D  87          1991</t>
        </is>
      </c>
      <c r="F3556" t="inlineStr">
        <is>
          <t>Mastering the revels : the regulation and censorship of English Renaissance drama / Richard Dutton.</t>
        </is>
      </c>
      <c r="H3556" t="inlineStr">
        <is>
          <t>No</t>
        </is>
      </c>
      <c r="I3556" t="inlineStr">
        <is>
          <t>1</t>
        </is>
      </c>
      <c r="J3556" t="inlineStr">
        <is>
          <t>No</t>
        </is>
      </c>
      <c r="K3556" t="inlineStr">
        <is>
          <t>No</t>
        </is>
      </c>
      <c r="L3556" t="inlineStr">
        <is>
          <t>0</t>
        </is>
      </c>
      <c r="M3556" t="inlineStr">
        <is>
          <t>Dutton, Richard.</t>
        </is>
      </c>
      <c r="N3556" t="inlineStr">
        <is>
          <t>London : Macmillan, 1991.</t>
        </is>
      </c>
      <c r="O3556" t="inlineStr">
        <is>
          <t>1991</t>
        </is>
      </c>
      <c r="Q3556" t="inlineStr">
        <is>
          <t>eng</t>
        </is>
      </c>
      <c r="R3556" t="inlineStr">
        <is>
          <t>enk</t>
        </is>
      </c>
      <c r="T3556" t="inlineStr">
        <is>
          <t xml:space="preserve">PR </t>
        </is>
      </c>
      <c r="U3556" t="n">
        <v>6</v>
      </c>
      <c r="V3556" t="n">
        <v>6</v>
      </c>
      <c r="W3556" t="inlineStr">
        <is>
          <t>2010-10-11</t>
        </is>
      </c>
      <c r="X3556" t="inlineStr">
        <is>
          <t>2010-10-11</t>
        </is>
      </c>
      <c r="Y3556" t="inlineStr">
        <is>
          <t>1993-11-01</t>
        </is>
      </c>
      <c r="Z3556" t="inlineStr">
        <is>
          <t>1993-11-01</t>
        </is>
      </c>
      <c r="AA3556" t="n">
        <v>104</v>
      </c>
      <c r="AB3556" t="n">
        <v>22</v>
      </c>
      <c r="AC3556" t="n">
        <v>315</v>
      </c>
      <c r="AD3556" t="n">
        <v>1</v>
      </c>
      <c r="AE3556" t="n">
        <v>4</v>
      </c>
      <c r="AF3556" t="n">
        <v>0</v>
      </c>
      <c r="AG3556" t="n">
        <v>18</v>
      </c>
      <c r="AH3556" t="n">
        <v>0</v>
      </c>
      <c r="AI3556" t="n">
        <v>7</v>
      </c>
      <c r="AJ3556" t="n">
        <v>0</v>
      </c>
      <c r="AK3556" t="n">
        <v>5</v>
      </c>
      <c r="AL3556" t="n">
        <v>0</v>
      </c>
      <c r="AM3556" t="n">
        <v>10</v>
      </c>
      <c r="AN3556" t="n">
        <v>0</v>
      </c>
      <c r="AO3556" t="n">
        <v>3</v>
      </c>
      <c r="AP3556" t="n">
        <v>0</v>
      </c>
      <c r="AQ3556" t="n">
        <v>0</v>
      </c>
      <c r="AR3556" t="inlineStr">
        <is>
          <t>No</t>
        </is>
      </c>
      <c r="AS3556" t="inlineStr">
        <is>
          <t>Yes</t>
        </is>
      </c>
      <c r="AT3556">
        <f>HYPERLINK("http://catalog.hathitrust.org/Record/007109755","HathiTrust Record")</f>
        <v/>
      </c>
      <c r="AU3556">
        <f>HYPERLINK("https://creighton-primo.hosted.exlibrisgroup.com/primo-explore/search?tab=default_tab&amp;search_scope=EVERYTHING&amp;vid=01CRU&amp;lang=en_US&amp;offset=0&amp;query=any,contains,991001798999702656","Catalog Record")</f>
        <v/>
      </c>
      <c r="AV3556">
        <f>HYPERLINK("http://www.worldcat.org/oclc/22627794","WorldCat Record")</f>
        <v/>
      </c>
      <c r="AW3556" t="inlineStr">
        <is>
          <t>24327272:eng</t>
        </is>
      </c>
      <c r="AX3556" t="inlineStr">
        <is>
          <t>22627794</t>
        </is>
      </c>
      <c r="AY3556" t="inlineStr">
        <is>
          <t>991001798999702656</t>
        </is>
      </c>
      <c r="AZ3556" t="inlineStr">
        <is>
          <t>991001798999702656</t>
        </is>
      </c>
      <c r="BA3556" t="inlineStr">
        <is>
          <t>2267543720002656</t>
        </is>
      </c>
      <c r="BB3556" t="inlineStr">
        <is>
          <t>BOOK</t>
        </is>
      </c>
      <c r="BD3556" t="inlineStr">
        <is>
          <t>9780333453711</t>
        </is>
      </c>
      <c r="BE3556" t="inlineStr">
        <is>
          <t>32285001789527</t>
        </is>
      </c>
      <c r="BF3556" t="inlineStr">
        <is>
          <t>893590654</t>
        </is>
      </c>
    </row>
    <row r="3557">
      <c r="A3557" t="inlineStr">
        <is>
          <t>No</t>
        </is>
      </c>
      <c r="B3557" t="inlineStr">
        <is>
          <t>CURAL</t>
        </is>
      </c>
      <c r="C3557" t="inlineStr">
        <is>
          <t>SHELVES</t>
        </is>
      </c>
      <c r="D3557" t="inlineStr">
        <is>
          <t>PR658.C6 B7 1973</t>
        </is>
      </c>
      <c r="E3557" t="inlineStr">
        <is>
          <t>0                      PR 0658000C  6                  B  7           1973</t>
        </is>
      </c>
      <c r="F3557" t="inlineStr">
        <is>
          <t>The growth and structure of Elizabethan comedy [by] M. C. Bradbrook.</t>
        </is>
      </c>
      <c r="H3557" t="inlineStr">
        <is>
          <t>No</t>
        </is>
      </c>
      <c r="I3557" t="inlineStr">
        <is>
          <t>1</t>
        </is>
      </c>
      <c r="J3557" t="inlineStr">
        <is>
          <t>No</t>
        </is>
      </c>
      <c r="K3557" t="inlineStr">
        <is>
          <t>No</t>
        </is>
      </c>
      <c r="L3557" t="inlineStr">
        <is>
          <t>0</t>
        </is>
      </c>
      <c r="M3557" t="inlineStr">
        <is>
          <t>Bradbrook, M. C. (Muriel Clara), 1909-1993.</t>
        </is>
      </c>
      <c r="N3557" t="inlineStr">
        <is>
          <t>London, Chatto &amp; Windus, 1973.</t>
        </is>
      </c>
      <c r="O3557" t="inlineStr">
        <is>
          <t>1973</t>
        </is>
      </c>
      <c r="P3557" t="inlineStr">
        <is>
          <t>New ed.</t>
        </is>
      </c>
      <c r="Q3557" t="inlineStr">
        <is>
          <t>eng</t>
        </is>
      </c>
      <c r="R3557" t="inlineStr">
        <is>
          <t>enk</t>
        </is>
      </c>
      <c r="T3557" t="inlineStr">
        <is>
          <t xml:space="preserve">PR </t>
        </is>
      </c>
      <c r="U3557" t="n">
        <v>1</v>
      </c>
      <c r="V3557" t="n">
        <v>1</v>
      </c>
      <c r="W3557" t="inlineStr">
        <is>
          <t>2000-11-19</t>
        </is>
      </c>
      <c r="X3557" t="inlineStr">
        <is>
          <t>2000-11-19</t>
        </is>
      </c>
      <c r="Y3557" t="inlineStr">
        <is>
          <t>1997-09-11</t>
        </is>
      </c>
      <c r="Z3557" t="inlineStr">
        <is>
          <t>1997-09-11</t>
        </is>
      </c>
      <c r="AA3557" t="n">
        <v>294</v>
      </c>
      <c r="AB3557" t="n">
        <v>166</v>
      </c>
      <c r="AC3557" t="n">
        <v>877</v>
      </c>
      <c r="AD3557" t="n">
        <v>3</v>
      </c>
      <c r="AE3557" t="n">
        <v>7</v>
      </c>
      <c r="AF3557" t="n">
        <v>8</v>
      </c>
      <c r="AG3557" t="n">
        <v>46</v>
      </c>
      <c r="AH3557" t="n">
        <v>3</v>
      </c>
      <c r="AI3557" t="n">
        <v>20</v>
      </c>
      <c r="AJ3557" t="n">
        <v>0</v>
      </c>
      <c r="AK3557" t="n">
        <v>10</v>
      </c>
      <c r="AL3557" t="n">
        <v>4</v>
      </c>
      <c r="AM3557" t="n">
        <v>21</v>
      </c>
      <c r="AN3557" t="n">
        <v>2</v>
      </c>
      <c r="AO3557" t="n">
        <v>6</v>
      </c>
      <c r="AP3557" t="n">
        <v>0</v>
      </c>
      <c r="AQ3557" t="n">
        <v>0</v>
      </c>
      <c r="AR3557" t="inlineStr">
        <is>
          <t>No</t>
        </is>
      </c>
      <c r="AS3557" t="inlineStr">
        <is>
          <t>Yes</t>
        </is>
      </c>
      <c r="AT3557">
        <f>HYPERLINK("http://catalog.hathitrust.org/Record/001398323","HathiTrust Record")</f>
        <v/>
      </c>
      <c r="AU3557">
        <f>HYPERLINK("https://creighton-primo.hosted.exlibrisgroup.com/primo-explore/search?tab=default_tab&amp;search_scope=EVERYTHING&amp;vid=01CRU&amp;lang=en_US&amp;offset=0&amp;query=any,contains,991004378629702656","Catalog Record")</f>
        <v/>
      </c>
      <c r="AV3557">
        <f>HYPERLINK("http://www.worldcat.org/oclc/3207919","WorldCat Record")</f>
        <v/>
      </c>
      <c r="AW3557" t="inlineStr">
        <is>
          <t>178462885:eng</t>
        </is>
      </c>
      <c r="AX3557" t="inlineStr">
        <is>
          <t>3207919</t>
        </is>
      </c>
      <c r="AY3557" t="inlineStr">
        <is>
          <t>991004378629702656</t>
        </is>
      </c>
      <c r="AZ3557" t="inlineStr">
        <is>
          <t>991004378629702656</t>
        </is>
      </c>
      <c r="BA3557" t="inlineStr">
        <is>
          <t>2271835600002656</t>
        </is>
      </c>
      <c r="BB3557" t="inlineStr">
        <is>
          <t>BOOK</t>
        </is>
      </c>
      <c r="BD3557" t="inlineStr">
        <is>
          <t>9780701105594</t>
        </is>
      </c>
      <c r="BE3557" t="inlineStr">
        <is>
          <t>32285003215471</t>
        </is>
      </c>
      <c r="BF3557" t="inlineStr">
        <is>
          <t>893325317</t>
        </is>
      </c>
    </row>
    <row r="3558">
      <c r="A3558" t="inlineStr">
        <is>
          <t>No</t>
        </is>
      </c>
      <c r="B3558" t="inlineStr">
        <is>
          <t>CURAL</t>
        </is>
      </c>
      <c r="C3558" t="inlineStr">
        <is>
          <t>SHELVES</t>
        </is>
      </c>
      <c r="D3558" t="inlineStr">
        <is>
          <t>PR658.D65 C66 1999</t>
        </is>
      </c>
      <c r="E3558" t="inlineStr">
        <is>
          <t>0                      PR 0658000D  65                 C  66          1999</t>
        </is>
      </c>
      <c r="F3558" t="inlineStr">
        <is>
          <t>'Household business' : domestic plays of early modern England / Viviana Comensoli.</t>
        </is>
      </c>
      <c r="H3558" t="inlineStr">
        <is>
          <t>No</t>
        </is>
      </c>
      <c r="I3558" t="inlineStr">
        <is>
          <t>1</t>
        </is>
      </c>
      <c r="J3558" t="inlineStr">
        <is>
          <t>No</t>
        </is>
      </c>
      <c r="K3558" t="inlineStr">
        <is>
          <t>No</t>
        </is>
      </c>
      <c r="L3558" t="inlineStr">
        <is>
          <t>0</t>
        </is>
      </c>
      <c r="M3558" t="inlineStr">
        <is>
          <t>Comensoli, Viviana.</t>
        </is>
      </c>
      <c r="N3558" t="inlineStr">
        <is>
          <t>Toronto ; Buffalo : University of Toronto Press, 1999.</t>
        </is>
      </c>
      <c r="O3558" t="inlineStr">
        <is>
          <t>1999</t>
        </is>
      </c>
      <c r="Q3558" t="inlineStr">
        <is>
          <t>eng</t>
        </is>
      </c>
      <c r="R3558" t="inlineStr">
        <is>
          <t>onc</t>
        </is>
      </c>
      <c r="S3558" t="inlineStr">
        <is>
          <t>The mental and cultural world of Tudor and Stuart England</t>
        </is>
      </c>
      <c r="T3558" t="inlineStr">
        <is>
          <t xml:space="preserve">PR </t>
        </is>
      </c>
      <c r="U3558" t="n">
        <v>1</v>
      </c>
      <c r="V3558" t="n">
        <v>1</v>
      </c>
      <c r="W3558" t="inlineStr">
        <is>
          <t>2001-01-10</t>
        </is>
      </c>
      <c r="X3558" t="inlineStr">
        <is>
          <t>2001-01-10</t>
        </is>
      </c>
      <c r="Y3558" t="inlineStr">
        <is>
          <t>2001-01-10</t>
        </is>
      </c>
      <c r="Z3558" t="inlineStr">
        <is>
          <t>2001-01-10</t>
        </is>
      </c>
      <c r="AA3558" t="n">
        <v>24</v>
      </c>
      <c r="AB3558" t="n">
        <v>17</v>
      </c>
      <c r="AC3558" t="n">
        <v>676</v>
      </c>
      <c r="AD3558" t="n">
        <v>1</v>
      </c>
      <c r="AE3558" t="n">
        <v>6</v>
      </c>
      <c r="AF3558" t="n">
        <v>0</v>
      </c>
      <c r="AG3558" t="n">
        <v>33</v>
      </c>
      <c r="AH3558" t="n">
        <v>0</v>
      </c>
      <c r="AI3558" t="n">
        <v>12</v>
      </c>
      <c r="AJ3558" t="n">
        <v>0</v>
      </c>
      <c r="AK3558" t="n">
        <v>8</v>
      </c>
      <c r="AL3558" t="n">
        <v>0</v>
      </c>
      <c r="AM3558" t="n">
        <v>14</v>
      </c>
      <c r="AN3558" t="n">
        <v>0</v>
      </c>
      <c r="AO3558" t="n">
        <v>5</v>
      </c>
      <c r="AP3558" t="n">
        <v>0</v>
      </c>
      <c r="AQ3558" t="n">
        <v>1</v>
      </c>
      <c r="AR3558" t="inlineStr">
        <is>
          <t>No</t>
        </is>
      </c>
      <c r="AS3558" t="inlineStr">
        <is>
          <t>No</t>
        </is>
      </c>
      <c r="AU3558">
        <f>HYPERLINK("https://creighton-primo.hosted.exlibrisgroup.com/primo-explore/search?tab=default_tab&amp;search_scope=EVERYTHING&amp;vid=01CRU&amp;lang=en_US&amp;offset=0&amp;query=any,contains,991003322749702656","Catalog Record")</f>
        <v/>
      </c>
      <c r="AV3558">
        <f>HYPERLINK("http://www.worldcat.org/oclc/43812080","WorldCat Record")</f>
        <v/>
      </c>
      <c r="AW3558" t="inlineStr">
        <is>
          <t>837075825:eng</t>
        </is>
      </c>
      <c r="AX3558" t="inlineStr">
        <is>
          <t>43812080</t>
        </is>
      </c>
      <c r="AY3558" t="inlineStr">
        <is>
          <t>991003322749702656</t>
        </is>
      </c>
      <c r="AZ3558" t="inlineStr">
        <is>
          <t>991003322749702656</t>
        </is>
      </c>
      <c r="BA3558" t="inlineStr">
        <is>
          <t>2255737060002656</t>
        </is>
      </c>
      <c r="BB3558" t="inlineStr">
        <is>
          <t>BOOK</t>
        </is>
      </c>
      <c r="BD3558" t="inlineStr">
        <is>
          <t>9780802082978</t>
        </is>
      </c>
      <c r="BE3558" t="inlineStr">
        <is>
          <t>32285004282298</t>
        </is>
      </c>
      <c r="BF3558" t="inlineStr">
        <is>
          <t>893705119</t>
        </is>
      </c>
    </row>
    <row r="3559">
      <c r="A3559" t="inlineStr">
        <is>
          <t>No</t>
        </is>
      </c>
      <c r="B3559" t="inlineStr">
        <is>
          <t>CURAL</t>
        </is>
      </c>
      <c r="C3559" t="inlineStr">
        <is>
          <t>SHELVES</t>
        </is>
      </c>
      <c r="D3559" t="inlineStr">
        <is>
          <t>PR658.M3 N5 1963</t>
        </is>
      </c>
      <c r="E3559" t="inlineStr">
        <is>
          <t>0                      PR 0658000M  3                  N  5           1963</t>
        </is>
      </c>
      <c r="F3559" t="inlineStr">
        <is>
          <t>Stuart masques and the Renaissance stage.</t>
        </is>
      </c>
      <c r="H3559" t="inlineStr">
        <is>
          <t>No</t>
        </is>
      </c>
      <c r="I3559" t="inlineStr">
        <is>
          <t>1</t>
        </is>
      </c>
      <c r="J3559" t="inlineStr">
        <is>
          <t>No</t>
        </is>
      </c>
      <c r="K3559" t="inlineStr">
        <is>
          <t>No</t>
        </is>
      </c>
      <c r="L3559" t="inlineStr">
        <is>
          <t>0</t>
        </is>
      </c>
      <c r="M3559" t="inlineStr">
        <is>
          <t>Nicoll, Allardyce, 1894-1976.</t>
        </is>
      </c>
      <c r="N3559" t="inlineStr">
        <is>
          <t>New York : B. Blom, [1963, c1938]</t>
        </is>
      </c>
      <c r="O3559" t="inlineStr">
        <is>
          <t>1963</t>
        </is>
      </c>
      <c r="Q3559" t="inlineStr">
        <is>
          <t>eng</t>
        </is>
      </c>
      <c r="R3559" t="inlineStr">
        <is>
          <t>nyu</t>
        </is>
      </c>
      <c r="T3559" t="inlineStr">
        <is>
          <t xml:space="preserve">PR </t>
        </is>
      </c>
      <c r="U3559" t="n">
        <v>2</v>
      </c>
      <c r="V3559" t="n">
        <v>2</v>
      </c>
      <c r="W3559" t="inlineStr">
        <is>
          <t>1997-08-19</t>
        </is>
      </c>
      <c r="X3559" t="inlineStr">
        <is>
          <t>1997-08-19</t>
        </is>
      </c>
      <c r="Y3559" t="inlineStr">
        <is>
          <t>1992-11-02</t>
        </is>
      </c>
      <c r="Z3559" t="inlineStr">
        <is>
          <t>1992-11-02</t>
        </is>
      </c>
      <c r="AA3559" t="n">
        <v>648</v>
      </c>
      <c r="AB3559" t="n">
        <v>605</v>
      </c>
      <c r="AC3559" t="n">
        <v>993</v>
      </c>
      <c r="AD3559" t="n">
        <v>5</v>
      </c>
      <c r="AE3559" t="n">
        <v>7</v>
      </c>
      <c r="AF3559" t="n">
        <v>24</v>
      </c>
      <c r="AG3559" t="n">
        <v>49</v>
      </c>
      <c r="AH3559" t="n">
        <v>8</v>
      </c>
      <c r="AI3559" t="n">
        <v>22</v>
      </c>
      <c r="AJ3559" t="n">
        <v>4</v>
      </c>
      <c r="AK3559" t="n">
        <v>10</v>
      </c>
      <c r="AL3559" t="n">
        <v>12</v>
      </c>
      <c r="AM3559" t="n">
        <v>23</v>
      </c>
      <c r="AN3559" t="n">
        <v>4</v>
      </c>
      <c r="AO3559" t="n">
        <v>6</v>
      </c>
      <c r="AP3559" t="n">
        <v>0</v>
      </c>
      <c r="AQ3559" t="n">
        <v>0</v>
      </c>
      <c r="AR3559" t="inlineStr">
        <is>
          <t>No</t>
        </is>
      </c>
      <c r="AS3559" t="inlineStr">
        <is>
          <t>Yes</t>
        </is>
      </c>
      <c r="AT3559">
        <f>HYPERLINK("http://catalog.hathitrust.org/Record/009913232","HathiTrust Record")</f>
        <v/>
      </c>
      <c r="AU3559">
        <f>HYPERLINK("https://creighton-primo.hosted.exlibrisgroup.com/primo-explore/search?tab=default_tab&amp;search_scope=EVERYTHING&amp;vid=01CRU&amp;lang=en_US&amp;offset=0&amp;query=any,contains,991002157789702656","Catalog Record")</f>
        <v/>
      </c>
      <c r="AV3559">
        <f>HYPERLINK("http://www.worldcat.org/oclc/273209","WorldCat Record")</f>
        <v/>
      </c>
      <c r="AW3559" t="inlineStr">
        <is>
          <t>1941425:eng</t>
        </is>
      </c>
      <c r="AX3559" t="inlineStr">
        <is>
          <t>273209</t>
        </is>
      </c>
      <c r="AY3559" t="inlineStr">
        <is>
          <t>991002157789702656</t>
        </is>
      </c>
      <c r="AZ3559" t="inlineStr">
        <is>
          <t>991002157789702656</t>
        </is>
      </c>
      <c r="BA3559" t="inlineStr">
        <is>
          <t>2261999200002656</t>
        </is>
      </c>
      <c r="BB3559" t="inlineStr">
        <is>
          <t>BOOK</t>
        </is>
      </c>
      <c r="BE3559" t="inlineStr">
        <is>
          <t>32285001379535</t>
        </is>
      </c>
      <c r="BF3559" t="inlineStr">
        <is>
          <t>893334993</t>
        </is>
      </c>
    </row>
    <row r="3560">
      <c r="A3560" t="inlineStr">
        <is>
          <t>No</t>
        </is>
      </c>
      <c r="B3560" t="inlineStr">
        <is>
          <t>CURAL</t>
        </is>
      </c>
      <c r="C3560" t="inlineStr">
        <is>
          <t>SHELVES</t>
        </is>
      </c>
      <c r="D3560" t="inlineStr">
        <is>
          <t>PR658.M37 B3</t>
        </is>
      </c>
      <c r="E3560" t="inlineStr">
        <is>
          <t>0                      PR 0658000M  37                 B  3</t>
        </is>
      </c>
      <c r="F3560" t="inlineStr">
        <is>
          <t>The Elizabethan malady; a study of melancholia in English literature from 1580 to 1642.</t>
        </is>
      </c>
      <c r="H3560" t="inlineStr">
        <is>
          <t>No</t>
        </is>
      </c>
      <c r="I3560" t="inlineStr">
        <is>
          <t>1</t>
        </is>
      </c>
      <c r="J3560" t="inlineStr">
        <is>
          <t>No</t>
        </is>
      </c>
      <c r="K3560" t="inlineStr">
        <is>
          <t>No</t>
        </is>
      </c>
      <c r="L3560" t="inlineStr">
        <is>
          <t>0</t>
        </is>
      </c>
      <c r="M3560" t="inlineStr">
        <is>
          <t>Babb, Lawrence.</t>
        </is>
      </c>
      <c r="N3560" t="inlineStr">
        <is>
          <t>East Lansing, Michigan State College Press, 1951.</t>
        </is>
      </c>
      <c r="O3560" t="inlineStr">
        <is>
          <t>1951</t>
        </is>
      </c>
      <c r="Q3560" t="inlineStr">
        <is>
          <t>eng</t>
        </is>
      </c>
      <c r="R3560" t="inlineStr">
        <is>
          <t xml:space="preserve">xx </t>
        </is>
      </c>
      <c r="S3560" t="inlineStr">
        <is>
          <t>Studies in language and literature</t>
        </is>
      </c>
      <c r="T3560" t="inlineStr">
        <is>
          <t xml:space="preserve">PR </t>
        </is>
      </c>
      <c r="U3560" t="n">
        <v>4</v>
      </c>
      <c r="V3560" t="n">
        <v>4</v>
      </c>
      <c r="W3560" t="inlineStr">
        <is>
          <t>1999-11-21</t>
        </is>
      </c>
      <c r="X3560" t="inlineStr">
        <is>
          <t>1999-11-21</t>
        </is>
      </c>
      <c r="Y3560" t="inlineStr">
        <is>
          <t>1997-09-11</t>
        </is>
      </c>
      <c r="Z3560" t="inlineStr">
        <is>
          <t>1997-09-11</t>
        </is>
      </c>
      <c r="AA3560" t="n">
        <v>567</v>
      </c>
      <c r="AB3560" t="n">
        <v>504</v>
      </c>
      <c r="AC3560" t="n">
        <v>627</v>
      </c>
      <c r="AD3560" t="n">
        <v>6</v>
      </c>
      <c r="AE3560" t="n">
        <v>6</v>
      </c>
      <c r="AF3560" t="n">
        <v>30</v>
      </c>
      <c r="AG3560" t="n">
        <v>33</v>
      </c>
      <c r="AH3560" t="n">
        <v>11</v>
      </c>
      <c r="AI3560" t="n">
        <v>13</v>
      </c>
      <c r="AJ3560" t="n">
        <v>5</v>
      </c>
      <c r="AK3560" t="n">
        <v>6</v>
      </c>
      <c r="AL3560" t="n">
        <v>15</v>
      </c>
      <c r="AM3560" t="n">
        <v>16</v>
      </c>
      <c r="AN3560" t="n">
        <v>5</v>
      </c>
      <c r="AO3560" t="n">
        <v>5</v>
      </c>
      <c r="AP3560" t="n">
        <v>0</v>
      </c>
      <c r="AQ3560" t="n">
        <v>0</v>
      </c>
      <c r="AR3560" t="inlineStr">
        <is>
          <t>Yes</t>
        </is>
      </c>
      <c r="AS3560" t="inlineStr">
        <is>
          <t>No</t>
        </is>
      </c>
      <c r="AT3560">
        <f>HYPERLINK("http://catalog.hathitrust.org/Record/001016630","HathiTrust Record")</f>
        <v/>
      </c>
      <c r="AU3560">
        <f>HYPERLINK("https://creighton-primo.hosted.exlibrisgroup.com/primo-explore/search?tab=default_tab&amp;search_scope=EVERYTHING&amp;vid=01CRU&amp;lang=en_US&amp;offset=0&amp;query=any,contains,991000950999702656","Catalog Record")</f>
        <v/>
      </c>
      <c r="AV3560">
        <f>HYPERLINK("http://www.worldcat.org/oclc/14665206","WorldCat Record")</f>
        <v/>
      </c>
      <c r="AW3560" t="inlineStr">
        <is>
          <t>15923763:eng</t>
        </is>
      </c>
      <c r="AX3560" t="inlineStr">
        <is>
          <t>14665206</t>
        </is>
      </c>
      <c r="AY3560" t="inlineStr">
        <is>
          <t>991000950999702656</t>
        </is>
      </c>
      <c r="AZ3560" t="inlineStr">
        <is>
          <t>991000950999702656</t>
        </is>
      </c>
      <c r="BA3560" t="inlineStr">
        <is>
          <t>2265258250002656</t>
        </is>
      </c>
      <c r="BB3560" t="inlineStr">
        <is>
          <t>BOOK</t>
        </is>
      </c>
      <c r="BE3560" t="inlineStr">
        <is>
          <t>32285003215521</t>
        </is>
      </c>
      <c r="BF3560" t="inlineStr">
        <is>
          <t>893255889</t>
        </is>
      </c>
    </row>
    <row r="3561">
      <c r="A3561" t="inlineStr">
        <is>
          <t>No</t>
        </is>
      </c>
      <c r="B3561" t="inlineStr">
        <is>
          <t>CURAL</t>
        </is>
      </c>
      <c r="C3561" t="inlineStr">
        <is>
          <t>SHELVES</t>
        </is>
      </c>
      <c r="D3561" t="inlineStr">
        <is>
          <t>PR658.P3 L5 1931</t>
        </is>
      </c>
      <c r="E3561" t="inlineStr">
        <is>
          <t>0                      PR 0658000P  3                  L  5           1931</t>
        </is>
      </c>
      <c r="F3561" t="inlineStr">
        <is>
          <t>A study of patriotism in the Elizabethan drama ... by Richard Vliet Lindabury.</t>
        </is>
      </c>
      <c r="H3561" t="inlineStr">
        <is>
          <t>No</t>
        </is>
      </c>
      <c r="I3561" t="inlineStr">
        <is>
          <t>1</t>
        </is>
      </c>
      <c r="J3561" t="inlineStr">
        <is>
          <t>No</t>
        </is>
      </c>
      <c r="K3561" t="inlineStr">
        <is>
          <t>No</t>
        </is>
      </c>
      <c r="L3561" t="inlineStr">
        <is>
          <t>0</t>
        </is>
      </c>
      <c r="M3561" t="inlineStr">
        <is>
          <t>Lindabury, Richard V. (Richard Vliet)</t>
        </is>
      </c>
      <c r="O3561" t="inlineStr">
        <is>
          <t>1931</t>
        </is>
      </c>
      <c r="Q3561" t="inlineStr">
        <is>
          <t>eng</t>
        </is>
      </c>
      <c r="R3561" t="inlineStr">
        <is>
          <t>nju</t>
        </is>
      </c>
      <c r="S3561" t="inlineStr">
        <is>
          <t>Princeton studies in English ; no. 5</t>
        </is>
      </c>
      <c r="T3561" t="inlineStr">
        <is>
          <t xml:space="preserve">PR </t>
        </is>
      </c>
      <c r="U3561" t="n">
        <v>1</v>
      </c>
      <c r="V3561" t="n">
        <v>1</v>
      </c>
      <c r="W3561" t="inlineStr">
        <is>
          <t>2009-04-15</t>
        </is>
      </c>
      <c r="X3561" t="inlineStr">
        <is>
          <t>2009-04-15</t>
        </is>
      </c>
      <c r="Y3561" t="inlineStr">
        <is>
          <t>1997-09-11</t>
        </is>
      </c>
      <c r="Z3561" t="inlineStr">
        <is>
          <t>1997-09-11</t>
        </is>
      </c>
      <c r="AA3561" t="n">
        <v>289</v>
      </c>
      <c r="AB3561" t="n">
        <v>252</v>
      </c>
      <c r="AC3561" t="n">
        <v>278</v>
      </c>
      <c r="AD3561" t="n">
        <v>4</v>
      </c>
      <c r="AE3561" t="n">
        <v>4</v>
      </c>
      <c r="AF3561" t="n">
        <v>14</v>
      </c>
      <c r="AG3561" t="n">
        <v>15</v>
      </c>
      <c r="AH3561" t="n">
        <v>2</v>
      </c>
      <c r="AI3561" t="n">
        <v>2</v>
      </c>
      <c r="AJ3561" t="n">
        <v>3</v>
      </c>
      <c r="AK3561" t="n">
        <v>4</v>
      </c>
      <c r="AL3561" t="n">
        <v>10</v>
      </c>
      <c r="AM3561" t="n">
        <v>10</v>
      </c>
      <c r="AN3561" t="n">
        <v>3</v>
      </c>
      <c r="AO3561" t="n">
        <v>3</v>
      </c>
      <c r="AP3561" t="n">
        <v>0</v>
      </c>
      <c r="AQ3561" t="n">
        <v>0</v>
      </c>
      <c r="AR3561" t="inlineStr">
        <is>
          <t>No</t>
        </is>
      </c>
      <c r="AS3561" t="inlineStr">
        <is>
          <t>Yes</t>
        </is>
      </c>
      <c r="AT3561">
        <f>HYPERLINK("http://catalog.hathitrust.org/Record/006579946","HathiTrust Record")</f>
        <v/>
      </c>
      <c r="AU3561">
        <f>HYPERLINK("https://creighton-primo.hosted.exlibrisgroup.com/primo-explore/search?tab=default_tab&amp;search_scope=EVERYTHING&amp;vid=01CRU&amp;lang=en_US&amp;offset=0&amp;query=any,contains,991004612789702656","Catalog Record")</f>
        <v/>
      </c>
      <c r="AV3561">
        <f>HYPERLINK("http://www.worldcat.org/oclc/4225843","WorldCat Record")</f>
        <v/>
      </c>
      <c r="AW3561" t="inlineStr">
        <is>
          <t>5320443:eng</t>
        </is>
      </c>
      <c r="AX3561" t="inlineStr">
        <is>
          <t>4225843</t>
        </is>
      </c>
      <c r="AY3561" t="inlineStr">
        <is>
          <t>991004612789702656</t>
        </is>
      </c>
      <c r="AZ3561" t="inlineStr">
        <is>
          <t>991004612789702656</t>
        </is>
      </c>
      <c r="BA3561" t="inlineStr">
        <is>
          <t>2256001710002656</t>
        </is>
      </c>
      <c r="BB3561" t="inlineStr">
        <is>
          <t>BOOK</t>
        </is>
      </c>
      <c r="BE3561" t="inlineStr">
        <is>
          <t>32285003215547</t>
        </is>
      </c>
      <c r="BF3561" t="inlineStr">
        <is>
          <t>893687928</t>
        </is>
      </c>
    </row>
    <row r="3562">
      <c r="A3562" t="inlineStr">
        <is>
          <t>No</t>
        </is>
      </c>
      <c r="B3562" t="inlineStr">
        <is>
          <t>CURAL</t>
        </is>
      </c>
      <c r="C3562" t="inlineStr">
        <is>
          <t>SHELVES</t>
        </is>
      </c>
      <c r="D3562" t="inlineStr">
        <is>
          <t>PR658.P57 H84 2003</t>
        </is>
      </c>
      <c r="E3562" t="inlineStr">
        <is>
          <t>0                      PR 0658000P  57                 H  84          2003</t>
        </is>
      </c>
      <c r="F3562" t="inlineStr">
        <is>
          <t>The performance of pleasure in English Renaissance drama / Ronald Huebert.</t>
        </is>
      </c>
      <c r="H3562" t="inlineStr">
        <is>
          <t>No</t>
        </is>
      </c>
      <c r="I3562" t="inlineStr">
        <is>
          <t>1</t>
        </is>
      </c>
      <c r="J3562" t="inlineStr">
        <is>
          <t>No</t>
        </is>
      </c>
      <c r="K3562" t="inlineStr">
        <is>
          <t>No</t>
        </is>
      </c>
      <c r="L3562" t="inlineStr">
        <is>
          <t>0</t>
        </is>
      </c>
      <c r="M3562" t="inlineStr">
        <is>
          <t>Huebert, Ronald.</t>
        </is>
      </c>
      <c r="N3562" t="inlineStr">
        <is>
          <t>Houndmills, Basingstoke, Hampshire ; New York : Palgrave Macmillan, 2003.</t>
        </is>
      </c>
      <c r="O3562" t="inlineStr">
        <is>
          <t>2003</t>
        </is>
      </c>
      <c r="Q3562" t="inlineStr">
        <is>
          <t>eng</t>
        </is>
      </c>
      <c r="R3562" t="inlineStr">
        <is>
          <t>enk</t>
        </is>
      </c>
      <c r="T3562" t="inlineStr">
        <is>
          <t xml:space="preserve">PR </t>
        </is>
      </c>
      <c r="U3562" t="n">
        <v>1</v>
      </c>
      <c r="V3562" t="n">
        <v>1</v>
      </c>
      <c r="W3562" t="inlineStr">
        <is>
          <t>2005-05-25</t>
        </is>
      </c>
      <c r="X3562" t="inlineStr">
        <is>
          <t>2005-05-25</t>
        </is>
      </c>
      <c r="Y3562" t="inlineStr">
        <is>
          <t>2005-05-25</t>
        </is>
      </c>
      <c r="Z3562" t="inlineStr">
        <is>
          <t>2005-05-25</t>
        </is>
      </c>
      <c r="AA3562" t="n">
        <v>309</v>
      </c>
      <c r="AB3562" t="n">
        <v>250</v>
      </c>
      <c r="AC3562" t="n">
        <v>270</v>
      </c>
      <c r="AD3562" t="n">
        <v>3</v>
      </c>
      <c r="AE3562" t="n">
        <v>3</v>
      </c>
      <c r="AF3562" t="n">
        <v>15</v>
      </c>
      <c r="AG3562" t="n">
        <v>15</v>
      </c>
      <c r="AH3562" t="n">
        <v>5</v>
      </c>
      <c r="AI3562" t="n">
        <v>5</v>
      </c>
      <c r="AJ3562" t="n">
        <v>6</v>
      </c>
      <c r="AK3562" t="n">
        <v>6</v>
      </c>
      <c r="AL3562" t="n">
        <v>9</v>
      </c>
      <c r="AM3562" t="n">
        <v>9</v>
      </c>
      <c r="AN3562" t="n">
        <v>2</v>
      </c>
      <c r="AO3562" t="n">
        <v>2</v>
      </c>
      <c r="AP3562" t="n">
        <v>0</v>
      </c>
      <c r="AQ3562" t="n">
        <v>0</v>
      </c>
      <c r="AR3562" t="inlineStr">
        <is>
          <t>No</t>
        </is>
      </c>
      <c r="AS3562" t="inlineStr">
        <is>
          <t>No</t>
        </is>
      </c>
      <c r="AU3562">
        <f>HYPERLINK("https://creighton-primo.hosted.exlibrisgroup.com/primo-explore/search?tab=default_tab&amp;search_scope=EVERYTHING&amp;vid=01CRU&amp;lang=en_US&amp;offset=0&amp;query=any,contains,991004514639702656","Catalog Record")</f>
        <v/>
      </c>
      <c r="AV3562">
        <f>HYPERLINK("http://www.worldcat.org/oclc/51817528","WorldCat Record")</f>
        <v/>
      </c>
      <c r="AW3562" t="inlineStr">
        <is>
          <t>682159:eng</t>
        </is>
      </c>
      <c r="AX3562" t="inlineStr">
        <is>
          <t>51817528</t>
        </is>
      </c>
      <c r="AY3562" t="inlineStr">
        <is>
          <t>991004514639702656</t>
        </is>
      </c>
      <c r="AZ3562" t="inlineStr">
        <is>
          <t>991004514639702656</t>
        </is>
      </c>
      <c r="BA3562" t="inlineStr">
        <is>
          <t>2258140610002656</t>
        </is>
      </c>
      <c r="BB3562" t="inlineStr">
        <is>
          <t>BOOK</t>
        </is>
      </c>
      <c r="BD3562" t="inlineStr">
        <is>
          <t>9780333995570</t>
        </is>
      </c>
      <c r="BE3562" t="inlineStr">
        <is>
          <t>32285005090484</t>
        </is>
      </c>
      <c r="BF3562" t="inlineStr">
        <is>
          <t>893442702</t>
        </is>
      </c>
    </row>
    <row r="3563">
      <c r="A3563" t="inlineStr">
        <is>
          <t>No</t>
        </is>
      </c>
      <c r="B3563" t="inlineStr">
        <is>
          <t>CURAL</t>
        </is>
      </c>
      <c r="C3563" t="inlineStr">
        <is>
          <t>SHELVES</t>
        </is>
      </c>
      <c r="D3563" t="inlineStr">
        <is>
          <t>PR658.P6 L4</t>
        </is>
      </c>
      <c r="E3563" t="inlineStr">
        <is>
          <t>0                      PR 0658000P  6                  L  4</t>
        </is>
      </c>
      <c r="F3563" t="inlineStr">
        <is>
          <t>The multiple plot in English Renaissance drama / [by] Richard Levin.</t>
        </is>
      </c>
      <c r="H3563" t="inlineStr">
        <is>
          <t>No</t>
        </is>
      </c>
      <c r="I3563" t="inlineStr">
        <is>
          <t>1</t>
        </is>
      </c>
      <c r="J3563" t="inlineStr">
        <is>
          <t>No</t>
        </is>
      </c>
      <c r="K3563" t="inlineStr">
        <is>
          <t>No</t>
        </is>
      </c>
      <c r="L3563" t="inlineStr">
        <is>
          <t>0</t>
        </is>
      </c>
      <c r="M3563" t="inlineStr">
        <is>
          <t>Levin, Richard, 1922-2009.</t>
        </is>
      </c>
      <c r="N3563" t="inlineStr">
        <is>
          <t>Chicago : University of Chicago Press, [1971]</t>
        </is>
      </c>
      <c r="O3563" t="inlineStr">
        <is>
          <t>1971</t>
        </is>
      </c>
      <c r="Q3563" t="inlineStr">
        <is>
          <t>eng</t>
        </is>
      </c>
      <c r="R3563" t="inlineStr">
        <is>
          <t>ilu</t>
        </is>
      </c>
      <c r="T3563" t="inlineStr">
        <is>
          <t xml:space="preserve">PR </t>
        </is>
      </c>
      <c r="U3563" t="n">
        <v>9</v>
      </c>
      <c r="V3563" t="n">
        <v>9</v>
      </c>
      <c r="W3563" t="inlineStr">
        <is>
          <t>1998-04-26</t>
        </is>
      </c>
      <c r="X3563" t="inlineStr">
        <is>
          <t>1998-04-26</t>
        </is>
      </c>
      <c r="Y3563" t="inlineStr">
        <is>
          <t>1991-09-12</t>
        </is>
      </c>
      <c r="Z3563" t="inlineStr">
        <is>
          <t>1991-09-12</t>
        </is>
      </c>
      <c r="AA3563" t="n">
        <v>1057</v>
      </c>
      <c r="AB3563" t="n">
        <v>868</v>
      </c>
      <c r="AC3563" t="n">
        <v>874</v>
      </c>
      <c r="AD3563" t="n">
        <v>8</v>
      </c>
      <c r="AE3563" t="n">
        <v>8</v>
      </c>
      <c r="AF3563" t="n">
        <v>41</v>
      </c>
      <c r="AG3563" t="n">
        <v>41</v>
      </c>
      <c r="AH3563" t="n">
        <v>13</v>
      </c>
      <c r="AI3563" t="n">
        <v>13</v>
      </c>
      <c r="AJ3563" t="n">
        <v>8</v>
      </c>
      <c r="AK3563" t="n">
        <v>8</v>
      </c>
      <c r="AL3563" t="n">
        <v>19</v>
      </c>
      <c r="AM3563" t="n">
        <v>19</v>
      </c>
      <c r="AN3563" t="n">
        <v>7</v>
      </c>
      <c r="AO3563" t="n">
        <v>7</v>
      </c>
      <c r="AP3563" t="n">
        <v>0</v>
      </c>
      <c r="AQ3563" t="n">
        <v>0</v>
      </c>
      <c r="AR3563" t="inlineStr">
        <is>
          <t>No</t>
        </is>
      </c>
      <c r="AS3563" t="inlineStr">
        <is>
          <t>No</t>
        </is>
      </c>
      <c r="AU3563">
        <f>HYPERLINK("https://creighton-primo.hosted.exlibrisgroup.com/primo-explore/search?tab=default_tab&amp;search_scope=EVERYTHING&amp;vid=01CRU&amp;lang=en_US&amp;offset=0&amp;query=any,contains,991001235289702656","Catalog Record")</f>
        <v/>
      </c>
      <c r="AV3563">
        <f>HYPERLINK("http://www.worldcat.org/oclc/205629","WorldCat Record")</f>
        <v/>
      </c>
      <c r="AW3563" t="inlineStr">
        <is>
          <t>118116402:eng</t>
        </is>
      </c>
      <c r="AX3563" t="inlineStr">
        <is>
          <t>205629</t>
        </is>
      </c>
      <c r="AY3563" t="inlineStr">
        <is>
          <t>991001235289702656</t>
        </is>
      </c>
      <c r="AZ3563" t="inlineStr">
        <is>
          <t>991001235289702656</t>
        </is>
      </c>
      <c r="BA3563" t="inlineStr">
        <is>
          <t>2256869140002656</t>
        </is>
      </c>
      <c r="BB3563" t="inlineStr">
        <is>
          <t>BOOK</t>
        </is>
      </c>
      <c r="BD3563" t="inlineStr">
        <is>
          <t>9780226475264</t>
        </is>
      </c>
      <c r="BE3563" t="inlineStr">
        <is>
          <t>32285000739952</t>
        </is>
      </c>
      <c r="BF3563" t="inlineStr">
        <is>
          <t>893872391</t>
        </is>
      </c>
    </row>
    <row r="3564">
      <c r="A3564" t="inlineStr">
        <is>
          <t>No</t>
        </is>
      </c>
      <c r="B3564" t="inlineStr">
        <is>
          <t>CURAL</t>
        </is>
      </c>
      <c r="C3564" t="inlineStr">
        <is>
          <t>SHELVES</t>
        </is>
      </c>
      <c r="D3564" t="inlineStr">
        <is>
          <t>PR658.P65 B87 1990</t>
        </is>
      </c>
      <c r="E3564" t="inlineStr">
        <is>
          <t>0                      PR 0658000P  65                 B  87          1990</t>
        </is>
      </c>
      <c r="F3564" t="inlineStr">
        <is>
          <t>Tragedies of tyrants : political thought and theater in the English Renaissance / Rebecca W. Bushnell.</t>
        </is>
      </c>
      <c r="H3564" t="inlineStr">
        <is>
          <t>No</t>
        </is>
      </c>
      <c r="I3564" t="inlineStr">
        <is>
          <t>1</t>
        </is>
      </c>
      <c r="J3564" t="inlineStr">
        <is>
          <t>No</t>
        </is>
      </c>
      <c r="K3564" t="inlineStr">
        <is>
          <t>No</t>
        </is>
      </c>
      <c r="L3564" t="inlineStr">
        <is>
          <t>0</t>
        </is>
      </c>
      <c r="M3564" t="inlineStr">
        <is>
          <t>Bushnell, Rebecca W., 1952-</t>
        </is>
      </c>
      <c r="N3564" t="inlineStr">
        <is>
          <t>Ithaca : Cornell University Press, 1990.</t>
        </is>
      </c>
      <c r="O3564" t="inlineStr">
        <is>
          <t>1990</t>
        </is>
      </c>
      <c r="Q3564" t="inlineStr">
        <is>
          <t>eng</t>
        </is>
      </c>
      <c r="R3564" t="inlineStr">
        <is>
          <t>nyu</t>
        </is>
      </c>
      <c r="T3564" t="inlineStr">
        <is>
          <t xml:space="preserve">PR </t>
        </is>
      </c>
      <c r="U3564" t="n">
        <v>5</v>
      </c>
      <c r="V3564" t="n">
        <v>5</v>
      </c>
      <c r="W3564" t="inlineStr">
        <is>
          <t>1995-11-02</t>
        </is>
      </c>
      <c r="X3564" t="inlineStr">
        <is>
          <t>1995-11-02</t>
        </is>
      </c>
      <c r="Y3564" t="inlineStr">
        <is>
          <t>1991-05-01</t>
        </is>
      </c>
      <c r="Z3564" t="inlineStr">
        <is>
          <t>1991-05-01</t>
        </is>
      </c>
      <c r="AA3564" t="n">
        <v>484</v>
      </c>
      <c r="AB3564" t="n">
        <v>369</v>
      </c>
      <c r="AC3564" t="n">
        <v>536</v>
      </c>
      <c r="AD3564" t="n">
        <v>3</v>
      </c>
      <c r="AE3564" t="n">
        <v>3</v>
      </c>
      <c r="AF3564" t="n">
        <v>27</v>
      </c>
      <c r="AG3564" t="n">
        <v>33</v>
      </c>
      <c r="AH3564" t="n">
        <v>9</v>
      </c>
      <c r="AI3564" t="n">
        <v>15</v>
      </c>
      <c r="AJ3564" t="n">
        <v>9</v>
      </c>
      <c r="AK3564" t="n">
        <v>10</v>
      </c>
      <c r="AL3564" t="n">
        <v>15</v>
      </c>
      <c r="AM3564" t="n">
        <v>17</v>
      </c>
      <c r="AN3564" t="n">
        <v>2</v>
      </c>
      <c r="AO3564" t="n">
        <v>2</v>
      </c>
      <c r="AP3564" t="n">
        <v>0</v>
      </c>
      <c r="AQ3564" t="n">
        <v>0</v>
      </c>
      <c r="AR3564" t="inlineStr">
        <is>
          <t>No</t>
        </is>
      </c>
      <c r="AS3564" t="inlineStr">
        <is>
          <t>Yes</t>
        </is>
      </c>
      <c r="AT3564">
        <f>HYPERLINK("http://catalog.hathitrust.org/Record/002230640","HathiTrust Record")</f>
        <v/>
      </c>
      <c r="AU3564">
        <f>HYPERLINK("https://creighton-primo.hosted.exlibrisgroup.com/primo-explore/search?tab=default_tab&amp;search_scope=EVERYTHING&amp;vid=01CRU&amp;lang=en_US&amp;offset=0&amp;query=any,contains,991001621649702656","Catalog Record")</f>
        <v/>
      </c>
      <c r="AV3564">
        <f>HYPERLINK("http://www.worldcat.org/oclc/20825268","WorldCat Record")</f>
        <v/>
      </c>
      <c r="AW3564" t="inlineStr">
        <is>
          <t>233892634:eng</t>
        </is>
      </c>
      <c r="AX3564" t="inlineStr">
        <is>
          <t>20825268</t>
        </is>
      </c>
      <c r="AY3564" t="inlineStr">
        <is>
          <t>991001621649702656</t>
        </is>
      </c>
      <c r="AZ3564" t="inlineStr">
        <is>
          <t>991001621649702656</t>
        </is>
      </c>
      <c r="BA3564" t="inlineStr">
        <is>
          <t>2260692460002656</t>
        </is>
      </c>
      <c r="BB3564" t="inlineStr">
        <is>
          <t>BOOK</t>
        </is>
      </c>
      <c r="BD3564" t="inlineStr">
        <is>
          <t>9780801422713</t>
        </is>
      </c>
      <c r="BE3564" t="inlineStr">
        <is>
          <t>32285000570795</t>
        </is>
      </c>
      <c r="BF3564" t="inlineStr">
        <is>
          <t>893509729</t>
        </is>
      </c>
    </row>
    <row r="3565">
      <c r="A3565" t="inlineStr">
        <is>
          <t>No</t>
        </is>
      </c>
      <c r="B3565" t="inlineStr">
        <is>
          <t>CURAL</t>
        </is>
      </c>
      <c r="C3565" t="inlineStr">
        <is>
          <t>SHELVES</t>
        </is>
      </c>
      <c r="D3565" t="inlineStr">
        <is>
          <t>PR658.P76 I6 1984</t>
        </is>
      </c>
      <c r="E3565" t="inlineStr">
        <is>
          <t>0                      PR 0658000P  76                 I  6           1984</t>
        </is>
      </c>
      <c r="F3565" t="inlineStr">
        <is>
          <t>In the posture of a whore : changing attitudes to 'bad' women in Elizabethan and Jacobean drama / by Angela J.C. Ingram.</t>
        </is>
      </c>
      <c r="G3565" t="inlineStr">
        <is>
          <t>V.2</t>
        </is>
      </c>
      <c r="H3565" t="inlineStr">
        <is>
          <t>Yes</t>
        </is>
      </c>
      <c r="I3565" t="inlineStr">
        <is>
          <t>1</t>
        </is>
      </c>
      <c r="J3565" t="inlineStr">
        <is>
          <t>No</t>
        </is>
      </c>
      <c r="K3565" t="inlineStr">
        <is>
          <t>No</t>
        </is>
      </c>
      <c r="L3565" t="inlineStr">
        <is>
          <t>0</t>
        </is>
      </c>
      <c r="M3565" t="inlineStr">
        <is>
          <t>Ingram, Angela J. C.</t>
        </is>
      </c>
      <c r="N3565" t="inlineStr">
        <is>
          <t>Salzburg : Institut für Anglistik und Amerikanistik, Universität Salzburg, 1984.</t>
        </is>
      </c>
      <c r="O3565" t="inlineStr">
        <is>
          <t>1984</t>
        </is>
      </c>
      <c r="Q3565" t="inlineStr">
        <is>
          <t>eng</t>
        </is>
      </c>
      <c r="R3565" t="inlineStr">
        <is>
          <t xml:space="preserve">au </t>
        </is>
      </c>
      <c r="S3565" t="inlineStr">
        <is>
          <t>Salzburg studies in English literature</t>
        </is>
      </c>
      <c r="T3565" t="inlineStr">
        <is>
          <t xml:space="preserve">PR </t>
        </is>
      </c>
      <c r="U3565" t="n">
        <v>2</v>
      </c>
      <c r="V3565" t="n">
        <v>5</v>
      </c>
      <c r="W3565" t="inlineStr">
        <is>
          <t>1992-02-22</t>
        </is>
      </c>
      <c r="X3565" t="inlineStr">
        <is>
          <t>2001-12-04</t>
        </is>
      </c>
      <c r="Y3565" t="inlineStr">
        <is>
          <t>1991-09-10</t>
        </is>
      </c>
      <c r="Z3565" t="inlineStr">
        <is>
          <t>1991-09-10</t>
        </is>
      </c>
      <c r="AA3565" t="n">
        <v>187</v>
      </c>
      <c r="AB3565" t="n">
        <v>150</v>
      </c>
      <c r="AC3565" t="n">
        <v>153</v>
      </c>
      <c r="AD3565" t="n">
        <v>2</v>
      </c>
      <c r="AE3565" t="n">
        <v>2</v>
      </c>
      <c r="AF3565" t="n">
        <v>7</v>
      </c>
      <c r="AG3565" t="n">
        <v>7</v>
      </c>
      <c r="AH3565" t="n">
        <v>1</v>
      </c>
      <c r="AI3565" t="n">
        <v>1</v>
      </c>
      <c r="AJ3565" t="n">
        <v>2</v>
      </c>
      <c r="AK3565" t="n">
        <v>2</v>
      </c>
      <c r="AL3565" t="n">
        <v>5</v>
      </c>
      <c r="AM3565" t="n">
        <v>5</v>
      </c>
      <c r="AN3565" t="n">
        <v>1</v>
      </c>
      <c r="AO3565" t="n">
        <v>1</v>
      </c>
      <c r="AP3565" t="n">
        <v>0</v>
      </c>
      <c r="AQ3565" t="n">
        <v>0</v>
      </c>
      <c r="AR3565" t="inlineStr">
        <is>
          <t>No</t>
        </is>
      </c>
      <c r="AS3565" t="inlineStr">
        <is>
          <t>Yes</t>
        </is>
      </c>
      <c r="AT3565">
        <f>HYPERLINK("http://catalog.hathitrust.org/Record/002525020","HathiTrust Record")</f>
        <v/>
      </c>
      <c r="AU3565">
        <f>HYPERLINK("https://creighton-primo.hosted.exlibrisgroup.com/primo-explore/search?tab=default_tab&amp;search_scope=EVERYTHING&amp;vid=01CRU&amp;lang=en_US&amp;offset=0&amp;query=any,contains,991000447919702656","Catalog Record")</f>
        <v/>
      </c>
      <c r="AV3565">
        <f>HYPERLINK("http://www.worldcat.org/oclc/10863100","WorldCat Record")</f>
        <v/>
      </c>
      <c r="AW3565" t="inlineStr">
        <is>
          <t>3078215:eng</t>
        </is>
      </c>
      <c r="AX3565" t="inlineStr">
        <is>
          <t>10863100</t>
        </is>
      </c>
      <c r="AY3565" t="inlineStr">
        <is>
          <t>991000447919702656</t>
        </is>
      </c>
      <c r="AZ3565" t="inlineStr">
        <is>
          <t>991000447919702656</t>
        </is>
      </c>
      <c r="BA3565" t="inlineStr">
        <is>
          <t>2270247730002656</t>
        </is>
      </c>
      <c r="BB3565" t="inlineStr">
        <is>
          <t>BOOK</t>
        </is>
      </c>
      <c r="BE3565" t="inlineStr">
        <is>
          <t>32285000739838</t>
        </is>
      </c>
      <c r="BF3565" t="inlineStr">
        <is>
          <t>893878042</t>
        </is>
      </c>
    </row>
    <row r="3566">
      <c r="A3566" t="inlineStr">
        <is>
          <t>No</t>
        </is>
      </c>
      <c r="B3566" t="inlineStr">
        <is>
          <t>CURAL</t>
        </is>
      </c>
      <c r="C3566" t="inlineStr">
        <is>
          <t>SHELVES</t>
        </is>
      </c>
      <c r="D3566" t="inlineStr">
        <is>
          <t>PR658.P76 I6 1984</t>
        </is>
      </c>
      <c r="E3566" t="inlineStr">
        <is>
          <t>0                      PR 0658000P  76                 I  6           1984</t>
        </is>
      </c>
      <c r="F3566" t="inlineStr">
        <is>
          <t>In the posture of a whore : changing attitudes to 'bad' women in Elizabethan and Jacobean drama / by Angela J.C. Ingram.</t>
        </is>
      </c>
      <c r="G3566" t="inlineStr">
        <is>
          <t>V.1</t>
        </is>
      </c>
      <c r="H3566" t="inlineStr">
        <is>
          <t>Yes</t>
        </is>
      </c>
      <c r="I3566" t="inlineStr">
        <is>
          <t>1</t>
        </is>
      </c>
      <c r="J3566" t="inlineStr">
        <is>
          <t>No</t>
        </is>
      </c>
      <c r="K3566" t="inlineStr">
        <is>
          <t>No</t>
        </is>
      </c>
      <c r="L3566" t="inlineStr">
        <is>
          <t>0</t>
        </is>
      </c>
      <c r="M3566" t="inlineStr">
        <is>
          <t>Ingram, Angela J. C.</t>
        </is>
      </c>
      <c r="N3566" t="inlineStr">
        <is>
          <t>Salzburg : Institut für Anglistik und Amerikanistik, Universität Salzburg, 1984.</t>
        </is>
      </c>
      <c r="O3566" t="inlineStr">
        <is>
          <t>1984</t>
        </is>
      </c>
      <c r="Q3566" t="inlineStr">
        <is>
          <t>eng</t>
        </is>
      </c>
      <c r="R3566" t="inlineStr">
        <is>
          <t xml:space="preserve">au </t>
        </is>
      </c>
      <c r="S3566" t="inlineStr">
        <is>
          <t>Salzburg studies in English literature</t>
        </is>
      </c>
      <c r="T3566" t="inlineStr">
        <is>
          <t xml:space="preserve">PR </t>
        </is>
      </c>
      <c r="U3566" t="n">
        <v>3</v>
      </c>
      <c r="V3566" t="n">
        <v>5</v>
      </c>
      <c r="W3566" t="inlineStr">
        <is>
          <t>2001-12-04</t>
        </is>
      </c>
      <c r="X3566" t="inlineStr">
        <is>
          <t>2001-12-04</t>
        </is>
      </c>
      <c r="Y3566" t="inlineStr">
        <is>
          <t>1991-09-10</t>
        </is>
      </c>
      <c r="Z3566" t="inlineStr">
        <is>
          <t>1991-09-10</t>
        </is>
      </c>
      <c r="AA3566" t="n">
        <v>187</v>
      </c>
      <c r="AB3566" t="n">
        <v>150</v>
      </c>
      <c r="AC3566" t="n">
        <v>153</v>
      </c>
      <c r="AD3566" t="n">
        <v>2</v>
      </c>
      <c r="AE3566" t="n">
        <v>2</v>
      </c>
      <c r="AF3566" t="n">
        <v>7</v>
      </c>
      <c r="AG3566" t="n">
        <v>7</v>
      </c>
      <c r="AH3566" t="n">
        <v>1</v>
      </c>
      <c r="AI3566" t="n">
        <v>1</v>
      </c>
      <c r="AJ3566" t="n">
        <v>2</v>
      </c>
      <c r="AK3566" t="n">
        <v>2</v>
      </c>
      <c r="AL3566" t="n">
        <v>5</v>
      </c>
      <c r="AM3566" t="n">
        <v>5</v>
      </c>
      <c r="AN3566" t="n">
        <v>1</v>
      </c>
      <c r="AO3566" t="n">
        <v>1</v>
      </c>
      <c r="AP3566" t="n">
        <v>0</v>
      </c>
      <c r="AQ3566" t="n">
        <v>0</v>
      </c>
      <c r="AR3566" t="inlineStr">
        <is>
          <t>No</t>
        </is>
      </c>
      <c r="AS3566" t="inlineStr">
        <is>
          <t>Yes</t>
        </is>
      </c>
      <c r="AT3566">
        <f>HYPERLINK("http://catalog.hathitrust.org/Record/002525020","HathiTrust Record")</f>
        <v/>
      </c>
      <c r="AU3566">
        <f>HYPERLINK("https://creighton-primo.hosted.exlibrisgroup.com/primo-explore/search?tab=default_tab&amp;search_scope=EVERYTHING&amp;vid=01CRU&amp;lang=en_US&amp;offset=0&amp;query=any,contains,991000447919702656","Catalog Record")</f>
        <v/>
      </c>
      <c r="AV3566">
        <f>HYPERLINK("http://www.worldcat.org/oclc/10863100","WorldCat Record")</f>
        <v/>
      </c>
      <c r="AW3566" t="inlineStr">
        <is>
          <t>3078215:eng</t>
        </is>
      </c>
      <c r="AX3566" t="inlineStr">
        <is>
          <t>10863100</t>
        </is>
      </c>
      <c r="AY3566" t="inlineStr">
        <is>
          <t>991000447919702656</t>
        </is>
      </c>
      <c r="AZ3566" t="inlineStr">
        <is>
          <t>991000447919702656</t>
        </is>
      </c>
      <c r="BA3566" t="inlineStr">
        <is>
          <t>2270247730002656</t>
        </is>
      </c>
      <c r="BB3566" t="inlineStr">
        <is>
          <t>BOOK</t>
        </is>
      </c>
      <c r="BE3566" t="inlineStr">
        <is>
          <t>32285000739820</t>
        </is>
      </c>
      <c r="BF3566" t="inlineStr">
        <is>
          <t>893865352</t>
        </is>
      </c>
    </row>
    <row r="3567">
      <c r="A3567" t="inlineStr">
        <is>
          <t>No</t>
        </is>
      </c>
      <c r="B3567" t="inlineStr">
        <is>
          <t>CURAL</t>
        </is>
      </c>
      <c r="C3567" t="inlineStr">
        <is>
          <t>SHELVES</t>
        </is>
      </c>
      <c r="D3567" t="inlineStr">
        <is>
          <t>PR658.R43 H3</t>
        </is>
      </c>
      <c r="E3567" t="inlineStr">
        <is>
          <t>0                      PR 0658000R  43                 H  3</t>
        </is>
      </c>
      <c r="F3567" t="inlineStr">
        <is>
          <t>Renaissance drama &amp; the English church year / R. Chris Hassel, Jr.</t>
        </is>
      </c>
      <c r="H3567" t="inlineStr">
        <is>
          <t>No</t>
        </is>
      </c>
      <c r="I3567" t="inlineStr">
        <is>
          <t>1</t>
        </is>
      </c>
      <c r="J3567" t="inlineStr">
        <is>
          <t>No</t>
        </is>
      </c>
      <c r="K3567" t="inlineStr">
        <is>
          <t>No</t>
        </is>
      </c>
      <c r="L3567" t="inlineStr">
        <is>
          <t>0</t>
        </is>
      </c>
      <c r="M3567" t="inlineStr">
        <is>
          <t>Hassel, R. Chris (Rudolph Chris), 1939-</t>
        </is>
      </c>
      <c r="N3567" t="inlineStr">
        <is>
          <t>Lincoln : University of Nebraska Press, c1979.</t>
        </is>
      </c>
      <c r="O3567" t="inlineStr">
        <is>
          <t>1979</t>
        </is>
      </c>
      <c r="Q3567" t="inlineStr">
        <is>
          <t>eng</t>
        </is>
      </c>
      <c r="R3567" t="inlineStr">
        <is>
          <t>nbu</t>
        </is>
      </c>
      <c r="T3567" t="inlineStr">
        <is>
          <t xml:space="preserve">PR </t>
        </is>
      </c>
      <c r="U3567" t="n">
        <v>5</v>
      </c>
      <c r="V3567" t="n">
        <v>5</v>
      </c>
      <c r="W3567" t="inlineStr">
        <is>
          <t>1998-11-16</t>
        </is>
      </c>
      <c r="X3567" t="inlineStr">
        <is>
          <t>1998-11-16</t>
        </is>
      </c>
      <c r="Y3567" t="inlineStr">
        <is>
          <t>1991-09-10</t>
        </is>
      </c>
      <c r="Z3567" t="inlineStr">
        <is>
          <t>1991-09-10</t>
        </is>
      </c>
      <c r="AA3567" t="n">
        <v>648</v>
      </c>
      <c r="AB3567" t="n">
        <v>529</v>
      </c>
      <c r="AC3567" t="n">
        <v>532</v>
      </c>
      <c r="AD3567" t="n">
        <v>6</v>
      </c>
      <c r="AE3567" t="n">
        <v>6</v>
      </c>
      <c r="AF3567" t="n">
        <v>31</v>
      </c>
      <c r="AG3567" t="n">
        <v>31</v>
      </c>
      <c r="AH3567" t="n">
        <v>11</v>
      </c>
      <c r="AI3567" t="n">
        <v>11</v>
      </c>
      <c r="AJ3567" t="n">
        <v>9</v>
      </c>
      <c r="AK3567" t="n">
        <v>9</v>
      </c>
      <c r="AL3567" t="n">
        <v>17</v>
      </c>
      <c r="AM3567" t="n">
        <v>17</v>
      </c>
      <c r="AN3567" t="n">
        <v>3</v>
      </c>
      <c r="AO3567" t="n">
        <v>3</v>
      </c>
      <c r="AP3567" t="n">
        <v>0</v>
      </c>
      <c r="AQ3567" t="n">
        <v>0</v>
      </c>
      <c r="AR3567" t="inlineStr">
        <is>
          <t>No</t>
        </is>
      </c>
      <c r="AS3567" t="inlineStr">
        <is>
          <t>Yes</t>
        </is>
      </c>
      <c r="AT3567">
        <f>HYPERLINK("http://catalog.hathitrust.org/Record/000257100","HathiTrust Record")</f>
        <v/>
      </c>
      <c r="AU3567">
        <f>HYPERLINK("https://creighton-primo.hosted.exlibrisgroup.com/primo-explore/search?tab=default_tab&amp;search_scope=EVERYTHING&amp;vid=01CRU&amp;lang=en_US&amp;offset=0&amp;query=any,contains,991004665879702656","Catalog Record")</f>
        <v/>
      </c>
      <c r="AV3567">
        <f>HYPERLINK("http://www.worldcat.org/oclc/4503891","WorldCat Record")</f>
        <v/>
      </c>
      <c r="AW3567" t="inlineStr">
        <is>
          <t>455120:eng</t>
        </is>
      </c>
      <c r="AX3567" t="inlineStr">
        <is>
          <t>4503891</t>
        </is>
      </c>
      <c r="AY3567" t="inlineStr">
        <is>
          <t>991004665879702656</t>
        </is>
      </c>
      <c r="AZ3567" t="inlineStr">
        <is>
          <t>991004665879702656</t>
        </is>
      </c>
      <c r="BA3567" t="inlineStr">
        <is>
          <t>2265290300002656</t>
        </is>
      </c>
      <c r="BB3567" t="inlineStr">
        <is>
          <t>BOOK</t>
        </is>
      </c>
      <c r="BD3567" t="inlineStr">
        <is>
          <t>9780803223042</t>
        </is>
      </c>
      <c r="BE3567" t="inlineStr">
        <is>
          <t>32285000739846</t>
        </is>
      </c>
      <c r="BF3567" t="inlineStr">
        <is>
          <t>893889026</t>
        </is>
      </c>
    </row>
    <row r="3568">
      <c r="A3568" t="inlineStr">
        <is>
          <t>No</t>
        </is>
      </c>
      <c r="B3568" t="inlineStr">
        <is>
          <t>CURAL</t>
        </is>
      </c>
      <c r="C3568" t="inlineStr">
        <is>
          <t>SHELVES</t>
        </is>
      </c>
      <c r="D3568" t="inlineStr">
        <is>
          <t>PR658.R45 H3 1980</t>
        </is>
      </c>
      <c r="E3568" t="inlineStr">
        <is>
          <t>0                      PR 0658000R  45                 H  3           1980</t>
        </is>
      </c>
      <c r="F3568" t="inlineStr">
        <is>
          <t>The revenger's madness : a study of revenge tragedy motifs / Charles A. Hallet and Elaine S. Hallett.</t>
        </is>
      </c>
      <c r="H3568" t="inlineStr">
        <is>
          <t>No</t>
        </is>
      </c>
      <c r="I3568" t="inlineStr">
        <is>
          <t>1</t>
        </is>
      </c>
      <c r="J3568" t="inlineStr">
        <is>
          <t>No</t>
        </is>
      </c>
      <c r="K3568" t="inlineStr">
        <is>
          <t>No</t>
        </is>
      </c>
      <c r="L3568" t="inlineStr">
        <is>
          <t>0</t>
        </is>
      </c>
      <c r="M3568" t="inlineStr">
        <is>
          <t>Hallett, Charles A.</t>
        </is>
      </c>
      <c r="N3568" t="inlineStr">
        <is>
          <t>Lincoln : University of Nebraska Press, c1980.</t>
        </is>
      </c>
      <c r="O3568" t="inlineStr">
        <is>
          <t>1980</t>
        </is>
      </c>
      <c r="Q3568" t="inlineStr">
        <is>
          <t>eng</t>
        </is>
      </c>
      <c r="R3568" t="inlineStr">
        <is>
          <t>nbu</t>
        </is>
      </c>
      <c r="T3568" t="inlineStr">
        <is>
          <t xml:space="preserve">PR </t>
        </is>
      </c>
      <c r="U3568" t="n">
        <v>7</v>
      </c>
      <c r="V3568" t="n">
        <v>7</v>
      </c>
      <c r="W3568" t="inlineStr">
        <is>
          <t>1996-03-25</t>
        </is>
      </c>
      <c r="X3568" t="inlineStr">
        <is>
          <t>1996-03-25</t>
        </is>
      </c>
      <c r="Y3568" t="inlineStr">
        <is>
          <t>1991-09-10</t>
        </is>
      </c>
      <c r="Z3568" t="inlineStr">
        <is>
          <t>1991-09-10</t>
        </is>
      </c>
      <c r="AA3568" t="n">
        <v>571</v>
      </c>
      <c r="AB3568" t="n">
        <v>447</v>
      </c>
      <c r="AC3568" t="n">
        <v>448</v>
      </c>
      <c r="AD3568" t="n">
        <v>5</v>
      </c>
      <c r="AE3568" t="n">
        <v>5</v>
      </c>
      <c r="AF3568" t="n">
        <v>31</v>
      </c>
      <c r="AG3568" t="n">
        <v>31</v>
      </c>
      <c r="AH3568" t="n">
        <v>10</v>
      </c>
      <c r="AI3568" t="n">
        <v>10</v>
      </c>
      <c r="AJ3568" t="n">
        <v>7</v>
      </c>
      <c r="AK3568" t="n">
        <v>7</v>
      </c>
      <c r="AL3568" t="n">
        <v>18</v>
      </c>
      <c r="AM3568" t="n">
        <v>18</v>
      </c>
      <c r="AN3568" t="n">
        <v>3</v>
      </c>
      <c r="AO3568" t="n">
        <v>3</v>
      </c>
      <c r="AP3568" t="n">
        <v>0</v>
      </c>
      <c r="AQ3568" t="n">
        <v>0</v>
      </c>
      <c r="AR3568" t="inlineStr">
        <is>
          <t>No</t>
        </is>
      </c>
      <c r="AS3568" t="inlineStr">
        <is>
          <t>No</t>
        </is>
      </c>
      <c r="AU3568">
        <f>HYPERLINK("https://creighton-primo.hosted.exlibrisgroup.com/primo-explore/search?tab=default_tab&amp;search_scope=EVERYTHING&amp;vid=01CRU&amp;lang=en_US&amp;offset=0&amp;query=any,contains,991004944059702656","Catalog Record")</f>
        <v/>
      </c>
      <c r="AV3568">
        <f>HYPERLINK("http://www.worldcat.org/oclc/6196813","WorldCat Record")</f>
        <v/>
      </c>
      <c r="AW3568" t="inlineStr">
        <is>
          <t>889426745:eng</t>
        </is>
      </c>
      <c r="AX3568" t="inlineStr">
        <is>
          <t>6196813</t>
        </is>
      </c>
      <c r="AY3568" t="inlineStr">
        <is>
          <t>991004944059702656</t>
        </is>
      </c>
      <c r="AZ3568" t="inlineStr">
        <is>
          <t>991004944059702656</t>
        </is>
      </c>
      <c r="BA3568" t="inlineStr">
        <is>
          <t>2266362480002656</t>
        </is>
      </c>
      <c r="BB3568" t="inlineStr">
        <is>
          <t>BOOK</t>
        </is>
      </c>
      <c r="BD3568" t="inlineStr">
        <is>
          <t>9780803223097</t>
        </is>
      </c>
      <c r="BE3568" t="inlineStr">
        <is>
          <t>32285000739861</t>
        </is>
      </c>
      <c r="BF3568" t="inlineStr">
        <is>
          <t>893883136</t>
        </is>
      </c>
    </row>
    <row r="3569">
      <c r="A3569" t="inlineStr">
        <is>
          <t>No</t>
        </is>
      </c>
      <c r="B3569" t="inlineStr">
        <is>
          <t>CURAL</t>
        </is>
      </c>
      <c r="C3569" t="inlineStr">
        <is>
          <t>SHELVES</t>
        </is>
      </c>
      <c r="D3569" t="inlineStr">
        <is>
          <t>PR658.S42 E76 1992</t>
        </is>
      </c>
      <c r="E3569" t="inlineStr">
        <is>
          <t>0                      PR 0658000S  42                 E  76          1992</t>
        </is>
      </c>
      <c r="F3569" t="inlineStr">
        <is>
          <t>Erotic politics : desire on the Renaissance stage / edited by Susan Zimmerman.</t>
        </is>
      </c>
      <c r="H3569" t="inlineStr">
        <is>
          <t>No</t>
        </is>
      </c>
      <c r="I3569" t="inlineStr">
        <is>
          <t>1</t>
        </is>
      </c>
      <c r="J3569" t="inlineStr">
        <is>
          <t>No</t>
        </is>
      </c>
      <c r="K3569" t="inlineStr">
        <is>
          <t>No</t>
        </is>
      </c>
      <c r="L3569" t="inlineStr">
        <is>
          <t>0</t>
        </is>
      </c>
      <c r="N3569" t="inlineStr">
        <is>
          <t>New York : Routledge, c1992.</t>
        </is>
      </c>
      <c r="O3569" t="inlineStr">
        <is>
          <t>1992</t>
        </is>
      </c>
      <c r="Q3569" t="inlineStr">
        <is>
          <t>eng</t>
        </is>
      </c>
      <c r="R3569" t="inlineStr">
        <is>
          <t>nyu</t>
        </is>
      </c>
      <c r="T3569" t="inlineStr">
        <is>
          <t xml:space="preserve">PR </t>
        </is>
      </c>
      <c r="U3569" t="n">
        <v>4</v>
      </c>
      <c r="V3569" t="n">
        <v>4</v>
      </c>
      <c r="W3569" t="inlineStr">
        <is>
          <t>2001-05-01</t>
        </is>
      </c>
      <c r="X3569" t="inlineStr">
        <is>
          <t>2001-05-01</t>
        </is>
      </c>
      <c r="Y3569" t="inlineStr">
        <is>
          <t>1994-11-08</t>
        </is>
      </c>
      <c r="Z3569" t="inlineStr">
        <is>
          <t>1994-11-08</t>
        </is>
      </c>
      <c r="AA3569" t="n">
        <v>482</v>
      </c>
      <c r="AB3569" t="n">
        <v>326</v>
      </c>
      <c r="AC3569" t="n">
        <v>356</v>
      </c>
      <c r="AD3569" t="n">
        <v>3</v>
      </c>
      <c r="AE3569" t="n">
        <v>3</v>
      </c>
      <c r="AF3569" t="n">
        <v>17</v>
      </c>
      <c r="AG3569" t="n">
        <v>17</v>
      </c>
      <c r="AH3569" t="n">
        <v>6</v>
      </c>
      <c r="AI3569" t="n">
        <v>6</v>
      </c>
      <c r="AJ3569" t="n">
        <v>4</v>
      </c>
      <c r="AK3569" t="n">
        <v>4</v>
      </c>
      <c r="AL3569" t="n">
        <v>11</v>
      </c>
      <c r="AM3569" t="n">
        <v>11</v>
      </c>
      <c r="AN3569" t="n">
        <v>2</v>
      </c>
      <c r="AO3569" t="n">
        <v>2</v>
      </c>
      <c r="AP3569" t="n">
        <v>0</v>
      </c>
      <c r="AQ3569" t="n">
        <v>0</v>
      </c>
      <c r="AR3569" t="inlineStr">
        <is>
          <t>No</t>
        </is>
      </c>
      <c r="AS3569" t="inlineStr">
        <is>
          <t>No</t>
        </is>
      </c>
      <c r="AU3569">
        <f>HYPERLINK("https://creighton-primo.hosted.exlibrisgroup.com/primo-explore/search?tab=default_tab&amp;search_scope=EVERYTHING&amp;vid=01CRU&amp;lang=en_US&amp;offset=0&amp;query=any,contains,991002005819702656","Catalog Record")</f>
        <v/>
      </c>
      <c r="AV3569">
        <f>HYPERLINK("http://www.worldcat.org/oclc/25508725","WorldCat Record")</f>
        <v/>
      </c>
      <c r="AW3569" t="inlineStr">
        <is>
          <t>865596235:eng</t>
        </is>
      </c>
      <c r="AX3569" t="inlineStr">
        <is>
          <t>25508725</t>
        </is>
      </c>
      <c r="AY3569" t="inlineStr">
        <is>
          <t>991002005819702656</t>
        </is>
      </c>
      <c r="AZ3569" t="inlineStr">
        <is>
          <t>991002005819702656</t>
        </is>
      </c>
      <c r="BA3569" t="inlineStr">
        <is>
          <t>2272332160002656</t>
        </is>
      </c>
      <c r="BB3569" t="inlineStr">
        <is>
          <t>BOOK</t>
        </is>
      </c>
      <c r="BD3569" t="inlineStr">
        <is>
          <t>9780415066464</t>
        </is>
      </c>
      <c r="BE3569" t="inlineStr">
        <is>
          <t>32285001956803</t>
        </is>
      </c>
      <c r="BF3569" t="inlineStr">
        <is>
          <t>893232455</t>
        </is>
      </c>
    </row>
    <row r="3570">
      <c r="A3570" t="inlineStr">
        <is>
          <t>No</t>
        </is>
      </c>
      <c r="B3570" t="inlineStr">
        <is>
          <t>CURAL</t>
        </is>
      </c>
      <c r="C3570" t="inlineStr">
        <is>
          <t>SHELVES</t>
        </is>
      </c>
      <c r="D3570" t="inlineStr">
        <is>
          <t>PR658.S42 S26 1998</t>
        </is>
      </c>
      <c r="E3570" t="inlineStr">
        <is>
          <t>0                      PR 0658000S  42                 S  26          1998</t>
        </is>
      </c>
      <c r="F3570" t="inlineStr">
        <is>
          <t>Gender and literacy on stage in early modern England / Eve Rachele Sanders.</t>
        </is>
      </c>
      <c r="H3570" t="inlineStr">
        <is>
          <t>No</t>
        </is>
      </c>
      <c r="I3570" t="inlineStr">
        <is>
          <t>1</t>
        </is>
      </c>
      <c r="J3570" t="inlineStr">
        <is>
          <t>No</t>
        </is>
      </c>
      <c r="K3570" t="inlineStr">
        <is>
          <t>No</t>
        </is>
      </c>
      <c r="L3570" t="inlineStr">
        <is>
          <t>0</t>
        </is>
      </c>
      <c r="M3570" t="inlineStr">
        <is>
          <t>Sanders, Eve Rachele.</t>
        </is>
      </c>
      <c r="N3570" t="inlineStr">
        <is>
          <t>Cambridge, U.K. ; New York : Cambridge University Press, 1998.</t>
        </is>
      </c>
      <c r="O3570" t="inlineStr">
        <is>
          <t>1998</t>
        </is>
      </c>
      <c r="Q3570" t="inlineStr">
        <is>
          <t>eng</t>
        </is>
      </c>
      <c r="R3570" t="inlineStr">
        <is>
          <t>enk</t>
        </is>
      </c>
      <c r="S3570" t="inlineStr">
        <is>
          <t>Cambridge studies in Renaissance literature and culture ; 28</t>
        </is>
      </c>
      <c r="T3570" t="inlineStr">
        <is>
          <t xml:space="preserve">PR </t>
        </is>
      </c>
      <c r="U3570" t="n">
        <v>1</v>
      </c>
      <c r="V3570" t="n">
        <v>1</v>
      </c>
      <c r="W3570" t="inlineStr">
        <is>
          <t>2002-02-22</t>
        </is>
      </c>
      <c r="X3570" t="inlineStr">
        <is>
          <t>2002-02-22</t>
        </is>
      </c>
      <c r="Y3570" t="inlineStr">
        <is>
          <t>2001-05-23</t>
        </is>
      </c>
      <c r="Z3570" t="inlineStr">
        <is>
          <t>2001-05-23</t>
        </is>
      </c>
      <c r="AA3570" t="n">
        <v>468</v>
      </c>
      <c r="AB3570" t="n">
        <v>355</v>
      </c>
      <c r="AC3570" t="n">
        <v>355</v>
      </c>
      <c r="AD3570" t="n">
        <v>3</v>
      </c>
      <c r="AE3570" t="n">
        <v>3</v>
      </c>
      <c r="AF3570" t="n">
        <v>20</v>
      </c>
      <c r="AG3570" t="n">
        <v>20</v>
      </c>
      <c r="AH3570" t="n">
        <v>5</v>
      </c>
      <c r="AI3570" t="n">
        <v>5</v>
      </c>
      <c r="AJ3570" t="n">
        <v>8</v>
      </c>
      <c r="AK3570" t="n">
        <v>8</v>
      </c>
      <c r="AL3570" t="n">
        <v>11</v>
      </c>
      <c r="AM3570" t="n">
        <v>11</v>
      </c>
      <c r="AN3570" t="n">
        <v>2</v>
      </c>
      <c r="AO3570" t="n">
        <v>2</v>
      </c>
      <c r="AP3570" t="n">
        <v>0</v>
      </c>
      <c r="AQ3570" t="n">
        <v>0</v>
      </c>
      <c r="AR3570" t="inlineStr">
        <is>
          <t>No</t>
        </is>
      </c>
      <c r="AS3570" t="inlineStr">
        <is>
          <t>No</t>
        </is>
      </c>
      <c r="AU3570">
        <f>HYPERLINK("https://creighton-primo.hosted.exlibrisgroup.com/primo-explore/search?tab=default_tab&amp;search_scope=EVERYTHING&amp;vid=01CRU&amp;lang=en_US&amp;offset=0&amp;query=any,contains,991003503649702656","Catalog Record")</f>
        <v/>
      </c>
      <c r="AV3570">
        <f>HYPERLINK("http://www.worldcat.org/oclc/40982024","WorldCat Record")</f>
        <v/>
      </c>
      <c r="AW3570" t="inlineStr">
        <is>
          <t>25727337:eng</t>
        </is>
      </c>
      <c r="AX3570" t="inlineStr">
        <is>
          <t>40982024</t>
        </is>
      </c>
      <c r="AY3570" t="inlineStr">
        <is>
          <t>991003503649702656</t>
        </is>
      </c>
      <c r="AZ3570" t="inlineStr">
        <is>
          <t>991003503649702656</t>
        </is>
      </c>
      <c r="BA3570" t="inlineStr">
        <is>
          <t>2266069060002656</t>
        </is>
      </c>
      <c r="BB3570" t="inlineStr">
        <is>
          <t>BOOK</t>
        </is>
      </c>
      <c r="BD3570" t="inlineStr">
        <is>
          <t>9780521582346</t>
        </is>
      </c>
      <c r="BE3570" t="inlineStr">
        <is>
          <t>32285004318522</t>
        </is>
      </c>
      <c r="BF3570" t="inlineStr">
        <is>
          <t>893699056</t>
        </is>
      </c>
    </row>
    <row r="3571">
      <c r="A3571" t="inlineStr">
        <is>
          <t>No</t>
        </is>
      </c>
      <c r="B3571" t="inlineStr">
        <is>
          <t>CURAL</t>
        </is>
      </c>
      <c r="C3571" t="inlineStr">
        <is>
          <t>SHELVES</t>
        </is>
      </c>
      <c r="D3571" t="inlineStr">
        <is>
          <t>PR658.S46 Y33 1997</t>
        </is>
      </c>
      <c r="E3571" t="inlineStr">
        <is>
          <t>0                      PR 0658000S  46                 Y  33          1997</t>
        </is>
      </c>
      <c r="F3571" t="inlineStr">
        <is>
          <t>Stage-wrights : Shakespeare, Jonson, Middleton, and the making of theatrical value / Paul Yachnin.</t>
        </is>
      </c>
      <c r="H3571" t="inlineStr">
        <is>
          <t>No</t>
        </is>
      </c>
      <c r="I3571" t="inlineStr">
        <is>
          <t>1</t>
        </is>
      </c>
      <c r="J3571" t="inlineStr">
        <is>
          <t>No</t>
        </is>
      </c>
      <c r="K3571" t="inlineStr">
        <is>
          <t>No</t>
        </is>
      </c>
      <c r="L3571" t="inlineStr">
        <is>
          <t>0</t>
        </is>
      </c>
      <c r="M3571" t="inlineStr">
        <is>
          <t>Yachnin, Paul Edward, 1953-</t>
        </is>
      </c>
      <c r="N3571" t="inlineStr">
        <is>
          <t>Philadelphia : University of Pennsylvania Press, c1997.</t>
        </is>
      </c>
      <c r="O3571" t="inlineStr">
        <is>
          <t>1997</t>
        </is>
      </c>
      <c r="Q3571" t="inlineStr">
        <is>
          <t>eng</t>
        </is>
      </c>
      <c r="R3571" t="inlineStr">
        <is>
          <t>pau</t>
        </is>
      </c>
      <c r="S3571" t="inlineStr">
        <is>
          <t>New cultural studies</t>
        </is>
      </c>
      <c r="T3571" t="inlineStr">
        <is>
          <t xml:space="preserve">PR </t>
        </is>
      </c>
      <c r="U3571" t="n">
        <v>3</v>
      </c>
      <c r="V3571" t="n">
        <v>3</v>
      </c>
      <c r="W3571" t="inlineStr">
        <is>
          <t>2005-11-21</t>
        </is>
      </c>
      <c r="X3571" t="inlineStr">
        <is>
          <t>2005-11-21</t>
        </is>
      </c>
      <c r="Y3571" t="inlineStr">
        <is>
          <t>2001-01-15</t>
        </is>
      </c>
      <c r="Z3571" t="inlineStr">
        <is>
          <t>2001-01-15</t>
        </is>
      </c>
      <c r="AA3571" t="n">
        <v>517</v>
      </c>
      <c r="AB3571" t="n">
        <v>406</v>
      </c>
      <c r="AC3571" t="n">
        <v>588</v>
      </c>
      <c r="AD3571" t="n">
        <v>3</v>
      </c>
      <c r="AE3571" t="n">
        <v>3</v>
      </c>
      <c r="AF3571" t="n">
        <v>29</v>
      </c>
      <c r="AG3571" t="n">
        <v>37</v>
      </c>
      <c r="AH3571" t="n">
        <v>13</v>
      </c>
      <c r="AI3571" t="n">
        <v>18</v>
      </c>
      <c r="AJ3571" t="n">
        <v>8</v>
      </c>
      <c r="AK3571" t="n">
        <v>10</v>
      </c>
      <c r="AL3571" t="n">
        <v>16</v>
      </c>
      <c r="AM3571" t="n">
        <v>19</v>
      </c>
      <c r="AN3571" t="n">
        <v>2</v>
      </c>
      <c r="AO3571" t="n">
        <v>2</v>
      </c>
      <c r="AP3571" t="n">
        <v>0</v>
      </c>
      <c r="AQ3571" t="n">
        <v>0</v>
      </c>
      <c r="AR3571" t="inlineStr">
        <is>
          <t>No</t>
        </is>
      </c>
      <c r="AS3571" t="inlineStr">
        <is>
          <t>Yes</t>
        </is>
      </c>
      <c r="AT3571">
        <f>HYPERLINK("http://catalog.hathitrust.org/Record/003180399","HathiTrust Record")</f>
        <v/>
      </c>
      <c r="AU3571">
        <f>HYPERLINK("https://creighton-primo.hosted.exlibrisgroup.com/primo-explore/search?tab=default_tab&amp;search_scope=EVERYTHING&amp;vid=01CRU&amp;lang=en_US&amp;offset=0&amp;query=any,contains,991003322479702656","Catalog Record")</f>
        <v/>
      </c>
      <c r="AV3571">
        <f>HYPERLINK("http://www.worldcat.org/oclc/36180939","WorldCat Record")</f>
        <v/>
      </c>
      <c r="AW3571" t="inlineStr">
        <is>
          <t>288647190:eng</t>
        </is>
      </c>
      <c r="AX3571" t="inlineStr">
        <is>
          <t>36180939</t>
        </is>
      </c>
      <c r="AY3571" t="inlineStr">
        <is>
          <t>991003322479702656</t>
        </is>
      </c>
      <c r="AZ3571" t="inlineStr">
        <is>
          <t>991003322479702656</t>
        </is>
      </c>
      <c r="BA3571" t="inlineStr">
        <is>
          <t>2269498260002656</t>
        </is>
      </c>
      <c r="BB3571" t="inlineStr">
        <is>
          <t>BOOK</t>
        </is>
      </c>
      <c r="BD3571" t="inlineStr">
        <is>
          <t>9780812233957</t>
        </is>
      </c>
      <c r="BE3571" t="inlineStr">
        <is>
          <t>32285004283072</t>
        </is>
      </c>
      <c r="BF3571" t="inlineStr">
        <is>
          <t>893592417</t>
        </is>
      </c>
    </row>
    <row r="3572">
      <c r="A3572" t="inlineStr">
        <is>
          <t>No</t>
        </is>
      </c>
      <c r="B3572" t="inlineStr">
        <is>
          <t>CURAL</t>
        </is>
      </c>
      <c r="C3572" t="inlineStr">
        <is>
          <t>SHELVES</t>
        </is>
      </c>
      <c r="D3572" t="inlineStr">
        <is>
          <t>PR658.T7 B37 1988</t>
        </is>
      </c>
      <c r="E3572" t="inlineStr">
        <is>
          <t>0                      PR 0658000T  7                  B  37          1988</t>
        </is>
      </c>
      <c r="F3572" t="inlineStr">
        <is>
          <t>Creating Elizabethan tragedy : the theater of Marlowe and Kyd / C.L. Barber ; edited, with an introduction, by Richard P. Wheeler.</t>
        </is>
      </c>
      <c r="H3572" t="inlineStr">
        <is>
          <t>No</t>
        </is>
      </c>
      <c r="I3572" t="inlineStr">
        <is>
          <t>1</t>
        </is>
      </c>
      <c r="J3572" t="inlineStr">
        <is>
          <t>No</t>
        </is>
      </c>
      <c r="K3572" t="inlineStr">
        <is>
          <t>No</t>
        </is>
      </c>
      <c r="L3572" t="inlineStr">
        <is>
          <t>0</t>
        </is>
      </c>
      <c r="M3572" t="inlineStr">
        <is>
          <t>Barber, C. L. (Cesar Lombardi)</t>
        </is>
      </c>
      <c r="N3572" t="inlineStr">
        <is>
          <t>Chicago : University of Chicago Press, c1988.</t>
        </is>
      </c>
      <c r="O3572" t="inlineStr">
        <is>
          <t>1988</t>
        </is>
      </c>
      <c r="Q3572" t="inlineStr">
        <is>
          <t>eng</t>
        </is>
      </c>
      <c r="R3572" t="inlineStr">
        <is>
          <t>ilu</t>
        </is>
      </c>
      <c r="S3572" t="inlineStr">
        <is>
          <t>A Chicago original paperback</t>
        </is>
      </c>
      <c r="T3572" t="inlineStr">
        <is>
          <t xml:space="preserve">PR </t>
        </is>
      </c>
      <c r="U3572" t="n">
        <v>9</v>
      </c>
      <c r="V3572" t="n">
        <v>9</v>
      </c>
      <c r="W3572" t="inlineStr">
        <is>
          <t>1998-04-26</t>
        </is>
      </c>
      <c r="X3572" t="inlineStr">
        <is>
          <t>1998-04-26</t>
        </is>
      </c>
      <c r="Y3572" t="inlineStr">
        <is>
          <t>1989-10-20</t>
        </is>
      </c>
      <c r="Z3572" t="inlineStr">
        <is>
          <t>1989-10-20</t>
        </is>
      </c>
      <c r="AA3572" t="n">
        <v>589</v>
      </c>
      <c r="AB3572" t="n">
        <v>462</v>
      </c>
      <c r="AC3572" t="n">
        <v>462</v>
      </c>
      <c r="AD3572" t="n">
        <v>4</v>
      </c>
      <c r="AE3572" t="n">
        <v>4</v>
      </c>
      <c r="AF3572" t="n">
        <v>26</v>
      </c>
      <c r="AG3572" t="n">
        <v>26</v>
      </c>
      <c r="AH3572" t="n">
        <v>11</v>
      </c>
      <c r="AI3572" t="n">
        <v>11</v>
      </c>
      <c r="AJ3572" t="n">
        <v>4</v>
      </c>
      <c r="AK3572" t="n">
        <v>4</v>
      </c>
      <c r="AL3572" t="n">
        <v>14</v>
      </c>
      <c r="AM3572" t="n">
        <v>14</v>
      </c>
      <c r="AN3572" t="n">
        <v>3</v>
      </c>
      <c r="AO3572" t="n">
        <v>3</v>
      </c>
      <c r="AP3572" t="n">
        <v>0</v>
      </c>
      <c r="AQ3572" t="n">
        <v>0</v>
      </c>
      <c r="AR3572" t="inlineStr">
        <is>
          <t>No</t>
        </is>
      </c>
      <c r="AS3572" t="inlineStr">
        <is>
          <t>No</t>
        </is>
      </c>
      <c r="AU3572">
        <f>HYPERLINK("https://creighton-primo.hosted.exlibrisgroup.com/primo-explore/search?tab=default_tab&amp;search_scope=EVERYTHING&amp;vid=01CRU&amp;lang=en_US&amp;offset=0&amp;query=any,contains,991001098559702656","Catalog Record")</f>
        <v/>
      </c>
      <c r="AV3572">
        <f>HYPERLINK("http://www.worldcat.org/oclc/16278030","WorldCat Record")</f>
        <v/>
      </c>
      <c r="AW3572" t="inlineStr">
        <is>
          <t>836688504:eng</t>
        </is>
      </c>
      <c r="AX3572" t="inlineStr">
        <is>
          <t>16278030</t>
        </is>
      </c>
      <c r="AY3572" t="inlineStr">
        <is>
          <t>991001098559702656</t>
        </is>
      </c>
      <c r="AZ3572" t="inlineStr">
        <is>
          <t>991001098559702656</t>
        </is>
      </c>
      <c r="BA3572" t="inlineStr">
        <is>
          <t>2263600800002656</t>
        </is>
      </c>
      <c r="BB3572" t="inlineStr">
        <is>
          <t>BOOK</t>
        </is>
      </c>
      <c r="BD3572" t="inlineStr">
        <is>
          <t>9780226037035</t>
        </is>
      </c>
      <c r="BE3572" t="inlineStr">
        <is>
          <t>32285000001510</t>
        </is>
      </c>
      <c r="BF3572" t="inlineStr">
        <is>
          <t>893772306</t>
        </is>
      </c>
    </row>
    <row r="3573">
      <c r="A3573" t="inlineStr">
        <is>
          <t>No</t>
        </is>
      </c>
      <c r="B3573" t="inlineStr">
        <is>
          <t>CURAL</t>
        </is>
      </c>
      <c r="C3573" t="inlineStr">
        <is>
          <t>SHELVES</t>
        </is>
      </c>
      <c r="D3573" t="inlineStr">
        <is>
          <t>PR658.T7 B7 1980</t>
        </is>
      </c>
      <c r="E3573" t="inlineStr">
        <is>
          <t>0                      PR 0658000T  7                  B  7           1980</t>
        </is>
      </c>
      <c r="F3573" t="inlineStr">
        <is>
          <t>Themes and conventions of Elizabethan tragedy / by M. C. Bradbrook.</t>
        </is>
      </c>
      <c r="H3573" t="inlineStr">
        <is>
          <t>No</t>
        </is>
      </c>
      <c r="I3573" t="inlineStr">
        <is>
          <t>1</t>
        </is>
      </c>
      <c r="J3573" t="inlineStr">
        <is>
          <t>No</t>
        </is>
      </c>
      <c r="K3573" t="inlineStr">
        <is>
          <t>No</t>
        </is>
      </c>
      <c r="L3573" t="inlineStr">
        <is>
          <t>0</t>
        </is>
      </c>
      <c r="M3573" t="inlineStr">
        <is>
          <t>Bradbrook, M. C. (Muriel Clara), 1909-1993.</t>
        </is>
      </c>
      <c r="N3573" t="inlineStr">
        <is>
          <t>Cambridge [Eng.] ; New York : Cambridge University Press, 1980.</t>
        </is>
      </c>
      <c r="O3573" t="inlineStr">
        <is>
          <t>1980</t>
        </is>
      </c>
      <c r="P3573" t="inlineStr">
        <is>
          <t>2d ed.</t>
        </is>
      </c>
      <c r="Q3573" t="inlineStr">
        <is>
          <t>eng</t>
        </is>
      </c>
      <c r="R3573" t="inlineStr">
        <is>
          <t>enk</t>
        </is>
      </c>
      <c r="T3573" t="inlineStr">
        <is>
          <t xml:space="preserve">PR </t>
        </is>
      </c>
      <c r="U3573" t="n">
        <v>3</v>
      </c>
      <c r="V3573" t="n">
        <v>3</v>
      </c>
      <c r="W3573" t="inlineStr">
        <is>
          <t>1998-04-20</t>
        </is>
      </c>
      <c r="X3573" t="inlineStr">
        <is>
          <t>1998-04-20</t>
        </is>
      </c>
      <c r="Y3573" t="inlineStr">
        <is>
          <t>1991-09-10</t>
        </is>
      </c>
      <c r="Z3573" t="inlineStr">
        <is>
          <t>1991-09-10</t>
        </is>
      </c>
      <c r="AA3573" t="n">
        <v>664</v>
      </c>
      <c r="AB3573" t="n">
        <v>465</v>
      </c>
      <c r="AC3573" t="n">
        <v>507</v>
      </c>
      <c r="AD3573" t="n">
        <v>7</v>
      </c>
      <c r="AE3573" t="n">
        <v>7</v>
      </c>
      <c r="AF3573" t="n">
        <v>18</v>
      </c>
      <c r="AG3573" t="n">
        <v>19</v>
      </c>
      <c r="AH3573" t="n">
        <v>5</v>
      </c>
      <c r="AI3573" t="n">
        <v>6</v>
      </c>
      <c r="AJ3573" t="n">
        <v>4</v>
      </c>
      <c r="AK3573" t="n">
        <v>4</v>
      </c>
      <c r="AL3573" t="n">
        <v>4</v>
      </c>
      <c r="AM3573" t="n">
        <v>4</v>
      </c>
      <c r="AN3573" t="n">
        <v>6</v>
      </c>
      <c r="AO3573" t="n">
        <v>6</v>
      </c>
      <c r="AP3573" t="n">
        <v>0</v>
      </c>
      <c r="AQ3573" t="n">
        <v>0</v>
      </c>
      <c r="AR3573" t="inlineStr">
        <is>
          <t>No</t>
        </is>
      </c>
      <c r="AS3573" t="inlineStr">
        <is>
          <t>Yes</t>
        </is>
      </c>
      <c r="AT3573">
        <f>HYPERLINK("http://catalog.hathitrust.org/Record/000729793","HathiTrust Record")</f>
        <v/>
      </c>
      <c r="AU3573">
        <f>HYPERLINK("https://creighton-primo.hosted.exlibrisgroup.com/primo-explore/search?tab=default_tab&amp;search_scope=EVERYTHING&amp;vid=01CRU&amp;lang=en_US&amp;offset=0&amp;query=any,contains,991004723529702656","Catalog Record")</f>
        <v/>
      </c>
      <c r="AV3573">
        <f>HYPERLINK("http://www.worldcat.org/oclc/4805004","WorldCat Record")</f>
        <v/>
      </c>
      <c r="AW3573" t="inlineStr">
        <is>
          <t>5614771637:eng</t>
        </is>
      </c>
      <c r="AX3573" t="inlineStr">
        <is>
          <t>4805004</t>
        </is>
      </c>
      <c r="AY3573" t="inlineStr">
        <is>
          <t>991004723529702656</t>
        </is>
      </c>
      <c r="AZ3573" t="inlineStr">
        <is>
          <t>991004723529702656</t>
        </is>
      </c>
      <c r="BA3573" t="inlineStr">
        <is>
          <t>2270748130002656</t>
        </is>
      </c>
      <c r="BB3573" t="inlineStr">
        <is>
          <t>BOOK</t>
        </is>
      </c>
      <c r="BD3573" t="inlineStr">
        <is>
          <t>9780521043021</t>
        </is>
      </c>
      <c r="BE3573" t="inlineStr">
        <is>
          <t>32285000739895</t>
        </is>
      </c>
      <c r="BF3573" t="inlineStr">
        <is>
          <t>893263399</t>
        </is>
      </c>
    </row>
    <row r="3574">
      <c r="A3574" t="inlineStr">
        <is>
          <t>No</t>
        </is>
      </c>
      <c r="B3574" t="inlineStr">
        <is>
          <t>CURAL</t>
        </is>
      </c>
      <c r="C3574" t="inlineStr">
        <is>
          <t>SHELVES</t>
        </is>
      </c>
      <c r="D3574" t="inlineStr">
        <is>
          <t>PR658.T7 C513 1962</t>
        </is>
      </c>
      <c r="E3574" t="inlineStr">
        <is>
          <t>0                      PR 0658000T  7                  C  513         1962</t>
        </is>
      </c>
      <c r="F3574" t="inlineStr">
        <is>
          <t>English tragedy before Shakespeare; the development of dramatic speech. Translated by T.S. Dorsch.</t>
        </is>
      </c>
      <c r="H3574" t="inlineStr">
        <is>
          <t>No</t>
        </is>
      </c>
      <c r="I3574" t="inlineStr">
        <is>
          <t>1</t>
        </is>
      </c>
      <c r="J3574" t="inlineStr">
        <is>
          <t>No</t>
        </is>
      </c>
      <c r="K3574" t="inlineStr">
        <is>
          <t>No</t>
        </is>
      </c>
      <c r="L3574" t="inlineStr">
        <is>
          <t>0</t>
        </is>
      </c>
      <c r="M3574" t="inlineStr">
        <is>
          <t>Clemen, Wolfgang.</t>
        </is>
      </c>
      <c r="N3574" t="inlineStr">
        <is>
          <t>New York, Barnes &amp; Noble [1962, c1961]</t>
        </is>
      </c>
      <c r="O3574" t="inlineStr">
        <is>
          <t>1962</t>
        </is>
      </c>
      <c r="Q3574" t="inlineStr">
        <is>
          <t>eng</t>
        </is>
      </c>
      <c r="R3574" t="inlineStr">
        <is>
          <t>nyu</t>
        </is>
      </c>
      <c r="T3574" t="inlineStr">
        <is>
          <t xml:space="preserve">PR </t>
        </is>
      </c>
      <c r="U3574" t="n">
        <v>1</v>
      </c>
      <c r="V3574" t="n">
        <v>1</v>
      </c>
      <c r="W3574" t="inlineStr">
        <is>
          <t>2010-11-23</t>
        </is>
      </c>
      <c r="X3574" t="inlineStr">
        <is>
          <t>2010-11-23</t>
        </is>
      </c>
      <c r="Y3574" t="inlineStr">
        <is>
          <t>1997-09-11</t>
        </is>
      </c>
      <c r="Z3574" t="inlineStr">
        <is>
          <t>1997-09-11</t>
        </is>
      </c>
      <c r="AA3574" t="n">
        <v>305</v>
      </c>
      <c r="AB3574" t="n">
        <v>293</v>
      </c>
      <c r="AC3574" t="n">
        <v>880</v>
      </c>
      <c r="AD3574" t="n">
        <v>5</v>
      </c>
      <c r="AE3574" t="n">
        <v>8</v>
      </c>
      <c r="AF3574" t="n">
        <v>16</v>
      </c>
      <c r="AG3574" t="n">
        <v>40</v>
      </c>
      <c r="AH3574" t="n">
        <v>4</v>
      </c>
      <c r="AI3574" t="n">
        <v>13</v>
      </c>
      <c r="AJ3574" t="n">
        <v>3</v>
      </c>
      <c r="AK3574" t="n">
        <v>9</v>
      </c>
      <c r="AL3574" t="n">
        <v>9</v>
      </c>
      <c r="AM3574" t="n">
        <v>22</v>
      </c>
      <c r="AN3574" t="n">
        <v>3</v>
      </c>
      <c r="AO3574" t="n">
        <v>6</v>
      </c>
      <c r="AP3574" t="n">
        <v>0</v>
      </c>
      <c r="AQ3574" t="n">
        <v>0</v>
      </c>
      <c r="AR3574" t="inlineStr">
        <is>
          <t>No</t>
        </is>
      </c>
      <c r="AS3574" t="inlineStr">
        <is>
          <t>No</t>
        </is>
      </c>
      <c r="AU3574">
        <f>HYPERLINK("https://creighton-primo.hosted.exlibrisgroup.com/primo-explore/search?tab=default_tab&amp;search_scope=EVERYTHING&amp;vid=01CRU&amp;lang=en_US&amp;offset=0&amp;query=any,contains,991004279859702656","Catalog Record")</f>
        <v/>
      </c>
      <c r="AV3574">
        <f>HYPERLINK("http://www.worldcat.org/oclc/2906728","WorldCat Record")</f>
        <v/>
      </c>
      <c r="AW3574" t="inlineStr">
        <is>
          <t>2017524:eng</t>
        </is>
      </c>
      <c r="AX3574" t="inlineStr">
        <is>
          <t>2906728</t>
        </is>
      </c>
      <c r="AY3574" t="inlineStr">
        <is>
          <t>991004279859702656</t>
        </is>
      </c>
      <c r="AZ3574" t="inlineStr">
        <is>
          <t>991004279859702656</t>
        </is>
      </c>
      <c r="BA3574" t="inlineStr">
        <is>
          <t>2269335900002656</t>
        </is>
      </c>
      <c r="BB3574" t="inlineStr">
        <is>
          <t>BOOK</t>
        </is>
      </c>
      <c r="BE3574" t="inlineStr">
        <is>
          <t>32285003215620</t>
        </is>
      </c>
      <c r="BF3574" t="inlineStr">
        <is>
          <t>893718712</t>
        </is>
      </c>
    </row>
    <row r="3575">
      <c r="A3575" t="inlineStr">
        <is>
          <t>No</t>
        </is>
      </c>
      <c r="B3575" t="inlineStr">
        <is>
          <t>CURAL</t>
        </is>
      </c>
      <c r="C3575" t="inlineStr">
        <is>
          <t>SHELVES</t>
        </is>
      </c>
      <c r="D3575" t="inlineStr">
        <is>
          <t>PR658.T7 D6 1984</t>
        </is>
      </c>
      <c r="E3575" t="inlineStr">
        <is>
          <t>0                      PR 0658000T  7                  D  6           1984</t>
        </is>
      </c>
      <c r="F3575" t="inlineStr">
        <is>
          <t>Radical tragedy : religion, ideology, and power in the drama of Shakespeare and his contemporaries / Jonathan Dollimore.</t>
        </is>
      </c>
      <c r="H3575" t="inlineStr">
        <is>
          <t>No</t>
        </is>
      </c>
      <c r="I3575" t="inlineStr">
        <is>
          <t>1</t>
        </is>
      </c>
      <c r="J3575" t="inlineStr">
        <is>
          <t>No</t>
        </is>
      </c>
      <c r="K3575" t="inlineStr">
        <is>
          <t>No</t>
        </is>
      </c>
      <c r="L3575" t="inlineStr">
        <is>
          <t>0</t>
        </is>
      </c>
      <c r="M3575" t="inlineStr">
        <is>
          <t>Dollimore, Jonathan.</t>
        </is>
      </c>
      <c r="N3575" t="inlineStr">
        <is>
          <t>Chicago : University of Chicago Press, 1984.</t>
        </is>
      </c>
      <c r="O3575" t="inlineStr">
        <is>
          <t>1984</t>
        </is>
      </c>
      <c r="Q3575" t="inlineStr">
        <is>
          <t>eng</t>
        </is>
      </c>
      <c r="R3575" t="inlineStr">
        <is>
          <t>ilu</t>
        </is>
      </c>
      <c r="T3575" t="inlineStr">
        <is>
          <t xml:space="preserve">PR </t>
        </is>
      </c>
      <c r="U3575" t="n">
        <v>9</v>
      </c>
      <c r="V3575" t="n">
        <v>9</v>
      </c>
      <c r="W3575" t="inlineStr">
        <is>
          <t>2003-12-04</t>
        </is>
      </c>
      <c r="X3575" t="inlineStr">
        <is>
          <t>2003-12-04</t>
        </is>
      </c>
      <c r="Y3575" t="inlineStr">
        <is>
          <t>1991-09-10</t>
        </is>
      </c>
      <c r="Z3575" t="inlineStr">
        <is>
          <t>1991-09-10</t>
        </is>
      </c>
      <c r="AA3575" t="n">
        <v>729</v>
      </c>
      <c r="AB3575" t="n">
        <v>660</v>
      </c>
      <c r="AC3575" t="n">
        <v>883</v>
      </c>
      <c r="AD3575" t="n">
        <v>5</v>
      </c>
      <c r="AE3575" t="n">
        <v>8</v>
      </c>
      <c r="AF3575" t="n">
        <v>34</v>
      </c>
      <c r="AG3575" t="n">
        <v>44</v>
      </c>
      <c r="AH3575" t="n">
        <v>14</v>
      </c>
      <c r="AI3575" t="n">
        <v>16</v>
      </c>
      <c r="AJ3575" t="n">
        <v>8</v>
      </c>
      <c r="AK3575" t="n">
        <v>9</v>
      </c>
      <c r="AL3575" t="n">
        <v>17</v>
      </c>
      <c r="AM3575" t="n">
        <v>23</v>
      </c>
      <c r="AN3575" t="n">
        <v>4</v>
      </c>
      <c r="AO3575" t="n">
        <v>7</v>
      </c>
      <c r="AP3575" t="n">
        <v>0</v>
      </c>
      <c r="AQ3575" t="n">
        <v>0</v>
      </c>
      <c r="AR3575" t="inlineStr">
        <is>
          <t>No</t>
        </is>
      </c>
      <c r="AS3575" t="inlineStr">
        <is>
          <t>No</t>
        </is>
      </c>
      <c r="AU3575">
        <f>HYPERLINK("https://creighton-primo.hosted.exlibrisgroup.com/primo-explore/search?tab=default_tab&amp;search_scope=EVERYTHING&amp;vid=01CRU&amp;lang=en_US&amp;offset=0&amp;query=any,contains,991000298019702656","Catalog Record")</f>
        <v/>
      </c>
      <c r="AV3575">
        <f>HYPERLINK("http://www.worldcat.org/oclc/10018738","WorldCat Record")</f>
        <v/>
      </c>
      <c r="AW3575" t="inlineStr">
        <is>
          <t>1004398:eng</t>
        </is>
      </c>
      <c r="AX3575" t="inlineStr">
        <is>
          <t>10018738</t>
        </is>
      </c>
      <c r="AY3575" t="inlineStr">
        <is>
          <t>991000298019702656</t>
        </is>
      </c>
      <c r="AZ3575" t="inlineStr">
        <is>
          <t>991000298019702656</t>
        </is>
      </c>
      <c r="BA3575" t="inlineStr">
        <is>
          <t>2269315720002656</t>
        </is>
      </c>
      <c r="BB3575" t="inlineStr">
        <is>
          <t>BOOK</t>
        </is>
      </c>
      <c r="BD3575" t="inlineStr">
        <is>
          <t>9780226155388</t>
        </is>
      </c>
      <c r="BE3575" t="inlineStr">
        <is>
          <t>32285000739929</t>
        </is>
      </c>
      <c r="BF3575" t="inlineStr">
        <is>
          <t>893255320</t>
        </is>
      </c>
    </row>
    <row r="3576">
      <c r="A3576" t="inlineStr">
        <is>
          <t>No</t>
        </is>
      </c>
      <c r="B3576" t="inlineStr">
        <is>
          <t>CURAL</t>
        </is>
      </c>
      <c r="C3576" t="inlineStr">
        <is>
          <t>SHELVES</t>
        </is>
      </c>
      <c r="D3576" t="inlineStr">
        <is>
          <t>PR658.T7 F3</t>
        </is>
      </c>
      <c r="E3576" t="inlineStr">
        <is>
          <t>0                      PR 0658000T  7                  F  3</t>
        </is>
      </c>
      <c r="F3576" t="inlineStr">
        <is>
          <t>The medieval heritage of Elizabethan tragedy / by Willard Farnham.</t>
        </is>
      </c>
      <c r="H3576" t="inlineStr">
        <is>
          <t>No</t>
        </is>
      </c>
      <c r="I3576" t="inlineStr">
        <is>
          <t>1</t>
        </is>
      </c>
      <c r="J3576" t="inlineStr">
        <is>
          <t>No</t>
        </is>
      </c>
      <c r="K3576" t="inlineStr">
        <is>
          <t>No</t>
        </is>
      </c>
      <c r="L3576" t="inlineStr">
        <is>
          <t>0</t>
        </is>
      </c>
      <c r="M3576" t="inlineStr">
        <is>
          <t>Farnham, Willard.</t>
        </is>
      </c>
      <c r="N3576" t="inlineStr">
        <is>
          <t>Berkeley, University of California Press, 1936.</t>
        </is>
      </c>
      <c r="O3576" t="inlineStr">
        <is>
          <t>1936</t>
        </is>
      </c>
      <c r="Q3576" t="inlineStr">
        <is>
          <t>eng</t>
        </is>
      </c>
      <c r="R3576" t="inlineStr">
        <is>
          <t>cau</t>
        </is>
      </c>
      <c r="T3576" t="inlineStr">
        <is>
          <t xml:space="preserve">PR </t>
        </is>
      </c>
      <c r="U3576" t="n">
        <v>3</v>
      </c>
      <c r="V3576" t="n">
        <v>3</v>
      </c>
      <c r="W3576" t="inlineStr">
        <is>
          <t>1998-04-20</t>
        </is>
      </c>
      <c r="X3576" t="inlineStr">
        <is>
          <t>1998-04-20</t>
        </is>
      </c>
      <c r="Y3576" t="inlineStr">
        <is>
          <t>1997-09-16</t>
        </is>
      </c>
      <c r="Z3576" t="inlineStr">
        <is>
          <t>1997-09-16</t>
        </is>
      </c>
      <c r="AA3576" t="n">
        <v>352</v>
      </c>
      <c r="AB3576" t="n">
        <v>303</v>
      </c>
      <c r="AC3576" t="n">
        <v>1005</v>
      </c>
      <c r="AD3576" t="n">
        <v>4</v>
      </c>
      <c r="AE3576" t="n">
        <v>8</v>
      </c>
      <c r="AF3576" t="n">
        <v>12</v>
      </c>
      <c r="AG3576" t="n">
        <v>45</v>
      </c>
      <c r="AH3576" t="n">
        <v>2</v>
      </c>
      <c r="AI3576" t="n">
        <v>18</v>
      </c>
      <c r="AJ3576" t="n">
        <v>4</v>
      </c>
      <c r="AK3576" t="n">
        <v>9</v>
      </c>
      <c r="AL3576" t="n">
        <v>7</v>
      </c>
      <c r="AM3576" t="n">
        <v>22</v>
      </c>
      <c r="AN3576" t="n">
        <v>3</v>
      </c>
      <c r="AO3576" t="n">
        <v>7</v>
      </c>
      <c r="AP3576" t="n">
        <v>0</v>
      </c>
      <c r="AQ3576" t="n">
        <v>0</v>
      </c>
      <c r="AR3576" t="inlineStr">
        <is>
          <t>No</t>
        </is>
      </c>
      <c r="AS3576" t="inlineStr">
        <is>
          <t>Yes</t>
        </is>
      </c>
      <c r="AT3576">
        <f>HYPERLINK("http://catalog.hathitrust.org/Record/001016633","HathiTrust Record")</f>
        <v/>
      </c>
      <c r="AU3576">
        <f>HYPERLINK("https://creighton-primo.hosted.exlibrisgroup.com/primo-explore/search?tab=default_tab&amp;search_scope=EVERYTHING&amp;vid=01CRU&amp;lang=en_US&amp;offset=0&amp;query=any,contains,991004205079702656","Catalog Record")</f>
        <v/>
      </c>
      <c r="AV3576">
        <f>HYPERLINK("http://www.worldcat.org/oclc/2663046","WorldCat Record")</f>
        <v/>
      </c>
      <c r="AW3576" t="inlineStr">
        <is>
          <t>1357083:eng</t>
        </is>
      </c>
      <c r="AX3576" t="inlineStr">
        <is>
          <t>2663046</t>
        </is>
      </c>
      <c r="AY3576" t="inlineStr">
        <is>
          <t>991004205079702656</t>
        </is>
      </c>
      <c r="AZ3576" t="inlineStr">
        <is>
          <t>991004205079702656</t>
        </is>
      </c>
      <c r="BA3576" t="inlineStr">
        <is>
          <t>2260944660002656</t>
        </is>
      </c>
      <c r="BB3576" t="inlineStr">
        <is>
          <t>BOOK</t>
        </is>
      </c>
      <c r="BE3576" t="inlineStr">
        <is>
          <t>32285003215638</t>
        </is>
      </c>
      <c r="BF3576" t="inlineStr">
        <is>
          <t>893699977</t>
        </is>
      </c>
    </row>
    <row r="3577">
      <c r="A3577" t="inlineStr">
        <is>
          <t>No</t>
        </is>
      </c>
      <c r="B3577" t="inlineStr">
        <is>
          <t>CURAL</t>
        </is>
      </c>
      <c r="C3577" t="inlineStr">
        <is>
          <t>SHELVES</t>
        </is>
      </c>
      <c r="D3577" t="inlineStr">
        <is>
          <t>PR658.T7 M2 1986</t>
        </is>
      </c>
      <c r="E3577" t="inlineStr">
        <is>
          <t>0                      PR 0658000T  7                  M  2           1986</t>
        </is>
      </c>
      <c r="F3577" t="inlineStr">
        <is>
          <t>English Renaissance tragedy / T. McAlindon.</t>
        </is>
      </c>
      <c r="H3577" t="inlineStr">
        <is>
          <t>No</t>
        </is>
      </c>
      <c r="I3577" t="inlineStr">
        <is>
          <t>1</t>
        </is>
      </c>
      <c r="J3577" t="inlineStr">
        <is>
          <t>No</t>
        </is>
      </c>
      <c r="K3577" t="inlineStr">
        <is>
          <t>No</t>
        </is>
      </c>
      <c r="L3577" t="inlineStr">
        <is>
          <t>0</t>
        </is>
      </c>
      <c r="M3577" t="inlineStr">
        <is>
          <t>McAlindon, T. (Thomas)</t>
        </is>
      </c>
      <c r="N3577" t="inlineStr">
        <is>
          <t>Vancouver : University of British Columbia Press, 1986.</t>
        </is>
      </c>
      <c r="O3577" t="inlineStr">
        <is>
          <t>1986</t>
        </is>
      </c>
      <c r="Q3577" t="inlineStr">
        <is>
          <t>eng</t>
        </is>
      </c>
      <c r="R3577" t="inlineStr">
        <is>
          <t>bcc</t>
        </is>
      </c>
      <c r="T3577" t="inlineStr">
        <is>
          <t xml:space="preserve">PR </t>
        </is>
      </c>
      <c r="U3577" t="n">
        <v>7</v>
      </c>
      <c r="V3577" t="n">
        <v>7</v>
      </c>
      <c r="W3577" t="inlineStr">
        <is>
          <t>1998-12-13</t>
        </is>
      </c>
      <c r="X3577" t="inlineStr">
        <is>
          <t>1998-12-13</t>
        </is>
      </c>
      <c r="Y3577" t="inlineStr">
        <is>
          <t>1990-02-06</t>
        </is>
      </c>
      <c r="Z3577" t="inlineStr">
        <is>
          <t>1990-02-06</t>
        </is>
      </c>
      <c r="AA3577" t="n">
        <v>322</v>
      </c>
      <c r="AB3577" t="n">
        <v>273</v>
      </c>
      <c r="AC3577" t="n">
        <v>343</v>
      </c>
      <c r="AD3577" t="n">
        <v>2</v>
      </c>
      <c r="AE3577" t="n">
        <v>3</v>
      </c>
      <c r="AF3577" t="n">
        <v>14</v>
      </c>
      <c r="AG3577" t="n">
        <v>18</v>
      </c>
      <c r="AH3577" t="n">
        <v>6</v>
      </c>
      <c r="AI3577" t="n">
        <v>6</v>
      </c>
      <c r="AJ3577" t="n">
        <v>3</v>
      </c>
      <c r="AK3577" t="n">
        <v>5</v>
      </c>
      <c r="AL3577" t="n">
        <v>8</v>
      </c>
      <c r="AM3577" t="n">
        <v>10</v>
      </c>
      <c r="AN3577" t="n">
        <v>1</v>
      </c>
      <c r="AO3577" t="n">
        <v>2</v>
      </c>
      <c r="AP3577" t="n">
        <v>0</v>
      </c>
      <c r="AQ3577" t="n">
        <v>0</v>
      </c>
      <c r="AR3577" t="inlineStr">
        <is>
          <t>No</t>
        </is>
      </c>
      <c r="AS3577" t="inlineStr">
        <is>
          <t>Yes</t>
        </is>
      </c>
      <c r="AT3577">
        <f>HYPERLINK("http://catalog.hathitrust.org/Record/000631819","HathiTrust Record")</f>
        <v/>
      </c>
      <c r="AU3577">
        <f>HYPERLINK("https://creighton-primo.hosted.exlibrisgroup.com/primo-explore/search?tab=default_tab&amp;search_scope=EVERYTHING&amp;vid=01CRU&amp;lang=en_US&amp;offset=0&amp;query=any,contains,991000924129702656","Catalog Record")</f>
        <v/>
      </c>
      <c r="AV3577">
        <f>HYPERLINK("http://www.worldcat.org/oclc/14224716","WorldCat Record")</f>
        <v/>
      </c>
      <c r="AW3577" t="inlineStr">
        <is>
          <t>8538164:eng</t>
        </is>
      </c>
      <c r="AX3577" t="inlineStr">
        <is>
          <t>14224716</t>
        </is>
      </c>
      <c r="AY3577" t="inlineStr">
        <is>
          <t>991000924129702656</t>
        </is>
      </c>
      <c r="AZ3577" t="inlineStr">
        <is>
          <t>991000924129702656</t>
        </is>
      </c>
      <c r="BA3577" t="inlineStr">
        <is>
          <t>2272739070002656</t>
        </is>
      </c>
      <c r="BB3577" t="inlineStr">
        <is>
          <t>BOOK</t>
        </is>
      </c>
      <c r="BD3577" t="inlineStr">
        <is>
          <t>9780774802536</t>
        </is>
      </c>
      <c r="BE3577" t="inlineStr">
        <is>
          <t>32285000039684</t>
        </is>
      </c>
      <c r="BF3577" t="inlineStr">
        <is>
          <t>893255862</t>
        </is>
      </c>
    </row>
    <row r="3578">
      <c r="A3578" t="inlineStr">
        <is>
          <t>No</t>
        </is>
      </c>
      <c r="B3578" t="inlineStr">
        <is>
          <t>CURAL</t>
        </is>
      </c>
      <c r="C3578" t="inlineStr">
        <is>
          <t>SHELVES</t>
        </is>
      </c>
      <c r="D3578" t="inlineStr">
        <is>
          <t>PR658.T7 O7</t>
        </is>
      </c>
      <c r="E3578" t="inlineStr">
        <is>
          <t>0                      PR 0658000T  7                  O  7</t>
        </is>
      </c>
      <c r="F3578" t="inlineStr">
        <is>
          <t>The moral vision of Jacobean tragedy.</t>
        </is>
      </c>
      <c r="H3578" t="inlineStr">
        <is>
          <t>No</t>
        </is>
      </c>
      <c r="I3578" t="inlineStr">
        <is>
          <t>1</t>
        </is>
      </c>
      <c r="J3578" t="inlineStr">
        <is>
          <t>No</t>
        </is>
      </c>
      <c r="K3578" t="inlineStr">
        <is>
          <t>No</t>
        </is>
      </c>
      <c r="L3578" t="inlineStr">
        <is>
          <t>0</t>
        </is>
      </c>
      <c r="M3578" t="inlineStr">
        <is>
          <t>Ornstein, Robert.</t>
        </is>
      </c>
      <c r="N3578" t="inlineStr">
        <is>
          <t>Madison : University of Wisconsin Press, 1960.</t>
        </is>
      </c>
      <c r="O3578" t="inlineStr">
        <is>
          <t>1960</t>
        </is>
      </c>
      <c r="Q3578" t="inlineStr">
        <is>
          <t>eng</t>
        </is>
      </c>
      <c r="R3578" t="inlineStr">
        <is>
          <t>wiu</t>
        </is>
      </c>
      <c r="T3578" t="inlineStr">
        <is>
          <t xml:space="preserve">PR </t>
        </is>
      </c>
      <c r="U3578" t="n">
        <v>2</v>
      </c>
      <c r="V3578" t="n">
        <v>2</v>
      </c>
      <c r="W3578" t="inlineStr">
        <is>
          <t>2008-07-01</t>
        </is>
      </c>
      <c r="X3578" t="inlineStr">
        <is>
          <t>2008-07-01</t>
        </is>
      </c>
      <c r="Y3578" t="inlineStr">
        <is>
          <t>1994-12-14</t>
        </is>
      </c>
      <c r="Z3578" t="inlineStr">
        <is>
          <t>1994-12-14</t>
        </is>
      </c>
      <c r="AA3578" t="n">
        <v>842</v>
      </c>
      <c r="AB3578" t="n">
        <v>739</v>
      </c>
      <c r="AC3578" t="n">
        <v>983</v>
      </c>
      <c r="AD3578" t="n">
        <v>7</v>
      </c>
      <c r="AE3578" t="n">
        <v>8</v>
      </c>
      <c r="AF3578" t="n">
        <v>40</v>
      </c>
      <c r="AG3578" t="n">
        <v>51</v>
      </c>
      <c r="AH3578" t="n">
        <v>15</v>
      </c>
      <c r="AI3578" t="n">
        <v>21</v>
      </c>
      <c r="AJ3578" t="n">
        <v>7</v>
      </c>
      <c r="AK3578" t="n">
        <v>10</v>
      </c>
      <c r="AL3578" t="n">
        <v>19</v>
      </c>
      <c r="AM3578" t="n">
        <v>24</v>
      </c>
      <c r="AN3578" t="n">
        <v>6</v>
      </c>
      <c r="AO3578" t="n">
        <v>7</v>
      </c>
      <c r="AP3578" t="n">
        <v>0</v>
      </c>
      <c r="AQ3578" t="n">
        <v>0</v>
      </c>
      <c r="AR3578" t="inlineStr">
        <is>
          <t>No</t>
        </is>
      </c>
      <c r="AS3578" t="inlineStr">
        <is>
          <t>No</t>
        </is>
      </c>
      <c r="AU3578">
        <f>HYPERLINK("https://creighton-primo.hosted.exlibrisgroup.com/primo-explore/search?tab=default_tab&amp;search_scope=EVERYTHING&amp;vid=01CRU&amp;lang=en_US&amp;offset=0&amp;query=any,contains,991002266059702656","Catalog Record")</f>
        <v/>
      </c>
      <c r="AV3578">
        <f>HYPERLINK("http://www.worldcat.org/oclc/307018","WorldCat Record")</f>
        <v/>
      </c>
      <c r="AW3578" t="inlineStr">
        <is>
          <t>501185:eng</t>
        </is>
      </c>
      <c r="AX3578" t="inlineStr">
        <is>
          <t>307018</t>
        </is>
      </c>
      <c r="AY3578" t="inlineStr">
        <is>
          <t>991002266059702656</t>
        </is>
      </c>
      <c r="AZ3578" t="inlineStr">
        <is>
          <t>991002266059702656</t>
        </is>
      </c>
      <c r="BA3578" t="inlineStr">
        <is>
          <t>2265646610002656</t>
        </is>
      </c>
      <c r="BB3578" t="inlineStr">
        <is>
          <t>BOOK</t>
        </is>
      </c>
      <c r="BE3578" t="inlineStr">
        <is>
          <t>32285001982387</t>
        </is>
      </c>
      <c r="BF3578" t="inlineStr">
        <is>
          <t>893716244</t>
        </is>
      </c>
    </row>
    <row r="3579">
      <c r="A3579" t="inlineStr">
        <is>
          <t>No</t>
        </is>
      </c>
      <c r="B3579" t="inlineStr">
        <is>
          <t>CURAL</t>
        </is>
      </c>
      <c r="C3579" t="inlineStr">
        <is>
          <t>SHELVES</t>
        </is>
      </c>
      <c r="D3579" t="inlineStr">
        <is>
          <t>PR658.T7 W3 1962a</t>
        </is>
      </c>
      <c r="E3579" t="inlineStr">
        <is>
          <t>0                      PR 0658000T  7                  W  3           1962a</t>
        </is>
      </c>
      <c r="F3579" t="inlineStr">
        <is>
          <t>The Herculean hero in Marlowe, Chapman, Shakespeare and Dryden.</t>
        </is>
      </c>
      <c r="H3579" t="inlineStr">
        <is>
          <t>No</t>
        </is>
      </c>
      <c r="I3579" t="inlineStr">
        <is>
          <t>1</t>
        </is>
      </c>
      <c r="J3579" t="inlineStr">
        <is>
          <t>No</t>
        </is>
      </c>
      <c r="K3579" t="inlineStr">
        <is>
          <t>No</t>
        </is>
      </c>
      <c r="L3579" t="inlineStr">
        <is>
          <t>0</t>
        </is>
      </c>
      <c r="M3579" t="inlineStr">
        <is>
          <t>Waith, Eugene M.</t>
        </is>
      </c>
      <c r="N3579" t="inlineStr">
        <is>
          <t>New York : Columbia University Press, 1962.</t>
        </is>
      </c>
      <c r="O3579" t="inlineStr">
        <is>
          <t>1962</t>
        </is>
      </c>
      <c r="Q3579" t="inlineStr">
        <is>
          <t>eng</t>
        </is>
      </c>
      <c r="R3579" t="inlineStr">
        <is>
          <t>nyu</t>
        </is>
      </c>
      <c r="T3579" t="inlineStr">
        <is>
          <t xml:space="preserve">PR </t>
        </is>
      </c>
      <c r="U3579" t="n">
        <v>1</v>
      </c>
      <c r="V3579" t="n">
        <v>1</v>
      </c>
      <c r="W3579" t="inlineStr">
        <is>
          <t>2003-03-26</t>
        </is>
      </c>
      <c r="X3579" t="inlineStr">
        <is>
          <t>2003-03-26</t>
        </is>
      </c>
      <c r="Y3579" t="inlineStr">
        <is>
          <t>1997-09-11</t>
        </is>
      </c>
      <c r="Z3579" t="inlineStr">
        <is>
          <t>1997-09-11</t>
        </is>
      </c>
      <c r="AA3579" t="n">
        <v>998</v>
      </c>
      <c r="AB3579" t="n">
        <v>947</v>
      </c>
      <c r="AC3579" t="n">
        <v>1042</v>
      </c>
      <c r="AD3579" t="n">
        <v>9</v>
      </c>
      <c r="AE3579" t="n">
        <v>9</v>
      </c>
      <c r="AF3579" t="n">
        <v>41</v>
      </c>
      <c r="AG3579" t="n">
        <v>47</v>
      </c>
      <c r="AH3579" t="n">
        <v>17</v>
      </c>
      <c r="AI3579" t="n">
        <v>20</v>
      </c>
      <c r="AJ3579" t="n">
        <v>8</v>
      </c>
      <c r="AK3579" t="n">
        <v>9</v>
      </c>
      <c r="AL3579" t="n">
        <v>16</v>
      </c>
      <c r="AM3579" t="n">
        <v>21</v>
      </c>
      <c r="AN3579" t="n">
        <v>8</v>
      </c>
      <c r="AO3579" t="n">
        <v>8</v>
      </c>
      <c r="AP3579" t="n">
        <v>0</v>
      </c>
      <c r="AQ3579" t="n">
        <v>0</v>
      </c>
      <c r="AR3579" t="inlineStr">
        <is>
          <t>Yes</t>
        </is>
      </c>
      <c r="AS3579" t="inlineStr">
        <is>
          <t>No</t>
        </is>
      </c>
      <c r="AT3579">
        <f>HYPERLINK("http://catalog.hathitrust.org/Record/001111883","HathiTrust Record")</f>
        <v/>
      </c>
      <c r="AU3579">
        <f>HYPERLINK("https://creighton-primo.hosted.exlibrisgroup.com/primo-explore/search?tab=default_tab&amp;search_scope=EVERYTHING&amp;vid=01CRU&amp;lang=en_US&amp;offset=0&amp;query=any,contains,991002454999702656","Catalog Record")</f>
        <v/>
      </c>
      <c r="AV3579">
        <f>HYPERLINK("http://www.worldcat.org/oclc/353979","WorldCat Record")</f>
        <v/>
      </c>
      <c r="AW3579" t="inlineStr">
        <is>
          <t>1392860:eng</t>
        </is>
      </c>
      <c r="AX3579" t="inlineStr">
        <is>
          <t>353979</t>
        </is>
      </c>
      <c r="AY3579" t="inlineStr">
        <is>
          <t>991002454999702656</t>
        </is>
      </c>
      <c r="AZ3579" t="inlineStr">
        <is>
          <t>991002454999702656</t>
        </is>
      </c>
      <c r="BA3579" t="inlineStr">
        <is>
          <t>2267828580002656</t>
        </is>
      </c>
      <c r="BB3579" t="inlineStr">
        <is>
          <t>BOOK</t>
        </is>
      </c>
      <c r="BE3579" t="inlineStr">
        <is>
          <t>32285003215653</t>
        </is>
      </c>
      <c r="BF3579" t="inlineStr">
        <is>
          <t>893873534</t>
        </is>
      </c>
    </row>
    <row r="3580">
      <c r="A3580" t="inlineStr">
        <is>
          <t>No</t>
        </is>
      </c>
      <c r="B3580" t="inlineStr">
        <is>
          <t>CURAL</t>
        </is>
      </c>
      <c r="C3580" t="inlineStr">
        <is>
          <t>SHELVES</t>
        </is>
      </c>
      <c r="D3580" t="inlineStr">
        <is>
          <t>PR658.T7 W5 1990</t>
        </is>
      </c>
      <c r="E3580" t="inlineStr">
        <is>
          <t>0                      PR 0658000T  7                  W  5           1990</t>
        </is>
      </c>
      <c r="F3580" t="inlineStr">
        <is>
          <t>The idea of conscience in Renaissance tragedy / John S. Wilks.</t>
        </is>
      </c>
      <c r="H3580" t="inlineStr">
        <is>
          <t>No</t>
        </is>
      </c>
      <c r="I3580" t="inlineStr">
        <is>
          <t>1</t>
        </is>
      </c>
      <c r="J3580" t="inlineStr">
        <is>
          <t>No</t>
        </is>
      </c>
      <c r="K3580" t="inlineStr">
        <is>
          <t>No</t>
        </is>
      </c>
      <c r="L3580" t="inlineStr">
        <is>
          <t>0</t>
        </is>
      </c>
      <c r="M3580" t="inlineStr">
        <is>
          <t>Wilks, John S., 1946-</t>
        </is>
      </c>
      <c r="N3580" t="inlineStr">
        <is>
          <t>London ; New York : Routledge, 1990.</t>
        </is>
      </c>
      <c r="O3580" t="inlineStr">
        <is>
          <t>1990</t>
        </is>
      </c>
      <c r="Q3580" t="inlineStr">
        <is>
          <t>eng</t>
        </is>
      </c>
      <c r="R3580" t="inlineStr">
        <is>
          <t>enk</t>
        </is>
      </c>
      <c r="T3580" t="inlineStr">
        <is>
          <t xml:space="preserve">PR </t>
        </is>
      </c>
      <c r="U3580" t="n">
        <v>6</v>
      </c>
      <c r="V3580" t="n">
        <v>6</v>
      </c>
      <c r="W3580" t="inlineStr">
        <is>
          <t>1997-12-07</t>
        </is>
      </c>
      <c r="X3580" t="inlineStr">
        <is>
          <t>1997-12-07</t>
        </is>
      </c>
      <c r="Y3580" t="inlineStr">
        <is>
          <t>1990-08-10</t>
        </is>
      </c>
      <c r="Z3580" t="inlineStr">
        <is>
          <t>1990-08-10</t>
        </is>
      </c>
      <c r="AA3580" t="n">
        <v>330</v>
      </c>
      <c r="AB3580" t="n">
        <v>228</v>
      </c>
      <c r="AC3580" t="n">
        <v>237</v>
      </c>
      <c r="AD3580" t="n">
        <v>3</v>
      </c>
      <c r="AE3580" t="n">
        <v>3</v>
      </c>
      <c r="AF3580" t="n">
        <v>15</v>
      </c>
      <c r="AG3580" t="n">
        <v>15</v>
      </c>
      <c r="AH3580" t="n">
        <v>3</v>
      </c>
      <c r="AI3580" t="n">
        <v>3</v>
      </c>
      <c r="AJ3580" t="n">
        <v>4</v>
      </c>
      <c r="AK3580" t="n">
        <v>4</v>
      </c>
      <c r="AL3580" t="n">
        <v>10</v>
      </c>
      <c r="AM3580" t="n">
        <v>10</v>
      </c>
      <c r="AN3580" t="n">
        <v>2</v>
      </c>
      <c r="AO3580" t="n">
        <v>2</v>
      </c>
      <c r="AP3580" t="n">
        <v>0</v>
      </c>
      <c r="AQ3580" t="n">
        <v>0</v>
      </c>
      <c r="AR3580" t="inlineStr">
        <is>
          <t>No</t>
        </is>
      </c>
      <c r="AS3580" t="inlineStr">
        <is>
          <t>No</t>
        </is>
      </c>
      <c r="AU3580">
        <f>HYPERLINK("https://creighton-primo.hosted.exlibrisgroup.com/primo-explore/search?tab=default_tab&amp;search_scope=EVERYTHING&amp;vid=01CRU&amp;lang=en_US&amp;offset=0&amp;query=any,contains,991001493979702656","Catalog Record")</f>
        <v/>
      </c>
      <c r="AV3580">
        <f>HYPERLINK("http://www.worldcat.org/oclc/19741102","WorldCat Record")</f>
        <v/>
      </c>
      <c r="AW3580" t="inlineStr">
        <is>
          <t>21812767:eng</t>
        </is>
      </c>
      <c r="AX3580" t="inlineStr">
        <is>
          <t>19741102</t>
        </is>
      </c>
      <c r="AY3580" t="inlineStr">
        <is>
          <t>991001493979702656</t>
        </is>
      </c>
      <c r="AZ3580" t="inlineStr">
        <is>
          <t>991001493979702656</t>
        </is>
      </c>
      <c r="BA3580" t="inlineStr">
        <is>
          <t>2265661860002656</t>
        </is>
      </c>
      <c r="BB3580" t="inlineStr">
        <is>
          <t>BOOK</t>
        </is>
      </c>
      <c r="BD3580" t="inlineStr">
        <is>
          <t>9780415044547</t>
        </is>
      </c>
      <c r="BE3580" t="inlineStr">
        <is>
          <t>32285000243146</t>
        </is>
      </c>
      <c r="BF3580" t="inlineStr">
        <is>
          <t>893328166</t>
        </is>
      </c>
    </row>
    <row r="3581">
      <c r="A3581" t="inlineStr">
        <is>
          <t>No</t>
        </is>
      </c>
      <c r="B3581" t="inlineStr">
        <is>
          <t>CURAL</t>
        </is>
      </c>
      <c r="C3581" t="inlineStr">
        <is>
          <t>SHELVES</t>
        </is>
      </c>
      <c r="D3581" t="inlineStr">
        <is>
          <t>PR658.V5 J6 1986</t>
        </is>
      </c>
      <c r="E3581" t="inlineStr">
        <is>
          <t>0                      PR 0658000V  5                  J  6           1986</t>
        </is>
      </c>
      <c r="F3581" t="inlineStr">
        <is>
          <t>Engagement with knavery : point of view in Richard III, The Jew of Malta, Volpone, and The revenger's tragedy / Robert C. Jones.</t>
        </is>
      </c>
      <c r="H3581" t="inlineStr">
        <is>
          <t>No</t>
        </is>
      </c>
      <c r="I3581" t="inlineStr">
        <is>
          <t>1</t>
        </is>
      </c>
      <c r="J3581" t="inlineStr">
        <is>
          <t>No</t>
        </is>
      </c>
      <c r="K3581" t="inlineStr">
        <is>
          <t>No</t>
        </is>
      </c>
      <c r="L3581" t="inlineStr">
        <is>
          <t>0</t>
        </is>
      </c>
      <c r="M3581" t="inlineStr">
        <is>
          <t>Jones, Robert C., 1936-</t>
        </is>
      </c>
      <c r="N3581" t="inlineStr">
        <is>
          <t>Durham [N.C.] : Duke University Press, 1986.</t>
        </is>
      </c>
      <c r="O3581" t="inlineStr">
        <is>
          <t>1986</t>
        </is>
      </c>
      <c r="Q3581" t="inlineStr">
        <is>
          <t>eng</t>
        </is>
      </c>
      <c r="R3581" t="inlineStr">
        <is>
          <t>ncu</t>
        </is>
      </c>
      <c r="T3581" t="inlineStr">
        <is>
          <t xml:space="preserve">PR </t>
        </is>
      </c>
      <c r="U3581" t="n">
        <v>8</v>
      </c>
      <c r="V3581" t="n">
        <v>8</v>
      </c>
      <c r="W3581" t="inlineStr">
        <is>
          <t>2005-11-18</t>
        </is>
      </c>
      <c r="X3581" t="inlineStr">
        <is>
          <t>2005-11-18</t>
        </is>
      </c>
      <c r="Y3581" t="inlineStr">
        <is>
          <t>1990-03-01</t>
        </is>
      </c>
      <c r="Z3581" t="inlineStr">
        <is>
          <t>1990-03-01</t>
        </is>
      </c>
      <c r="AA3581" t="n">
        <v>462</v>
      </c>
      <c r="AB3581" t="n">
        <v>391</v>
      </c>
      <c r="AC3581" t="n">
        <v>398</v>
      </c>
      <c r="AD3581" t="n">
        <v>4</v>
      </c>
      <c r="AE3581" t="n">
        <v>4</v>
      </c>
      <c r="AF3581" t="n">
        <v>20</v>
      </c>
      <c r="AG3581" t="n">
        <v>20</v>
      </c>
      <c r="AH3581" t="n">
        <v>6</v>
      </c>
      <c r="AI3581" t="n">
        <v>6</v>
      </c>
      <c r="AJ3581" t="n">
        <v>4</v>
      </c>
      <c r="AK3581" t="n">
        <v>4</v>
      </c>
      <c r="AL3581" t="n">
        <v>12</v>
      </c>
      <c r="AM3581" t="n">
        <v>12</v>
      </c>
      <c r="AN3581" t="n">
        <v>3</v>
      </c>
      <c r="AO3581" t="n">
        <v>3</v>
      </c>
      <c r="AP3581" t="n">
        <v>0</v>
      </c>
      <c r="AQ3581" t="n">
        <v>0</v>
      </c>
      <c r="AR3581" t="inlineStr">
        <is>
          <t>No</t>
        </is>
      </c>
      <c r="AS3581" t="inlineStr">
        <is>
          <t>Yes</t>
        </is>
      </c>
      <c r="AT3581">
        <f>HYPERLINK("http://catalog.hathitrust.org/Record/000466431","HathiTrust Record")</f>
        <v/>
      </c>
      <c r="AU3581">
        <f>HYPERLINK("https://creighton-primo.hosted.exlibrisgroup.com/primo-explore/search?tab=default_tab&amp;search_scope=EVERYTHING&amp;vid=01CRU&amp;lang=en_US&amp;offset=0&amp;query=any,contains,991000705149702656","Catalog Record")</f>
        <v/>
      </c>
      <c r="AV3581">
        <f>HYPERLINK("http://www.worldcat.org/oclc/12556666","WorldCat Record")</f>
        <v/>
      </c>
      <c r="AW3581" t="inlineStr">
        <is>
          <t>341507722:eng</t>
        </is>
      </c>
      <c r="AX3581" t="inlineStr">
        <is>
          <t>12556666</t>
        </is>
      </c>
      <c r="AY3581" t="inlineStr">
        <is>
          <t>991000705149702656</t>
        </is>
      </c>
      <c r="AZ3581" t="inlineStr">
        <is>
          <t>991000705149702656</t>
        </is>
      </c>
      <c r="BA3581" t="inlineStr">
        <is>
          <t>2254797180002656</t>
        </is>
      </c>
      <c r="BB3581" t="inlineStr">
        <is>
          <t>BOOK</t>
        </is>
      </c>
      <c r="BD3581" t="inlineStr">
        <is>
          <t>9780822305200</t>
        </is>
      </c>
      <c r="BE3581" t="inlineStr">
        <is>
          <t>32285000042878</t>
        </is>
      </c>
      <c r="BF3581" t="inlineStr">
        <is>
          <t>893345900</t>
        </is>
      </c>
    </row>
    <row r="3582">
      <c r="A3582" t="inlineStr">
        <is>
          <t>No</t>
        </is>
      </c>
      <c r="B3582" t="inlineStr">
        <is>
          <t>CURAL</t>
        </is>
      </c>
      <c r="C3582" t="inlineStr">
        <is>
          <t>SHELVES</t>
        </is>
      </c>
      <c r="D3582" t="inlineStr">
        <is>
          <t>PR658.V52 J36 2000</t>
        </is>
      </c>
      <c r="E3582" t="inlineStr">
        <is>
          <t>0                      PR 0658000V  52                 J  36          2000</t>
        </is>
      </c>
      <c r="F3582" t="inlineStr">
        <is>
          <t>Pure resistance : queer virginity in early modern English drama / Theodora A. Jankowski.</t>
        </is>
      </c>
      <c r="H3582" t="inlineStr">
        <is>
          <t>No</t>
        </is>
      </c>
      <c r="I3582" t="inlineStr">
        <is>
          <t>1</t>
        </is>
      </c>
      <c r="J3582" t="inlineStr">
        <is>
          <t>No</t>
        </is>
      </c>
      <c r="K3582" t="inlineStr">
        <is>
          <t>No</t>
        </is>
      </c>
      <c r="L3582" t="inlineStr">
        <is>
          <t>0</t>
        </is>
      </c>
      <c r="M3582" t="inlineStr">
        <is>
          <t>Jankowski, Theodora A., 1945-</t>
        </is>
      </c>
      <c r="N3582" t="inlineStr">
        <is>
          <t>Philadelphia : University of Pennsylvania Press, c2000.</t>
        </is>
      </c>
      <c r="O3582" t="inlineStr">
        <is>
          <t>2000</t>
        </is>
      </c>
      <c r="Q3582" t="inlineStr">
        <is>
          <t>eng</t>
        </is>
      </c>
      <c r="R3582" t="inlineStr">
        <is>
          <t>pau</t>
        </is>
      </c>
      <c r="S3582" t="inlineStr">
        <is>
          <t>New cultural studies</t>
        </is>
      </c>
      <c r="T3582" t="inlineStr">
        <is>
          <t xml:space="preserve">PR </t>
        </is>
      </c>
      <c r="U3582" t="n">
        <v>1</v>
      </c>
      <c r="V3582" t="n">
        <v>1</v>
      </c>
      <c r="W3582" t="inlineStr">
        <is>
          <t>2001-05-29</t>
        </is>
      </c>
      <c r="X3582" t="inlineStr">
        <is>
          <t>2001-05-29</t>
        </is>
      </c>
      <c r="Y3582" t="inlineStr">
        <is>
          <t>2001-05-29</t>
        </is>
      </c>
      <c r="Z3582" t="inlineStr">
        <is>
          <t>2001-05-29</t>
        </is>
      </c>
      <c r="AA3582" t="n">
        <v>319</v>
      </c>
      <c r="AB3582" t="n">
        <v>257</v>
      </c>
      <c r="AC3582" t="n">
        <v>257</v>
      </c>
      <c r="AD3582" t="n">
        <v>3</v>
      </c>
      <c r="AE3582" t="n">
        <v>3</v>
      </c>
      <c r="AF3582" t="n">
        <v>18</v>
      </c>
      <c r="AG3582" t="n">
        <v>18</v>
      </c>
      <c r="AH3582" t="n">
        <v>6</v>
      </c>
      <c r="AI3582" t="n">
        <v>6</v>
      </c>
      <c r="AJ3582" t="n">
        <v>7</v>
      </c>
      <c r="AK3582" t="n">
        <v>7</v>
      </c>
      <c r="AL3582" t="n">
        <v>9</v>
      </c>
      <c r="AM3582" t="n">
        <v>9</v>
      </c>
      <c r="AN3582" t="n">
        <v>2</v>
      </c>
      <c r="AO3582" t="n">
        <v>2</v>
      </c>
      <c r="AP3582" t="n">
        <v>0</v>
      </c>
      <c r="AQ3582" t="n">
        <v>0</v>
      </c>
      <c r="AR3582" t="inlineStr">
        <is>
          <t>No</t>
        </is>
      </c>
      <c r="AS3582" t="inlineStr">
        <is>
          <t>No</t>
        </is>
      </c>
      <c r="AU3582">
        <f>HYPERLINK("https://creighton-primo.hosted.exlibrisgroup.com/primo-explore/search?tab=default_tab&amp;search_scope=EVERYTHING&amp;vid=01CRU&amp;lang=en_US&amp;offset=0&amp;query=any,contains,991003535449702656","Catalog Record")</f>
        <v/>
      </c>
      <c r="AV3582">
        <f>HYPERLINK("http://www.worldcat.org/oclc/43083488","WorldCat Record")</f>
        <v/>
      </c>
      <c r="AW3582" t="inlineStr">
        <is>
          <t>287246356:eng</t>
        </is>
      </c>
      <c r="AX3582" t="inlineStr">
        <is>
          <t>43083488</t>
        </is>
      </c>
      <c r="AY3582" t="inlineStr">
        <is>
          <t>991003535449702656</t>
        </is>
      </c>
      <c r="AZ3582" t="inlineStr">
        <is>
          <t>991003535449702656</t>
        </is>
      </c>
      <c r="BA3582" t="inlineStr">
        <is>
          <t>2264964390002656</t>
        </is>
      </c>
      <c r="BB3582" t="inlineStr">
        <is>
          <t>BOOK</t>
        </is>
      </c>
      <c r="BD3582" t="inlineStr">
        <is>
          <t>9780812235524</t>
        </is>
      </c>
      <c r="BE3582" t="inlineStr">
        <is>
          <t>32285004318852</t>
        </is>
      </c>
      <c r="BF3582" t="inlineStr">
        <is>
          <t>893524905</t>
        </is>
      </c>
    </row>
    <row r="3583">
      <c r="A3583" t="inlineStr">
        <is>
          <t>No</t>
        </is>
      </c>
      <c r="B3583" t="inlineStr">
        <is>
          <t>CURAL</t>
        </is>
      </c>
      <c r="C3583" t="inlineStr">
        <is>
          <t>SHELVES</t>
        </is>
      </c>
      <c r="D3583" t="inlineStr">
        <is>
          <t>PR67 .H6</t>
        </is>
      </c>
      <c r="E3583" t="inlineStr">
        <is>
          <t>0                      PR 0067000H  6</t>
        </is>
      </c>
      <c r="F3583" t="inlineStr">
        <is>
          <t>The major critics; the development of English literary criticism, edited by Charles S. Holmes, Edwin Fussell [and] Ray Frazer.</t>
        </is>
      </c>
      <c r="H3583" t="inlineStr">
        <is>
          <t>No</t>
        </is>
      </c>
      <c r="I3583" t="inlineStr">
        <is>
          <t>1</t>
        </is>
      </c>
      <c r="J3583" t="inlineStr">
        <is>
          <t>No</t>
        </is>
      </c>
      <c r="K3583" t="inlineStr">
        <is>
          <t>No</t>
        </is>
      </c>
      <c r="L3583" t="inlineStr">
        <is>
          <t>0</t>
        </is>
      </c>
      <c r="M3583" t="inlineStr">
        <is>
          <t>Holmes, Charles S. (Charles Shiveley), editor.</t>
        </is>
      </c>
      <c r="N3583" t="inlineStr">
        <is>
          <t>New York, Knopf, 1957.</t>
        </is>
      </c>
      <c r="O3583" t="inlineStr">
        <is>
          <t>1957</t>
        </is>
      </c>
      <c r="P3583" t="inlineStr">
        <is>
          <t>[1st ed.]</t>
        </is>
      </c>
      <c r="Q3583" t="inlineStr">
        <is>
          <t>eng</t>
        </is>
      </c>
      <c r="R3583" t="inlineStr">
        <is>
          <t>nyu</t>
        </is>
      </c>
      <c r="T3583" t="inlineStr">
        <is>
          <t xml:space="preserve">PR </t>
        </is>
      </c>
      <c r="U3583" t="n">
        <v>1</v>
      </c>
      <c r="V3583" t="n">
        <v>1</v>
      </c>
      <c r="W3583" t="inlineStr">
        <is>
          <t>2005-09-01</t>
        </is>
      </c>
      <c r="X3583" t="inlineStr">
        <is>
          <t>2005-09-01</t>
        </is>
      </c>
      <c r="Y3583" t="inlineStr">
        <is>
          <t>1997-08-13</t>
        </is>
      </c>
      <c r="Z3583" t="inlineStr">
        <is>
          <t>1997-08-13</t>
        </is>
      </c>
      <c r="AA3583" t="n">
        <v>577</v>
      </c>
      <c r="AB3583" t="n">
        <v>542</v>
      </c>
      <c r="AC3583" t="n">
        <v>576</v>
      </c>
      <c r="AD3583" t="n">
        <v>7</v>
      </c>
      <c r="AE3583" t="n">
        <v>7</v>
      </c>
      <c r="AF3583" t="n">
        <v>22</v>
      </c>
      <c r="AG3583" t="n">
        <v>24</v>
      </c>
      <c r="AH3583" t="n">
        <v>6</v>
      </c>
      <c r="AI3583" t="n">
        <v>7</v>
      </c>
      <c r="AJ3583" t="n">
        <v>2</v>
      </c>
      <c r="AK3583" t="n">
        <v>2</v>
      </c>
      <c r="AL3583" t="n">
        <v>8</v>
      </c>
      <c r="AM3583" t="n">
        <v>9</v>
      </c>
      <c r="AN3583" t="n">
        <v>6</v>
      </c>
      <c r="AO3583" t="n">
        <v>6</v>
      </c>
      <c r="AP3583" t="n">
        <v>0</v>
      </c>
      <c r="AQ3583" t="n">
        <v>0</v>
      </c>
      <c r="AR3583" t="inlineStr">
        <is>
          <t>No</t>
        </is>
      </c>
      <c r="AS3583" t="inlineStr">
        <is>
          <t>No</t>
        </is>
      </c>
      <c r="AT3583">
        <f>HYPERLINK("http://catalog.hathitrust.org/Record/001016198","HathiTrust Record")</f>
        <v/>
      </c>
      <c r="AU3583">
        <f>HYPERLINK("https://creighton-primo.hosted.exlibrisgroup.com/primo-explore/search?tab=default_tab&amp;search_scope=EVERYTHING&amp;vid=01CRU&amp;lang=en_US&amp;offset=0&amp;query=any,contains,991002435919702656","Catalog Record")</f>
        <v/>
      </c>
      <c r="AV3583">
        <f>HYPERLINK("http://www.worldcat.org/oclc/348890","WorldCat Record")</f>
        <v/>
      </c>
      <c r="AW3583" t="inlineStr">
        <is>
          <t>196712963:eng</t>
        </is>
      </c>
      <c r="AX3583" t="inlineStr">
        <is>
          <t>348890</t>
        </is>
      </c>
      <c r="AY3583" t="inlineStr">
        <is>
          <t>991002435919702656</t>
        </is>
      </c>
      <c r="AZ3583" t="inlineStr">
        <is>
          <t>991002435919702656</t>
        </is>
      </c>
      <c r="BA3583" t="inlineStr">
        <is>
          <t>2271402760002656</t>
        </is>
      </c>
      <c r="BB3583" t="inlineStr">
        <is>
          <t>BOOK</t>
        </is>
      </c>
      <c r="BE3583" t="inlineStr">
        <is>
          <t>32285003063459</t>
        </is>
      </c>
      <c r="BF3583" t="inlineStr">
        <is>
          <t>893529986</t>
        </is>
      </c>
    </row>
    <row r="3584">
      <c r="A3584" t="inlineStr">
        <is>
          <t>No</t>
        </is>
      </c>
      <c r="B3584" t="inlineStr">
        <is>
          <t>CURAL</t>
        </is>
      </c>
      <c r="C3584" t="inlineStr">
        <is>
          <t>SHELVES</t>
        </is>
      </c>
      <c r="D3584" t="inlineStr">
        <is>
          <t>PR67 .J6 1922</t>
        </is>
      </c>
      <c r="E3584" t="inlineStr">
        <is>
          <t>0                      PR 0067000J  6           1922</t>
        </is>
      </c>
      <c r="F3584" t="inlineStr">
        <is>
          <t>English critical essays (sixteenth, seventeenth, and eighteenth centuries) selected and ed. by Edmund D. Jones.</t>
        </is>
      </c>
      <c r="H3584" t="inlineStr">
        <is>
          <t>No</t>
        </is>
      </c>
      <c r="I3584" t="inlineStr">
        <is>
          <t>1</t>
        </is>
      </c>
      <c r="J3584" t="inlineStr">
        <is>
          <t>No</t>
        </is>
      </c>
      <c r="K3584" t="inlineStr">
        <is>
          <t>No</t>
        </is>
      </c>
      <c r="L3584" t="inlineStr">
        <is>
          <t>0</t>
        </is>
      </c>
      <c r="M3584" t="inlineStr">
        <is>
          <t>Jones, Edmund D. (Edmund David), editor.</t>
        </is>
      </c>
      <c r="N3584" t="inlineStr">
        <is>
          <t>London, New York [etc.] H. Milford, Oxford university press [1922]</t>
        </is>
      </c>
      <c r="O3584" t="inlineStr">
        <is>
          <t>1922</t>
        </is>
      </c>
      <c r="Q3584" t="inlineStr">
        <is>
          <t>eng</t>
        </is>
      </c>
      <c r="R3584" t="inlineStr">
        <is>
          <t>enk</t>
        </is>
      </c>
      <c r="S3584" t="inlineStr">
        <is>
          <t>Half-title: The World's classics. CCXL</t>
        </is>
      </c>
      <c r="T3584" t="inlineStr">
        <is>
          <t xml:space="preserve">PR </t>
        </is>
      </c>
      <c r="U3584" t="n">
        <v>3</v>
      </c>
      <c r="V3584" t="n">
        <v>3</v>
      </c>
      <c r="W3584" t="inlineStr">
        <is>
          <t>2005-09-01</t>
        </is>
      </c>
      <c r="X3584" t="inlineStr">
        <is>
          <t>2005-09-01</t>
        </is>
      </c>
      <c r="Y3584" t="inlineStr">
        <is>
          <t>1997-08-13</t>
        </is>
      </c>
      <c r="Z3584" t="inlineStr">
        <is>
          <t>1997-08-13</t>
        </is>
      </c>
      <c r="AA3584" t="n">
        <v>415</v>
      </c>
      <c r="AB3584" t="n">
        <v>364</v>
      </c>
      <c r="AC3584" t="n">
        <v>671</v>
      </c>
      <c r="AD3584" t="n">
        <v>4</v>
      </c>
      <c r="AE3584" t="n">
        <v>6</v>
      </c>
      <c r="AF3584" t="n">
        <v>22</v>
      </c>
      <c r="AG3584" t="n">
        <v>39</v>
      </c>
      <c r="AH3584" t="n">
        <v>10</v>
      </c>
      <c r="AI3584" t="n">
        <v>18</v>
      </c>
      <c r="AJ3584" t="n">
        <v>3</v>
      </c>
      <c r="AK3584" t="n">
        <v>5</v>
      </c>
      <c r="AL3584" t="n">
        <v>12</v>
      </c>
      <c r="AM3584" t="n">
        <v>18</v>
      </c>
      <c r="AN3584" t="n">
        <v>3</v>
      </c>
      <c r="AO3584" t="n">
        <v>5</v>
      </c>
      <c r="AP3584" t="n">
        <v>0</v>
      </c>
      <c r="AQ3584" t="n">
        <v>0</v>
      </c>
      <c r="AR3584" t="inlineStr">
        <is>
          <t>Yes</t>
        </is>
      </c>
      <c r="AS3584" t="inlineStr">
        <is>
          <t>No</t>
        </is>
      </c>
      <c r="AT3584">
        <f>HYPERLINK("http://catalog.hathitrust.org/Record/001441869","HathiTrust Record")</f>
        <v/>
      </c>
      <c r="AU3584">
        <f>HYPERLINK("https://creighton-primo.hosted.exlibrisgroup.com/primo-explore/search?tab=default_tab&amp;search_scope=EVERYTHING&amp;vid=01CRU&amp;lang=en_US&amp;offset=0&amp;query=any,contains,991004888369702656","Catalog Record")</f>
        <v/>
      </c>
      <c r="AV3584">
        <f>HYPERLINK("http://www.worldcat.org/oclc/5847432","WorldCat Record")</f>
        <v/>
      </c>
      <c r="AW3584" t="inlineStr">
        <is>
          <t>4820373475:eng</t>
        </is>
      </c>
      <c r="AX3584" t="inlineStr">
        <is>
          <t>5847432</t>
        </is>
      </c>
      <c r="AY3584" t="inlineStr">
        <is>
          <t>991004888369702656</t>
        </is>
      </c>
      <c r="AZ3584" t="inlineStr">
        <is>
          <t>991004888369702656</t>
        </is>
      </c>
      <c r="BA3584" t="inlineStr">
        <is>
          <t>2255044170002656</t>
        </is>
      </c>
      <c r="BB3584" t="inlineStr">
        <is>
          <t>BOOK</t>
        </is>
      </c>
      <c r="BE3584" t="inlineStr">
        <is>
          <t>32285003063467</t>
        </is>
      </c>
      <c r="BF3584" t="inlineStr">
        <is>
          <t>893876665</t>
        </is>
      </c>
    </row>
    <row r="3585">
      <c r="A3585" t="inlineStr">
        <is>
          <t>No</t>
        </is>
      </c>
      <c r="B3585" t="inlineStr">
        <is>
          <t>CURAL</t>
        </is>
      </c>
      <c r="C3585" t="inlineStr">
        <is>
          <t>SHELVES</t>
        </is>
      </c>
      <c r="D3585" t="inlineStr">
        <is>
          <t>PR67 .J65</t>
        </is>
      </c>
      <c r="E3585" t="inlineStr">
        <is>
          <t>0                      PR 0067000J  65</t>
        </is>
      </c>
      <c r="F3585" t="inlineStr">
        <is>
          <t>English critical essays, twentieth century: selected with an introduction by Phyllis M. Jones.</t>
        </is>
      </c>
      <c r="H3585" t="inlineStr">
        <is>
          <t>No</t>
        </is>
      </c>
      <c r="I3585" t="inlineStr">
        <is>
          <t>1</t>
        </is>
      </c>
      <c r="J3585" t="inlineStr">
        <is>
          <t>No</t>
        </is>
      </c>
      <c r="K3585" t="inlineStr">
        <is>
          <t>No</t>
        </is>
      </c>
      <c r="L3585" t="inlineStr">
        <is>
          <t>0</t>
        </is>
      </c>
      <c r="M3585" t="inlineStr">
        <is>
          <t>Jones, Phyllis Maud editor.</t>
        </is>
      </c>
      <c r="N3585" t="inlineStr">
        <is>
          <t>London, Oxford University Press, H. Milford [1933]</t>
        </is>
      </c>
      <c r="O3585" t="inlineStr">
        <is>
          <t>1933</t>
        </is>
      </c>
      <c r="Q3585" t="inlineStr">
        <is>
          <t>eng</t>
        </is>
      </c>
      <c r="R3585" t="inlineStr">
        <is>
          <t>enk</t>
        </is>
      </c>
      <c r="S3585" t="inlineStr">
        <is>
          <t>The World's classics. 405</t>
        </is>
      </c>
      <c r="T3585" t="inlineStr">
        <is>
          <t xml:space="preserve">PR </t>
        </is>
      </c>
      <c r="U3585" t="n">
        <v>1</v>
      </c>
      <c r="V3585" t="n">
        <v>1</v>
      </c>
      <c r="W3585" t="inlineStr">
        <is>
          <t>2008-04-07</t>
        </is>
      </c>
      <c r="X3585" t="inlineStr">
        <is>
          <t>2008-04-07</t>
        </is>
      </c>
      <c r="Y3585" t="inlineStr">
        <is>
          <t>1997-08-13</t>
        </is>
      </c>
      <c r="Z3585" t="inlineStr">
        <is>
          <t>1997-08-13</t>
        </is>
      </c>
      <c r="AA3585" t="n">
        <v>509</v>
      </c>
      <c r="AB3585" t="n">
        <v>424</v>
      </c>
      <c r="AC3585" t="n">
        <v>472</v>
      </c>
      <c r="AD3585" t="n">
        <v>3</v>
      </c>
      <c r="AE3585" t="n">
        <v>3</v>
      </c>
      <c r="AF3585" t="n">
        <v>23</v>
      </c>
      <c r="AG3585" t="n">
        <v>26</v>
      </c>
      <c r="AH3585" t="n">
        <v>11</v>
      </c>
      <c r="AI3585" t="n">
        <v>13</v>
      </c>
      <c r="AJ3585" t="n">
        <v>3</v>
      </c>
      <c r="AK3585" t="n">
        <v>3</v>
      </c>
      <c r="AL3585" t="n">
        <v>14</v>
      </c>
      <c r="AM3585" t="n">
        <v>16</v>
      </c>
      <c r="AN3585" t="n">
        <v>2</v>
      </c>
      <c r="AO3585" t="n">
        <v>2</v>
      </c>
      <c r="AP3585" t="n">
        <v>0</v>
      </c>
      <c r="AQ3585" t="n">
        <v>0</v>
      </c>
      <c r="AR3585" t="inlineStr">
        <is>
          <t>No</t>
        </is>
      </c>
      <c r="AS3585" t="inlineStr">
        <is>
          <t>Yes</t>
        </is>
      </c>
      <c r="AT3585">
        <f>HYPERLINK("http://catalog.hathitrust.org/Record/102071192","HathiTrust Record")</f>
        <v/>
      </c>
      <c r="AU3585">
        <f>HYPERLINK("https://creighton-primo.hosted.exlibrisgroup.com/primo-explore/search?tab=default_tab&amp;search_scope=EVERYTHING&amp;vid=01CRU&amp;lang=en_US&amp;offset=0&amp;query=any,contains,991002437559702656","Catalog Record")</f>
        <v/>
      </c>
      <c r="AV3585">
        <f>HYPERLINK("http://www.worldcat.org/oclc/349221","WorldCat Record")</f>
        <v/>
      </c>
      <c r="AW3585" t="inlineStr">
        <is>
          <t>4929605053:eng</t>
        </is>
      </c>
      <c r="AX3585" t="inlineStr">
        <is>
          <t>349221</t>
        </is>
      </c>
      <c r="AY3585" t="inlineStr">
        <is>
          <t>991002437559702656</t>
        </is>
      </c>
      <c r="AZ3585" t="inlineStr">
        <is>
          <t>991002437559702656</t>
        </is>
      </c>
      <c r="BA3585" t="inlineStr">
        <is>
          <t>2267077940002656</t>
        </is>
      </c>
      <c r="BB3585" t="inlineStr">
        <is>
          <t>BOOK</t>
        </is>
      </c>
      <c r="BE3585" t="inlineStr">
        <is>
          <t>32285003063475</t>
        </is>
      </c>
      <c r="BF3585" t="inlineStr">
        <is>
          <t>893798590</t>
        </is>
      </c>
    </row>
    <row r="3586">
      <c r="A3586" t="inlineStr">
        <is>
          <t>No</t>
        </is>
      </c>
      <c r="B3586" t="inlineStr">
        <is>
          <t>CURAL</t>
        </is>
      </c>
      <c r="C3586" t="inlineStr">
        <is>
          <t>SHELVES</t>
        </is>
      </c>
      <c r="D3586" t="inlineStr">
        <is>
          <t>PR69 .C74 1986</t>
        </is>
      </c>
      <c r="E3586" t="inlineStr">
        <is>
          <t>0                      PR 0069000C  74          1986</t>
        </is>
      </c>
      <c r="F3586" t="inlineStr">
        <is>
          <t>Hidden designs : the critical profession and Renaissance literature / Jonathan Crewe.</t>
        </is>
      </c>
      <c r="H3586" t="inlineStr">
        <is>
          <t>No</t>
        </is>
      </c>
      <c r="I3586" t="inlineStr">
        <is>
          <t>1</t>
        </is>
      </c>
      <c r="J3586" t="inlineStr">
        <is>
          <t>No</t>
        </is>
      </c>
      <c r="K3586" t="inlineStr">
        <is>
          <t>No</t>
        </is>
      </c>
      <c r="L3586" t="inlineStr">
        <is>
          <t>0</t>
        </is>
      </c>
      <c r="M3586" t="inlineStr">
        <is>
          <t>Crewe, Jonathan V.</t>
        </is>
      </c>
      <c r="N3586" t="inlineStr">
        <is>
          <t>New York : Methuen, 1986.</t>
        </is>
      </c>
      <c r="O3586" t="inlineStr">
        <is>
          <t>1986</t>
        </is>
      </c>
      <c r="Q3586" t="inlineStr">
        <is>
          <t>eng</t>
        </is>
      </c>
      <c r="R3586" t="inlineStr">
        <is>
          <t>nyu</t>
        </is>
      </c>
      <c r="T3586" t="inlineStr">
        <is>
          <t xml:space="preserve">PR </t>
        </is>
      </c>
      <c r="U3586" t="n">
        <v>1</v>
      </c>
      <c r="V3586" t="n">
        <v>1</v>
      </c>
      <c r="W3586" t="inlineStr">
        <is>
          <t>2002-12-11</t>
        </is>
      </c>
      <c r="X3586" t="inlineStr">
        <is>
          <t>2002-12-11</t>
        </is>
      </c>
      <c r="Y3586" t="inlineStr">
        <is>
          <t>2002-12-11</t>
        </is>
      </c>
      <c r="Z3586" t="inlineStr">
        <is>
          <t>2002-12-11</t>
        </is>
      </c>
      <c r="AA3586" t="n">
        <v>410</v>
      </c>
      <c r="AB3586" t="n">
        <v>294</v>
      </c>
      <c r="AC3586" t="n">
        <v>318</v>
      </c>
      <c r="AD3586" t="n">
        <v>3</v>
      </c>
      <c r="AE3586" t="n">
        <v>3</v>
      </c>
      <c r="AF3586" t="n">
        <v>17</v>
      </c>
      <c r="AG3586" t="n">
        <v>17</v>
      </c>
      <c r="AH3586" t="n">
        <v>7</v>
      </c>
      <c r="AI3586" t="n">
        <v>7</v>
      </c>
      <c r="AJ3586" t="n">
        <v>4</v>
      </c>
      <c r="AK3586" t="n">
        <v>4</v>
      </c>
      <c r="AL3586" t="n">
        <v>8</v>
      </c>
      <c r="AM3586" t="n">
        <v>8</v>
      </c>
      <c r="AN3586" t="n">
        <v>2</v>
      </c>
      <c r="AO3586" t="n">
        <v>2</v>
      </c>
      <c r="AP3586" t="n">
        <v>0</v>
      </c>
      <c r="AQ3586" t="n">
        <v>0</v>
      </c>
      <c r="AR3586" t="inlineStr">
        <is>
          <t>No</t>
        </is>
      </c>
      <c r="AS3586" t="inlineStr">
        <is>
          <t>No</t>
        </is>
      </c>
      <c r="AU3586">
        <f>HYPERLINK("https://creighton-primo.hosted.exlibrisgroup.com/primo-explore/search?tab=default_tab&amp;search_scope=EVERYTHING&amp;vid=01CRU&amp;lang=en_US&amp;offset=0&amp;query=any,contains,991003961479702656","Catalog Record")</f>
        <v/>
      </c>
      <c r="AV3586">
        <f>HYPERLINK("http://www.worldcat.org/oclc/14068701","WorldCat Record")</f>
        <v/>
      </c>
      <c r="AW3586" t="inlineStr">
        <is>
          <t>836663455:eng</t>
        </is>
      </c>
      <c r="AX3586" t="inlineStr">
        <is>
          <t>14068701</t>
        </is>
      </c>
      <c r="AY3586" t="inlineStr">
        <is>
          <t>991003961479702656</t>
        </is>
      </c>
      <c r="AZ3586" t="inlineStr">
        <is>
          <t>991003961479702656</t>
        </is>
      </c>
      <c r="BA3586" t="inlineStr">
        <is>
          <t>2256842880002656</t>
        </is>
      </c>
      <c r="BB3586" t="inlineStr">
        <is>
          <t>BOOK</t>
        </is>
      </c>
      <c r="BD3586" t="inlineStr">
        <is>
          <t>9780416923506</t>
        </is>
      </c>
      <c r="BE3586" t="inlineStr">
        <is>
          <t>32285004690599</t>
        </is>
      </c>
      <c r="BF3586" t="inlineStr">
        <is>
          <t>893259137</t>
        </is>
      </c>
    </row>
    <row r="3587">
      <c r="A3587" t="inlineStr">
        <is>
          <t>No</t>
        </is>
      </c>
      <c r="B3587" t="inlineStr">
        <is>
          <t>CURAL</t>
        </is>
      </c>
      <c r="C3587" t="inlineStr">
        <is>
          <t>SHELVES</t>
        </is>
      </c>
      <c r="D3587" t="inlineStr">
        <is>
          <t>PR691 .B48 1988</t>
        </is>
      </c>
      <c r="E3587" t="inlineStr">
        <is>
          <t>0                      PR 0691000B  48          1988</t>
        </is>
      </c>
      <c r="F3587" t="inlineStr">
        <is>
          <t>English drama : restoration and eighteenth century, 1660-1789 / Richard W. Bevis.</t>
        </is>
      </c>
      <c r="H3587" t="inlineStr">
        <is>
          <t>No</t>
        </is>
      </c>
      <c r="I3587" t="inlineStr">
        <is>
          <t>1</t>
        </is>
      </c>
      <c r="J3587" t="inlineStr">
        <is>
          <t>No</t>
        </is>
      </c>
      <c r="K3587" t="inlineStr">
        <is>
          <t>No</t>
        </is>
      </c>
      <c r="L3587" t="inlineStr">
        <is>
          <t>0</t>
        </is>
      </c>
      <c r="M3587" t="inlineStr">
        <is>
          <t>Bevis, Richard W.</t>
        </is>
      </c>
      <c r="N3587" t="inlineStr">
        <is>
          <t>London ; New York : Longman, 1988.</t>
        </is>
      </c>
      <c r="O3587" t="inlineStr">
        <is>
          <t>1988</t>
        </is>
      </c>
      <c r="Q3587" t="inlineStr">
        <is>
          <t>eng</t>
        </is>
      </c>
      <c r="R3587" t="inlineStr">
        <is>
          <t>enk</t>
        </is>
      </c>
      <c r="S3587" t="inlineStr">
        <is>
          <t>Longman literature in English series</t>
        </is>
      </c>
      <c r="T3587" t="inlineStr">
        <is>
          <t xml:space="preserve">PR </t>
        </is>
      </c>
      <c r="U3587" t="n">
        <v>2</v>
      </c>
      <c r="V3587" t="n">
        <v>2</v>
      </c>
      <c r="W3587" t="inlineStr">
        <is>
          <t>1994-03-14</t>
        </is>
      </c>
      <c r="X3587" t="inlineStr">
        <is>
          <t>1994-03-14</t>
        </is>
      </c>
      <c r="Y3587" t="inlineStr">
        <is>
          <t>1991-09-10</t>
        </is>
      </c>
      <c r="Z3587" t="inlineStr">
        <is>
          <t>1991-09-10</t>
        </is>
      </c>
      <c r="AA3587" t="n">
        <v>537</v>
      </c>
      <c r="AB3587" t="n">
        <v>344</v>
      </c>
      <c r="AC3587" t="n">
        <v>376</v>
      </c>
      <c r="AD3587" t="n">
        <v>2</v>
      </c>
      <c r="AE3587" t="n">
        <v>2</v>
      </c>
      <c r="AF3587" t="n">
        <v>11</v>
      </c>
      <c r="AG3587" t="n">
        <v>12</v>
      </c>
      <c r="AH3587" t="n">
        <v>4</v>
      </c>
      <c r="AI3587" t="n">
        <v>4</v>
      </c>
      <c r="AJ3587" t="n">
        <v>1</v>
      </c>
      <c r="AK3587" t="n">
        <v>2</v>
      </c>
      <c r="AL3587" t="n">
        <v>8</v>
      </c>
      <c r="AM3587" t="n">
        <v>9</v>
      </c>
      <c r="AN3587" t="n">
        <v>1</v>
      </c>
      <c r="AO3587" t="n">
        <v>1</v>
      </c>
      <c r="AP3587" t="n">
        <v>0</v>
      </c>
      <c r="AQ3587" t="n">
        <v>0</v>
      </c>
      <c r="AR3587" t="inlineStr">
        <is>
          <t>No</t>
        </is>
      </c>
      <c r="AS3587" t="inlineStr">
        <is>
          <t>No</t>
        </is>
      </c>
      <c r="AU3587">
        <f>HYPERLINK("https://creighton-primo.hosted.exlibrisgroup.com/primo-explore/search?tab=default_tab&amp;search_scope=EVERYTHING&amp;vid=01CRU&amp;lang=en_US&amp;offset=0&amp;query=any,contains,991001011229702656","Catalog Record")</f>
        <v/>
      </c>
      <c r="AV3587">
        <f>HYPERLINK("http://www.worldcat.org/oclc/15283805","WorldCat Record")</f>
        <v/>
      </c>
      <c r="AW3587" t="inlineStr">
        <is>
          <t>807869515:eng</t>
        </is>
      </c>
      <c r="AX3587" t="inlineStr">
        <is>
          <t>15283805</t>
        </is>
      </c>
      <c r="AY3587" t="inlineStr">
        <is>
          <t>991001011229702656</t>
        </is>
      </c>
      <c r="AZ3587" t="inlineStr">
        <is>
          <t>991001011229702656</t>
        </is>
      </c>
      <c r="BA3587" t="inlineStr">
        <is>
          <t>2264353740002656</t>
        </is>
      </c>
      <c r="BB3587" t="inlineStr">
        <is>
          <t>BOOK</t>
        </is>
      </c>
      <c r="BD3587" t="inlineStr">
        <is>
          <t>9780582493933</t>
        </is>
      </c>
      <c r="BE3587" t="inlineStr">
        <is>
          <t>32285000755016</t>
        </is>
      </c>
      <c r="BF3587" t="inlineStr">
        <is>
          <t>893231623</t>
        </is>
      </c>
    </row>
    <row r="3588">
      <c r="A3588" t="inlineStr">
        <is>
          <t>No</t>
        </is>
      </c>
      <c r="B3588" t="inlineStr">
        <is>
          <t>CURAL</t>
        </is>
      </c>
      <c r="C3588" t="inlineStr">
        <is>
          <t>SHELVES</t>
        </is>
      </c>
      <c r="D3588" t="inlineStr">
        <is>
          <t>PR691 .E6 1966</t>
        </is>
      </c>
      <c r="E3588" t="inlineStr">
        <is>
          <t>0                      PR 0691000E  6           1966</t>
        </is>
      </c>
      <c r="F3588" t="inlineStr">
        <is>
          <t>Handbook to Restoration drama.</t>
        </is>
      </c>
      <c r="H3588" t="inlineStr">
        <is>
          <t>No</t>
        </is>
      </c>
      <c r="I3588" t="inlineStr">
        <is>
          <t>1</t>
        </is>
      </c>
      <c r="J3588" t="inlineStr">
        <is>
          <t>No</t>
        </is>
      </c>
      <c r="K3588" t="inlineStr">
        <is>
          <t>No</t>
        </is>
      </c>
      <c r="L3588" t="inlineStr">
        <is>
          <t>0</t>
        </is>
      </c>
      <c r="M3588" t="inlineStr">
        <is>
          <t>Elwin, Malcolm, 1903-1973.</t>
        </is>
      </c>
      <c r="N3588" t="inlineStr">
        <is>
          <t>Port Washington, NY : Kennikat Press, [1966]</t>
        </is>
      </c>
      <c r="O3588" t="inlineStr">
        <is>
          <t>1966</t>
        </is>
      </c>
      <c r="Q3588" t="inlineStr">
        <is>
          <t>eng</t>
        </is>
      </c>
      <c r="R3588" t="inlineStr">
        <is>
          <t>nyu</t>
        </is>
      </c>
      <c r="T3588" t="inlineStr">
        <is>
          <t xml:space="preserve">PR </t>
        </is>
      </c>
      <c r="U3588" t="n">
        <v>4</v>
      </c>
      <c r="V3588" t="n">
        <v>4</v>
      </c>
      <c r="W3588" t="inlineStr">
        <is>
          <t>2000-11-26</t>
        </is>
      </c>
      <c r="X3588" t="inlineStr">
        <is>
          <t>2000-11-26</t>
        </is>
      </c>
      <c r="Y3588" t="inlineStr">
        <is>
          <t>1994-03-16</t>
        </is>
      </c>
      <c r="Z3588" t="inlineStr">
        <is>
          <t>1994-03-16</t>
        </is>
      </c>
      <c r="AA3588" t="n">
        <v>373</v>
      </c>
      <c r="AB3588" t="n">
        <v>335</v>
      </c>
      <c r="AC3588" t="n">
        <v>344</v>
      </c>
      <c r="AD3588" t="n">
        <v>5</v>
      </c>
      <c r="AE3588" t="n">
        <v>5</v>
      </c>
      <c r="AF3588" t="n">
        <v>25</v>
      </c>
      <c r="AG3588" t="n">
        <v>25</v>
      </c>
      <c r="AH3588" t="n">
        <v>9</v>
      </c>
      <c r="AI3588" t="n">
        <v>9</v>
      </c>
      <c r="AJ3588" t="n">
        <v>5</v>
      </c>
      <c r="AK3588" t="n">
        <v>5</v>
      </c>
      <c r="AL3588" t="n">
        <v>13</v>
      </c>
      <c r="AM3588" t="n">
        <v>13</v>
      </c>
      <c r="AN3588" t="n">
        <v>4</v>
      </c>
      <c r="AO3588" t="n">
        <v>4</v>
      </c>
      <c r="AP3588" t="n">
        <v>0</v>
      </c>
      <c r="AQ3588" t="n">
        <v>0</v>
      </c>
      <c r="AR3588" t="inlineStr">
        <is>
          <t>No</t>
        </is>
      </c>
      <c r="AS3588" t="inlineStr">
        <is>
          <t>Yes</t>
        </is>
      </c>
      <c r="AT3588">
        <f>HYPERLINK("http://catalog.hathitrust.org/Record/001374357","HathiTrust Record")</f>
        <v/>
      </c>
      <c r="AU3588">
        <f>HYPERLINK("https://creighton-primo.hosted.exlibrisgroup.com/primo-explore/search?tab=default_tab&amp;search_scope=EVERYTHING&amp;vid=01CRU&amp;lang=en_US&amp;offset=0&amp;query=any,contains,991002444199702656","Catalog Record")</f>
        <v/>
      </c>
      <c r="AV3588">
        <f>HYPERLINK("http://www.worldcat.org/oclc/351032","WorldCat Record")</f>
        <v/>
      </c>
      <c r="AW3588" t="inlineStr">
        <is>
          <t>157687616:eng</t>
        </is>
      </c>
      <c r="AX3588" t="inlineStr">
        <is>
          <t>351032</t>
        </is>
      </c>
      <c r="AY3588" t="inlineStr">
        <is>
          <t>991002444199702656</t>
        </is>
      </c>
      <c r="AZ3588" t="inlineStr">
        <is>
          <t>991002444199702656</t>
        </is>
      </c>
      <c r="BA3588" t="inlineStr">
        <is>
          <t>2266518050002656</t>
        </is>
      </c>
      <c r="BB3588" t="inlineStr">
        <is>
          <t>BOOK</t>
        </is>
      </c>
      <c r="BE3588" t="inlineStr">
        <is>
          <t>32285001853646</t>
        </is>
      </c>
      <c r="BF3588" t="inlineStr">
        <is>
          <t>893421374</t>
        </is>
      </c>
    </row>
    <row r="3589">
      <c r="A3589" t="inlineStr">
        <is>
          <t>No</t>
        </is>
      </c>
      <c r="B3589" t="inlineStr">
        <is>
          <t>CURAL</t>
        </is>
      </c>
      <c r="C3589" t="inlineStr">
        <is>
          <t>SHELVES</t>
        </is>
      </c>
      <c r="D3589" t="inlineStr">
        <is>
          <t>PR691 .H8</t>
        </is>
      </c>
      <c r="E3589" t="inlineStr">
        <is>
          <t>0                      PR 0691000H  8</t>
        </is>
      </c>
      <c r="F3589" t="inlineStr">
        <is>
          <t>The development of English drama in the late seventeenth century / Robert D. Hume.</t>
        </is>
      </c>
      <c r="H3589" t="inlineStr">
        <is>
          <t>No</t>
        </is>
      </c>
      <c r="I3589" t="inlineStr">
        <is>
          <t>1</t>
        </is>
      </c>
      <c r="J3589" t="inlineStr">
        <is>
          <t>No</t>
        </is>
      </c>
      <c r="K3589" t="inlineStr">
        <is>
          <t>No</t>
        </is>
      </c>
      <c r="L3589" t="inlineStr">
        <is>
          <t>0</t>
        </is>
      </c>
      <c r="M3589" t="inlineStr">
        <is>
          <t>Hume, Robert D.</t>
        </is>
      </c>
      <c r="N3589" t="inlineStr">
        <is>
          <t>Oxford [Eng.] : Clarendon Press, 1976.</t>
        </is>
      </c>
      <c r="O3589" t="inlineStr">
        <is>
          <t>1976</t>
        </is>
      </c>
      <c r="Q3589" t="inlineStr">
        <is>
          <t>eng</t>
        </is>
      </c>
      <c r="R3589" t="inlineStr">
        <is>
          <t>enk</t>
        </is>
      </c>
      <c r="T3589" t="inlineStr">
        <is>
          <t xml:space="preserve">PR </t>
        </is>
      </c>
      <c r="U3589" t="n">
        <v>3</v>
      </c>
      <c r="V3589" t="n">
        <v>3</v>
      </c>
      <c r="W3589" t="inlineStr">
        <is>
          <t>1994-05-01</t>
        </is>
      </c>
      <c r="X3589" t="inlineStr">
        <is>
          <t>1994-05-01</t>
        </is>
      </c>
      <c r="Y3589" t="inlineStr">
        <is>
          <t>1990-04-12</t>
        </is>
      </c>
      <c r="Z3589" t="inlineStr">
        <is>
          <t>1990-04-12</t>
        </is>
      </c>
      <c r="AA3589" t="n">
        <v>906</v>
      </c>
      <c r="AB3589" t="n">
        <v>691</v>
      </c>
      <c r="AC3589" t="n">
        <v>725</v>
      </c>
      <c r="AD3589" t="n">
        <v>7</v>
      </c>
      <c r="AE3589" t="n">
        <v>7</v>
      </c>
      <c r="AF3589" t="n">
        <v>41</v>
      </c>
      <c r="AG3589" t="n">
        <v>42</v>
      </c>
      <c r="AH3589" t="n">
        <v>17</v>
      </c>
      <c r="AI3589" t="n">
        <v>17</v>
      </c>
      <c r="AJ3589" t="n">
        <v>8</v>
      </c>
      <c r="AK3589" t="n">
        <v>9</v>
      </c>
      <c r="AL3589" t="n">
        <v>20</v>
      </c>
      <c r="AM3589" t="n">
        <v>21</v>
      </c>
      <c r="AN3589" t="n">
        <v>6</v>
      </c>
      <c r="AO3589" t="n">
        <v>6</v>
      </c>
      <c r="AP3589" t="n">
        <v>0</v>
      </c>
      <c r="AQ3589" t="n">
        <v>0</v>
      </c>
      <c r="AR3589" t="inlineStr">
        <is>
          <t>No</t>
        </is>
      </c>
      <c r="AS3589" t="inlineStr">
        <is>
          <t>Yes</t>
        </is>
      </c>
      <c r="AT3589">
        <f>HYPERLINK("http://catalog.hathitrust.org/Record/000719736","HathiTrust Record")</f>
        <v/>
      </c>
      <c r="AU3589">
        <f>HYPERLINK("https://creighton-primo.hosted.exlibrisgroup.com/primo-explore/search?tab=default_tab&amp;search_scope=EVERYTHING&amp;vid=01CRU&amp;lang=en_US&amp;offset=0&amp;query=any,contains,991004296789702656","Catalog Record")</f>
        <v/>
      </c>
      <c r="AV3589">
        <f>HYPERLINK("http://www.worldcat.org/oclc/2965573","WorldCat Record")</f>
        <v/>
      </c>
      <c r="AW3589" t="inlineStr">
        <is>
          <t>6599995:eng</t>
        </is>
      </c>
      <c r="AX3589" t="inlineStr">
        <is>
          <t>2965573</t>
        </is>
      </c>
      <c r="AY3589" t="inlineStr">
        <is>
          <t>991004296789702656</t>
        </is>
      </c>
      <c r="AZ3589" t="inlineStr">
        <is>
          <t>991004296789702656</t>
        </is>
      </c>
      <c r="BA3589" t="inlineStr">
        <is>
          <t>2270318980002656</t>
        </is>
      </c>
      <c r="BB3589" t="inlineStr">
        <is>
          <t>BOOK</t>
        </is>
      </c>
      <c r="BD3589" t="inlineStr">
        <is>
          <t>9780198120636</t>
        </is>
      </c>
      <c r="BE3589" t="inlineStr">
        <is>
          <t>32285000115096</t>
        </is>
      </c>
      <c r="BF3589" t="inlineStr">
        <is>
          <t>893806888</t>
        </is>
      </c>
    </row>
    <row r="3590">
      <c r="A3590" t="inlineStr">
        <is>
          <t>No</t>
        </is>
      </c>
      <c r="B3590" t="inlineStr">
        <is>
          <t>CURAL</t>
        </is>
      </c>
      <c r="C3590" t="inlineStr">
        <is>
          <t>SHELVES</t>
        </is>
      </c>
      <c r="D3590" t="inlineStr">
        <is>
          <t>PR691 .N5 1940</t>
        </is>
      </c>
      <c r="E3590" t="inlineStr">
        <is>
          <t>0                      PR 0691000N  5           1940</t>
        </is>
      </c>
      <c r="F3590" t="inlineStr">
        <is>
          <t>A history of Restoration drama, 1660-1700 / by Allardyce Nicoll.</t>
        </is>
      </c>
      <c r="H3590" t="inlineStr">
        <is>
          <t>No</t>
        </is>
      </c>
      <c r="I3590" t="inlineStr">
        <is>
          <t>1</t>
        </is>
      </c>
      <c r="J3590" t="inlineStr">
        <is>
          <t>No</t>
        </is>
      </c>
      <c r="K3590" t="inlineStr">
        <is>
          <t>No</t>
        </is>
      </c>
      <c r="L3590" t="inlineStr">
        <is>
          <t>0</t>
        </is>
      </c>
      <c r="M3590" t="inlineStr">
        <is>
          <t>Nicoll, Allardyce, 1894-1976.</t>
        </is>
      </c>
      <c r="N3590" t="inlineStr">
        <is>
          <t>Cambridge [Eng.] : The University Press, 1940.</t>
        </is>
      </c>
      <c r="O3590" t="inlineStr">
        <is>
          <t>1940</t>
        </is>
      </c>
      <c r="P3590" t="inlineStr">
        <is>
          <t>3d ed.</t>
        </is>
      </c>
      <c r="Q3590" t="inlineStr">
        <is>
          <t>eng</t>
        </is>
      </c>
      <c r="R3590" t="inlineStr">
        <is>
          <t>enk</t>
        </is>
      </c>
      <c r="T3590" t="inlineStr">
        <is>
          <t xml:space="preserve">PR </t>
        </is>
      </c>
      <c r="U3590" t="n">
        <v>4</v>
      </c>
      <c r="V3590" t="n">
        <v>4</v>
      </c>
      <c r="W3590" t="inlineStr">
        <is>
          <t>2006-06-15</t>
        </is>
      </c>
      <c r="X3590" t="inlineStr">
        <is>
          <t>2006-06-15</t>
        </is>
      </c>
      <c r="Y3590" t="inlineStr">
        <is>
          <t>1995-01-09</t>
        </is>
      </c>
      <c r="Z3590" t="inlineStr">
        <is>
          <t>1995-01-09</t>
        </is>
      </c>
      <c r="AA3590" t="n">
        <v>121</v>
      </c>
      <c r="AB3590" t="n">
        <v>108</v>
      </c>
      <c r="AC3590" t="n">
        <v>298</v>
      </c>
      <c r="AD3590" t="n">
        <v>2</v>
      </c>
      <c r="AE3590" t="n">
        <v>3</v>
      </c>
      <c r="AF3590" t="n">
        <v>5</v>
      </c>
      <c r="AG3590" t="n">
        <v>19</v>
      </c>
      <c r="AH3590" t="n">
        <v>3</v>
      </c>
      <c r="AI3590" t="n">
        <v>6</v>
      </c>
      <c r="AJ3590" t="n">
        <v>0</v>
      </c>
      <c r="AK3590" t="n">
        <v>6</v>
      </c>
      <c r="AL3590" t="n">
        <v>4</v>
      </c>
      <c r="AM3590" t="n">
        <v>14</v>
      </c>
      <c r="AN3590" t="n">
        <v>0</v>
      </c>
      <c r="AO3590" t="n">
        <v>1</v>
      </c>
      <c r="AP3590" t="n">
        <v>0</v>
      </c>
      <c r="AQ3590" t="n">
        <v>0</v>
      </c>
      <c r="AR3590" t="inlineStr">
        <is>
          <t>No</t>
        </is>
      </c>
      <c r="AS3590" t="inlineStr">
        <is>
          <t>Yes</t>
        </is>
      </c>
      <c r="AT3590">
        <f>HYPERLINK("http://catalog.hathitrust.org/Record/001909618","HathiTrust Record")</f>
        <v/>
      </c>
      <c r="AU3590">
        <f>HYPERLINK("https://creighton-primo.hosted.exlibrisgroup.com/primo-explore/search?tab=default_tab&amp;search_scope=EVERYTHING&amp;vid=01CRU&amp;lang=en_US&amp;offset=0&amp;query=any,contains,991004494179702656","Catalog Record")</f>
        <v/>
      </c>
      <c r="AV3590">
        <f>HYPERLINK("http://www.worldcat.org/oclc/3682848","WorldCat Record")</f>
        <v/>
      </c>
      <c r="AW3590" t="inlineStr">
        <is>
          <t>4927100:eng</t>
        </is>
      </c>
      <c r="AX3590" t="inlineStr">
        <is>
          <t>3682848</t>
        </is>
      </c>
      <c r="AY3590" t="inlineStr">
        <is>
          <t>991004494179702656</t>
        </is>
      </c>
      <c r="AZ3590" t="inlineStr">
        <is>
          <t>991004494179702656</t>
        </is>
      </c>
      <c r="BA3590" t="inlineStr">
        <is>
          <t>2260406010002656</t>
        </is>
      </c>
      <c r="BB3590" t="inlineStr">
        <is>
          <t>BOOK</t>
        </is>
      </c>
      <c r="BE3590" t="inlineStr">
        <is>
          <t>32285001986479</t>
        </is>
      </c>
      <c r="BF3590" t="inlineStr">
        <is>
          <t>893229428</t>
        </is>
      </c>
    </row>
    <row r="3591">
      <c r="A3591" t="inlineStr">
        <is>
          <t>No</t>
        </is>
      </c>
      <c r="B3591" t="inlineStr">
        <is>
          <t>CURAL</t>
        </is>
      </c>
      <c r="C3591" t="inlineStr">
        <is>
          <t>SHELVES</t>
        </is>
      </c>
      <c r="D3591" t="inlineStr">
        <is>
          <t>PR693 .R4 1965b</t>
        </is>
      </c>
      <c r="E3591" t="inlineStr">
        <is>
          <t>0                      PR 0693000R  4           1965b</t>
        </is>
      </c>
      <c r="F3591" t="inlineStr">
        <is>
          <t>Restoration theatre.</t>
        </is>
      </c>
      <c r="H3591" t="inlineStr">
        <is>
          <t>No</t>
        </is>
      </c>
      <c r="I3591" t="inlineStr">
        <is>
          <t>1</t>
        </is>
      </c>
      <c r="J3591" t="inlineStr">
        <is>
          <t>No</t>
        </is>
      </c>
      <c r="K3591" t="inlineStr">
        <is>
          <t>No</t>
        </is>
      </c>
      <c r="L3591" t="inlineStr">
        <is>
          <t>0</t>
        </is>
      </c>
      <c r="N3591" t="inlineStr">
        <is>
          <t>London : E. Arnold, [c1965]</t>
        </is>
      </c>
      <c r="O3591" t="inlineStr">
        <is>
          <t>1965</t>
        </is>
      </c>
      <c r="Q3591" t="inlineStr">
        <is>
          <t>eng</t>
        </is>
      </c>
      <c r="R3591" t="inlineStr">
        <is>
          <t>enk</t>
        </is>
      </c>
      <c r="S3591" t="inlineStr">
        <is>
          <t>Stratford-upon-Avon studies ; 6</t>
        </is>
      </c>
      <c r="T3591" t="inlineStr">
        <is>
          <t xml:space="preserve">PR </t>
        </is>
      </c>
      <c r="U3591" t="n">
        <v>5</v>
      </c>
      <c r="V3591" t="n">
        <v>5</v>
      </c>
      <c r="W3591" t="inlineStr">
        <is>
          <t>2004-10-14</t>
        </is>
      </c>
      <c r="X3591" t="inlineStr">
        <is>
          <t>2004-10-14</t>
        </is>
      </c>
      <c r="Y3591" t="inlineStr">
        <is>
          <t>1992-03-12</t>
        </is>
      </c>
      <c r="Z3591" t="inlineStr">
        <is>
          <t>1992-03-12</t>
        </is>
      </c>
      <c r="AA3591" t="n">
        <v>505</v>
      </c>
      <c r="AB3591" t="n">
        <v>346</v>
      </c>
      <c r="AC3591" t="n">
        <v>353</v>
      </c>
      <c r="AD3591" t="n">
        <v>3</v>
      </c>
      <c r="AE3591" t="n">
        <v>3</v>
      </c>
      <c r="AF3591" t="n">
        <v>20</v>
      </c>
      <c r="AG3591" t="n">
        <v>20</v>
      </c>
      <c r="AH3591" t="n">
        <v>9</v>
      </c>
      <c r="AI3591" t="n">
        <v>9</v>
      </c>
      <c r="AJ3591" t="n">
        <v>2</v>
      </c>
      <c r="AK3591" t="n">
        <v>2</v>
      </c>
      <c r="AL3591" t="n">
        <v>13</v>
      </c>
      <c r="AM3591" t="n">
        <v>13</v>
      </c>
      <c r="AN3591" t="n">
        <v>2</v>
      </c>
      <c r="AO3591" t="n">
        <v>2</v>
      </c>
      <c r="AP3591" t="n">
        <v>0</v>
      </c>
      <c r="AQ3591" t="n">
        <v>0</v>
      </c>
      <c r="AR3591" t="inlineStr">
        <is>
          <t>No</t>
        </is>
      </c>
      <c r="AS3591" t="inlineStr">
        <is>
          <t>Yes</t>
        </is>
      </c>
      <c r="AT3591">
        <f>HYPERLINK("http://catalog.hathitrust.org/Record/002096014","HathiTrust Record")</f>
        <v/>
      </c>
      <c r="AU3591">
        <f>HYPERLINK("https://creighton-primo.hosted.exlibrisgroup.com/primo-explore/search?tab=default_tab&amp;search_scope=EVERYTHING&amp;vid=01CRU&amp;lang=en_US&amp;offset=0&amp;query=any,contains,991003895079702656","Catalog Record")</f>
        <v/>
      </c>
      <c r="AV3591">
        <f>HYPERLINK("http://www.worldcat.org/oclc/1807052","WorldCat Record")</f>
        <v/>
      </c>
      <c r="AW3591" t="inlineStr">
        <is>
          <t>5609520914:eng</t>
        </is>
      </c>
      <c r="AX3591" t="inlineStr">
        <is>
          <t>1807052</t>
        </is>
      </c>
      <c r="AY3591" t="inlineStr">
        <is>
          <t>991003895079702656</t>
        </is>
      </c>
      <c r="AZ3591" t="inlineStr">
        <is>
          <t>991003895079702656</t>
        </is>
      </c>
      <c r="BA3591" t="inlineStr">
        <is>
          <t>2271542680002656</t>
        </is>
      </c>
      <c r="BB3591" t="inlineStr">
        <is>
          <t>BOOK</t>
        </is>
      </c>
      <c r="BE3591" t="inlineStr">
        <is>
          <t>32285000998400</t>
        </is>
      </c>
      <c r="BF3591" t="inlineStr">
        <is>
          <t>893228645</t>
        </is>
      </c>
    </row>
    <row r="3592">
      <c r="A3592" t="inlineStr">
        <is>
          <t>No</t>
        </is>
      </c>
      <c r="B3592" t="inlineStr">
        <is>
          <t>CURAL</t>
        </is>
      </c>
      <c r="C3592" t="inlineStr">
        <is>
          <t>SHELVES</t>
        </is>
      </c>
      <c r="D3592" t="inlineStr">
        <is>
          <t>PR698.C57 R7 1936</t>
        </is>
      </c>
      <c r="E3592" t="inlineStr">
        <is>
          <t>0                      PR 0698000C  57                 R  7           1936</t>
        </is>
      </c>
      <c r="F3592" t="inlineStr">
        <is>
          <t>The Jeremy Collier stage controversy, 1698-1726 / by Sister Rose Anthony, S. C.</t>
        </is>
      </c>
      <c r="H3592" t="inlineStr">
        <is>
          <t>No</t>
        </is>
      </c>
      <c r="I3592" t="inlineStr">
        <is>
          <t>1</t>
        </is>
      </c>
      <c r="J3592" t="inlineStr">
        <is>
          <t>No</t>
        </is>
      </c>
      <c r="K3592" t="inlineStr">
        <is>
          <t>No</t>
        </is>
      </c>
      <c r="L3592" t="inlineStr">
        <is>
          <t>0</t>
        </is>
      </c>
      <c r="M3592" t="inlineStr">
        <is>
          <t>Rose Anthony, Sister, 1889-</t>
        </is>
      </c>
      <c r="N3592" t="inlineStr">
        <is>
          <t>Milwaukee, Wis., Marquette University Press, 1937.</t>
        </is>
      </c>
      <c r="O3592" t="inlineStr">
        <is>
          <t>1937</t>
        </is>
      </c>
      <c r="Q3592" t="inlineStr">
        <is>
          <t>eng</t>
        </is>
      </c>
      <c r="R3592" t="inlineStr">
        <is>
          <t>wiu</t>
        </is>
      </c>
      <c r="T3592" t="inlineStr">
        <is>
          <t xml:space="preserve">PR </t>
        </is>
      </c>
      <c r="U3592" t="n">
        <v>1</v>
      </c>
      <c r="V3592" t="n">
        <v>1</v>
      </c>
      <c r="W3592" t="inlineStr">
        <is>
          <t>2004-11-21</t>
        </is>
      </c>
      <c r="X3592" t="inlineStr">
        <is>
          <t>2004-11-21</t>
        </is>
      </c>
      <c r="Y3592" t="inlineStr">
        <is>
          <t>1998-03-31</t>
        </is>
      </c>
      <c r="Z3592" t="inlineStr">
        <is>
          <t>1998-03-31</t>
        </is>
      </c>
      <c r="AA3592" t="n">
        <v>102</v>
      </c>
      <c r="AB3592" t="n">
        <v>94</v>
      </c>
      <c r="AC3592" t="n">
        <v>569</v>
      </c>
      <c r="AD3592" t="n">
        <v>2</v>
      </c>
      <c r="AE3592" t="n">
        <v>6</v>
      </c>
      <c r="AF3592" t="n">
        <v>5</v>
      </c>
      <c r="AG3592" t="n">
        <v>39</v>
      </c>
      <c r="AH3592" t="n">
        <v>0</v>
      </c>
      <c r="AI3592" t="n">
        <v>14</v>
      </c>
      <c r="AJ3592" t="n">
        <v>2</v>
      </c>
      <c r="AK3592" t="n">
        <v>9</v>
      </c>
      <c r="AL3592" t="n">
        <v>3</v>
      </c>
      <c r="AM3592" t="n">
        <v>19</v>
      </c>
      <c r="AN3592" t="n">
        <v>1</v>
      </c>
      <c r="AO3592" t="n">
        <v>5</v>
      </c>
      <c r="AP3592" t="n">
        <v>0</v>
      </c>
      <c r="AQ3592" t="n">
        <v>0</v>
      </c>
      <c r="AR3592" t="inlineStr">
        <is>
          <t>Yes</t>
        </is>
      </c>
      <c r="AS3592" t="inlineStr">
        <is>
          <t>No</t>
        </is>
      </c>
      <c r="AT3592">
        <f>HYPERLINK("http://catalog.hathitrust.org/Record/001374728","HathiTrust Record")</f>
        <v/>
      </c>
      <c r="AU3592">
        <f>HYPERLINK("https://creighton-primo.hosted.exlibrisgroup.com/primo-explore/search?tab=default_tab&amp;search_scope=EVERYTHING&amp;vid=01CRU&amp;lang=en_US&amp;offset=0&amp;query=any,contains,991003491659702656","Catalog Record")</f>
        <v/>
      </c>
      <c r="AV3592">
        <f>HYPERLINK("http://www.worldcat.org/oclc/1040944","WorldCat Record")</f>
        <v/>
      </c>
      <c r="AW3592" t="inlineStr">
        <is>
          <t>1470396:eng</t>
        </is>
      </c>
      <c r="AX3592" t="inlineStr">
        <is>
          <t>1040944</t>
        </is>
      </c>
      <c r="AY3592" t="inlineStr">
        <is>
          <t>991003491659702656</t>
        </is>
      </c>
      <c r="AZ3592" t="inlineStr">
        <is>
          <t>991003491659702656</t>
        </is>
      </c>
      <c r="BA3592" t="inlineStr">
        <is>
          <t>2272335880002656</t>
        </is>
      </c>
      <c r="BB3592" t="inlineStr">
        <is>
          <t>BOOK</t>
        </is>
      </c>
      <c r="BE3592" t="inlineStr">
        <is>
          <t>32285003373817</t>
        </is>
      </c>
      <c r="BF3592" t="inlineStr">
        <is>
          <t>893781065</t>
        </is>
      </c>
    </row>
    <row r="3593">
      <c r="A3593" t="inlineStr">
        <is>
          <t>No</t>
        </is>
      </c>
      <c r="B3593" t="inlineStr">
        <is>
          <t>CURAL</t>
        </is>
      </c>
      <c r="C3593" t="inlineStr">
        <is>
          <t>SHELVES</t>
        </is>
      </c>
      <c r="D3593" t="inlineStr">
        <is>
          <t>PR698.C6 B5 1970</t>
        </is>
      </c>
      <c r="E3593" t="inlineStr">
        <is>
          <t>0                      PR 0698000C  6                  B  5           1970</t>
        </is>
      </c>
      <c r="F3593" t="inlineStr">
        <is>
          <t>Wild civility : the English comic spirit on the Restoration stage / Virginia Ogden Birdsall.</t>
        </is>
      </c>
      <c r="H3593" t="inlineStr">
        <is>
          <t>No</t>
        </is>
      </c>
      <c r="I3593" t="inlineStr">
        <is>
          <t>1</t>
        </is>
      </c>
      <c r="J3593" t="inlineStr">
        <is>
          <t>No</t>
        </is>
      </c>
      <c r="K3593" t="inlineStr">
        <is>
          <t>No</t>
        </is>
      </c>
      <c r="L3593" t="inlineStr">
        <is>
          <t>0</t>
        </is>
      </c>
      <c r="M3593" t="inlineStr">
        <is>
          <t>Birdsall, Virginia Ogden.</t>
        </is>
      </c>
      <c r="N3593" t="inlineStr">
        <is>
          <t>Bloomington : Indiana University Press, [c1970]</t>
        </is>
      </c>
      <c r="O3593" t="inlineStr">
        <is>
          <t>1970</t>
        </is>
      </c>
      <c r="Q3593" t="inlineStr">
        <is>
          <t>eng</t>
        </is>
      </c>
      <c r="R3593" t="inlineStr">
        <is>
          <t>inu</t>
        </is>
      </c>
      <c r="T3593" t="inlineStr">
        <is>
          <t xml:space="preserve">PR </t>
        </is>
      </c>
      <c r="U3593" t="n">
        <v>2</v>
      </c>
      <c r="V3593" t="n">
        <v>2</v>
      </c>
      <c r="W3593" t="inlineStr">
        <is>
          <t>2004-11-21</t>
        </is>
      </c>
      <c r="X3593" t="inlineStr">
        <is>
          <t>2004-11-21</t>
        </is>
      </c>
      <c r="Y3593" t="inlineStr">
        <is>
          <t>1992-02-21</t>
        </is>
      </c>
      <c r="Z3593" t="inlineStr">
        <is>
          <t>1992-02-21</t>
        </is>
      </c>
      <c r="AA3593" t="n">
        <v>754</v>
      </c>
      <c r="AB3593" t="n">
        <v>627</v>
      </c>
      <c r="AC3593" t="n">
        <v>635</v>
      </c>
      <c r="AD3593" t="n">
        <v>5</v>
      </c>
      <c r="AE3593" t="n">
        <v>5</v>
      </c>
      <c r="AF3593" t="n">
        <v>33</v>
      </c>
      <c r="AG3593" t="n">
        <v>33</v>
      </c>
      <c r="AH3593" t="n">
        <v>12</v>
      </c>
      <c r="AI3593" t="n">
        <v>12</v>
      </c>
      <c r="AJ3593" t="n">
        <v>8</v>
      </c>
      <c r="AK3593" t="n">
        <v>8</v>
      </c>
      <c r="AL3593" t="n">
        <v>16</v>
      </c>
      <c r="AM3593" t="n">
        <v>16</v>
      </c>
      <c r="AN3593" t="n">
        <v>4</v>
      </c>
      <c r="AO3593" t="n">
        <v>4</v>
      </c>
      <c r="AP3593" t="n">
        <v>0</v>
      </c>
      <c r="AQ3593" t="n">
        <v>0</v>
      </c>
      <c r="AR3593" t="inlineStr">
        <is>
          <t>No</t>
        </is>
      </c>
      <c r="AS3593" t="inlineStr">
        <is>
          <t>Yes</t>
        </is>
      </c>
      <c r="AT3593">
        <f>HYPERLINK("http://catalog.hathitrust.org/Record/001374205","HathiTrust Record")</f>
        <v/>
      </c>
      <c r="AU3593">
        <f>HYPERLINK("https://creighton-primo.hosted.exlibrisgroup.com/primo-explore/search?tab=default_tab&amp;search_scope=EVERYTHING&amp;vid=01CRU&amp;lang=en_US&amp;offset=0&amp;query=any,contains,991000675169702656","Catalog Record")</f>
        <v/>
      </c>
      <c r="AV3593">
        <f>HYPERLINK("http://www.worldcat.org/oclc/120147","WorldCat Record")</f>
        <v/>
      </c>
      <c r="AW3593" t="inlineStr">
        <is>
          <t>1240830:eng</t>
        </is>
      </c>
      <c r="AX3593" t="inlineStr">
        <is>
          <t>120147</t>
        </is>
      </c>
      <c r="AY3593" t="inlineStr">
        <is>
          <t>991000675169702656</t>
        </is>
      </c>
      <c r="AZ3593" t="inlineStr">
        <is>
          <t>991000675169702656</t>
        </is>
      </c>
      <c r="BA3593" t="inlineStr">
        <is>
          <t>2264183920002656</t>
        </is>
      </c>
      <c r="BB3593" t="inlineStr">
        <is>
          <t>BOOK</t>
        </is>
      </c>
      <c r="BD3593" t="inlineStr">
        <is>
          <t>9780253190376</t>
        </is>
      </c>
      <c r="BE3593" t="inlineStr">
        <is>
          <t>32285000909571</t>
        </is>
      </c>
      <c r="BF3593" t="inlineStr">
        <is>
          <t>893884625</t>
        </is>
      </c>
    </row>
    <row r="3594">
      <c r="A3594" t="inlineStr">
        <is>
          <t>No</t>
        </is>
      </c>
      <c r="B3594" t="inlineStr">
        <is>
          <t>CURAL</t>
        </is>
      </c>
      <c r="C3594" t="inlineStr">
        <is>
          <t>SHELVES</t>
        </is>
      </c>
      <c r="D3594" t="inlineStr">
        <is>
          <t>PR698.C6 B86 1987</t>
        </is>
      </c>
      <c r="E3594" t="inlineStr">
        <is>
          <t>0                      PR 0698000C  6                  B  86          1987</t>
        </is>
      </c>
      <c r="F3594" t="inlineStr">
        <is>
          <t>Restoration comedy : crises of desire and identity / by Edward Burns.</t>
        </is>
      </c>
      <c r="H3594" t="inlineStr">
        <is>
          <t>No</t>
        </is>
      </c>
      <c r="I3594" t="inlineStr">
        <is>
          <t>1</t>
        </is>
      </c>
      <c r="J3594" t="inlineStr">
        <is>
          <t>No</t>
        </is>
      </c>
      <c r="K3594" t="inlineStr">
        <is>
          <t>No</t>
        </is>
      </c>
      <c r="L3594" t="inlineStr">
        <is>
          <t>0</t>
        </is>
      </c>
      <c r="M3594" t="inlineStr">
        <is>
          <t>Burns, Edward, 1955-</t>
        </is>
      </c>
      <c r="N3594" t="inlineStr">
        <is>
          <t>New York : St. Martin's Press, 1987.</t>
        </is>
      </c>
      <c r="O3594" t="inlineStr">
        <is>
          <t>1987</t>
        </is>
      </c>
      <c r="Q3594" t="inlineStr">
        <is>
          <t>eng</t>
        </is>
      </c>
      <c r="R3594" t="inlineStr">
        <is>
          <t>nyu</t>
        </is>
      </c>
      <c r="T3594" t="inlineStr">
        <is>
          <t xml:space="preserve">PR </t>
        </is>
      </c>
      <c r="U3594" t="n">
        <v>2</v>
      </c>
      <c r="V3594" t="n">
        <v>2</v>
      </c>
      <c r="W3594" t="inlineStr">
        <is>
          <t>2004-11-21</t>
        </is>
      </c>
      <c r="X3594" t="inlineStr">
        <is>
          <t>2004-11-21</t>
        </is>
      </c>
      <c r="Y3594" t="inlineStr">
        <is>
          <t>1991-09-10</t>
        </is>
      </c>
      <c r="Z3594" t="inlineStr">
        <is>
          <t>1991-09-10</t>
        </is>
      </c>
      <c r="AA3594" t="n">
        <v>301</v>
      </c>
      <c r="AB3594" t="n">
        <v>261</v>
      </c>
      <c r="AC3594" t="n">
        <v>344</v>
      </c>
      <c r="AD3594" t="n">
        <v>1</v>
      </c>
      <c r="AE3594" t="n">
        <v>3</v>
      </c>
      <c r="AF3594" t="n">
        <v>12</v>
      </c>
      <c r="AG3594" t="n">
        <v>17</v>
      </c>
      <c r="AH3594" t="n">
        <v>8</v>
      </c>
      <c r="AI3594" t="n">
        <v>8</v>
      </c>
      <c r="AJ3594" t="n">
        <v>2</v>
      </c>
      <c r="AK3594" t="n">
        <v>3</v>
      </c>
      <c r="AL3594" t="n">
        <v>4</v>
      </c>
      <c r="AM3594" t="n">
        <v>7</v>
      </c>
      <c r="AN3594" t="n">
        <v>0</v>
      </c>
      <c r="AO3594" t="n">
        <v>2</v>
      </c>
      <c r="AP3594" t="n">
        <v>0</v>
      </c>
      <c r="AQ3594" t="n">
        <v>0</v>
      </c>
      <c r="AR3594" t="inlineStr">
        <is>
          <t>No</t>
        </is>
      </c>
      <c r="AS3594" t="inlineStr">
        <is>
          <t>No</t>
        </is>
      </c>
      <c r="AU3594">
        <f>HYPERLINK("https://creighton-primo.hosted.exlibrisgroup.com/primo-explore/search?tab=default_tab&amp;search_scope=EVERYTHING&amp;vid=01CRU&amp;lang=en_US&amp;offset=0&amp;query=any,contains,991000848579702656","Catalog Record")</f>
        <v/>
      </c>
      <c r="AV3594">
        <f>HYPERLINK("http://www.worldcat.org/oclc/13580653","WorldCat Record")</f>
        <v/>
      </c>
      <c r="AW3594" t="inlineStr">
        <is>
          <t>365116774:eng</t>
        </is>
      </c>
      <c r="AX3594" t="inlineStr">
        <is>
          <t>13580653</t>
        </is>
      </c>
      <c r="AY3594" t="inlineStr">
        <is>
          <t>991000848579702656</t>
        </is>
      </c>
      <c r="AZ3594" t="inlineStr">
        <is>
          <t>991000848579702656</t>
        </is>
      </c>
      <c r="BA3594" t="inlineStr">
        <is>
          <t>2257548010002656</t>
        </is>
      </c>
      <c r="BB3594" t="inlineStr">
        <is>
          <t>BOOK</t>
        </is>
      </c>
      <c r="BD3594" t="inlineStr">
        <is>
          <t>9780312677893</t>
        </is>
      </c>
      <c r="BE3594" t="inlineStr">
        <is>
          <t>32285000755073</t>
        </is>
      </c>
      <c r="BF3594" t="inlineStr">
        <is>
          <t>893808845</t>
        </is>
      </c>
    </row>
    <row r="3595">
      <c r="A3595" t="inlineStr">
        <is>
          <t>No</t>
        </is>
      </c>
      <c r="B3595" t="inlineStr">
        <is>
          <t>CURAL</t>
        </is>
      </c>
      <c r="C3595" t="inlineStr">
        <is>
          <t>SHELVES</t>
        </is>
      </c>
      <c r="D3595" t="inlineStr">
        <is>
          <t>PR698.C6 H6 1979</t>
        </is>
      </c>
      <c r="E3595" t="inlineStr">
        <is>
          <t>0                      PR 0698000C  6                  H  6           1979</t>
        </is>
      </c>
      <c r="F3595" t="inlineStr">
        <is>
          <t>The ornament of action : text and performance in Restoration comedy / Peter Holland.</t>
        </is>
      </c>
      <c r="H3595" t="inlineStr">
        <is>
          <t>No</t>
        </is>
      </c>
      <c r="I3595" t="inlineStr">
        <is>
          <t>1</t>
        </is>
      </c>
      <c r="J3595" t="inlineStr">
        <is>
          <t>No</t>
        </is>
      </c>
      <c r="K3595" t="inlineStr">
        <is>
          <t>No</t>
        </is>
      </c>
      <c r="L3595" t="inlineStr">
        <is>
          <t>0</t>
        </is>
      </c>
      <c r="M3595" t="inlineStr">
        <is>
          <t>Holland, Peter, 1951-</t>
        </is>
      </c>
      <c r="N3595" t="inlineStr">
        <is>
          <t>Cambridge [Eng.] ; New York : Cambridge University Press, c1979.</t>
        </is>
      </c>
      <c r="O3595" t="inlineStr">
        <is>
          <t>1979</t>
        </is>
      </c>
      <c r="Q3595" t="inlineStr">
        <is>
          <t>eng</t>
        </is>
      </c>
      <c r="R3595" t="inlineStr">
        <is>
          <t>enk</t>
        </is>
      </c>
      <c r="T3595" t="inlineStr">
        <is>
          <t xml:space="preserve">PR </t>
        </is>
      </c>
      <c r="U3595" t="n">
        <v>1</v>
      </c>
      <c r="V3595" t="n">
        <v>1</v>
      </c>
      <c r="W3595" t="inlineStr">
        <is>
          <t>2003-12-16</t>
        </is>
      </c>
      <c r="X3595" t="inlineStr">
        <is>
          <t>2003-12-16</t>
        </is>
      </c>
      <c r="Y3595" t="inlineStr">
        <is>
          <t>2003-12-16</t>
        </is>
      </c>
      <c r="Z3595" t="inlineStr">
        <is>
          <t>2003-12-16</t>
        </is>
      </c>
      <c r="AA3595" t="n">
        <v>499</v>
      </c>
      <c r="AB3595" t="n">
        <v>345</v>
      </c>
      <c r="AC3595" t="n">
        <v>349</v>
      </c>
      <c r="AD3595" t="n">
        <v>3</v>
      </c>
      <c r="AE3595" t="n">
        <v>3</v>
      </c>
      <c r="AF3595" t="n">
        <v>19</v>
      </c>
      <c r="AG3595" t="n">
        <v>19</v>
      </c>
      <c r="AH3595" t="n">
        <v>6</v>
      </c>
      <c r="AI3595" t="n">
        <v>6</v>
      </c>
      <c r="AJ3595" t="n">
        <v>4</v>
      </c>
      <c r="AK3595" t="n">
        <v>4</v>
      </c>
      <c r="AL3595" t="n">
        <v>12</v>
      </c>
      <c r="AM3595" t="n">
        <v>12</v>
      </c>
      <c r="AN3595" t="n">
        <v>2</v>
      </c>
      <c r="AO3595" t="n">
        <v>2</v>
      </c>
      <c r="AP3595" t="n">
        <v>0</v>
      </c>
      <c r="AQ3595" t="n">
        <v>0</v>
      </c>
      <c r="AR3595" t="inlineStr">
        <is>
          <t>No</t>
        </is>
      </c>
      <c r="AS3595" t="inlineStr">
        <is>
          <t>No</t>
        </is>
      </c>
      <c r="AU3595">
        <f>HYPERLINK("https://creighton-primo.hosted.exlibrisgroup.com/primo-explore/search?tab=default_tab&amp;search_scope=EVERYTHING&amp;vid=01CRU&amp;lang=en_US&amp;offset=0&amp;query=any,contains,991004207409702656","Catalog Record")</f>
        <v/>
      </c>
      <c r="AV3595">
        <f>HYPERLINK("http://www.worldcat.org/oclc/3893877","WorldCat Record")</f>
        <v/>
      </c>
      <c r="AW3595" t="inlineStr">
        <is>
          <t>347327007:eng</t>
        </is>
      </c>
      <c r="AX3595" t="inlineStr">
        <is>
          <t>3893877</t>
        </is>
      </c>
      <c r="AY3595" t="inlineStr">
        <is>
          <t>991004207409702656</t>
        </is>
      </c>
      <c r="AZ3595" t="inlineStr">
        <is>
          <t>991004207409702656</t>
        </is>
      </c>
      <c r="BA3595" t="inlineStr">
        <is>
          <t>2271882490002656</t>
        </is>
      </c>
      <c r="BB3595" t="inlineStr">
        <is>
          <t>BOOK</t>
        </is>
      </c>
      <c r="BD3595" t="inlineStr">
        <is>
          <t>9780521220484</t>
        </is>
      </c>
      <c r="BE3595" t="inlineStr">
        <is>
          <t>32285004847751</t>
        </is>
      </c>
      <c r="BF3595" t="inlineStr">
        <is>
          <t>893869432</t>
        </is>
      </c>
    </row>
    <row r="3596">
      <c r="A3596" t="inlineStr">
        <is>
          <t>No</t>
        </is>
      </c>
      <c r="B3596" t="inlineStr">
        <is>
          <t>CURAL</t>
        </is>
      </c>
      <c r="C3596" t="inlineStr">
        <is>
          <t>SHELVES</t>
        </is>
      </c>
      <c r="D3596" t="inlineStr">
        <is>
          <t>PR698.H5 O94 1996</t>
        </is>
      </c>
      <c r="E3596" t="inlineStr">
        <is>
          <t>0                      PR 0698000H  5                  O  94          1996</t>
        </is>
      </c>
      <c r="F3596" t="inlineStr">
        <is>
          <t>Restoration theatre and crisis / Susan J. Owen.</t>
        </is>
      </c>
      <c r="H3596" t="inlineStr">
        <is>
          <t>No</t>
        </is>
      </c>
      <c r="I3596" t="inlineStr">
        <is>
          <t>1</t>
        </is>
      </c>
      <c r="J3596" t="inlineStr">
        <is>
          <t>No</t>
        </is>
      </c>
      <c r="K3596" t="inlineStr">
        <is>
          <t>No</t>
        </is>
      </c>
      <c r="L3596" t="inlineStr">
        <is>
          <t>0</t>
        </is>
      </c>
      <c r="M3596" t="inlineStr">
        <is>
          <t>Owen, Susan J.</t>
        </is>
      </c>
      <c r="N3596" t="inlineStr">
        <is>
          <t>Oxford [England] : Clarendon Press ; New York : Oxford University Press, 1996.</t>
        </is>
      </c>
      <c r="O3596" t="inlineStr">
        <is>
          <t>1996</t>
        </is>
      </c>
      <c r="Q3596" t="inlineStr">
        <is>
          <t>eng</t>
        </is>
      </c>
      <c r="R3596" t="inlineStr">
        <is>
          <t>enk</t>
        </is>
      </c>
      <c r="T3596" t="inlineStr">
        <is>
          <t xml:space="preserve">PR </t>
        </is>
      </c>
      <c r="U3596" t="n">
        <v>4</v>
      </c>
      <c r="V3596" t="n">
        <v>4</v>
      </c>
      <c r="W3596" t="inlineStr">
        <is>
          <t>2006-09-27</t>
        </is>
      </c>
      <c r="X3596" t="inlineStr">
        <is>
          <t>2006-09-27</t>
        </is>
      </c>
      <c r="Y3596" t="inlineStr">
        <is>
          <t>2000-12-06</t>
        </is>
      </c>
      <c r="Z3596" t="inlineStr">
        <is>
          <t>2000-12-06</t>
        </is>
      </c>
      <c r="AA3596" t="n">
        <v>366</v>
      </c>
      <c r="AB3596" t="n">
        <v>267</v>
      </c>
      <c r="AC3596" t="n">
        <v>305</v>
      </c>
      <c r="AD3596" t="n">
        <v>2</v>
      </c>
      <c r="AE3596" t="n">
        <v>2</v>
      </c>
      <c r="AF3596" t="n">
        <v>15</v>
      </c>
      <c r="AG3596" t="n">
        <v>16</v>
      </c>
      <c r="AH3596" t="n">
        <v>5</v>
      </c>
      <c r="AI3596" t="n">
        <v>5</v>
      </c>
      <c r="AJ3596" t="n">
        <v>5</v>
      </c>
      <c r="AK3596" t="n">
        <v>6</v>
      </c>
      <c r="AL3596" t="n">
        <v>10</v>
      </c>
      <c r="AM3596" t="n">
        <v>10</v>
      </c>
      <c r="AN3596" t="n">
        <v>1</v>
      </c>
      <c r="AO3596" t="n">
        <v>1</v>
      </c>
      <c r="AP3596" t="n">
        <v>0</v>
      </c>
      <c r="AQ3596" t="n">
        <v>0</v>
      </c>
      <c r="AR3596" t="inlineStr">
        <is>
          <t>No</t>
        </is>
      </c>
      <c r="AS3596" t="inlineStr">
        <is>
          <t>Yes</t>
        </is>
      </c>
      <c r="AT3596">
        <f>HYPERLINK("http://catalog.hathitrust.org/Record/003135559","HathiTrust Record")</f>
        <v/>
      </c>
      <c r="AU3596">
        <f>HYPERLINK("https://creighton-primo.hosted.exlibrisgroup.com/primo-explore/search?tab=default_tab&amp;search_scope=EVERYTHING&amp;vid=01CRU&amp;lang=en_US&amp;offset=0&amp;query=any,contains,991003303639702656","Catalog Record")</f>
        <v/>
      </c>
      <c r="AV3596">
        <f>HYPERLINK("http://www.worldcat.org/oclc/34984315","WorldCat Record")</f>
        <v/>
      </c>
      <c r="AW3596" t="inlineStr">
        <is>
          <t>34565524:eng</t>
        </is>
      </c>
      <c r="AX3596" t="inlineStr">
        <is>
          <t>34984315</t>
        </is>
      </c>
      <c r="AY3596" t="inlineStr">
        <is>
          <t>991003303639702656</t>
        </is>
      </c>
      <c r="AZ3596" t="inlineStr">
        <is>
          <t>991003303639702656</t>
        </is>
      </c>
      <c r="BA3596" t="inlineStr">
        <is>
          <t>2267973470002656</t>
        </is>
      </c>
      <c r="BB3596" t="inlineStr">
        <is>
          <t>BOOK</t>
        </is>
      </c>
      <c r="BD3596" t="inlineStr">
        <is>
          <t>9780198183877</t>
        </is>
      </c>
      <c r="BE3596" t="inlineStr">
        <is>
          <t>32285004275292</t>
        </is>
      </c>
      <c r="BF3596" t="inlineStr">
        <is>
          <t>893604651</t>
        </is>
      </c>
    </row>
    <row r="3597">
      <c r="A3597" t="inlineStr">
        <is>
          <t>No</t>
        </is>
      </c>
      <c r="B3597" t="inlineStr">
        <is>
          <t>CURAL</t>
        </is>
      </c>
      <c r="C3597" t="inlineStr">
        <is>
          <t>SHELVES</t>
        </is>
      </c>
      <c r="D3597" t="inlineStr">
        <is>
          <t>PR698.L52 W4 1986</t>
        </is>
      </c>
      <c r="E3597" t="inlineStr">
        <is>
          <t>0                      PR 0698000L  52                 W  4           1986</t>
        </is>
      </c>
      <c r="F3597" t="inlineStr">
        <is>
          <t>The restoration rake-hero : transformations in sexual understanding in seventeenth-century England / Harold Weber.</t>
        </is>
      </c>
      <c r="H3597" t="inlineStr">
        <is>
          <t>No</t>
        </is>
      </c>
      <c r="I3597" t="inlineStr">
        <is>
          <t>1</t>
        </is>
      </c>
      <c r="J3597" t="inlineStr">
        <is>
          <t>No</t>
        </is>
      </c>
      <c r="K3597" t="inlineStr">
        <is>
          <t>No</t>
        </is>
      </c>
      <c r="L3597" t="inlineStr">
        <is>
          <t>0</t>
        </is>
      </c>
      <c r="M3597" t="inlineStr">
        <is>
          <t>Weber, Harold.</t>
        </is>
      </c>
      <c r="N3597" t="inlineStr">
        <is>
          <t>Madison, Wis. : University of Wisconsin Press, 1986.</t>
        </is>
      </c>
      <c r="O3597" t="inlineStr">
        <is>
          <t>1986</t>
        </is>
      </c>
      <c r="Q3597" t="inlineStr">
        <is>
          <t>eng</t>
        </is>
      </c>
      <c r="R3597" t="inlineStr">
        <is>
          <t>wiu</t>
        </is>
      </c>
      <c r="T3597" t="inlineStr">
        <is>
          <t xml:space="preserve">PR </t>
        </is>
      </c>
      <c r="U3597" t="n">
        <v>2</v>
      </c>
      <c r="V3597" t="n">
        <v>2</v>
      </c>
      <c r="W3597" t="inlineStr">
        <is>
          <t>2006-10-25</t>
        </is>
      </c>
      <c r="X3597" t="inlineStr">
        <is>
          <t>2006-10-25</t>
        </is>
      </c>
      <c r="Y3597" t="inlineStr">
        <is>
          <t>2004-12-08</t>
        </is>
      </c>
      <c r="Z3597" t="inlineStr">
        <is>
          <t>2004-12-08</t>
        </is>
      </c>
      <c r="AA3597" t="n">
        <v>484</v>
      </c>
      <c r="AB3597" t="n">
        <v>393</v>
      </c>
      <c r="AC3597" t="n">
        <v>395</v>
      </c>
      <c r="AD3597" t="n">
        <v>3</v>
      </c>
      <c r="AE3597" t="n">
        <v>3</v>
      </c>
      <c r="AF3597" t="n">
        <v>22</v>
      </c>
      <c r="AG3597" t="n">
        <v>22</v>
      </c>
      <c r="AH3597" t="n">
        <v>9</v>
      </c>
      <c r="AI3597" t="n">
        <v>9</v>
      </c>
      <c r="AJ3597" t="n">
        <v>6</v>
      </c>
      <c r="AK3597" t="n">
        <v>6</v>
      </c>
      <c r="AL3597" t="n">
        <v>10</v>
      </c>
      <c r="AM3597" t="n">
        <v>10</v>
      </c>
      <c r="AN3597" t="n">
        <v>2</v>
      </c>
      <c r="AO3597" t="n">
        <v>2</v>
      </c>
      <c r="AP3597" t="n">
        <v>0</v>
      </c>
      <c r="AQ3597" t="n">
        <v>0</v>
      </c>
      <c r="AR3597" t="inlineStr">
        <is>
          <t>No</t>
        </is>
      </c>
      <c r="AS3597" t="inlineStr">
        <is>
          <t>Yes</t>
        </is>
      </c>
      <c r="AT3597">
        <f>HYPERLINK("http://catalog.hathitrust.org/Record/000441572","HathiTrust Record")</f>
        <v/>
      </c>
      <c r="AU3597">
        <f>HYPERLINK("https://creighton-primo.hosted.exlibrisgroup.com/primo-explore/search?tab=default_tab&amp;search_scope=EVERYTHING&amp;vid=01CRU&amp;lang=en_US&amp;offset=0&amp;query=any,contains,991004433279702656","Catalog Record")</f>
        <v/>
      </c>
      <c r="AV3597">
        <f>HYPERLINK("http://www.worldcat.org/oclc/13796345","WorldCat Record")</f>
        <v/>
      </c>
      <c r="AW3597" t="inlineStr">
        <is>
          <t>7975472:eng</t>
        </is>
      </c>
      <c r="AX3597" t="inlineStr">
        <is>
          <t>13796345</t>
        </is>
      </c>
      <c r="AY3597" t="inlineStr">
        <is>
          <t>991004433279702656</t>
        </is>
      </c>
      <c r="AZ3597" t="inlineStr">
        <is>
          <t>991004433279702656</t>
        </is>
      </c>
      <c r="BA3597" t="inlineStr">
        <is>
          <t>2270809340002656</t>
        </is>
      </c>
      <c r="BB3597" t="inlineStr">
        <is>
          <t>BOOK</t>
        </is>
      </c>
      <c r="BD3597" t="inlineStr">
        <is>
          <t>9780299106904</t>
        </is>
      </c>
      <c r="BE3597" t="inlineStr">
        <is>
          <t>32285005016034</t>
        </is>
      </c>
      <c r="BF3597" t="inlineStr">
        <is>
          <t>893442609</t>
        </is>
      </c>
    </row>
    <row r="3598">
      <c r="A3598" t="inlineStr">
        <is>
          <t>No</t>
        </is>
      </c>
      <c r="B3598" t="inlineStr">
        <is>
          <t>CURAL</t>
        </is>
      </c>
      <c r="C3598" t="inlineStr">
        <is>
          <t>SHELVES</t>
        </is>
      </c>
      <c r="D3598" t="inlineStr">
        <is>
          <t>PR703 .B6</t>
        </is>
      </c>
      <c r="E3598" t="inlineStr">
        <is>
          <t>0                      PR 0703000B  6</t>
        </is>
      </c>
      <c r="F3598" t="inlineStr">
        <is>
          <t>An introduction to eighteenth-century drama, 1700-1780.</t>
        </is>
      </c>
      <c r="H3598" t="inlineStr">
        <is>
          <t>No</t>
        </is>
      </c>
      <c r="I3598" t="inlineStr">
        <is>
          <t>1</t>
        </is>
      </c>
      <c r="J3598" t="inlineStr">
        <is>
          <t>No</t>
        </is>
      </c>
      <c r="K3598" t="inlineStr">
        <is>
          <t>No</t>
        </is>
      </c>
      <c r="L3598" t="inlineStr">
        <is>
          <t>0</t>
        </is>
      </c>
      <c r="M3598" t="inlineStr">
        <is>
          <t>Boas, Frederick S. (Frederick Samuel), 1862-1957.</t>
        </is>
      </c>
      <c r="N3598" t="inlineStr">
        <is>
          <t>Oxford : Clarendon Press, 1953.</t>
        </is>
      </c>
      <c r="O3598" t="inlineStr">
        <is>
          <t>1953</t>
        </is>
      </c>
      <c r="Q3598" t="inlineStr">
        <is>
          <t>eng</t>
        </is>
      </c>
      <c r="R3598" t="inlineStr">
        <is>
          <t>enk</t>
        </is>
      </c>
      <c r="T3598" t="inlineStr">
        <is>
          <t xml:space="preserve">PR </t>
        </is>
      </c>
      <c r="U3598" t="n">
        <v>2</v>
      </c>
      <c r="V3598" t="n">
        <v>2</v>
      </c>
      <c r="W3598" t="inlineStr">
        <is>
          <t>1995-04-04</t>
        </is>
      </c>
      <c r="X3598" t="inlineStr">
        <is>
          <t>1995-04-04</t>
        </is>
      </c>
      <c r="Y3598" t="inlineStr">
        <is>
          <t>1991-05-16</t>
        </is>
      </c>
      <c r="Z3598" t="inlineStr">
        <is>
          <t>1991-05-16</t>
        </is>
      </c>
      <c r="AA3598" t="n">
        <v>890</v>
      </c>
      <c r="AB3598" t="n">
        <v>709</v>
      </c>
      <c r="AC3598" t="n">
        <v>809</v>
      </c>
      <c r="AD3598" t="n">
        <v>6</v>
      </c>
      <c r="AE3598" t="n">
        <v>6</v>
      </c>
      <c r="AF3598" t="n">
        <v>37</v>
      </c>
      <c r="AG3598" t="n">
        <v>39</v>
      </c>
      <c r="AH3598" t="n">
        <v>16</v>
      </c>
      <c r="AI3598" t="n">
        <v>17</v>
      </c>
      <c r="AJ3598" t="n">
        <v>8</v>
      </c>
      <c r="AK3598" t="n">
        <v>8</v>
      </c>
      <c r="AL3598" t="n">
        <v>18</v>
      </c>
      <c r="AM3598" t="n">
        <v>19</v>
      </c>
      <c r="AN3598" t="n">
        <v>4</v>
      </c>
      <c r="AO3598" t="n">
        <v>4</v>
      </c>
      <c r="AP3598" t="n">
        <v>0</v>
      </c>
      <c r="AQ3598" t="n">
        <v>0</v>
      </c>
      <c r="AR3598" t="inlineStr">
        <is>
          <t>No</t>
        </is>
      </c>
      <c r="AS3598" t="inlineStr">
        <is>
          <t>Yes</t>
        </is>
      </c>
      <c r="AT3598">
        <f>HYPERLINK("http://catalog.hathitrust.org/Record/001016654","HathiTrust Record")</f>
        <v/>
      </c>
      <c r="AU3598">
        <f>HYPERLINK("https://creighton-primo.hosted.exlibrisgroup.com/primo-explore/search?tab=default_tab&amp;search_scope=EVERYTHING&amp;vid=01CRU&amp;lang=en_US&amp;offset=0&amp;query=any,contains,991003447209702656","Catalog Record")</f>
        <v/>
      </c>
      <c r="AV3598">
        <f>HYPERLINK("http://www.worldcat.org/oclc/34744358","WorldCat Record")</f>
        <v/>
      </c>
      <c r="AW3598" t="inlineStr">
        <is>
          <t>1515712:eng</t>
        </is>
      </c>
      <c r="AX3598" t="inlineStr">
        <is>
          <t>34744358</t>
        </is>
      </c>
      <c r="AY3598" t="inlineStr">
        <is>
          <t>991003447209702656</t>
        </is>
      </c>
      <c r="AZ3598" t="inlineStr">
        <is>
          <t>991003447209702656</t>
        </is>
      </c>
      <c r="BA3598" t="inlineStr">
        <is>
          <t>2272139810002656</t>
        </is>
      </c>
      <c r="BB3598" t="inlineStr">
        <is>
          <t>BOOK</t>
        </is>
      </c>
      <c r="BE3598" t="inlineStr">
        <is>
          <t>32285000595057</t>
        </is>
      </c>
      <c r="BF3598" t="inlineStr">
        <is>
          <t>893505576</t>
        </is>
      </c>
    </row>
    <row r="3599">
      <c r="A3599" t="inlineStr">
        <is>
          <t>No</t>
        </is>
      </c>
      <c r="B3599" t="inlineStr">
        <is>
          <t>CURAL</t>
        </is>
      </c>
      <c r="C3599" t="inlineStr">
        <is>
          <t>SHELVES</t>
        </is>
      </c>
      <c r="D3599" t="inlineStr">
        <is>
          <t>PR711 .G3 1966</t>
        </is>
      </c>
      <c r="E3599" t="inlineStr">
        <is>
          <t>0                      PR 0711000G  3           1966</t>
        </is>
      </c>
      <c r="F3599" t="inlineStr">
        <is>
          <t>Reason, rule, and revolt in English classicism.</t>
        </is>
      </c>
      <c r="H3599" t="inlineStr">
        <is>
          <t>No</t>
        </is>
      </c>
      <c r="I3599" t="inlineStr">
        <is>
          <t>1</t>
        </is>
      </c>
      <c r="J3599" t="inlineStr">
        <is>
          <t>No</t>
        </is>
      </c>
      <c r="K3599" t="inlineStr">
        <is>
          <t>No</t>
        </is>
      </c>
      <c r="L3599" t="inlineStr">
        <is>
          <t>0</t>
        </is>
      </c>
      <c r="M3599" t="inlineStr">
        <is>
          <t>Gallaway, Francis, 1903-</t>
        </is>
      </c>
      <c r="N3599" t="inlineStr">
        <is>
          <t>Lexington, University of Kentucky Press, 1966 [c1940]</t>
        </is>
      </c>
      <c r="O3599" t="inlineStr">
        <is>
          <t>1966</t>
        </is>
      </c>
      <c r="Q3599" t="inlineStr">
        <is>
          <t>eng</t>
        </is>
      </c>
      <c r="R3599" t="inlineStr">
        <is>
          <t xml:space="preserve">xx </t>
        </is>
      </c>
      <c r="S3599" t="inlineStr">
        <is>
          <t>Kentucky paperbacks</t>
        </is>
      </c>
      <c r="T3599" t="inlineStr">
        <is>
          <t xml:space="preserve">PR </t>
        </is>
      </c>
      <c r="U3599" t="n">
        <v>1</v>
      </c>
      <c r="V3599" t="n">
        <v>1</v>
      </c>
      <c r="W3599" t="inlineStr">
        <is>
          <t>2001-09-21</t>
        </is>
      </c>
      <c r="X3599" t="inlineStr">
        <is>
          <t>2001-09-21</t>
        </is>
      </c>
      <c r="Y3599" t="inlineStr">
        <is>
          <t>1997-09-11</t>
        </is>
      </c>
      <c r="Z3599" t="inlineStr">
        <is>
          <t>1997-09-11</t>
        </is>
      </c>
      <c r="AA3599" t="n">
        <v>109</v>
      </c>
      <c r="AB3599" t="n">
        <v>90</v>
      </c>
      <c r="AC3599" t="n">
        <v>653</v>
      </c>
      <c r="AD3599" t="n">
        <v>1</v>
      </c>
      <c r="AE3599" t="n">
        <v>5</v>
      </c>
      <c r="AF3599" t="n">
        <v>3</v>
      </c>
      <c r="AG3599" t="n">
        <v>32</v>
      </c>
      <c r="AH3599" t="n">
        <v>2</v>
      </c>
      <c r="AI3599" t="n">
        <v>11</v>
      </c>
      <c r="AJ3599" t="n">
        <v>0</v>
      </c>
      <c r="AK3599" t="n">
        <v>8</v>
      </c>
      <c r="AL3599" t="n">
        <v>1</v>
      </c>
      <c r="AM3599" t="n">
        <v>17</v>
      </c>
      <c r="AN3599" t="n">
        <v>0</v>
      </c>
      <c r="AO3599" t="n">
        <v>4</v>
      </c>
      <c r="AP3599" t="n">
        <v>0</v>
      </c>
      <c r="AQ3599" t="n">
        <v>0</v>
      </c>
      <c r="AR3599" t="inlineStr">
        <is>
          <t>No</t>
        </is>
      </c>
      <c r="AS3599" t="inlineStr">
        <is>
          <t>Yes</t>
        </is>
      </c>
      <c r="AT3599">
        <f>HYPERLINK("http://catalog.hathitrust.org/Record/001907286","HathiTrust Record")</f>
        <v/>
      </c>
      <c r="AU3599">
        <f>HYPERLINK("https://creighton-primo.hosted.exlibrisgroup.com/primo-explore/search?tab=default_tab&amp;search_scope=EVERYTHING&amp;vid=01CRU&amp;lang=en_US&amp;offset=0&amp;query=any,contains,991003744619702656","Catalog Record")</f>
        <v/>
      </c>
      <c r="AV3599">
        <f>HYPERLINK("http://www.worldcat.org/oclc/1413510","WorldCat Record")</f>
        <v/>
      </c>
      <c r="AW3599" t="inlineStr">
        <is>
          <t>478023200:eng</t>
        </is>
      </c>
      <c r="AX3599" t="inlineStr">
        <is>
          <t>1413510</t>
        </is>
      </c>
      <c r="AY3599" t="inlineStr">
        <is>
          <t>991003744619702656</t>
        </is>
      </c>
      <c r="AZ3599" t="inlineStr">
        <is>
          <t>991003744619702656</t>
        </is>
      </c>
      <c r="BA3599" t="inlineStr">
        <is>
          <t>2263541000002656</t>
        </is>
      </c>
      <c r="BB3599" t="inlineStr">
        <is>
          <t>BOOK</t>
        </is>
      </c>
      <c r="BE3599" t="inlineStr">
        <is>
          <t>32285003215778</t>
        </is>
      </c>
      <c r="BF3599" t="inlineStr">
        <is>
          <t>893775102</t>
        </is>
      </c>
    </row>
    <row r="3600">
      <c r="A3600" t="inlineStr">
        <is>
          <t>No</t>
        </is>
      </c>
      <c r="B3600" t="inlineStr">
        <is>
          <t>CURAL</t>
        </is>
      </c>
      <c r="C3600" t="inlineStr">
        <is>
          <t>SHELVES</t>
        </is>
      </c>
      <c r="D3600" t="inlineStr">
        <is>
          <t>PR719.V4 R66 1986</t>
        </is>
      </c>
      <c r="E3600" t="inlineStr">
        <is>
          <t>0                      PR 0719000V  4                  R  66          1986</t>
        </is>
      </c>
      <c r="F3600" t="inlineStr">
        <is>
          <t>The Romantic theatre : an international symposium / edited by Richard Allen Cave.</t>
        </is>
      </c>
      <c r="H3600" t="inlineStr">
        <is>
          <t>No</t>
        </is>
      </c>
      <c r="I3600" t="inlineStr">
        <is>
          <t>1</t>
        </is>
      </c>
      <c r="J3600" t="inlineStr">
        <is>
          <t>No</t>
        </is>
      </c>
      <c r="K3600" t="inlineStr">
        <is>
          <t>No</t>
        </is>
      </c>
      <c r="L3600" t="inlineStr">
        <is>
          <t>0</t>
        </is>
      </c>
      <c r="N3600" t="inlineStr">
        <is>
          <t>Gerrards Cross, Bucks. : C. Smythe ; Totowa, N.J. : Barnes and Noble Books, 1986.</t>
        </is>
      </c>
      <c r="O3600" t="inlineStr">
        <is>
          <t>1986</t>
        </is>
      </c>
      <c r="Q3600" t="inlineStr">
        <is>
          <t>eng</t>
        </is>
      </c>
      <c r="R3600" t="inlineStr">
        <is>
          <t>enk</t>
        </is>
      </c>
      <c r="T3600" t="inlineStr">
        <is>
          <t xml:space="preserve">PR </t>
        </is>
      </c>
      <c r="U3600" t="n">
        <v>3</v>
      </c>
      <c r="V3600" t="n">
        <v>3</v>
      </c>
      <c r="W3600" t="inlineStr">
        <is>
          <t>2007-04-11</t>
        </is>
      </c>
      <c r="X3600" t="inlineStr">
        <is>
          <t>2007-04-11</t>
        </is>
      </c>
      <c r="Y3600" t="inlineStr">
        <is>
          <t>1991-09-10</t>
        </is>
      </c>
      <c r="Z3600" t="inlineStr">
        <is>
          <t>1991-09-10</t>
        </is>
      </c>
      <c r="AA3600" t="n">
        <v>361</v>
      </c>
      <c r="AB3600" t="n">
        <v>283</v>
      </c>
      <c r="AC3600" t="n">
        <v>286</v>
      </c>
      <c r="AD3600" t="n">
        <v>4</v>
      </c>
      <c r="AE3600" t="n">
        <v>4</v>
      </c>
      <c r="AF3600" t="n">
        <v>13</v>
      </c>
      <c r="AG3600" t="n">
        <v>13</v>
      </c>
      <c r="AH3600" t="n">
        <v>2</v>
      </c>
      <c r="AI3600" t="n">
        <v>2</v>
      </c>
      <c r="AJ3600" t="n">
        <v>5</v>
      </c>
      <c r="AK3600" t="n">
        <v>5</v>
      </c>
      <c r="AL3600" t="n">
        <v>7</v>
      </c>
      <c r="AM3600" t="n">
        <v>7</v>
      </c>
      <c r="AN3600" t="n">
        <v>3</v>
      </c>
      <c r="AO3600" t="n">
        <v>3</v>
      </c>
      <c r="AP3600" t="n">
        <v>0</v>
      </c>
      <c r="AQ3600" t="n">
        <v>0</v>
      </c>
      <c r="AR3600" t="inlineStr">
        <is>
          <t>No</t>
        </is>
      </c>
      <c r="AS3600" t="inlineStr">
        <is>
          <t>Yes</t>
        </is>
      </c>
      <c r="AT3600">
        <f>HYPERLINK("http://catalog.hathitrust.org/Record/000805672","HathiTrust Record")</f>
        <v/>
      </c>
      <c r="AU3600">
        <f>HYPERLINK("https://creighton-primo.hosted.exlibrisgroup.com/primo-explore/search?tab=default_tab&amp;search_scope=EVERYTHING&amp;vid=01CRU&amp;lang=en_US&amp;offset=0&amp;query=any,contains,991000946639702656","Catalog Record")</f>
        <v/>
      </c>
      <c r="AV3600">
        <f>HYPERLINK("http://www.worldcat.org/oclc/14586576","WorldCat Record")</f>
        <v/>
      </c>
      <c r="AW3600" t="inlineStr">
        <is>
          <t>836680020:eng</t>
        </is>
      </c>
      <c r="AX3600" t="inlineStr">
        <is>
          <t>14586576</t>
        </is>
      </c>
      <c r="AY3600" t="inlineStr">
        <is>
          <t>991000946639702656</t>
        </is>
      </c>
      <c r="AZ3600" t="inlineStr">
        <is>
          <t>991000946639702656</t>
        </is>
      </c>
      <c r="BA3600" t="inlineStr">
        <is>
          <t>2272533190002656</t>
        </is>
      </c>
      <c r="BB3600" t="inlineStr">
        <is>
          <t>BOOK</t>
        </is>
      </c>
      <c r="BD3600" t="inlineStr">
        <is>
          <t>9780389206972</t>
        </is>
      </c>
      <c r="BE3600" t="inlineStr">
        <is>
          <t>32285000755156</t>
        </is>
      </c>
      <c r="BF3600" t="inlineStr">
        <is>
          <t>893690176</t>
        </is>
      </c>
    </row>
    <row r="3601">
      <c r="A3601" t="inlineStr">
        <is>
          <t>No</t>
        </is>
      </c>
      <c r="B3601" t="inlineStr">
        <is>
          <t>CURAL</t>
        </is>
      </c>
      <c r="C3601" t="inlineStr">
        <is>
          <t>SHELVES</t>
        </is>
      </c>
      <c r="D3601" t="inlineStr">
        <is>
          <t>PR721 .D54 1989</t>
        </is>
      </c>
      <c r="E3601" t="inlineStr">
        <is>
          <t>0                      PR 0721000D  54          1989</t>
        </is>
      </c>
      <c r="F3601" t="inlineStr">
        <is>
          <t>British drama, 1890 to 1950 : a critical history / Richard F. Dietrich.</t>
        </is>
      </c>
      <c r="H3601" t="inlineStr">
        <is>
          <t>No</t>
        </is>
      </c>
      <c r="I3601" t="inlineStr">
        <is>
          <t>1</t>
        </is>
      </c>
      <c r="J3601" t="inlineStr">
        <is>
          <t>No</t>
        </is>
      </c>
      <c r="K3601" t="inlineStr">
        <is>
          <t>No</t>
        </is>
      </c>
      <c r="L3601" t="inlineStr">
        <is>
          <t>0</t>
        </is>
      </c>
      <c r="M3601" t="inlineStr">
        <is>
          <t>Dietrich, Richard F., 1936-</t>
        </is>
      </c>
      <c r="N3601" t="inlineStr">
        <is>
          <t>Boston : Twayne Publishers, c1989.</t>
        </is>
      </c>
      <c r="O3601" t="inlineStr">
        <is>
          <t>1989</t>
        </is>
      </c>
      <c r="Q3601" t="inlineStr">
        <is>
          <t>eng</t>
        </is>
      </c>
      <c r="R3601" t="inlineStr">
        <is>
          <t>mau</t>
        </is>
      </c>
      <c r="S3601" t="inlineStr">
        <is>
          <t>Twayne's critical history of British drama</t>
        </is>
      </c>
      <c r="T3601" t="inlineStr">
        <is>
          <t xml:space="preserve">PR </t>
        </is>
      </c>
      <c r="U3601" t="n">
        <v>1</v>
      </c>
      <c r="V3601" t="n">
        <v>1</v>
      </c>
      <c r="W3601" t="inlineStr">
        <is>
          <t>1998-04-26</t>
        </is>
      </c>
      <c r="X3601" t="inlineStr">
        <is>
          <t>1998-04-26</t>
        </is>
      </c>
      <c r="Y3601" t="inlineStr">
        <is>
          <t>1991-09-10</t>
        </is>
      </c>
      <c r="Z3601" t="inlineStr">
        <is>
          <t>1991-09-10</t>
        </is>
      </c>
      <c r="AA3601" t="n">
        <v>711</v>
      </c>
      <c r="AB3601" t="n">
        <v>592</v>
      </c>
      <c r="AC3601" t="n">
        <v>598</v>
      </c>
      <c r="AD3601" t="n">
        <v>5</v>
      </c>
      <c r="AE3601" t="n">
        <v>5</v>
      </c>
      <c r="AF3601" t="n">
        <v>23</v>
      </c>
      <c r="AG3601" t="n">
        <v>23</v>
      </c>
      <c r="AH3601" t="n">
        <v>10</v>
      </c>
      <c r="AI3601" t="n">
        <v>10</v>
      </c>
      <c r="AJ3601" t="n">
        <v>4</v>
      </c>
      <c r="AK3601" t="n">
        <v>4</v>
      </c>
      <c r="AL3601" t="n">
        <v>11</v>
      </c>
      <c r="AM3601" t="n">
        <v>11</v>
      </c>
      <c r="AN3601" t="n">
        <v>4</v>
      </c>
      <c r="AO3601" t="n">
        <v>4</v>
      </c>
      <c r="AP3601" t="n">
        <v>0</v>
      </c>
      <c r="AQ3601" t="n">
        <v>0</v>
      </c>
      <c r="AR3601" t="inlineStr">
        <is>
          <t>No</t>
        </is>
      </c>
      <c r="AS3601" t="inlineStr">
        <is>
          <t>Yes</t>
        </is>
      </c>
      <c r="AT3601">
        <f>HYPERLINK("http://catalog.hathitrust.org/Record/006210002","HathiTrust Record")</f>
        <v/>
      </c>
      <c r="AU3601">
        <f>HYPERLINK("https://creighton-primo.hosted.exlibrisgroup.com/primo-explore/search?tab=default_tab&amp;search_scope=EVERYTHING&amp;vid=01CRU&amp;lang=en_US&amp;offset=0&amp;query=any,contains,991001389789702656","Catalog Record")</f>
        <v/>
      </c>
      <c r="AV3601">
        <f>HYPERLINK("http://www.worldcat.org/oclc/18746150","WorldCat Record")</f>
        <v/>
      </c>
      <c r="AW3601" t="inlineStr">
        <is>
          <t>890235234:eng</t>
        </is>
      </c>
      <c r="AX3601" t="inlineStr">
        <is>
          <t>18746150</t>
        </is>
      </c>
      <c r="AY3601" t="inlineStr">
        <is>
          <t>991001389789702656</t>
        </is>
      </c>
      <c r="AZ3601" t="inlineStr">
        <is>
          <t>991001389789702656</t>
        </is>
      </c>
      <c r="BA3601" t="inlineStr">
        <is>
          <t>2255263080002656</t>
        </is>
      </c>
      <c r="BB3601" t="inlineStr">
        <is>
          <t>BOOK</t>
        </is>
      </c>
      <c r="BD3601" t="inlineStr">
        <is>
          <t>9780805789515</t>
        </is>
      </c>
      <c r="BE3601" t="inlineStr">
        <is>
          <t>32285000755172</t>
        </is>
      </c>
      <c r="BF3601" t="inlineStr">
        <is>
          <t>893351882</t>
        </is>
      </c>
    </row>
    <row r="3602">
      <c r="A3602" t="inlineStr">
        <is>
          <t>No</t>
        </is>
      </c>
      <c r="B3602" t="inlineStr">
        <is>
          <t>CURAL</t>
        </is>
      </c>
      <c r="C3602" t="inlineStr">
        <is>
          <t>SHELVES</t>
        </is>
      </c>
      <c r="D3602" t="inlineStr">
        <is>
          <t>PR721 .N45</t>
        </is>
      </c>
      <c r="E3602" t="inlineStr">
        <is>
          <t>0                      PR 0721000N  45</t>
        </is>
      </c>
      <c r="F3602" t="inlineStr">
        <is>
          <t>English drama, 1900-1930 : the beginnings of the modern period.</t>
        </is>
      </c>
      <c r="H3602" t="inlineStr">
        <is>
          <t>No</t>
        </is>
      </c>
      <c r="I3602" t="inlineStr">
        <is>
          <t>1</t>
        </is>
      </c>
      <c r="J3602" t="inlineStr">
        <is>
          <t>No</t>
        </is>
      </c>
      <c r="K3602" t="inlineStr">
        <is>
          <t>No</t>
        </is>
      </c>
      <c r="L3602" t="inlineStr">
        <is>
          <t>0</t>
        </is>
      </c>
      <c r="M3602" t="inlineStr">
        <is>
          <t>Nicoll, Allardyce, 1894-1976.</t>
        </is>
      </c>
      <c r="N3602" t="inlineStr">
        <is>
          <t>Cambridge, [Eng.] : University Press, 1973.</t>
        </is>
      </c>
      <c r="O3602" t="inlineStr">
        <is>
          <t>1973</t>
        </is>
      </c>
      <c r="Q3602" t="inlineStr">
        <is>
          <t>eng</t>
        </is>
      </c>
      <c r="R3602" t="inlineStr">
        <is>
          <t>enk</t>
        </is>
      </c>
      <c r="T3602" t="inlineStr">
        <is>
          <t xml:space="preserve">PR </t>
        </is>
      </c>
      <c r="U3602" t="n">
        <v>1</v>
      </c>
      <c r="V3602" t="n">
        <v>1</v>
      </c>
      <c r="W3602" t="inlineStr">
        <is>
          <t>1998-04-26</t>
        </is>
      </c>
      <c r="X3602" t="inlineStr">
        <is>
          <t>1998-04-26</t>
        </is>
      </c>
      <c r="Y3602" t="inlineStr">
        <is>
          <t>1991-09-12</t>
        </is>
      </c>
      <c r="Z3602" t="inlineStr">
        <is>
          <t>1991-09-12</t>
        </is>
      </c>
      <c r="AA3602" t="n">
        <v>960</v>
      </c>
      <c r="AB3602" t="n">
        <v>741</v>
      </c>
      <c r="AC3602" t="n">
        <v>782</v>
      </c>
      <c r="AD3602" t="n">
        <v>5</v>
      </c>
      <c r="AE3602" t="n">
        <v>5</v>
      </c>
      <c r="AF3602" t="n">
        <v>31</v>
      </c>
      <c r="AG3602" t="n">
        <v>32</v>
      </c>
      <c r="AH3602" t="n">
        <v>12</v>
      </c>
      <c r="AI3602" t="n">
        <v>13</v>
      </c>
      <c r="AJ3602" t="n">
        <v>7</v>
      </c>
      <c r="AK3602" t="n">
        <v>7</v>
      </c>
      <c r="AL3602" t="n">
        <v>14</v>
      </c>
      <c r="AM3602" t="n">
        <v>15</v>
      </c>
      <c r="AN3602" t="n">
        <v>4</v>
      </c>
      <c r="AO3602" t="n">
        <v>4</v>
      </c>
      <c r="AP3602" t="n">
        <v>0</v>
      </c>
      <c r="AQ3602" t="n">
        <v>0</v>
      </c>
      <c r="AR3602" t="inlineStr">
        <is>
          <t>No</t>
        </is>
      </c>
      <c r="AS3602" t="inlineStr">
        <is>
          <t>Yes</t>
        </is>
      </c>
      <c r="AT3602">
        <f>HYPERLINK("http://catalog.hathitrust.org/Record/001111889","HathiTrust Record")</f>
        <v/>
      </c>
      <c r="AU3602">
        <f>HYPERLINK("https://creighton-primo.hosted.exlibrisgroup.com/primo-explore/search?tab=default_tab&amp;search_scope=EVERYTHING&amp;vid=01CRU&amp;lang=en_US&amp;offset=0&amp;query=any,contains,991003023939702656","Catalog Record")</f>
        <v/>
      </c>
      <c r="AV3602">
        <f>HYPERLINK("http://www.worldcat.org/oclc/588815","WorldCat Record")</f>
        <v/>
      </c>
      <c r="AW3602" t="inlineStr">
        <is>
          <t>4929070885:eng</t>
        </is>
      </c>
      <c r="AX3602" t="inlineStr">
        <is>
          <t>588815</t>
        </is>
      </c>
      <c r="AY3602" t="inlineStr">
        <is>
          <t>991003023939702656</t>
        </is>
      </c>
      <c r="AZ3602" t="inlineStr">
        <is>
          <t>991003023939702656</t>
        </is>
      </c>
      <c r="BA3602" t="inlineStr">
        <is>
          <t>2270037030002656</t>
        </is>
      </c>
      <c r="BB3602" t="inlineStr">
        <is>
          <t>BOOK</t>
        </is>
      </c>
      <c r="BD3602" t="inlineStr">
        <is>
          <t>9780521084161</t>
        </is>
      </c>
      <c r="BE3602" t="inlineStr">
        <is>
          <t>32285000755180</t>
        </is>
      </c>
      <c r="BF3602" t="inlineStr">
        <is>
          <t>893434575</t>
        </is>
      </c>
    </row>
    <row r="3603">
      <c r="A3603" t="inlineStr">
        <is>
          <t>No</t>
        </is>
      </c>
      <c r="B3603" t="inlineStr">
        <is>
          <t>CURAL</t>
        </is>
      </c>
      <c r="C3603" t="inlineStr">
        <is>
          <t>SHELVES</t>
        </is>
      </c>
      <c r="D3603" t="inlineStr">
        <is>
          <t>PR73 .E54 1989</t>
        </is>
      </c>
      <c r="E3603" t="inlineStr">
        <is>
          <t>0                      PR 0073000E  54          1989</t>
        </is>
      </c>
      <c r="F3603" t="inlineStr">
        <is>
          <t>Forming the critical mind : Dryden to Coleridge / James Engell.</t>
        </is>
      </c>
      <c r="H3603" t="inlineStr">
        <is>
          <t>No</t>
        </is>
      </c>
      <c r="I3603" t="inlineStr">
        <is>
          <t>1</t>
        </is>
      </c>
      <c r="J3603" t="inlineStr">
        <is>
          <t>No</t>
        </is>
      </c>
      <c r="K3603" t="inlineStr">
        <is>
          <t>No</t>
        </is>
      </c>
      <c r="L3603" t="inlineStr">
        <is>
          <t>0</t>
        </is>
      </c>
      <c r="M3603" t="inlineStr">
        <is>
          <t>Engell, James, 1951-</t>
        </is>
      </c>
      <c r="N3603" t="inlineStr">
        <is>
          <t>Cambridge, Mass. : Harvard University Press, 1989.</t>
        </is>
      </c>
      <c r="O3603" t="inlineStr">
        <is>
          <t>1989</t>
        </is>
      </c>
      <c r="Q3603" t="inlineStr">
        <is>
          <t>eng</t>
        </is>
      </c>
      <c r="R3603" t="inlineStr">
        <is>
          <t>mau</t>
        </is>
      </c>
      <c r="T3603" t="inlineStr">
        <is>
          <t xml:space="preserve">PR </t>
        </is>
      </c>
      <c r="U3603" t="n">
        <v>4</v>
      </c>
      <c r="V3603" t="n">
        <v>4</v>
      </c>
      <c r="W3603" t="inlineStr">
        <is>
          <t>2008-10-16</t>
        </is>
      </c>
      <c r="X3603" t="inlineStr">
        <is>
          <t>2008-10-16</t>
        </is>
      </c>
      <c r="Y3603" t="inlineStr">
        <is>
          <t>2006-09-26</t>
        </is>
      </c>
      <c r="Z3603" t="inlineStr">
        <is>
          <t>2006-09-26</t>
        </is>
      </c>
      <c r="AA3603" t="n">
        <v>567</v>
      </c>
      <c r="AB3603" t="n">
        <v>452</v>
      </c>
      <c r="AC3603" t="n">
        <v>459</v>
      </c>
      <c r="AD3603" t="n">
        <v>4</v>
      </c>
      <c r="AE3603" t="n">
        <v>4</v>
      </c>
      <c r="AF3603" t="n">
        <v>26</v>
      </c>
      <c r="AG3603" t="n">
        <v>26</v>
      </c>
      <c r="AH3603" t="n">
        <v>10</v>
      </c>
      <c r="AI3603" t="n">
        <v>10</v>
      </c>
      <c r="AJ3603" t="n">
        <v>5</v>
      </c>
      <c r="AK3603" t="n">
        <v>5</v>
      </c>
      <c r="AL3603" t="n">
        <v>16</v>
      </c>
      <c r="AM3603" t="n">
        <v>16</v>
      </c>
      <c r="AN3603" t="n">
        <v>3</v>
      </c>
      <c r="AO3603" t="n">
        <v>3</v>
      </c>
      <c r="AP3603" t="n">
        <v>0</v>
      </c>
      <c r="AQ3603" t="n">
        <v>0</v>
      </c>
      <c r="AR3603" t="inlineStr">
        <is>
          <t>No</t>
        </is>
      </c>
      <c r="AS3603" t="inlineStr">
        <is>
          <t>Yes</t>
        </is>
      </c>
      <c r="AT3603">
        <f>HYPERLINK("http://catalog.hathitrust.org/Record/001298022","HathiTrust Record")</f>
        <v/>
      </c>
      <c r="AU3603">
        <f>HYPERLINK("https://creighton-primo.hosted.exlibrisgroup.com/primo-explore/search?tab=default_tab&amp;search_scope=EVERYTHING&amp;vid=01CRU&amp;lang=en_US&amp;offset=0&amp;query=any,contains,991004930359702656","Catalog Record")</f>
        <v/>
      </c>
      <c r="AV3603">
        <f>HYPERLINK("http://www.worldcat.org/oclc/18411375","WorldCat Record")</f>
        <v/>
      </c>
      <c r="AW3603" t="inlineStr">
        <is>
          <t>836719716:eng</t>
        </is>
      </c>
      <c r="AX3603" t="inlineStr">
        <is>
          <t>18411375</t>
        </is>
      </c>
      <c r="AY3603" t="inlineStr">
        <is>
          <t>991004930359702656</t>
        </is>
      </c>
      <c r="AZ3603" t="inlineStr">
        <is>
          <t>991004930359702656</t>
        </is>
      </c>
      <c r="BA3603" t="inlineStr">
        <is>
          <t>2255264250002656</t>
        </is>
      </c>
      <c r="BB3603" t="inlineStr">
        <is>
          <t>BOOK</t>
        </is>
      </c>
      <c r="BD3603" t="inlineStr">
        <is>
          <t>9780674309432</t>
        </is>
      </c>
      <c r="BE3603" t="inlineStr">
        <is>
          <t>32285005224901</t>
        </is>
      </c>
      <c r="BF3603" t="inlineStr">
        <is>
          <t>893520183</t>
        </is>
      </c>
    </row>
    <row r="3604">
      <c r="A3604" t="inlineStr">
        <is>
          <t>No</t>
        </is>
      </c>
      <c r="B3604" t="inlineStr">
        <is>
          <t>CURAL</t>
        </is>
      </c>
      <c r="C3604" t="inlineStr">
        <is>
          <t>SHELVES</t>
        </is>
      </c>
      <c r="D3604" t="inlineStr">
        <is>
          <t>PR734.S5 J46 1991</t>
        </is>
      </c>
      <c r="E3604" t="inlineStr">
        <is>
          <t>0                      PR 0734000S  5                  J  46          1991</t>
        </is>
      </c>
      <c r="F3604" t="inlineStr">
        <is>
          <t>The making of Victorian drama / Anthony Jenkins.</t>
        </is>
      </c>
      <c r="H3604" t="inlineStr">
        <is>
          <t>No</t>
        </is>
      </c>
      <c r="I3604" t="inlineStr">
        <is>
          <t>1</t>
        </is>
      </c>
      <c r="J3604" t="inlineStr">
        <is>
          <t>No</t>
        </is>
      </c>
      <c r="K3604" t="inlineStr">
        <is>
          <t>No</t>
        </is>
      </c>
      <c r="L3604" t="inlineStr">
        <is>
          <t>0</t>
        </is>
      </c>
      <c r="M3604" t="inlineStr">
        <is>
          <t>Jenkins, Anthony, 1936-</t>
        </is>
      </c>
      <c r="N3604" t="inlineStr">
        <is>
          <t>Cambridge [England] ; New York : Cambridge University Press, 1991.</t>
        </is>
      </c>
      <c r="O3604" t="inlineStr">
        <is>
          <t>1991</t>
        </is>
      </c>
      <c r="Q3604" t="inlineStr">
        <is>
          <t>eng</t>
        </is>
      </c>
      <c r="R3604" t="inlineStr">
        <is>
          <t>enk</t>
        </is>
      </c>
      <c r="T3604" t="inlineStr">
        <is>
          <t xml:space="preserve">PR </t>
        </is>
      </c>
      <c r="U3604" t="n">
        <v>2</v>
      </c>
      <c r="V3604" t="n">
        <v>2</v>
      </c>
      <c r="W3604" t="inlineStr">
        <is>
          <t>1997-11-14</t>
        </is>
      </c>
      <c r="X3604" t="inlineStr">
        <is>
          <t>1997-11-14</t>
        </is>
      </c>
      <c r="Y3604" t="inlineStr">
        <is>
          <t>1992-04-02</t>
        </is>
      </c>
      <c r="Z3604" t="inlineStr">
        <is>
          <t>1992-04-02</t>
        </is>
      </c>
      <c r="AA3604" t="n">
        <v>522</v>
      </c>
      <c r="AB3604" t="n">
        <v>362</v>
      </c>
      <c r="AC3604" t="n">
        <v>380</v>
      </c>
      <c r="AD3604" t="n">
        <v>3</v>
      </c>
      <c r="AE3604" t="n">
        <v>3</v>
      </c>
      <c r="AF3604" t="n">
        <v>20</v>
      </c>
      <c r="AG3604" t="n">
        <v>20</v>
      </c>
      <c r="AH3604" t="n">
        <v>8</v>
      </c>
      <c r="AI3604" t="n">
        <v>8</v>
      </c>
      <c r="AJ3604" t="n">
        <v>4</v>
      </c>
      <c r="AK3604" t="n">
        <v>4</v>
      </c>
      <c r="AL3604" t="n">
        <v>12</v>
      </c>
      <c r="AM3604" t="n">
        <v>12</v>
      </c>
      <c r="AN3604" t="n">
        <v>2</v>
      </c>
      <c r="AO3604" t="n">
        <v>2</v>
      </c>
      <c r="AP3604" t="n">
        <v>0</v>
      </c>
      <c r="AQ3604" t="n">
        <v>0</v>
      </c>
      <c r="AR3604" t="inlineStr">
        <is>
          <t>No</t>
        </is>
      </c>
      <c r="AS3604" t="inlineStr">
        <is>
          <t>No</t>
        </is>
      </c>
      <c r="AU3604">
        <f>HYPERLINK("https://creighton-primo.hosted.exlibrisgroup.com/primo-explore/search?tab=default_tab&amp;search_scope=EVERYTHING&amp;vid=01CRU&amp;lang=en_US&amp;offset=0&amp;query=any,contains,991001915589702656","Catalog Record")</f>
        <v/>
      </c>
      <c r="AV3604">
        <f>HYPERLINK("http://www.worldcat.org/oclc/24175006","WorldCat Record")</f>
        <v/>
      </c>
      <c r="AW3604" t="inlineStr">
        <is>
          <t>19906391:eng</t>
        </is>
      </c>
      <c r="AX3604" t="inlineStr">
        <is>
          <t>24175006</t>
        </is>
      </c>
      <c r="AY3604" t="inlineStr">
        <is>
          <t>991001915589702656</t>
        </is>
      </c>
      <c r="AZ3604" t="inlineStr">
        <is>
          <t>991001915589702656</t>
        </is>
      </c>
      <c r="BA3604" t="inlineStr">
        <is>
          <t>2259056170002656</t>
        </is>
      </c>
      <c r="BB3604" t="inlineStr">
        <is>
          <t>BOOK</t>
        </is>
      </c>
      <c r="BD3604" t="inlineStr">
        <is>
          <t>9780521402057</t>
        </is>
      </c>
      <c r="BE3604" t="inlineStr">
        <is>
          <t>32285001007870</t>
        </is>
      </c>
      <c r="BF3604" t="inlineStr">
        <is>
          <t>893866583</t>
        </is>
      </c>
    </row>
    <row r="3605">
      <c r="A3605" t="inlineStr">
        <is>
          <t>No</t>
        </is>
      </c>
      <c r="B3605" t="inlineStr">
        <is>
          <t>CURAL</t>
        </is>
      </c>
      <c r="C3605" t="inlineStr">
        <is>
          <t>SHELVES</t>
        </is>
      </c>
      <c r="D3605" t="inlineStr">
        <is>
          <t>PR736 .M322 1986</t>
        </is>
      </c>
      <c r="E3605" t="inlineStr">
        <is>
          <t>0                      PR 0736000M  322         1986</t>
        </is>
      </c>
      <c r="F3605" t="inlineStr">
        <is>
          <t>The new drama, 1900-1914 : Harley Granville Barker, John Galsworthy, St John Hankin, John Masefield / Jan McDonald.</t>
        </is>
      </c>
      <c r="H3605" t="inlineStr">
        <is>
          <t>No</t>
        </is>
      </c>
      <c r="I3605" t="inlineStr">
        <is>
          <t>1</t>
        </is>
      </c>
      <c r="J3605" t="inlineStr">
        <is>
          <t>No</t>
        </is>
      </c>
      <c r="K3605" t="inlineStr">
        <is>
          <t>No</t>
        </is>
      </c>
      <c r="L3605" t="inlineStr">
        <is>
          <t>0</t>
        </is>
      </c>
      <c r="M3605" t="inlineStr">
        <is>
          <t>McDonald, Jan.</t>
        </is>
      </c>
      <c r="N3605" t="inlineStr">
        <is>
          <t>Houndmills, Basingstoke, Hampshire : Macmillan, 1986.</t>
        </is>
      </c>
      <c r="O3605" t="inlineStr">
        <is>
          <t>1986</t>
        </is>
      </c>
      <c r="Q3605" t="inlineStr">
        <is>
          <t>eng</t>
        </is>
      </c>
      <c r="R3605" t="inlineStr">
        <is>
          <t>enk</t>
        </is>
      </c>
      <c r="S3605" t="inlineStr">
        <is>
          <t>Macmillan modern dramatists</t>
        </is>
      </c>
      <c r="T3605" t="inlineStr">
        <is>
          <t xml:space="preserve">PR </t>
        </is>
      </c>
      <c r="U3605" t="n">
        <v>1</v>
      </c>
      <c r="V3605" t="n">
        <v>1</v>
      </c>
      <c r="W3605" t="inlineStr">
        <is>
          <t>1998-04-26</t>
        </is>
      </c>
      <c r="X3605" t="inlineStr">
        <is>
          <t>1998-04-26</t>
        </is>
      </c>
      <c r="Y3605" t="inlineStr">
        <is>
          <t>1991-09-10</t>
        </is>
      </c>
      <c r="Z3605" t="inlineStr">
        <is>
          <t>1991-09-10</t>
        </is>
      </c>
      <c r="AA3605" t="n">
        <v>200</v>
      </c>
      <c r="AB3605" t="n">
        <v>81</v>
      </c>
      <c r="AC3605" t="n">
        <v>202</v>
      </c>
      <c r="AD3605" t="n">
        <v>2</v>
      </c>
      <c r="AE3605" t="n">
        <v>2</v>
      </c>
      <c r="AF3605" t="n">
        <v>2</v>
      </c>
      <c r="AG3605" t="n">
        <v>8</v>
      </c>
      <c r="AH3605" t="n">
        <v>0</v>
      </c>
      <c r="AI3605" t="n">
        <v>2</v>
      </c>
      <c r="AJ3605" t="n">
        <v>1</v>
      </c>
      <c r="AK3605" t="n">
        <v>2</v>
      </c>
      <c r="AL3605" t="n">
        <v>1</v>
      </c>
      <c r="AM3605" t="n">
        <v>5</v>
      </c>
      <c r="AN3605" t="n">
        <v>1</v>
      </c>
      <c r="AO3605" t="n">
        <v>1</v>
      </c>
      <c r="AP3605" t="n">
        <v>0</v>
      </c>
      <c r="AQ3605" t="n">
        <v>0</v>
      </c>
      <c r="AR3605" t="inlineStr">
        <is>
          <t>No</t>
        </is>
      </c>
      <c r="AS3605" t="inlineStr">
        <is>
          <t>Yes</t>
        </is>
      </c>
      <c r="AT3605">
        <f>HYPERLINK("http://catalog.hathitrust.org/Record/000558156","HathiTrust Record")</f>
        <v/>
      </c>
      <c r="AU3605">
        <f>HYPERLINK("https://creighton-primo.hosted.exlibrisgroup.com/primo-explore/search?tab=default_tab&amp;search_scope=EVERYTHING&amp;vid=01CRU&amp;lang=en_US&amp;offset=0&amp;query=any,contains,991000645049702656","Catalog Record")</f>
        <v/>
      </c>
      <c r="AV3605">
        <f>HYPERLINK("http://www.worldcat.org/oclc/59089751","WorldCat Record")</f>
        <v/>
      </c>
      <c r="AW3605" t="inlineStr">
        <is>
          <t>6926059:eng</t>
        </is>
      </c>
      <c r="AX3605" t="inlineStr">
        <is>
          <t>59089751</t>
        </is>
      </c>
      <c r="AY3605" t="inlineStr">
        <is>
          <t>991000645049702656</t>
        </is>
      </c>
      <c r="AZ3605" t="inlineStr">
        <is>
          <t>991000645049702656</t>
        </is>
      </c>
      <c r="BA3605" t="inlineStr">
        <is>
          <t>2257809450002656</t>
        </is>
      </c>
      <c r="BB3605" t="inlineStr">
        <is>
          <t>BOOK</t>
        </is>
      </c>
      <c r="BD3605" t="inlineStr">
        <is>
          <t>9780333308745</t>
        </is>
      </c>
      <c r="BE3605" t="inlineStr">
        <is>
          <t>32285000755230</t>
        </is>
      </c>
      <c r="BF3605" t="inlineStr">
        <is>
          <t>893528245</t>
        </is>
      </c>
    </row>
    <row r="3606">
      <c r="A3606" t="inlineStr">
        <is>
          <t>No</t>
        </is>
      </c>
      <c r="B3606" t="inlineStr">
        <is>
          <t>CURAL</t>
        </is>
      </c>
      <c r="C3606" t="inlineStr">
        <is>
          <t>SHELVES</t>
        </is>
      </c>
      <c r="D3606" t="inlineStr">
        <is>
          <t>PR736 .M34 2000</t>
        </is>
      </c>
      <c r="E3606" t="inlineStr">
        <is>
          <t>0                      PR 0736000M  34          2000</t>
        </is>
      </c>
      <c r="F3606" t="inlineStr">
        <is>
          <t>Making plays : interviews with contemporary British dramatists and their directors / introduced, interviewed and edited by Duncan Wu.</t>
        </is>
      </c>
      <c r="H3606" t="inlineStr">
        <is>
          <t>No</t>
        </is>
      </c>
      <c r="I3606" t="inlineStr">
        <is>
          <t>1</t>
        </is>
      </c>
      <c r="J3606" t="inlineStr">
        <is>
          <t>No</t>
        </is>
      </c>
      <c r="K3606" t="inlineStr">
        <is>
          <t>No</t>
        </is>
      </c>
      <c r="L3606" t="inlineStr">
        <is>
          <t>0</t>
        </is>
      </c>
      <c r="N3606" t="inlineStr">
        <is>
          <t>New York : St. Martin's Press, 2000.</t>
        </is>
      </c>
      <c r="O3606" t="inlineStr">
        <is>
          <t>2000</t>
        </is>
      </c>
      <c r="Q3606" t="inlineStr">
        <is>
          <t>eng</t>
        </is>
      </c>
      <c r="R3606" t="inlineStr">
        <is>
          <t>nyu</t>
        </is>
      </c>
      <c r="T3606" t="inlineStr">
        <is>
          <t xml:space="preserve">PR </t>
        </is>
      </c>
      <c r="U3606" t="n">
        <v>1</v>
      </c>
      <c r="V3606" t="n">
        <v>1</v>
      </c>
      <c r="W3606" t="inlineStr">
        <is>
          <t>2001-01-24</t>
        </is>
      </c>
      <c r="X3606" t="inlineStr">
        <is>
          <t>2001-01-24</t>
        </is>
      </c>
      <c r="Y3606" t="inlineStr">
        <is>
          <t>2001-01-24</t>
        </is>
      </c>
      <c r="Z3606" t="inlineStr">
        <is>
          <t>2001-01-24</t>
        </is>
      </c>
      <c r="AA3606" t="n">
        <v>244</v>
      </c>
      <c r="AB3606" t="n">
        <v>202</v>
      </c>
      <c r="AC3606" t="n">
        <v>232</v>
      </c>
      <c r="AD3606" t="n">
        <v>2</v>
      </c>
      <c r="AE3606" t="n">
        <v>2</v>
      </c>
      <c r="AF3606" t="n">
        <v>11</v>
      </c>
      <c r="AG3606" t="n">
        <v>11</v>
      </c>
      <c r="AH3606" t="n">
        <v>3</v>
      </c>
      <c r="AI3606" t="n">
        <v>3</v>
      </c>
      <c r="AJ3606" t="n">
        <v>6</v>
      </c>
      <c r="AK3606" t="n">
        <v>6</v>
      </c>
      <c r="AL3606" t="n">
        <v>5</v>
      </c>
      <c r="AM3606" t="n">
        <v>5</v>
      </c>
      <c r="AN3606" t="n">
        <v>1</v>
      </c>
      <c r="AO3606" t="n">
        <v>1</v>
      </c>
      <c r="AP3606" t="n">
        <v>0</v>
      </c>
      <c r="AQ3606" t="n">
        <v>0</v>
      </c>
      <c r="AR3606" t="inlineStr">
        <is>
          <t>No</t>
        </is>
      </c>
      <c r="AS3606" t="inlineStr">
        <is>
          <t>No</t>
        </is>
      </c>
      <c r="AU3606">
        <f>HYPERLINK("https://creighton-primo.hosted.exlibrisgroup.com/primo-explore/search?tab=default_tab&amp;search_scope=EVERYTHING&amp;vid=01CRU&amp;lang=en_US&amp;offset=0&amp;query=any,contains,991003460959702656","Catalog Record")</f>
        <v/>
      </c>
      <c r="AV3606">
        <f>HYPERLINK("http://www.worldcat.org/oclc/43791245","WorldCat Record")</f>
        <v/>
      </c>
      <c r="AW3606" t="inlineStr">
        <is>
          <t>1362608016:eng</t>
        </is>
      </c>
      <c r="AX3606" t="inlineStr">
        <is>
          <t>43791245</t>
        </is>
      </c>
      <c r="AY3606" t="inlineStr">
        <is>
          <t>991003460959702656</t>
        </is>
      </c>
      <c r="AZ3606" t="inlineStr">
        <is>
          <t>991003460959702656</t>
        </is>
      </c>
      <c r="BA3606" t="inlineStr">
        <is>
          <t>2263326910002656</t>
        </is>
      </c>
      <c r="BB3606" t="inlineStr">
        <is>
          <t>BOOK</t>
        </is>
      </c>
      <c r="BD3606" t="inlineStr">
        <is>
          <t>9780312233716</t>
        </is>
      </c>
      <c r="BE3606" t="inlineStr">
        <is>
          <t>32285004291240</t>
        </is>
      </c>
      <c r="BF3606" t="inlineStr">
        <is>
          <t>893604806</t>
        </is>
      </c>
    </row>
    <row r="3607">
      <c r="A3607" t="inlineStr">
        <is>
          <t>No</t>
        </is>
      </c>
      <c r="B3607" t="inlineStr">
        <is>
          <t>CURAL</t>
        </is>
      </c>
      <c r="C3607" t="inlineStr">
        <is>
          <t>SHELVES</t>
        </is>
      </c>
      <c r="D3607" t="inlineStr">
        <is>
          <t>PR737 .B675 1993</t>
        </is>
      </c>
      <c r="E3607" t="inlineStr">
        <is>
          <t>0                      PR 0737000B  675         1993</t>
        </is>
      </c>
      <c r="F3607" t="inlineStr">
        <is>
          <t>British and Irish drama since 1960 / edited by James Acheson.</t>
        </is>
      </c>
      <c r="H3607" t="inlineStr">
        <is>
          <t>No</t>
        </is>
      </c>
      <c r="I3607" t="inlineStr">
        <is>
          <t>1</t>
        </is>
      </c>
      <c r="J3607" t="inlineStr">
        <is>
          <t>No</t>
        </is>
      </c>
      <c r="K3607" t="inlineStr">
        <is>
          <t>No</t>
        </is>
      </c>
      <c r="L3607" t="inlineStr">
        <is>
          <t>0</t>
        </is>
      </c>
      <c r="N3607" t="inlineStr">
        <is>
          <t>New York : St. Martin's Press, 1993.</t>
        </is>
      </c>
      <c r="O3607" t="inlineStr">
        <is>
          <t>1993</t>
        </is>
      </c>
      <c r="Q3607" t="inlineStr">
        <is>
          <t>eng</t>
        </is>
      </c>
      <c r="R3607" t="inlineStr">
        <is>
          <t>nyu</t>
        </is>
      </c>
      <c r="T3607" t="inlineStr">
        <is>
          <t xml:space="preserve">PR </t>
        </is>
      </c>
      <c r="U3607" t="n">
        <v>1</v>
      </c>
      <c r="V3607" t="n">
        <v>1</v>
      </c>
      <c r="W3607" t="inlineStr">
        <is>
          <t>1996-11-19</t>
        </is>
      </c>
      <c r="X3607" t="inlineStr">
        <is>
          <t>1996-11-19</t>
        </is>
      </c>
      <c r="Y3607" t="inlineStr">
        <is>
          <t>1994-04-14</t>
        </is>
      </c>
      <c r="Z3607" t="inlineStr">
        <is>
          <t>1994-04-14</t>
        </is>
      </c>
      <c r="AA3607" t="n">
        <v>275</v>
      </c>
      <c r="AB3607" t="n">
        <v>217</v>
      </c>
      <c r="AC3607" t="n">
        <v>236</v>
      </c>
      <c r="AD3607" t="n">
        <v>2</v>
      </c>
      <c r="AE3607" t="n">
        <v>2</v>
      </c>
      <c r="AF3607" t="n">
        <v>14</v>
      </c>
      <c r="AG3607" t="n">
        <v>14</v>
      </c>
      <c r="AH3607" t="n">
        <v>6</v>
      </c>
      <c r="AI3607" t="n">
        <v>6</v>
      </c>
      <c r="AJ3607" t="n">
        <v>4</v>
      </c>
      <c r="AK3607" t="n">
        <v>4</v>
      </c>
      <c r="AL3607" t="n">
        <v>7</v>
      </c>
      <c r="AM3607" t="n">
        <v>7</v>
      </c>
      <c r="AN3607" t="n">
        <v>1</v>
      </c>
      <c r="AO3607" t="n">
        <v>1</v>
      </c>
      <c r="AP3607" t="n">
        <v>0</v>
      </c>
      <c r="AQ3607" t="n">
        <v>0</v>
      </c>
      <c r="AR3607" t="inlineStr">
        <is>
          <t>No</t>
        </is>
      </c>
      <c r="AS3607" t="inlineStr">
        <is>
          <t>No</t>
        </is>
      </c>
      <c r="AU3607">
        <f>HYPERLINK("https://creighton-primo.hosted.exlibrisgroup.com/primo-explore/search?tab=default_tab&amp;search_scope=EVERYTHING&amp;vid=01CRU&amp;lang=en_US&amp;offset=0&amp;query=any,contains,991002125519702656","Catalog Record")</f>
        <v/>
      </c>
      <c r="AV3607">
        <f>HYPERLINK("http://www.worldcat.org/oclc/27225525","WorldCat Record")</f>
        <v/>
      </c>
      <c r="AW3607" t="inlineStr">
        <is>
          <t>3769103516:eng</t>
        </is>
      </c>
      <c r="AX3607" t="inlineStr">
        <is>
          <t>27225525</t>
        </is>
      </c>
      <c r="AY3607" t="inlineStr">
        <is>
          <t>991002125519702656</t>
        </is>
      </c>
      <c r="AZ3607" t="inlineStr">
        <is>
          <t>991002125519702656</t>
        </is>
      </c>
      <c r="BA3607" t="inlineStr">
        <is>
          <t>2266706290002656</t>
        </is>
      </c>
      <c r="BB3607" t="inlineStr">
        <is>
          <t>BOOK</t>
        </is>
      </c>
      <c r="BD3607" t="inlineStr">
        <is>
          <t>9780312080464</t>
        </is>
      </c>
      <c r="BE3607" t="inlineStr">
        <is>
          <t>32285001875961</t>
        </is>
      </c>
      <c r="BF3607" t="inlineStr">
        <is>
          <t>893250845</t>
        </is>
      </c>
    </row>
    <row r="3608">
      <c r="A3608" t="inlineStr">
        <is>
          <t>No</t>
        </is>
      </c>
      <c r="B3608" t="inlineStr">
        <is>
          <t>CURAL</t>
        </is>
      </c>
      <c r="C3608" t="inlineStr">
        <is>
          <t>SHELVES</t>
        </is>
      </c>
      <c r="D3608" t="inlineStr">
        <is>
          <t>PR737 .C66</t>
        </is>
      </c>
      <c r="E3608" t="inlineStr">
        <is>
          <t>0                      PR 0737000C  66</t>
        </is>
      </c>
      <c r="F3608" t="inlineStr">
        <is>
          <t>Contemporary English drama / associate editor, C.W.E. Bigsby.</t>
        </is>
      </c>
      <c r="H3608" t="inlineStr">
        <is>
          <t>No</t>
        </is>
      </c>
      <c r="I3608" t="inlineStr">
        <is>
          <t>1</t>
        </is>
      </c>
      <c r="J3608" t="inlineStr">
        <is>
          <t>No</t>
        </is>
      </c>
      <c r="K3608" t="inlineStr">
        <is>
          <t>No</t>
        </is>
      </c>
      <c r="L3608" t="inlineStr">
        <is>
          <t>0</t>
        </is>
      </c>
      <c r="N3608" t="inlineStr">
        <is>
          <t>New York : Holmes &amp; Meier Pub., Inc., 1981.</t>
        </is>
      </c>
      <c r="O3608" t="inlineStr">
        <is>
          <t>1981</t>
        </is>
      </c>
      <c r="Q3608" t="inlineStr">
        <is>
          <t>eng</t>
        </is>
      </c>
      <c r="R3608" t="inlineStr">
        <is>
          <t>nyu</t>
        </is>
      </c>
      <c r="S3608" t="inlineStr">
        <is>
          <t>Stratford-upon-Avon studies ; 19</t>
        </is>
      </c>
      <c r="T3608" t="inlineStr">
        <is>
          <t xml:space="preserve">PR </t>
        </is>
      </c>
      <c r="U3608" t="n">
        <v>1</v>
      </c>
      <c r="V3608" t="n">
        <v>1</v>
      </c>
      <c r="W3608" t="inlineStr">
        <is>
          <t>1992-08-31</t>
        </is>
      </c>
      <c r="X3608" t="inlineStr">
        <is>
          <t>1992-08-31</t>
        </is>
      </c>
      <c r="Y3608" t="inlineStr">
        <is>
          <t>1991-09-10</t>
        </is>
      </c>
      <c r="Z3608" t="inlineStr">
        <is>
          <t>1991-09-10</t>
        </is>
      </c>
      <c r="AA3608" t="n">
        <v>419</v>
      </c>
      <c r="AB3608" t="n">
        <v>379</v>
      </c>
      <c r="AC3608" t="n">
        <v>490</v>
      </c>
      <c r="AD3608" t="n">
        <v>3</v>
      </c>
      <c r="AE3608" t="n">
        <v>5</v>
      </c>
      <c r="AF3608" t="n">
        <v>18</v>
      </c>
      <c r="AG3608" t="n">
        <v>27</v>
      </c>
      <c r="AH3608" t="n">
        <v>10</v>
      </c>
      <c r="AI3608" t="n">
        <v>12</v>
      </c>
      <c r="AJ3608" t="n">
        <v>3</v>
      </c>
      <c r="AK3608" t="n">
        <v>5</v>
      </c>
      <c r="AL3608" t="n">
        <v>9</v>
      </c>
      <c r="AM3608" t="n">
        <v>14</v>
      </c>
      <c r="AN3608" t="n">
        <v>2</v>
      </c>
      <c r="AO3608" t="n">
        <v>4</v>
      </c>
      <c r="AP3608" t="n">
        <v>0</v>
      </c>
      <c r="AQ3608" t="n">
        <v>0</v>
      </c>
      <c r="AR3608" t="inlineStr">
        <is>
          <t>No</t>
        </is>
      </c>
      <c r="AS3608" t="inlineStr">
        <is>
          <t>Yes</t>
        </is>
      </c>
      <c r="AT3608">
        <f>HYPERLINK("http://catalog.hathitrust.org/Record/000764064","HathiTrust Record")</f>
        <v/>
      </c>
      <c r="AU3608">
        <f>HYPERLINK("https://creighton-primo.hosted.exlibrisgroup.com/primo-explore/search?tab=default_tab&amp;search_scope=EVERYTHING&amp;vid=01CRU&amp;lang=en_US&amp;offset=0&amp;query=any,contains,991005206659702656","Catalog Record")</f>
        <v/>
      </c>
      <c r="AV3608">
        <f>HYPERLINK("http://www.worldcat.org/oclc/8117939","WorldCat Record")</f>
        <v/>
      </c>
      <c r="AW3608" t="inlineStr">
        <is>
          <t>54451597:eng</t>
        </is>
      </c>
      <c r="AX3608" t="inlineStr">
        <is>
          <t>8117939</t>
        </is>
      </c>
      <c r="AY3608" t="inlineStr">
        <is>
          <t>991005206659702656</t>
        </is>
      </c>
      <c r="AZ3608" t="inlineStr">
        <is>
          <t>991005206659702656</t>
        </is>
      </c>
      <c r="BA3608" t="inlineStr">
        <is>
          <t>2259234580002656</t>
        </is>
      </c>
      <c r="BB3608" t="inlineStr">
        <is>
          <t>BOOK</t>
        </is>
      </c>
      <c r="BD3608" t="inlineStr">
        <is>
          <t>9780841907164</t>
        </is>
      </c>
      <c r="BE3608" t="inlineStr">
        <is>
          <t>32285000755255</t>
        </is>
      </c>
      <c r="BF3608" t="inlineStr">
        <is>
          <t>893332595</t>
        </is>
      </c>
    </row>
    <row r="3609">
      <c r="A3609" t="inlineStr">
        <is>
          <t>No</t>
        </is>
      </c>
      <c r="B3609" t="inlineStr">
        <is>
          <t>CURAL</t>
        </is>
      </c>
      <c r="C3609" t="inlineStr">
        <is>
          <t>SHELVES</t>
        </is>
      </c>
      <c r="D3609" t="inlineStr">
        <is>
          <t>PR74 .E4</t>
        </is>
      </c>
      <c r="E3609" t="inlineStr">
        <is>
          <t>0                      PR 0074000E  4</t>
        </is>
      </c>
      <c r="F3609" t="inlineStr">
        <is>
          <t>Eighteenth-century critical essays.</t>
        </is>
      </c>
      <c r="G3609" t="inlineStr">
        <is>
          <t>V. 1</t>
        </is>
      </c>
      <c r="H3609" t="inlineStr">
        <is>
          <t>Yes</t>
        </is>
      </c>
      <c r="I3609" t="inlineStr">
        <is>
          <t>1</t>
        </is>
      </c>
      <c r="J3609" t="inlineStr">
        <is>
          <t>No</t>
        </is>
      </c>
      <c r="K3609" t="inlineStr">
        <is>
          <t>No</t>
        </is>
      </c>
      <c r="L3609" t="inlineStr">
        <is>
          <t>0</t>
        </is>
      </c>
      <c r="M3609" t="inlineStr">
        <is>
          <t>Elledge, Scott editor.</t>
        </is>
      </c>
      <c r="N3609" t="inlineStr">
        <is>
          <t>Ithaca, [N.Y.] : Cornell University Press, [1961]</t>
        </is>
      </c>
      <c r="O3609" t="inlineStr">
        <is>
          <t>1961</t>
        </is>
      </c>
      <c r="Q3609" t="inlineStr">
        <is>
          <t>eng</t>
        </is>
      </c>
      <c r="R3609" t="inlineStr">
        <is>
          <t>nyu</t>
        </is>
      </c>
      <c r="T3609" t="inlineStr">
        <is>
          <t xml:space="preserve">PR </t>
        </is>
      </c>
      <c r="U3609" t="n">
        <v>1</v>
      </c>
      <c r="V3609" t="n">
        <v>2</v>
      </c>
      <c r="W3609" t="inlineStr">
        <is>
          <t>1992-06-26</t>
        </is>
      </c>
      <c r="X3609" t="inlineStr">
        <is>
          <t>1992-06-26</t>
        </is>
      </c>
      <c r="Y3609" t="inlineStr">
        <is>
          <t>1991-12-23</t>
        </is>
      </c>
      <c r="Z3609" t="inlineStr">
        <is>
          <t>1992-01-14</t>
        </is>
      </c>
      <c r="AA3609" t="n">
        <v>971</v>
      </c>
      <c r="AB3609" t="n">
        <v>860</v>
      </c>
      <c r="AC3609" t="n">
        <v>875</v>
      </c>
      <c r="AD3609" t="n">
        <v>7</v>
      </c>
      <c r="AE3609" t="n">
        <v>7</v>
      </c>
      <c r="AF3609" t="n">
        <v>38</v>
      </c>
      <c r="AG3609" t="n">
        <v>39</v>
      </c>
      <c r="AH3609" t="n">
        <v>14</v>
      </c>
      <c r="AI3609" t="n">
        <v>15</v>
      </c>
      <c r="AJ3609" t="n">
        <v>8</v>
      </c>
      <c r="AK3609" t="n">
        <v>8</v>
      </c>
      <c r="AL3609" t="n">
        <v>18</v>
      </c>
      <c r="AM3609" t="n">
        <v>19</v>
      </c>
      <c r="AN3609" t="n">
        <v>6</v>
      </c>
      <c r="AO3609" t="n">
        <v>6</v>
      </c>
      <c r="AP3609" t="n">
        <v>0</v>
      </c>
      <c r="AQ3609" t="n">
        <v>0</v>
      </c>
      <c r="AR3609" t="inlineStr">
        <is>
          <t>No</t>
        </is>
      </c>
      <c r="AS3609" t="inlineStr">
        <is>
          <t>Yes</t>
        </is>
      </c>
      <c r="AT3609">
        <f>HYPERLINK("http://catalog.hathitrust.org/Record/001016205","HathiTrust Record")</f>
        <v/>
      </c>
      <c r="AU3609">
        <f>HYPERLINK("https://creighton-primo.hosted.exlibrisgroup.com/primo-explore/search?tab=default_tab&amp;search_scope=EVERYTHING&amp;vid=01CRU&amp;lang=en_US&amp;offset=0&amp;query=any,contains,991001731269702656","Catalog Record")</f>
        <v/>
      </c>
      <c r="AV3609">
        <f>HYPERLINK("http://www.worldcat.org/oclc/234995","WorldCat Record")</f>
        <v/>
      </c>
      <c r="AW3609" t="inlineStr">
        <is>
          <t>3372386415:eng</t>
        </is>
      </c>
      <c r="AX3609" t="inlineStr">
        <is>
          <t>234995</t>
        </is>
      </c>
      <c r="AY3609" t="inlineStr">
        <is>
          <t>991001731269702656</t>
        </is>
      </c>
      <c r="AZ3609" t="inlineStr">
        <is>
          <t>991001731269702656</t>
        </is>
      </c>
      <c r="BA3609" t="inlineStr">
        <is>
          <t>2257301990002656</t>
        </is>
      </c>
      <c r="BB3609" t="inlineStr">
        <is>
          <t>BOOK</t>
        </is>
      </c>
      <c r="BE3609" t="inlineStr">
        <is>
          <t>32285000881069</t>
        </is>
      </c>
      <c r="BF3609" t="inlineStr">
        <is>
          <t>893866434</t>
        </is>
      </c>
    </row>
    <row r="3610">
      <c r="A3610" t="inlineStr">
        <is>
          <t>No</t>
        </is>
      </c>
      <c r="B3610" t="inlineStr">
        <is>
          <t>CURAL</t>
        </is>
      </c>
      <c r="C3610" t="inlineStr">
        <is>
          <t>SHELVES</t>
        </is>
      </c>
      <c r="D3610" t="inlineStr">
        <is>
          <t>PR74 .E4</t>
        </is>
      </c>
      <c r="E3610" t="inlineStr">
        <is>
          <t>0                      PR 0074000E  4</t>
        </is>
      </c>
      <c r="F3610" t="inlineStr">
        <is>
          <t>Eighteenth-century critical essays.</t>
        </is>
      </c>
      <c r="G3610" t="inlineStr">
        <is>
          <t>V. 2</t>
        </is>
      </c>
      <c r="H3610" t="inlineStr">
        <is>
          <t>Yes</t>
        </is>
      </c>
      <c r="I3610" t="inlineStr">
        <is>
          <t>1</t>
        </is>
      </c>
      <c r="J3610" t="inlineStr">
        <is>
          <t>No</t>
        </is>
      </c>
      <c r="K3610" t="inlineStr">
        <is>
          <t>No</t>
        </is>
      </c>
      <c r="L3610" t="inlineStr">
        <is>
          <t>0</t>
        </is>
      </c>
      <c r="M3610" t="inlineStr">
        <is>
          <t>Elledge, Scott editor.</t>
        </is>
      </c>
      <c r="N3610" t="inlineStr">
        <is>
          <t>Ithaca, [N.Y.] : Cornell University Press, [1961]</t>
        </is>
      </c>
      <c r="O3610" t="inlineStr">
        <is>
          <t>1961</t>
        </is>
      </c>
      <c r="Q3610" t="inlineStr">
        <is>
          <t>eng</t>
        </is>
      </c>
      <c r="R3610" t="inlineStr">
        <is>
          <t>nyu</t>
        </is>
      </c>
      <c r="T3610" t="inlineStr">
        <is>
          <t xml:space="preserve">PR </t>
        </is>
      </c>
      <c r="U3610" t="n">
        <v>1</v>
      </c>
      <c r="V3610" t="n">
        <v>2</v>
      </c>
      <c r="W3610" t="inlineStr">
        <is>
          <t>1992-06-26</t>
        </is>
      </c>
      <c r="X3610" t="inlineStr">
        <is>
          <t>1992-06-26</t>
        </is>
      </c>
      <c r="Y3610" t="inlineStr">
        <is>
          <t>1992-01-14</t>
        </is>
      </c>
      <c r="Z3610" t="inlineStr">
        <is>
          <t>1992-01-14</t>
        </is>
      </c>
      <c r="AA3610" t="n">
        <v>971</v>
      </c>
      <c r="AB3610" t="n">
        <v>860</v>
      </c>
      <c r="AC3610" t="n">
        <v>875</v>
      </c>
      <c r="AD3610" t="n">
        <v>7</v>
      </c>
      <c r="AE3610" t="n">
        <v>7</v>
      </c>
      <c r="AF3610" t="n">
        <v>38</v>
      </c>
      <c r="AG3610" t="n">
        <v>39</v>
      </c>
      <c r="AH3610" t="n">
        <v>14</v>
      </c>
      <c r="AI3610" t="n">
        <v>15</v>
      </c>
      <c r="AJ3610" t="n">
        <v>8</v>
      </c>
      <c r="AK3610" t="n">
        <v>8</v>
      </c>
      <c r="AL3610" t="n">
        <v>18</v>
      </c>
      <c r="AM3610" t="n">
        <v>19</v>
      </c>
      <c r="AN3610" t="n">
        <v>6</v>
      </c>
      <c r="AO3610" t="n">
        <v>6</v>
      </c>
      <c r="AP3610" t="n">
        <v>0</v>
      </c>
      <c r="AQ3610" t="n">
        <v>0</v>
      </c>
      <c r="AR3610" t="inlineStr">
        <is>
          <t>No</t>
        </is>
      </c>
      <c r="AS3610" t="inlineStr">
        <is>
          <t>Yes</t>
        </is>
      </c>
      <c r="AT3610">
        <f>HYPERLINK("http://catalog.hathitrust.org/Record/001016205","HathiTrust Record")</f>
        <v/>
      </c>
      <c r="AU3610">
        <f>HYPERLINK("https://creighton-primo.hosted.exlibrisgroup.com/primo-explore/search?tab=default_tab&amp;search_scope=EVERYTHING&amp;vid=01CRU&amp;lang=en_US&amp;offset=0&amp;query=any,contains,991001731269702656","Catalog Record")</f>
        <v/>
      </c>
      <c r="AV3610">
        <f>HYPERLINK("http://www.worldcat.org/oclc/234995","WorldCat Record")</f>
        <v/>
      </c>
      <c r="AW3610" t="inlineStr">
        <is>
          <t>3372386415:eng</t>
        </is>
      </c>
      <c r="AX3610" t="inlineStr">
        <is>
          <t>234995</t>
        </is>
      </c>
      <c r="AY3610" t="inlineStr">
        <is>
          <t>991001731269702656</t>
        </is>
      </c>
      <c r="AZ3610" t="inlineStr">
        <is>
          <t>991001731269702656</t>
        </is>
      </c>
      <c r="BA3610" t="inlineStr">
        <is>
          <t>2257301990002656</t>
        </is>
      </c>
      <c r="BB3610" t="inlineStr">
        <is>
          <t>BOOK</t>
        </is>
      </c>
      <c r="BE3610" t="inlineStr">
        <is>
          <t>32285000913599</t>
        </is>
      </c>
      <c r="BF3610" t="inlineStr">
        <is>
          <t>893898009</t>
        </is>
      </c>
    </row>
    <row r="3611">
      <c r="A3611" t="inlineStr">
        <is>
          <t>No</t>
        </is>
      </c>
      <c r="B3611" t="inlineStr">
        <is>
          <t>CURAL</t>
        </is>
      </c>
      <c r="C3611" t="inlineStr">
        <is>
          <t>SHELVES</t>
        </is>
      </c>
      <c r="D3611" t="inlineStr">
        <is>
          <t>PR74 .H9</t>
        </is>
      </c>
      <c r="E3611" t="inlineStr">
        <is>
          <t>0                      PR 0074000H  9</t>
        </is>
      </c>
      <c r="F3611" t="inlineStr">
        <is>
          <t>English literary criticism : restoration and 18th century.</t>
        </is>
      </c>
      <c r="H3611" t="inlineStr">
        <is>
          <t>No</t>
        </is>
      </c>
      <c r="I3611" t="inlineStr">
        <is>
          <t>1</t>
        </is>
      </c>
      <c r="J3611" t="inlineStr">
        <is>
          <t>No</t>
        </is>
      </c>
      <c r="K3611" t="inlineStr">
        <is>
          <t>No</t>
        </is>
      </c>
      <c r="L3611" t="inlineStr">
        <is>
          <t>0</t>
        </is>
      </c>
      <c r="M3611" t="inlineStr">
        <is>
          <t>Hynes, Samuel, 1924-2019 editor.</t>
        </is>
      </c>
      <c r="N3611" t="inlineStr">
        <is>
          <t>New York : Appleton-Century-Crofts, [1963]</t>
        </is>
      </c>
      <c r="O3611" t="inlineStr">
        <is>
          <t>1963</t>
        </is>
      </c>
      <c r="Q3611" t="inlineStr">
        <is>
          <t>eng</t>
        </is>
      </c>
      <c r="R3611" t="inlineStr">
        <is>
          <t xml:space="preserve">xx </t>
        </is>
      </c>
      <c r="S3611" t="inlineStr">
        <is>
          <t>Goldentree books</t>
        </is>
      </c>
      <c r="T3611" t="inlineStr">
        <is>
          <t xml:space="preserve">PR </t>
        </is>
      </c>
      <c r="U3611" t="n">
        <v>0</v>
      </c>
      <c r="V3611" t="n">
        <v>0</v>
      </c>
      <c r="W3611" t="inlineStr">
        <is>
          <t>2008-09-12</t>
        </is>
      </c>
      <c r="X3611" t="inlineStr">
        <is>
          <t>2008-09-12</t>
        </is>
      </c>
      <c r="Y3611" t="inlineStr">
        <is>
          <t>1992-01-28</t>
        </is>
      </c>
      <c r="Z3611" t="inlineStr">
        <is>
          <t>1992-01-28</t>
        </is>
      </c>
      <c r="AA3611" t="n">
        <v>712</v>
      </c>
      <c r="AB3611" t="n">
        <v>651</v>
      </c>
      <c r="AC3611" t="n">
        <v>672</v>
      </c>
      <c r="AD3611" t="n">
        <v>5</v>
      </c>
      <c r="AE3611" t="n">
        <v>5</v>
      </c>
      <c r="AF3611" t="n">
        <v>33</v>
      </c>
      <c r="AG3611" t="n">
        <v>33</v>
      </c>
      <c r="AH3611" t="n">
        <v>15</v>
      </c>
      <c r="AI3611" t="n">
        <v>15</v>
      </c>
      <c r="AJ3611" t="n">
        <v>7</v>
      </c>
      <c r="AK3611" t="n">
        <v>7</v>
      </c>
      <c r="AL3611" t="n">
        <v>15</v>
      </c>
      <c r="AM3611" t="n">
        <v>15</v>
      </c>
      <c r="AN3611" t="n">
        <v>4</v>
      </c>
      <c r="AO3611" t="n">
        <v>4</v>
      </c>
      <c r="AP3611" t="n">
        <v>0</v>
      </c>
      <c r="AQ3611" t="n">
        <v>0</v>
      </c>
      <c r="AR3611" t="inlineStr">
        <is>
          <t>Yes</t>
        </is>
      </c>
      <c r="AS3611" t="inlineStr">
        <is>
          <t>No</t>
        </is>
      </c>
      <c r="AT3611">
        <f>HYPERLINK("http://catalog.hathitrust.org/Record/001435743","HathiTrust Record")</f>
        <v/>
      </c>
      <c r="AU3611">
        <f>HYPERLINK("https://creighton-primo.hosted.exlibrisgroup.com/primo-explore/search?tab=default_tab&amp;search_scope=EVERYTHING&amp;vid=01CRU&amp;lang=en_US&amp;offset=0&amp;query=any,contains,991002436859702656","Catalog Record")</f>
        <v/>
      </c>
      <c r="AV3611">
        <f>HYPERLINK("http://www.worldcat.org/oclc/349091","WorldCat Record")</f>
        <v/>
      </c>
      <c r="AW3611" t="inlineStr">
        <is>
          <t>4916151148:eng</t>
        </is>
      </c>
      <c r="AX3611" t="inlineStr">
        <is>
          <t>349091</t>
        </is>
      </c>
      <c r="AY3611" t="inlineStr">
        <is>
          <t>991002436859702656</t>
        </is>
      </c>
      <c r="AZ3611" t="inlineStr">
        <is>
          <t>991002436859702656</t>
        </is>
      </c>
      <c r="BA3611" t="inlineStr">
        <is>
          <t>2267467910002656</t>
        </is>
      </c>
      <c r="BB3611" t="inlineStr">
        <is>
          <t>BOOK</t>
        </is>
      </c>
      <c r="BE3611" t="inlineStr">
        <is>
          <t>32285000919398</t>
        </is>
      </c>
      <c r="BF3611" t="inlineStr">
        <is>
          <t>893251224</t>
        </is>
      </c>
    </row>
    <row r="3612">
      <c r="A3612" t="inlineStr">
        <is>
          <t>No</t>
        </is>
      </c>
      <c r="B3612" t="inlineStr">
        <is>
          <t>CURAL</t>
        </is>
      </c>
      <c r="C3612" t="inlineStr">
        <is>
          <t>SHELVES</t>
        </is>
      </c>
      <c r="D3612" t="inlineStr">
        <is>
          <t>PR756.B56 C66 1991</t>
        </is>
      </c>
      <c r="E3612" t="inlineStr">
        <is>
          <t>0                      PR 0756000B  56                 C  66          1991</t>
        </is>
      </c>
      <c r="F3612" t="inlineStr">
        <is>
          <t>Contesting the subject : essays in the postmodern theory and practice of biography and biographical criticism / edited by William H. Epstein.</t>
        </is>
      </c>
      <c r="H3612" t="inlineStr">
        <is>
          <t>No</t>
        </is>
      </c>
      <c r="I3612" t="inlineStr">
        <is>
          <t>1</t>
        </is>
      </c>
      <c r="J3612" t="inlineStr">
        <is>
          <t>No</t>
        </is>
      </c>
      <c r="K3612" t="inlineStr">
        <is>
          <t>No</t>
        </is>
      </c>
      <c r="L3612" t="inlineStr">
        <is>
          <t>0</t>
        </is>
      </c>
      <c r="N3612" t="inlineStr">
        <is>
          <t>West Lafayette, Ind. : Purdue University Press, c1991.</t>
        </is>
      </c>
      <c r="O3612" t="inlineStr">
        <is>
          <t>1991</t>
        </is>
      </c>
      <c r="Q3612" t="inlineStr">
        <is>
          <t>eng</t>
        </is>
      </c>
      <c r="R3612" t="inlineStr">
        <is>
          <t>inu</t>
        </is>
      </c>
      <c r="S3612" t="inlineStr">
        <is>
          <t>The Theory and practice of biography and biographical criticism ; v. 1</t>
        </is>
      </c>
      <c r="T3612" t="inlineStr">
        <is>
          <t xml:space="preserve">PR </t>
        </is>
      </c>
      <c r="U3612" t="n">
        <v>6</v>
      </c>
      <c r="V3612" t="n">
        <v>6</v>
      </c>
      <c r="W3612" t="inlineStr">
        <is>
          <t>2008-04-04</t>
        </is>
      </c>
      <c r="X3612" t="inlineStr">
        <is>
          <t>2008-04-04</t>
        </is>
      </c>
      <c r="Y3612" t="inlineStr">
        <is>
          <t>2005-09-19</t>
        </is>
      </c>
      <c r="Z3612" t="inlineStr">
        <is>
          <t>2005-09-19</t>
        </is>
      </c>
      <c r="AA3612" t="n">
        <v>353</v>
      </c>
      <c r="AB3612" t="n">
        <v>281</v>
      </c>
      <c r="AC3612" t="n">
        <v>288</v>
      </c>
      <c r="AD3612" t="n">
        <v>3</v>
      </c>
      <c r="AE3612" t="n">
        <v>3</v>
      </c>
      <c r="AF3612" t="n">
        <v>12</v>
      </c>
      <c r="AG3612" t="n">
        <v>13</v>
      </c>
      <c r="AH3612" t="n">
        <v>2</v>
      </c>
      <c r="AI3612" t="n">
        <v>3</v>
      </c>
      <c r="AJ3612" t="n">
        <v>2</v>
      </c>
      <c r="AK3612" t="n">
        <v>2</v>
      </c>
      <c r="AL3612" t="n">
        <v>8</v>
      </c>
      <c r="AM3612" t="n">
        <v>9</v>
      </c>
      <c r="AN3612" t="n">
        <v>2</v>
      </c>
      <c r="AO3612" t="n">
        <v>2</v>
      </c>
      <c r="AP3612" t="n">
        <v>0</v>
      </c>
      <c r="AQ3612" t="n">
        <v>0</v>
      </c>
      <c r="AR3612" t="inlineStr">
        <is>
          <t>No</t>
        </is>
      </c>
      <c r="AS3612" t="inlineStr">
        <is>
          <t>Yes</t>
        </is>
      </c>
      <c r="AT3612">
        <f>HYPERLINK("http://catalog.hathitrust.org/Record/002568257","HathiTrust Record")</f>
        <v/>
      </c>
      <c r="AU3612">
        <f>HYPERLINK("https://creighton-primo.hosted.exlibrisgroup.com/primo-explore/search?tab=default_tab&amp;search_scope=EVERYTHING&amp;vid=01CRU&amp;lang=en_US&amp;offset=0&amp;query=any,contains,991004654459702656","Catalog Record")</f>
        <v/>
      </c>
      <c r="AV3612">
        <f>HYPERLINK("http://www.worldcat.org/oclc/23690053","WorldCat Record")</f>
        <v/>
      </c>
      <c r="AW3612" t="inlineStr">
        <is>
          <t>889780256:eng</t>
        </is>
      </c>
      <c r="AX3612" t="inlineStr">
        <is>
          <t>23690053</t>
        </is>
      </c>
      <c r="AY3612" t="inlineStr">
        <is>
          <t>991004654459702656</t>
        </is>
      </c>
      <c r="AZ3612" t="inlineStr">
        <is>
          <t>991004654459702656</t>
        </is>
      </c>
      <c r="BA3612" t="inlineStr">
        <is>
          <t>2258345970002656</t>
        </is>
      </c>
      <c r="BB3612" t="inlineStr">
        <is>
          <t>BOOK</t>
        </is>
      </c>
      <c r="BD3612" t="inlineStr">
        <is>
          <t>9781557530189</t>
        </is>
      </c>
      <c r="BE3612" t="inlineStr">
        <is>
          <t>32285005084321</t>
        </is>
      </c>
      <c r="BF3612" t="inlineStr">
        <is>
          <t>893889012</t>
        </is>
      </c>
    </row>
    <row r="3613">
      <c r="A3613" t="inlineStr">
        <is>
          <t>No</t>
        </is>
      </c>
      <c r="B3613" t="inlineStr">
        <is>
          <t>CURAL</t>
        </is>
      </c>
      <c r="C3613" t="inlineStr">
        <is>
          <t>SHELVES</t>
        </is>
      </c>
      <c r="D3613" t="inlineStr">
        <is>
          <t>PR756.B56 E67 1987</t>
        </is>
      </c>
      <c r="E3613" t="inlineStr">
        <is>
          <t>0                      PR 0756000B  56                 E  67          1987</t>
        </is>
      </c>
      <c r="F3613" t="inlineStr">
        <is>
          <t>Recognizing biography / William H. Epstein.</t>
        </is>
      </c>
      <c r="H3613" t="inlineStr">
        <is>
          <t>No</t>
        </is>
      </c>
      <c r="I3613" t="inlineStr">
        <is>
          <t>1</t>
        </is>
      </c>
      <c r="J3613" t="inlineStr">
        <is>
          <t>No</t>
        </is>
      </c>
      <c r="K3613" t="inlineStr">
        <is>
          <t>No</t>
        </is>
      </c>
      <c r="L3613" t="inlineStr">
        <is>
          <t>0</t>
        </is>
      </c>
      <c r="M3613" t="inlineStr">
        <is>
          <t>Epstein, William H.</t>
        </is>
      </c>
      <c r="N3613" t="inlineStr">
        <is>
          <t>Philadelphia : University of Pennsylvania Press, c1987.</t>
        </is>
      </c>
      <c r="O3613" t="inlineStr">
        <is>
          <t>1987</t>
        </is>
      </c>
      <c r="Q3613" t="inlineStr">
        <is>
          <t>eng</t>
        </is>
      </c>
      <c r="R3613" t="inlineStr">
        <is>
          <t>pau</t>
        </is>
      </c>
      <c r="T3613" t="inlineStr">
        <is>
          <t xml:space="preserve">PR </t>
        </is>
      </c>
      <c r="U3613" t="n">
        <v>1</v>
      </c>
      <c r="V3613" t="n">
        <v>1</v>
      </c>
      <c r="W3613" t="inlineStr">
        <is>
          <t>2008-05-14</t>
        </is>
      </c>
      <c r="X3613" t="inlineStr">
        <is>
          <t>2008-05-14</t>
        </is>
      </c>
      <c r="Y3613" t="inlineStr">
        <is>
          <t>2008-05-14</t>
        </is>
      </c>
      <c r="Z3613" t="inlineStr">
        <is>
          <t>2008-05-14</t>
        </is>
      </c>
      <c r="AA3613" t="n">
        <v>403</v>
      </c>
      <c r="AB3613" t="n">
        <v>335</v>
      </c>
      <c r="AC3613" t="n">
        <v>642</v>
      </c>
      <c r="AD3613" t="n">
        <v>3</v>
      </c>
      <c r="AE3613" t="n">
        <v>3</v>
      </c>
      <c r="AF3613" t="n">
        <v>18</v>
      </c>
      <c r="AG3613" t="n">
        <v>29</v>
      </c>
      <c r="AH3613" t="n">
        <v>6</v>
      </c>
      <c r="AI3613" t="n">
        <v>14</v>
      </c>
      <c r="AJ3613" t="n">
        <v>6</v>
      </c>
      <c r="AK3613" t="n">
        <v>9</v>
      </c>
      <c r="AL3613" t="n">
        <v>9</v>
      </c>
      <c r="AM3613" t="n">
        <v>13</v>
      </c>
      <c r="AN3613" t="n">
        <v>2</v>
      </c>
      <c r="AO3613" t="n">
        <v>2</v>
      </c>
      <c r="AP3613" t="n">
        <v>0</v>
      </c>
      <c r="AQ3613" t="n">
        <v>0</v>
      </c>
      <c r="AR3613" t="inlineStr">
        <is>
          <t>No</t>
        </is>
      </c>
      <c r="AS3613" t="inlineStr">
        <is>
          <t>Yes</t>
        </is>
      </c>
      <c r="AT3613">
        <f>HYPERLINK("http://catalog.hathitrust.org/Record/000866159","HathiTrust Record")</f>
        <v/>
      </c>
      <c r="AU3613">
        <f>HYPERLINK("https://creighton-primo.hosted.exlibrisgroup.com/primo-explore/search?tab=default_tab&amp;search_scope=EVERYTHING&amp;vid=01CRU&amp;lang=en_US&amp;offset=0&amp;query=any,contains,991005220709702656","Catalog Record")</f>
        <v/>
      </c>
      <c r="AV3613">
        <f>HYPERLINK("http://www.worldcat.org/oclc/16276299","WorldCat Record")</f>
        <v/>
      </c>
      <c r="AW3613" t="inlineStr">
        <is>
          <t>1011077:eng</t>
        </is>
      </c>
      <c r="AX3613" t="inlineStr">
        <is>
          <t>16276299</t>
        </is>
      </c>
      <c r="AY3613" t="inlineStr">
        <is>
          <t>991005220709702656</t>
        </is>
      </c>
      <c r="AZ3613" t="inlineStr">
        <is>
          <t>991005220709702656</t>
        </is>
      </c>
      <c r="BA3613" t="inlineStr">
        <is>
          <t>2261994010002656</t>
        </is>
      </c>
      <c r="BB3613" t="inlineStr">
        <is>
          <t>BOOK</t>
        </is>
      </c>
      <c r="BD3613" t="inlineStr">
        <is>
          <t>9780812280814</t>
        </is>
      </c>
      <c r="BE3613" t="inlineStr">
        <is>
          <t>32285005407878</t>
        </is>
      </c>
      <c r="BF3613" t="inlineStr">
        <is>
          <t>893607028</t>
        </is>
      </c>
    </row>
    <row r="3614">
      <c r="A3614" t="inlineStr">
        <is>
          <t>No</t>
        </is>
      </c>
      <c r="B3614" t="inlineStr">
        <is>
          <t>CURAL</t>
        </is>
      </c>
      <c r="C3614" t="inlineStr">
        <is>
          <t>SHELVES</t>
        </is>
      </c>
      <c r="D3614" t="inlineStr">
        <is>
          <t>PR756.S62 C6</t>
        </is>
      </c>
      <c r="E3614" t="inlineStr">
        <is>
          <t>0                      PR 0756000S  62                 C  6</t>
        </is>
      </c>
      <c r="F3614" t="inlineStr">
        <is>
          <t>Coleridge to Catch-22 : images of society / John Colmer. --</t>
        </is>
      </c>
      <c r="H3614" t="inlineStr">
        <is>
          <t>No</t>
        </is>
      </c>
      <c r="I3614" t="inlineStr">
        <is>
          <t>1</t>
        </is>
      </c>
      <c r="J3614" t="inlineStr">
        <is>
          <t>No</t>
        </is>
      </c>
      <c r="K3614" t="inlineStr">
        <is>
          <t>No</t>
        </is>
      </c>
      <c r="L3614" t="inlineStr">
        <is>
          <t>0</t>
        </is>
      </c>
      <c r="M3614" t="inlineStr">
        <is>
          <t>Colmer, John.</t>
        </is>
      </c>
      <c r="N3614" t="inlineStr">
        <is>
          <t>New York : St. Martin's Press, [1978]</t>
        </is>
      </c>
      <c r="O3614" t="inlineStr">
        <is>
          <t>1978</t>
        </is>
      </c>
      <c r="Q3614" t="inlineStr">
        <is>
          <t>eng</t>
        </is>
      </c>
      <c r="R3614" t="inlineStr">
        <is>
          <t>nyu</t>
        </is>
      </c>
      <c r="T3614" t="inlineStr">
        <is>
          <t xml:space="preserve">PR </t>
        </is>
      </c>
      <c r="U3614" t="n">
        <v>2</v>
      </c>
      <c r="V3614" t="n">
        <v>2</v>
      </c>
      <c r="W3614" t="inlineStr">
        <is>
          <t>2001-07-01</t>
        </is>
      </c>
      <c r="X3614" t="inlineStr">
        <is>
          <t>2001-07-01</t>
        </is>
      </c>
      <c r="Y3614" t="inlineStr">
        <is>
          <t>1991-09-10</t>
        </is>
      </c>
      <c r="Z3614" t="inlineStr">
        <is>
          <t>1991-09-10</t>
        </is>
      </c>
      <c r="AA3614" t="n">
        <v>529</v>
      </c>
      <c r="AB3614" t="n">
        <v>507</v>
      </c>
      <c r="AC3614" t="n">
        <v>711</v>
      </c>
      <c r="AD3614" t="n">
        <v>4</v>
      </c>
      <c r="AE3614" t="n">
        <v>4</v>
      </c>
      <c r="AF3614" t="n">
        <v>15</v>
      </c>
      <c r="AG3614" t="n">
        <v>25</v>
      </c>
      <c r="AH3614" t="n">
        <v>6</v>
      </c>
      <c r="AI3614" t="n">
        <v>11</v>
      </c>
      <c r="AJ3614" t="n">
        <v>5</v>
      </c>
      <c r="AK3614" t="n">
        <v>8</v>
      </c>
      <c r="AL3614" t="n">
        <v>3</v>
      </c>
      <c r="AM3614" t="n">
        <v>9</v>
      </c>
      <c r="AN3614" t="n">
        <v>3</v>
      </c>
      <c r="AO3614" t="n">
        <v>3</v>
      </c>
      <c r="AP3614" t="n">
        <v>0</v>
      </c>
      <c r="AQ3614" t="n">
        <v>0</v>
      </c>
      <c r="AR3614" t="inlineStr">
        <is>
          <t>No</t>
        </is>
      </c>
      <c r="AS3614" t="inlineStr">
        <is>
          <t>No</t>
        </is>
      </c>
      <c r="AU3614">
        <f>HYPERLINK("https://creighton-primo.hosted.exlibrisgroup.com/primo-explore/search?tab=default_tab&amp;search_scope=EVERYTHING&amp;vid=01CRU&amp;lang=en_US&amp;offset=0&amp;query=any,contains,991004454539702656","Catalog Record")</f>
        <v/>
      </c>
      <c r="AV3614">
        <f>HYPERLINK("http://www.worldcat.org/oclc/3517120","WorldCat Record")</f>
        <v/>
      </c>
      <c r="AW3614" t="inlineStr">
        <is>
          <t>10714362:eng</t>
        </is>
      </c>
      <c r="AX3614" t="inlineStr">
        <is>
          <t>3517120</t>
        </is>
      </c>
      <c r="AY3614" t="inlineStr">
        <is>
          <t>991004454539702656</t>
        </is>
      </c>
      <c r="AZ3614" t="inlineStr">
        <is>
          <t>991004454539702656</t>
        </is>
      </c>
      <c r="BA3614" t="inlineStr">
        <is>
          <t>2271005990002656</t>
        </is>
      </c>
      <c r="BB3614" t="inlineStr">
        <is>
          <t>BOOK</t>
        </is>
      </c>
      <c r="BD3614" t="inlineStr">
        <is>
          <t>9780312147204</t>
        </is>
      </c>
      <c r="BE3614" t="inlineStr">
        <is>
          <t>32285000755362</t>
        </is>
      </c>
      <c r="BF3614" t="inlineStr">
        <is>
          <t>893700266</t>
        </is>
      </c>
    </row>
    <row r="3615">
      <c r="A3615" t="inlineStr">
        <is>
          <t>No</t>
        </is>
      </c>
      <c r="B3615" t="inlineStr">
        <is>
          <t>CURAL</t>
        </is>
      </c>
      <c r="C3615" t="inlineStr">
        <is>
          <t>SHELVES</t>
        </is>
      </c>
      <c r="D3615" t="inlineStr">
        <is>
          <t>PR756.U86 H6 1987</t>
        </is>
      </c>
      <c r="E3615" t="inlineStr">
        <is>
          <t>0                      PR 0756000U  86                 H  6           1987</t>
        </is>
      </c>
      <c r="F3615" t="inlineStr">
        <is>
          <t>A rational millennium : Puritan utopias of seventeenth-century England and America / James Holstun.</t>
        </is>
      </c>
      <c r="H3615" t="inlineStr">
        <is>
          <t>No</t>
        </is>
      </c>
      <c r="I3615" t="inlineStr">
        <is>
          <t>1</t>
        </is>
      </c>
      <c r="J3615" t="inlineStr">
        <is>
          <t>No</t>
        </is>
      </c>
      <c r="K3615" t="inlineStr">
        <is>
          <t>No</t>
        </is>
      </c>
      <c r="L3615" t="inlineStr">
        <is>
          <t>0</t>
        </is>
      </c>
      <c r="M3615" t="inlineStr">
        <is>
          <t>Holstun, James.</t>
        </is>
      </c>
      <c r="N3615" t="inlineStr">
        <is>
          <t>New York : Oxford University Press, 1987.</t>
        </is>
      </c>
      <c r="O3615" t="inlineStr">
        <is>
          <t>1987</t>
        </is>
      </c>
      <c r="Q3615" t="inlineStr">
        <is>
          <t>eng</t>
        </is>
      </c>
      <c r="R3615" t="inlineStr">
        <is>
          <t>nyu</t>
        </is>
      </c>
      <c r="T3615" t="inlineStr">
        <is>
          <t xml:space="preserve">PR </t>
        </is>
      </c>
      <c r="U3615" t="n">
        <v>6</v>
      </c>
      <c r="V3615" t="n">
        <v>6</v>
      </c>
      <c r="W3615" t="inlineStr">
        <is>
          <t>2006-10-09</t>
        </is>
      </c>
      <c r="X3615" t="inlineStr">
        <is>
          <t>2006-10-09</t>
        </is>
      </c>
      <c r="Y3615" t="inlineStr">
        <is>
          <t>1991-09-10</t>
        </is>
      </c>
      <c r="Z3615" t="inlineStr">
        <is>
          <t>1991-09-10</t>
        </is>
      </c>
      <c r="AA3615" t="n">
        <v>562</v>
      </c>
      <c r="AB3615" t="n">
        <v>460</v>
      </c>
      <c r="AC3615" t="n">
        <v>467</v>
      </c>
      <c r="AD3615" t="n">
        <v>2</v>
      </c>
      <c r="AE3615" t="n">
        <v>2</v>
      </c>
      <c r="AF3615" t="n">
        <v>20</v>
      </c>
      <c r="AG3615" t="n">
        <v>20</v>
      </c>
      <c r="AH3615" t="n">
        <v>5</v>
      </c>
      <c r="AI3615" t="n">
        <v>5</v>
      </c>
      <c r="AJ3615" t="n">
        <v>5</v>
      </c>
      <c r="AK3615" t="n">
        <v>5</v>
      </c>
      <c r="AL3615" t="n">
        <v>14</v>
      </c>
      <c r="AM3615" t="n">
        <v>14</v>
      </c>
      <c r="AN3615" t="n">
        <v>1</v>
      </c>
      <c r="AO3615" t="n">
        <v>1</v>
      </c>
      <c r="AP3615" t="n">
        <v>0</v>
      </c>
      <c r="AQ3615" t="n">
        <v>0</v>
      </c>
      <c r="AR3615" t="inlineStr">
        <is>
          <t>No</t>
        </is>
      </c>
      <c r="AS3615" t="inlineStr">
        <is>
          <t>Yes</t>
        </is>
      </c>
      <c r="AT3615">
        <f>HYPERLINK("http://catalog.hathitrust.org/Record/000811447","HathiTrust Record")</f>
        <v/>
      </c>
      <c r="AU3615">
        <f>HYPERLINK("https://creighton-primo.hosted.exlibrisgroup.com/primo-explore/search?tab=default_tab&amp;search_scope=EVERYTHING&amp;vid=01CRU&amp;lang=en_US&amp;offset=0&amp;query=any,contains,991000837539702656","Catalog Record")</f>
        <v/>
      </c>
      <c r="AV3615">
        <f>HYPERLINK("http://www.worldcat.org/oclc/13498915","WorldCat Record")</f>
        <v/>
      </c>
      <c r="AW3615" t="inlineStr">
        <is>
          <t>365215956:eng</t>
        </is>
      </c>
      <c r="AX3615" t="inlineStr">
        <is>
          <t>13498915</t>
        </is>
      </c>
      <c r="AY3615" t="inlineStr">
        <is>
          <t>991000837539702656</t>
        </is>
      </c>
      <c r="AZ3615" t="inlineStr">
        <is>
          <t>991000837539702656</t>
        </is>
      </c>
      <c r="BA3615" t="inlineStr">
        <is>
          <t>2263892540002656</t>
        </is>
      </c>
      <c r="BB3615" t="inlineStr">
        <is>
          <t>BOOK</t>
        </is>
      </c>
      <c r="BD3615" t="inlineStr">
        <is>
          <t>9780195041415</t>
        </is>
      </c>
      <c r="BE3615" t="inlineStr">
        <is>
          <t>32285000755370</t>
        </is>
      </c>
      <c r="BF3615" t="inlineStr">
        <is>
          <t>893509155</t>
        </is>
      </c>
    </row>
    <row r="3616">
      <c r="A3616" t="inlineStr">
        <is>
          <t>No</t>
        </is>
      </c>
      <c r="B3616" t="inlineStr">
        <is>
          <t>CURAL</t>
        </is>
      </c>
      <c r="C3616" t="inlineStr">
        <is>
          <t>SHELVES</t>
        </is>
      </c>
      <c r="D3616" t="inlineStr">
        <is>
          <t>PR769 .E38 1994</t>
        </is>
      </c>
      <c r="E3616" t="inlineStr">
        <is>
          <t>0                      PR 0769000E  38          1994</t>
        </is>
      </c>
      <c r="F3616" t="inlineStr">
        <is>
          <t>The story of the voyage : sea-narratives in eighteenth-century England / Philip Edwards.</t>
        </is>
      </c>
      <c r="H3616" t="inlineStr">
        <is>
          <t>No</t>
        </is>
      </c>
      <c r="I3616" t="inlineStr">
        <is>
          <t>1</t>
        </is>
      </c>
      <c r="J3616" t="inlineStr">
        <is>
          <t>No</t>
        </is>
      </c>
      <c r="K3616" t="inlineStr">
        <is>
          <t>No</t>
        </is>
      </c>
      <c r="L3616" t="inlineStr">
        <is>
          <t>0</t>
        </is>
      </c>
      <c r="M3616" t="inlineStr">
        <is>
          <t>Edwards, Philip, 1923-</t>
        </is>
      </c>
      <c r="N3616" t="inlineStr">
        <is>
          <t>Cambridge ; New York : Cambridge University Press, 1994.</t>
        </is>
      </c>
      <c r="O3616" t="inlineStr">
        <is>
          <t>1994</t>
        </is>
      </c>
      <c r="Q3616" t="inlineStr">
        <is>
          <t>eng</t>
        </is>
      </c>
      <c r="R3616" t="inlineStr">
        <is>
          <t>enk</t>
        </is>
      </c>
      <c r="S3616" t="inlineStr">
        <is>
          <t>Cambridge studies in eighteenth-century English literature and thought ; 24</t>
        </is>
      </c>
      <c r="T3616" t="inlineStr">
        <is>
          <t xml:space="preserve">PR </t>
        </is>
      </c>
      <c r="U3616" t="n">
        <v>1</v>
      </c>
      <c r="V3616" t="n">
        <v>1</v>
      </c>
      <c r="W3616" t="inlineStr">
        <is>
          <t>2004-08-02</t>
        </is>
      </c>
      <c r="X3616" t="inlineStr">
        <is>
          <t>2004-08-02</t>
        </is>
      </c>
      <c r="Y3616" t="inlineStr">
        <is>
          <t>1997-04-24</t>
        </is>
      </c>
      <c r="Z3616" t="inlineStr">
        <is>
          <t>1997-04-24</t>
        </is>
      </c>
      <c r="AA3616" t="n">
        <v>557</v>
      </c>
      <c r="AB3616" t="n">
        <v>401</v>
      </c>
      <c r="AC3616" t="n">
        <v>407</v>
      </c>
      <c r="AD3616" t="n">
        <v>4</v>
      </c>
      <c r="AE3616" t="n">
        <v>4</v>
      </c>
      <c r="AF3616" t="n">
        <v>28</v>
      </c>
      <c r="AG3616" t="n">
        <v>28</v>
      </c>
      <c r="AH3616" t="n">
        <v>13</v>
      </c>
      <c r="AI3616" t="n">
        <v>13</v>
      </c>
      <c r="AJ3616" t="n">
        <v>6</v>
      </c>
      <c r="AK3616" t="n">
        <v>6</v>
      </c>
      <c r="AL3616" t="n">
        <v>15</v>
      </c>
      <c r="AM3616" t="n">
        <v>15</v>
      </c>
      <c r="AN3616" t="n">
        <v>3</v>
      </c>
      <c r="AO3616" t="n">
        <v>3</v>
      </c>
      <c r="AP3616" t="n">
        <v>0</v>
      </c>
      <c r="AQ3616" t="n">
        <v>0</v>
      </c>
      <c r="AR3616" t="inlineStr">
        <is>
          <t>No</t>
        </is>
      </c>
      <c r="AS3616" t="inlineStr">
        <is>
          <t>No</t>
        </is>
      </c>
      <c r="AU3616">
        <f>HYPERLINK("https://creighton-primo.hosted.exlibrisgroup.com/primo-explore/search?tab=default_tab&amp;search_scope=EVERYTHING&amp;vid=01CRU&amp;lang=en_US&amp;offset=0&amp;query=any,contains,991002284559702656","Catalog Record")</f>
        <v/>
      </c>
      <c r="AV3616">
        <f>HYPERLINK("http://www.worldcat.org/oclc/29634181","WorldCat Record")</f>
        <v/>
      </c>
      <c r="AW3616" t="inlineStr">
        <is>
          <t>31934966:eng</t>
        </is>
      </c>
      <c r="AX3616" t="inlineStr">
        <is>
          <t>29634181</t>
        </is>
      </c>
      <c r="AY3616" t="inlineStr">
        <is>
          <t>991002284559702656</t>
        </is>
      </c>
      <c r="AZ3616" t="inlineStr">
        <is>
          <t>991002284559702656</t>
        </is>
      </c>
      <c r="BA3616" t="inlineStr">
        <is>
          <t>2255515260002656</t>
        </is>
      </c>
      <c r="BB3616" t="inlineStr">
        <is>
          <t>BOOK</t>
        </is>
      </c>
      <c r="BD3616" t="inlineStr">
        <is>
          <t>9780521413015</t>
        </is>
      </c>
      <c r="BE3616" t="inlineStr">
        <is>
          <t>32285002540499</t>
        </is>
      </c>
      <c r="BF3616" t="inlineStr">
        <is>
          <t>893597246</t>
        </is>
      </c>
    </row>
    <row r="3617">
      <c r="A3617" t="inlineStr">
        <is>
          <t>No</t>
        </is>
      </c>
      <c r="B3617" t="inlineStr">
        <is>
          <t>CURAL</t>
        </is>
      </c>
      <c r="C3617" t="inlineStr">
        <is>
          <t>SHELVES</t>
        </is>
      </c>
      <c r="D3617" t="inlineStr">
        <is>
          <t>PR769 .R5 1983</t>
        </is>
      </c>
      <c r="E3617" t="inlineStr">
        <is>
          <t>0                      PR 0769000R  5           1983</t>
        </is>
      </c>
      <c r="F3617" t="inlineStr">
        <is>
          <t>Philosophical writing : Locke, Berkeley, Hume / John J. Richetti.</t>
        </is>
      </c>
      <c r="H3617" t="inlineStr">
        <is>
          <t>No</t>
        </is>
      </c>
      <c r="I3617" t="inlineStr">
        <is>
          <t>1</t>
        </is>
      </c>
      <c r="J3617" t="inlineStr">
        <is>
          <t>No</t>
        </is>
      </c>
      <c r="K3617" t="inlineStr">
        <is>
          <t>No</t>
        </is>
      </c>
      <c r="L3617" t="inlineStr">
        <is>
          <t>0</t>
        </is>
      </c>
      <c r="M3617" t="inlineStr">
        <is>
          <t>Richetti, John J.</t>
        </is>
      </c>
      <c r="N3617" t="inlineStr">
        <is>
          <t>Cambridge, Mass. : Harvard University Press, 1983.</t>
        </is>
      </c>
      <c r="O3617" t="inlineStr">
        <is>
          <t>1983</t>
        </is>
      </c>
      <c r="Q3617" t="inlineStr">
        <is>
          <t>eng</t>
        </is>
      </c>
      <c r="R3617" t="inlineStr">
        <is>
          <t>mau</t>
        </is>
      </c>
      <c r="T3617" t="inlineStr">
        <is>
          <t xml:space="preserve">PR </t>
        </is>
      </c>
      <c r="U3617" t="n">
        <v>1</v>
      </c>
      <c r="V3617" t="n">
        <v>1</v>
      </c>
      <c r="W3617" t="inlineStr">
        <is>
          <t>2002-12-11</t>
        </is>
      </c>
      <c r="X3617" t="inlineStr">
        <is>
          <t>2002-12-11</t>
        </is>
      </c>
      <c r="Y3617" t="inlineStr">
        <is>
          <t>2002-12-11</t>
        </is>
      </c>
      <c r="Z3617" t="inlineStr">
        <is>
          <t>2002-12-11</t>
        </is>
      </c>
      <c r="AA3617" t="n">
        <v>451</v>
      </c>
      <c r="AB3617" t="n">
        <v>358</v>
      </c>
      <c r="AC3617" t="n">
        <v>365</v>
      </c>
      <c r="AD3617" t="n">
        <v>6</v>
      </c>
      <c r="AE3617" t="n">
        <v>6</v>
      </c>
      <c r="AF3617" t="n">
        <v>21</v>
      </c>
      <c r="AG3617" t="n">
        <v>21</v>
      </c>
      <c r="AH3617" t="n">
        <v>6</v>
      </c>
      <c r="AI3617" t="n">
        <v>6</v>
      </c>
      <c r="AJ3617" t="n">
        <v>5</v>
      </c>
      <c r="AK3617" t="n">
        <v>5</v>
      </c>
      <c r="AL3617" t="n">
        <v>14</v>
      </c>
      <c r="AM3617" t="n">
        <v>14</v>
      </c>
      <c r="AN3617" t="n">
        <v>3</v>
      </c>
      <c r="AO3617" t="n">
        <v>3</v>
      </c>
      <c r="AP3617" t="n">
        <v>0</v>
      </c>
      <c r="AQ3617" t="n">
        <v>0</v>
      </c>
      <c r="AR3617" t="inlineStr">
        <is>
          <t>No</t>
        </is>
      </c>
      <c r="AS3617" t="inlineStr">
        <is>
          <t>Yes</t>
        </is>
      </c>
      <c r="AT3617">
        <f>HYPERLINK("http://catalog.hathitrust.org/Record/000238810","HathiTrust Record")</f>
        <v/>
      </c>
      <c r="AU3617">
        <f>HYPERLINK("https://creighton-primo.hosted.exlibrisgroup.com/primo-explore/search?tab=default_tab&amp;search_scope=EVERYTHING&amp;vid=01CRU&amp;lang=en_US&amp;offset=0&amp;query=any,contains,991003961269702656","Catalog Record")</f>
        <v/>
      </c>
      <c r="AV3617">
        <f>HYPERLINK("http://www.worldcat.org/oclc/9066269","WorldCat Record")</f>
        <v/>
      </c>
      <c r="AW3617" t="inlineStr">
        <is>
          <t>836708428:eng</t>
        </is>
      </c>
      <c r="AX3617" t="inlineStr">
        <is>
          <t>9066269</t>
        </is>
      </c>
      <c r="AY3617" t="inlineStr">
        <is>
          <t>991003961269702656</t>
        </is>
      </c>
      <c r="AZ3617" t="inlineStr">
        <is>
          <t>991003961269702656</t>
        </is>
      </c>
      <c r="BA3617" t="inlineStr">
        <is>
          <t>2269614020002656</t>
        </is>
      </c>
      <c r="BB3617" t="inlineStr">
        <is>
          <t>BOOK</t>
        </is>
      </c>
      <c r="BD3617" t="inlineStr">
        <is>
          <t>9780674664821</t>
        </is>
      </c>
      <c r="BE3617" t="inlineStr">
        <is>
          <t>32285004690573</t>
        </is>
      </c>
      <c r="BF3617" t="inlineStr">
        <is>
          <t>893531815</t>
        </is>
      </c>
    </row>
    <row r="3618">
      <c r="A3618" t="inlineStr">
        <is>
          <t>No</t>
        </is>
      </c>
      <c r="B3618" t="inlineStr">
        <is>
          <t>CURAL</t>
        </is>
      </c>
      <c r="C3618" t="inlineStr">
        <is>
          <t>SHELVES</t>
        </is>
      </c>
      <c r="D3618" t="inlineStr">
        <is>
          <t>PR77 .B84</t>
        </is>
      </c>
      <c r="E3618" t="inlineStr">
        <is>
          <t>0                      PR 0077000B  84</t>
        </is>
      </c>
      <c r="F3618" t="inlineStr">
        <is>
          <t>Guide to Marxist literary criticism / compiled by Chris Bullock, David Peck.</t>
        </is>
      </c>
      <c r="H3618" t="inlineStr">
        <is>
          <t>No</t>
        </is>
      </c>
      <c r="I3618" t="inlineStr">
        <is>
          <t>1</t>
        </is>
      </c>
      <c r="J3618" t="inlineStr">
        <is>
          <t>No</t>
        </is>
      </c>
      <c r="K3618" t="inlineStr">
        <is>
          <t>No</t>
        </is>
      </c>
      <c r="L3618" t="inlineStr">
        <is>
          <t>0</t>
        </is>
      </c>
      <c r="M3618" t="inlineStr">
        <is>
          <t>Bullock, Chris, 1945-</t>
        </is>
      </c>
      <c r="N3618" t="inlineStr">
        <is>
          <t>Bloomington : Indiana University Press, c1980.</t>
        </is>
      </c>
      <c r="O3618" t="inlineStr">
        <is>
          <t>1980</t>
        </is>
      </c>
      <c r="Q3618" t="inlineStr">
        <is>
          <t>eng</t>
        </is>
      </c>
      <c r="R3618" t="inlineStr">
        <is>
          <t>inu</t>
        </is>
      </c>
      <c r="T3618" t="inlineStr">
        <is>
          <t xml:space="preserve">PR </t>
        </is>
      </c>
      <c r="U3618" t="n">
        <v>5</v>
      </c>
      <c r="V3618" t="n">
        <v>5</v>
      </c>
      <c r="W3618" t="inlineStr">
        <is>
          <t>1999-12-02</t>
        </is>
      </c>
      <c r="X3618" t="inlineStr">
        <is>
          <t>1999-12-02</t>
        </is>
      </c>
      <c r="Y3618" t="inlineStr">
        <is>
          <t>1991-08-14</t>
        </is>
      </c>
      <c r="Z3618" t="inlineStr">
        <is>
          <t>1991-08-14</t>
        </is>
      </c>
      <c r="AA3618" t="n">
        <v>623</v>
      </c>
      <c r="AB3618" t="n">
        <v>532</v>
      </c>
      <c r="AC3618" t="n">
        <v>534</v>
      </c>
      <c r="AD3618" t="n">
        <v>5</v>
      </c>
      <c r="AE3618" t="n">
        <v>5</v>
      </c>
      <c r="AF3618" t="n">
        <v>25</v>
      </c>
      <c r="AG3618" t="n">
        <v>25</v>
      </c>
      <c r="AH3618" t="n">
        <v>9</v>
      </c>
      <c r="AI3618" t="n">
        <v>9</v>
      </c>
      <c r="AJ3618" t="n">
        <v>6</v>
      </c>
      <c r="AK3618" t="n">
        <v>6</v>
      </c>
      <c r="AL3618" t="n">
        <v>14</v>
      </c>
      <c r="AM3618" t="n">
        <v>14</v>
      </c>
      <c r="AN3618" t="n">
        <v>4</v>
      </c>
      <c r="AO3618" t="n">
        <v>4</v>
      </c>
      <c r="AP3618" t="n">
        <v>0</v>
      </c>
      <c r="AQ3618" t="n">
        <v>0</v>
      </c>
      <c r="AR3618" t="inlineStr">
        <is>
          <t>No</t>
        </is>
      </c>
      <c r="AS3618" t="inlineStr">
        <is>
          <t>No</t>
        </is>
      </c>
      <c r="AU3618">
        <f>HYPERLINK("https://creighton-primo.hosted.exlibrisgroup.com/primo-explore/search?tab=default_tab&amp;search_scope=EVERYTHING&amp;vid=01CRU&amp;lang=en_US&amp;offset=0&amp;query=any,contains,991004937929702656","Catalog Record")</f>
        <v/>
      </c>
      <c r="AV3618">
        <f>HYPERLINK("http://www.worldcat.org/oclc/6144496","WorldCat Record")</f>
        <v/>
      </c>
      <c r="AW3618" t="inlineStr">
        <is>
          <t>319708306:eng</t>
        </is>
      </c>
      <c r="AX3618" t="inlineStr">
        <is>
          <t>6144496</t>
        </is>
      </c>
      <c r="AY3618" t="inlineStr">
        <is>
          <t>991004937929702656</t>
        </is>
      </c>
      <c r="AZ3618" t="inlineStr">
        <is>
          <t>991004937929702656</t>
        </is>
      </c>
      <c r="BA3618" t="inlineStr">
        <is>
          <t>2260404730002656</t>
        </is>
      </c>
      <c r="BB3618" t="inlineStr">
        <is>
          <t>BOOK</t>
        </is>
      </c>
      <c r="BD3618" t="inlineStr">
        <is>
          <t>9780253131447</t>
        </is>
      </c>
      <c r="BE3618" t="inlineStr">
        <is>
          <t>32285000696038</t>
        </is>
      </c>
      <c r="BF3618" t="inlineStr">
        <is>
          <t>893513827</t>
        </is>
      </c>
    </row>
    <row r="3619">
      <c r="A3619" t="inlineStr">
        <is>
          <t>No</t>
        </is>
      </c>
      <c r="B3619" t="inlineStr">
        <is>
          <t>CURAL</t>
        </is>
      </c>
      <c r="C3619" t="inlineStr">
        <is>
          <t>SHELVES</t>
        </is>
      </c>
      <c r="D3619" t="inlineStr">
        <is>
          <t>PR778.B56 C34 1990</t>
        </is>
      </c>
      <c r="E3619" t="inlineStr">
        <is>
          <t>0                      PR 0778000B  56                 C  34          1990</t>
        </is>
      </c>
      <c r="F3619" t="inlineStr">
        <is>
          <t>Prose in the age of poets : romanticism and biographical narrative from Johnson to De Quincey / Annette Wheeler Cafarelli.</t>
        </is>
      </c>
      <c r="H3619" t="inlineStr">
        <is>
          <t>No</t>
        </is>
      </c>
      <c r="I3619" t="inlineStr">
        <is>
          <t>1</t>
        </is>
      </c>
      <c r="J3619" t="inlineStr">
        <is>
          <t>No</t>
        </is>
      </c>
      <c r="K3619" t="inlineStr">
        <is>
          <t>No</t>
        </is>
      </c>
      <c r="L3619" t="inlineStr">
        <is>
          <t>0</t>
        </is>
      </c>
      <c r="M3619" t="inlineStr">
        <is>
          <t>Cafarelli, Annette Wheeler.</t>
        </is>
      </c>
      <c r="N3619" t="inlineStr">
        <is>
          <t>Philadelphia : University of Pennsylvania Press, c1990.</t>
        </is>
      </c>
      <c r="O3619" t="inlineStr">
        <is>
          <t>1990</t>
        </is>
      </c>
      <c r="Q3619" t="inlineStr">
        <is>
          <t>eng</t>
        </is>
      </c>
      <c r="R3619" t="inlineStr">
        <is>
          <t>pau</t>
        </is>
      </c>
      <c r="T3619" t="inlineStr">
        <is>
          <t xml:space="preserve">PR </t>
        </is>
      </c>
      <c r="U3619" t="n">
        <v>1</v>
      </c>
      <c r="V3619" t="n">
        <v>1</v>
      </c>
      <c r="W3619" t="inlineStr">
        <is>
          <t>2005-05-04</t>
        </is>
      </c>
      <c r="X3619" t="inlineStr">
        <is>
          <t>2005-05-04</t>
        </is>
      </c>
      <c r="Y3619" t="inlineStr">
        <is>
          <t>2005-05-04</t>
        </is>
      </c>
      <c r="Z3619" t="inlineStr">
        <is>
          <t>2005-05-04</t>
        </is>
      </c>
      <c r="AA3619" t="n">
        <v>350</v>
      </c>
      <c r="AB3619" t="n">
        <v>277</v>
      </c>
      <c r="AC3619" t="n">
        <v>458</v>
      </c>
      <c r="AD3619" t="n">
        <v>3</v>
      </c>
      <c r="AE3619" t="n">
        <v>3</v>
      </c>
      <c r="AF3619" t="n">
        <v>18</v>
      </c>
      <c r="AG3619" t="n">
        <v>24</v>
      </c>
      <c r="AH3619" t="n">
        <v>4</v>
      </c>
      <c r="AI3619" t="n">
        <v>9</v>
      </c>
      <c r="AJ3619" t="n">
        <v>6</v>
      </c>
      <c r="AK3619" t="n">
        <v>8</v>
      </c>
      <c r="AL3619" t="n">
        <v>12</v>
      </c>
      <c r="AM3619" t="n">
        <v>12</v>
      </c>
      <c r="AN3619" t="n">
        <v>2</v>
      </c>
      <c r="AO3619" t="n">
        <v>2</v>
      </c>
      <c r="AP3619" t="n">
        <v>0</v>
      </c>
      <c r="AQ3619" t="n">
        <v>0</v>
      </c>
      <c r="AR3619" t="inlineStr">
        <is>
          <t>No</t>
        </is>
      </c>
      <c r="AS3619" t="inlineStr">
        <is>
          <t>Yes</t>
        </is>
      </c>
      <c r="AT3619">
        <f>HYPERLINK("http://catalog.hathitrust.org/Record/002058238","HathiTrust Record")</f>
        <v/>
      </c>
      <c r="AU3619">
        <f>HYPERLINK("https://creighton-primo.hosted.exlibrisgroup.com/primo-explore/search?tab=default_tab&amp;search_scope=EVERYTHING&amp;vid=01CRU&amp;lang=en_US&amp;offset=0&amp;query=any,contains,991004549729702656","Catalog Record")</f>
        <v/>
      </c>
      <c r="AV3619">
        <f>HYPERLINK("http://www.worldcat.org/oclc/20490824","WorldCat Record")</f>
        <v/>
      </c>
      <c r="AW3619" t="inlineStr">
        <is>
          <t>815302411:eng</t>
        </is>
      </c>
      <c r="AX3619" t="inlineStr">
        <is>
          <t>20490824</t>
        </is>
      </c>
      <c r="AY3619" t="inlineStr">
        <is>
          <t>991004549729702656</t>
        </is>
      </c>
      <c r="AZ3619" t="inlineStr">
        <is>
          <t>991004549729702656</t>
        </is>
      </c>
      <c r="BA3619" t="inlineStr">
        <is>
          <t>2257556450002656</t>
        </is>
      </c>
      <c r="BB3619" t="inlineStr">
        <is>
          <t>BOOK</t>
        </is>
      </c>
      <c r="BD3619" t="inlineStr">
        <is>
          <t>9780812281989</t>
        </is>
      </c>
      <c r="BE3619" t="inlineStr">
        <is>
          <t>32285005035695</t>
        </is>
      </c>
      <c r="BF3619" t="inlineStr">
        <is>
          <t>893719067</t>
        </is>
      </c>
    </row>
    <row r="3620">
      <c r="A3620" t="inlineStr">
        <is>
          <t>No</t>
        </is>
      </c>
      <c r="B3620" t="inlineStr">
        <is>
          <t>CURAL</t>
        </is>
      </c>
      <c r="C3620" t="inlineStr">
        <is>
          <t>SHELVES</t>
        </is>
      </c>
      <c r="D3620" t="inlineStr">
        <is>
          <t>PR778.T72 M84 1990</t>
        </is>
      </c>
      <c r="E3620" t="inlineStr">
        <is>
          <t>0                      PR 0778000T  72                 M  84          1990</t>
        </is>
      </c>
      <c r="F3620" t="inlineStr">
        <is>
          <t>Transatlantic manners : social patterns in nineteenth-century Anglo-American travel literature / Christopher Mulvey.</t>
        </is>
      </c>
      <c r="H3620" t="inlineStr">
        <is>
          <t>No</t>
        </is>
      </c>
      <c r="I3620" t="inlineStr">
        <is>
          <t>1</t>
        </is>
      </c>
      <c r="J3620" t="inlineStr">
        <is>
          <t>No</t>
        </is>
      </c>
      <c r="K3620" t="inlineStr">
        <is>
          <t>No</t>
        </is>
      </c>
      <c r="L3620" t="inlineStr">
        <is>
          <t>0</t>
        </is>
      </c>
      <c r="M3620" t="inlineStr">
        <is>
          <t>Mulvey, Christopher.</t>
        </is>
      </c>
      <c r="N3620" t="inlineStr">
        <is>
          <t>Cambridge [England] ; New York : Cambridge University Press, 1990.</t>
        </is>
      </c>
      <c r="O3620" t="inlineStr">
        <is>
          <t>1990</t>
        </is>
      </c>
      <c r="Q3620" t="inlineStr">
        <is>
          <t>eng</t>
        </is>
      </c>
      <c r="R3620" t="inlineStr">
        <is>
          <t>enk</t>
        </is>
      </c>
      <c r="T3620" t="inlineStr">
        <is>
          <t xml:space="preserve">PR </t>
        </is>
      </c>
      <c r="U3620" t="n">
        <v>3</v>
      </c>
      <c r="V3620" t="n">
        <v>3</v>
      </c>
      <c r="W3620" t="inlineStr">
        <is>
          <t>1997-01-29</t>
        </is>
      </c>
      <c r="X3620" t="inlineStr">
        <is>
          <t>1997-01-29</t>
        </is>
      </c>
      <c r="Y3620" t="inlineStr">
        <is>
          <t>1990-11-26</t>
        </is>
      </c>
      <c r="Z3620" t="inlineStr">
        <is>
          <t>1990-11-26</t>
        </is>
      </c>
      <c r="AA3620" t="n">
        <v>342</v>
      </c>
      <c r="AB3620" t="n">
        <v>232</v>
      </c>
      <c r="AC3620" t="n">
        <v>234</v>
      </c>
      <c r="AD3620" t="n">
        <v>4</v>
      </c>
      <c r="AE3620" t="n">
        <v>4</v>
      </c>
      <c r="AF3620" t="n">
        <v>14</v>
      </c>
      <c r="AG3620" t="n">
        <v>14</v>
      </c>
      <c r="AH3620" t="n">
        <v>1</v>
      </c>
      <c r="AI3620" t="n">
        <v>1</v>
      </c>
      <c r="AJ3620" t="n">
        <v>4</v>
      </c>
      <c r="AK3620" t="n">
        <v>4</v>
      </c>
      <c r="AL3620" t="n">
        <v>10</v>
      </c>
      <c r="AM3620" t="n">
        <v>10</v>
      </c>
      <c r="AN3620" t="n">
        <v>3</v>
      </c>
      <c r="AO3620" t="n">
        <v>3</v>
      </c>
      <c r="AP3620" t="n">
        <v>0</v>
      </c>
      <c r="AQ3620" t="n">
        <v>0</v>
      </c>
      <c r="AR3620" t="inlineStr">
        <is>
          <t>No</t>
        </is>
      </c>
      <c r="AS3620" t="inlineStr">
        <is>
          <t>No</t>
        </is>
      </c>
      <c r="AU3620">
        <f>HYPERLINK("https://creighton-primo.hosted.exlibrisgroup.com/primo-explore/search?tab=default_tab&amp;search_scope=EVERYTHING&amp;vid=01CRU&amp;lang=en_US&amp;offset=0&amp;query=any,contains,991001534899702656","Catalog Record")</f>
        <v/>
      </c>
      <c r="AV3620">
        <f>HYPERLINK("http://www.worldcat.org/oclc/20057447","WorldCat Record")</f>
        <v/>
      </c>
      <c r="AW3620" t="inlineStr">
        <is>
          <t>836715483:eng</t>
        </is>
      </c>
      <c r="AX3620" t="inlineStr">
        <is>
          <t>20057447</t>
        </is>
      </c>
      <c r="AY3620" t="inlineStr">
        <is>
          <t>991001534899702656</t>
        </is>
      </c>
      <c r="AZ3620" t="inlineStr">
        <is>
          <t>991001534899702656</t>
        </is>
      </c>
      <c r="BA3620" t="inlineStr">
        <is>
          <t>2269785580002656</t>
        </is>
      </c>
      <c r="BB3620" t="inlineStr">
        <is>
          <t>BOOK</t>
        </is>
      </c>
      <c r="BD3620" t="inlineStr">
        <is>
          <t>9780521303668</t>
        </is>
      </c>
      <c r="BE3620" t="inlineStr">
        <is>
          <t>32285000356658</t>
        </is>
      </c>
      <c r="BF3620" t="inlineStr">
        <is>
          <t>893772649</t>
        </is>
      </c>
    </row>
    <row r="3621">
      <c r="A3621" t="inlineStr">
        <is>
          <t>No</t>
        </is>
      </c>
      <c r="B3621" t="inlineStr">
        <is>
          <t>CURAL</t>
        </is>
      </c>
      <c r="C3621" t="inlineStr">
        <is>
          <t>SHELVES</t>
        </is>
      </c>
      <c r="D3621" t="inlineStr">
        <is>
          <t>PR788.A9 L63 1986</t>
        </is>
      </c>
      <c r="E3621" t="inlineStr">
        <is>
          <t>0                      PR 0788000A  9                  L  63          1986</t>
        </is>
      </c>
      <c r="F3621" t="inlineStr">
        <is>
          <t>Fictions of consciousness : Mill, Newman, and the reading of Victorian prose / Jonathan Loesberg.</t>
        </is>
      </c>
      <c r="H3621" t="inlineStr">
        <is>
          <t>No</t>
        </is>
      </c>
      <c r="I3621" t="inlineStr">
        <is>
          <t>1</t>
        </is>
      </c>
      <c r="J3621" t="inlineStr">
        <is>
          <t>No</t>
        </is>
      </c>
      <c r="K3621" t="inlineStr">
        <is>
          <t>No</t>
        </is>
      </c>
      <c r="L3621" t="inlineStr">
        <is>
          <t>0</t>
        </is>
      </c>
      <c r="M3621" t="inlineStr">
        <is>
          <t>Loesberg, Jonathan, 1950-</t>
        </is>
      </c>
      <c r="N3621" t="inlineStr">
        <is>
          <t>New Brunswick : Rutgers University Press, c1986.</t>
        </is>
      </c>
      <c r="O3621" t="inlineStr">
        <is>
          <t>1986</t>
        </is>
      </c>
      <c r="Q3621" t="inlineStr">
        <is>
          <t>eng</t>
        </is>
      </c>
      <c r="R3621" t="inlineStr">
        <is>
          <t>nju</t>
        </is>
      </c>
      <c r="T3621" t="inlineStr">
        <is>
          <t xml:space="preserve">PR </t>
        </is>
      </c>
      <c r="U3621" t="n">
        <v>1</v>
      </c>
      <c r="V3621" t="n">
        <v>1</v>
      </c>
      <c r="W3621" t="inlineStr">
        <is>
          <t>2002-12-11</t>
        </is>
      </c>
      <c r="X3621" t="inlineStr">
        <is>
          <t>2002-12-11</t>
        </is>
      </c>
      <c r="Y3621" t="inlineStr">
        <is>
          <t>2002-12-11</t>
        </is>
      </c>
      <c r="Z3621" t="inlineStr">
        <is>
          <t>2002-12-11</t>
        </is>
      </c>
      <c r="AA3621" t="n">
        <v>317</v>
      </c>
      <c r="AB3621" t="n">
        <v>244</v>
      </c>
      <c r="AC3621" t="n">
        <v>244</v>
      </c>
      <c r="AD3621" t="n">
        <v>3</v>
      </c>
      <c r="AE3621" t="n">
        <v>3</v>
      </c>
      <c r="AF3621" t="n">
        <v>18</v>
      </c>
      <c r="AG3621" t="n">
        <v>18</v>
      </c>
      <c r="AH3621" t="n">
        <v>7</v>
      </c>
      <c r="AI3621" t="n">
        <v>7</v>
      </c>
      <c r="AJ3621" t="n">
        <v>4</v>
      </c>
      <c r="AK3621" t="n">
        <v>4</v>
      </c>
      <c r="AL3621" t="n">
        <v>11</v>
      </c>
      <c r="AM3621" t="n">
        <v>11</v>
      </c>
      <c r="AN3621" t="n">
        <v>2</v>
      </c>
      <c r="AO3621" t="n">
        <v>2</v>
      </c>
      <c r="AP3621" t="n">
        <v>0</v>
      </c>
      <c r="AQ3621" t="n">
        <v>0</v>
      </c>
      <c r="AR3621" t="inlineStr">
        <is>
          <t>No</t>
        </is>
      </c>
      <c r="AS3621" t="inlineStr">
        <is>
          <t>No</t>
        </is>
      </c>
      <c r="AU3621">
        <f>HYPERLINK("https://creighton-primo.hosted.exlibrisgroup.com/primo-explore/search?tab=default_tab&amp;search_scope=EVERYTHING&amp;vid=01CRU&amp;lang=en_US&amp;offset=0&amp;query=any,contains,991003961499702656","Catalog Record")</f>
        <v/>
      </c>
      <c r="AV3621">
        <f>HYPERLINK("http://www.worldcat.org/oclc/12972240","WorldCat Record")</f>
        <v/>
      </c>
      <c r="AW3621" t="inlineStr">
        <is>
          <t>916578202:eng</t>
        </is>
      </c>
      <c r="AX3621" t="inlineStr">
        <is>
          <t>12972240</t>
        </is>
      </c>
      <c r="AY3621" t="inlineStr">
        <is>
          <t>991003961499702656</t>
        </is>
      </c>
      <c r="AZ3621" t="inlineStr">
        <is>
          <t>991003961499702656</t>
        </is>
      </c>
      <c r="BA3621" t="inlineStr">
        <is>
          <t>2263818720002656</t>
        </is>
      </c>
      <c r="BB3621" t="inlineStr">
        <is>
          <t>BOOK</t>
        </is>
      </c>
      <c r="BD3621" t="inlineStr">
        <is>
          <t>9780813511733</t>
        </is>
      </c>
      <c r="BE3621" t="inlineStr">
        <is>
          <t>32285004690540</t>
        </is>
      </c>
      <c r="BF3621" t="inlineStr">
        <is>
          <t>893699636</t>
        </is>
      </c>
    </row>
    <row r="3622">
      <c r="A3622" t="inlineStr">
        <is>
          <t>No</t>
        </is>
      </c>
      <c r="B3622" t="inlineStr">
        <is>
          <t>CURAL</t>
        </is>
      </c>
      <c r="C3622" t="inlineStr">
        <is>
          <t>SHELVES</t>
        </is>
      </c>
      <c r="D3622" t="inlineStr">
        <is>
          <t>PR788.B56 B76 1999</t>
        </is>
      </c>
      <c r="E3622" t="inlineStr">
        <is>
          <t>0                      PR 0788000B  56                 B  76          1999</t>
        </is>
      </c>
      <c r="F3622" t="inlineStr">
        <is>
          <t>Men of letters, writing lives : masculinity and literary auto/biography in the late-Victorian period / Trev Lynn Broughton.</t>
        </is>
      </c>
      <c r="H3622" t="inlineStr">
        <is>
          <t>No</t>
        </is>
      </c>
      <c r="I3622" t="inlineStr">
        <is>
          <t>1</t>
        </is>
      </c>
      <c r="J3622" t="inlineStr">
        <is>
          <t>No</t>
        </is>
      </c>
      <c r="K3622" t="inlineStr">
        <is>
          <t>No</t>
        </is>
      </c>
      <c r="L3622" t="inlineStr">
        <is>
          <t>0</t>
        </is>
      </c>
      <c r="M3622" t="inlineStr">
        <is>
          <t>Broughton, Trev Lynn, 1959-</t>
        </is>
      </c>
      <c r="N3622" t="inlineStr">
        <is>
          <t>London ; New York : Routledge, 1999.</t>
        </is>
      </c>
      <c r="O3622" t="inlineStr">
        <is>
          <t>1999</t>
        </is>
      </c>
      <c r="Q3622" t="inlineStr">
        <is>
          <t>eng</t>
        </is>
      </c>
      <c r="R3622" t="inlineStr">
        <is>
          <t>enk</t>
        </is>
      </c>
      <c r="T3622" t="inlineStr">
        <is>
          <t xml:space="preserve">PR </t>
        </is>
      </c>
      <c r="U3622" t="n">
        <v>1</v>
      </c>
      <c r="V3622" t="n">
        <v>1</v>
      </c>
      <c r="W3622" t="inlineStr">
        <is>
          <t>2001-11-06</t>
        </is>
      </c>
      <c r="X3622" t="inlineStr">
        <is>
          <t>2001-11-06</t>
        </is>
      </c>
      <c r="Y3622" t="inlineStr">
        <is>
          <t>2001-11-05</t>
        </is>
      </c>
      <c r="Z3622" t="inlineStr">
        <is>
          <t>2001-11-05</t>
        </is>
      </c>
      <c r="AA3622" t="n">
        <v>365</v>
      </c>
      <c r="AB3622" t="n">
        <v>266</v>
      </c>
      <c r="AC3622" t="n">
        <v>690</v>
      </c>
      <c r="AD3622" t="n">
        <v>2</v>
      </c>
      <c r="AE3622" t="n">
        <v>27</v>
      </c>
      <c r="AF3622" t="n">
        <v>19</v>
      </c>
      <c r="AG3622" t="n">
        <v>43</v>
      </c>
      <c r="AH3622" t="n">
        <v>6</v>
      </c>
      <c r="AI3622" t="n">
        <v>17</v>
      </c>
      <c r="AJ3622" t="n">
        <v>7</v>
      </c>
      <c r="AK3622" t="n">
        <v>9</v>
      </c>
      <c r="AL3622" t="n">
        <v>13</v>
      </c>
      <c r="AM3622" t="n">
        <v>16</v>
      </c>
      <c r="AN3622" t="n">
        <v>1</v>
      </c>
      <c r="AO3622" t="n">
        <v>12</v>
      </c>
      <c r="AP3622" t="n">
        <v>0</v>
      </c>
      <c r="AQ3622" t="n">
        <v>0</v>
      </c>
      <c r="AR3622" t="inlineStr">
        <is>
          <t>No</t>
        </is>
      </c>
      <c r="AS3622" t="inlineStr">
        <is>
          <t>No</t>
        </is>
      </c>
      <c r="AU3622">
        <f>HYPERLINK("https://creighton-primo.hosted.exlibrisgroup.com/primo-explore/search?tab=default_tab&amp;search_scope=EVERYTHING&amp;vid=01CRU&amp;lang=en_US&amp;offset=0&amp;query=any,contains,991003634239702656","Catalog Record")</f>
        <v/>
      </c>
      <c r="AV3622">
        <f>HYPERLINK("http://www.worldcat.org/oclc/39605231","WorldCat Record")</f>
        <v/>
      </c>
      <c r="AW3622" t="inlineStr">
        <is>
          <t>799724665:eng</t>
        </is>
      </c>
      <c r="AX3622" t="inlineStr">
        <is>
          <t>39605231</t>
        </is>
      </c>
      <c r="AY3622" t="inlineStr">
        <is>
          <t>991003634239702656</t>
        </is>
      </c>
      <c r="AZ3622" t="inlineStr">
        <is>
          <t>991003634239702656</t>
        </is>
      </c>
      <c r="BA3622" t="inlineStr">
        <is>
          <t>2260379240002656</t>
        </is>
      </c>
      <c r="BB3622" t="inlineStr">
        <is>
          <t>BOOK</t>
        </is>
      </c>
      <c r="BD3622" t="inlineStr">
        <is>
          <t>9780415082112</t>
        </is>
      </c>
      <c r="BE3622" t="inlineStr">
        <is>
          <t>32285004418025</t>
        </is>
      </c>
      <c r="BF3622" t="inlineStr">
        <is>
          <t>893348932</t>
        </is>
      </c>
    </row>
    <row r="3623">
      <c r="A3623" t="inlineStr">
        <is>
          <t>No</t>
        </is>
      </c>
      <c r="B3623" t="inlineStr">
        <is>
          <t>CURAL</t>
        </is>
      </c>
      <c r="C3623" t="inlineStr">
        <is>
          <t>SHELVES</t>
        </is>
      </c>
      <c r="D3623" t="inlineStr">
        <is>
          <t>PR788.S46 A7</t>
        </is>
      </c>
      <c r="E3623" t="inlineStr">
        <is>
          <t>0                      PR 0788000S  46                 A  7</t>
        </is>
      </c>
      <c r="F3623" t="inlineStr">
        <is>
          <t>Commissioned spirits : the shaping of social motion in Dickens, Carlyle, Melville, and Hawthorne / Jonathan Arac.</t>
        </is>
      </c>
      <c r="H3623" t="inlineStr">
        <is>
          <t>No</t>
        </is>
      </c>
      <c r="I3623" t="inlineStr">
        <is>
          <t>1</t>
        </is>
      </c>
      <c r="J3623" t="inlineStr">
        <is>
          <t>No</t>
        </is>
      </c>
      <c r="K3623" t="inlineStr">
        <is>
          <t>No</t>
        </is>
      </c>
      <c r="L3623" t="inlineStr">
        <is>
          <t>0</t>
        </is>
      </c>
      <c r="M3623" t="inlineStr">
        <is>
          <t>Arac, Jonathan, 1945-</t>
        </is>
      </c>
      <c r="N3623" t="inlineStr">
        <is>
          <t>New Brunswick, N.J. : Rutgers University Press, c1979.</t>
        </is>
      </c>
      <c r="O3623" t="inlineStr">
        <is>
          <t>1979</t>
        </is>
      </c>
      <c r="Q3623" t="inlineStr">
        <is>
          <t>eng</t>
        </is>
      </c>
      <c r="R3623" t="inlineStr">
        <is>
          <t>nju</t>
        </is>
      </c>
      <c r="T3623" t="inlineStr">
        <is>
          <t xml:space="preserve">PR </t>
        </is>
      </c>
      <c r="U3623" t="n">
        <v>1</v>
      </c>
      <c r="V3623" t="n">
        <v>1</v>
      </c>
      <c r="W3623" t="inlineStr">
        <is>
          <t>1993-11-29</t>
        </is>
      </c>
      <c r="X3623" t="inlineStr">
        <is>
          <t>1993-11-29</t>
        </is>
      </c>
      <c r="Y3623" t="inlineStr">
        <is>
          <t>1991-09-11</t>
        </is>
      </c>
      <c r="Z3623" t="inlineStr">
        <is>
          <t>1991-09-11</t>
        </is>
      </c>
      <c r="AA3623" t="n">
        <v>492</v>
      </c>
      <c r="AB3623" t="n">
        <v>391</v>
      </c>
      <c r="AC3623" t="n">
        <v>454</v>
      </c>
      <c r="AD3623" t="n">
        <v>3</v>
      </c>
      <c r="AE3623" t="n">
        <v>3</v>
      </c>
      <c r="AF3623" t="n">
        <v>21</v>
      </c>
      <c r="AG3623" t="n">
        <v>22</v>
      </c>
      <c r="AH3623" t="n">
        <v>4</v>
      </c>
      <c r="AI3623" t="n">
        <v>5</v>
      </c>
      <c r="AJ3623" t="n">
        <v>7</v>
      </c>
      <c r="AK3623" t="n">
        <v>7</v>
      </c>
      <c r="AL3623" t="n">
        <v>13</v>
      </c>
      <c r="AM3623" t="n">
        <v>14</v>
      </c>
      <c r="AN3623" t="n">
        <v>2</v>
      </c>
      <c r="AO3623" t="n">
        <v>2</v>
      </c>
      <c r="AP3623" t="n">
        <v>0</v>
      </c>
      <c r="AQ3623" t="n">
        <v>0</v>
      </c>
      <c r="AR3623" t="inlineStr">
        <is>
          <t>No</t>
        </is>
      </c>
      <c r="AS3623" t="inlineStr">
        <is>
          <t>Yes</t>
        </is>
      </c>
      <c r="AT3623">
        <f>HYPERLINK("http://catalog.hathitrust.org/Record/000297591","HathiTrust Record")</f>
        <v/>
      </c>
      <c r="AU3623">
        <f>HYPERLINK("https://creighton-primo.hosted.exlibrisgroup.com/primo-explore/search?tab=default_tab&amp;search_scope=EVERYTHING&amp;vid=01CRU&amp;lang=en_US&amp;offset=0&amp;query=any,contains,991004714359702656","Catalog Record")</f>
        <v/>
      </c>
      <c r="AV3623">
        <f>HYPERLINK("http://www.worldcat.org/oclc/4775485","WorldCat Record")</f>
        <v/>
      </c>
      <c r="AW3623" t="inlineStr">
        <is>
          <t>474546:eng</t>
        </is>
      </c>
      <c r="AX3623" t="inlineStr">
        <is>
          <t>4775485</t>
        </is>
      </c>
      <c r="AY3623" t="inlineStr">
        <is>
          <t>991004714359702656</t>
        </is>
      </c>
      <c r="AZ3623" t="inlineStr">
        <is>
          <t>991004714359702656</t>
        </is>
      </c>
      <c r="BA3623" t="inlineStr">
        <is>
          <t>2255199940002656</t>
        </is>
      </c>
      <c r="BB3623" t="inlineStr">
        <is>
          <t>BOOK</t>
        </is>
      </c>
      <c r="BD3623" t="inlineStr">
        <is>
          <t>9780813508740</t>
        </is>
      </c>
      <c r="BE3623" t="inlineStr">
        <is>
          <t>32285000755461</t>
        </is>
      </c>
      <c r="BF3623" t="inlineStr">
        <is>
          <t>893810657</t>
        </is>
      </c>
    </row>
    <row r="3624">
      <c r="A3624" t="inlineStr">
        <is>
          <t>No</t>
        </is>
      </c>
      <c r="B3624" t="inlineStr">
        <is>
          <t>CURAL</t>
        </is>
      </c>
      <c r="C3624" t="inlineStr">
        <is>
          <t>SHELVES</t>
        </is>
      </c>
      <c r="D3624" t="inlineStr">
        <is>
          <t>PR788.T72 H37 2001</t>
        </is>
      </c>
      <c r="E3624" t="inlineStr">
        <is>
          <t>0                      PR 0788000T  72                 H  37          2001</t>
        </is>
      </c>
      <c r="F3624" t="inlineStr">
        <is>
          <t>Solitary travelers : nineteenth-century women's travel narratives and the scientific vocation / Lila Marz Harper.</t>
        </is>
      </c>
      <c r="H3624" t="inlineStr">
        <is>
          <t>No</t>
        </is>
      </c>
      <c r="I3624" t="inlineStr">
        <is>
          <t>1</t>
        </is>
      </c>
      <c r="J3624" t="inlineStr">
        <is>
          <t>No</t>
        </is>
      </c>
      <c r="K3624" t="inlineStr">
        <is>
          <t>No</t>
        </is>
      </c>
      <c r="L3624" t="inlineStr">
        <is>
          <t>0</t>
        </is>
      </c>
      <c r="M3624" t="inlineStr">
        <is>
          <t>Harper, Lila Marz, 1955-</t>
        </is>
      </c>
      <c r="N3624" t="inlineStr">
        <is>
          <t>Madison [N.J.] : Fairleigh Dickinson University Press ; London ; Cranbury, NJ : Associated University Presses, c2001.</t>
        </is>
      </c>
      <c r="O3624" t="inlineStr">
        <is>
          <t>2001</t>
        </is>
      </c>
      <c r="Q3624" t="inlineStr">
        <is>
          <t>eng</t>
        </is>
      </c>
      <c r="R3624" t="inlineStr">
        <is>
          <t>nju</t>
        </is>
      </c>
      <c r="T3624" t="inlineStr">
        <is>
          <t xml:space="preserve">PR </t>
        </is>
      </c>
      <c r="U3624" t="n">
        <v>1</v>
      </c>
      <c r="V3624" t="n">
        <v>1</v>
      </c>
      <c r="W3624" t="inlineStr">
        <is>
          <t>2002-04-29</t>
        </is>
      </c>
      <c r="X3624" t="inlineStr">
        <is>
          <t>2002-04-29</t>
        </is>
      </c>
      <c r="Y3624" t="inlineStr">
        <is>
          <t>2002-04-16</t>
        </is>
      </c>
      <c r="Z3624" t="inlineStr">
        <is>
          <t>2002-04-16</t>
        </is>
      </c>
      <c r="AA3624" t="n">
        <v>465</v>
      </c>
      <c r="AB3624" t="n">
        <v>404</v>
      </c>
      <c r="AC3624" t="n">
        <v>410</v>
      </c>
      <c r="AD3624" t="n">
        <v>3</v>
      </c>
      <c r="AE3624" t="n">
        <v>3</v>
      </c>
      <c r="AF3624" t="n">
        <v>24</v>
      </c>
      <c r="AG3624" t="n">
        <v>24</v>
      </c>
      <c r="AH3624" t="n">
        <v>9</v>
      </c>
      <c r="AI3624" t="n">
        <v>9</v>
      </c>
      <c r="AJ3624" t="n">
        <v>7</v>
      </c>
      <c r="AK3624" t="n">
        <v>7</v>
      </c>
      <c r="AL3624" t="n">
        <v>13</v>
      </c>
      <c r="AM3624" t="n">
        <v>13</v>
      </c>
      <c r="AN3624" t="n">
        <v>2</v>
      </c>
      <c r="AO3624" t="n">
        <v>2</v>
      </c>
      <c r="AP3624" t="n">
        <v>0</v>
      </c>
      <c r="AQ3624" t="n">
        <v>0</v>
      </c>
      <c r="AR3624" t="inlineStr">
        <is>
          <t>No</t>
        </is>
      </c>
      <c r="AS3624" t="inlineStr">
        <is>
          <t>Yes</t>
        </is>
      </c>
      <c r="AT3624">
        <f>HYPERLINK("http://catalog.hathitrust.org/Record/004185191","HathiTrust Record")</f>
        <v/>
      </c>
      <c r="AU3624">
        <f>HYPERLINK("https://creighton-primo.hosted.exlibrisgroup.com/primo-explore/search?tab=default_tab&amp;search_scope=EVERYTHING&amp;vid=01CRU&amp;lang=en_US&amp;offset=0&amp;query=any,contains,991003748959702656","Catalog Record")</f>
        <v/>
      </c>
      <c r="AV3624">
        <f>HYPERLINK("http://www.worldcat.org/oclc/45201946","WorldCat Record")</f>
        <v/>
      </c>
      <c r="AW3624" t="inlineStr">
        <is>
          <t>34544620:eng</t>
        </is>
      </c>
      <c r="AX3624" t="inlineStr">
        <is>
          <t>45201946</t>
        </is>
      </c>
      <c r="AY3624" t="inlineStr">
        <is>
          <t>991003748959702656</t>
        </is>
      </c>
      <c r="AZ3624" t="inlineStr">
        <is>
          <t>991003748959702656</t>
        </is>
      </c>
      <c r="BA3624" t="inlineStr">
        <is>
          <t>2264174780002656</t>
        </is>
      </c>
      <c r="BB3624" t="inlineStr">
        <is>
          <t>BOOK</t>
        </is>
      </c>
      <c r="BD3624" t="inlineStr">
        <is>
          <t>9780838638606</t>
        </is>
      </c>
      <c r="BE3624" t="inlineStr">
        <is>
          <t>32285004480215</t>
        </is>
      </c>
      <c r="BF3624" t="inlineStr">
        <is>
          <t>893887843</t>
        </is>
      </c>
    </row>
    <row r="3625">
      <c r="A3625" t="inlineStr">
        <is>
          <t>No</t>
        </is>
      </c>
      <c r="B3625" t="inlineStr">
        <is>
          <t>CURAL</t>
        </is>
      </c>
      <c r="C3625" t="inlineStr">
        <is>
          <t>SHELVES</t>
        </is>
      </c>
      <c r="D3625" t="inlineStr">
        <is>
          <t>PR788.T72 S8 1982</t>
        </is>
      </c>
      <c r="E3625" t="inlineStr">
        <is>
          <t>0                      PR 0788000T  72                 S  8           1982</t>
        </is>
      </c>
      <c r="F3625" t="inlineStr">
        <is>
          <t>Victorian women travel writers in Africa / by Catherine Barnes Stevenson.</t>
        </is>
      </c>
      <c r="H3625" t="inlineStr">
        <is>
          <t>No</t>
        </is>
      </c>
      <c r="I3625" t="inlineStr">
        <is>
          <t>1</t>
        </is>
      </c>
      <c r="J3625" t="inlineStr">
        <is>
          <t>No</t>
        </is>
      </c>
      <c r="K3625" t="inlineStr">
        <is>
          <t>No</t>
        </is>
      </c>
      <c r="L3625" t="inlineStr">
        <is>
          <t>0</t>
        </is>
      </c>
      <c r="M3625" t="inlineStr">
        <is>
          <t>Stevenson, Catherine Barnes.</t>
        </is>
      </c>
      <c r="N3625" t="inlineStr">
        <is>
          <t>Boston : Twayne Publishers, c1982.</t>
        </is>
      </c>
      <c r="O3625" t="inlineStr">
        <is>
          <t>1982</t>
        </is>
      </c>
      <c r="Q3625" t="inlineStr">
        <is>
          <t>eng</t>
        </is>
      </c>
      <c r="R3625" t="inlineStr">
        <is>
          <t>mau</t>
        </is>
      </c>
      <c r="S3625" t="inlineStr">
        <is>
          <t>Twayne's English authors series ; TEAS 349</t>
        </is>
      </c>
      <c r="T3625" t="inlineStr">
        <is>
          <t xml:space="preserve">PR </t>
        </is>
      </c>
      <c r="U3625" t="n">
        <v>1</v>
      </c>
      <c r="V3625" t="n">
        <v>1</v>
      </c>
      <c r="W3625" t="inlineStr">
        <is>
          <t>1992-02-26</t>
        </is>
      </c>
      <c r="X3625" t="inlineStr">
        <is>
          <t>1992-02-26</t>
        </is>
      </c>
      <c r="Y3625" t="inlineStr">
        <is>
          <t>1991-09-11</t>
        </is>
      </c>
      <c r="Z3625" t="inlineStr">
        <is>
          <t>1991-09-11</t>
        </is>
      </c>
      <c r="AA3625" t="n">
        <v>445</v>
      </c>
      <c r="AB3625" t="n">
        <v>381</v>
      </c>
      <c r="AC3625" t="n">
        <v>383</v>
      </c>
      <c r="AD3625" t="n">
        <v>6</v>
      </c>
      <c r="AE3625" t="n">
        <v>6</v>
      </c>
      <c r="AF3625" t="n">
        <v>19</v>
      </c>
      <c r="AG3625" t="n">
        <v>19</v>
      </c>
      <c r="AH3625" t="n">
        <v>5</v>
      </c>
      <c r="AI3625" t="n">
        <v>5</v>
      </c>
      <c r="AJ3625" t="n">
        <v>4</v>
      </c>
      <c r="AK3625" t="n">
        <v>4</v>
      </c>
      <c r="AL3625" t="n">
        <v>11</v>
      </c>
      <c r="AM3625" t="n">
        <v>11</v>
      </c>
      <c r="AN3625" t="n">
        <v>5</v>
      </c>
      <c r="AO3625" t="n">
        <v>5</v>
      </c>
      <c r="AP3625" t="n">
        <v>0</v>
      </c>
      <c r="AQ3625" t="n">
        <v>0</v>
      </c>
      <c r="AR3625" t="inlineStr">
        <is>
          <t>No</t>
        </is>
      </c>
      <c r="AS3625" t="inlineStr">
        <is>
          <t>Yes</t>
        </is>
      </c>
      <c r="AT3625">
        <f>HYPERLINK("http://catalog.hathitrust.org/Record/000308972","HathiTrust Record")</f>
        <v/>
      </c>
      <c r="AU3625">
        <f>HYPERLINK("https://creighton-primo.hosted.exlibrisgroup.com/primo-explore/search?tab=default_tab&amp;search_scope=EVERYTHING&amp;vid=01CRU&amp;lang=en_US&amp;offset=0&amp;query=any,contains,991000023929702656","Catalog Record")</f>
        <v/>
      </c>
      <c r="AV3625">
        <f>HYPERLINK("http://www.worldcat.org/oclc/8587761","WorldCat Record")</f>
        <v/>
      </c>
      <c r="AW3625" t="inlineStr">
        <is>
          <t>32706566:eng</t>
        </is>
      </c>
      <c r="AX3625" t="inlineStr">
        <is>
          <t>8587761</t>
        </is>
      </c>
      <c r="AY3625" t="inlineStr">
        <is>
          <t>991000023929702656</t>
        </is>
      </c>
      <c r="AZ3625" t="inlineStr">
        <is>
          <t>991000023929702656</t>
        </is>
      </c>
      <c r="BA3625" t="inlineStr">
        <is>
          <t>2259562900002656</t>
        </is>
      </c>
      <c r="BB3625" t="inlineStr">
        <is>
          <t>BOOK</t>
        </is>
      </c>
      <c r="BD3625" t="inlineStr">
        <is>
          <t>9780805768350</t>
        </is>
      </c>
      <c r="BE3625" t="inlineStr">
        <is>
          <t>32285000755479</t>
        </is>
      </c>
      <c r="BF3625" t="inlineStr">
        <is>
          <t>893595186</t>
        </is>
      </c>
    </row>
    <row r="3626">
      <c r="A3626" t="inlineStr">
        <is>
          <t>No</t>
        </is>
      </c>
      <c r="B3626" t="inlineStr">
        <is>
          <t>CURAL</t>
        </is>
      </c>
      <c r="C3626" t="inlineStr">
        <is>
          <t>SHELVES</t>
        </is>
      </c>
      <c r="D3626" t="inlineStr">
        <is>
          <t>PR788.W65 C6 1992</t>
        </is>
      </c>
      <c r="E3626" t="inlineStr">
        <is>
          <t>0                      PR 0788000W  65                 C  6           1992</t>
        </is>
      </c>
      <c r="F3626" t="inlineStr">
        <is>
          <t>Representing femininity : middle-class subjectivity in Victorian and Edwardian women's autobiographies / Mary Jean Corbett.</t>
        </is>
      </c>
      <c r="H3626" t="inlineStr">
        <is>
          <t>No</t>
        </is>
      </c>
      <c r="I3626" t="inlineStr">
        <is>
          <t>1</t>
        </is>
      </c>
      <c r="J3626" t="inlineStr">
        <is>
          <t>No</t>
        </is>
      </c>
      <c r="K3626" t="inlineStr">
        <is>
          <t>No</t>
        </is>
      </c>
      <c r="L3626" t="inlineStr">
        <is>
          <t>0</t>
        </is>
      </c>
      <c r="M3626" t="inlineStr">
        <is>
          <t>Corbett, Mary Jean, 1962-</t>
        </is>
      </c>
      <c r="N3626" t="inlineStr">
        <is>
          <t>New York : Oxford University Press, 1992.</t>
        </is>
      </c>
      <c r="O3626" t="inlineStr">
        <is>
          <t>1992</t>
        </is>
      </c>
      <c r="Q3626" t="inlineStr">
        <is>
          <t>eng</t>
        </is>
      </c>
      <c r="R3626" t="inlineStr">
        <is>
          <t>nyu</t>
        </is>
      </c>
      <c r="T3626" t="inlineStr">
        <is>
          <t xml:space="preserve">PR </t>
        </is>
      </c>
      <c r="U3626" t="n">
        <v>3</v>
      </c>
      <c r="V3626" t="n">
        <v>3</v>
      </c>
      <c r="W3626" t="inlineStr">
        <is>
          <t>1995-04-25</t>
        </is>
      </c>
      <c r="X3626" t="inlineStr">
        <is>
          <t>1995-04-25</t>
        </is>
      </c>
      <c r="Y3626" t="inlineStr">
        <is>
          <t>1992-06-29</t>
        </is>
      </c>
      <c r="Z3626" t="inlineStr">
        <is>
          <t>1992-06-29</t>
        </is>
      </c>
      <c r="AA3626" t="n">
        <v>527</v>
      </c>
      <c r="AB3626" t="n">
        <v>407</v>
      </c>
      <c r="AC3626" t="n">
        <v>415</v>
      </c>
      <c r="AD3626" t="n">
        <v>4</v>
      </c>
      <c r="AE3626" t="n">
        <v>4</v>
      </c>
      <c r="AF3626" t="n">
        <v>27</v>
      </c>
      <c r="AG3626" t="n">
        <v>27</v>
      </c>
      <c r="AH3626" t="n">
        <v>7</v>
      </c>
      <c r="AI3626" t="n">
        <v>7</v>
      </c>
      <c r="AJ3626" t="n">
        <v>8</v>
      </c>
      <c r="AK3626" t="n">
        <v>8</v>
      </c>
      <c r="AL3626" t="n">
        <v>17</v>
      </c>
      <c r="AM3626" t="n">
        <v>17</v>
      </c>
      <c r="AN3626" t="n">
        <v>3</v>
      </c>
      <c r="AO3626" t="n">
        <v>3</v>
      </c>
      <c r="AP3626" t="n">
        <v>0</v>
      </c>
      <c r="AQ3626" t="n">
        <v>0</v>
      </c>
      <c r="AR3626" t="inlineStr">
        <is>
          <t>No</t>
        </is>
      </c>
      <c r="AS3626" t="inlineStr">
        <is>
          <t>Yes</t>
        </is>
      </c>
      <c r="AT3626">
        <f>HYPERLINK("http://catalog.hathitrust.org/Record/002516214","HathiTrust Record")</f>
        <v/>
      </c>
      <c r="AU3626">
        <f>HYPERLINK("https://creighton-primo.hosted.exlibrisgroup.com/primo-explore/search?tab=default_tab&amp;search_scope=EVERYTHING&amp;vid=01CRU&amp;lang=en_US&amp;offset=0&amp;query=any,contains,991001873779702656","Catalog Record")</f>
        <v/>
      </c>
      <c r="AV3626">
        <f>HYPERLINK("http://www.worldcat.org/oclc/23651517","WorldCat Record")</f>
        <v/>
      </c>
      <c r="AW3626" t="inlineStr">
        <is>
          <t>42157031:eng</t>
        </is>
      </c>
      <c r="AX3626" t="inlineStr">
        <is>
          <t>23651517</t>
        </is>
      </c>
      <c r="AY3626" t="inlineStr">
        <is>
          <t>991001873779702656</t>
        </is>
      </c>
      <c r="AZ3626" t="inlineStr">
        <is>
          <t>991001873779702656</t>
        </is>
      </c>
      <c r="BA3626" t="inlineStr">
        <is>
          <t>2265540570002656</t>
        </is>
      </c>
      <c r="BB3626" t="inlineStr">
        <is>
          <t>BOOK</t>
        </is>
      </c>
      <c r="BD3626" t="inlineStr">
        <is>
          <t>9780195068580</t>
        </is>
      </c>
      <c r="BE3626" t="inlineStr">
        <is>
          <t>32285001156297</t>
        </is>
      </c>
      <c r="BF3626" t="inlineStr">
        <is>
          <t>893444832</t>
        </is>
      </c>
    </row>
    <row r="3627">
      <c r="A3627" t="inlineStr">
        <is>
          <t>No</t>
        </is>
      </c>
      <c r="B3627" t="inlineStr">
        <is>
          <t>CURAL</t>
        </is>
      </c>
      <c r="C3627" t="inlineStr">
        <is>
          <t>SHELVES</t>
        </is>
      </c>
      <c r="D3627" t="inlineStr">
        <is>
          <t>PR808.A9 F56 1985</t>
        </is>
      </c>
      <c r="E3627" t="inlineStr">
        <is>
          <t>0                      PR 0808000A  9                  F  56          1985</t>
        </is>
      </c>
      <c r="F3627" t="inlineStr">
        <is>
          <t>The inner I : British literary autobiography of the twentieth century / Brian Finney.</t>
        </is>
      </c>
      <c r="H3627" t="inlineStr">
        <is>
          <t>No</t>
        </is>
      </c>
      <c r="I3627" t="inlineStr">
        <is>
          <t>1</t>
        </is>
      </c>
      <c r="J3627" t="inlineStr">
        <is>
          <t>No</t>
        </is>
      </c>
      <c r="K3627" t="inlineStr">
        <is>
          <t>No</t>
        </is>
      </c>
      <c r="L3627" t="inlineStr">
        <is>
          <t>0</t>
        </is>
      </c>
      <c r="M3627" t="inlineStr">
        <is>
          <t>Finney, Brian.</t>
        </is>
      </c>
      <c r="N3627" t="inlineStr">
        <is>
          <t>New York : Oxford University Press, 1985.</t>
        </is>
      </c>
      <c r="O3627" t="inlineStr">
        <is>
          <t>1985</t>
        </is>
      </c>
      <c r="Q3627" t="inlineStr">
        <is>
          <t>eng</t>
        </is>
      </c>
      <c r="R3627" t="inlineStr">
        <is>
          <t>nyu</t>
        </is>
      </c>
      <c r="T3627" t="inlineStr">
        <is>
          <t xml:space="preserve">PR </t>
        </is>
      </c>
      <c r="U3627" t="n">
        <v>1</v>
      </c>
      <c r="V3627" t="n">
        <v>1</v>
      </c>
      <c r="W3627" t="inlineStr">
        <is>
          <t>2005-05-04</t>
        </is>
      </c>
      <c r="X3627" t="inlineStr">
        <is>
          <t>2005-05-04</t>
        </is>
      </c>
      <c r="Y3627" t="inlineStr">
        <is>
          <t>2005-05-04</t>
        </is>
      </c>
      <c r="Z3627" t="inlineStr">
        <is>
          <t>2005-05-04</t>
        </is>
      </c>
      <c r="AA3627" t="n">
        <v>434</v>
      </c>
      <c r="AB3627" t="n">
        <v>401</v>
      </c>
      <c r="AC3627" t="n">
        <v>407</v>
      </c>
      <c r="AD3627" t="n">
        <v>3</v>
      </c>
      <c r="AE3627" t="n">
        <v>3</v>
      </c>
      <c r="AF3627" t="n">
        <v>17</v>
      </c>
      <c r="AG3627" t="n">
        <v>17</v>
      </c>
      <c r="AH3627" t="n">
        <v>4</v>
      </c>
      <c r="AI3627" t="n">
        <v>4</v>
      </c>
      <c r="AJ3627" t="n">
        <v>6</v>
      </c>
      <c r="AK3627" t="n">
        <v>6</v>
      </c>
      <c r="AL3627" t="n">
        <v>10</v>
      </c>
      <c r="AM3627" t="n">
        <v>10</v>
      </c>
      <c r="AN3627" t="n">
        <v>2</v>
      </c>
      <c r="AO3627" t="n">
        <v>2</v>
      </c>
      <c r="AP3627" t="n">
        <v>0</v>
      </c>
      <c r="AQ3627" t="n">
        <v>0</v>
      </c>
      <c r="AR3627" t="inlineStr">
        <is>
          <t>No</t>
        </is>
      </c>
      <c r="AS3627" t="inlineStr">
        <is>
          <t>Yes</t>
        </is>
      </c>
      <c r="AT3627">
        <f>HYPERLINK("http://catalog.hathitrust.org/Record/006209980","HathiTrust Record")</f>
        <v/>
      </c>
      <c r="AU3627">
        <f>HYPERLINK("https://creighton-primo.hosted.exlibrisgroup.com/primo-explore/search?tab=default_tab&amp;search_scope=EVERYTHING&amp;vid=01CRU&amp;lang=en_US&amp;offset=0&amp;query=any,contains,991004549909702656","Catalog Record")</f>
        <v/>
      </c>
      <c r="AV3627">
        <f>HYPERLINK("http://www.worldcat.org/oclc/12420570","WorldCat Record")</f>
        <v/>
      </c>
      <c r="AW3627" t="inlineStr">
        <is>
          <t>292022755:eng</t>
        </is>
      </c>
      <c r="AX3627" t="inlineStr">
        <is>
          <t>12420570</t>
        </is>
      </c>
      <c r="AY3627" t="inlineStr">
        <is>
          <t>991004549909702656</t>
        </is>
      </c>
      <c r="AZ3627" t="inlineStr">
        <is>
          <t>991004549909702656</t>
        </is>
      </c>
      <c r="BA3627" t="inlineStr">
        <is>
          <t>2255023860002656</t>
        </is>
      </c>
      <c r="BB3627" t="inlineStr">
        <is>
          <t>BOOK</t>
        </is>
      </c>
      <c r="BD3627" t="inlineStr">
        <is>
          <t>9780195037388</t>
        </is>
      </c>
      <c r="BE3627" t="inlineStr">
        <is>
          <t>32285005035653</t>
        </is>
      </c>
      <c r="BF3627" t="inlineStr">
        <is>
          <t>893446278</t>
        </is>
      </c>
    </row>
    <row r="3628">
      <c r="A3628" t="inlineStr">
        <is>
          <t>No</t>
        </is>
      </c>
      <c r="B3628" t="inlineStr">
        <is>
          <t>CURAL</t>
        </is>
      </c>
      <c r="C3628" t="inlineStr">
        <is>
          <t>SHELVES</t>
        </is>
      </c>
      <c r="D3628" t="inlineStr">
        <is>
          <t>PR808.W65 J62 2000</t>
        </is>
      </c>
      <c r="E3628" t="inlineStr">
        <is>
          <t>0                      PR 0808000W  65                 J  62          2000</t>
        </is>
      </c>
      <c r="F3628" t="inlineStr">
        <is>
          <t>Contemporary women's writing : from The golden notebook to The color purple / Maroula Joannou.</t>
        </is>
      </c>
      <c r="H3628" t="inlineStr">
        <is>
          <t>No</t>
        </is>
      </c>
      <c r="I3628" t="inlineStr">
        <is>
          <t>1</t>
        </is>
      </c>
      <c r="J3628" t="inlineStr">
        <is>
          <t>No</t>
        </is>
      </c>
      <c r="K3628" t="inlineStr">
        <is>
          <t>No</t>
        </is>
      </c>
      <c r="L3628" t="inlineStr">
        <is>
          <t>0</t>
        </is>
      </c>
      <c r="M3628" t="inlineStr">
        <is>
          <t>Joannou, Maroula.</t>
        </is>
      </c>
      <c r="N3628" t="inlineStr">
        <is>
          <t>Manchester ; New York : Manchester University Press ; New York : Distributed exclusively in the USA by St. Martin's Press, 2000.</t>
        </is>
      </c>
      <c r="O3628" t="inlineStr">
        <is>
          <t>2000</t>
        </is>
      </c>
      <c r="Q3628" t="inlineStr">
        <is>
          <t>eng</t>
        </is>
      </c>
      <c r="R3628" t="inlineStr">
        <is>
          <t>enk</t>
        </is>
      </c>
      <c r="T3628" t="inlineStr">
        <is>
          <t xml:space="preserve">PR </t>
        </is>
      </c>
      <c r="U3628" t="n">
        <v>1</v>
      </c>
      <c r="V3628" t="n">
        <v>1</v>
      </c>
      <c r="W3628" t="inlineStr">
        <is>
          <t>2001-11-08</t>
        </is>
      </c>
      <c r="X3628" t="inlineStr">
        <is>
          <t>2001-11-08</t>
        </is>
      </c>
      <c r="Y3628" t="inlineStr">
        <is>
          <t>2001-11-08</t>
        </is>
      </c>
      <c r="Z3628" t="inlineStr">
        <is>
          <t>2001-11-08</t>
        </is>
      </c>
      <c r="AA3628" t="n">
        <v>458</v>
      </c>
      <c r="AB3628" t="n">
        <v>348</v>
      </c>
      <c r="AC3628" t="n">
        <v>350</v>
      </c>
      <c r="AD3628" t="n">
        <v>2</v>
      </c>
      <c r="AE3628" t="n">
        <v>2</v>
      </c>
      <c r="AF3628" t="n">
        <v>17</v>
      </c>
      <c r="AG3628" t="n">
        <v>17</v>
      </c>
      <c r="AH3628" t="n">
        <v>8</v>
      </c>
      <c r="AI3628" t="n">
        <v>8</v>
      </c>
      <c r="AJ3628" t="n">
        <v>6</v>
      </c>
      <c r="AK3628" t="n">
        <v>6</v>
      </c>
      <c r="AL3628" t="n">
        <v>8</v>
      </c>
      <c r="AM3628" t="n">
        <v>8</v>
      </c>
      <c r="AN3628" t="n">
        <v>1</v>
      </c>
      <c r="AO3628" t="n">
        <v>1</v>
      </c>
      <c r="AP3628" t="n">
        <v>0</v>
      </c>
      <c r="AQ3628" t="n">
        <v>0</v>
      </c>
      <c r="AR3628" t="inlineStr">
        <is>
          <t>No</t>
        </is>
      </c>
      <c r="AS3628" t="inlineStr">
        <is>
          <t>Yes</t>
        </is>
      </c>
      <c r="AT3628">
        <f>HYPERLINK("http://catalog.hathitrust.org/Record/004159183","HathiTrust Record")</f>
        <v/>
      </c>
      <c r="AU3628">
        <f>HYPERLINK("https://creighton-primo.hosted.exlibrisgroup.com/primo-explore/search?tab=default_tab&amp;search_scope=EVERYTHING&amp;vid=01CRU&amp;lang=en_US&amp;offset=0&amp;query=any,contains,991003643269702656","Catalog Record")</f>
        <v/>
      </c>
      <c r="AV3628">
        <f>HYPERLINK("http://www.worldcat.org/oclc/46330137","WorldCat Record")</f>
        <v/>
      </c>
      <c r="AW3628" t="inlineStr">
        <is>
          <t>327338807:eng</t>
        </is>
      </c>
      <c r="AX3628" t="inlineStr">
        <is>
          <t>46330137</t>
        </is>
      </c>
      <c r="AY3628" t="inlineStr">
        <is>
          <t>991003643269702656</t>
        </is>
      </c>
      <c r="AZ3628" t="inlineStr">
        <is>
          <t>991003643269702656</t>
        </is>
      </c>
      <c r="BA3628" t="inlineStr">
        <is>
          <t>2270713960002656</t>
        </is>
      </c>
      <c r="BB3628" t="inlineStr">
        <is>
          <t>BOOK</t>
        </is>
      </c>
      <c r="BD3628" t="inlineStr">
        <is>
          <t>9780719053382</t>
        </is>
      </c>
      <c r="BE3628" t="inlineStr">
        <is>
          <t>32285004419890</t>
        </is>
      </c>
      <c r="BF3628" t="inlineStr">
        <is>
          <t>893623714</t>
        </is>
      </c>
    </row>
    <row r="3629">
      <c r="A3629" t="inlineStr">
        <is>
          <t>No</t>
        </is>
      </c>
      <c r="B3629" t="inlineStr">
        <is>
          <t>CURAL</t>
        </is>
      </c>
      <c r="C3629" t="inlineStr">
        <is>
          <t>SHELVES</t>
        </is>
      </c>
      <c r="D3629" t="inlineStr">
        <is>
          <t>PR821 .A4 1955</t>
        </is>
      </c>
      <c r="E3629" t="inlineStr">
        <is>
          <t>0                      PR 0821000A  4           1955</t>
        </is>
      </c>
      <c r="F3629" t="inlineStr">
        <is>
          <t>The English novel; a short critical history, by Walter Allen.</t>
        </is>
      </c>
      <c r="H3629" t="inlineStr">
        <is>
          <t>No</t>
        </is>
      </c>
      <c r="I3629" t="inlineStr">
        <is>
          <t>1</t>
        </is>
      </c>
      <c r="J3629" t="inlineStr">
        <is>
          <t>No</t>
        </is>
      </c>
      <c r="K3629" t="inlineStr">
        <is>
          <t>No</t>
        </is>
      </c>
      <c r="L3629" t="inlineStr">
        <is>
          <t>0</t>
        </is>
      </c>
      <c r="M3629" t="inlineStr">
        <is>
          <t>Allen, Walter Ernest, 1911-1995.</t>
        </is>
      </c>
      <c r="N3629" t="inlineStr">
        <is>
          <t>N.Y., Dutton [c.1954].</t>
        </is>
      </c>
      <c r="O3629" t="inlineStr">
        <is>
          <t>1954</t>
        </is>
      </c>
      <c r="Q3629" t="inlineStr">
        <is>
          <t>eng</t>
        </is>
      </c>
      <c r="R3629" t="inlineStr">
        <is>
          <t xml:space="preserve">xx </t>
        </is>
      </c>
      <c r="T3629" t="inlineStr">
        <is>
          <t xml:space="preserve">PR </t>
        </is>
      </c>
      <c r="U3629" t="n">
        <v>1</v>
      </c>
      <c r="V3629" t="n">
        <v>1</v>
      </c>
      <c r="W3629" t="inlineStr">
        <is>
          <t>2004-09-27</t>
        </is>
      </c>
      <c r="X3629" t="inlineStr">
        <is>
          <t>2004-09-27</t>
        </is>
      </c>
      <c r="Y3629" t="inlineStr">
        <is>
          <t>1997-09-12</t>
        </is>
      </c>
      <c r="Z3629" t="inlineStr">
        <is>
          <t>1997-09-12</t>
        </is>
      </c>
      <c r="AA3629" t="n">
        <v>1625</v>
      </c>
      <c r="AB3629" t="n">
        <v>1559</v>
      </c>
      <c r="AC3629" t="n">
        <v>1717</v>
      </c>
      <c r="AD3629" t="n">
        <v>16</v>
      </c>
      <c r="AE3629" t="n">
        <v>17</v>
      </c>
      <c r="AF3629" t="n">
        <v>46</v>
      </c>
      <c r="AG3629" t="n">
        <v>54</v>
      </c>
      <c r="AH3629" t="n">
        <v>18</v>
      </c>
      <c r="AI3629" t="n">
        <v>21</v>
      </c>
      <c r="AJ3629" t="n">
        <v>8</v>
      </c>
      <c r="AK3629" t="n">
        <v>10</v>
      </c>
      <c r="AL3629" t="n">
        <v>20</v>
      </c>
      <c r="AM3629" t="n">
        <v>24</v>
      </c>
      <c r="AN3629" t="n">
        <v>9</v>
      </c>
      <c r="AO3629" t="n">
        <v>10</v>
      </c>
      <c r="AP3629" t="n">
        <v>0</v>
      </c>
      <c r="AQ3629" t="n">
        <v>0</v>
      </c>
      <c r="AR3629" t="inlineStr">
        <is>
          <t>No</t>
        </is>
      </c>
      <c r="AS3629" t="inlineStr">
        <is>
          <t>Yes</t>
        </is>
      </c>
      <c r="AT3629">
        <f>HYPERLINK("http://catalog.hathitrust.org/Record/001016679","HathiTrust Record")</f>
        <v/>
      </c>
      <c r="AU3629">
        <f>HYPERLINK("https://creighton-primo.hosted.exlibrisgroup.com/primo-explore/search?tab=default_tab&amp;search_scope=EVERYTHING&amp;vid=01CRU&amp;lang=en_US&amp;offset=0&amp;query=any,contains,991001912919702656","Catalog Record")</f>
        <v/>
      </c>
      <c r="AV3629">
        <f>HYPERLINK("http://www.worldcat.org/oclc/355642","WorldCat Record")</f>
        <v/>
      </c>
      <c r="AW3629" t="inlineStr">
        <is>
          <t>1398438:eng</t>
        </is>
      </c>
      <c r="AX3629" t="inlineStr">
        <is>
          <t>355642</t>
        </is>
      </c>
      <c r="AY3629" t="inlineStr">
        <is>
          <t>991001912919702656</t>
        </is>
      </c>
      <c r="AZ3629" t="inlineStr">
        <is>
          <t>991001912919702656</t>
        </is>
      </c>
      <c r="BA3629" t="inlineStr">
        <is>
          <t>2269476000002656</t>
        </is>
      </c>
      <c r="BB3629" t="inlineStr">
        <is>
          <t>BOOK</t>
        </is>
      </c>
      <c r="BE3629" t="inlineStr">
        <is>
          <t>32285003216032</t>
        </is>
      </c>
      <c r="BF3629" t="inlineStr">
        <is>
          <t>893529329</t>
        </is>
      </c>
    </row>
    <row r="3630">
      <c r="A3630" t="inlineStr">
        <is>
          <t>No</t>
        </is>
      </c>
      <c r="B3630" t="inlineStr">
        <is>
          <t>CURAL</t>
        </is>
      </c>
      <c r="C3630" t="inlineStr">
        <is>
          <t>SHELVES</t>
        </is>
      </c>
      <c r="D3630" t="inlineStr">
        <is>
          <t>PR821 .F58</t>
        </is>
      </c>
      <c r="E3630" t="inlineStr">
        <is>
          <t>0                      PR 0821000F  58</t>
        </is>
      </c>
      <c r="F3630" t="inlineStr">
        <is>
          <t>Critical writings of Ford Madox Ford / edited by Frank MacShane.</t>
        </is>
      </c>
      <c r="H3630" t="inlineStr">
        <is>
          <t>No</t>
        </is>
      </c>
      <c r="I3630" t="inlineStr">
        <is>
          <t>1</t>
        </is>
      </c>
      <c r="J3630" t="inlineStr">
        <is>
          <t>No</t>
        </is>
      </c>
      <c r="K3630" t="inlineStr">
        <is>
          <t>No</t>
        </is>
      </c>
      <c r="L3630" t="inlineStr">
        <is>
          <t>0</t>
        </is>
      </c>
      <c r="M3630" t="inlineStr">
        <is>
          <t>Ford, Ford Madox, 1873-1939.</t>
        </is>
      </c>
      <c r="N3630" t="inlineStr">
        <is>
          <t>Lincoln : University of Nebraska Press, 1964.</t>
        </is>
      </c>
      <c r="O3630" t="inlineStr">
        <is>
          <t>1964</t>
        </is>
      </c>
      <c r="Q3630" t="inlineStr">
        <is>
          <t>eng</t>
        </is>
      </c>
      <c r="R3630" t="inlineStr">
        <is>
          <t xml:space="preserve">xx </t>
        </is>
      </c>
      <c r="S3630" t="inlineStr">
        <is>
          <t>A Bison book</t>
        </is>
      </c>
      <c r="T3630" t="inlineStr">
        <is>
          <t xml:space="preserve">PR </t>
        </is>
      </c>
      <c r="U3630" t="n">
        <v>0</v>
      </c>
      <c r="V3630" t="n">
        <v>0</v>
      </c>
      <c r="W3630" t="inlineStr">
        <is>
          <t>2003-02-11</t>
        </is>
      </c>
      <c r="X3630" t="inlineStr">
        <is>
          <t>2003-02-11</t>
        </is>
      </c>
      <c r="Y3630" t="inlineStr">
        <is>
          <t>1997-09-12</t>
        </is>
      </c>
      <c r="Z3630" t="inlineStr">
        <is>
          <t>1997-09-12</t>
        </is>
      </c>
      <c r="AA3630" t="n">
        <v>138</v>
      </c>
      <c r="AB3630" t="n">
        <v>98</v>
      </c>
      <c r="AC3630" t="n">
        <v>98</v>
      </c>
      <c r="AD3630" t="n">
        <v>2</v>
      </c>
      <c r="AE3630" t="n">
        <v>2</v>
      </c>
      <c r="AF3630" t="n">
        <v>5</v>
      </c>
      <c r="AG3630" t="n">
        <v>5</v>
      </c>
      <c r="AH3630" t="n">
        <v>2</v>
      </c>
      <c r="AI3630" t="n">
        <v>2</v>
      </c>
      <c r="AJ3630" t="n">
        <v>1</v>
      </c>
      <c r="AK3630" t="n">
        <v>1</v>
      </c>
      <c r="AL3630" t="n">
        <v>1</v>
      </c>
      <c r="AM3630" t="n">
        <v>1</v>
      </c>
      <c r="AN3630" t="n">
        <v>1</v>
      </c>
      <c r="AO3630" t="n">
        <v>1</v>
      </c>
      <c r="AP3630" t="n">
        <v>0</v>
      </c>
      <c r="AQ3630" t="n">
        <v>0</v>
      </c>
      <c r="AR3630" t="inlineStr">
        <is>
          <t>No</t>
        </is>
      </c>
      <c r="AS3630" t="inlineStr">
        <is>
          <t>No</t>
        </is>
      </c>
      <c r="AU3630">
        <f>HYPERLINK("https://creighton-primo.hosted.exlibrisgroup.com/primo-explore/search?tab=default_tab&amp;search_scope=EVERYTHING&amp;vid=01CRU&amp;lang=en_US&amp;offset=0&amp;query=any,contains,991004462679702656","Catalog Record")</f>
        <v/>
      </c>
      <c r="AV3630">
        <f>HYPERLINK("http://www.worldcat.org/oclc/3551909","WorldCat Record")</f>
        <v/>
      </c>
      <c r="AW3630" t="inlineStr">
        <is>
          <t>10409356:eng</t>
        </is>
      </c>
      <c r="AX3630" t="inlineStr">
        <is>
          <t>3551909</t>
        </is>
      </c>
      <c r="AY3630" t="inlineStr">
        <is>
          <t>991004462679702656</t>
        </is>
      </c>
      <c r="AZ3630" t="inlineStr">
        <is>
          <t>991004462679702656</t>
        </is>
      </c>
      <c r="BA3630" t="inlineStr">
        <is>
          <t>2265214040002656</t>
        </is>
      </c>
      <c r="BB3630" t="inlineStr">
        <is>
          <t>BOOK</t>
        </is>
      </c>
      <c r="BE3630" t="inlineStr">
        <is>
          <t>32285003216172</t>
        </is>
      </c>
      <c r="BF3630" t="inlineStr">
        <is>
          <t>893500600</t>
        </is>
      </c>
    </row>
    <row r="3631">
      <c r="A3631" t="inlineStr">
        <is>
          <t>No</t>
        </is>
      </c>
      <c r="B3631" t="inlineStr">
        <is>
          <t>CURAL</t>
        </is>
      </c>
      <c r="C3631" t="inlineStr">
        <is>
          <t>SHELVES</t>
        </is>
      </c>
      <c r="D3631" t="inlineStr">
        <is>
          <t>PR821 .L6 1966</t>
        </is>
      </c>
      <c r="E3631" t="inlineStr">
        <is>
          <t>0                      PR 0821000L  6           1966</t>
        </is>
      </c>
      <c r="F3631" t="inlineStr">
        <is>
          <t>Language of fiction : essays in criticism and verbal analysis of the English novel.</t>
        </is>
      </c>
      <c r="H3631" t="inlineStr">
        <is>
          <t>No</t>
        </is>
      </c>
      <c r="I3631" t="inlineStr">
        <is>
          <t>1</t>
        </is>
      </c>
      <c r="J3631" t="inlineStr">
        <is>
          <t>No</t>
        </is>
      </c>
      <c r="K3631" t="inlineStr">
        <is>
          <t>No</t>
        </is>
      </c>
      <c r="L3631" t="inlineStr">
        <is>
          <t>0</t>
        </is>
      </c>
      <c r="M3631" t="inlineStr">
        <is>
          <t>Lodge, David, 1935-</t>
        </is>
      </c>
      <c r="N3631" t="inlineStr">
        <is>
          <t>London : Routledge &amp; K. Paul ; New York : Columbia U.P., 1966.</t>
        </is>
      </c>
      <c r="O3631" t="inlineStr">
        <is>
          <t>1966</t>
        </is>
      </c>
      <c r="Q3631" t="inlineStr">
        <is>
          <t>eng</t>
        </is>
      </c>
      <c r="R3631" t="inlineStr">
        <is>
          <t>enk</t>
        </is>
      </c>
      <c r="T3631" t="inlineStr">
        <is>
          <t xml:space="preserve">PR </t>
        </is>
      </c>
      <c r="U3631" t="n">
        <v>3</v>
      </c>
      <c r="V3631" t="n">
        <v>3</v>
      </c>
      <c r="W3631" t="inlineStr">
        <is>
          <t>2008-04-25</t>
        </is>
      </c>
      <c r="X3631" t="inlineStr">
        <is>
          <t>2008-04-25</t>
        </is>
      </c>
      <c r="Y3631" t="inlineStr">
        <is>
          <t>1991-09-12</t>
        </is>
      </c>
      <c r="Z3631" t="inlineStr">
        <is>
          <t>1991-09-12</t>
        </is>
      </c>
      <c r="AA3631" t="n">
        <v>1272</v>
      </c>
      <c r="AB3631" t="n">
        <v>1028</v>
      </c>
      <c r="AC3631" t="n">
        <v>1146</v>
      </c>
      <c r="AD3631" t="n">
        <v>11</v>
      </c>
      <c r="AE3631" t="n">
        <v>11</v>
      </c>
      <c r="AF3631" t="n">
        <v>47</v>
      </c>
      <c r="AG3631" t="n">
        <v>49</v>
      </c>
      <c r="AH3631" t="n">
        <v>16</v>
      </c>
      <c r="AI3631" t="n">
        <v>17</v>
      </c>
      <c r="AJ3631" t="n">
        <v>9</v>
      </c>
      <c r="AK3631" t="n">
        <v>10</v>
      </c>
      <c r="AL3631" t="n">
        <v>20</v>
      </c>
      <c r="AM3631" t="n">
        <v>20</v>
      </c>
      <c r="AN3631" t="n">
        <v>9</v>
      </c>
      <c r="AO3631" t="n">
        <v>9</v>
      </c>
      <c r="AP3631" t="n">
        <v>0</v>
      </c>
      <c r="AQ3631" t="n">
        <v>0</v>
      </c>
      <c r="AR3631" t="inlineStr">
        <is>
          <t>No</t>
        </is>
      </c>
      <c r="AS3631" t="inlineStr">
        <is>
          <t>Yes</t>
        </is>
      </c>
      <c r="AT3631">
        <f>HYPERLINK("http://catalog.hathitrust.org/Record/001016685","HathiTrust Record")</f>
        <v/>
      </c>
      <c r="AU3631">
        <f>HYPERLINK("https://creighton-primo.hosted.exlibrisgroup.com/primo-explore/search?tab=default_tab&amp;search_scope=EVERYTHING&amp;vid=01CRU&amp;lang=en_US&amp;offset=0&amp;query=any,contains,991003595149702656","Catalog Record")</f>
        <v/>
      </c>
      <c r="AV3631">
        <f>HYPERLINK("http://www.worldcat.org/oclc/1175577","WorldCat Record")</f>
        <v/>
      </c>
      <c r="AW3631" t="inlineStr">
        <is>
          <t>2120760:eng</t>
        </is>
      </c>
      <c r="AX3631" t="inlineStr">
        <is>
          <t>1175577</t>
        </is>
      </c>
      <c r="AY3631" t="inlineStr">
        <is>
          <t>991003595149702656</t>
        </is>
      </c>
      <c r="AZ3631" t="inlineStr">
        <is>
          <t>991003595149702656</t>
        </is>
      </c>
      <c r="BA3631" t="inlineStr">
        <is>
          <t>2271884950002656</t>
        </is>
      </c>
      <c r="BB3631" t="inlineStr">
        <is>
          <t>BOOK</t>
        </is>
      </c>
      <c r="BE3631" t="inlineStr">
        <is>
          <t>32285000755545</t>
        </is>
      </c>
      <c r="BF3631" t="inlineStr">
        <is>
          <t>893499461</t>
        </is>
      </c>
    </row>
    <row r="3632">
      <c r="A3632" t="inlineStr">
        <is>
          <t>No</t>
        </is>
      </c>
      <c r="B3632" t="inlineStr">
        <is>
          <t>CURAL</t>
        </is>
      </c>
      <c r="C3632" t="inlineStr">
        <is>
          <t>SHELVES</t>
        </is>
      </c>
      <c r="D3632" t="inlineStr">
        <is>
          <t>PR821 .M16</t>
        </is>
      </c>
      <c r="E3632" t="inlineStr">
        <is>
          <t>0                      PR 0821000M  16</t>
        </is>
      </c>
      <c r="F3632" t="inlineStr">
        <is>
          <t>Representative English novelists: Defoe to Conrad, by Bruce McCullough.</t>
        </is>
      </c>
      <c r="H3632" t="inlineStr">
        <is>
          <t>No</t>
        </is>
      </c>
      <c r="I3632" t="inlineStr">
        <is>
          <t>1</t>
        </is>
      </c>
      <c r="J3632" t="inlineStr">
        <is>
          <t>No</t>
        </is>
      </c>
      <c r="K3632" t="inlineStr">
        <is>
          <t>No</t>
        </is>
      </c>
      <c r="L3632" t="inlineStr">
        <is>
          <t>0</t>
        </is>
      </c>
      <c r="M3632" t="inlineStr">
        <is>
          <t>McCullough, Bruce, 1891-</t>
        </is>
      </c>
      <c r="N3632" t="inlineStr">
        <is>
          <t>New York, London, Harper &amp; brothers [1946]</t>
        </is>
      </c>
      <c r="O3632" t="inlineStr">
        <is>
          <t>1946</t>
        </is>
      </c>
      <c r="Q3632" t="inlineStr">
        <is>
          <t>eng</t>
        </is>
      </c>
      <c r="R3632" t="inlineStr">
        <is>
          <t>nyu</t>
        </is>
      </c>
      <c r="T3632" t="inlineStr">
        <is>
          <t xml:space="preserve">PR </t>
        </is>
      </c>
      <c r="U3632" t="n">
        <v>1</v>
      </c>
      <c r="V3632" t="n">
        <v>1</v>
      </c>
      <c r="W3632" t="inlineStr">
        <is>
          <t>2006-03-21</t>
        </is>
      </c>
      <c r="X3632" t="inlineStr">
        <is>
          <t>2006-03-21</t>
        </is>
      </c>
      <c r="Y3632" t="inlineStr">
        <is>
          <t>1997-09-12</t>
        </is>
      </c>
      <c r="Z3632" t="inlineStr">
        <is>
          <t>1997-09-12</t>
        </is>
      </c>
      <c r="AA3632" t="n">
        <v>1131</v>
      </c>
      <c r="AB3632" t="n">
        <v>1045</v>
      </c>
      <c r="AC3632" t="n">
        <v>1094</v>
      </c>
      <c r="AD3632" t="n">
        <v>9</v>
      </c>
      <c r="AE3632" t="n">
        <v>9</v>
      </c>
      <c r="AF3632" t="n">
        <v>38</v>
      </c>
      <c r="AG3632" t="n">
        <v>39</v>
      </c>
      <c r="AH3632" t="n">
        <v>15</v>
      </c>
      <c r="AI3632" t="n">
        <v>15</v>
      </c>
      <c r="AJ3632" t="n">
        <v>6</v>
      </c>
      <c r="AK3632" t="n">
        <v>6</v>
      </c>
      <c r="AL3632" t="n">
        <v>18</v>
      </c>
      <c r="AM3632" t="n">
        <v>19</v>
      </c>
      <c r="AN3632" t="n">
        <v>7</v>
      </c>
      <c r="AO3632" t="n">
        <v>7</v>
      </c>
      <c r="AP3632" t="n">
        <v>0</v>
      </c>
      <c r="AQ3632" t="n">
        <v>0</v>
      </c>
      <c r="AR3632" t="inlineStr">
        <is>
          <t>No</t>
        </is>
      </c>
      <c r="AS3632" t="inlineStr">
        <is>
          <t>Yes</t>
        </is>
      </c>
      <c r="AT3632">
        <f>HYPERLINK("http://catalog.hathitrust.org/Record/000249059","HathiTrust Record")</f>
        <v/>
      </c>
      <c r="AU3632">
        <f>HYPERLINK("https://creighton-primo.hosted.exlibrisgroup.com/primo-explore/search?tab=default_tab&amp;search_scope=EVERYTHING&amp;vid=01CRU&amp;lang=en_US&amp;offset=0&amp;query=any,contains,991002443579702656","Catalog Record")</f>
        <v/>
      </c>
      <c r="AV3632">
        <f>HYPERLINK("http://www.worldcat.org/oclc/350891","WorldCat Record")</f>
        <v/>
      </c>
      <c r="AW3632" t="inlineStr">
        <is>
          <t>499098:eng</t>
        </is>
      </c>
      <c r="AX3632" t="inlineStr">
        <is>
          <t>350891</t>
        </is>
      </c>
      <c r="AY3632" t="inlineStr">
        <is>
          <t>991002443579702656</t>
        </is>
      </c>
      <c r="AZ3632" t="inlineStr">
        <is>
          <t>991002443579702656</t>
        </is>
      </c>
      <c r="BA3632" t="inlineStr">
        <is>
          <t>2268806070002656</t>
        </is>
      </c>
      <c r="BB3632" t="inlineStr">
        <is>
          <t>BOOK</t>
        </is>
      </c>
      <c r="BE3632" t="inlineStr">
        <is>
          <t>32285003216230</t>
        </is>
      </c>
      <c r="BF3632" t="inlineStr">
        <is>
          <t>893873526</t>
        </is>
      </c>
    </row>
    <row r="3633">
      <c r="A3633" t="inlineStr">
        <is>
          <t>No</t>
        </is>
      </c>
      <c r="B3633" t="inlineStr">
        <is>
          <t>CURAL</t>
        </is>
      </c>
      <c r="C3633" t="inlineStr">
        <is>
          <t>SHELVES</t>
        </is>
      </c>
      <c r="D3633" t="inlineStr">
        <is>
          <t>PR821 .N48 1985</t>
        </is>
      </c>
      <c r="E3633" t="inlineStr">
        <is>
          <t>0                      PR 0821000N  48          1985</t>
        </is>
      </c>
      <c r="F3633" t="inlineStr">
        <is>
          <t>Fiction and purpose in Utopia, Rasselas, The mill on the Floss, and Women in love / Peter New.</t>
        </is>
      </c>
      <c r="H3633" t="inlineStr">
        <is>
          <t>No</t>
        </is>
      </c>
      <c r="I3633" t="inlineStr">
        <is>
          <t>1</t>
        </is>
      </c>
      <c r="J3633" t="inlineStr">
        <is>
          <t>No</t>
        </is>
      </c>
      <c r="K3633" t="inlineStr">
        <is>
          <t>No</t>
        </is>
      </c>
      <c r="L3633" t="inlineStr">
        <is>
          <t>0</t>
        </is>
      </c>
      <c r="M3633" t="inlineStr">
        <is>
          <t>New, Peter.</t>
        </is>
      </c>
      <c r="N3633" t="inlineStr">
        <is>
          <t>New York : St. Martin's Press, 1985.</t>
        </is>
      </c>
      <c r="O3633" t="inlineStr">
        <is>
          <t>1985</t>
        </is>
      </c>
      <c r="Q3633" t="inlineStr">
        <is>
          <t>eng</t>
        </is>
      </c>
      <c r="R3633" t="inlineStr">
        <is>
          <t>nyu</t>
        </is>
      </c>
      <c r="T3633" t="inlineStr">
        <is>
          <t xml:space="preserve">PR </t>
        </is>
      </c>
      <c r="U3633" t="n">
        <v>8</v>
      </c>
      <c r="V3633" t="n">
        <v>8</v>
      </c>
      <c r="W3633" t="inlineStr">
        <is>
          <t>2000-10-23</t>
        </is>
      </c>
      <c r="X3633" t="inlineStr">
        <is>
          <t>2000-10-23</t>
        </is>
      </c>
      <c r="Y3633" t="inlineStr">
        <is>
          <t>1991-09-11</t>
        </is>
      </c>
      <c r="Z3633" t="inlineStr">
        <is>
          <t>1991-09-11</t>
        </is>
      </c>
      <c r="AA3633" t="n">
        <v>168</v>
      </c>
      <c r="AB3633" t="n">
        <v>154</v>
      </c>
      <c r="AC3633" t="n">
        <v>236</v>
      </c>
      <c r="AD3633" t="n">
        <v>1</v>
      </c>
      <c r="AE3633" t="n">
        <v>3</v>
      </c>
      <c r="AF3633" t="n">
        <v>9</v>
      </c>
      <c r="AG3633" t="n">
        <v>12</v>
      </c>
      <c r="AH3633" t="n">
        <v>3</v>
      </c>
      <c r="AI3633" t="n">
        <v>3</v>
      </c>
      <c r="AJ3633" t="n">
        <v>2</v>
      </c>
      <c r="AK3633" t="n">
        <v>2</v>
      </c>
      <c r="AL3633" t="n">
        <v>6</v>
      </c>
      <c r="AM3633" t="n">
        <v>7</v>
      </c>
      <c r="AN3633" t="n">
        <v>0</v>
      </c>
      <c r="AO3633" t="n">
        <v>2</v>
      </c>
      <c r="AP3633" t="n">
        <v>0</v>
      </c>
      <c r="AQ3633" t="n">
        <v>0</v>
      </c>
      <c r="AR3633" t="inlineStr">
        <is>
          <t>No</t>
        </is>
      </c>
      <c r="AS3633" t="inlineStr">
        <is>
          <t>No</t>
        </is>
      </c>
      <c r="AU3633">
        <f>HYPERLINK("https://creighton-primo.hosted.exlibrisgroup.com/primo-explore/search?tab=default_tab&amp;search_scope=EVERYTHING&amp;vid=01CRU&amp;lang=en_US&amp;offset=0&amp;query=any,contains,991000514159702656","Catalog Record")</f>
        <v/>
      </c>
      <c r="AV3633">
        <f>HYPERLINK("http://www.worldcat.org/oclc/11262123","WorldCat Record")</f>
        <v/>
      </c>
      <c r="AW3633" t="inlineStr">
        <is>
          <t>3869758:eng</t>
        </is>
      </c>
      <c r="AX3633" t="inlineStr">
        <is>
          <t>11262123</t>
        </is>
      </c>
      <c r="AY3633" t="inlineStr">
        <is>
          <t>991000514159702656</t>
        </is>
      </c>
      <c r="AZ3633" t="inlineStr">
        <is>
          <t>991000514159702656</t>
        </is>
      </c>
      <c r="BA3633" t="inlineStr">
        <is>
          <t>2265969460002656</t>
        </is>
      </c>
      <c r="BB3633" t="inlineStr">
        <is>
          <t>BOOK</t>
        </is>
      </c>
      <c r="BD3633" t="inlineStr">
        <is>
          <t>9780312288105</t>
        </is>
      </c>
      <c r="BE3633" t="inlineStr">
        <is>
          <t>32285000755552</t>
        </is>
      </c>
      <c r="BF3633" t="inlineStr">
        <is>
          <t>893802840</t>
        </is>
      </c>
    </row>
    <row r="3634">
      <c r="A3634" t="inlineStr">
        <is>
          <t>No</t>
        </is>
      </c>
      <c r="B3634" t="inlineStr">
        <is>
          <t>CURAL</t>
        </is>
      </c>
      <c r="C3634" t="inlineStr">
        <is>
          <t>SHELVES</t>
        </is>
      </c>
      <c r="D3634" t="inlineStr">
        <is>
          <t>PR821 .V3 1953</t>
        </is>
      </c>
      <c r="E3634" t="inlineStr">
        <is>
          <t>0                      PR 0821000V  3           1953</t>
        </is>
      </c>
      <c r="F3634" t="inlineStr">
        <is>
          <t>The English novel : form and function.</t>
        </is>
      </c>
      <c r="H3634" t="inlineStr">
        <is>
          <t>No</t>
        </is>
      </c>
      <c r="I3634" t="inlineStr">
        <is>
          <t>1</t>
        </is>
      </c>
      <c r="J3634" t="inlineStr">
        <is>
          <t>No</t>
        </is>
      </c>
      <c r="K3634" t="inlineStr">
        <is>
          <t>No</t>
        </is>
      </c>
      <c r="L3634" t="inlineStr">
        <is>
          <t>0</t>
        </is>
      </c>
      <c r="M3634" t="inlineStr">
        <is>
          <t>Van Ghent, Dorothy Bendon, 1907-</t>
        </is>
      </c>
      <c r="N3634" t="inlineStr">
        <is>
          <t>New York, Holt, Rinehart and Winston, c1953.</t>
        </is>
      </c>
      <c r="O3634" t="inlineStr">
        <is>
          <t>1953</t>
        </is>
      </c>
      <c r="Q3634" t="inlineStr">
        <is>
          <t>eng</t>
        </is>
      </c>
      <c r="R3634" t="inlineStr">
        <is>
          <t>nyu</t>
        </is>
      </c>
      <c r="T3634" t="inlineStr">
        <is>
          <t xml:space="preserve">PR </t>
        </is>
      </c>
      <c r="U3634" t="n">
        <v>1</v>
      </c>
      <c r="V3634" t="n">
        <v>1</v>
      </c>
      <c r="W3634" t="inlineStr">
        <is>
          <t>2007-11-11</t>
        </is>
      </c>
      <c r="X3634" t="inlineStr">
        <is>
          <t>2007-11-11</t>
        </is>
      </c>
      <c r="Y3634" t="inlineStr">
        <is>
          <t>1998-03-31</t>
        </is>
      </c>
      <c r="Z3634" t="inlineStr">
        <is>
          <t>1998-03-31</t>
        </is>
      </c>
      <c r="AA3634" t="n">
        <v>68</v>
      </c>
      <c r="AB3634" t="n">
        <v>44</v>
      </c>
      <c r="AC3634" t="n">
        <v>1427</v>
      </c>
      <c r="AD3634" t="n">
        <v>1</v>
      </c>
      <c r="AE3634" t="n">
        <v>14</v>
      </c>
      <c r="AF3634" t="n">
        <v>0</v>
      </c>
      <c r="AG3634" t="n">
        <v>55</v>
      </c>
      <c r="AH3634" t="n">
        <v>0</v>
      </c>
      <c r="AI3634" t="n">
        <v>25</v>
      </c>
      <c r="AJ3634" t="n">
        <v>0</v>
      </c>
      <c r="AK3634" t="n">
        <v>7</v>
      </c>
      <c r="AL3634" t="n">
        <v>0</v>
      </c>
      <c r="AM3634" t="n">
        <v>23</v>
      </c>
      <c r="AN3634" t="n">
        <v>0</v>
      </c>
      <c r="AO3634" t="n">
        <v>11</v>
      </c>
      <c r="AP3634" t="n">
        <v>0</v>
      </c>
      <c r="AQ3634" t="n">
        <v>0</v>
      </c>
      <c r="AR3634" t="inlineStr">
        <is>
          <t>No</t>
        </is>
      </c>
      <c r="AS3634" t="inlineStr">
        <is>
          <t>Yes</t>
        </is>
      </c>
      <c r="AT3634">
        <f>HYPERLINK("http://catalog.hathitrust.org/Record/000003338","HathiTrust Record")</f>
        <v/>
      </c>
      <c r="AU3634">
        <f>HYPERLINK("https://creighton-primo.hosted.exlibrisgroup.com/primo-explore/search?tab=default_tab&amp;search_scope=EVERYTHING&amp;vid=01CRU&amp;lang=en_US&amp;offset=0&amp;query=any,contains,991002116659702656","Catalog Record")</f>
        <v/>
      </c>
      <c r="AV3634">
        <f>HYPERLINK("http://www.worldcat.org/oclc/27133732","WorldCat Record")</f>
        <v/>
      </c>
      <c r="AW3634" t="inlineStr">
        <is>
          <t>1346398:eng</t>
        </is>
      </c>
      <c r="AX3634" t="inlineStr">
        <is>
          <t>27133732</t>
        </is>
      </c>
      <c r="AY3634" t="inlineStr">
        <is>
          <t>991002116659702656</t>
        </is>
      </c>
      <c r="AZ3634" t="inlineStr">
        <is>
          <t>991002116659702656</t>
        </is>
      </c>
      <c r="BA3634" t="inlineStr">
        <is>
          <t>2255431880002656</t>
        </is>
      </c>
      <c r="BB3634" t="inlineStr">
        <is>
          <t>BOOK</t>
        </is>
      </c>
      <c r="BE3634" t="inlineStr">
        <is>
          <t>32285003373833</t>
        </is>
      </c>
      <c r="BF3634" t="inlineStr">
        <is>
          <t>893510314</t>
        </is>
      </c>
    </row>
    <row r="3635">
      <c r="A3635" t="inlineStr">
        <is>
          <t>No</t>
        </is>
      </c>
      <c r="B3635" t="inlineStr">
        <is>
          <t>CURAL</t>
        </is>
      </c>
      <c r="C3635" t="inlineStr">
        <is>
          <t>SHELVES</t>
        </is>
      </c>
      <c r="D3635" t="inlineStr">
        <is>
          <t>PR823 .S5</t>
        </is>
      </c>
      <c r="E3635" t="inlineStr">
        <is>
          <t>0                      PR 0823000S  5</t>
        </is>
      </c>
      <c r="F3635" t="inlineStr">
        <is>
          <t>Twelve original essays on great English novels.</t>
        </is>
      </c>
      <c r="H3635" t="inlineStr">
        <is>
          <t>No</t>
        </is>
      </c>
      <c r="I3635" t="inlineStr">
        <is>
          <t>1</t>
        </is>
      </c>
      <c r="J3635" t="inlineStr">
        <is>
          <t>No</t>
        </is>
      </c>
      <c r="K3635" t="inlineStr">
        <is>
          <t>No</t>
        </is>
      </c>
      <c r="L3635" t="inlineStr">
        <is>
          <t>0</t>
        </is>
      </c>
      <c r="M3635" t="inlineStr">
        <is>
          <t>Shapiro, Charles editor.</t>
        </is>
      </c>
      <c r="N3635" t="inlineStr">
        <is>
          <t>Detroit, Wayne State University Press, 1960.</t>
        </is>
      </c>
      <c r="O3635" t="inlineStr">
        <is>
          <t>1960</t>
        </is>
      </c>
      <c r="Q3635" t="inlineStr">
        <is>
          <t>eng</t>
        </is>
      </c>
      <c r="R3635" t="inlineStr">
        <is>
          <t xml:space="preserve">xx </t>
        </is>
      </c>
      <c r="T3635" t="inlineStr">
        <is>
          <t xml:space="preserve">PR </t>
        </is>
      </c>
      <c r="U3635" t="n">
        <v>0</v>
      </c>
      <c r="V3635" t="n">
        <v>0</v>
      </c>
      <c r="W3635" t="inlineStr">
        <is>
          <t>2003-03-03</t>
        </is>
      </c>
      <c r="X3635" t="inlineStr">
        <is>
          <t>2003-03-03</t>
        </is>
      </c>
      <c r="Y3635" t="inlineStr">
        <is>
          <t>1997-09-12</t>
        </is>
      </c>
      <c r="Z3635" t="inlineStr">
        <is>
          <t>1997-09-12</t>
        </is>
      </c>
      <c r="AA3635" t="n">
        <v>839</v>
      </c>
      <c r="AB3635" t="n">
        <v>733</v>
      </c>
      <c r="AC3635" t="n">
        <v>743</v>
      </c>
      <c r="AD3635" t="n">
        <v>9</v>
      </c>
      <c r="AE3635" t="n">
        <v>9</v>
      </c>
      <c r="AF3635" t="n">
        <v>30</v>
      </c>
      <c r="AG3635" t="n">
        <v>30</v>
      </c>
      <c r="AH3635" t="n">
        <v>8</v>
      </c>
      <c r="AI3635" t="n">
        <v>8</v>
      </c>
      <c r="AJ3635" t="n">
        <v>3</v>
      </c>
      <c r="AK3635" t="n">
        <v>3</v>
      </c>
      <c r="AL3635" t="n">
        <v>16</v>
      </c>
      <c r="AM3635" t="n">
        <v>16</v>
      </c>
      <c r="AN3635" t="n">
        <v>8</v>
      </c>
      <c r="AO3635" t="n">
        <v>8</v>
      </c>
      <c r="AP3635" t="n">
        <v>0</v>
      </c>
      <c r="AQ3635" t="n">
        <v>0</v>
      </c>
      <c r="AR3635" t="inlineStr">
        <is>
          <t>No</t>
        </is>
      </c>
      <c r="AS3635" t="inlineStr">
        <is>
          <t>No</t>
        </is>
      </c>
      <c r="AT3635">
        <f>HYPERLINK("http://catalog.hathitrust.org/Record/001016688","HathiTrust Record")</f>
        <v/>
      </c>
      <c r="AU3635">
        <f>HYPERLINK("https://creighton-primo.hosted.exlibrisgroup.com/primo-explore/search?tab=default_tab&amp;search_scope=EVERYTHING&amp;vid=01CRU&amp;lang=en_US&amp;offset=0&amp;query=any,contains,991002305479702656","Catalog Record")</f>
        <v/>
      </c>
      <c r="AV3635">
        <f>HYPERLINK("http://www.worldcat.org/oclc/318124","WorldCat Record")</f>
        <v/>
      </c>
      <c r="AW3635" t="inlineStr">
        <is>
          <t>104339450:eng</t>
        </is>
      </c>
      <c r="AX3635" t="inlineStr">
        <is>
          <t>318124</t>
        </is>
      </c>
      <c r="AY3635" t="inlineStr">
        <is>
          <t>991002305479702656</t>
        </is>
      </c>
      <c r="AZ3635" t="inlineStr">
        <is>
          <t>991002305479702656</t>
        </is>
      </c>
      <c r="BA3635" t="inlineStr">
        <is>
          <t>2270563660002656</t>
        </is>
      </c>
      <c r="BB3635" t="inlineStr">
        <is>
          <t>BOOK</t>
        </is>
      </c>
      <c r="BE3635" t="inlineStr">
        <is>
          <t>32285003216321</t>
        </is>
      </c>
      <c r="BF3635" t="inlineStr">
        <is>
          <t>893226689</t>
        </is>
      </c>
    </row>
    <row r="3636">
      <c r="A3636" t="inlineStr">
        <is>
          <t>No</t>
        </is>
      </c>
      <c r="B3636" t="inlineStr">
        <is>
          <t>CURAL</t>
        </is>
      </c>
      <c r="C3636" t="inlineStr">
        <is>
          <t>SHELVES</t>
        </is>
      </c>
      <c r="D3636" t="inlineStr">
        <is>
          <t>PR826 .H28 2003</t>
        </is>
      </c>
      <c r="E3636" t="inlineStr">
        <is>
          <t>0                      PR 0826000H  28          2003</t>
        </is>
      </c>
      <c r="F3636" t="inlineStr">
        <is>
          <t>Fiction, intuition, &amp; creativity : studies in Brontë, James, Woolf, and Lessing / Angela Hague.</t>
        </is>
      </c>
      <c r="H3636" t="inlineStr">
        <is>
          <t>No</t>
        </is>
      </c>
      <c r="I3636" t="inlineStr">
        <is>
          <t>1</t>
        </is>
      </c>
      <c r="J3636" t="inlineStr">
        <is>
          <t>No</t>
        </is>
      </c>
      <c r="K3636" t="inlineStr">
        <is>
          <t>No</t>
        </is>
      </c>
      <c r="L3636" t="inlineStr">
        <is>
          <t>0</t>
        </is>
      </c>
      <c r="M3636" t="inlineStr">
        <is>
          <t>Hague, Angela.</t>
        </is>
      </c>
      <c r="N3636" t="inlineStr">
        <is>
          <t>Washington, D.C. : Catholic University of America Press, c2003.</t>
        </is>
      </c>
      <c r="O3636" t="inlineStr">
        <is>
          <t>2003</t>
        </is>
      </c>
      <c r="Q3636" t="inlineStr">
        <is>
          <t>eng</t>
        </is>
      </c>
      <c r="R3636" t="inlineStr">
        <is>
          <t>dcu</t>
        </is>
      </c>
      <c r="T3636" t="inlineStr">
        <is>
          <t xml:space="preserve">PR </t>
        </is>
      </c>
      <c r="U3636" t="n">
        <v>2</v>
      </c>
      <c r="V3636" t="n">
        <v>2</v>
      </c>
      <c r="W3636" t="inlineStr">
        <is>
          <t>2005-01-19</t>
        </is>
      </c>
      <c r="X3636" t="inlineStr">
        <is>
          <t>2005-01-19</t>
        </is>
      </c>
      <c r="Y3636" t="inlineStr">
        <is>
          <t>2005-01-19</t>
        </is>
      </c>
      <c r="Z3636" t="inlineStr">
        <is>
          <t>2005-01-19</t>
        </is>
      </c>
      <c r="AA3636" t="n">
        <v>411</v>
      </c>
      <c r="AB3636" t="n">
        <v>355</v>
      </c>
      <c r="AC3636" t="n">
        <v>358</v>
      </c>
      <c r="AD3636" t="n">
        <v>3</v>
      </c>
      <c r="AE3636" t="n">
        <v>3</v>
      </c>
      <c r="AF3636" t="n">
        <v>29</v>
      </c>
      <c r="AG3636" t="n">
        <v>29</v>
      </c>
      <c r="AH3636" t="n">
        <v>15</v>
      </c>
      <c r="AI3636" t="n">
        <v>15</v>
      </c>
      <c r="AJ3636" t="n">
        <v>7</v>
      </c>
      <c r="AK3636" t="n">
        <v>7</v>
      </c>
      <c r="AL3636" t="n">
        <v>14</v>
      </c>
      <c r="AM3636" t="n">
        <v>14</v>
      </c>
      <c r="AN3636" t="n">
        <v>2</v>
      </c>
      <c r="AO3636" t="n">
        <v>2</v>
      </c>
      <c r="AP3636" t="n">
        <v>0</v>
      </c>
      <c r="AQ3636" t="n">
        <v>0</v>
      </c>
      <c r="AR3636" t="inlineStr">
        <is>
          <t>No</t>
        </is>
      </c>
      <c r="AS3636" t="inlineStr">
        <is>
          <t>Yes</t>
        </is>
      </c>
      <c r="AT3636">
        <f>HYPERLINK("http://catalog.hathitrust.org/Record/003854560","HathiTrust Record")</f>
        <v/>
      </c>
      <c r="AU3636">
        <f>HYPERLINK("https://creighton-primo.hosted.exlibrisgroup.com/primo-explore/search?tab=default_tab&amp;search_scope=EVERYTHING&amp;vid=01CRU&amp;lang=en_US&amp;offset=0&amp;query=any,contains,991004411689702656","Catalog Record")</f>
        <v/>
      </c>
      <c r="AV3636">
        <f>HYPERLINK("http://www.worldcat.org/oclc/48920993","WorldCat Record")</f>
        <v/>
      </c>
      <c r="AW3636" t="inlineStr">
        <is>
          <t>367488129:eng</t>
        </is>
      </c>
      <c r="AX3636" t="inlineStr">
        <is>
          <t>48920993</t>
        </is>
      </c>
      <c r="AY3636" t="inlineStr">
        <is>
          <t>991004411689702656</t>
        </is>
      </c>
      <c r="AZ3636" t="inlineStr">
        <is>
          <t>991004411689702656</t>
        </is>
      </c>
      <c r="BA3636" t="inlineStr">
        <is>
          <t>2264818450002656</t>
        </is>
      </c>
      <c r="BB3636" t="inlineStr">
        <is>
          <t>BOOK</t>
        </is>
      </c>
      <c r="BD3636" t="inlineStr">
        <is>
          <t>9780813213149</t>
        </is>
      </c>
      <c r="BE3636" t="inlineStr">
        <is>
          <t>32285005021992</t>
        </is>
      </c>
      <c r="BF3636" t="inlineStr">
        <is>
          <t>893800943</t>
        </is>
      </c>
    </row>
    <row r="3637">
      <c r="A3637" t="inlineStr">
        <is>
          <t>No</t>
        </is>
      </c>
      <c r="B3637" t="inlineStr">
        <is>
          <t>CURAL</t>
        </is>
      </c>
      <c r="C3637" t="inlineStr">
        <is>
          <t>SHELVES</t>
        </is>
      </c>
      <c r="D3637" t="inlineStr">
        <is>
          <t>PR826 .H3 1977</t>
        </is>
      </c>
      <c r="E3637" t="inlineStr">
        <is>
          <t>0                      PR 0826000H  3           1977</t>
        </is>
      </c>
      <c r="F3637" t="inlineStr">
        <is>
          <t>The art of persuasion : a study of six novels / Lars Hartveit.</t>
        </is>
      </c>
      <c r="H3637" t="inlineStr">
        <is>
          <t>No</t>
        </is>
      </c>
      <c r="I3637" t="inlineStr">
        <is>
          <t>1</t>
        </is>
      </c>
      <c r="J3637" t="inlineStr">
        <is>
          <t>No</t>
        </is>
      </c>
      <c r="K3637" t="inlineStr">
        <is>
          <t>No</t>
        </is>
      </c>
      <c r="L3637" t="inlineStr">
        <is>
          <t>0</t>
        </is>
      </c>
      <c r="M3637" t="inlineStr">
        <is>
          <t>Hartveit, Lars.</t>
        </is>
      </c>
      <c r="N3637" t="inlineStr">
        <is>
          <t>Bergen : Universitetsforl., c1977.</t>
        </is>
      </c>
      <c r="O3637" t="inlineStr">
        <is>
          <t>1977</t>
        </is>
      </c>
      <c r="Q3637" t="inlineStr">
        <is>
          <t>eng</t>
        </is>
      </c>
      <c r="R3637" t="inlineStr">
        <is>
          <t xml:space="preserve">no </t>
        </is>
      </c>
      <c r="T3637" t="inlineStr">
        <is>
          <t xml:space="preserve">PR </t>
        </is>
      </c>
      <c r="U3637" t="n">
        <v>1</v>
      </c>
      <c r="V3637" t="n">
        <v>1</v>
      </c>
      <c r="W3637" t="inlineStr">
        <is>
          <t>2003-09-29</t>
        </is>
      </c>
      <c r="X3637" t="inlineStr">
        <is>
          <t>2003-09-29</t>
        </is>
      </c>
      <c r="Y3637" t="inlineStr">
        <is>
          <t>2003-09-29</t>
        </is>
      </c>
      <c r="Z3637" t="inlineStr">
        <is>
          <t>2003-09-29</t>
        </is>
      </c>
      <c r="AA3637" t="n">
        <v>342</v>
      </c>
      <c r="AB3637" t="n">
        <v>282</v>
      </c>
      <c r="AC3637" t="n">
        <v>291</v>
      </c>
      <c r="AD3637" t="n">
        <v>4</v>
      </c>
      <c r="AE3637" t="n">
        <v>4</v>
      </c>
      <c r="AF3637" t="n">
        <v>15</v>
      </c>
      <c r="AG3637" t="n">
        <v>15</v>
      </c>
      <c r="AH3637" t="n">
        <v>4</v>
      </c>
      <c r="AI3637" t="n">
        <v>4</v>
      </c>
      <c r="AJ3637" t="n">
        <v>4</v>
      </c>
      <c r="AK3637" t="n">
        <v>4</v>
      </c>
      <c r="AL3637" t="n">
        <v>6</v>
      </c>
      <c r="AM3637" t="n">
        <v>6</v>
      </c>
      <c r="AN3637" t="n">
        <v>3</v>
      </c>
      <c r="AO3637" t="n">
        <v>3</v>
      </c>
      <c r="AP3637" t="n">
        <v>0</v>
      </c>
      <c r="AQ3637" t="n">
        <v>0</v>
      </c>
      <c r="AR3637" t="inlineStr">
        <is>
          <t>No</t>
        </is>
      </c>
      <c r="AS3637" t="inlineStr">
        <is>
          <t>Yes</t>
        </is>
      </c>
      <c r="AT3637">
        <f>HYPERLINK("http://catalog.hathitrust.org/Record/000508125","HathiTrust Record")</f>
        <v/>
      </c>
      <c r="AU3637">
        <f>HYPERLINK("https://creighton-primo.hosted.exlibrisgroup.com/primo-explore/search?tab=default_tab&amp;search_scope=EVERYTHING&amp;vid=01CRU&amp;lang=en_US&amp;offset=0&amp;query=any,contains,991004139699702656","Catalog Record")</f>
        <v/>
      </c>
      <c r="AV3637">
        <f>HYPERLINK("http://www.worldcat.org/oclc/4467481","WorldCat Record")</f>
        <v/>
      </c>
      <c r="AW3637" t="inlineStr">
        <is>
          <t>199003822:eng</t>
        </is>
      </c>
      <c r="AX3637" t="inlineStr">
        <is>
          <t>4467481</t>
        </is>
      </c>
      <c r="AY3637" t="inlineStr">
        <is>
          <t>991004139699702656</t>
        </is>
      </c>
      <c r="AZ3637" t="inlineStr">
        <is>
          <t>991004139699702656</t>
        </is>
      </c>
      <c r="BA3637" t="inlineStr">
        <is>
          <t>2256090010002656</t>
        </is>
      </c>
      <c r="BB3637" t="inlineStr">
        <is>
          <t>BOOK</t>
        </is>
      </c>
      <c r="BD3637" t="inlineStr">
        <is>
          <t>9788200016687</t>
        </is>
      </c>
      <c r="BE3637" t="inlineStr">
        <is>
          <t>32285004785548</t>
        </is>
      </c>
      <c r="BF3637" t="inlineStr">
        <is>
          <t>893519288</t>
        </is>
      </c>
    </row>
    <row r="3638">
      <c r="A3638" t="inlineStr">
        <is>
          <t>No</t>
        </is>
      </c>
      <c r="B3638" t="inlineStr">
        <is>
          <t>CURAL</t>
        </is>
      </c>
      <c r="C3638" t="inlineStr">
        <is>
          <t>SHELVES</t>
        </is>
      </c>
      <c r="D3638" t="inlineStr">
        <is>
          <t>PR826 .L63 1992</t>
        </is>
      </c>
      <c r="E3638" t="inlineStr">
        <is>
          <t>0                      PR 0826000L  63          1992</t>
        </is>
      </c>
      <c r="F3638" t="inlineStr">
        <is>
          <t>The art of fiction : illustrated from classic and modern texts / David Lodge.</t>
        </is>
      </c>
      <c r="H3638" t="inlineStr">
        <is>
          <t>No</t>
        </is>
      </c>
      <c r="I3638" t="inlineStr">
        <is>
          <t>1</t>
        </is>
      </c>
      <c r="J3638" t="inlineStr">
        <is>
          <t>No</t>
        </is>
      </c>
      <c r="K3638" t="inlineStr">
        <is>
          <t>No</t>
        </is>
      </c>
      <c r="L3638" t="inlineStr">
        <is>
          <t>0</t>
        </is>
      </c>
      <c r="M3638" t="inlineStr">
        <is>
          <t>Lodge, David, 1935-</t>
        </is>
      </c>
      <c r="N3638" t="inlineStr">
        <is>
          <t>London : Penguin, 1992.</t>
        </is>
      </c>
      <c r="O3638" t="inlineStr">
        <is>
          <t>1992</t>
        </is>
      </c>
      <c r="Q3638" t="inlineStr">
        <is>
          <t>eng</t>
        </is>
      </c>
      <c r="R3638" t="inlineStr">
        <is>
          <t>enk</t>
        </is>
      </c>
      <c r="T3638" t="inlineStr">
        <is>
          <t xml:space="preserve">PR </t>
        </is>
      </c>
      <c r="U3638" t="n">
        <v>2</v>
      </c>
      <c r="V3638" t="n">
        <v>2</v>
      </c>
      <c r="W3638" t="inlineStr">
        <is>
          <t>2001-02-25</t>
        </is>
      </c>
      <c r="X3638" t="inlineStr">
        <is>
          <t>2001-02-25</t>
        </is>
      </c>
      <c r="Y3638" t="inlineStr">
        <is>
          <t>2001-01-17</t>
        </is>
      </c>
      <c r="Z3638" t="inlineStr">
        <is>
          <t>2001-01-17</t>
        </is>
      </c>
      <c r="AA3638" t="n">
        <v>436</v>
      </c>
      <c r="AB3638" t="n">
        <v>190</v>
      </c>
      <c r="AC3638" t="n">
        <v>747</v>
      </c>
      <c r="AD3638" t="n">
        <v>3</v>
      </c>
      <c r="AE3638" t="n">
        <v>6</v>
      </c>
      <c r="AF3638" t="n">
        <v>8</v>
      </c>
      <c r="AG3638" t="n">
        <v>25</v>
      </c>
      <c r="AH3638" t="n">
        <v>2</v>
      </c>
      <c r="AI3638" t="n">
        <v>7</v>
      </c>
      <c r="AJ3638" t="n">
        <v>1</v>
      </c>
      <c r="AK3638" t="n">
        <v>8</v>
      </c>
      <c r="AL3638" t="n">
        <v>5</v>
      </c>
      <c r="AM3638" t="n">
        <v>14</v>
      </c>
      <c r="AN3638" t="n">
        <v>1</v>
      </c>
      <c r="AO3638" t="n">
        <v>3</v>
      </c>
      <c r="AP3638" t="n">
        <v>0</v>
      </c>
      <c r="AQ3638" t="n">
        <v>0</v>
      </c>
      <c r="AR3638" t="inlineStr">
        <is>
          <t>No</t>
        </is>
      </c>
      <c r="AS3638" t="inlineStr">
        <is>
          <t>No</t>
        </is>
      </c>
      <c r="AU3638">
        <f>HYPERLINK("https://creighton-primo.hosted.exlibrisgroup.com/primo-explore/search?tab=default_tab&amp;search_scope=EVERYTHING&amp;vid=01CRU&amp;lang=en_US&amp;offset=0&amp;query=any,contains,991003362129702656","Catalog Record")</f>
        <v/>
      </c>
      <c r="AV3638">
        <f>HYPERLINK("http://www.worldcat.org/oclc/59951635","WorldCat Record")</f>
        <v/>
      </c>
      <c r="AW3638" t="inlineStr">
        <is>
          <t>227639973:eng</t>
        </is>
      </c>
      <c r="AX3638" t="inlineStr">
        <is>
          <t>59951635</t>
        </is>
      </c>
      <c r="AY3638" t="inlineStr">
        <is>
          <t>991003362129702656</t>
        </is>
      </c>
      <c r="AZ3638" t="inlineStr">
        <is>
          <t>991003362129702656</t>
        </is>
      </c>
      <c r="BA3638" t="inlineStr">
        <is>
          <t>2271754010002656</t>
        </is>
      </c>
      <c r="BB3638" t="inlineStr">
        <is>
          <t>BOOK</t>
        </is>
      </c>
      <c r="BD3638" t="inlineStr">
        <is>
          <t>9780140174922</t>
        </is>
      </c>
      <c r="BE3638" t="inlineStr">
        <is>
          <t>32285004284922</t>
        </is>
      </c>
      <c r="BF3638" t="inlineStr">
        <is>
          <t>893598526</t>
        </is>
      </c>
    </row>
    <row r="3639">
      <c r="A3639" t="inlineStr">
        <is>
          <t>No</t>
        </is>
      </c>
      <c r="B3639" t="inlineStr">
        <is>
          <t>CURAL</t>
        </is>
      </c>
      <c r="C3639" t="inlineStr">
        <is>
          <t>SHELVES</t>
        </is>
      </c>
      <c r="D3639" t="inlineStr">
        <is>
          <t>PR829 .C2</t>
        </is>
      </c>
      <c r="E3639" t="inlineStr">
        <is>
          <t>0                      PR 0829000C  2</t>
        </is>
      </c>
      <c r="F3639" t="inlineStr">
        <is>
          <t>The short story in English, by Henry Seidel Canby ...</t>
        </is>
      </c>
      <c r="H3639" t="inlineStr">
        <is>
          <t>No</t>
        </is>
      </c>
      <c r="I3639" t="inlineStr">
        <is>
          <t>1</t>
        </is>
      </c>
      <c r="J3639" t="inlineStr">
        <is>
          <t>No</t>
        </is>
      </c>
      <c r="K3639" t="inlineStr">
        <is>
          <t>No</t>
        </is>
      </c>
      <c r="L3639" t="inlineStr">
        <is>
          <t>0</t>
        </is>
      </c>
      <c r="M3639" t="inlineStr">
        <is>
          <t>Canby, Henry Seidel, 1878-1961.</t>
        </is>
      </c>
      <c r="N3639" t="inlineStr">
        <is>
          <t>New York, H. Holt and Company, 1909.</t>
        </is>
      </c>
      <c r="O3639" t="inlineStr">
        <is>
          <t>1909</t>
        </is>
      </c>
      <c r="Q3639" t="inlineStr">
        <is>
          <t>eng</t>
        </is>
      </c>
      <c r="R3639" t="inlineStr">
        <is>
          <t>nyu</t>
        </is>
      </c>
      <c r="T3639" t="inlineStr">
        <is>
          <t xml:space="preserve">PR </t>
        </is>
      </c>
      <c r="U3639" t="n">
        <v>1</v>
      </c>
      <c r="V3639" t="n">
        <v>1</v>
      </c>
      <c r="W3639" t="inlineStr">
        <is>
          <t>2002-04-14</t>
        </is>
      </c>
      <c r="X3639" t="inlineStr">
        <is>
          <t>2002-04-14</t>
        </is>
      </c>
      <c r="Y3639" t="inlineStr">
        <is>
          <t>1997-09-12</t>
        </is>
      </c>
      <c r="Z3639" t="inlineStr">
        <is>
          <t>1997-09-12</t>
        </is>
      </c>
      <c r="AA3639" t="n">
        <v>446</v>
      </c>
      <c r="AB3639" t="n">
        <v>405</v>
      </c>
      <c r="AC3639" t="n">
        <v>497</v>
      </c>
      <c r="AD3639" t="n">
        <v>3</v>
      </c>
      <c r="AE3639" t="n">
        <v>3</v>
      </c>
      <c r="AF3639" t="n">
        <v>18</v>
      </c>
      <c r="AG3639" t="n">
        <v>18</v>
      </c>
      <c r="AH3639" t="n">
        <v>6</v>
      </c>
      <c r="AI3639" t="n">
        <v>6</v>
      </c>
      <c r="AJ3639" t="n">
        <v>5</v>
      </c>
      <c r="AK3639" t="n">
        <v>5</v>
      </c>
      <c r="AL3639" t="n">
        <v>9</v>
      </c>
      <c r="AM3639" t="n">
        <v>9</v>
      </c>
      <c r="AN3639" t="n">
        <v>2</v>
      </c>
      <c r="AO3639" t="n">
        <v>2</v>
      </c>
      <c r="AP3639" t="n">
        <v>0</v>
      </c>
      <c r="AQ3639" t="n">
        <v>0</v>
      </c>
      <c r="AR3639" t="inlineStr">
        <is>
          <t>Yes</t>
        </is>
      </c>
      <c r="AS3639" t="inlineStr">
        <is>
          <t>No</t>
        </is>
      </c>
      <c r="AT3639">
        <f>HYPERLINK("http://catalog.hathitrust.org/Record/001374913","HathiTrust Record")</f>
        <v/>
      </c>
      <c r="AU3639">
        <f>HYPERLINK("https://creighton-primo.hosted.exlibrisgroup.com/primo-explore/search?tab=default_tab&amp;search_scope=EVERYTHING&amp;vid=01CRU&amp;lang=en_US&amp;offset=0&amp;query=any,contains,991002441899702656","Catalog Record")</f>
        <v/>
      </c>
      <c r="AV3639">
        <f>HYPERLINK("http://www.worldcat.org/oclc/350362","WorldCat Record")</f>
        <v/>
      </c>
      <c r="AW3639" t="inlineStr">
        <is>
          <t>1383401:eng</t>
        </is>
      </c>
      <c r="AX3639" t="inlineStr">
        <is>
          <t>350362</t>
        </is>
      </c>
      <c r="AY3639" t="inlineStr">
        <is>
          <t>991002441899702656</t>
        </is>
      </c>
      <c r="AZ3639" t="inlineStr">
        <is>
          <t>991002441899702656</t>
        </is>
      </c>
      <c r="BA3639" t="inlineStr">
        <is>
          <t>2268713040002656</t>
        </is>
      </c>
      <c r="BB3639" t="inlineStr">
        <is>
          <t>BOOK</t>
        </is>
      </c>
      <c r="BE3639" t="inlineStr">
        <is>
          <t>32285003216347</t>
        </is>
      </c>
      <c r="BF3639" t="inlineStr">
        <is>
          <t>893704084</t>
        </is>
      </c>
    </row>
    <row r="3640">
      <c r="A3640" t="inlineStr">
        <is>
          <t>No</t>
        </is>
      </c>
      <c r="B3640" t="inlineStr">
        <is>
          <t>CURAL</t>
        </is>
      </c>
      <c r="C3640" t="inlineStr">
        <is>
          <t>SHELVES</t>
        </is>
      </c>
      <c r="D3640" t="inlineStr">
        <is>
          <t>PR829 .H43 1992</t>
        </is>
      </c>
      <c r="E3640" t="inlineStr">
        <is>
          <t>0                      PR 0829000H  43          1992</t>
        </is>
      </c>
      <c r="F3640" t="inlineStr">
        <is>
          <t>The modernist short story : a study in theory and practice / Dominic Head.</t>
        </is>
      </c>
      <c r="H3640" t="inlineStr">
        <is>
          <t>No</t>
        </is>
      </c>
      <c r="I3640" t="inlineStr">
        <is>
          <t>1</t>
        </is>
      </c>
      <c r="J3640" t="inlineStr">
        <is>
          <t>No</t>
        </is>
      </c>
      <c r="K3640" t="inlineStr">
        <is>
          <t>No</t>
        </is>
      </c>
      <c r="L3640" t="inlineStr">
        <is>
          <t>0</t>
        </is>
      </c>
      <c r="M3640" t="inlineStr">
        <is>
          <t>Head, Dominic.</t>
        </is>
      </c>
      <c r="N3640" t="inlineStr">
        <is>
          <t>Cambridge [England] ; New York, NY, USA : Cambridge University Press, 1992.</t>
        </is>
      </c>
      <c r="O3640" t="inlineStr">
        <is>
          <t>1992</t>
        </is>
      </c>
      <c r="Q3640" t="inlineStr">
        <is>
          <t>eng</t>
        </is>
      </c>
      <c r="R3640" t="inlineStr">
        <is>
          <t>enk</t>
        </is>
      </c>
      <c r="T3640" t="inlineStr">
        <is>
          <t xml:space="preserve">PR </t>
        </is>
      </c>
      <c r="U3640" t="n">
        <v>4</v>
      </c>
      <c r="V3640" t="n">
        <v>4</v>
      </c>
      <c r="W3640" t="inlineStr">
        <is>
          <t>2007-02-08</t>
        </is>
      </c>
      <c r="X3640" t="inlineStr">
        <is>
          <t>2007-02-08</t>
        </is>
      </c>
      <c r="Y3640" t="inlineStr">
        <is>
          <t>1993-03-04</t>
        </is>
      </c>
      <c r="Z3640" t="inlineStr">
        <is>
          <t>1993-03-04</t>
        </is>
      </c>
      <c r="AA3640" t="n">
        <v>515</v>
      </c>
      <c r="AB3640" t="n">
        <v>343</v>
      </c>
      <c r="AC3640" t="n">
        <v>354</v>
      </c>
      <c r="AD3640" t="n">
        <v>3</v>
      </c>
      <c r="AE3640" t="n">
        <v>3</v>
      </c>
      <c r="AF3640" t="n">
        <v>20</v>
      </c>
      <c r="AG3640" t="n">
        <v>21</v>
      </c>
      <c r="AH3640" t="n">
        <v>8</v>
      </c>
      <c r="AI3640" t="n">
        <v>8</v>
      </c>
      <c r="AJ3640" t="n">
        <v>6</v>
      </c>
      <c r="AK3640" t="n">
        <v>6</v>
      </c>
      <c r="AL3640" t="n">
        <v>12</v>
      </c>
      <c r="AM3640" t="n">
        <v>13</v>
      </c>
      <c r="AN3640" t="n">
        <v>2</v>
      </c>
      <c r="AO3640" t="n">
        <v>2</v>
      </c>
      <c r="AP3640" t="n">
        <v>0</v>
      </c>
      <c r="AQ3640" t="n">
        <v>0</v>
      </c>
      <c r="AR3640" t="inlineStr">
        <is>
          <t>No</t>
        </is>
      </c>
      <c r="AS3640" t="inlineStr">
        <is>
          <t>No</t>
        </is>
      </c>
      <c r="AU3640">
        <f>HYPERLINK("https://creighton-primo.hosted.exlibrisgroup.com/primo-explore/search?tab=default_tab&amp;search_scope=EVERYTHING&amp;vid=01CRU&amp;lang=en_US&amp;offset=0&amp;query=any,contains,991001929309702656","Catalog Record")</f>
        <v/>
      </c>
      <c r="AV3640">
        <f>HYPERLINK("http://www.worldcat.org/oclc/24374396","WorldCat Record")</f>
        <v/>
      </c>
      <c r="AW3640" t="inlineStr">
        <is>
          <t>836903387:eng</t>
        </is>
      </c>
      <c r="AX3640" t="inlineStr">
        <is>
          <t>24374396</t>
        </is>
      </c>
      <c r="AY3640" t="inlineStr">
        <is>
          <t>991001929309702656</t>
        </is>
      </c>
      <c r="AZ3640" t="inlineStr">
        <is>
          <t>991001929309702656</t>
        </is>
      </c>
      <c r="BA3640" t="inlineStr">
        <is>
          <t>2266802970002656</t>
        </is>
      </c>
      <c r="BB3640" t="inlineStr">
        <is>
          <t>BOOK</t>
        </is>
      </c>
      <c r="BD3640" t="inlineStr">
        <is>
          <t>9780521412360</t>
        </is>
      </c>
      <c r="BE3640" t="inlineStr">
        <is>
          <t>32285001497345</t>
        </is>
      </c>
      <c r="BF3640" t="inlineStr">
        <is>
          <t>893809230</t>
        </is>
      </c>
    </row>
    <row r="3641">
      <c r="A3641" t="inlineStr">
        <is>
          <t>No</t>
        </is>
      </c>
      <c r="B3641" t="inlineStr">
        <is>
          <t>CURAL</t>
        </is>
      </c>
      <c r="C3641" t="inlineStr">
        <is>
          <t>SHELVES</t>
        </is>
      </c>
      <c r="D3641" t="inlineStr">
        <is>
          <t>PR83 .B27 1984</t>
        </is>
      </c>
      <c r="E3641" t="inlineStr">
        <is>
          <t>0                      PR 0083000B  27          1984</t>
        </is>
      </c>
      <c r="F3641" t="inlineStr">
        <is>
          <t>A short history of English literature / by Robert Barnard.</t>
        </is>
      </c>
      <c r="H3641" t="inlineStr">
        <is>
          <t>No</t>
        </is>
      </c>
      <c r="I3641" t="inlineStr">
        <is>
          <t>1</t>
        </is>
      </c>
      <c r="J3641" t="inlineStr">
        <is>
          <t>No</t>
        </is>
      </c>
      <c r="K3641" t="inlineStr">
        <is>
          <t>No</t>
        </is>
      </c>
      <c r="L3641" t="inlineStr">
        <is>
          <t>0</t>
        </is>
      </c>
      <c r="M3641" t="inlineStr">
        <is>
          <t>Barnard, Robert.</t>
        </is>
      </c>
      <c r="N3641" t="inlineStr">
        <is>
          <t>Oxford, OX ; New York, N.Y. : B. Blackwell in association with Universitetsforlaget, Oslo, Norway, 1984.</t>
        </is>
      </c>
      <c r="O3641" t="inlineStr">
        <is>
          <t>1984</t>
        </is>
      </c>
      <c r="Q3641" t="inlineStr">
        <is>
          <t>eng</t>
        </is>
      </c>
      <c r="R3641" t="inlineStr">
        <is>
          <t>enk</t>
        </is>
      </c>
      <c r="T3641" t="inlineStr">
        <is>
          <t xml:space="preserve">PR </t>
        </is>
      </c>
      <c r="U3641" t="n">
        <v>1</v>
      </c>
      <c r="V3641" t="n">
        <v>1</v>
      </c>
      <c r="W3641" t="inlineStr">
        <is>
          <t>2002-02-09</t>
        </is>
      </c>
      <c r="X3641" t="inlineStr">
        <is>
          <t>2002-02-09</t>
        </is>
      </c>
      <c r="Y3641" t="inlineStr">
        <is>
          <t>1991-08-19</t>
        </is>
      </c>
      <c r="Z3641" t="inlineStr">
        <is>
          <t>1991-08-19</t>
        </is>
      </c>
      <c r="AA3641" t="n">
        <v>325</v>
      </c>
      <c r="AB3641" t="n">
        <v>223</v>
      </c>
      <c r="AC3641" t="n">
        <v>852</v>
      </c>
      <c r="AD3641" t="n">
        <v>4</v>
      </c>
      <c r="AE3641" t="n">
        <v>4</v>
      </c>
      <c r="AF3641" t="n">
        <v>12</v>
      </c>
      <c r="AG3641" t="n">
        <v>21</v>
      </c>
      <c r="AH3641" t="n">
        <v>3</v>
      </c>
      <c r="AI3641" t="n">
        <v>7</v>
      </c>
      <c r="AJ3641" t="n">
        <v>2</v>
      </c>
      <c r="AK3641" t="n">
        <v>5</v>
      </c>
      <c r="AL3641" t="n">
        <v>6</v>
      </c>
      <c r="AM3641" t="n">
        <v>11</v>
      </c>
      <c r="AN3641" t="n">
        <v>3</v>
      </c>
      <c r="AO3641" t="n">
        <v>3</v>
      </c>
      <c r="AP3641" t="n">
        <v>0</v>
      </c>
      <c r="AQ3641" t="n">
        <v>0</v>
      </c>
      <c r="AR3641" t="inlineStr">
        <is>
          <t>No</t>
        </is>
      </c>
      <c r="AS3641" t="inlineStr">
        <is>
          <t>No</t>
        </is>
      </c>
      <c r="AU3641">
        <f>HYPERLINK("https://creighton-primo.hosted.exlibrisgroup.com/primo-explore/search?tab=default_tab&amp;search_scope=EVERYTHING&amp;vid=01CRU&amp;lang=en_US&amp;offset=0&amp;query=any,contains,991000460189702656","Catalog Record")</f>
        <v/>
      </c>
      <c r="AV3641">
        <f>HYPERLINK("http://www.worldcat.org/oclc/10925044","WorldCat Record")</f>
        <v/>
      </c>
      <c r="AW3641" t="inlineStr">
        <is>
          <t>914093:eng</t>
        </is>
      </c>
      <c r="AX3641" t="inlineStr">
        <is>
          <t>10925044</t>
        </is>
      </c>
      <c r="AY3641" t="inlineStr">
        <is>
          <t>991000460189702656</t>
        </is>
      </c>
      <c r="AZ3641" t="inlineStr">
        <is>
          <t>991000460189702656</t>
        </is>
      </c>
      <c r="BA3641" t="inlineStr">
        <is>
          <t>2272737970002656</t>
        </is>
      </c>
      <c r="BB3641" t="inlineStr">
        <is>
          <t>BOOK</t>
        </is>
      </c>
      <c r="BD3641" t="inlineStr">
        <is>
          <t>9780631137627</t>
        </is>
      </c>
      <c r="BE3641" t="inlineStr">
        <is>
          <t>32285000696194</t>
        </is>
      </c>
      <c r="BF3641" t="inlineStr">
        <is>
          <t>893261475</t>
        </is>
      </c>
    </row>
    <row r="3642">
      <c r="A3642" t="inlineStr">
        <is>
          <t>No</t>
        </is>
      </c>
      <c r="B3642" t="inlineStr">
        <is>
          <t>CURAL</t>
        </is>
      </c>
      <c r="C3642" t="inlineStr">
        <is>
          <t>SHELVES</t>
        </is>
      </c>
      <c r="D3642" t="inlineStr">
        <is>
          <t>PR83 .C634 1987</t>
        </is>
      </c>
      <c r="E3642" t="inlineStr">
        <is>
          <t>0                      PR 0083000C  634         1987</t>
        </is>
      </c>
      <c r="F3642" t="inlineStr">
        <is>
          <t>The history of English literature : one indivisible, unending book / by Peter Conrad.</t>
        </is>
      </c>
      <c r="H3642" t="inlineStr">
        <is>
          <t>No</t>
        </is>
      </c>
      <c r="I3642" t="inlineStr">
        <is>
          <t>1</t>
        </is>
      </c>
      <c r="J3642" t="inlineStr">
        <is>
          <t>No</t>
        </is>
      </c>
      <c r="K3642" t="inlineStr">
        <is>
          <t>No</t>
        </is>
      </c>
      <c r="L3642" t="inlineStr">
        <is>
          <t>0</t>
        </is>
      </c>
      <c r="M3642" t="inlineStr">
        <is>
          <t>Conrad, Peter, 1948-</t>
        </is>
      </c>
      <c r="N3642" t="inlineStr">
        <is>
          <t>Philadelphia : University of Pennsylvania Press, 1987, c1985.</t>
        </is>
      </c>
      <c r="O3642" t="inlineStr">
        <is>
          <t>1987</t>
        </is>
      </c>
      <c r="Q3642" t="inlineStr">
        <is>
          <t>eng</t>
        </is>
      </c>
      <c r="R3642" t="inlineStr">
        <is>
          <t>pau</t>
        </is>
      </c>
      <c r="T3642" t="inlineStr">
        <is>
          <t xml:space="preserve">PR </t>
        </is>
      </c>
      <c r="U3642" t="n">
        <v>1</v>
      </c>
      <c r="V3642" t="n">
        <v>1</v>
      </c>
      <c r="W3642" t="inlineStr">
        <is>
          <t>1992-10-29</t>
        </is>
      </c>
      <c r="X3642" t="inlineStr">
        <is>
          <t>1992-10-29</t>
        </is>
      </c>
      <c r="Y3642" t="inlineStr">
        <is>
          <t>1991-08-19</t>
        </is>
      </c>
      <c r="Z3642" t="inlineStr">
        <is>
          <t>1991-08-19</t>
        </is>
      </c>
      <c r="AA3642" t="n">
        <v>411</v>
      </c>
      <c r="AB3642" t="n">
        <v>396</v>
      </c>
      <c r="AC3642" t="n">
        <v>401</v>
      </c>
      <c r="AD3642" t="n">
        <v>3</v>
      </c>
      <c r="AE3642" t="n">
        <v>3</v>
      </c>
      <c r="AF3642" t="n">
        <v>16</v>
      </c>
      <c r="AG3642" t="n">
        <v>17</v>
      </c>
      <c r="AH3642" t="n">
        <v>3</v>
      </c>
      <c r="AI3642" t="n">
        <v>3</v>
      </c>
      <c r="AJ3642" t="n">
        <v>4</v>
      </c>
      <c r="AK3642" t="n">
        <v>4</v>
      </c>
      <c r="AL3642" t="n">
        <v>13</v>
      </c>
      <c r="AM3642" t="n">
        <v>14</v>
      </c>
      <c r="AN3642" t="n">
        <v>1</v>
      </c>
      <c r="AO3642" t="n">
        <v>1</v>
      </c>
      <c r="AP3642" t="n">
        <v>0</v>
      </c>
      <c r="AQ3642" t="n">
        <v>0</v>
      </c>
      <c r="AR3642" t="inlineStr">
        <is>
          <t>No</t>
        </is>
      </c>
      <c r="AS3642" t="inlineStr">
        <is>
          <t>Yes</t>
        </is>
      </c>
      <c r="AT3642">
        <f>HYPERLINK("http://catalog.hathitrust.org/Record/000822751","HathiTrust Record")</f>
        <v/>
      </c>
      <c r="AU3642">
        <f>HYPERLINK("https://creighton-primo.hosted.exlibrisgroup.com/primo-explore/search?tab=default_tab&amp;search_scope=EVERYTHING&amp;vid=01CRU&amp;lang=en_US&amp;offset=0&amp;query=any,contains,991001021239702656","Catalog Record")</f>
        <v/>
      </c>
      <c r="AV3642">
        <f>HYPERLINK("http://www.worldcat.org/oclc/15367050","WorldCat Record")</f>
        <v/>
      </c>
      <c r="AW3642" t="inlineStr">
        <is>
          <t>3901126240:eng</t>
        </is>
      </c>
      <c r="AX3642" t="inlineStr">
        <is>
          <t>15367050</t>
        </is>
      </c>
      <c r="AY3642" t="inlineStr">
        <is>
          <t>991001021239702656</t>
        </is>
      </c>
      <c r="AZ3642" t="inlineStr">
        <is>
          <t>991001021239702656</t>
        </is>
      </c>
      <c r="BA3642" t="inlineStr">
        <is>
          <t>2260390690002656</t>
        </is>
      </c>
      <c r="BB3642" t="inlineStr">
        <is>
          <t>BOOK</t>
        </is>
      </c>
      <c r="BD3642" t="inlineStr">
        <is>
          <t>9780812280678</t>
        </is>
      </c>
      <c r="BE3642" t="inlineStr">
        <is>
          <t>32285000696202</t>
        </is>
      </c>
      <c r="BF3642" t="inlineStr">
        <is>
          <t>893346173</t>
        </is>
      </c>
    </row>
    <row r="3643">
      <c r="A3643" t="inlineStr">
        <is>
          <t>No</t>
        </is>
      </c>
      <c r="B3643" t="inlineStr">
        <is>
          <t>CURAL</t>
        </is>
      </c>
      <c r="C3643" t="inlineStr">
        <is>
          <t>SHELVES</t>
        </is>
      </c>
      <c r="D3643" t="inlineStr">
        <is>
          <t>PR83 .D35</t>
        </is>
      </c>
      <c r="E3643" t="inlineStr">
        <is>
          <t>0                      PR 0083000D  35</t>
        </is>
      </c>
      <c r="F3643" t="inlineStr">
        <is>
          <t>History of English literature, a college course guide.</t>
        </is>
      </c>
      <c r="G3643" t="inlineStr">
        <is>
          <t>V.1</t>
        </is>
      </c>
      <c r="H3643" t="inlineStr">
        <is>
          <t>Yes</t>
        </is>
      </c>
      <c r="I3643" t="inlineStr">
        <is>
          <t>1</t>
        </is>
      </c>
      <c r="J3643" t="inlineStr">
        <is>
          <t>No</t>
        </is>
      </c>
      <c r="K3643" t="inlineStr">
        <is>
          <t>No</t>
        </is>
      </c>
      <c r="L3643" t="inlineStr">
        <is>
          <t>0</t>
        </is>
      </c>
      <c r="M3643" t="inlineStr">
        <is>
          <t>Day, Martin S. (Martin Steele), 1917-</t>
        </is>
      </c>
      <c r="N3643" t="inlineStr">
        <is>
          <t>Garden City, N.Y., Doubleday, 1963-64.</t>
        </is>
      </c>
      <c r="O3643" t="inlineStr">
        <is>
          <t>1963</t>
        </is>
      </c>
      <c r="P3643" t="inlineStr">
        <is>
          <t>[1st ed.]</t>
        </is>
      </c>
      <c r="Q3643" t="inlineStr">
        <is>
          <t>eng</t>
        </is>
      </c>
      <c r="R3643" t="inlineStr">
        <is>
          <t>nyu</t>
        </is>
      </c>
      <c r="S3643" t="inlineStr">
        <is>
          <t>Doubleday college course guides ; U10, U12, U15</t>
        </is>
      </c>
      <c r="T3643" t="inlineStr">
        <is>
          <t xml:space="preserve">PR </t>
        </is>
      </c>
      <c r="U3643" t="n">
        <v>1</v>
      </c>
      <c r="V3643" t="n">
        <v>2</v>
      </c>
      <c r="W3643" t="inlineStr">
        <is>
          <t>2002-02-09</t>
        </is>
      </c>
      <c r="X3643" t="inlineStr">
        <is>
          <t>2002-02-09</t>
        </is>
      </c>
      <c r="Y3643" t="inlineStr">
        <is>
          <t>1992-02-04</t>
        </is>
      </c>
      <c r="Z3643" t="inlineStr">
        <is>
          <t>1995-08-07</t>
        </is>
      </c>
      <c r="AA3643" t="n">
        <v>501</v>
      </c>
      <c r="AB3643" t="n">
        <v>457</v>
      </c>
      <c r="AC3643" t="n">
        <v>518</v>
      </c>
      <c r="AD3643" t="n">
        <v>4</v>
      </c>
      <c r="AE3643" t="n">
        <v>5</v>
      </c>
      <c r="AF3643" t="n">
        <v>15</v>
      </c>
      <c r="AG3643" t="n">
        <v>17</v>
      </c>
      <c r="AH3643" t="n">
        <v>6</v>
      </c>
      <c r="AI3643" t="n">
        <v>7</v>
      </c>
      <c r="AJ3643" t="n">
        <v>1</v>
      </c>
      <c r="AK3643" t="n">
        <v>1</v>
      </c>
      <c r="AL3643" t="n">
        <v>7</v>
      </c>
      <c r="AM3643" t="n">
        <v>7</v>
      </c>
      <c r="AN3643" t="n">
        <v>3</v>
      </c>
      <c r="AO3643" t="n">
        <v>4</v>
      </c>
      <c r="AP3643" t="n">
        <v>0</v>
      </c>
      <c r="AQ3643" t="n">
        <v>0</v>
      </c>
      <c r="AR3643" t="inlineStr">
        <is>
          <t>No</t>
        </is>
      </c>
      <c r="AS3643" t="inlineStr">
        <is>
          <t>Yes</t>
        </is>
      </c>
      <c r="AT3643">
        <f>HYPERLINK("http://catalog.hathitrust.org/Record/101863339","HathiTrust Record")</f>
        <v/>
      </c>
      <c r="AU3643">
        <f>HYPERLINK("https://creighton-primo.hosted.exlibrisgroup.com/primo-explore/search?tab=default_tab&amp;search_scope=EVERYTHING&amp;vid=01CRU&amp;lang=en_US&amp;offset=0&amp;query=any,contains,991003429019702656","Catalog Record")</f>
        <v/>
      </c>
      <c r="AV3643">
        <f>HYPERLINK("http://www.worldcat.org/oclc/965144","WorldCat Record")</f>
        <v/>
      </c>
      <c r="AW3643" t="inlineStr">
        <is>
          <t>2287776404:eng</t>
        </is>
      </c>
      <c r="AX3643" t="inlineStr">
        <is>
          <t>965144</t>
        </is>
      </c>
      <c r="AY3643" t="inlineStr">
        <is>
          <t>991003429019702656</t>
        </is>
      </c>
      <c r="AZ3643" t="inlineStr">
        <is>
          <t>991003429019702656</t>
        </is>
      </c>
      <c r="BA3643" t="inlineStr">
        <is>
          <t>2258319880002656</t>
        </is>
      </c>
      <c r="BB3643" t="inlineStr">
        <is>
          <t>BOOK</t>
        </is>
      </c>
      <c r="BE3643" t="inlineStr">
        <is>
          <t>32285000934223</t>
        </is>
      </c>
      <c r="BF3643" t="inlineStr">
        <is>
          <t>893881147</t>
        </is>
      </c>
    </row>
    <row r="3644">
      <c r="A3644" t="inlineStr">
        <is>
          <t>No</t>
        </is>
      </c>
      <c r="B3644" t="inlineStr">
        <is>
          <t>CURAL</t>
        </is>
      </c>
      <c r="C3644" t="inlineStr">
        <is>
          <t>SHELVES</t>
        </is>
      </c>
      <c r="D3644" t="inlineStr">
        <is>
          <t>PR83 .D35</t>
        </is>
      </c>
      <c r="E3644" t="inlineStr">
        <is>
          <t>0                      PR 0083000D  35</t>
        </is>
      </c>
      <c r="F3644" t="inlineStr">
        <is>
          <t>History of English literature, a college course guide.</t>
        </is>
      </c>
      <c r="G3644" t="inlineStr">
        <is>
          <t>V.3</t>
        </is>
      </c>
      <c r="H3644" t="inlineStr">
        <is>
          <t>Yes</t>
        </is>
      </c>
      <c r="I3644" t="inlineStr">
        <is>
          <t>1</t>
        </is>
      </c>
      <c r="J3644" t="inlineStr">
        <is>
          <t>No</t>
        </is>
      </c>
      <c r="K3644" t="inlineStr">
        <is>
          <t>No</t>
        </is>
      </c>
      <c r="L3644" t="inlineStr">
        <is>
          <t>0</t>
        </is>
      </c>
      <c r="M3644" t="inlineStr">
        <is>
          <t>Day, Martin S. (Martin Steele), 1917-</t>
        </is>
      </c>
      <c r="N3644" t="inlineStr">
        <is>
          <t>Garden City, N.Y., Doubleday, 1963-64.</t>
        </is>
      </c>
      <c r="O3644" t="inlineStr">
        <is>
          <t>1963</t>
        </is>
      </c>
      <c r="P3644" t="inlineStr">
        <is>
          <t>[1st ed.]</t>
        </is>
      </c>
      <c r="Q3644" t="inlineStr">
        <is>
          <t>eng</t>
        </is>
      </c>
      <c r="R3644" t="inlineStr">
        <is>
          <t>nyu</t>
        </is>
      </c>
      <c r="S3644" t="inlineStr">
        <is>
          <t>Doubleday college course guides ; U10, U12, U15</t>
        </is>
      </c>
      <c r="T3644" t="inlineStr">
        <is>
          <t xml:space="preserve">PR </t>
        </is>
      </c>
      <c r="U3644" t="n">
        <v>1</v>
      </c>
      <c r="V3644" t="n">
        <v>2</v>
      </c>
      <c r="X3644" t="inlineStr">
        <is>
          <t>2002-02-09</t>
        </is>
      </c>
      <c r="Y3644" t="inlineStr">
        <is>
          <t>1992-01-22</t>
        </is>
      </c>
      <c r="Z3644" t="inlineStr">
        <is>
          <t>1995-08-07</t>
        </is>
      </c>
      <c r="AA3644" t="n">
        <v>501</v>
      </c>
      <c r="AB3644" t="n">
        <v>457</v>
      </c>
      <c r="AC3644" t="n">
        <v>518</v>
      </c>
      <c r="AD3644" t="n">
        <v>4</v>
      </c>
      <c r="AE3644" t="n">
        <v>5</v>
      </c>
      <c r="AF3644" t="n">
        <v>15</v>
      </c>
      <c r="AG3644" t="n">
        <v>17</v>
      </c>
      <c r="AH3644" t="n">
        <v>6</v>
      </c>
      <c r="AI3644" t="n">
        <v>7</v>
      </c>
      <c r="AJ3644" t="n">
        <v>1</v>
      </c>
      <c r="AK3644" t="n">
        <v>1</v>
      </c>
      <c r="AL3644" t="n">
        <v>7</v>
      </c>
      <c r="AM3644" t="n">
        <v>7</v>
      </c>
      <c r="AN3644" t="n">
        <v>3</v>
      </c>
      <c r="AO3644" t="n">
        <v>4</v>
      </c>
      <c r="AP3644" t="n">
        <v>0</v>
      </c>
      <c r="AQ3644" t="n">
        <v>0</v>
      </c>
      <c r="AR3644" t="inlineStr">
        <is>
          <t>No</t>
        </is>
      </c>
      <c r="AS3644" t="inlineStr">
        <is>
          <t>Yes</t>
        </is>
      </c>
      <c r="AT3644">
        <f>HYPERLINK("http://catalog.hathitrust.org/Record/101863339","HathiTrust Record")</f>
        <v/>
      </c>
      <c r="AU3644">
        <f>HYPERLINK("https://creighton-primo.hosted.exlibrisgroup.com/primo-explore/search?tab=default_tab&amp;search_scope=EVERYTHING&amp;vid=01CRU&amp;lang=en_US&amp;offset=0&amp;query=any,contains,991003429019702656","Catalog Record")</f>
        <v/>
      </c>
      <c r="AV3644">
        <f>HYPERLINK("http://www.worldcat.org/oclc/965144","WorldCat Record")</f>
        <v/>
      </c>
      <c r="AW3644" t="inlineStr">
        <is>
          <t>2287776404:eng</t>
        </is>
      </c>
      <c r="AX3644" t="inlineStr">
        <is>
          <t>965144</t>
        </is>
      </c>
      <c r="AY3644" t="inlineStr">
        <is>
          <t>991003429019702656</t>
        </is>
      </c>
      <c r="AZ3644" t="inlineStr">
        <is>
          <t>991003429019702656</t>
        </is>
      </c>
      <c r="BA3644" t="inlineStr">
        <is>
          <t>2258319880002656</t>
        </is>
      </c>
      <c r="BB3644" t="inlineStr">
        <is>
          <t>BOOK</t>
        </is>
      </c>
      <c r="BE3644" t="inlineStr">
        <is>
          <t>32285000898311</t>
        </is>
      </c>
      <c r="BF3644" t="inlineStr">
        <is>
          <t>893868400</t>
        </is>
      </c>
    </row>
    <row r="3645">
      <c r="A3645" t="inlineStr">
        <is>
          <t>No</t>
        </is>
      </c>
      <c r="B3645" t="inlineStr">
        <is>
          <t>CURAL</t>
        </is>
      </c>
      <c r="C3645" t="inlineStr">
        <is>
          <t>SHELVES</t>
        </is>
      </c>
      <c r="D3645" t="inlineStr">
        <is>
          <t>PR83 .D35</t>
        </is>
      </c>
      <c r="E3645" t="inlineStr">
        <is>
          <t>0                      PR 0083000D  35</t>
        </is>
      </c>
      <c r="F3645" t="inlineStr">
        <is>
          <t>History of English literature, a college course guide.</t>
        </is>
      </c>
      <c r="G3645" t="inlineStr">
        <is>
          <t>V.2</t>
        </is>
      </c>
      <c r="H3645" t="inlineStr">
        <is>
          <t>Yes</t>
        </is>
      </c>
      <c r="I3645" t="inlineStr">
        <is>
          <t>1</t>
        </is>
      </c>
      <c r="J3645" t="inlineStr">
        <is>
          <t>No</t>
        </is>
      </c>
      <c r="K3645" t="inlineStr">
        <is>
          <t>No</t>
        </is>
      </c>
      <c r="L3645" t="inlineStr">
        <is>
          <t>0</t>
        </is>
      </c>
      <c r="M3645" t="inlineStr">
        <is>
          <t>Day, Martin S. (Martin Steele), 1917-</t>
        </is>
      </c>
      <c r="N3645" t="inlineStr">
        <is>
          <t>Garden City, N.Y., Doubleday, 1963-64.</t>
        </is>
      </c>
      <c r="O3645" t="inlineStr">
        <is>
          <t>1963</t>
        </is>
      </c>
      <c r="P3645" t="inlineStr">
        <is>
          <t>[1st ed.]</t>
        </is>
      </c>
      <c r="Q3645" t="inlineStr">
        <is>
          <t>eng</t>
        </is>
      </c>
      <c r="R3645" t="inlineStr">
        <is>
          <t>nyu</t>
        </is>
      </c>
      <c r="S3645" t="inlineStr">
        <is>
          <t>Doubleday college course guides ; U10, U12, U15</t>
        </is>
      </c>
      <c r="T3645" t="inlineStr">
        <is>
          <t xml:space="preserve">PR </t>
        </is>
      </c>
      <c r="U3645" t="n">
        <v>0</v>
      </c>
      <c r="V3645" t="n">
        <v>2</v>
      </c>
      <c r="X3645" t="inlineStr">
        <is>
          <t>2002-02-09</t>
        </is>
      </c>
      <c r="Y3645" t="inlineStr">
        <is>
          <t>1995-08-07</t>
        </is>
      </c>
      <c r="Z3645" t="inlineStr">
        <is>
          <t>1995-08-07</t>
        </is>
      </c>
      <c r="AA3645" t="n">
        <v>501</v>
      </c>
      <c r="AB3645" t="n">
        <v>457</v>
      </c>
      <c r="AC3645" t="n">
        <v>518</v>
      </c>
      <c r="AD3645" t="n">
        <v>4</v>
      </c>
      <c r="AE3645" t="n">
        <v>5</v>
      </c>
      <c r="AF3645" t="n">
        <v>15</v>
      </c>
      <c r="AG3645" t="n">
        <v>17</v>
      </c>
      <c r="AH3645" t="n">
        <v>6</v>
      </c>
      <c r="AI3645" t="n">
        <v>7</v>
      </c>
      <c r="AJ3645" t="n">
        <v>1</v>
      </c>
      <c r="AK3645" t="n">
        <v>1</v>
      </c>
      <c r="AL3645" t="n">
        <v>7</v>
      </c>
      <c r="AM3645" t="n">
        <v>7</v>
      </c>
      <c r="AN3645" t="n">
        <v>3</v>
      </c>
      <c r="AO3645" t="n">
        <v>4</v>
      </c>
      <c r="AP3645" t="n">
        <v>0</v>
      </c>
      <c r="AQ3645" t="n">
        <v>0</v>
      </c>
      <c r="AR3645" t="inlineStr">
        <is>
          <t>No</t>
        </is>
      </c>
      <c r="AS3645" t="inlineStr">
        <is>
          <t>Yes</t>
        </is>
      </c>
      <c r="AT3645">
        <f>HYPERLINK("http://catalog.hathitrust.org/Record/101863339","HathiTrust Record")</f>
        <v/>
      </c>
      <c r="AU3645">
        <f>HYPERLINK("https://creighton-primo.hosted.exlibrisgroup.com/primo-explore/search?tab=default_tab&amp;search_scope=EVERYTHING&amp;vid=01CRU&amp;lang=en_US&amp;offset=0&amp;query=any,contains,991003429019702656","Catalog Record")</f>
        <v/>
      </c>
      <c r="AV3645">
        <f>HYPERLINK("http://www.worldcat.org/oclc/965144","WorldCat Record")</f>
        <v/>
      </c>
      <c r="AW3645" t="inlineStr">
        <is>
          <t>2287776404:eng</t>
        </is>
      </c>
      <c r="AX3645" t="inlineStr">
        <is>
          <t>965144</t>
        </is>
      </c>
      <c r="AY3645" t="inlineStr">
        <is>
          <t>991003429019702656</t>
        </is>
      </c>
      <c r="AZ3645" t="inlineStr">
        <is>
          <t>991003429019702656</t>
        </is>
      </c>
      <c r="BA3645" t="inlineStr">
        <is>
          <t>2258319880002656</t>
        </is>
      </c>
      <c r="BB3645" t="inlineStr">
        <is>
          <t>BOOK</t>
        </is>
      </c>
      <c r="BE3645" t="inlineStr">
        <is>
          <t>32285002062635</t>
        </is>
      </c>
      <c r="BF3645" t="inlineStr">
        <is>
          <t>893881146</t>
        </is>
      </c>
    </row>
    <row r="3646">
      <c r="A3646" t="inlineStr">
        <is>
          <t>No</t>
        </is>
      </c>
      <c r="B3646" t="inlineStr">
        <is>
          <t>CURAL</t>
        </is>
      </c>
      <c r="C3646" t="inlineStr">
        <is>
          <t>SHELVES</t>
        </is>
      </c>
      <c r="D3646" t="inlineStr">
        <is>
          <t>PR83 .F65 1987</t>
        </is>
      </c>
      <c r="E3646" t="inlineStr">
        <is>
          <t>0                      PR 0083000F  65          1987</t>
        </is>
      </c>
      <c r="F3646" t="inlineStr">
        <is>
          <t>A history of English literature / Alastair Fowler.</t>
        </is>
      </c>
      <c r="H3646" t="inlineStr">
        <is>
          <t>No</t>
        </is>
      </c>
      <c r="I3646" t="inlineStr">
        <is>
          <t>1</t>
        </is>
      </c>
      <c r="J3646" t="inlineStr">
        <is>
          <t>No</t>
        </is>
      </c>
      <c r="K3646" t="inlineStr">
        <is>
          <t>No</t>
        </is>
      </c>
      <c r="L3646" t="inlineStr">
        <is>
          <t>0</t>
        </is>
      </c>
      <c r="M3646" t="inlineStr">
        <is>
          <t>Fowler, Alastair.</t>
        </is>
      </c>
      <c r="N3646" t="inlineStr">
        <is>
          <t>Cambridge, Mass. : Harvard University Press, 1987.</t>
        </is>
      </c>
      <c r="O3646" t="inlineStr">
        <is>
          <t>1987</t>
        </is>
      </c>
      <c r="Q3646" t="inlineStr">
        <is>
          <t>eng</t>
        </is>
      </c>
      <c r="R3646" t="inlineStr">
        <is>
          <t>mau</t>
        </is>
      </c>
      <c r="T3646" t="inlineStr">
        <is>
          <t xml:space="preserve">PR </t>
        </is>
      </c>
      <c r="U3646" t="n">
        <v>3</v>
      </c>
      <c r="V3646" t="n">
        <v>3</v>
      </c>
      <c r="W3646" t="inlineStr">
        <is>
          <t>1999-05-21</t>
        </is>
      </c>
      <c r="X3646" t="inlineStr">
        <is>
          <t>1999-05-21</t>
        </is>
      </c>
      <c r="Y3646" t="inlineStr">
        <is>
          <t>1991-08-19</t>
        </is>
      </c>
      <c r="Z3646" t="inlineStr">
        <is>
          <t>1991-08-19</t>
        </is>
      </c>
      <c r="AA3646" t="n">
        <v>877</v>
      </c>
      <c r="AB3646" t="n">
        <v>810</v>
      </c>
      <c r="AC3646" t="n">
        <v>879</v>
      </c>
      <c r="AD3646" t="n">
        <v>6</v>
      </c>
      <c r="AE3646" t="n">
        <v>7</v>
      </c>
      <c r="AF3646" t="n">
        <v>24</v>
      </c>
      <c r="AG3646" t="n">
        <v>27</v>
      </c>
      <c r="AH3646" t="n">
        <v>9</v>
      </c>
      <c r="AI3646" t="n">
        <v>11</v>
      </c>
      <c r="AJ3646" t="n">
        <v>5</v>
      </c>
      <c r="AK3646" t="n">
        <v>5</v>
      </c>
      <c r="AL3646" t="n">
        <v>12</v>
      </c>
      <c r="AM3646" t="n">
        <v>12</v>
      </c>
      <c r="AN3646" t="n">
        <v>4</v>
      </c>
      <c r="AO3646" t="n">
        <v>5</v>
      </c>
      <c r="AP3646" t="n">
        <v>0</v>
      </c>
      <c r="AQ3646" t="n">
        <v>0</v>
      </c>
      <c r="AR3646" t="inlineStr">
        <is>
          <t>No</t>
        </is>
      </c>
      <c r="AS3646" t="inlineStr">
        <is>
          <t>Yes</t>
        </is>
      </c>
      <c r="AT3646">
        <f>HYPERLINK("http://catalog.hathitrust.org/Record/000908018","HathiTrust Record")</f>
        <v/>
      </c>
      <c r="AU3646">
        <f>HYPERLINK("https://creighton-primo.hosted.exlibrisgroup.com/primo-explore/search?tab=default_tab&amp;search_scope=EVERYTHING&amp;vid=01CRU&amp;lang=en_US&amp;offset=0&amp;query=any,contains,991000987469702656","Catalog Record")</f>
        <v/>
      </c>
      <c r="AV3646">
        <f>HYPERLINK("http://www.worldcat.org/oclc/15083436","WorldCat Record")</f>
        <v/>
      </c>
      <c r="AW3646" t="inlineStr">
        <is>
          <t>3943385470:eng</t>
        </is>
      </c>
      <c r="AX3646" t="inlineStr">
        <is>
          <t>15083436</t>
        </is>
      </c>
      <c r="AY3646" t="inlineStr">
        <is>
          <t>991000987469702656</t>
        </is>
      </c>
      <c r="AZ3646" t="inlineStr">
        <is>
          <t>991000987469702656</t>
        </is>
      </c>
      <c r="BA3646" t="inlineStr">
        <is>
          <t>2257938880002656</t>
        </is>
      </c>
      <c r="BB3646" t="inlineStr">
        <is>
          <t>BOOK</t>
        </is>
      </c>
      <c r="BD3646" t="inlineStr">
        <is>
          <t>9780674396654</t>
        </is>
      </c>
      <c r="BE3646" t="inlineStr">
        <is>
          <t>32285000696228</t>
        </is>
      </c>
      <c r="BF3646" t="inlineStr">
        <is>
          <t>893515812</t>
        </is>
      </c>
    </row>
    <row r="3647">
      <c r="A3647" t="inlineStr">
        <is>
          <t>No</t>
        </is>
      </c>
      <c r="B3647" t="inlineStr">
        <is>
          <t>CURAL</t>
        </is>
      </c>
      <c r="C3647" t="inlineStr">
        <is>
          <t>SHELVES</t>
        </is>
      </c>
      <c r="D3647" t="inlineStr">
        <is>
          <t>PR83 .O94 1987</t>
        </is>
      </c>
      <c r="E3647" t="inlineStr">
        <is>
          <t>0                      PR 0083000O  94          1987</t>
        </is>
      </c>
      <c r="F3647" t="inlineStr">
        <is>
          <t>The Oxford illustrated history of English literature / edited by Pat Rogers.</t>
        </is>
      </c>
      <c r="H3647" t="inlineStr">
        <is>
          <t>No</t>
        </is>
      </c>
      <c r="I3647" t="inlineStr">
        <is>
          <t>1</t>
        </is>
      </c>
      <c r="J3647" t="inlineStr">
        <is>
          <t>No</t>
        </is>
      </c>
      <c r="K3647" t="inlineStr">
        <is>
          <t>No</t>
        </is>
      </c>
      <c r="L3647" t="inlineStr">
        <is>
          <t>0</t>
        </is>
      </c>
      <c r="N3647" t="inlineStr">
        <is>
          <t>Oxford [Oxfordshire] ; New York : Oxford University Press, 1987.</t>
        </is>
      </c>
      <c r="O3647" t="inlineStr">
        <is>
          <t>1987</t>
        </is>
      </c>
      <c r="Q3647" t="inlineStr">
        <is>
          <t>eng</t>
        </is>
      </c>
      <c r="R3647" t="inlineStr">
        <is>
          <t>enk</t>
        </is>
      </c>
      <c r="T3647" t="inlineStr">
        <is>
          <t xml:space="preserve">PR </t>
        </is>
      </c>
      <c r="U3647" t="n">
        <v>3</v>
      </c>
      <c r="V3647" t="n">
        <v>3</v>
      </c>
      <c r="W3647" t="inlineStr">
        <is>
          <t>2002-02-09</t>
        </is>
      </c>
      <c r="X3647" t="inlineStr">
        <is>
          <t>2002-02-09</t>
        </is>
      </c>
      <c r="Y3647" t="inlineStr">
        <is>
          <t>1991-08-27</t>
        </is>
      </c>
      <c r="Z3647" t="inlineStr">
        <is>
          <t>1991-08-27</t>
        </is>
      </c>
      <c r="AA3647" t="n">
        <v>1435</v>
      </c>
      <c r="AB3647" t="n">
        <v>1102</v>
      </c>
      <c r="AC3647" t="n">
        <v>1289</v>
      </c>
      <c r="AD3647" t="n">
        <v>8</v>
      </c>
      <c r="AE3647" t="n">
        <v>8</v>
      </c>
      <c r="AF3647" t="n">
        <v>30</v>
      </c>
      <c r="AG3647" t="n">
        <v>39</v>
      </c>
      <c r="AH3647" t="n">
        <v>13</v>
      </c>
      <c r="AI3647" t="n">
        <v>19</v>
      </c>
      <c r="AJ3647" t="n">
        <v>7</v>
      </c>
      <c r="AK3647" t="n">
        <v>9</v>
      </c>
      <c r="AL3647" t="n">
        <v>14</v>
      </c>
      <c r="AM3647" t="n">
        <v>16</v>
      </c>
      <c r="AN3647" t="n">
        <v>5</v>
      </c>
      <c r="AO3647" t="n">
        <v>5</v>
      </c>
      <c r="AP3647" t="n">
        <v>0</v>
      </c>
      <c r="AQ3647" t="n">
        <v>0</v>
      </c>
      <c r="AR3647" t="inlineStr">
        <is>
          <t>No</t>
        </is>
      </c>
      <c r="AS3647" t="inlineStr">
        <is>
          <t>Yes</t>
        </is>
      </c>
      <c r="AT3647">
        <f>HYPERLINK("http://catalog.hathitrust.org/Record/000838699","HathiTrust Record")</f>
        <v/>
      </c>
      <c r="AU3647">
        <f>HYPERLINK("https://creighton-primo.hosted.exlibrisgroup.com/primo-explore/search?tab=default_tab&amp;search_scope=EVERYTHING&amp;vid=01CRU&amp;lang=en_US&amp;offset=0&amp;query=any,contains,991000839269702656","Catalog Record")</f>
        <v/>
      </c>
      <c r="AV3647">
        <f>HYPERLINK("http://www.worldcat.org/oclc/13524634","WorldCat Record")</f>
        <v/>
      </c>
      <c r="AW3647" t="inlineStr">
        <is>
          <t>55383855:eng</t>
        </is>
      </c>
      <c r="AX3647" t="inlineStr">
        <is>
          <t>13524634</t>
        </is>
      </c>
      <c r="AY3647" t="inlineStr">
        <is>
          <t>991000839269702656</t>
        </is>
      </c>
      <c r="AZ3647" t="inlineStr">
        <is>
          <t>991000839269702656</t>
        </is>
      </c>
      <c r="BA3647" t="inlineStr">
        <is>
          <t>2264256570002656</t>
        </is>
      </c>
      <c r="BB3647" t="inlineStr">
        <is>
          <t>BOOK</t>
        </is>
      </c>
      <c r="BD3647" t="inlineStr">
        <is>
          <t>9780198128168</t>
        </is>
      </c>
      <c r="BE3647" t="inlineStr">
        <is>
          <t>32285000699370</t>
        </is>
      </c>
      <c r="BF3647" t="inlineStr">
        <is>
          <t>893237653</t>
        </is>
      </c>
    </row>
    <row r="3648">
      <c r="A3648" t="inlineStr">
        <is>
          <t>No</t>
        </is>
      </c>
      <c r="B3648" t="inlineStr">
        <is>
          <t>CURAL</t>
        </is>
      </c>
      <c r="C3648" t="inlineStr">
        <is>
          <t>SHELVES</t>
        </is>
      </c>
      <c r="D3648" t="inlineStr">
        <is>
          <t>PR83 .T64 1983</t>
        </is>
      </c>
      <c r="E3648" t="inlineStr">
        <is>
          <t>0                      PR 0083000T  64          1983</t>
        </is>
      </c>
      <c r="F3648" t="inlineStr">
        <is>
          <t>The monsters and the critics, and other essays / J.R.R. Tolkien ; edited by Christopher Tolkien.</t>
        </is>
      </c>
      <c r="H3648" t="inlineStr">
        <is>
          <t>No</t>
        </is>
      </c>
      <c r="I3648" t="inlineStr">
        <is>
          <t>1</t>
        </is>
      </c>
      <c r="J3648" t="inlineStr">
        <is>
          <t>No</t>
        </is>
      </c>
      <c r="K3648" t="inlineStr">
        <is>
          <t>No</t>
        </is>
      </c>
      <c r="L3648" t="inlineStr">
        <is>
          <t>0</t>
        </is>
      </c>
      <c r="M3648" t="inlineStr">
        <is>
          <t>Tolkien, J. R. R. (John Ronald Reuel), 1892-1973.</t>
        </is>
      </c>
      <c r="N3648" t="inlineStr">
        <is>
          <t>London ; Boston : George Allen &amp; Unwin, c1983.</t>
        </is>
      </c>
      <c r="O3648" t="inlineStr">
        <is>
          <t>1983</t>
        </is>
      </c>
      <c r="Q3648" t="inlineStr">
        <is>
          <t>eng</t>
        </is>
      </c>
      <c r="R3648" t="inlineStr">
        <is>
          <t>enk</t>
        </is>
      </c>
      <c r="T3648" t="inlineStr">
        <is>
          <t xml:space="preserve">PR </t>
        </is>
      </c>
      <c r="U3648" t="n">
        <v>6</v>
      </c>
      <c r="V3648" t="n">
        <v>6</v>
      </c>
      <c r="W3648" t="inlineStr">
        <is>
          <t>2010-04-28</t>
        </is>
      </c>
      <c r="X3648" t="inlineStr">
        <is>
          <t>2010-04-28</t>
        </is>
      </c>
      <c r="Y3648" t="inlineStr">
        <is>
          <t>1991-08-27</t>
        </is>
      </c>
      <c r="Z3648" t="inlineStr">
        <is>
          <t>1991-08-27</t>
        </is>
      </c>
      <c r="AA3648" t="n">
        <v>267</v>
      </c>
      <c r="AB3648" t="n">
        <v>100</v>
      </c>
      <c r="AC3648" t="n">
        <v>789</v>
      </c>
      <c r="AD3648" t="n">
        <v>2</v>
      </c>
      <c r="AE3648" t="n">
        <v>7</v>
      </c>
      <c r="AF3648" t="n">
        <v>3</v>
      </c>
      <c r="AG3648" t="n">
        <v>32</v>
      </c>
      <c r="AH3648" t="n">
        <v>1</v>
      </c>
      <c r="AI3648" t="n">
        <v>15</v>
      </c>
      <c r="AJ3648" t="n">
        <v>1</v>
      </c>
      <c r="AK3648" t="n">
        <v>8</v>
      </c>
      <c r="AL3648" t="n">
        <v>2</v>
      </c>
      <c r="AM3648" t="n">
        <v>13</v>
      </c>
      <c r="AN3648" t="n">
        <v>1</v>
      </c>
      <c r="AO3648" t="n">
        <v>6</v>
      </c>
      <c r="AP3648" t="n">
        <v>0</v>
      </c>
      <c r="AQ3648" t="n">
        <v>0</v>
      </c>
      <c r="AR3648" t="inlineStr">
        <is>
          <t>No</t>
        </is>
      </c>
      <c r="AS3648" t="inlineStr">
        <is>
          <t>Yes</t>
        </is>
      </c>
      <c r="AT3648">
        <f>HYPERLINK("http://catalog.hathitrust.org/Record/000195567","HathiTrust Record")</f>
        <v/>
      </c>
      <c r="AU3648">
        <f>HYPERLINK("https://creighton-primo.hosted.exlibrisgroup.com/primo-explore/search?tab=default_tab&amp;search_scope=EVERYTHING&amp;vid=01CRU&amp;lang=en_US&amp;offset=0&amp;query=any,contains,991000189129702656","Catalog Record")</f>
        <v/>
      </c>
      <c r="AV3648">
        <f>HYPERLINK("http://www.worldcat.org/oclc/9945117","WorldCat Record")</f>
        <v/>
      </c>
      <c r="AW3648" t="inlineStr">
        <is>
          <t>43353322:eng</t>
        </is>
      </c>
      <c r="AX3648" t="inlineStr">
        <is>
          <t>9945117</t>
        </is>
      </c>
      <c r="AY3648" t="inlineStr">
        <is>
          <t>991000189129702656</t>
        </is>
      </c>
      <c r="AZ3648" t="inlineStr">
        <is>
          <t>991000189129702656</t>
        </is>
      </c>
      <c r="BA3648" t="inlineStr">
        <is>
          <t>2265951080002656</t>
        </is>
      </c>
      <c r="BB3648" t="inlineStr">
        <is>
          <t>BOOK</t>
        </is>
      </c>
      <c r="BD3648" t="inlineStr">
        <is>
          <t>9780048090195</t>
        </is>
      </c>
      <c r="BE3648" t="inlineStr">
        <is>
          <t>32285000699396</t>
        </is>
      </c>
      <c r="BF3648" t="inlineStr">
        <is>
          <t>893243068</t>
        </is>
      </c>
    </row>
    <row r="3649">
      <c r="A3649" t="inlineStr">
        <is>
          <t>No</t>
        </is>
      </c>
      <c r="B3649" t="inlineStr">
        <is>
          <t>CURAL</t>
        </is>
      </c>
      <c r="C3649" t="inlineStr">
        <is>
          <t>SHELVES</t>
        </is>
      </c>
      <c r="D3649" t="inlineStr">
        <is>
          <t>PR830.A36 S66</t>
        </is>
      </c>
      <c r="E3649" t="inlineStr">
        <is>
          <t>0                      PR 0830000A  36                 S  66</t>
        </is>
      </c>
      <c r="F3649" t="inlineStr">
        <is>
          <t>The adolescent idea : myths of youth and the adult imagination / Patricia Meyer Spacks.</t>
        </is>
      </c>
      <c r="H3649" t="inlineStr">
        <is>
          <t>No</t>
        </is>
      </c>
      <c r="I3649" t="inlineStr">
        <is>
          <t>1</t>
        </is>
      </c>
      <c r="J3649" t="inlineStr">
        <is>
          <t>No</t>
        </is>
      </c>
      <c r="K3649" t="inlineStr">
        <is>
          <t>No</t>
        </is>
      </c>
      <c r="L3649" t="inlineStr">
        <is>
          <t>0</t>
        </is>
      </c>
      <c r="M3649" t="inlineStr">
        <is>
          <t>Spacks, Patricia Meyer.</t>
        </is>
      </c>
      <c r="N3649" t="inlineStr">
        <is>
          <t>New York : Basic Books, c1981.</t>
        </is>
      </c>
      <c r="O3649" t="inlineStr">
        <is>
          <t>1981</t>
        </is>
      </c>
      <c r="Q3649" t="inlineStr">
        <is>
          <t>eng</t>
        </is>
      </c>
      <c r="R3649" t="inlineStr">
        <is>
          <t>nyu</t>
        </is>
      </c>
      <c r="T3649" t="inlineStr">
        <is>
          <t xml:space="preserve">PR </t>
        </is>
      </c>
      <c r="U3649" t="n">
        <v>4</v>
      </c>
      <c r="V3649" t="n">
        <v>4</v>
      </c>
      <c r="W3649" t="inlineStr">
        <is>
          <t>1995-04-05</t>
        </is>
      </c>
      <c r="X3649" t="inlineStr">
        <is>
          <t>1995-04-05</t>
        </is>
      </c>
      <c r="Y3649" t="inlineStr">
        <is>
          <t>1991-09-11</t>
        </is>
      </c>
      <c r="Z3649" t="inlineStr">
        <is>
          <t>1991-09-11</t>
        </is>
      </c>
      <c r="AA3649" t="n">
        <v>901</v>
      </c>
      <c r="AB3649" t="n">
        <v>804</v>
      </c>
      <c r="AC3649" t="n">
        <v>837</v>
      </c>
      <c r="AD3649" t="n">
        <v>7</v>
      </c>
      <c r="AE3649" t="n">
        <v>7</v>
      </c>
      <c r="AF3649" t="n">
        <v>32</v>
      </c>
      <c r="AG3649" t="n">
        <v>34</v>
      </c>
      <c r="AH3649" t="n">
        <v>15</v>
      </c>
      <c r="AI3649" t="n">
        <v>16</v>
      </c>
      <c r="AJ3649" t="n">
        <v>6</v>
      </c>
      <c r="AK3649" t="n">
        <v>7</v>
      </c>
      <c r="AL3649" t="n">
        <v>15</v>
      </c>
      <c r="AM3649" t="n">
        <v>15</v>
      </c>
      <c r="AN3649" t="n">
        <v>6</v>
      </c>
      <c r="AO3649" t="n">
        <v>6</v>
      </c>
      <c r="AP3649" t="n">
        <v>0</v>
      </c>
      <c r="AQ3649" t="n">
        <v>0</v>
      </c>
      <c r="AR3649" t="inlineStr">
        <is>
          <t>No</t>
        </is>
      </c>
      <c r="AS3649" t="inlineStr">
        <is>
          <t>Yes</t>
        </is>
      </c>
      <c r="AT3649">
        <f>HYPERLINK("http://catalog.hathitrust.org/Record/000137988","HathiTrust Record")</f>
        <v/>
      </c>
      <c r="AU3649">
        <f>HYPERLINK("https://creighton-primo.hosted.exlibrisgroup.com/primo-explore/search?tab=default_tab&amp;search_scope=EVERYTHING&amp;vid=01CRU&amp;lang=en_US&amp;offset=0&amp;query=any,contains,991005128509702656","Catalog Record")</f>
        <v/>
      </c>
      <c r="AV3649">
        <f>HYPERLINK("http://www.worldcat.org/oclc/7555256","WorldCat Record")</f>
        <v/>
      </c>
      <c r="AW3649" t="inlineStr">
        <is>
          <t>11993614:eng</t>
        </is>
      </c>
      <c r="AX3649" t="inlineStr">
        <is>
          <t>7555256</t>
        </is>
      </c>
      <c r="AY3649" t="inlineStr">
        <is>
          <t>991005128509702656</t>
        </is>
      </c>
      <c r="AZ3649" t="inlineStr">
        <is>
          <t>991005128509702656</t>
        </is>
      </c>
      <c r="BA3649" t="inlineStr">
        <is>
          <t>2266356460002656</t>
        </is>
      </c>
      <c r="BB3649" t="inlineStr">
        <is>
          <t>BOOK</t>
        </is>
      </c>
      <c r="BD3649" t="inlineStr">
        <is>
          <t>9780465000579</t>
        </is>
      </c>
      <c r="BE3649" t="inlineStr">
        <is>
          <t>32285000755727</t>
        </is>
      </c>
      <c r="BF3649" t="inlineStr">
        <is>
          <t>893883376</t>
        </is>
      </c>
    </row>
    <row r="3650">
      <c r="A3650" t="inlineStr">
        <is>
          <t>No</t>
        </is>
      </c>
      <c r="B3650" t="inlineStr">
        <is>
          <t>CURAL</t>
        </is>
      </c>
      <c r="C3650" t="inlineStr">
        <is>
          <t>SHELVES</t>
        </is>
      </c>
      <c r="D3650" t="inlineStr">
        <is>
          <t>PR830.A37 O94 2002</t>
        </is>
      </c>
      <c r="E3650" t="inlineStr">
        <is>
          <t>0                      PR 0830000A  37                 O  94          2002</t>
        </is>
      </c>
      <c r="F3650" t="inlineStr">
        <is>
          <t>Fictions of female adultery, 1684-1890 : theories and circumtexts / Bill Overton.</t>
        </is>
      </c>
      <c r="H3650" t="inlineStr">
        <is>
          <t>No</t>
        </is>
      </c>
      <c r="I3650" t="inlineStr">
        <is>
          <t>1</t>
        </is>
      </c>
      <c r="J3650" t="inlineStr">
        <is>
          <t>No</t>
        </is>
      </c>
      <c r="K3650" t="inlineStr">
        <is>
          <t>No</t>
        </is>
      </c>
      <c r="L3650" t="inlineStr">
        <is>
          <t>0</t>
        </is>
      </c>
      <c r="M3650" t="inlineStr">
        <is>
          <t>Overton, Bill.</t>
        </is>
      </c>
      <c r="N3650" t="inlineStr">
        <is>
          <t>Houndmills, Basingstoke, Hampshire ; New York, N.Y. : Palgrave Macmillan, 2002.</t>
        </is>
      </c>
      <c r="O3650" t="inlineStr">
        <is>
          <t>2002</t>
        </is>
      </c>
      <c r="Q3650" t="inlineStr">
        <is>
          <t>eng</t>
        </is>
      </c>
      <c r="R3650" t="inlineStr">
        <is>
          <t>enk</t>
        </is>
      </c>
      <c r="T3650" t="inlineStr">
        <is>
          <t xml:space="preserve">PR </t>
        </is>
      </c>
      <c r="U3650" t="n">
        <v>2</v>
      </c>
      <c r="V3650" t="n">
        <v>2</v>
      </c>
      <c r="W3650" t="inlineStr">
        <is>
          <t>2005-04-07</t>
        </is>
      </c>
      <c r="X3650" t="inlineStr">
        <is>
          <t>2005-04-07</t>
        </is>
      </c>
      <c r="Y3650" t="inlineStr">
        <is>
          <t>2005-04-07</t>
        </is>
      </c>
      <c r="Z3650" t="inlineStr">
        <is>
          <t>2005-04-07</t>
        </is>
      </c>
      <c r="AA3650" t="n">
        <v>286</v>
      </c>
      <c r="AB3650" t="n">
        <v>212</v>
      </c>
      <c r="AC3650" t="n">
        <v>231</v>
      </c>
      <c r="AD3650" t="n">
        <v>3</v>
      </c>
      <c r="AE3650" t="n">
        <v>3</v>
      </c>
      <c r="AF3650" t="n">
        <v>12</v>
      </c>
      <c r="AG3650" t="n">
        <v>12</v>
      </c>
      <c r="AH3650" t="n">
        <v>3</v>
      </c>
      <c r="AI3650" t="n">
        <v>3</v>
      </c>
      <c r="AJ3650" t="n">
        <v>5</v>
      </c>
      <c r="AK3650" t="n">
        <v>5</v>
      </c>
      <c r="AL3650" t="n">
        <v>7</v>
      </c>
      <c r="AM3650" t="n">
        <v>7</v>
      </c>
      <c r="AN3650" t="n">
        <v>2</v>
      </c>
      <c r="AO3650" t="n">
        <v>2</v>
      </c>
      <c r="AP3650" t="n">
        <v>0</v>
      </c>
      <c r="AQ3650" t="n">
        <v>0</v>
      </c>
      <c r="AR3650" t="inlineStr">
        <is>
          <t>No</t>
        </is>
      </c>
      <c r="AS3650" t="inlineStr">
        <is>
          <t>No</t>
        </is>
      </c>
      <c r="AU3650">
        <f>HYPERLINK("https://creighton-primo.hosted.exlibrisgroup.com/primo-explore/search?tab=default_tab&amp;search_scope=EVERYTHING&amp;vid=01CRU&amp;lang=en_US&amp;offset=0&amp;query=any,contains,991004514489702656","Catalog Record")</f>
        <v/>
      </c>
      <c r="AV3650">
        <f>HYPERLINK("http://www.worldcat.org/oclc/49926352","WorldCat Record")</f>
        <v/>
      </c>
      <c r="AW3650" t="inlineStr">
        <is>
          <t>796777878:eng</t>
        </is>
      </c>
      <c r="AX3650" t="inlineStr">
        <is>
          <t>49926352</t>
        </is>
      </c>
      <c r="AY3650" t="inlineStr">
        <is>
          <t>991004514489702656</t>
        </is>
      </c>
      <c r="AZ3650" t="inlineStr">
        <is>
          <t>991004514489702656</t>
        </is>
      </c>
      <c r="BA3650" t="inlineStr">
        <is>
          <t>2257945350002656</t>
        </is>
      </c>
      <c r="BB3650" t="inlineStr">
        <is>
          <t>BOOK</t>
        </is>
      </c>
      <c r="BD3650" t="inlineStr">
        <is>
          <t>9780333770801</t>
        </is>
      </c>
      <c r="BE3650" t="inlineStr">
        <is>
          <t>32285005049035</t>
        </is>
      </c>
      <c r="BF3650" t="inlineStr">
        <is>
          <t>893706514</t>
        </is>
      </c>
    </row>
    <row r="3651">
      <c r="A3651" t="inlineStr">
        <is>
          <t>No</t>
        </is>
      </c>
      <c r="B3651" t="inlineStr">
        <is>
          <t>CURAL</t>
        </is>
      </c>
      <c r="C3651" t="inlineStr">
        <is>
          <t>SHELVES</t>
        </is>
      </c>
      <c r="D3651" t="inlineStr">
        <is>
          <t>PR830.C53 W66 1984</t>
        </is>
      </c>
      <c r="E3651" t="inlineStr">
        <is>
          <t>0                      PR 0830000C  53                 W  66          1984</t>
        </is>
      </c>
      <c r="F3651" t="inlineStr">
        <is>
          <t>Women writers and the city : essays in feminist literary criticism / Susan Merrill Squier, editor.</t>
        </is>
      </c>
      <c r="H3651" t="inlineStr">
        <is>
          <t>No</t>
        </is>
      </c>
      <c r="I3651" t="inlineStr">
        <is>
          <t>1</t>
        </is>
      </c>
      <c r="J3651" t="inlineStr">
        <is>
          <t>No</t>
        </is>
      </c>
      <c r="K3651" t="inlineStr">
        <is>
          <t>No</t>
        </is>
      </c>
      <c r="L3651" t="inlineStr">
        <is>
          <t>0</t>
        </is>
      </c>
      <c r="N3651" t="inlineStr">
        <is>
          <t>Knoxville : University of Tennessee Press, c1984.</t>
        </is>
      </c>
      <c r="O3651" t="inlineStr">
        <is>
          <t>1984</t>
        </is>
      </c>
      <c r="Q3651" t="inlineStr">
        <is>
          <t>eng</t>
        </is>
      </c>
      <c r="R3651" t="inlineStr">
        <is>
          <t>tnu</t>
        </is>
      </c>
      <c r="T3651" t="inlineStr">
        <is>
          <t xml:space="preserve">PR </t>
        </is>
      </c>
      <c r="U3651" t="n">
        <v>7</v>
      </c>
      <c r="V3651" t="n">
        <v>7</v>
      </c>
      <c r="W3651" t="inlineStr">
        <is>
          <t>1996-01-23</t>
        </is>
      </c>
      <c r="X3651" t="inlineStr">
        <is>
          <t>1996-01-23</t>
        </is>
      </c>
      <c r="Y3651" t="inlineStr">
        <is>
          <t>1991-09-11</t>
        </is>
      </c>
      <c r="Z3651" t="inlineStr">
        <is>
          <t>1991-09-11</t>
        </is>
      </c>
      <c r="AA3651" t="n">
        <v>849</v>
      </c>
      <c r="AB3651" t="n">
        <v>719</v>
      </c>
      <c r="AC3651" t="n">
        <v>725</v>
      </c>
      <c r="AD3651" t="n">
        <v>8</v>
      </c>
      <c r="AE3651" t="n">
        <v>8</v>
      </c>
      <c r="AF3651" t="n">
        <v>35</v>
      </c>
      <c r="AG3651" t="n">
        <v>35</v>
      </c>
      <c r="AH3651" t="n">
        <v>15</v>
      </c>
      <c r="AI3651" t="n">
        <v>15</v>
      </c>
      <c r="AJ3651" t="n">
        <v>7</v>
      </c>
      <c r="AK3651" t="n">
        <v>7</v>
      </c>
      <c r="AL3651" t="n">
        <v>12</v>
      </c>
      <c r="AM3651" t="n">
        <v>12</v>
      </c>
      <c r="AN3651" t="n">
        <v>7</v>
      </c>
      <c r="AO3651" t="n">
        <v>7</v>
      </c>
      <c r="AP3651" t="n">
        <v>0</v>
      </c>
      <c r="AQ3651" t="n">
        <v>0</v>
      </c>
      <c r="AR3651" t="inlineStr">
        <is>
          <t>No</t>
        </is>
      </c>
      <c r="AS3651" t="inlineStr">
        <is>
          <t>Yes</t>
        </is>
      </c>
      <c r="AT3651">
        <f>HYPERLINK("http://catalog.hathitrust.org/Record/000125867","HathiTrust Record")</f>
        <v/>
      </c>
      <c r="AU3651">
        <f>HYPERLINK("https://creighton-primo.hosted.exlibrisgroup.com/primo-explore/search?tab=default_tab&amp;search_scope=EVERYTHING&amp;vid=01CRU&amp;lang=en_US&amp;offset=0&amp;query=any,contains,991000262939702656","Catalog Record")</f>
        <v/>
      </c>
      <c r="AV3651">
        <f>HYPERLINK("http://www.worldcat.org/oclc/9827138","WorldCat Record")</f>
        <v/>
      </c>
      <c r="AW3651" t="inlineStr">
        <is>
          <t>890880873:eng</t>
        </is>
      </c>
      <c r="AX3651" t="inlineStr">
        <is>
          <t>9827138</t>
        </is>
      </c>
      <c r="AY3651" t="inlineStr">
        <is>
          <t>991000262939702656</t>
        </is>
      </c>
      <c r="AZ3651" t="inlineStr">
        <is>
          <t>991000262939702656</t>
        </is>
      </c>
      <c r="BA3651" t="inlineStr">
        <is>
          <t>2268989650002656</t>
        </is>
      </c>
      <c r="BB3651" t="inlineStr">
        <is>
          <t>BOOK</t>
        </is>
      </c>
      <c r="BD3651" t="inlineStr">
        <is>
          <t>9780870494161</t>
        </is>
      </c>
      <c r="BE3651" t="inlineStr">
        <is>
          <t>32285000755750</t>
        </is>
      </c>
      <c r="BF3651" t="inlineStr">
        <is>
          <t>893589308</t>
        </is>
      </c>
    </row>
    <row r="3652">
      <c r="A3652" t="inlineStr">
        <is>
          <t>No</t>
        </is>
      </c>
      <c r="B3652" t="inlineStr">
        <is>
          <t>CURAL</t>
        </is>
      </c>
      <c r="C3652" t="inlineStr">
        <is>
          <t>SHELVES</t>
        </is>
      </c>
      <c r="D3652" t="inlineStr">
        <is>
          <t>PR830.C6 M38</t>
        </is>
      </c>
      <c r="E3652" t="inlineStr">
        <is>
          <t>0                      PR 0830000C  6                  M  38</t>
        </is>
      </c>
      <c r="F3652" t="inlineStr">
        <is>
          <t>Kipling and Conrad, the colonial fiction / John A. McClure.</t>
        </is>
      </c>
      <c r="H3652" t="inlineStr">
        <is>
          <t>No</t>
        </is>
      </c>
      <c r="I3652" t="inlineStr">
        <is>
          <t>1</t>
        </is>
      </c>
      <c r="J3652" t="inlineStr">
        <is>
          <t>No</t>
        </is>
      </c>
      <c r="K3652" t="inlineStr">
        <is>
          <t>No</t>
        </is>
      </c>
      <c r="L3652" t="inlineStr">
        <is>
          <t>0</t>
        </is>
      </c>
      <c r="M3652" t="inlineStr">
        <is>
          <t>McClure, John A., 1945-</t>
        </is>
      </c>
      <c r="N3652" t="inlineStr">
        <is>
          <t>Cambridge, Mass. : Harvard University Press, 1981.</t>
        </is>
      </c>
      <c r="O3652" t="inlineStr">
        <is>
          <t>1981</t>
        </is>
      </c>
      <c r="Q3652" t="inlineStr">
        <is>
          <t>eng</t>
        </is>
      </c>
      <c r="R3652" t="inlineStr">
        <is>
          <t>mau</t>
        </is>
      </c>
      <c r="T3652" t="inlineStr">
        <is>
          <t xml:space="preserve">PR </t>
        </is>
      </c>
      <c r="U3652" t="n">
        <v>7</v>
      </c>
      <c r="V3652" t="n">
        <v>7</v>
      </c>
      <c r="W3652" t="inlineStr">
        <is>
          <t>2001-10-29</t>
        </is>
      </c>
      <c r="X3652" t="inlineStr">
        <is>
          <t>2001-10-29</t>
        </is>
      </c>
      <c r="Y3652" t="inlineStr">
        <is>
          <t>1991-09-11</t>
        </is>
      </c>
      <c r="Z3652" t="inlineStr">
        <is>
          <t>1991-09-11</t>
        </is>
      </c>
      <c r="AA3652" t="n">
        <v>636</v>
      </c>
      <c r="AB3652" t="n">
        <v>483</v>
      </c>
      <c r="AC3652" t="n">
        <v>494</v>
      </c>
      <c r="AD3652" t="n">
        <v>3</v>
      </c>
      <c r="AE3652" t="n">
        <v>3</v>
      </c>
      <c r="AF3652" t="n">
        <v>20</v>
      </c>
      <c r="AG3652" t="n">
        <v>20</v>
      </c>
      <c r="AH3652" t="n">
        <v>8</v>
      </c>
      <c r="AI3652" t="n">
        <v>8</v>
      </c>
      <c r="AJ3652" t="n">
        <v>3</v>
      </c>
      <c r="AK3652" t="n">
        <v>3</v>
      </c>
      <c r="AL3652" t="n">
        <v>12</v>
      </c>
      <c r="AM3652" t="n">
        <v>12</v>
      </c>
      <c r="AN3652" t="n">
        <v>2</v>
      </c>
      <c r="AO3652" t="n">
        <v>2</v>
      </c>
      <c r="AP3652" t="n">
        <v>0</v>
      </c>
      <c r="AQ3652" t="n">
        <v>0</v>
      </c>
      <c r="AR3652" t="inlineStr">
        <is>
          <t>No</t>
        </is>
      </c>
      <c r="AS3652" t="inlineStr">
        <is>
          <t>Yes</t>
        </is>
      </c>
      <c r="AT3652">
        <f>HYPERLINK("http://catalog.hathitrust.org/Record/000144009","HathiTrust Record")</f>
        <v/>
      </c>
      <c r="AU3652">
        <f>HYPERLINK("https://creighton-primo.hosted.exlibrisgroup.com/primo-explore/search?tab=default_tab&amp;search_scope=EVERYTHING&amp;vid=01CRU&amp;lang=en_US&amp;offset=0&amp;query=any,contains,991005118199702656","Catalog Record")</f>
        <v/>
      </c>
      <c r="AV3652">
        <f>HYPERLINK("http://www.worldcat.org/oclc/7464808","WorldCat Record")</f>
        <v/>
      </c>
      <c r="AW3652" t="inlineStr">
        <is>
          <t>576865:eng</t>
        </is>
      </c>
      <c r="AX3652" t="inlineStr">
        <is>
          <t>7464808</t>
        </is>
      </c>
      <c r="AY3652" t="inlineStr">
        <is>
          <t>991005118199702656</t>
        </is>
      </c>
      <c r="AZ3652" t="inlineStr">
        <is>
          <t>991005118199702656</t>
        </is>
      </c>
      <c r="BA3652" t="inlineStr">
        <is>
          <t>2262252620002656</t>
        </is>
      </c>
      <c r="BB3652" t="inlineStr">
        <is>
          <t>BOOK</t>
        </is>
      </c>
      <c r="BD3652" t="inlineStr">
        <is>
          <t>9780674505292</t>
        </is>
      </c>
      <c r="BE3652" t="inlineStr">
        <is>
          <t>32285000755768</t>
        </is>
      </c>
      <c r="BF3652" t="inlineStr">
        <is>
          <t>893789468</t>
        </is>
      </c>
    </row>
    <row r="3653">
      <c r="A3653" t="inlineStr">
        <is>
          <t>No</t>
        </is>
      </c>
      <c r="B3653" t="inlineStr">
        <is>
          <t>CURAL</t>
        </is>
      </c>
      <c r="C3653" t="inlineStr">
        <is>
          <t>SHELVES</t>
        </is>
      </c>
      <c r="D3653" t="inlineStr">
        <is>
          <t>PR830.C63 N67 1987</t>
        </is>
      </c>
      <c r="E3653" t="inlineStr">
        <is>
          <t>0                      PR 0830000C  63                 N  67          1987</t>
        </is>
      </c>
      <c r="F3653" t="inlineStr">
        <is>
          <t>What fiction means / Bent Nordhjem.</t>
        </is>
      </c>
      <c r="H3653" t="inlineStr">
        <is>
          <t>No</t>
        </is>
      </c>
      <c r="I3653" t="inlineStr">
        <is>
          <t>1</t>
        </is>
      </c>
      <c r="J3653" t="inlineStr">
        <is>
          <t>No</t>
        </is>
      </c>
      <c r="K3653" t="inlineStr">
        <is>
          <t>No</t>
        </is>
      </c>
      <c r="L3653" t="inlineStr">
        <is>
          <t>0</t>
        </is>
      </c>
      <c r="M3653" t="inlineStr">
        <is>
          <t>Nordhjem, Bent.</t>
        </is>
      </c>
      <c r="N3653" t="inlineStr">
        <is>
          <t>Copenhagen : [Dept. of English, University of Copenhagen] : Atheneum, [distributor], 1987.</t>
        </is>
      </c>
      <c r="O3653" t="inlineStr">
        <is>
          <t>1987</t>
        </is>
      </c>
      <c r="Q3653" t="inlineStr">
        <is>
          <t>eng</t>
        </is>
      </c>
      <c r="R3653" t="inlineStr">
        <is>
          <t xml:space="preserve">dk </t>
        </is>
      </c>
      <c r="S3653" t="inlineStr">
        <is>
          <t>Publications of the Department of English, University of Copenhagen ; v. 15</t>
        </is>
      </c>
      <c r="T3653" t="inlineStr">
        <is>
          <t xml:space="preserve">PR </t>
        </is>
      </c>
      <c r="U3653" t="n">
        <v>1</v>
      </c>
      <c r="V3653" t="n">
        <v>1</v>
      </c>
      <c r="W3653" t="inlineStr">
        <is>
          <t>2003-09-03</t>
        </is>
      </c>
      <c r="X3653" t="inlineStr">
        <is>
          <t>2003-09-03</t>
        </is>
      </c>
      <c r="Y3653" t="inlineStr">
        <is>
          <t>2003-09-03</t>
        </is>
      </c>
      <c r="Z3653" t="inlineStr">
        <is>
          <t>2003-09-03</t>
        </is>
      </c>
      <c r="AA3653" t="n">
        <v>23</v>
      </c>
      <c r="AB3653" t="n">
        <v>17</v>
      </c>
      <c r="AC3653" t="n">
        <v>17</v>
      </c>
      <c r="AD3653" t="n">
        <v>1</v>
      </c>
      <c r="AE3653" t="n">
        <v>1</v>
      </c>
      <c r="AF3653" t="n">
        <v>0</v>
      </c>
      <c r="AG3653" t="n">
        <v>0</v>
      </c>
      <c r="AH3653" t="n">
        <v>0</v>
      </c>
      <c r="AI3653" t="n">
        <v>0</v>
      </c>
      <c r="AJ3653" t="n">
        <v>0</v>
      </c>
      <c r="AK3653" t="n">
        <v>0</v>
      </c>
      <c r="AL3653" t="n">
        <v>0</v>
      </c>
      <c r="AM3653" t="n">
        <v>0</v>
      </c>
      <c r="AN3653" t="n">
        <v>0</v>
      </c>
      <c r="AO3653" t="n">
        <v>0</v>
      </c>
      <c r="AP3653" t="n">
        <v>0</v>
      </c>
      <c r="AQ3653" t="n">
        <v>0</v>
      </c>
      <c r="AR3653" t="inlineStr">
        <is>
          <t>No</t>
        </is>
      </c>
      <c r="AS3653" t="inlineStr">
        <is>
          <t>No</t>
        </is>
      </c>
      <c r="AU3653">
        <f>HYPERLINK("https://creighton-primo.hosted.exlibrisgroup.com/primo-explore/search?tab=default_tab&amp;search_scope=EVERYTHING&amp;vid=01CRU&amp;lang=en_US&amp;offset=0&amp;query=any,contains,991004113199702656","Catalog Record")</f>
        <v/>
      </c>
      <c r="AV3653">
        <f>HYPERLINK("http://www.worldcat.org/oclc/18835148","WorldCat Record")</f>
        <v/>
      </c>
      <c r="AW3653" t="inlineStr">
        <is>
          <t>4211259960:eng</t>
        </is>
      </c>
      <c r="AX3653" t="inlineStr">
        <is>
          <t>18835148</t>
        </is>
      </c>
      <c r="AY3653" t="inlineStr">
        <is>
          <t>991004113199702656</t>
        </is>
      </c>
      <c r="AZ3653" t="inlineStr">
        <is>
          <t>991004113199702656</t>
        </is>
      </c>
      <c r="BA3653" t="inlineStr">
        <is>
          <t>2259536760002656</t>
        </is>
      </c>
      <c r="BB3653" t="inlineStr">
        <is>
          <t>BOOK</t>
        </is>
      </c>
      <c r="BD3653" t="inlineStr">
        <is>
          <t>9788788648225</t>
        </is>
      </c>
      <c r="BE3653" t="inlineStr">
        <is>
          <t>32285004781000</t>
        </is>
      </c>
      <c r="BF3653" t="inlineStr">
        <is>
          <t>893794491</t>
        </is>
      </c>
    </row>
    <row r="3654">
      <c r="A3654" t="inlineStr">
        <is>
          <t>No</t>
        </is>
      </c>
      <c r="B3654" t="inlineStr">
        <is>
          <t>CURAL</t>
        </is>
      </c>
      <c r="C3654" t="inlineStr">
        <is>
          <t>SHELVES</t>
        </is>
      </c>
      <c r="D3654" t="inlineStr">
        <is>
          <t>PR830.D4 M3</t>
        </is>
      </c>
      <c r="E3654" t="inlineStr">
        <is>
          <t>0                      PR 0830000D  4                  M  3</t>
        </is>
      </c>
      <c r="F3654" t="inlineStr">
        <is>
          <t>Deadlier than the male : why are respectable English women so good at murder? / by Jessica Mann.</t>
        </is>
      </c>
      <c r="H3654" t="inlineStr">
        <is>
          <t>No</t>
        </is>
      </c>
      <c r="I3654" t="inlineStr">
        <is>
          <t>1</t>
        </is>
      </c>
      <c r="J3654" t="inlineStr">
        <is>
          <t>No</t>
        </is>
      </c>
      <c r="K3654" t="inlineStr">
        <is>
          <t>No</t>
        </is>
      </c>
      <c r="L3654" t="inlineStr">
        <is>
          <t>0</t>
        </is>
      </c>
      <c r="M3654" t="inlineStr">
        <is>
          <t>Mann, Jessica.</t>
        </is>
      </c>
      <c r="N3654" t="inlineStr">
        <is>
          <t>New York : Macmillan, c1981.</t>
        </is>
      </c>
      <c r="O3654" t="inlineStr">
        <is>
          <t>1981</t>
        </is>
      </c>
      <c r="Q3654" t="inlineStr">
        <is>
          <t>eng</t>
        </is>
      </c>
      <c r="R3654" t="inlineStr">
        <is>
          <t>nyu</t>
        </is>
      </c>
      <c r="T3654" t="inlineStr">
        <is>
          <t xml:space="preserve">PR </t>
        </is>
      </c>
      <c r="U3654" t="n">
        <v>3</v>
      </c>
      <c r="V3654" t="n">
        <v>3</v>
      </c>
      <c r="W3654" t="inlineStr">
        <is>
          <t>1999-10-11</t>
        </is>
      </c>
      <c r="X3654" t="inlineStr">
        <is>
          <t>1999-10-11</t>
        </is>
      </c>
      <c r="Y3654" t="inlineStr">
        <is>
          <t>1991-09-11</t>
        </is>
      </c>
      <c r="Z3654" t="inlineStr">
        <is>
          <t>1991-09-11</t>
        </is>
      </c>
      <c r="AA3654" t="n">
        <v>676</v>
      </c>
      <c r="AB3654" t="n">
        <v>648</v>
      </c>
      <c r="AC3654" t="n">
        <v>655</v>
      </c>
      <c r="AD3654" t="n">
        <v>6</v>
      </c>
      <c r="AE3654" t="n">
        <v>6</v>
      </c>
      <c r="AF3654" t="n">
        <v>19</v>
      </c>
      <c r="AG3654" t="n">
        <v>19</v>
      </c>
      <c r="AH3654" t="n">
        <v>6</v>
      </c>
      <c r="AI3654" t="n">
        <v>6</v>
      </c>
      <c r="AJ3654" t="n">
        <v>5</v>
      </c>
      <c r="AK3654" t="n">
        <v>5</v>
      </c>
      <c r="AL3654" t="n">
        <v>8</v>
      </c>
      <c r="AM3654" t="n">
        <v>8</v>
      </c>
      <c r="AN3654" t="n">
        <v>4</v>
      </c>
      <c r="AO3654" t="n">
        <v>4</v>
      </c>
      <c r="AP3654" t="n">
        <v>0</v>
      </c>
      <c r="AQ3654" t="n">
        <v>0</v>
      </c>
      <c r="AR3654" t="inlineStr">
        <is>
          <t>No</t>
        </is>
      </c>
      <c r="AS3654" t="inlineStr">
        <is>
          <t>Yes</t>
        </is>
      </c>
      <c r="AT3654">
        <f>HYPERLINK("http://catalog.hathitrust.org/Record/000765893","HathiTrust Record")</f>
        <v/>
      </c>
      <c r="AU3654">
        <f>HYPERLINK("https://creighton-primo.hosted.exlibrisgroup.com/primo-explore/search?tab=default_tab&amp;search_scope=EVERYTHING&amp;vid=01CRU&amp;lang=en_US&amp;offset=0&amp;query=any,contains,991005125649702656","Catalog Record")</f>
        <v/>
      </c>
      <c r="AV3654">
        <f>HYPERLINK("http://www.worldcat.org/oclc/7553405","WorldCat Record")</f>
        <v/>
      </c>
      <c r="AW3654" t="inlineStr">
        <is>
          <t>5619158303:eng</t>
        </is>
      </c>
      <c r="AX3654" t="inlineStr">
        <is>
          <t>7553405</t>
        </is>
      </c>
      <c r="AY3654" t="inlineStr">
        <is>
          <t>991005125649702656</t>
        </is>
      </c>
      <c r="AZ3654" t="inlineStr">
        <is>
          <t>991005125649702656</t>
        </is>
      </c>
      <c r="BA3654" t="inlineStr">
        <is>
          <t>2262723480002656</t>
        </is>
      </c>
      <c r="BB3654" t="inlineStr">
        <is>
          <t>BOOK</t>
        </is>
      </c>
      <c r="BE3654" t="inlineStr">
        <is>
          <t>32285000755792</t>
        </is>
      </c>
      <c r="BF3654" t="inlineStr">
        <is>
          <t>893883371</t>
        </is>
      </c>
    </row>
    <row r="3655">
      <c r="A3655" t="inlineStr">
        <is>
          <t>No</t>
        </is>
      </c>
      <c r="B3655" t="inlineStr">
        <is>
          <t>CURAL</t>
        </is>
      </c>
      <c r="C3655" t="inlineStr">
        <is>
          <t>SHELVES</t>
        </is>
      </c>
      <c r="D3655" t="inlineStr">
        <is>
          <t>PR830.D4 P3 1979</t>
        </is>
      </c>
      <c r="E3655" t="inlineStr">
        <is>
          <t>0                      PR 0830000D  4                  P  3           1979</t>
        </is>
      </c>
      <c r="F3655" t="inlineStr">
        <is>
          <t>Thrillers : genesis and structure of a popular genre / Jerry Palmer.</t>
        </is>
      </c>
      <c r="H3655" t="inlineStr">
        <is>
          <t>No</t>
        </is>
      </c>
      <c r="I3655" t="inlineStr">
        <is>
          <t>1</t>
        </is>
      </c>
      <c r="J3655" t="inlineStr">
        <is>
          <t>No</t>
        </is>
      </c>
      <c r="K3655" t="inlineStr">
        <is>
          <t>No</t>
        </is>
      </c>
      <c r="L3655" t="inlineStr">
        <is>
          <t>0</t>
        </is>
      </c>
      <c r="M3655" t="inlineStr">
        <is>
          <t>Palmer, Jerry, 1940-</t>
        </is>
      </c>
      <c r="N3655" t="inlineStr">
        <is>
          <t>New York : St. Martin's Press, 1979.</t>
        </is>
      </c>
      <c r="O3655" t="inlineStr">
        <is>
          <t>1979</t>
        </is>
      </c>
      <c r="Q3655" t="inlineStr">
        <is>
          <t>eng</t>
        </is>
      </c>
      <c r="R3655" t="inlineStr">
        <is>
          <t>nyu</t>
        </is>
      </c>
      <c r="T3655" t="inlineStr">
        <is>
          <t xml:space="preserve">PR </t>
        </is>
      </c>
      <c r="U3655" t="n">
        <v>2</v>
      </c>
      <c r="V3655" t="n">
        <v>2</v>
      </c>
      <c r="W3655" t="inlineStr">
        <is>
          <t>1993-09-14</t>
        </is>
      </c>
      <c r="X3655" t="inlineStr">
        <is>
          <t>1993-09-14</t>
        </is>
      </c>
      <c r="Y3655" t="inlineStr">
        <is>
          <t>1991-09-11</t>
        </is>
      </c>
      <c r="Z3655" t="inlineStr">
        <is>
          <t>1991-09-11</t>
        </is>
      </c>
      <c r="AA3655" t="n">
        <v>426</v>
      </c>
      <c r="AB3655" t="n">
        <v>411</v>
      </c>
      <c r="AC3655" t="n">
        <v>512</v>
      </c>
      <c r="AD3655" t="n">
        <v>5</v>
      </c>
      <c r="AE3655" t="n">
        <v>6</v>
      </c>
      <c r="AF3655" t="n">
        <v>14</v>
      </c>
      <c r="AG3655" t="n">
        <v>19</v>
      </c>
      <c r="AH3655" t="n">
        <v>8</v>
      </c>
      <c r="AI3655" t="n">
        <v>10</v>
      </c>
      <c r="AJ3655" t="n">
        <v>2</v>
      </c>
      <c r="AK3655" t="n">
        <v>3</v>
      </c>
      <c r="AL3655" t="n">
        <v>4</v>
      </c>
      <c r="AM3655" t="n">
        <v>7</v>
      </c>
      <c r="AN3655" t="n">
        <v>3</v>
      </c>
      <c r="AO3655" t="n">
        <v>4</v>
      </c>
      <c r="AP3655" t="n">
        <v>0</v>
      </c>
      <c r="AQ3655" t="n">
        <v>0</v>
      </c>
      <c r="AR3655" t="inlineStr">
        <is>
          <t>No</t>
        </is>
      </c>
      <c r="AS3655" t="inlineStr">
        <is>
          <t>No</t>
        </is>
      </c>
      <c r="AU3655">
        <f>HYPERLINK("https://creighton-primo.hosted.exlibrisgroup.com/primo-explore/search?tab=default_tab&amp;search_scope=EVERYTHING&amp;vid=01CRU&amp;lang=en_US&amp;offset=0&amp;query=any,contains,991004685229702656","Catalog Record")</f>
        <v/>
      </c>
      <c r="AV3655">
        <f>HYPERLINK("http://www.worldcat.org/oclc/4591566","WorldCat Record")</f>
        <v/>
      </c>
      <c r="AW3655" t="inlineStr">
        <is>
          <t>347376616:eng</t>
        </is>
      </c>
      <c r="AX3655" t="inlineStr">
        <is>
          <t>4591566</t>
        </is>
      </c>
      <c r="AY3655" t="inlineStr">
        <is>
          <t>991004685229702656</t>
        </is>
      </c>
      <c r="AZ3655" t="inlineStr">
        <is>
          <t>991004685229702656</t>
        </is>
      </c>
      <c r="BA3655" t="inlineStr">
        <is>
          <t>2266055860002656</t>
        </is>
      </c>
      <c r="BB3655" t="inlineStr">
        <is>
          <t>BOOK</t>
        </is>
      </c>
      <c r="BD3655" t="inlineStr">
        <is>
          <t>9780312803476</t>
        </is>
      </c>
      <c r="BE3655" t="inlineStr">
        <is>
          <t>32285000755800</t>
        </is>
      </c>
      <c r="BF3655" t="inlineStr">
        <is>
          <t>893788995</t>
        </is>
      </c>
    </row>
    <row r="3656">
      <c r="A3656" t="inlineStr">
        <is>
          <t>No</t>
        </is>
      </c>
      <c r="B3656" t="inlineStr">
        <is>
          <t>CURAL</t>
        </is>
      </c>
      <c r="C3656" t="inlineStr">
        <is>
          <t>SHELVES</t>
        </is>
      </c>
      <c r="D3656" t="inlineStr">
        <is>
          <t>PR830.D4 W3 1987</t>
        </is>
      </c>
      <c r="E3656" t="inlineStr">
        <is>
          <t>0                      PR 0830000D  4                  W  3           1987</t>
        </is>
      </c>
      <c r="F3656" t="inlineStr">
        <is>
          <t>Snobbery with violence : English crime stories and their audience / Colin Watson.</t>
        </is>
      </c>
      <c r="H3656" t="inlineStr">
        <is>
          <t>No</t>
        </is>
      </c>
      <c r="I3656" t="inlineStr">
        <is>
          <t>1</t>
        </is>
      </c>
      <c r="J3656" t="inlineStr">
        <is>
          <t>No</t>
        </is>
      </c>
      <c r="K3656" t="inlineStr">
        <is>
          <t>No</t>
        </is>
      </c>
      <c r="L3656" t="inlineStr">
        <is>
          <t>0</t>
        </is>
      </c>
      <c r="M3656" t="inlineStr">
        <is>
          <t>Watson, Colin.</t>
        </is>
      </c>
      <c r="N3656" t="inlineStr">
        <is>
          <t>London : Methuen, 1987, c1971.</t>
        </is>
      </c>
      <c r="O3656" t="inlineStr">
        <is>
          <t>1987</t>
        </is>
      </c>
      <c r="P3656" t="inlineStr">
        <is>
          <t>Rev. and repr.</t>
        </is>
      </c>
      <c r="Q3656" t="inlineStr">
        <is>
          <t>eng</t>
        </is>
      </c>
      <c r="R3656" t="inlineStr">
        <is>
          <t>enk</t>
        </is>
      </c>
      <c r="T3656" t="inlineStr">
        <is>
          <t xml:space="preserve">PR </t>
        </is>
      </c>
      <c r="U3656" t="n">
        <v>1</v>
      </c>
      <c r="V3656" t="n">
        <v>1</v>
      </c>
      <c r="W3656" t="inlineStr">
        <is>
          <t>2004-08-27</t>
        </is>
      </c>
      <c r="X3656" t="inlineStr">
        <is>
          <t>2004-08-27</t>
        </is>
      </c>
      <c r="Y3656" t="inlineStr">
        <is>
          <t>1991-09-11</t>
        </is>
      </c>
      <c r="Z3656" t="inlineStr">
        <is>
          <t>1991-09-11</t>
        </is>
      </c>
      <c r="AA3656" t="n">
        <v>45</v>
      </c>
      <c r="AB3656" t="n">
        <v>19</v>
      </c>
      <c r="AC3656" t="n">
        <v>514</v>
      </c>
      <c r="AD3656" t="n">
        <v>1</v>
      </c>
      <c r="AE3656" t="n">
        <v>4</v>
      </c>
      <c r="AF3656" t="n">
        <v>1</v>
      </c>
      <c r="AG3656" t="n">
        <v>19</v>
      </c>
      <c r="AH3656" t="n">
        <v>0</v>
      </c>
      <c r="AI3656" t="n">
        <v>6</v>
      </c>
      <c r="AJ3656" t="n">
        <v>0</v>
      </c>
      <c r="AK3656" t="n">
        <v>4</v>
      </c>
      <c r="AL3656" t="n">
        <v>1</v>
      </c>
      <c r="AM3656" t="n">
        <v>12</v>
      </c>
      <c r="AN3656" t="n">
        <v>0</v>
      </c>
      <c r="AO3656" t="n">
        <v>3</v>
      </c>
      <c r="AP3656" t="n">
        <v>0</v>
      </c>
      <c r="AQ3656" t="n">
        <v>0</v>
      </c>
      <c r="AR3656" t="inlineStr">
        <is>
          <t>No</t>
        </is>
      </c>
      <c r="AS3656" t="inlineStr">
        <is>
          <t>No</t>
        </is>
      </c>
      <c r="AU3656">
        <f>HYPERLINK("https://creighton-primo.hosted.exlibrisgroup.com/primo-explore/search?tab=default_tab&amp;search_scope=EVERYTHING&amp;vid=01CRU&amp;lang=en_US&amp;offset=0&amp;query=any,contains,991000947339702656","Catalog Record")</f>
        <v/>
      </c>
      <c r="AV3656">
        <f>HYPERLINK("http://www.worldcat.org/oclc/16526436","WorldCat Record")</f>
        <v/>
      </c>
      <c r="AW3656" t="inlineStr">
        <is>
          <t>2101933:eng</t>
        </is>
      </c>
      <c r="AX3656" t="inlineStr">
        <is>
          <t>16526436</t>
        </is>
      </c>
      <c r="AY3656" t="inlineStr">
        <is>
          <t>991000947339702656</t>
        </is>
      </c>
      <c r="AZ3656" t="inlineStr">
        <is>
          <t>991000947339702656</t>
        </is>
      </c>
      <c r="BA3656" t="inlineStr">
        <is>
          <t>2271055950002656</t>
        </is>
      </c>
      <c r="BB3656" t="inlineStr">
        <is>
          <t>BOOK</t>
        </is>
      </c>
      <c r="BD3656" t="inlineStr">
        <is>
          <t>9780413142603</t>
        </is>
      </c>
      <c r="BE3656" t="inlineStr">
        <is>
          <t>32285000755826</t>
        </is>
      </c>
      <c r="BF3656" t="inlineStr">
        <is>
          <t>893865818</t>
        </is>
      </c>
    </row>
    <row r="3657">
      <c r="A3657" t="inlineStr">
        <is>
          <t>No</t>
        </is>
      </c>
      <c r="B3657" t="inlineStr">
        <is>
          <t>CURAL</t>
        </is>
      </c>
      <c r="C3657" t="inlineStr">
        <is>
          <t>SHELVES</t>
        </is>
      </c>
      <c r="D3657" t="inlineStr">
        <is>
          <t>PR830.F3 L58 1984</t>
        </is>
      </c>
      <c r="E3657" t="inlineStr">
        <is>
          <t>0                      PR 0830000F  3                  L  58          1984</t>
        </is>
      </c>
      <c r="F3657" t="inlineStr">
        <is>
          <t>The fantasts : studies in J.R.R. Tolkien, Lewis Carroll, Mervyn Peake, Nikolay Gogol, and Kenneth Grahame / by Edmund Little.</t>
        </is>
      </c>
      <c r="H3657" t="inlineStr">
        <is>
          <t>No</t>
        </is>
      </c>
      <c r="I3657" t="inlineStr">
        <is>
          <t>1</t>
        </is>
      </c>
      <c r="J3657" t="inlineStr">
        <is>
          <t>No</t>
        </is>
      </c>
      <c r="K3657" t="inlineStr">
        <is>
          <t>No</t>
        </is>
      </c>
      <c r="L3657" t="inlineStr">
        <is>
          <t>0</t>
        </is>
      </c>
      <c r="M3657" t="inlineStr">
        <is>
          <t>Little, T. E.</t>
        </is>
      </c>
      <c r="N3657" t="inlineStr">
        <is>
          <t>Amersham, England : Avebury, 1984.</t>
        </is>
      </c>
      <c r="O3657" t="inlineStr">
        <is>
          <t>1984</t>
        </is>
      </c>
      <c r="Q3657" t="inlineStr">
        <is>
          <t>eng</t>
        </is>
      </c>
      <c r="R3657" t="inlineStr">
        <is>
          <t>enk</t>
        </is>
      </c>
      <c r="T3657" t="inlineStr">
        <is>
          <t xml:space="preserve">PR </t>
        </is>
      </c>
      <c r="U3657" t="n">
        <v>2</v>
      </c>
      <c r="V3657" t="n">
        <v>2</v>
      </c>
      <c r="W3657" t="inlineStr">
        <is>
          <t>1999-11-17</t>
        </is>
      </c>
      <c r="X3657" t="inlineStr">
        <is>
          <t>1999-11-17</t>
        </is>
      </c>
      <c r="Y3657" t="inlineStr">
        <is>
          <t>1991-09-11</t>
        </is>
      </c>
      <c r="Z3657" t="inlineStr">
        <is>
          <t>1991-09-11</t>
        </is>
      </c>
      <c r="AA3657" t="n">
        <v>311</v>
      </c>
      <c r="AB3657" t="n">
        <v>235</v>
      </c>
      <c r="AC3657" t="n">
        <v>235</v>
      </c>
      <c r="AD3657" t="n">
        <v>2</v>
      </c>
      <c r="AE3657" t="n">
        <v>2</v>
      </c>
      <c r="AF3657" t="n">
        <v>9</v>
      </c>
      <c r="AG3657" t="n">
        <v>9</v>
      </c>
      <c r="AH3657" t="n">
        <v>4</v>
      </c>
      <c r="AI3657" t="n">
        <v>4</v>
      </c>
      <c r="AJ3657" t="n">
        <v>2</v>
      </c>
      <c r="AK3657" t="n">
        <v>2</v>
      </c>
      <c r="AL3657" t="n">
        <v>6</v>
      </c>
      <c r="AM3657" t="n">
        <v>6</v>
      </c>
      <c r="AN3657" t="n">
        <v>1</v>
      </c>
      <c r="AO3657" t="n">
        <v>1</v>
      </c>
      <c r="AP3657" t="n">
        <v>0</v>
      </c>
      <c r="AQ3657" t="n">
        <v>0</v>
      </c>
      <c r="AR3657" t="inlineStr">
        <is>
          <t>No</t>
        </is>
      </c>
      <c r="AS3657" t="inlineStr">
        <is>
          <t>No</t>
        </is>
      </c>
      <c r="AU3657">
        <f>HYPERLINK("https://creighton-primo.hosted.exlibrisgroup.com/primo-explore/search?tab=default_tab&amp;search_scope=EVERYTHING&amp;vid=01CRU&amp;lang=en_US&amp;offset=0&amp;query=any,contains,991000467159702656","Catalog Record")</f>
        <v/>
      </c>
      <c r="AV3657">
        <f>HYPERLINK("http://www.worldcat.org/oclc/10978966","WorldCat Record")</f>
        <v/>
      </c>
      <c r="AW3657" t="inlineStr">
        <is>
          <t>5608854416:eng</t>
        </is>
      </c>
      <c r="AX3657" t="inlineStr">
        <is>
          <t>10978966</t>
        </is>
      </c>
      <c r="AY3657" t="inlineStr">
        <is>
          <t>991000467159702656</t>
        </is>
      </c>
      <c r="AZ3657" t="inlineStr">
        <is>
          <t>991000467159702656</t>
        </is>
      </c>
      <c r="BA3657" t="inlineStr">
        <is>
          <t>2258699050002656</t>
        </is>
      </c>
      <c r="BB3657" t="inlineStr">
        <is>
          <t>BOOK</t>
        </is>
      </c>
      <c r="BD3657" t="inlineStr">
        <is>
          <t>9780861272129</t>
        </is>
      </c>
      <c r="BE3657" t="inlineStr">
        <is>
          <t>32285000755867</t>
        </is>
      </c>
      <c r="BF3657" t="inlineStr">
        <is>
          <t>893903018</t>
        </is>
      </c>
    </row>
    <row r="3658">
      <c r="A3658" t="inlineStr">
        <is>
          <t>No</t>
        </is>
      </c>
      <c r="B3658" t="inlineStr">
        <is>
          <t>CURAL</t>
        </is>
      </c>
      <c r="C3658" t="inlineStr">
        <is>
          <t>SHELVES</t>
        </is>
      </c>
      <c r="D3658" t="inlineStr">
        <is>
          <t>PR830.F3 M3</t>
        </is>
      </c>
      <c r="E3658" t="inlineStr">
        <is>
          <t>0                      PR 0830000F  3                  M  3</t>
        </is>
      </c>
      <c r="F3658" t="inlineStr">
        <is>
          <t>Modern fantasy : five studies / C. N. Manlove.</t>
        </is>
      </c>
      <c r="H3658" t="inlineStr">
        <is>
          <t>No</t>
        </is>
      </c>
      <c r="I3658" t="inlineStr">
        <is>
          <t>1</t>
        </is>
      </c>
      <c r="J3658" t="inlineStr">
        <is>
          <t>No</t>
        </is>
      </c>
      <c r="K3658" t="inlineStr">
        <is>
          <t>No</t>
        </is>
      </c>
      <c r="L3658" t="inlineStr">
        <is>
          <t>0</t>
        </is>
      </c>
      <c r="M3658" t="inlineStr">
        <is>
          <t>Manlove, C. N. (Colin Nicholas), 1942-</t>
        </is>
      </c>
      <c r="N3658" t="inlineStr">
        <is>
          <t>Cambridge ; New York : Cambridge University Press, 1975.</t>
        </is>
      </c>
      <c r="O3658" t="inlineStr">
        <is>
          <t>1975</t>
        </is>
      </c>
      <c r="Q3658" t="inlineStr">
        <is>
          <t>eng</t>
        </is>
      </c>
      <c r="R3658" t="inlineStr">
        <is>
          <t>enk</t>
        </is>
      </c>
      <c r="T3658" t="inlineStr">
        <is>
          <t xml:space="preserve">PR </t>
        </is>
      </c>
      <c r="U3658" t="n">
        <v>0</v>
      </c>
      <c r="V3658" t="n">
        <v>0</v>
      </c>
      <c r="W3658" t="inlineStr">
        <is>
          <t>2004-03-02</t>
        </is>
      </c>
      <c r="X3658" t="inlineStr">
        <is>
          <t>2004-03-02</t>
        </is>
      </c>
      <c r="Y3658" t="inlineStr">
        <is>
          <t>1991-09-12</t>
        </is>
      </c>
      <c r="Z3658" t="inlineStr">
        <is>
          <t>1991-09-12</t>
        </is>
      </c>
      <c r="AA3658" t="n">
        <v>1083</v>
      </c>
      <c r="AB3658" t="n">
        <v>841</v>
      </c>
      <c r="AC3658" t="n">
        <v>873</v>
      </c>
      <c r="AD3658" t="n">
        <v>8</v>
      </c>
      <c r="AE3658" t="n">
        <v>8</v>
      </c>
      <c r="AF3658" t="n">
        <v>37</v>
      </c>
      <c r="AG3658" t="n">
        <v>37</v>
      </c>
      <c r="AH3658" t="n">
        <v>13</v>
      </c>
      <c r="AI3658" t="n">
        <v>13</v>
      </c>
      <c r="AJ3658" t="n">
        <v>10</v>
      </c>
      <c r="AK3658" t="n">
        <v>10</v>
      </c>
      <c r="AL3658" t="n">
        <v>18</v>
      </c>
      <c r="AM3658" t="n">
        <v>18</v>
      </c>
      <c r="AN3658" t="n">
        <v>7</v>
      </c>
      <c r="AO3658" t="n">
        <v>7</v>
      </c>
      <c r="AP3658" t="n">
        <v>0</v>
      </c>
      <c r="AQ3658" t="n">
        <v>0</v>
      </c>
      <c r="AR3658" t="inlineStr">
        <is>
          <t>No</t>
        </is>
      </c>
      <c r="AS3658" t="inlineStr">
        <is>
          <t>No</t>
        </is>
      </c>
      <c r="AU3658">
        <f>HYPERLINK("https://creighton-primo.hosted.exlibrisgroup.com/primo-explore/search?tab=default_tab&amp;search_scope=EVERYTHING&amp;vid=01CRU&amp;lang=en_US&amp;offset=0&amp;query=any,contains,991003702569702656","Catalog Record")</f>
        <v/>
      </c>
      <c r="AV3658">
        <f>HYPERLINK("http://www.worldcat.org/oclc/1339041","WorldCat Record")</f>
        <v/>
      </c>
      <c r="AW3658" t="inlineStr">
        <is>
          <t>863044106:eng</t>
        </is>
      </c>
      <c r="AX3658" t="inlineStr">
        <is>
          <t>1339041</t>
        </is>
      </c>
      <c r="AY3658" t="inlineStr">
        <is>
          <t>991003702569702656</t>
        </is>
      </c>
      <c r="AZ3658" t="inlineStr">
        <is>
          <t>991003702569702656</t>
        </is>
      </c>
      <c r="BA3658" t="inlineStr">
        <is>
          <t>2254849210002656</t>
        </is>
      </c>
      <c r="BB3658" t="inlineStr">
        <is>
          <t>BOOK</t>
        </is>
      </c>
      <c r="BD3658" t="inlineStr">
        <is>
          <t>9780521207461</t>
        </is>
      </c>
      <c r="BE3658" t="inlineStr">
        <is>
          <t>32285000755875</t>
        </is>
      </c>
      <c r="BF3658" t="inlineStr">
        <is>
          <t>893781297</t>
        </is>
      </c>
    </row>
    <row r="3659">
      <c r="A3659" t="inlineStr">
        <is>
          <t>No</t>
        </is>
      </c>
      <c r="B3659" t="inlineStr">
        <is>
          <t>CURAL</t>
        </is>
      </c>
      <c r="C3659" t="inlineStr">
        <is>
          <t>SHELVES</t>
        </is>
      </c>
      <c r="D3659" t="inlineStr">
        <is>
          <t>PR830.F48 S5 1982</t>
        </is>
      </c>
      <c r="E3659" t="inlineStr">
        <is>
          <t>0                      PR 0830000F  48                 S  5           1982</t>
        </is>
      </c>
      <c r="F3659" t="inlineStr">
        <is>
          <t>Fetishism and imagination : Dickens, Melville, Conrad / David Simpson.</t>
        </is>
      </c>
      <c r="H3659" t="inlineStr">
        <is>
          <t>No</t>
        </is>
      </c>
      <c r="I3659" t="inlineStr">
        <is>
          <t>1</t>
        </is>
      </c>
      <c r="J3659" t="inlineStr">
        <is>
          <t>No</t>
        </is>
      </c>
      <c r="K3659" t="inlineStr">
        <is>
          <t>No</t>
        </is>
      </c>
      <c r="L3659" t="inlineStr">
        <is>
          <t>0</t>
        </is>
      </c>
      <c r="M3659" t="inlineStr">
        <is>
          <t>Simpson, David, 1951-</t>
        </is>
      </c>
      <c r="N3659" t="inlineStr">
        <is>
          <t>Baltimore : Johns Hopkins University Press, c1982.</t>
        </is>
      </c>
      <c r="O3659" t="inlineStr">
        <is>
          <t>1982</t>
        </is>
      </c>
      <c r="Q3659" t="inlineStr">
        <is>
          <t>eng</t>
        </is>
      </c>
      <c r="R3659" t="inlineStr">
        <is>
          <t>mdu</t>
        </is>
      </c>
      <c r="T3659" t="inlineStr">
        <is>
          <t xml:space="preserve">PR </t>
        </is>
      </c>
      <c r="U3659" t="n">
        <v>1</v>
      </c>
      <c r="V3659" t="n">
        <v>1</v>
      </c>
      <c r="W3659" t="inlineStr">
        <is>
          <t>2006-04-18</t>
        </is>
      </c>
      <c r="X3659" t="inlineStr">
        <is>
          <t>2006-04-18</t>
        </is>
      </c>
      <c r="Y3659" t="inlineStr">
        <is>
          <t>1991-09-11</t>
        </is>
      </c>
      <c r="Z3659" t="inlineStr">
        <is>
          <t>1991-09-11</t>
        </is>
      </c>
      <c r="AA3659" t="n">
        <v>584</v>
      </c>
      <c r="AB3659" t="n">
        <v>457</v>
      </c>
      <c r="AC3659" t="n">
        <v>465</v>
      </c>
      <c r="AD3659" t="n">
        <v>4</v>
      </c>
      <c r="AE3659" t="n">
        <v>4</v>
      </c>
      <c r="AF3659" t="n">
        <v>22</v>
      </c>
      <c r="AG3659" t="n">
        <v>23</v>
      </c>
      <c r="AH3659" t="n">
        <v>11</v>
      </c>
      <c r="AI3659" t="n">
        <v>12</v>
      </c>
      <c r="AJ3659" t="n">
        <v>3</v>
      </c>
      <c r="AK3659" t="n">
        <v>3</v>
      </c>
      <c r="AL3659" t="n">
        <v>10</v>
      </c>
      <c r="AM3659" t="n">
        <v>11</v>
      </c>
      <c r="AN3659" t="n">
        <v>3</v>
      </c>
      <c r="AO3659" t="n">
        <v>3</v>
      </c>
      <c r="AP3659" t="n">
        <v>0</v>
      </c>
      <c r="AQ3659" t="n">
        <v>0</v>
      </c>
      <c r="AR3659" t="inlineStr">
        <is>
          <t>No</t>
        </is>
      </c>
      <c r="AS3659" t="inlineStr">
        <is>
          <t>Yes</t>
        </is>
      </c>
      <c r="AT3659">
        <f>HYPERLINK("http://catalog.hathitrust.org/Record/000231223","HathiTrust Record")</f>
        <v/>
      </c>
      <c r="AU3659">
        <f>HYPERLINK("https://creighton-primo.hosted.exlibrisgroup.com/primo-explore/search?tab=default_tab&amp;search_scope=EVERYTHING&amp;vid=01CRU&amp;lang=en_US&amp;offset=0&amp;query=any,contains,991005226239702656","Catalog Record")</f>
        <v/>
      </c>
      <c r="AV3659">
        <f>HYPERLINK("http://www.worldcat.org/oclc/8282897","WorldCat Record")</f>
        <v/>
      </c>
      <c r="AW3659" t="inlineStr">
        <is>
          <t>308867398:eng</t>
        </is>
      </c>
      <c r="AX3659" t="inlineStr">
        <is>
          <t>8282897</t>
        </is>
      </c>
      <c r="AY3659" t="inlineStr">
        <is>
          <t>991005226239702656</t>
        </is>
      </c>
      <c r="AZ3659" t="inlineStr">
        <is>
          <t>991005226239702656</t>
        </is>
      </c>
      <c r="BA3659" t="inlineStr">
        <is>
          <t>2268719570002656</t>
        </is>
      </c>
      <c r="BB3659" t="inlineStr">
        <is>
          <t>BOOK</t>
        </is>
      </c>
      <c r="BD3659" t="inlineStr">
        <is>
          <t>9780801828584</t>
        </is>
      </c>
      <c r="BE3659" t="inlineStr">
        <is>
          <t>32285000755883</t>
        </is>
      </c>
      <c r="BF3659" t="inlineStr">
        <is>
          <t>893688802</t>
        </is>
      </c>
    </row>
    <row r="3660">
      <c r="A3660" t="inlineStr">
        <is>
          <t>No</t>
        </is>
      </c>
      <c r="B3660" t="inlineStr">
        <is>
          <t>CURAL</t>
        </is>
      </c>
      <c r="C3660" t="inlineStr">
        <is>
          <t>SHELVES</t>
        </is>
      </c>
      <c r="D3660" t="inlineStr">
        <is>
          <t>PR830.H4 D34 1984</t>
        </is>
      </c>
      <c r="E3660" t="inlineStr">
        <is>
          <t>0                      PR 0830000H  4                  D  34          1984</t>
        </is>
      </c>
      <c r="F3660" t="inlineStr">
        <is>
          <t>The divided heroine : a recurrent pattern in six English novels / H.M. Daleski.</t>
        </is>
      </c>
      <c r="H3660" t="inlineStr">
        <is>
          <t>No</t>
        </is>
      </c>
      <c r="I3660" t="inlineStr">
        <is>
          <t>1</t>
        </is>
      </c>
      <c r="J3660" t="inlineStr">
        <is>
          <t>No</t>
        </is>
      </c>
      <c r="K3660" t="inlineStr">
        <is>
          <t>No</t>
        </is>
      </c>
      <c r="L3660" t="inlineStr">
        <is>
          <t>0</t>
        </is>
      </c>
      <c r="M3660" t="inlineStr">
        <is>
          <t>Daleski, H. M. (Hillel Matthew), 1926-</t>
        </is>
      </c>
      <c r="N3660" t="inlineStr">
        <is>
          <t>New York : Holmes &amp; Meier, 1984.</t>
        </is>
      </c>
      <c r="O3660" t="inlineStr">
        <is>
          <t>1984</t>
        </is>
      </c>
      <c r="Q3660" t="inlineStr">
        <is>
          <t>eng</t>
        </is>
      </c>
      <c r="R3660" t="inlineStr">
        <is>
          <t>nyu</t>
        </is>
      </c>
      <c r="T3660" t="inlineStr">
        <is>
          <t xml:space="preserve">PR </t>
        </is>
      </c>
      <c r="U3660" t="n">
        <v>4</v>
      </c>
      <c r="V3660" t="n">
        <v>4</v>
      </c>
      <c r="W3660" t="inlineStr">
        <is>
          <t>1999-11-17</t>
        </is>
      </c>
      <c r="X3660" t="inlineStr">
        <is>
          <t>1999-11-17</t>
        </is>
      </c>
      <c r="Y3660" t="inlineStr">
        <is>
          <t>1991-09-11</t>
        </is>
      </c>
      <c r="Z3660" t="inlineStr">
        <is>
          <t>1991-09-11</t>
        </is>
      </c>
      <c r="AA3660" t="n">
        <v>605</v>
      </c>
      <c r="AB3660" t="n">
        <v>513</v>
      </c>
      <c r="AC3660" t="n">
        <v>520</v>
      </c>
      <c r="AD3660" t="n">
        <v>5</v>
      </c>
      <c r="AE3660" t="n">
        <v>5</v>
      </c>
      <c r="AF3660" t="n">
        <v>29</v>
      </c>
      <c r="AG3660" t="n">
        <v>29</v>
      </c>
      <c r="AH3660" t="n">
        <v>8</v>
      </c>
      <c r="AI3660" t="n">
        <v>8</v>
      </c>
      <c r="AJ3660" t="n">
        <v>10</v>
      </c>
      <c r="AK3660" t="n">
        <v>10</v>
      </c>
      <c r="AL3660" t="n">
        <v>14</v>
      </c>
      <c r="AM3660" t="n">
        <v>14</v>
      </c>
      <c r="AN3660" t="n">
        <v>4</v>
      </c>
      <c r="AO3660" t="n">
        <v>4</v>
      </c>
      <c r="AP3660" t="n">
        <v>0</v>
      </c>
      <c r="AQ3660" t="n">
        <v>0</v>
      </c>
      <c r="AR3660" t="inlineStr">
        <is>
          <t>No</t>
        </is>
      </c>
      <c r="AS3660" t="inlineStr">
        <is>
          <t>Yes</t>
        </is>
      </c>
      <c r="AT3660">
        <f>HYPERLINK("http://catalog.hathitrust.org/Record/000287247","HathiTrust Record")</f>
        <v/>
      </c>
      <c r="AU3660">
        <f>HYPERLINK("https://creighton-primo.hosted.exlibrisgroup.com/primo-explore/search?tab=default_tab&amp;search_scope=EVERYTHING&amp;vid=01CRU&amp;lang=en_US&amp;offset=0&amp;query=any,contains,991000266659702656","Catalog Record")</f>
        <v/>
      </c>
      <c r="AV3660">
        <f>HYPERLINK("http://www.worldcat.org/oclc/9830418","WorldCat Record")</f>
        <v/>
      </c>
      <c r="AW3660" t="inlineStr">
        <is>
          <t>836627575:eng</t>
        </is>
      </c>
      <c r="AX3660" t="inlineStr">
        <is>
          <t>9830418</t>
        </is>
      </c>
      <c r="AY3660" t="inlineStr">
        <is>
          <t>991000266659702656</t>
        </is>
      </c>
      <c r="AZ3660" t="inlineStr">
        <is>
          <t>991000266659702656</t>
        </is>
      </c>
      <c r="BA3660" t="inlineStr">
        <is>
          <t>2255196000002656</t>
        </is>
      </c>
      <c r="BB3660" t="inlineStr">
        <is>
          <t>BOOK</t>
        </is>
      </c>
      <c r="BD3660" t="inlineStr">
        <is>
          <t>9780841908857</t>
        </is>
      </c>
      <c r="BE3660" t="inlineStr">
        <is>
          <t>32285000755917</t>
        </is>
      </c>
      <c r="BF3660" t="inlineStr">
        <is>
          <t>893345517</t>
        </is>
      </c>
    </row>
    <row r="3661">
      <c r="A3661" t="inlineStr">
        <is>
          <t>No</t>
        </is>
      </c>
      <c r="B3661" t="inlineStr">
        <is>
          <t>CURAL</t>
        </is>
      </c>
      <c r="C3661" t="inlineStr">
        <is>
          <t>SHELVES</t>
        </is>
      </c>
      <c r="D3661" t="inlineStr">
        <is>
          <t>PR830.H4 H37 1996</t>
        </is>
      </c>
      <c r="E3661" t="inlineStr">
        <is>
          <t>0                      PR 0830000H  4                  H  37          1996</t>
        </is>
      </c>
      <c r="F3661" t="inlineStr">
        <is>
          <t>The fatal hero : Diana, deity of the moon, as an archetype of the modern hero in English literature / Gil Haroian-Guerin.</t>
        </is>
      </c>
      <c r="H3661" t="inlineStr">
        <is>
          <t>No</t>
        </is>
      </c>
      <c r="I3661" t="inlineStr">
        <is>
          <t>1</t>
        </is>
      </c>
      <c r="J3661" t="inlineStr">
        <is>
          <t>No</t>
        </is>
      </c>
      <c r="K3661" t="inlineStr">
        <is>
          <t>No</t>
        </is>
      </c>
      <c r="L3661" t="inlineStr">
        <is>
          <t>0</t>
        </is>
      </c>
      <c r="M3661" t="inlineStr">
        <is>
          <t>Harootunian, Gil, 1957-</t>
        </is>
      </c>
      <c r="N3661" t="inlineStr">
        <is>
          <t>New York : Peter Lang, 1996.</t>
        </is>
      </c>
      <c r="O3661" t="inlineStr">
        <is>
          <t>1996</t>
        </is>
      </c>
      <c r="Q3661" t="inlineStr">
        <is>
          <t>eng</t>
        </is>
      </c>
      <c r="R3661" t="inlineStr">
        <is>
          <t>nyu</t>
        </is>
      </c>
      <c r="S3661" t="inlineStr">
        <is>
          <t>Writing about women, 1053-7937 ; vol. 21</t>
        </is>
      </c>
      <c r="T3661" t="inlineStr">
        <is>
          <t xml:space="preserve">PR </t>
        </is>
      </c>
      <c r="U3661" t="n">
        <v>4</v>
      </c>
      <c r="V3661" t="n">
        <v>4</v>
      </c>
      <c r="W3661" t="inlineStr">
        <is>
          <t>1997-04-20</t>
        </is>
      </c>
      <c r="X3661" t="inlineStr">
        <is>
          <t>1997-04-20</t>
        </is>
      </c>
      <c r="Y3661" t="inlineStr">
        <is>
          <t>1996-09-06</t>
        </is>
      </c>
      <c r="Z3661" t="inlineStr">
        <is>
          <t>1996-09-06</t>
        </is>
      </c>
      <c r="AA3661" t="n">
        <v>263</v>
      </c>
      <c r="AB3661" t="n">
        <v>218</v>
      </c>
      <c r="AC3661" t="n">
        <v>224</v>
      </c>
      <c r="AD3661" t="n">
        <v>2</v>
      </c>
      <c r="AE3661" t="n">
        <v>2</v>
      </c>
      <c r="AF3661" t="n">
        <v>12</v>
      </c>
      <c r="AG3661" t="n">
        <v>13</v>
      </c>
      <c r="AH3661" t="n">
        <v>1</v>
      </c>
      <c r="AI3661" t="n">
        <v>2</v>
      </c>
      <c r="AJ3661" t="n">
        <v>6</v>
      </c>
      <c r="AK3661" t="n">
        <v>6</v>
      </c>
      <c r="AL3661" t="n">
        <v>8</v>
      </c>
      <c r="AM3661" t="n">
        <v>9</v>
      </c>
      <c r="AN3661" t="n">
        <v>1</v>
      </c>
      <c r="AO3661" t="n">
        <v>1</v>
      </c>
      <c r="AP3661" t="n">
        <v>0</v>
      </c>
      <c r="AQ3661" t="n">
        <v>0</v>
      </c>
      <c r="AR3661" t="inlineStr">
        <is>
          <t>No</t>
        </is>
      </c>
      <c r="AS3661" t="inlineStr">
        <is>
          <t>No</t>
        </is>
      </c>
      <c r="AU3661">
        <f>HYPERLINK("https://creighton-primo.hosted.exlibrisgroup.com/primo-explore/search?tab=default_tab&amp;search_scope=EVERYTHING&amp;vid=01CRU&amp;lang=en_US&amp;offset=0&amp;query=any,contains,991002543649702656","Catalog Record")</f>
        <v/>
      </c>
      <c r="AV3661">
        <f>HYPERLINK("http://www.worldcat.org/oclc/33048115","WorldCat Record")</f>
        <v/>
      </c>
      <c r="AW3661" t="inlineStr">
        <is>
          <t>889922018:eng</t>
        </is>
      </c>
      <c r="AX3661" t="inlineStr">
        <is>
          <t>33048115</t>
        </is>
      </c>
      <c r="AY3661" t="inlineStr">
        <is>
          <t>991002543649702656</t>
        </is>
      </c>
      <c r="AZ3661" t="inlineStr">
        <is>
          <t>991002543649702656</t>
        </is>
      </c>
      <c r="BA3661" t="inlineStr">
        <is>
          <t>2265909430002656</t>
        </is>
      </c>
      <c r="BB3661" t="inlineStr">
        <is>
          <t>BOOK</t>
        </is>
      </c>
      <c r="BD3661" t="inlineStr">
        <is>
          <t>9780820430256</t>
        </is>
      </c>
      <c r="BE3661" t="inlineStr">
        <is>
          <t>32285002315116</t>
        </is>
      </c>
      <c r="BF3661" t="inlineStr">
        <is>
          <t>893798713</t>
        </is>
      </c>
    </row>
    <row r="3662">
      <c r="A3662" t="inlineStr">
        <is>
          <t>No</t>
        </is>
      </c>
      <c r="B3662" t="inlineStr">
        <is>
          <t>CURAL</t>
        </is>
      </c>
      <c r="C3662" t="inlineStr">
        <is>
          <t>SHELVES</t>
        </is>
      </c>
      <c r="D3662" t="inlineStr">
        <is>
          <t>PR830.H8 C6</t>
        </is>
      </c>
      <c r="E3662" t="inlineStr">
        <is>
          <t>0                      PR 0830000H  8                  C  6</t>
        </is>
      </c>
      <c r="F3662" t="inlineStr">
        <is>
          <t>The free spirit, a study of liberal humanism in the novels of George Eliot, Henry James, E.M. Forster, Virginia Woolf [and] Angus Wilson.</t>
        </is>
      </c>
      <c r="H3662" t="inlineStr">
        <is>
          <t>No</t>
        </is>
      </c>
      <c r="I3662" t="inlineStr">
        <is>
          <t>1</t>
        </is>
      </c>
      <c r="J3662" t="inlineStr">
        <is>
          <t>No</t>
        </is>
      </c>
      <c r="K3662" t="inlineStr">
        <is>
          <t>No</t>
        </is>
      </c>
      <c r="L3662" t="inlineStr">
        <is>
          <t>0</t>
        </is>
      </c>
      <c r="M3662" t="inlineStr">
        <is>
          <t>Cox, Brian, 1928-2008.</t>
        </is>
      </c>
      <c r="N3662" t="inlineStr">
        <is>
          <t>London, New York, Oxford University Press, 1963.</t>
        </is>
      </c>
      <c r="O3662" t="inlineStr">
        <is>
          <t>1963</t>
        </is>
      </c>
      <c r="Q3662" t="inlineStr">
        <is>
          <t>eng</t>
        </is>
      </c>
      <c r="R3662" t="inlineStr">
        <is>
          <t>enk</t>
        </is>
      </c>
      <c r="T3662" t="inlineStr">
        <is>
          <t xml:space="preserve">PR </t>
        </is>
      </c>
      <c r="U3662" t="n">
        <v>4</v>
      </c>
      <c r="V3662" t="n">
        <v>4</v>
      </c>
      <c r="W3662" t="inlineStr">
        <is>
          <t>2004-09-27</t>
        </is>
      </c>
      <c r="X3662" t="inlineStr">
        <is>
          <t>2004-09-27</t>
        </is>
      </c>
      <c r="Y3662" t="inlineStr">
        <is>
          <t>1997-09-12</t>
        </is>
      </c>
      <c r="Z3662" t="inlineStr">
        <is>
          <t>1997-09-12</t>
        </is>
      </c>
      <c r="AA3662" t="n">
        <v>476</v>
      </c>
      <c r="AB3662" t="n">
        <v>399</v>
      </c>
      <c r="AC3662" t="n">
        <v>495</v>
      </c>
      <c r="AD3662" t="n">
        <v>5</v>
      </c>
      <c r="AE3662" t="n">
        <v>5</v>
      </c>
      <c r="AF3662" t="n">
        <v>17</v>
      </c>
      <c r="AG3662" t="n">
        <v>25</v>
      </c>
      <c r="AH3662" t="n">
        <v>5</v>
      </c>
      <c r="AI3662" t="n">
        <v>7</v>
      </c>
      <c r="AJ3662" t="n">
        <v>5</v>
      </c>
      <c r="AK3662" t="n">
        <v>8</v>
      </c>
      <c r="AL3662" t="n">
        <v>9</v>
      </c>
      <c r="AM3662" t="n">
        <v>15</v>
      </c>
      <c r="AN3662" t="n">
        <v>4</v>
      </c>
      <c r="AO3662" t="n">
        <v>4</v>
      </c>
      <c r="AP3662" t="n">
        <v>0</v>
      </c>
      <c r="AQ3662" t="n">
        <v>0</v>
      </c>
      <c r="AR3662" t="inlineStr">
        <is>
          <t>No</t>
        </is>
      </c>
      <c r="AS3662" t="inlineStr">
        <is>
          <t>Yes</t>
        </is>
      </c>
      <c r="AT3662">
        <f>HYPERLINK("http://catalog.hathitrust.org/Record/001374928","HathiTrust Record")</f>
        <v/>
      </c>
      <c r="AU3662">
        <f>HYPERLINK("https://creighton-primo.hosted.exlibrisgroup.com/primo-explore/search?tab=default_tab&amp;search_scope=EVERYTHING&amp;vid=01CRU&amp;lang=en_US&amp;offset=0&amp;query=any,contains,991002441819702656","Catalog Record")</f>
        <v/>
      </c>
      <c r="AV3662">
        <f>HYPERLINK("http://www.worldcat.org/oclc/350352","WorldCat Record")</f>
        <v/>
      </c>
      <c r="AW3662" t="inlineStr">
        <is>
          <t>198889699:eng</t>
        </is>
      </c>
      <c r="AX3662" t="inlineStr">
        <is>
          <t>350352</t>
        </is>
      </c>
      <c r="AY3662" t="inlineStr">
        <is>
          <t>991002441819702656</t>
        </is>
      </c>
      <c r="AZ3662" t="inlineStr">
        <is>
          <t>991002441819702656</t>
        </is>
      </c>
      <c r="BA3662" t="inlineStr">
        <is>
          <t>2268710980002656</t>
        </is>
      </c>
      <c r="BB3662" t="inlineStr">
        <is>
          <t>BOOK</t>
        </is>
      </c>
      <c r="BE3662" t="inlineStr">
        <is>
          <t>32285003216396</t>
        </is>
      </c>
      <c r="BF3662" t="inlineStr">
        <is>
          <t>893415204</t>
        </is>
      </c>
    </row>
    <row r="3663">
      <c r="A3663" t="inlineStr">
        <is>
          <t>No</t>
        </is>
      </c>
      <c r="B3663" t="inlineStr">
        <is>
          <t>CURAL</t>
        </is>
      </c>
      <c r="C3663" t="inlineStr">
        <is>
          <t>SHELVES</t>
        </is>
      </c>
      <c r="D3663" t="inlineStr">
        <is>
          <t>PR830.H8 F3 1976</t>
        </is>
      </c>
      <c r="E3663" t="inlineStr">
        <is>
          <t>0                      PR 0830000H  8                  F  3           1976</t>
        </is>
      </c>
      <c r="F3663" t="inlineStr">
        <is>
          <t>Humanism in the English novel / by Peter Faulkner.</t>
        </is>
      </c>
      <c r="H3663" t="inlineStr">
        <is>
          <t>No</t>
        </is>
      </c>
      <c r="I3663" t="inlineStr">
        <is>
          <t>1</t>
        </is>
      </c>
      <c r="J3663" t="inlineStr">
        <is>
          <t>No</t>
        </is>
      </c>
      <c r="K3663" t="inlineStr">
        <is>
          <t>No</t>
        </is>
      </c>
      <c r="L3663" t="inlineStr">
        <is>
          <t>0</t>
        </is>
      </c>
      <c r="M3663" t="inlineStr">
        <is>
          <t>Faulkner, Peter.</t>
        </is>
      </c>
      <c r="N3663" t="inlineStr">
        <is>
          <t>New York : Barnes &amp; Noble Books, 1976.</t>
        </is>
      </c>
      <c r="O3663" t="inlineStr">
        <is>
          <t>1976</t>
        </is>
      </c>
      <c r="Q3663" t="inlineStr">
        <is>
          <t>eng</t>
        </is>
      </c>
      <c r="R3663" t="inlineStr">
        <is>
          <t>nyu</t>
        </is>
      </c>
      <c r="T3663" t="inlineStr">
        <is>
          <t xml:space="preserve">PR </t>
        </is>
      </c>
      <c r="U3663" t="n">
        <v>4</v>
      </c>
      <c r="V3663" t="n">
        <v>4</v>
      </c>
      <c r="W3663" t="inlineStr">
        <is>
          <t>2005-04-22</t>
        </is>
      </c>
      <c r="X3663" t="inlineStr">
        <is>
          <t>2005-04-22</t>
        </is>
      </c>
      <c r="Y3663" t="inlineStr">
        <is>
          <t>1991-09-12</t>
        </is>
      </c>
      <c r="Z3663" t="inlineStr">
        <is>
          <t>1991-09-12</t>
        </is>
      </c>
      <c r="AA3663" t="n">
        <v>340</v>
      </c>
      <c r="AB3663" t="n">
        <v>313</v>
      </c>
      <c r="AC3663" t="n">
        <v>388</v>
      </c>
      <c r="AD3663" t="n">
        <v>2</v>
      </c>
      <c r="AE3663" t="n">
        <v>4</v>
      </c>
      <c r="AF3663" t="n">
        <v>18</v>
      </c>
      <c r="AG3663" t="n">
        <v>24</v>
      </c>
      <c r="AH3663" t="n">
        <v>2</v>
      </c>
      <c r="AI3663" t="n">
        <v>3</v>
      </c>
      <c r="AJ3663" t="n">
        <v>8</v>
      </c>
      <c r="AK3663" t="n">
        <v>8</v>
      </c>
      <c r="AL3663" t="n">
        <v>10</v>
      </c>
      <c r="AM3663" t="n">
        <v>14</v>
      </c>
      <c r="AN3663" t="n">
        <v>1</v>
      </c>
      <c r="AO3663" t="n">
        <v>3</v>
      </c>
      <c r="AP3663" t="n">
        <v>0</v>
      </c>
      <c r="AQ3663" t="n">
        <v>0</v>
      </c>
      <c r="AR3663" t="inlineStr">
        <is>
          <t>No</t>
        </is>
      </c>
      <c r="AS3663" t="inlineStr">
        <is>
          <t>Yes</t>
        </is>
      </c>
      <c r="AT3663">
        <f>HYPERLINK("http://catalog.hathitrust.org/Record/004437235","HathiTrust Record")</f>
        <v/>
      </c>
      <c r="AU3663">
        <f>HYPERLINK("https://creighton-primo.hosted.exlibrisgroup.com/primo-explore/search?tab=default_tab&amp;search_scope=EVERYTHING&amp;vid=01CRU&amp;lang=en_US&amp;offset=0&amp;query=any,contains,991004050979702656","Catalog Record")</f>
        <v/>
      </c>
      <c r="AV3663">
        <f>HYPERLINK("http://www.worldcat.org/oclc/2212864","WorldCat Record")</f>
        <v/>
      </c>
      <c r="AW3663" t="inlineStr">
        <is>
          <t>3977363:eng</t>
        </is>
      </c>
      <c r="AX3663" t="inlineStr">
        <is>
          <t>2212864</t>
        </is>
      </c>
      <c r="AY3663" t="inlineStr">
        <is>
          <t>991004050979702656</t>
        </is>
      </c>
      <c r="AZ3663" t="inlineStr">
        <is>
          <t>991004050979702656</t>
        </is>
      </c>
      <c r="BA3663" t="inlineStr">
        <is>
          <t>2255682800002656</t>
        </is>
      </c>
      <c r="BB3663" t="inlineStr">
        <is>
          <t>BOOK</t>
        </is>
      </c>
      <c r="BD3663" t="inlineStr">
        <is>
          <t>9780064920704</t>
        </is>
      </c>
      <c r="BE3663" t="inlineStr">
        <is>
          <t>32285000755933</t>
        </is>
      </c>
      <c r="BF3663" t="inlineStr">
        <is>
          <t>893712092</t>
        </is>
      </c>
    </row>
    <row r="3664">
      <c r="A3664" t="inlineStr">
        <is>
          <t>No</t>
        </is>
      </c>
      <c r="B3664" t="inlineStr">
        <is>
          <t>CURAL</t>
        </is>
      </c>
      <c r="C3664" t="inlineStr">
        <is>
          <t>SHELVES</t>
        </is>
      </c>
      <c r="D3664" t="inlineStr">
        <is>
          <t>PR830.I6 G7 1969</t>
        </is>
      </c>
      <c r="E3664" t="inlineStr">
        <is>
          <t>0                      PR 0830000I  6                  G  7           1969</t>
        </is>
      </c>
      <c r="F3664" t="inlineStr">
        <is>
          <t>The British image of India: a study in the literature of imperialism, 1880-1960 [by] Allen J. Greenberger.</t>
        </is>
      </c>
      <c r="H3664" t="inlineStr">
        <is>
          <t>No</t>
        </is>
      </c>
      <c r="I3664" t="inlineStr">
        <is>
          <t>1</t>
        </is>
      </c>
      <c r="J3664" t="inlineStr">
        <is>
          <t>No</t>
        </is>
      </c>
      <c r="K3664" t="inlineStr">
        <is>
          <t>No</t>
        </is>
      </c>
      <c r="L3664" t="inlineStr">
        <is>
          <t>0</t>
        </is>
      </c>
      <c r="M3664" t="inlineStr">
        <is>
          <t>Greenberger, Allen Jay, 1937-</t>
        </is>
      </c>
      <c r="N3664" t="inlineStr">
        <is>
          <t>London, New York [etc.] Oxford U.P., 1969.</t>
        </is>
      </c>
      <c r="O3664" t="inlineStr">
        <is>
          <t>1969</t>
        </is>
      </c>
      <c r="Q3664" t="inlineStr">
        <is>
          <t>eng</t>
        </is>
      </c>
      <c r="R3664" t="inlineStr">
        <is>
          <t>enk</t>
        </is>
      </c>
      <c r="T3664" t="inlineStr">
        <is>
          <t xml:space="preserve">PR </t>
        </is>
      </c>
      <c r="U3664" t="n">
        <v>2</v>
      </c>
      <c r="V3664" t="n">
        <v>2</v>
      </c>
      <c r="W3664" t="inlineStr">
        <is>
          <t>2000-03-15</t>
        </is>
      </c>
      <c r="X3664" t="inlineStr">
        <is>
          <t>2000-03-15</t>
        </is>
      </c>
      <c r="Y3664" t="inlineStr">
        <is>
          <t>1997-09-12</t>
        </is>
      </c>
      <c r="Z3664" t="inlineStr">
        <is>
          <t>1997-09-12</t>
        </is>
      </c>
      <c r="AA3664" t="n">
        <v>618</v>
      </c>
      <c r="AB3664" t="n">
        <v>433</v>
      </c>
      <c r="AC3664" t="n">
        <v>435</v>
      </c>
      <c r="AD3664" t="n">
        <v>4</v>
      </c>
      <c r="AE3664" t="n">
        <v>4</v>
      </c>
      <c r="AF3664" t="n">
        <v>19</v>
      </c>
      <c r="AG3664" t="n">
        <v>19</v>
      </c>
      <c r="AH3664" t="n">
        <v>6</v>
      </c>
      <c r="AI3664" t="n">
        <v>6</v>
      </c>
      <c r="AJ3664" t="n">
        <v>4</v>
      </c>
      <c r="AK3664" t="n">
        <v>4</v>
      </c>
      <c r="AL3664" t="n">
        <v>9</v>
      </c>
      <c r="AM3664" t="n">
        <v>9</v>
      </c>
      <c r="AN3664" t="n">
        <v>3</v>
      </c>
      <c r="AO3664" t="n">
        <v>3</v>
      </c>
      <c r="AP3664" t="n">
        <v>0</v>
      </c>
      <c r="AQ3664" t="n">
        <v>0</v>
      </c>
      <c r="AR3664" t="inlineStr">
        <is>
          <t>No</t>
        </is>
      </c>
      <c r="AS3664" t="inlineStr">
        <is>
          <t>Yes</t>
        </is>
      </c>
      <c r="AT3664">
        <f>HYPERLINK("http://catalog.hathitrust.org/Record/001016694","HathiTrust Record")</f>
        <v/>
      </c>
      <c r="AU3664">
        <f>HYPERLINK("https://creighton-primo.hosted.exlibrisgroup.com/primo-explore/search?tab=default_tab&amp;search_scope=EVERYTHING&amp;vid=01CRU&amp;lang=en_US&amp;offset=0&amp;query=any,contains,991000062099702656","Catalog Record")</f>
        <v/>
      </c>
      <c r="AV3664">
        <f>HYPERLINK("http://www.worldcat.org/oclc/25088","WorldCat Record")</f>
        <v/>
      </c>
      <c r="AW3664" t="inlineStr">
        <is>
          <t>199146438:eng</t>
        </is>
      </c>
      <c r="AX3664" t="inlineStr">
        <is>
          <t>25088</t>
        </is>
      </c>
      <c r="AY3664" t="inlineStr">
        <is>
          <t>991000062099702656</t>
        </is>
      </c>
      <c r="AZ3664" t="inlineStr">
        <is>
          <t>991000062099702656</t>
        </is>
      </c>
      <c r="BA3664" t="inlineStr">
        <is>
          <t>2268557850002656</t>
        </is>
      </c>
      <c r="BB3664" t="inlineStr">
        <is>
          <t>BOOK</t>
        </is>
      </c>
      <c r="BD3664" t="inlineStr">
        <is>
          <t>9780192121738</t>
        </is>
      </c>
      <c r="BE3664" t="inlineStr">
        <is>
          <t>32285003216404</t>
        </is>
      </c>
      <c r="BF3664" t="inlineStr">
        <is>
          <t>893502194</t>
        </is>
      </c>
    </row>
    <row r="3665">
      <c r="A3665" t="inlineStr">
        <is>
          <t>No</t>
        </is>
      </c>
      <c r="B3665" t="inlineStr">
        <is>
          <t>CURAL</t>
        </is>
      </c>
      <c r="C3665" t="inlineStr">
        <is>
          <t>SHELVES</t>
        </is>
      </c>
      <c r="D3665" t="inlineStr">
        <is>
          <t>PR830.I6 P3 1972b</t>
        </is>
      </c>
      <c r="E3665" t="inlineStr">
        <is>
          <t>0                      PR 0830000I  6                  P  3           1972b</t>
        </is>
      </c>
      <c r="F3665" t="inlineStr">
        <is>
          <t>Delusions and discoveries : studies on India in the British imagination, 1880-1930.</t>
        </is>
      </c>
      <c r="H3665" t="inlineStr">
        <is>
          <t>No</t>
        </is>
      </c>
      <c r="I3665" t="inlineStr">
        <is>
          <t>1</t>
        </is>
      </c>
      <c r="J3665" t="inlineStr">
        <is>
          <t>No</t>
        </is>
      </c>
      <c r="K3665" t="inlineStr">
        <is>
          <t>No</t>
        </is>
      </c>
      <c r="L3665" t="inlineStr">
        <is>
          <t>0</t>
        </is>
      </c>
      <c r="M3665" t="inlineStr">
        <is>
          <t>Parry, Benita.</t>
        </is>
      </c>
      <c r="N3665" t="inlineStr">
        <is>
          <t>Berkeley : University of California Press, [1972]</t>
        </is>
      </c>
      <c r="O3665" t="inlineStr">
        <is>
          <t>1972</t>
        </is>
      </c>
      <c r="Q3665" t="inlineStr">
        <is>
          <t>eng</t>
        </is>
      </c>
      <c r="R3665" t="inlineStr">
        <is>
          <t>cau</t>
        </is>
      </c>
      <c r="T3665" t="inlineStr">
        <is>
          <t xml:space="preserve">PR </t>
        </is>
      </c>
      <c r="U3665" t="n">
        <v>2</v>
      </c>
      <c r="V3665" t="n">
        <v>2</v>
      </c>
      <c r="W3665" t="inlineStr">
        <is>
          <t>1995-10-06</t>
        </is>
      </c>
      <c r="X3665" t="inlineStr">
        <is>
          <t>1995-10-06</t>
        </is>
      </c>
      <c r="Y3665" t="inlineStr">
        <is>
          <t>1990-04-18</t>
        </is>
      </c>
      <c r="Z3665" t="inlineStr">
        <is>
          <t>1990-04-18</t>
        </is>
      </c>
      <c r="AA3665" t="n">
        <v>471</v>
      </c>
      <c r="AB3665" t="n">
        <v>420</v>
      </c>
      <c r="AC3665" t="n">
        <v>512</v>
      </c>
      <c r="AD3665" t="n">
        <v>3</v>
      </c>
      <c r="AE3665" t="n">
        <v>3</v>
      </c>
      <c r="AF3665" t="n">
        <v>28</v>
      </c>
      <c r="AG3665" t="n">
        <v>29</v>
      </c>
      <c r="AH3665" t="n">
        <v>10</v>
      </c>
      <c r="AI3665" t="n">
        <v>11</v>
      </c>
      <c r="AJ3665" t="n">
        <v>9</v>
      </c>
      <c r="AK3665" t="n">
        <v>9</v>
      </c>
      <c r="AL3665" t="n">
        <v>16</v>
      </c>
      <c r="AM3665" t="n">
        <v>17</v>
      </c>
      <c r="AN3665" t="n">
        <v>2</v>
      </c>
      <c r="AO3665" t="n">
        <v>2</v>
      </c>
      <c r="AP3665" t="n">
        <v>0</v>
      </c>
      <c r="AQ3665" t="n">
        <v>0</v>
      </c>
      <c r="AR3665" t="inlineStr">
        <is>
          <t>No</t>
        </is>
      </c>
      <c r="AS3665" t="inlineStr">
        <is>
          <t>No</t>
        </is>
      </c>
      <c r="AU3665">
        <f>HYPERLINK("https://creighton-primo.hosted.exlibrisgroup.com/primo-explore/search?tab=default_tab&amp;search_scope=EVERYTHING&amp;vid=01CRU&amp;lang=en_US&amp;offset=0&amp;query=any,contains,991003034769702656","Catalog Record")</f>
        <v/>
      </c>
      <c r="AV3665">
        <f>HYPERLINK("http://www.worldcat.org/oclc/597856","WorldCat Record")</f>
        <v/>
      </c>
      <c r="AW3665" t="inlineStr">
        <is>
          <t>2101559:eng</t>
        </is>
      </c>
      <c r="AX3665" t="inlineStr">
        <is>
          <t>597856</t>
        </is>
      </c>
      <c r="AY3665" t="inlineStr">
        <is>
          <t>991003034769702656</t>
        </is>
      </c>
      <c r="AZ3665" t="inlineStr">
        <is>
          <t>991003034769702656</t>
        </is>
      </c>
      <c r="BA3665" t="inlineStr">
        <is>
          <t>2271637890002656</t>
        </is>
      </c>
      <c r="BB3665" t="inlineStr">
        <is>
          <t>BOOK</t>
        </is>
      </c>
      <c r="BD3665" t="inlineStr">
        <is>
          <t>9780520022157</t>
        </is>
      </c>
      <c r="BE3665" t="inlineStr">
        <is>
          <t>32285000118678</t>
        </is>
      </c>
      <c r="BF3665" t="inlineStr">
        <is>
          <t>893422105</t>
        </is>
      </c>
    </row>
    <row r="3666">
      <c r="A3666" t="inlineStr">
        <is>
          <t>No</t>
        </is>
      </c>
      <c r="B3666" t="inlineStr">
        <is>
          <t>CURAL</t>
        </is>
      </c>
      <c r="C3666" t="inlineStr">
        <is>
          <t>SHELVES</t>
        </is>
      </c>
      <c r="D3666" t="inlineStr">
        <is>
          <t>PR830.I6 S5 1988</t>
        </is>
      </c>
      <c r="E3666" t="inlineStr">
        <is>
          <t>0                      PR 0830000I  6                  S  5           1988</t>
        </is>
      </c>
      <c r="F3666" t="inlineStr">
        <is>
          <t>The imperishable empire : a study of British fiction on India / Rashna B. Singh.</t>
        </is>
      </c>
      <c r="H3666" t="inlineStr">
        <is>
          <t>No</t>
        </is>
      </c>
      <c r="I3666" t="inlineStr">
        <is>
          <t>1</t>
        </is>
      </c>
      <c r="J3666" t="inlineStr">
        <is>
          <t>No</t>
        </is>
      </c>
      <c r="K3666" t="inlineStr">
        <is>
          <t>No</t>
        </is>
      </c>
      <c r="L3666" t="inlineStr">
        <is>
          <t>0</t>
        </is>
      </c>
      <c r="M3666" t="inlineStr">
        <is>
          <t>Singh, Rashna B.</t>
        </is>
      </c>
      <c r="N3666" t="inlineStr">
        <is>
          <t>Washington, DC : Three Continents Press, c1988.</t>
        </is>
      </c>
      <c r="O3666" t="inlineStr">
        <is>
          <t>1988</t>
        </is>
      </c>
      <c r="Q3666" t="inlineStr">
        <is>
          <t>eng</t>
        </is>
      </c>
      <c r="R3666" t="inlineStr">
        <is>
          <t>dcu</t>
        </is>
      </c>
      <c r="T3666" t="inlineStr">
        <is>
          <t xml:space="preserve">PR </t>
        </is>
      </c>
      <c r="U3666" t="n">
        <v>2</v>
      </c>
      <c r="V3666" t="n">
        <v>2</v>
      </c>
      <c r="W3666" t="inlineStr">
        <is>
          <t>1995-10-06</t>
        </is>
      </c>
      <c r="X3666" t="inlineStr">
        <is>
          <t>1995-10-06</t>
        </is>
      </c>
      <c r="Y3666" t="inlineStr">
        <is>
          <t>1990-03-29</t>
        </is>
      </c>
      <c r="Z3666" t="inlineStr">
        <is>
          <t>1990-03-29</t>
        </is>
      </c>
      <c r="AA3666" t="n">
        <v>304</v>
      </c>
      <c r="AB3666" t="n">
        <v>240</v>
      </c>
      <c r="AC3666" t="n">
        <v>247</v>
      </c>
      <c r="AD3666" t="n">
        <v>2</v>
      </c>
      <c r="AE3666" t="n">
        <v>2</v>
      </c>
      <c r="AF3666" t="n">
        <v>10</v>
      </c>
      <c r="AG3666" t="n">
        <v>10</v>
      </c>
      <c r="AH3666" t="n">
        <v>3</v>
      </c>
      <c r="AI3666" t="n">
        <v>3</v>
      </c>
      <c r="AJ3666" t="n">
        <v>4</v>
      </c>
      <c r="AK3666" t="n">
        <v>4</v>
      </c>
      <c r="AL3666" t="n">
        <v>5</v>
      </c>
      <c r="AM3666" t="n">
        <v>5</v>
      </c>
      <c r="AN3666" t="n">
        <v>1</v>
      </c>
      <c r="AO3666" t="n">
        <v>1</v>
      </c>
      <c r="AP3666" t="n">
        <v>0</v>
      </c>
      <c r="AQ3666" t="n">
        <v>0</v>
      </c>
      <c r="AR3666" t="inlineStr">
        <is>
          <t>No</t>
        </is>
      </c>
      <c r="AS3666" t="inlineStr">
        <is>
          <t>Yes</t>
        </is>
      </c>
      <c r="AT3666">
        <f>HYPERLINK("http://catalog.hathitrust.org/Record/001304544","HathiTrust Record")</f>
        <v/>
      </c>
      <c r="AU3666">
        <f>HYPERLINK("https://creighton-primo.hosted.exlibrisgroup.com/primo-explore/search?tab=default_tab&amp;search_scope=EVERYTHING&amp;vid=01CRU&amp;lang=en_US&amp;offset=0&amp;query=any,contains,991001222489702656","Catalog Record")</f>
        <v/>
      </c>
      <c r="AV3666">
        <f>HYPERLINK("http://www.worldcat.org/oclc/17480617","WorldCat Record")</f>
        <v/>
      </c>
      <c r="AW3666" t="inlineStr">
        <is>
          <t>15888078:eng</t>
        </is>
      </c>
      <c r="AX3666" t="inlineStr">
        <is>
          <t>17480617</t>
        </is>
      </c>
      <c r="AY3666" t="inlineStr">
        <is>
          <t>991001222489702656</t>
        </is>
      </c>
      <c r="AZ3666" t="inlineStr">
        <is>
          <t>991001222489702656</t>
        </is>
      </c>
      <c r="BA3666" t="inlineStr">
        <is>
          <t>2258925150002656</t>
        </is>
      </c>
      <c r="BB3666" t="inlineStr">
        <is>
          <t>BOOK</t>
        </is>
      </c>
      <c r="BD3666" t="inlineStr">
        <is>
          <t>9780894103438</t>
        </is>
      </c>
      <c r="BE3666" t="inlineStr">
        <is>
          <t>32285000105535</t>
        </is>
      </c>
      <c r="BF3666" t="inlineStr">
        <is>
          <t>893608675</t>
        </is>
      </c>
    </row>
    <row r="3667">
      <c r="A3667" t="inlineStr">
        <is>
          <t>No</t>
        </is>
      </c>
      <c r="B3667" t="inlineStr">
        <is>
          <t>CURAL</t>
        </is>
      </c>
      <c r="C3667" t="inlineStr">
        <is>
          <t>SHELVES</t>
        </is>
      </c>
      <c r="D3667" t="inlineStr">
        <is>
          <t>PR830.L3 B73 1984</t>
        </is>
      </c>
      <c r="E3667" t="inlineStr">
        <is>
          <t>0                      PR 0830000L  3                  B  73          1984</t>
        </is>
      </c>
      <c r="F3667" t="inlineStr">
        <is>
          <t>The British working-class novel in the twentieth century / editor: Jeremy Hawthorn.</t>
        </is>
      </c>
      <c r="H3667" t="inlineStr">
        <is>
          <t>No</t>
        </is>
      </c>
      <c r="I3667" t="inlineStr">
        <is>
          <t>1</t>
        </is>
      </c>
      <c r="J3667" t="inlineStr">
        <is>
          <t>No</t>
        </is>
      </c>
      <c r="K3667" t="inlineStr">
        <is>
          <t>No</t>
        </is>
      </c>
      <c r="L3667" t="inlineStr">
        <is>
          <t>0</t>
        </is>
      </c>
      <c r="N3667" t="inlineStr">
        <is>
          <t>London ; Baltimore, Md. : E. Arnold, 1984.</t>
        </is>
      </c>
      <c r="O3667" t="inlineStr">
        <is>
          <t>1984</t>
        </is>
      </c>
      <c r="Q3667" t="inlineStr">
        <is>
          <t>eng</t>
        </is>
      </c>
      <c r="R3667" t="inlineStr">
        <is>
          <t>enk</t>
        </is>
      </c>
      <c r="S3667" t="inlineStr">
        <is>
          <t>Stratford-upon-Avon studies. Second series</t>
        </is>
      </c>
      <c r="T3667" t="inlineStr">
        <is>
          <t xml:space="preserve">PR </t>
        </is>
      </c>
      <c r="U3667" t="n">
        <v>2</v>
      </c>
      <c r="V3667" t="n">
        <v>2</v>
      </c>
      <c r="W3667" t="inlineStr">
        <is>
          <t>2009-06-20</t>
        </is>
      </c>
      <c r="X3667" t="inlineStr">
        <is>
          <t>2009-06-20</t>
        </is>
      </c>
      <c r="Y3667" t="inlineStr">
        <is>
          <t>1991-09-11</t>
        </is>
      </c>
      <c r="Z3667" t="inlineStr">
        <is>
          <t>1991-09-11</t>
        </is>
      </c>
      <c r="AA3667" t="n">
        <v>469</v>
      </c>
      <c r="AB3667" t="n">
        <v>266</v>
      </c>
      <c r="AC3667" t="n">
        <v>266</v>
      </c>
      <c r="AD3667" t="n">
        <v>3</v>
      </c>
      <c r="AE3667" t="n">
        <v>3</v>
      </c>
      <c r="AF3667" t="n">
        <v>16</v>
      </c>
      <c r="AG3667" t="n">
        <v>16</v>
      </c>
      <c r="AH3667" t="n">
        <v>6</v>
      </c>
      <c r="AI3667" t="n">
        <v>6</v>
      </c>
      <c r="AJ3667" t="n">
        <v>4</v>
      </c>
      <c r="AK3667" t="n">
        <v>4</v>
      </c>
      <c r="AL3667" t="n">
        <v>10</v>
      </c>
      <c r="AM3667" t="n">
        <v>10</v>
      </c>
      <c r="AN3667" t="n">
        <v>2</v>
      </c>
      <c r="AO3667" t="n">
        <v>2</v>
      </c>
      <c r="AP3667" t="n">
        <v>0</v>
      </c>
      <c r="AQ3667" t="n">
        <v>0</v>
      </c>
      <c r="AR3667" t="inlineStr">
        <is>
          <t>No</t>
        </is>
      </c>
      <c r="AS3667" t="inlineStr">
        <is>
          <t>No</t>
        </is>
      </c>
      <c r="AU3667">
        <f>HYPERLINK("https://creighton-primo.hosted.exlibrisgroup.com/primo-explore/search?tab=default_tab&amp;search_scope=EVERYTHING&amp;vid=01CRU&amp;lang=en_US&amp;offset=0&amp;query=any,contains,991000523939702656","Catalog Record")</f>
        <v/>
      </c>
      <c r="AV3667">
        <f>HYPERLINK("http://www.worldcat.org/oclc/14167202","WorldCat Record")</f>
        <v/>
      </c>
      <c r="AW3667" t="inlineStr">
        <is>
          <t>54852936:eng</t>
        </is>
      </c>
      <c r="AX3667" t="inlineStr">
        <is>
          <t>14167202</t>
        </is>
      </c>
      <c r="AY3667" t="inlineStr">
        <is>
          <t>991000523939702656</t>
        </is>
      </c>
      <c r="AZ3667" t="inlineStr">
        <is>
          <t>991000523939702656</t>
        </is>
      </c>
      <c r="BA3667" t="inlineStr">
        <is>
          <t>2269681870002656</t>
        </is>
      </c>
      <c r="BB3667" t="inlineStr">
        <is>
          <t>BOOK</t>
        </is>
      </c>
      <c r="BD3667" t="inlineStr">
        <is>
          <t>9780713164152</t>
        </is>
      </c>
      <c r="BE3667" t="inlineStr">
        <is>
          <t>32285000755958</t>
        </is>
      </c>
      <c r="BF3667" t="inlineStr">
        <is>
          <t>893237386</t>
        </is>
      </c>
    </row>
    <row r="3668">
      <c r="A3668" t="inlineStr">
        <is>
          <t>No</t>
        </is>
      </c>
      <c r="B3668" t="inlineStr">
        <is>
          <t>CURAL</t>
        </is>
      </c>
      <c r="C3668" t="inlineStr">
        <is>
          <t>SHELVES</t>
        </is>
      </c>
      <c r="D3668" t="inlineStr">
        <is>
          <t>PR830.L69 B6 1987</t>
        </is>
      </c>
      <c r="E3668" t="inlineStr">
        <is>
          <t>0                      PR 0830000L  69                 B  6           1987</t>
        </is>
      </c>
      <c r="F3668" t="inlineStr">
        <is>
          <t>Tradition counter tradition : love and the form of fiction / Joseph Allen Boone.</t>
        </is>
      </c>
      <c r="H3668" t="inlineStr">
        <is>
          <t>No</t>
        </is>
      </c>
      <c r="I3668" t="inlineStr">
        <is>
          <t>1</t>
        </is>
      </c>
      <c r="J3668" t="inlineStr">
        <is>
          <t>No</t>
        </is>
      </c>
      <c r="K3668" t="inlineStr">
        <is>
          <t>No</t>
        </is>
      </c>
      <c r="L3668" t="inlineStr">
        <is>
          <t>0</t>
        </is>
      </c>
      <c r="M3668" t="inlineStr">
        <is>
          <t>Boone, Joseph Allen.</t>
        </is>
      </c>
      <c r="N3668" t="inlineStr">
        <is>
          <t>Chicago : University of Chicago Press, 1987.</t>
        </is>
      </c>
      <c r="O3668" t="inlineStr">
        <is>
          <t>1987</t>
        </is>
      </c>
      <c r="Q3668" t="inlineStr">
        <is>
          <t>eng</t>
        </is>
      </c>
      <c r="R3668" t="inlineStr">
        <is>
          <t>ilu</t>
        </is>
      </c>
      <c r="S3668" t="inlineStr">
        <is>
          <t>Women in culture and society</t>
        </is>
      </c>
      <c r="T3668" t="inlineStr">
        <is>
          <t xml:space="preserve">PR </t>
        </is>
      </c>
      <c r="U3668" t="n">
        <v>1</v>
      </c>
      <c r="V3668" t="n">
        <v>1</v>
      </c>
      <c r="W3668" t="inlineStr">
        <is>
          <t>2004-05-05</t>
        </is>
      </c>
      <c r="X3668" t="inlineStr">
        <is>
          <t>2004-05-05</t>
        </is>
      </c>
      <c r="Y3668" t="inlineStr">
        <is>
          <t>2004-05-05</t>
        </is>
      </c>
      <c r="Z3668" t="inlineStr">
        <is>
          <t>2004-05-05</t>
        </is>
      </c>
      <c r="AA3668" t="n">
        <v>815</v>
      </c>
      <c r="AB3668" t="n">
        <v>687</v>
      </c>
      <c r="AC3668" t="n">
        <v>696</v>
      </c>
      <c r="AD3668" t="n">
        <v>5</v>
      </c>
      <c r="AE3668" t="n">
        <v>5</v>
      </c>
      <c r="AF3668" t="n">
        <v>30</v>
      </c>
      <c r="AG3668" t="n">
        <v>30</v>
      </c>
      <c r="AH3668" t="n">
        <v>12</v>
      </c>
      <c r="AI3668" t="n">
        <v>12</v>
      </c>
      <c r="AJ3668" t="n">
        <v>6</v>
      </c>
      <c r="AK3668" t="n">
        <v>6</v>
      </c>
      <c r="AL3668" t="n">
        <v>14</v>
      </c>
      <c r="AM3668" t="n">
        <v>14</v>
      </c>
      <c r="AN3668" t="n">
        <v>4</v>
      </c>
      <c r="AO3668" t="n">
        <v>4</v>
      </c>
      <c r="AP3668" t="n">
        <v>0</v>
      </c>
      <c r="AQ3668" t="n">
        <v>0</v>
      </c>
      <c r="AR3668" t="inlineStr">
        <is>
          <t>No</t>
        </is>
      </c>
      <c r="AS3668" t="inlineStr">
        <is>
          <t>No</t>
        </is>
      </c>
      <c r="AU3668">
        <f>HYPERLINK("https://creighton-primo.hosted.exlibrisgroup.com/primo-explore/search?tab=default_tab&amp;search_scope=EVERYTHING&amp;vid=01CRU&amp;lang=en_US&amp;offset=0&amp;query=any,contains,991004295159702656","Catalog Record")</f>
        <v/>
      </c>
      <c r="AV3668">
        <f>HYPERLINK("http://www.worldcat.org/oclc/15107909","WorldCat Record")</f>
        <v/>
      </c>
      <c r="AW3668" t="inlineStr">
        <is>
          <t>8353812:eng</t>
        </is>
      </c>
      <c r="AX3668" t="inlineStr">
        <is>
          <t>15107909</t>
        </is>
      </c>
      <c r="AY3668" t="inlineStr">
        <is>
          <t>991004295159702656</t>
        </is>
      </c>
      <c r="AZ3668" t="inlineStr">
        <is>
          <t>991004295159702656</t>
        </is>
      </c>
      <c r="BA3668" t="inlineStr">
        <is>
          <t>2266657190002656</t>
        </is>
      </c>
      <c r="BB3668" t="inlineStr">
        <is>
          <t>BOOK</t>
        </is>
      </c>
      <c r="BD3668" t="inlineStr">
        <is>
          <t>9780226064642</t>
        </is>
      </c>
      <c r="BE3668" t="inlineStr">
        <is>
          <t>32285004903810</t>
        </is>
      </c>
      <c r="BF3668" t="inlineStr">
        <is>
          <t>893525908</t>
        </is>
      </c>
    </row>
    <row r="3669">
      <c r="A3669" t="inlineStr">
        <is>
          <t>No</t>
        </is>
      </c>
      <c r="B3669" t="inlineStr">
        <is>
          <t>CURAL</t>
        </is>
      </c>
      <c r="C3669" t="inlineStr">
        <is>
          <t>SHELVES</t>
        </is>
      </c>
      <c r="D3669" t="inlineStr">
        <is>
          <t>PR830.L69 C6 1978</t>
        </is>
      </c>
      <c r="E3669" t="inlineStr">
        <is>
          <t>0                      PR 0830000L  69                 C  6           1978</t>
        </is>
      </c>
      <c r="F3669" t="inlineStr">
        <is>
          <t>Man and woman : a study of love and the novel, 1740-1940 / A. O. J. Cockshut.</t>
        </is>
      </c>
      <c r="H3669" t="inlineStr">
        <is>
          <t>No</t>
        </is>
      </c>
      <c r="I3669" t="inlineStr">
        <is>
          <t>1</t>
        </is>
      </c>
      <c r="J3669" t="inlineStr">
        <is>
          <t>No</t>
        </is>
      </c>
      <c r="K3669" t="inlineStr">
        <is>
          <t>No</t>
        </is>
      </c>
      <c r="L3669" t="inlineStr">
        <is>
          <t>0</t>
        </is>
      </c>
      <c r="M3669" t="inlineStr">
        <is>
          <t>Cockshut, A. O. J.</t>
        </is>
      </c>
      <c r="N3669" t="inlineStr">
        <is>
          <t>New York : Oxford University Press, 1978, c1977.</t>
        </is>
      </c>
      <c r="O3669" t="inlineStr">
        <is>
          <t>1978</t>
        </is>
      </c>
      <c r="Q3669" t="inlineStr">
        <is>
          <t>eng</t>
        </is>
      </c>
      <c r="R3669" t="inlineStr">
        <is>
          <t>nyu</t>
        </is>
      </c>
      <c r="T3669" t="inlineStr">
        <is>
          <t xml:space="preserve">PR </t>
        </is>
      </c>
      <c r="U3669" t="n">
        <v>4</v>
      </c>
      <c r="V3669" t="n">
        <v>4</v>
      </c>
      <c r="W3669" t="inlineStr">
        <is>
          <t>1995-12-04</t>
        </is>
      </c>
      <c r="X3669" t="inlineStr">
        <is>
          <t>1995-12-04</t>
        </is>
      </c>
      <c r="Y3669" t="inlineStr">
        <is>
          <t>1991-09-12</t>
        </is>
      </c>
      <c r="Z3669" t="inlineStr">
        <is>
          <t>1991-09-12</t>
        </is>
      </c>
      <c r="AA3669" t="n">
        <v>873</v>
      </c>
      <c r="AB3669" t="n">
        <v>831</v>
      </c>
      <c r="AC3669" t="n">
        <v>928</v>
      </c>
      <c r="AD3669" t="n">
        <v>9</v>
      </c>
      <c r="AE3669" t="n">
        <v>12</v>
      </c>
      <c r="AF3669" t="n">
        <v>43</v>
      </c>
      <c r="AG3669" t="n">
        <v>48</v>
      </c>
      <c r="AH3669" t="n">
        <v>19</v>
      </c>
      <c r="AI3669" t="n">
        <v>20</v>
      </c>
      <c r="AJ3669" t="n">
        <v>7</v>
      </c>
      <c r="AK3669" t="n">
        <v>8</v>
      </c>
      <c r="AL3669" t="n">
        <v>21</v>
      </c>
      <c r="AM3669" t="n">
        <v>22</v>
      </c>
      <c r="AN3669" t="n">
        <v>7</v>
      </c>
      <c r="AO3669" t="n">
        <v>10</v>
      </c>
      <c r="AP3669" t="n">
        <v>0</v>
      </c>
      <c r="AQ3669" t="n">
        <v>0</v>
      </c>
      <c r="AR3669" t="inlineStr">
        <is>
          <t>No</t>
        </is>
      </c>
      <c r="AS3669" t="inlineStr">
        <is>
          <t>Yes</t>
        </is>
      </c>
      <c r="AT3669">
        <f>HYPERLINK("http://catalog.hathitrust.org/Record/000752852","HathiTrust Record")</f>
        <v/>
      </c>
      <c r="AU3669">
        <f>HYPERLINK("https://creighton-primo.hosted.exlibrisgroup.com/primo-explore/search?tab=default_tab&amp;search_scope=EVERYTHING&amp;vid=01CRU&amp;lang=en_US&amp;offset=0&amp;query=any,contains,991004437499702656","Catalog Record")</f>
        <v/>
      </c>
      <c r="AV3669">
        <f>HYPERLINK("http://www.worldcat.org/oclc/3447179","WorldCat Record")</f>
        <v/>
      </c>
      <c r="AW3669" t="inlineStr">
        <is>
          <t>8515058:eng</t>
        </is>
      </c>
      <c r="AX3669" t="inlineStr">
        <is>
          <t>3447179</t>
        </is>
      </c>
      <c r="AY3669" t="inlineStr">
        <is>
          <t>991004437499702656</t>
        </is>
      </c>
      <c r="AZ3669" t="inlineStr">
        <is>
          <t>991004437499702656</t>
        </is>
      </c>
      <c r="BA3669" t="inlineStr">
        <is>
          <t>2268693760002656</t>
        </is>
      </c>
      <c r="BB3669" t="inlineStr">
        <is>
          <t>BOOK</t>
        </is>
      </c>
      <c r="BD3669" t="inlineStr">
        <is>
          <t>9780195200409</t>
        </is>
      </c>
      <c r="BE3669" t="inlineStr">
        <is>
          <t>32285000755974</t>
        </is>
      </c>
      <c r="BF3669" t="inlineStr">
        <is>
          <t>893253690</t>
        </is>
      </c>
    </row>
    <row r="3670">
      <c r="A3670" t="inlineStr">
        <is>
          <t>No</t>
        </is>
      </c>
      <c r="B3670" t="inlineStr">
        <is>
          <t>CURAL</t>
        </is>
      </c>
      <c r="C3670" t="inlineStr">
        <is>
          <t>SHELVES</t>
        </is>
      </c>
      <c r="D3670" t="inlineStr">
        <is>
          <t>PR830.L69 P76 1986</t>
        </is>
      </c>
      <c r="E3670" t="inlineStr">
        <is>
          <t>0                      PR 0830000L  69                 P  76          1986</t>
        </is>
      </c>
      <c r="F3670" t="inlineStr">
        <is>
          <t>The Progress of romance : the politics of popular fiction / edited by Jean Radford.</t>
        </is>
      </c>
      <c r="H3670" t="inlineStr">
        <is>
          <t>No</t>
        </is>
      </c>
      <c r="I3670" t="inlineStr">
        <is>
          <t>1</t>
        </is>
      </c>
      <c r="J3670" t="inlineStr">
        <is>
          <t>No</t>
        </is>
      </c>
      <c r="K3670" t="inlineStr">
        <is>
          <t>No</t>
        </is>
      </c>
      <c r="L3670" t="inlineStr">
        <is>
          <t>0</t>
        </is>
      </c>
      <c r="N3670" t="inlineStr">
        <is>
          <t>London ; New York : Routledge &amp; Kegan Paul, 1986.</t>
        </is>
      </c>
      <c r="O3670" t="inlineStr">
        <is>
          <t>1986</t>
        </is>
      </c>
      <c r="Q3670" t="inlineStr">
        <is>
          <t>eng</t>
        </is>
      </c>
      <c r="R3670" t="inlineStr">
        <is>
          <t>enk</t>
        </is>
      </c>
      <c r="S3670" t="inlineStr">
        <is>
          <t>History workshop series</t>
        </is>
      </c>
      <c r="T3670" t="inlineStr">
        <is>
          <t xml:space="preserve">PR </t>
        </is>
      </c>
      <c r="U3670" t="n">
        <v>13</v>
      </c>
      <c r="V3670" t="n">
        <v>13</v>
      </c>
      <c r="W3670" t="inlineStr">
        <is>
          <t>2005-10-19</t>
        </is>
      </c>
      <c r="X3670" t="inlineStr">
        <is>
          <t>2005-10-19</t>
        </is>
      </c>
      <c r="Y3670" t="inlineStr">
        <is>
          <t>1991-09-11</t>
        </is>
      </c>
      <c r="Z3670" t="inlineStr">
        <is>
          <t>1991-09-11</t>
        </is>
      </c>
      <c r="AA3670" t="n">
        <v>528</v>
      </c>
      <c r="AB3670" t="n">
        <v>366</v>
      </c>
      <c r="AC3670" t="n">
        <v>392</v>
      </c>
      <c r="AD3670" t="n">
        <v>3</v>
      </c>
      <c r="AE3670" t="n">
        <v>3</v>
      </c>
      <c r="AF3670" t="n">
        <v>11</v>
      </c>
      <c r="AG3670" t="n">
        <v>11</v>
      </c>
      <c r="AH3670" t="n">
        <v>4</v>
      </c>
      <c r="AI3670" t="n">
        <v>4</v>
      </c>
      <c r="AJ3670" t="n">
        <v>4</v>
      </c>
      <c r="AK3670" t="n">
        <v>4</v>
      </c>
      <c r="AL3670" t="n">
        <v>4</v>
      </c>
      <c r="AM3670" t="n">
        <v>4</v>
      </c>
      <c r="AN3670" t="n">
        <v>2</v>
      </c>
      <c r="AO3670" t="n">
        <v>2</v>
      </c>
      <c r="AP3670" t="n">
        <v>0</v>
      </c>
      <c r="AQ3670" t="n">
        <v>0</v>
      </c>
      <c r="AR3670" t="inlineStr">
        <is>
          <t>No</t>
        </is>
      </c>
      <c r="AS3670" t="inlineStr">
        <is>
          <t>Yes</t>
        </is>
      </c>
      <c r="AT3670">
        <f>HYPERLINK("http://catalog.hathitrust.org/Record/000818125","HathiTrust Record")</f>
        <v/>
      </c>
      <c r="AU3670">
        <f>HYPERLINK("https://creighton-primo.hosted.exlibrisgroup.com/primo-explore/search?tab=default_tab&amp;search_scope=EVERYTHING&amp;vid=01CRU&amp;lang=en_US&amp;offset=0&amp;query=any,contains,991000821629702656","Catalog Record")</f>
        <v/>
      </c>
      <c r="AV3670">
        <f>HYPERLINK("http://www.worldcat.org/oclc/13395688","WorldCat Record")</f>
        <v/>
      </c>
      <c r="AW3670" t="inlineStr">
        <is>
          <t>836628986:eng</t>
        </is>
      </c>
      <c r="AX3670" t="inlineStr">
        <is>
          <t>13395688</t>
        </is>
      </c>
      <c r="AY3670" t="inlineStr">
        <is>
          <t>991000821629702656</t>
        </is>
      </c>
      <c r="AZ3670" t="inlineStr">
        <is>
          <t>991000821629702656</t>
        </is>
      </c>
      <c r="BA3670" t="inlineStr">
        <is>
          <t>2261919980002656</t>
        </is>
      </c>
      <c r="BB3670" t="inlineStr">
        <is>
          <t>BOOK</t>
        </is>
      </c>
      <c r="BD3670" t="inlineStr">
        <is>
          <t>9780710209634</t>
        </is>
      </c>
      <c r="BE3670" t="inlineStr">
        <is>
          <t>32285000755982</t>
        </is>
      </c>
      <c r="BF3670" t="inlineStr">
        <is>
          <t>893708752</t>
        </is>
      </c>
    </row>
    <row r="3671">
      <c r="A3671" t="inlineStr">
        <is>
          <t>No</t>
        </is>
      </c>
      <c r="B3671" t="inlineStr">
        <is>
          <t>CURAL</t>
        </is>
      </c>
      <c r="C3671" t="inlineStr">
        <is>
          <t>SHELVES</t>
        </is>
      </c>
      <c r="D3671" t="inlineStr">
        <is>
          <t>PR830.M95 N53 1995</t>
        </is>
      </c>
      <c r="E3671" t="inlineStr">
        <is>
          <t>0                      PR 0830000M  95                 N  53          1995</t>
        </is>
      </c>
      <c r="F3671" t="inlineStr">
        <is>
          <t>Ariadne's lives / Nina daVinci Nichols.</t>
        </is>
      </c>
      <c r="H3671" t="inlineStr">
        <is>
          <t>No</t>
        </is>
      </c>
      <c r="I3671" t="inlineStr">
        <is>
          <t>1</t>
        </is>
      </c>
      <c r="J3671" t="inlineStr">
        <is>
          <t>No</t>
        </is>
      </c>
      <c r="K3671" t="inlineStr">
        <is>
          <t>No</t>
        </is>
      </c>
      <c r="L3671" t="inlineStr">
        <is>
          <t>0</t>
        </is>
      </c>
      <c r="M3671" t="inlineStr">
        <is>
          <t>Nichols, Nina daVinci, 1935-</t>
        </is>
      </c>
      <c r="N3671" t="inlineStr">
        <is>
          <t>Madison, N.J. : Fairleigh Dickinson University Press, c1995.</t>
        </is>
      </c>
      <c r="O3671" t="inlineStr">
        <is>
          <t>1995</t>
        </is>
      </c>
      <c r="Q3671" t="inlineStr">
        <is>
          <t>eng</t>
        </is>
      </c>
      <c r="R3671" t="inlineStr">
        <is>
          <t>nju</t>
        </is>
      </c>
      <c r="T3671" t="inlineStr">
        <is>
          <t xml:space="preserve">PR </t>
        </is>
      </c>
      <c r="U3671" t="n">
        <v>3</v>
      </c>
      <c r="V3671" t="n">
        <v>3</v>
      </c>
      <c r="W3671" t="inlineStr">
        <is>
          <t>1999-11-17</t>
        </is>
      </c>
      <c r="X3671" t="inlineStr">
        <is>
          <t>1999-11-17</t>
        </is>
      </c>
      <c r="Y3671" t="inlineStr">
        <is>
          <t>1995-11-20</t>
        </is>
      </c>
      <c r="Z3671" t="inlineStr">
        <is>
          <t>1995-11-20</t>
        </is>
      </c>
      <c r="AA3671" t="n">
        <v>268</v>
      </c>
      <c r="AB3671" t="n">
        <v>225</v>
      </c>
      <c r="AC3671" t="n">
        <v>227</v>
      </c>
      <c r="AD3671" t="n">
        <v>3</v>
      </c>
      <c r="AE3671" t="n">
        <v>3</v>
      </c>
      <c r="AF3671" t="n">
        <v>10</v>
      </c>
      <c r="AG3671" t="n">
        <v>10</v>
      </c>
      <c r="AH3671" t="n">
        <v>1</v>
      </c>
      <c r="AI3671" t="n">
        <v>1</v>
      </c>
      <c r="AJ3671" t="n">
        <v>4</v>
      </c>
      <c r="AK3671" t="n">
        <v>4</v>
      </c>
      <c r="AL3671" t="n">
        <v>6</v>
      </c>
      <c r="AM3671" t="n">
        <v>6</v>
      </c>
      <c r="AN3671" t="n">
        <v>2</v>
      </c>
      <c r="AO3671" t="n">
        <v>2</v>
      </c>
      <c r="AP3671" t="n">
        <v>0</v>
      </c>
      <c r="AQ3671" t="n">
        <v>0</v>
      </c>
      <c r="AR3671" t="inlineStr">
        <is>
          <t>No</t>
        </is>
      </c>
      <c r="AS3671" t="inlineStr">
        <is>
          <t>Yes</t>
        </is>
      </c>
      <c r="AT3671">
        <f>HYPERLINK("http://catalog.hathitrust.org/Record/002966453","HathiTrust Record")</f>
        <v/>
      </c>
      <c r="AU3671">
        <f>HYPERLINK("https://creighton-primo.hosted.exlibrisgroup.com/primo-explore/search?tab=default_tab&amp;search_scope=EVERYTHING&amp;vid=01CRU&amp;lang=en_US&amp;offset=0&amp;query=any,contains,991002389039702656","Catalog Record")</f>
        <v/>
      </c>
      <c r="AV3671">
        <f>HYPERLINK("http://www.worldcat.org/oclc/31045022","WorldCat Record")</f>
        <v/>
      </c>
      <c r="AW3671" t="inlineStr">
        <is>
          <t>33431600:eng</t>
        </is>
      </c>
      <c r="AX3671" t="inlineStr">
        <is>
          <t>31045022</t>
        </is>
      </c>
      <c r="AY3671" t="inlineStr">
        <is>
          <t>991002389039702656</t>
        </is>
      </c>
      <c r="AZ3671" t="inlineStr">
        <is>
          <t>991002389039702656</t>
        </is>
      </c>
      <c r="BA3671" t="inlineStr">
        <is>
          <t>2262034540002656</t>
        </is>
      </c>
      <c r="BB3671" t="inlineStr">
        <is>
          <t>BOOK</t>
        </is>
      </c>
      <c r="BD3671" t="inlineStr">
        <is>
          <t>9780838635827</t>
        </is>
      </c>
      <c r="BE3671" t="inlineStr">
        <is>
          <t>32285002105087</t>
        </is>
      </c>
      <c r="BF3671" t="inlineStr">
        <is>
          <t>893498064</t>
        </is>
      </c>
    </row>
    <row r="3672">
      <c r="A3672" t="inlineStr">
        <is>
          <t>No</t>
        </is>
      </c>
      <c r="B3672" t="inlineStr">
        <is>
          <t>CURAL</t>
        </is>
      </c>
      <c r="C3672" t="inlineStr">
        <is>
          <t>SHELVES</t>
        </is>
      </c>
      <c r="D3672" t="inlineStr">
        <is>
          <t>PR830.O2 W48</t>
        </is>
      </c>
      <c r="E3672" t="inlineStr">
        <is>
          <t>0                      PR 0830000O  2                  W  48</t>
        </is>
      </c>
      <c r="F3672" t="inlineStr">
        <is>
          <t>The uses of obscurity : the fiction of early Modernism / Allon White.</t>
        </is>
      </c>
      <c r="H3672" t="inlineStr">
        <is>
          <t>No</t>
        </is>
      </c>
      <c r="I3672" t="inlineStr">
        <is>
          <t>1</t>
        </is>
      </c>
      <c r="J3672" t="inlineStr">
        <is>
          <t>No</t>
        </is>
      </c>
      <c r="K3672" t="inlineStr">
        <is>
          <t>No</t>
        </is>
      </c>
      <c r="L3672" t="inlineStr">
        <is>
          <t>0</t>
        </is>
      </c>
      <c r="M3672" t="inlineStr">
        <is>
          <t>White, Allon.</t>
        </is>
      </c>
      <c r="N3672" t="inlineStr">
        <is>
          <t>London : Routledge &amp; K. Paul, 1981.</t>
        </is>
      </c>
      <c r="O3672" t="inlineStr">
        <is>
          <t>1981</t>
        </is>
      </c>
      <c r="Q3672" t="inlineStr">
        <is>
          <t>eng</t>
        </is>
      </c>
      <c r="R3672" t="inlineStr">
        <is>
          <t>enk</t>
        </is>
      </c>
      <c r="T3672" t="inlineStr">
        <is>
          <t xml:space="preserve">PR </t>
        </is>
      </c>
      <c r="U3672" t="n">
        <v>6</v>
      </c>
      <c r="V3672" t="n">
        <v>6</v>
      </c>
      <c r="W3672" t="inlineStr">
        <is>
          <t>2004-09-27</t>
        </is>
      </c>
      <c r="X3672" t="inlineStr">
        <is>
          <t>2004-09-27</t>
        </is>
      </c>
      <c r="Y3672" t="inlineStr">
        <is>
          <t>1991-09-11</t>
        </is>
      </c>
      <c r="Z3672" t="inlineStr">
        <is>
          <t>1991-09-11</t>
        </is>
      </c>
      <c r="AA3672" t="n">
        <v>421</v>
      </c>
      <c r="AB3672" t="n">
        <v>285</v>
      </c>
      <c r="AC3672" t="n">
        <v>292</v>
      </c>
      <c r="AD3672" t="n">
        <v>3</v>
      </c>
      <c r="AE3672" t="n">
        <v>3</v>
      </c>
      <c r="AF3672" t="n">
        <v>15</v>
      </c>
      <c r="AG3672" t="n">
        <v>15</v>
      </c>
      <c r="AH3672" t="n">
        <v>4</v>
      </c>
      <c r="AI3672" t="n">
        <v>4</v>
      </c>
      <c r="AJ3672" t="n">
        <v>5</v>
      </c>
      <c r="AK3672" t="n">
        <v>5</v>
      </c>
      <c r="AL3672" t="n">
        <v>9</v>
      </c>
      <c r="AM3672" t="n">
        <v>9</v>
      </c>
      <c r="AN3672" t="n">
        <v>2</v>
      </c>
      <c r="AO3672" t="n">
        <v>2</v>
      </c>
      <c r="AP3672" t="n">
        <v>0</v>
      </c>
      <c r="AQ3672" t="n">
        <v>0</v>
      </c>
      <c r="AR3672" t="inlineStr">
        <is>
          <t>No</t>
        </is>
      </c>
      <c r="AS3672" t="inlineStr">
        <is>
          <t>Yes</t>
        </is>
      </c>
      <c r="AT3672">
        <f>HYPERLINK("http://catalog.hathitrust.org/Record/000186610","HathiTrust Record")</f>
        <v/>
      </c>
      <c r="AU3672">
        <f>HYPERLINK("https://creighton-primo.hosted.exlibrisgroup.com/primo-explore/search?tab=default_tab&amp;search_scope=EVERYTHING&amp;vid=01CRU&amp;lang=en_US&amp;offset=0&amp;query=any,contains,991005170689702656","Catalog Record")</f>
        <v/>
      </c>
      <c r="AV3672">
        <f>HYPERLINK("http://www.worldcat.org/oclc/7863151","WorldCat Record")</f>
        <v/>
      </c>
      <c r="AW3672" t="inlineStr">
        <is>
          <t>285228979:eng</t>
        </is>
      </c>
      <c r="AX3672" t="inlineStr">
        <is>
          <t>7863151</t>
        </is>
      </c>
      <c r="AY3672" t="inlineStr">
        <is>
          <t>991005170689702656</t>
        </is>
      </c>
      <c r="AZ3672" t="inlineStr">
        <is>
          <t>991005170689702656</t>
        </is>
      </c>
      <c r="BA3672" t="inlineStr">
        <is>
          <t>2268765010002656</t>
        </is>
      </c>
      <c r="BB3672" t="inlineStr">
        <is>
          <t>BOOK</t>
        </is>
      </c>
      <c r="BD3672" t="inlineStr">
        <is>
          <t>9780710007513</t>
        </is>
      </c>
      <c r="BE3672" t="inlineStr">
        <is>
          <t>32285000756048</t>
        </is>
      </c>
      <c r="BF3672" t="inlineStr">
        <is>
          <t>893260661</t>
        </is>
      </c>
    </row>
    <row r="3673">
      <c r="A3673" t="inlineStr">
        <is>
          <t>No</t>
        </is>
      </c>
      <c r="B3673" t="inlineStr">
        <is>
          <t>CURAL</t>
        </is>
      </c>
      <c r="C3673" t="inlineStr">
        <is>
          <t>SHELVES</t>
        </is>
      </c>
      <c r="D3673" t="inlineStr">
        <is>
          <t>PR830.O64 C48 2001</t>
        </is>
      </c>
      <c r="E3673" t="inlineStr">
        <is>
          <t>0                      PR 0830000O  64                 C  48          2001</t>
        </is>
      </c>
      <c r="F3673" t="inlineStr">
        <is>
          <t>Reading fiction : opening the text / Peter Childs.</t>
        </is>
      </c>
      <c r="H3673" t="inlineStr">
        <is>
          <t>No</t>
        </is>
      </c>
      <c r="I3673" t="inlineStr">
        <is>
          <t>1</t>
        </is>
      </c>
      <c r="J3673" t="inlineStr">
        <is>
          <t>No</t>
        </is>
      </c>
      <c r="K3673" t="inlineStr">
        <is>
          <t>No</t>
        </is>
      </c>
      <c r="L3673" t="inlineStr">
        <is>
          <t>0</t>
        </is>
      </c>
      <c r="M3673" t="inlineStr">
        <is>
          <t>Childs, Peter, 1962-</t>
        </is>
      </c>
      <c r="N3673" t="inlineStr">
        <is>
          <t>Houndmills, Basingstoke, Hampshire ; New York : Palgrave, 2001.</t>
        </is>
      </c>
      <c r="O3673" t="inlineStr">
        <is>
          <t>2001</t>
        </is>
      </c>
      <c r="Q3673" t="inlineStr">
        <is>
          <t>eng</t>
        </is>
      </c>
      <c r="R3673" t="inlineStr">
        <is>
          <t>enk</t>
        </is>
      </c>
      <c r="T3673" t="inlineStr">
        <is>
          <t xml:space="preserve">PR </t>
        </is>
      </c>
      <c r="U3673" t="n">
        <v>1</v>
      </c>
      <c r="V3673" t="n">
        <v>1</v>
      </c>
      <c r="W3673" t="inlineStr">
        <is>
          <t>2003-02-20</t>
        </is>
      </c>
      <c r="X3673" t="inlineStr">
        <is>
          <t>2003-02-20</t>
        </is>
      </c>
      <c r="Y3673" t="inlineStr">
        <is>
          <t>2003-02-20</t>
        </is>
      </c>
      <c r="Z3673" t="inlineStr">
        <is>
          <t>2003-02-20</t>
        </is>
      </c>
      <c r="AA3673" t="n">
        <v>227</v>
      </c>
      <c r="AB3673" t="n">
        <v>145</v>
      </c>
      <c r="AC3673" t="n">
        <v>146</v>
      </c>
      <c r="AD3673" t="n">
        <v>2</v>
      </c>
      <c r="AE3673" t="n">
        <v>2</v>
      </c>
      <c r="AF3673" t="n">
        <v>7</v>
      </c>
      <c r="AG3673" t="n">
        <v>7</v>
      </c>
      <c r="AH3673" t="n">
        <v>1</v>
      </c>
      <c r="AI3673" t="n">
        <v>1</v>
      </c>
      <c r="AJ3673" t="n">
        <v>2</v>
      </c>
      <c r="AK3673" t="n">
        <v>2</v>
      </c>
      <c r="AL3673" t="n">
        <v>4</v>
      </c>
      <c r="AM3673" t="n">
        <v>4</v>
      </c>
      <c r="AN3673" t="n">
        <v>1</v>
      </c>
      <c r="AO3673" t="n">
        <v>1</v>
      </c>
      <c r="AP3673" t="n">
        <v>0</v>
      </c>
      <c r="AQ3673" t="n">
        <v>0</v>
      </c>
      <c r="AR3673" t="inlineStr">
        <is>
          <t>No</t>
        </is>
      </c>
      <c r="AS3673" t="inlineStr">
        <is>
          <t>No</t>
        </is>
      </c>
      <c r="AU3673">
        <f>HYPERLINK("https://creighton-primo.hosted.exlibrisgroup.com/primo-explore/search?tab=default_tab&amp;search_scope=EVERYTHING&amp;vid=01CRU&amp;lang=en_US&amp;offset=0&amp;query=any,contains,991003985099702656","Catalog Record")</f>
        <v/>
      </c>
      <c r="AV3673">
        <f>HYPERLINK("http://www.worldcat.org/oclc/45418949","WorldCat Record")</f>
        <v/>
      </c>
      <c r="AW3673" t="inlineStr">
        <is>
          <t>145175199:eng</t>
        </is>
      </c>
      <c r="AX3673" t="inlineStr">
        <is>
          <t>45418949</t>
        </is>
      </c>
      <c r="AY3673" t="inlineStr">
        <is>
          <t>991003985099702656</t>
        </is>
      </c>
      <c r="AZ3673" t="inlineStr">
        <is>
          <t>991003985099702656</t>
        </is>
      </c>
      <c r="BA3673" t="inlineStr">
        <is>
          <t>2268423420002656</t>
        </is>
      </c>
      <c r="BB3673" t="inlineStr">
        <is>
          <t>BOOK</t>
        </is>
      </c>
      <c r="BD3673" t="inlineStr">
        <is>
          <t>9780333801338</t>
        </is>
      </c>
      <c r="BE3673" t="inlineStr">
        <is>
          <t>32285004680087</t>
        </is>
      </c>
      <c r="BF3673" t="inlineStr">
        <is>
          <t>893888187</t>
        </is>
      </c>
    </row>
    <row r="3674">
      <c r="A3674" t="inlineStr">
        <is>
          <t>No</t>
        </is>
      </c>
      <c r="B3674" t="inlineStr">
        <is>
          <t>CURAL</t>
        </is>
      </c>
      <c r="C3674" t="inlineStr">
        <is>
          <t>SHELVES</t>
        </is>
      </c>
      <c r="D3674" t="inlineStr">
        <is>
          <t>PR830.P28 G858</t>
        </is>
      </c>
      <c r="E3674" t="inlineStr">
        <is>
          <t>0                      PR 0830000P  28                 G  858</t>
        </is>
      </c>
      <c r="F3674" t="inlineStr">
        <is>
          <t>Guardians and angels : parents and children in nineteenth-century literature / by David Grylls. --</t>
        </is>
      </c>
      <c r="H3674" t="inlineStr">
        <is>
          <t>No</t>
        </is>
      </c>
      <c r="I3674" t="inlineStr">
        <is>
          <t>1</t>
        </is>
      </c>
      <c r="J3674" t="inlineStr">
        <is>
          <t>No</t>
        </is>
      </c>
      <c r="K3674" t="inlineStr">
        <is>
          <t>No</t>
        </is>
      </c>
      <c r="L3674" t="inlineStr">
        <is>
          <t>0</t>
        </is>
      </c>
      <c r="M3674" t="inlineStr">
        <is>
          <t>Grylls, David.</t>
        </is>
      </c>
      <c r="N3674" t="inlineStr">
        <is>
          <t>London ; Boston : Faber and Faber, 1978.</t>
        </is>
      </c>
      <c r="O3674" t="inlineStr">
        <is>
          <t>1978</t>
        </is>
      </c>
      <c r="Q3674" t="inlineStr">
        <is>
          <t>eng</t>
        </is>
      </c>
      <c r="R3674" t="inlineStr">
        <is>
          <t>enk</t>
        </is>
      </c>
      <c r="T3674" t="inlineStr">
        <is>
          <t xml:space="preserve">PR </t>
        </is>
      </c>
      <c r="U3674" t="n">
        <v>4</v>
      </c>
      <c r="V3674" t="n">
        <v>4</v>
      </c>
      <c r="W3674" t="inlineStr">
        <is>
          <t>1997-11-11</t>
        </is>
      </c>
      <c r="X3674" t="inlineStr">
        <is>
          <t>1997-11-11</t>
        </is>
      </c>
      <c r="Y3674" t="inlineStr">
        <is>
          <t>1991-09-11</t>
        </is>
      </c>
      <c r="Z3674" t="inlineStr">
        <is>
          <t>1991-09-11</t>
        </is>
      </c>
      <c r="AA3674" t="n">
        <v>443</v>
      </c>
      <c r="AB3674" t="n">
        <v>267</v>
      </c>
      <c r="AC3674" t="n">
        <v>272</v>
      </c>
      <c r="AD3674" t="n">
        <v>3</v>
      </c>
      <c r="AE3674" t="n">
        <v>3</v>
      </c>
      <c r="AF3674" t="n">
        <v>7</v>
      </c>
      <c r="AG3674" t="n">
        <v>7</v>
      </c>
      <c r="AH3674" t="n">
        <v>1</v>
      </c>
      <c r="AI3674" t="n">
        <v>1</v>
      </c>
      <c r="AJ3674" t="n">
        <v>3</v>
      </c>
      <c r="AK3674" t="n">
        <v>3</v>
      </c>
      <c r="AL3674" t="n">
        <v>4</v>
      </c>
      <c r="AM3674" t="n">
        <v>4</v>
      </c>
      <c r="AN3674" t="n">
        <v>2</v>
      </c>
      <c r="AO3674" t="n">
        <v>2</v>
      </c>
      <c r="AP3674" t="n">
        <v>0</v>
      </c>
      <c r="AQ3674" t="n">
        <v>0</v>
      </c>
      <c r="AR3674" t="inlineStr">
        <is>
          <t>No</t>
        </is>
      </c>
      <c r="AS3674" t="inlineStr">
        <is>
          <t>No</t>
        </is>
      </c>
      <c r="AU3674">
        <f>HYPERLINK("https://creighton-primo.hosted.exlibrisgroup.com/primo-explore/search?tab=default_tab&amp;search_scope=EVERYTHING&amp;vid=01CRU&amp;lang=en_US&amp;offset=0&amp;query=any,contains,991004559899702656","Catalog Record")</f>
        <v/>
      </c>
      <c r="AV3674">
        <f>HYPERLINK("http://www.worldcat.org/oclc/3992134","WorldCat Record")</f>
        <v/>
      </c>
      <c r="AW3674" t="inlineStr">
        <is>
          <t>889814932:eng</t>
        </is>
      </c>
      <c r="AX3674" t="inlineStr">
        <is>
          <t>3992134</t>
        </is>
      </c>
      <c r="AY3674" t="inlineStr">
        <is>
          <t>991004559899702656</t>
        </is>
      </c>
      <c r="AZ3674" t="inlineStr">
        <is>
          <t>991004559899702656</t>
        </is>
      </c>
      <c r="BA3674" t="inlineStr">
        <is>
          <t>2265419210002656</t>
        </is>
      </c>
      <c r="BB3674" t="inlineStr">
        <is>
          <t>BOOK</t>
        </is>
      </c>
      <c r="BE3674" t="inlineStr">
        <is>
          <t>32285000756055</t>
        </is>
      </c>
      <c r="BF3674" t="inlineStr">
        <is>
          <t>893788857</t>
        </is>
      </c>
    </row>
    <row r="3675">
      <c r="A3675" t="inlineStr">
        <is>
          <t>No</t>
        </is>
      </c>
      <c r="B3675" t="inlineStr">
        <is>
          <t>CURAL</t>
        </is>
      </c>
      <c r="C3675" t="inlineStr">
        <is>
          <t>SHELVES</t>
        </is>
      </c>
      <c r="D3675" t="inlineStr">
        <is>
          <t>PR830.P3 S7</t>
        </is>
      </c>
      <c r="E3675" t="inlineStr">
        <is>
          <t>0                      PR 0830000P  3                  S  7</t>
        </is>
      </c>
      <c r="F3675" t="inlineStr">
        <is>
          <t>The pastoral novel : studies in George Eliot, Thomas Hardy, and D.H. Lawrence / Michael Squires.</t>
        </is>
      </c>
      <c r="H3675" t="inlineStr">
        <is>
          <t>No</t>
        </is>
      </c>
      <c r="I3675" t="inlineStr">
        <is>
          <t>1</t>
        </is>
      </c>
      <c r="J3675" t="inlineStr">
        <is>
          <t>No</t>
        </is>
      </c>
      <c r="K3675" t="inlineStr">
        <is>
          <t>No</t>
        </is>
      </c>
      <c r="L3675" t="inlineStr">
        <is>
          <t>0</t>
        </is>
      </c>
      <c r="M3675" t="inlineStr">
        <is>
          <t>Squires, Michael.</t>
        </is>
      </c>
      <c r="N3675" t="inlineStr">
        <is>
          <t>Charlottesville : University Press of Virginia, 1974, 1975 printing.</t>
        </is>
      </c>
      <c r="O3675" t="inlineStr">
        <is>
          <t>1974</t>
        </is>
      </c>
      <c r="Q3675" t="inlineStr">
        <is>
          <t>eng</t>
        </is>
      </c>
      <c r="R3675" t="inlineStr">
        <is>
          <t>vau</t>
        </is>
      </c>
      <c r="T3675" t="inlineStr">
        <is>
          <t xml:space="preserve">PR </t>
        </is>
      </c>
      <c r="U3675" t="n">
        <v>2</v>
      </c>
      <c r="V3675" t="n">
        <v>2</v>
      </c>
      <c r="W3675" t="inlineStr">
        <is>
          <t>1993-07-06</t>
        </is>
      </c>
      <c r="X3675" t="inlineStr">
        <is>
          <t>1993-07-06</t>
        </is>
      </c>
      <c r="Y3675" t="inlineStr">
        <is>
          <t>1991-09-11</t>
        </is>
      </c>
      <c r="Z3675" t="inlineStr">
        <is>
          <t>1991-09-11</t>
        </is>
      </c>
      <c r="AA3675" t="n">
        <v>927</v>
      </c>
      <c r="AB3675" t="n">
        <v>824</v>
      </c>
      <c r="AC3675" t="n">
        <v>829</v>
      </c>
      <c r="AD3675" t="n">
        <v>7</v>
      </c>
      <c r="AE3675" t="n">
        <v>7</v>
      </c>
      <c r="AF3675" t="n">
        <v>39</v>
      </c>
      <c r="AG3675" t="n">
        <v>39</v>
      </c>
      <c r="AH3675" t="n">
        <v>13</v>
      </c>
      <c r="AI3675" t="n">
        <v>13</v>
      </c>
      <c r="AJ3675" t="n">
        <v>11</v>
      </c>
      <c r="AK3675" t="n">
        <v>11</v>
      </c>
      <c r="AL3675" t="n">
        <v>18</v>
      </c>
      <c r="AM3675" t="n">
        <v>18</v>
      </c>
      <c r="AN3675" t="n">
        <v>6</v>
      </c>
      <c r="AO3675" t="n">
        <v>6</v>
      </c>
      <c r="AP3675" t="n">
        <v>0</v>
      </c>
      <c r="AQ3675" t="n">
        <v>0</v>
      </c>
      <c r="AR3675" t="inlineStr">
        <is>
          <t>No</t>
        </is>
      </c>
      <c r="AS3675" t="inlineStr">
        <is>
          <t>Yes</t>
        </is>
      </c>
      <c r="AT3675">
        <f>HYPERLINK("http://catalog.hathitrust.org/Record/001375047","HathiTrust Record")</f>
        <v/>
      </c>
      <c r="AU3675">
        <f>HYPERLINK("https://creighton-primo.hosted.exlibrisgroup.com/primo-explore/search?tab=default_tab&amp;search_scope=EVERYTHING&amp;vid=01CRU&amp;lang=en_US&amp;offset=0&amp;query=any,contains,991003604319702656","Catalog Record")</f>
        <v/>
      </c>
      <c r="AV3675">
        <f>HYPERLINK("http://www.worldcat.org/oclc/1183708","WorldCat Record")</f>
        <v/>
      </c>
      <c r="AW3675" t="inlineStr">
        <is>
          <t>5196317387:eng</t>
        </is>
      </c>
      <c r="AX3675" t="inlineStr">
        <is>
          <t>1183708</t>
        </is>
      </c>
      <c r="AY3675" t="inlineStr">
        <is>
          <t>991003604319702656</t>
        </is>
      </c>
      <c r="AZ3675" t="inlineStr">
        <is>
          <t>991003604319702656</t>
        </is>
      </c>
      <c r="BA3675" t="inlineStr">
        <is>
          <t>2267914680002656</t>
        </is>
      </c>
      <c r="BB3675" t="inlineStr">
        <is>
          <t>BOOK</t>
        </is>
      </c>
      <c r="BD3675" t="inlineStr">
        <is>
          <t>9780813905303</t>
        </is>
      </c>
      <c r="BE3675" t="inlineStr">
        <is>
          <t>32285000756063</t>
        </is>
      </c>
      <c r="BF3675" t="inlineStr">
        <is>
          <t>893262826</t>
        </is>
      </c>
    </row>
    <row r="3676">
      <c r="A3676" t="inlineStr">
        <is>
          <t>No</t>
        </is>
      </c>
      <c r="B3676" t="inlineStr">
        <is>
          <t>CURAL</t>
        </is>
      </c>
      <c r="C3676" t="inlineStr">
        <is>
          <t>SHELVES</t>
        </is>
      </c>
      <c r="D3676" t="inlineStr">
        <is>
          <t>PR830.P57 S54 1986</t>
        </is>
      </c>
      <c r="E3676" t="inlineStr">
        <is>
          <t>0                      PR 0830000P  57                 S  54          1986</t>
        </is>
      </c>
      <c r="F3676" t="inlineStr">
        <is>
          <t>The politics of reflexivity : narrative and the constitutive poetics of culture / Robert Siegle.</t>
        </is>
      </c>
      <c r="H3676" t="inlineStr">
        <is>
          <t>No</t>
        </is>
      </c>
      <c r="I3676" t="inlineStr">
        <is>
          <t>1</t>
        </is>
      </c>
      <c r="J3676" t="inlineStr">
        <is>
          <t>No</t>
        </is>
      </c>
      <c r="K3676" t="inlineStr">
        <is>
          <t>No</t>
        </is>
      </c>
      <c r="L3676" t="inlineStr">
        <is>
          <t>0</t>
        </is>
      </c>
      <c r="M3676" t="inlineStr">
        <is>
          <t>Siegle, Robert.</t>
        </is>
      </c>
      <c r="N3676" t="inlineStr">
        <is>
          <t>Baltimore : Johns Hopkins University Press, c1986.</t>
        </is>
      </c>
      <c r="O3676" t="inlineStr">
        <is>
          <t>1986</t>
        </is>
      </c>
      <c r="Q3676" t="inlineStr">
        <is>
          <t>eng</t>
        </is>
      </c>
      <c r="R3676" t="inlineStr">
        <is>
          <t>mdu</t>
        </is>
      </c>
      <c r="T3676" t="inlineStr">
        <is>
          <t xml:space="preserve">PR </t>
        </is>
      </c>
      <c r="U3676" t="n">
        <v>1</v>
      </c>
      <c r="V3676" t="n">
        <v>1</v>
      </c>
      <c r="W3676" t="inlineStr">
        <is>
          <t>2004-04-12</t>
        </is>
      </c>
      <c r="X3676" t="inlineStr">
        <is>
          <t>2004-04-12</t>
        </is>
      </c>
      <c r="Y3676" t="inlineStr">
        <is>
          <t>2004-04-12</t>
        </is>
      </c>
      <c r="Z3676" t="inlineStr">
        <is>
          <t>2004-04-12</t>
        </is>
      </c>
      <c r="AA3676" t="n">
        <v>403</v>
      </c>
      <c r="AB3676" t="n">
        <v>336</v>
      </c>
      <c r="AC3676" t="n">
        <v>338</v>
      </c>
      <c r="AD3676" t="n">
        <v>3</v>
      </c>
      <c r="AE3676" t="n">
        <v>3</v>
      </c>
      <c r="AF3676" t="n">
        <v>21</v>
      </c>
      <c r="AG3676" t="n">
        <v>21</v>
      </c>
      <c r="AH3676" t="n">
        <v>9</v>
      </c>
      <c r="AI3676" t="n">
        <v>9</v>
      </c>
      <c r="AJ3676" t="n">
        <v>4</v>
      </c>
      <c r="AK3676" t="n">
        <v>4</v>
      </c>
      <c r="AL3676" t="n">
        <v>12</v>
      </c>
      <c r="AM3676" t="n">
        <v>12</v>
      </c>
      <c r="AN3676" t="n">
        <v>2</v>
      </c>
      <c r="AO3676" t="n">
        <v>2</v>
      </c>
      <c r="AP3676" t="n">
        <v>0</v>
      </c>
      <c r="AQ3676" t="n">
        <v>0</v>
      </c>
      <c r="AR3676" t="inlineStr">
        <is>
          <t>No</t>
        </is>
      </c>
      <c r="AS3676" t="inlineStr">
        <is>
          <t>Yes</t>
        </is>
      </c>
      <c r="AT3676">
        <f>HYPERLINK("http://catalog.hathitrust.org/Record/000402207","HathiTrust Record")</f>
        <v/>
      </c>
      <c r="AU3676">
        <f>HYPERLINK("https://creighton-primo.hosted.exlibrisgroup.com/primo-explore/search?tab=default_tab&amp;search_scope=EVERYTHING&amp;vid=01CRU&amp;lang=en_US&amp;offset=0&amp;query=any,contains,991004280589702656","Catalog Record")</f>
        <v/>
      </c>
      <c r="AV3676">
        <f>HYPERLINK("http://www.worldcat.org/oclc/13159263","WorldCat Record")</f>
        <v/>
      </c>
      <c r="AW3676" t="inlineStr">
        <is>
          <t>836620568:eng</t>
        </is>
      </c>
      <c r="AX3676" t="inlineStr">
        <is>
          <t>13159263</t>
        </is>
      </c>
      <c r="AY3676" t="inlineStr">
        <is>
          <t>991004280589702656</t>
        </is>
      </c>
      <c r="AZ3676" t="inlineStr">
        <is>
          <t>991004280589702656</t>
        </is>
      </c>
      <c r="BA3676" t="inlineStr">
        <is>
          <t>2267882810002656</t>
        </is>
      </c>
      <c r="BB3676" t="inlineStr">
        <is>
          <t>BOOK</t>
        </is>
      </c>
      <c r="BD3676" t="inlineStr">
        <is>
          <t>9780801833342</t>
        </is>
      </c>
      <c r="BE3676" t="inlineStr">
        <is>
          <t>32285004899158</t>
        </is>
      </c>
      <c r="BF3676" t="inlineStr">
        <is>
          <t>893894789</t>
        </is>
      </c>
    </row>
    <row r="3677">
      <c r="A3677" t="inlineStr">
        <is>
          <t>No</t>
        </is>
      </c>
      <c r="B3677" t="inlineStr">
        <is>
          <t>CURAL</t>
        </is>
      </c>
      <c r="C3677" t="inlineStr">
        <is>
          <t>SHELVES</t>
        </is>
      </c>
      <c r="D3677" t="inlineStr">
        <is>
          <t>PR830.P74 C6 1978</t>
        </is>
      </c>
      <c r="E3677" t="inlineStr">
        <is>
          <t>0                      PR 0830000P  74                 C  6           1978</t>
        </is>
      </c>
      <c r="F3677" t="inlineStr">
        <is>
          <t>Irony in the mind's life : essays on novels by James Agee, Elizabeth Bowen, and George Eliot / Robert Coles.</t>
        </is>
      </c>
      <c r="H3677" t="inlineStr">
        <is>
          <t>No</t>
        </is>
      </c>
      <c r="I3677" t="inlineStr">
        <is>
          <t>1</t>
        </is>
      </c>
      <c r="J3677" t="inlineStr">
        <is>
          <t>No</t>
        </is>
      </c>
      <c r="K3677" t="inlineStr">
        <is>
          <t>No</t>
        </is>
      </c>
      <c r="L3677" t="inlineStr">
        <is>
          <t>0</t>
        </is>
      </c>
      <c r="M3677" t="inlineStr">
        <is>
          <t>Coles, Robert.</t>
        </is>
      </c>
      <c r="N3677" t="inlineStr">
        <is>
          <t>New York : New Directions Books 1978, c1974.</t>
        </is>
      </c>
      <c r="O3677" t="inlineStr">
        <is>
          <t>1978</t>
        </is>
      </c>
      <c r="Q3677" t="inlineStr">
        <is>
          <t>eng</t>
        </is>
      </c>
      <c r="R3677" t="inlineStr">
        <is>
          <t>nyu</t>
        </is>
      </c>
      <c r="T3677" t="inlineStr">
        <is>
          <t xml:space="preserve">PR </t>
        </is>
      </c>
      <c r="U3677" t="n">
        <v>1</v>
      </c>
      <c r="V3677" t="n">
        <v>1</v>
      </c>
      <c r="W3677" t="inlineStr">
        <is>
          <t>2003-04-23</t>
        </is>
      </c>
      <c r="X3677" t="inlineStr">
        <is>
          <t>2003-04-23</t>
        </is>
      </c>
      <c r="Y3677" t="inlineStr">
        <is>
          <t>2003-04-23</t>
        </is>
      </c>
      <c r="Z3677" t="inlineStr">
        <is>
          <t>2003-04-23</t>
        </is>
      </c>
      <c r="AA3677" t="n">
        <v>204</v>
      </c>
      <c r="AB3677" t="n">
        <v>185</v>
      </c>
      <c r="AC3677" t="n">
        <v>234</v>
      </c>
      <c r="AD3677" t="n">
        <v>2</v>
      </c>
      <c r="AE3677" t="n">
        <v>2</v>
      </c>
      <c r="AF3677" t="n">
        <v>7</v>
      </c>
      <c r="AG3677" t="n">
        <v>8</v>
      </c>
      <c r="AH3677" t="n">
        <v>2</v>
      </c>
      <c r="AI3677" t="n">
        <v>3</v>
      </c>
      <c r="AJ3677" t="n">
        <v>2</v>
      </c>
      <c r="AK3677" t="n">
        <v>2</v>
      </c>
      <c r="AL3677" t="n">
        <v>2</v>
      </c>
      <c r="AM3677" t="n">
        <v>2</v>
      </c>
      <c r="AN3677" t="n">
        <v>1</v>
      </c>
      <c r="AO3677" t="n">
        <v>1</v>
      </c>
      <c r="AP3677" t="n">
        <v>0</v>
      </c>
      <c r="AQ3677" t="n">
        <v>0</v>
      </c>
      <c r="AR3677" t="inlineStr">
        <is>
          <t>No</t>
        </is>
      </c>
      <c r="AS3677" t="inlineStr">
        <is>
          <t>Yes</t>
        </is>
      </c>
      <c r="AT3677">
        <f>HYPERLINK("http://catalog.hathitrust.org/Record/007115655","HathiTrust Record")</f>
        <v/>
      </c>
      <c r="AU3677">
        <f>HYPERLINK("https://creighton-primo.hosted.exlibrisgroup.com/primo-explore/search?tab=default_tab&amp;search_scope=EVERYTHING&amp;vid=01CRU&amp;lang=en_US&amp;offset=0&amp;query=any,contains,991004041309702656","Catalog Record")</f>
        <v/>
      </c>
      <c r="AV3677">
        <f>HYPERLINK("http://www.worldcat.org/oclc/3844195","WorldCat Record")</f>
        <v/>
      </c>
      <c r="AW3677" t="inlineStr">
        <is>
          <t>470662:eng</t>
        </is>
      </c>
      <c r="AX3677" t="inlineStr">
        <is>
          <t>3844195</t>
        </is>
      </c>
      <c r="AY3677" t="inlineStr">
        <is>
          <t>991004041309702656</t>
        </is>
      </c>
      <c r="AZ3677" t="inlineStr">
        <is>
          <t>991004041309702656</t>
        </is>
      </c>
      <c r="BA3677" t="inlineStr">
        <is>
          <t>2264796400002656</t>
        </is>
      </c>
      <c r="BB3677" t="inlineStr">
        <is>
          <t>BOOK</t>
        </is>
      </c>
      <c r="BD3677" t="inlineStr">
        <is>
          <t>9780811206891</t>
        </is>
      </c>
      <c r="BE3677" t="inlineStr">
        <is>
          <t>32285004743109</t>
        </is>
      </c>
      <c r="BF3677" t="inlineStr">
        <is>
          <t>893506300</t>
        </is>
      </c>
    </row>
    <row r="3678">
      <c r="A3678" t="inlineStr">
        <is>
          <t>No</t>
        </is>
      </c>
      <c r="B3678" t="inlineStr">
        <is>
          <t>CURAL</t>
        </is>
      </c>
      <c r="C3678" t="inlineStr">
        <is>
          <t>SHELVES</t>
        </is>
      </c>
      <c r="D3678" t="inlineStr">
        <is>
          <t>PR830.S35 I8</t>
        </is>
      </c>
      <c r="E3678" t="inlineStr">
        <is>
          <t>0                      PR 0830000S  35                 I  8</t>
        </is>
      </c>
      <c r="F3678" t="inlineStr">
        <is>
          <t>Darwin to double helix : the biological theme in science fiction / Leonard Isaacs.</t>
        </is>
      </c>
      <c r="H3678" t="inlineStr">
        <is>
          <t>No</t>
        </is>
      </c>
      <c r="I3678" t="inlineStr">
        <is>
          <t>1</t>
        </is>
      </c>
      <c r="J3678" t="inlineStr">
        <is>
          <t>No</t>
        </is>
      </c>
      <c r="K3678" t="inlineStr">
        <is>
          <t>No</t>
        </is>
      </c>
      <c r="L3678" t="inlineStr">
        <is>
          <t>0</t>
        </is>
      </c>
      <c r="M3678" t="inlineStr">
        <is>
          <t>Isaacs, Leonard, 1939-</t>
        </is>
      </c>
      <c r="N3678" t="inlineStr">
        <is>
          <t>London ; Boston : Butterworths, 1977.</t>
        </is>
      </c>
      <c r="O3678" t="inlineStr">
        <is>
          <t>1977</t>
        </is>
      </c>
      <c r="Q3678" t="inlineStr">
        <is>
          <t>eng</t>
        </is>
      </c>
      <c r="R3678" t="inlineStr">
        <is>
          <t>enk</t>
        </is>
      </c>
      <c r="S3678" t="inlineStr">
        <is>
          <t>Science in a social context</t>
        </is>
      </c>
      <c r="T3678" t="inlineStr">
        <is>
          <t xml:space="preserve">PR </t>
        </is>
      </c>
      <c r="U3678" t="n">
        <v>3</v>
      </c>
      <c r="V3678" t="n">
        <v>3</v>
      </c>
      <c r="W3678" t="inlineStr">
        <is>
          <t>1994-01-19</t>
        </is>
      </c>
      <c r="X3678" t="inlineStr">
        <is>
          <t>1994-01-19</t>
        </is>
      </c>
      <c r="Y3678" t="inlineStr">
        <is>
          <t>1991-09-11</t>
        </is>
      </c>
      <c r="Z3678" t="inlineStr">
        <is>
          <t>1991-09-11</t>
        </is>
      </c>
      <c r="AA3678" t="n">
        <v>387</v>
      </c>
      <c r="AB3678" t="n">
        <v>269</v>
      </c>
      <c r="AC3678" t="n">
        <v>271</v>
      </c>
      <c r="AD3678" t="n">
        <v>3</v>
      </c>
      <c r="AE3678" t="n">
        <v>3</v>
      </c>
      <c r="AF3678" t="n">
        <v>10</v>
      </c>
      <c r="AG3678" t="n">
        <v>10</v>
      </c>
      <c r="AH3678" t="n">
        <v>5</v>
      </c>
      <c r="AI3678" t="n">
        <v>5</v>
      </c>
      <c r="AJ3678" t="n">
        <v>1</v>
      </c>
      <c r="AK3678" t="n">
        <v>1</v>
      </c>
      <c r="AL3678" t="n">
        <v>2</v>
      </c>
      <c r="AM3678" t="n">
        <v>2</v>
      </c>
      <c r="AN3678" t="n">
        <v>2</v>
      </c>
      <c r="AO3678" t="n">
        <v>2</v>
      </c>
      <c r="AP3678" t="n">
        <v>0</v>
      </c>
      <c r="AQ3678" t="n">
        <v>0</v>
      </c>
      <c r="AR3678" t="inlineStr">
        <is>
          <t>No</t>
        </is>
      </c>
      <c r="AS3678" t="inlineStr">
        <is>
          <t>Yes</t>
        </is>
      </c>
      <c r="AT3678">
        <f>HYPERLINK("http://catalog.hathitrust.org/Record/000738020","HathiTrust Record")</f>
        <v/>
      </c>
      <c r="AU3678">
        <f>HYPERLINK("https://creighton-primo.hosted.exlibrisgroup.com/primo-explore/search?tab=default_tab&amp;search_scope=EVERYTHING&amp;vid=01CRU&amp;lang=en_US&amp;offset=0&amp;query=any,contains,991004191399702656","Catalog Record")</f>
        <v/>
      </c>
      <c r="AV3678">
        <f>HYPERLINK("http://www.worldcat.org/oclc/2633148","WorldCat Record")</f>
        <v/>
      </c>
      <c r="AW3678" t="inlineStr">
        <is>
          <t>283650191:eng</t>
        </is>
      </c>
      <c r="AX3678" t="inlineStr">
        <is>
          <t>2633148</t>
        </is>
      </c>
      <c r="AY3678" t="inlineStr">
        <is>
          <t>991004191399702656</t>
        </is>
      </c>
      <c r="AZ3678" t="inlineStr">
        <is>
          <t>991004191399702656</t>
        </is>
      </c>
      <c r="BA3678" t="inlineStr">
        <is>
          <t>2269812100002656</t>
        </is>
      </c>
      <c r="BB3678" t="inlineStr">
        <is>
          <t>BOOK</t>
        </is>
      </c>
      <c r="BD3678" t="inlineStr">
        <is>
          <t>9780408713023</t>
        </is>
      </c>
      <c r="BE3678" t="inlineStr">
        <is>
          <t>32285000756113</t>
        </is>
      </c>
      <c r="BF3678" t="inlineStr">
        <is>
          <t>893693650</t>
        </is>
      </c>
    </row>
    <row r="3679">
      <c r="A3679" t="inlineStr">
        <is>
          <t>No</t>
        </is>
      </c>
      <c r="B3679" t="inlineStr">
        <is>
          <t>CURAL</t>
        </is>
      </c>
      <c r="C3679" t="inlineStr">
        <is>
          <t>SHELVES</t>
        </is>
      </c>
      <c r="D3679" t="inlineStr">
        <is>
          <t>PR830.S48 T75 1989</t>
        </is>
      </c>
      <c r="E3679" t="inlineStr">
        <is>
          <t>0                      PR 0830000S  48                 T  75          1989</t>
        </is>
      </c>
      <c r="F3679" t="inlineStr">
        <is>
          <t>Living space in fact and fiction / Philippa Tristram.</t>
        </is>
      </c>
      <c r="H3679" t="inlineStr">
        <is>
          <t>No</t>
        </is>
      </c>
      <c r="I3679" t="inlineStr">
        <is>
          <t>1</t>
        </is>
      </c>
      <c r="J3679" t="inlineStr">
        <is>
          <t>No</t>
        </is>
      </c>
      <c r="K3679" t="inlineStr">
        <is>
          <t>No</t>
        </is>
      </c>
      <c r="L3679" t="inlineStr">
        <is>
          <t>0</t>
        </is>
      </c>
      <c r="M3679" t="inlineStr">
        <is>
          <t>Tristram, Philippa.</t>
        </is>
      </c>
      <c r="N3679" t="inlineStr">
        <is>
          <t>London ; New York : Routledge, 1989.</t>
        </is>
      </c>
      <c r="O3679" t="inlineStr">
        <is>
          <t>1989</t>
        </is>
      </c>
      <c r="Q3679" t="inlineStr">
        <is>
          <t>eng</t>
        </is>
      </c>
      <c r="R3679" t="inlineStr">
        <is>
          <t>enk</t>
        </is>
      </c>
      <c r="T3679" t="inlineStr">
        <is>
          <t xml:space="preserve">PR </t>
        </is>
      </c>
      <c r="U3679" t="n">
        <v>3</v>
      </c>
      <c r="V3679" t="n">
        <v>3</v>
      </c>
      <c r="W3679" t="inlineStr">
        <is>
          <t>2005-03-22</t>
        </is>
      </c>
      <c r="X3679" t="inlineStr">
        <is>
          <t>2005-03-22</t>
        </is>
      </c>
      <c r="Y3679" t="inlineStr">
        <is>
          <t>1990-01-14</t>
        </is>
      </c>
      <c r="Z3679" t="inlineStr">
        <is>
          <t>1990-01-14</t>
        </is>
      </c>
      <c r="AA3679" t="n">
        <v>266</v>
      </c>
      <c r="AB3679" t="n">
        <v>165</v>
      </c>
      <c r="AC3679" t="n">
        <v>166</v>
      </c>
      <c r="AD3679" t="n">
        <v>1</v>
      </c>
      <c r="AE3679" t="n">
        <v>1</v>
      </c>
      <c r="AF3679" t="n">
        <v>6</v>
      </c>
      <c r="AG3679" t="n">
        <v>6</v>
      </c>
      <c r="AH3679" t="n">
        <v>2</v>
      </c>
      <c r="AI3679" t="n">
        <v>2</v>
      </c>
      <c r="AJ3679" t="n">
        <v>2</v>
      </c>
      <c r="AK3679" t="n">
        <v>2</v>
      </c>
      <c r="AL3679" t="n">
        <v>4</v>
      </c>
      <c r="AM3679" t="n">
        <v>4</v>
      </c>
      <c r="AN3679" t="n">
        <v>0</v>
      </c>
      <c r="AO3679" t="n">
        <v>0</v>
      </c>
      <c r="AP3679" t="n">
        <v>0</v>
      </c>
      <c r="AQ3679" t="n">
        <v>0</v>
      </c>
      <c r="AR3679" t="inlineStr">
        <is>
          <t>No</t>
        </is>
      </c>
      <c r="AS3679" t="inlineStr">
        <is>
          <t>No</t>
        </is>
      </c>
      <c r="AU3679">
        <f>HYPERLINK("https://creighton-primo.hosted.exlibrisgroup.com/primo-explore/search?tab=default_tab&amp;search_scope=EVERYTHING&amp;vid=01CRU&amp;lang=en_US&amp;offset=0&amp;query=any,contains,991001294919702656","Catalog Record")</f>
        <v/>
      </c>
      <c r="AV3679">
        <f>HYPERLINK("http://www.worldcat.org/oclc/18019746","WorldCat Record")</f>
        <v/>
      </c>
      <c r="AW3679" t="inlineStr">
        <is>
          <t>16635023:eng</t>
        </is>
      </c>
      <c r="AX3679" t="inlineStr">
        <is>
          <t>18019746</t>
        </is>
      </c>
      <c r="AY3679" t="inlineStr">
        <is>
          <t>991001294919702656</t>
        </is>
      </c>
      <c r="AZ3679" t="inlineStr">
        <is>
          <t>991001294919702656</t>
        </is>
      </c>
      <c r="BA3679" t="inlineStr">
        <is>
          <t>2255643670002656</t>
        </is>
      </c>
      <c r="BB3679" t="inlineStr">
        <is>
          <t>BOOK</t>
        </is>
      </c>
      <c r="BD3679" t="inlineStr">
        <is>
          <t>9780415012799</t>
        </is>
      </c>
      <c r="BE3679" t="inlineStr">
        <is>
          <t>32285000027283</t>
        </is>
      </c>
      <c r="BF3679" t="inlineStr">
        <is>
          <t>893803530</t>
        </is>
      </c>
    </row>
    <row r="3680">
      <c r="A3680" t="inlineStr">
        <is>
          <t>No</t>
        </is>
      </c>
      <c r="B3680" t="inlineStr">
        <is>
          <t>CURAL</t>
        </is>
      </c>
      <c r="C3680" t="inlineStr">
        <is>
          <t>SHELVES</t>
        </is>
      </c>
      <c r="D3680" t="inlineStr">
        <is>
          <t>PR830.S6 M37 2003</t>
        </is>
      </c>
      <c r="E3680" t="inlineStr">
        <is>
          <t>0                      PR 0830000S  6                  M  37          2003</t>
        </is>
      </c>
      <c r="F3680" t="inlineStr">
        <is>
          <t>The Marxian imagination : representing class in literature / Julian Markels.</t>
        </is>
      </c>
      <c r="H3680" t="inlineStr">
        <is>
          <t>No</t>
        </is>
      </c>
      <c r="I3680" t="inlineStr">
        <is>
          <t>1</t>
        </is>
      </c>
      <c r="J3680" t="inlineStr">
        <is>
          <t>No</t>
        </is>
      </c>
      <c r="K3680" t="inlineStr">
        <is>
          <t>No</t>
        </is>
      </c>
      <c r="L3680" t="inlineStr">
        <is>
          <t>0</t>
        </is>
      </c>
      <c r="M3680" t="inlineStr">
        <is>
          <t>Markels, Julian.</t>
        </is>
      </c>
      <c r="N3680" t="inlineStr">
        <is>
          <t>New York : Monthly Review Press, c2003.</t>
        </is>
      </c>
      <c r="O3680" t="inlineStr">
        <is>
          <t>2003</t>
        </is>
      </c>
      <c r="Q3680" t="inlineStr">
        <is>
          <t>eng</t>
        </is>
      </c>
      <c r="R3680" t="inlineStr">
        <is>
          <t>nyu</t>
        </is>
      </c>
      <c r="T3680" t="inlineStr">
        <is>
          <t xml:space="preserve">PR </t>
        </is>
      </c>
      <c r="U3680" t="n">
        <v>5</v>
      </c>
      <c r="V3680" t="n">
        <v>5</v>
      </c>
      <c r="W3680" t="inlineStr">
        <is>
          <t>2006-03-29</t>
        </is>
      </c>
      <c r="X3680" t="inlineStr">
        <is>
          <t>2006-03-29</t>
        </is>
      </c>
      <c r="Y3680" t="inlineStr">
        <is>
          <t>2004-11-03</t>
        </is>
      </c>
      <c r="Z3680" t="inlineStr">
        <is>
          <t>2004-11-03</t>
        </is>
      </c>
      <c r="AA3680" t="n">
        <v>308</v>
      </c>
      <c r="AB3680" t="n">
        <v>239</v>
      </c>
      <c r="AC3680" t="n">
        <v>240</v>
      </c>
      <c r="AD3680" t="n">
        <v>3</v>
      </c>
      <c r="AE3680" t="n">
        <v>3</v>
      </c>
      <c r="AF3680" t="n">
        <v>14</v>
      </c>
      <c r="AG3680" t="n">
        <v>14</v>
      </c>
      <c r="AH3680" t="n">
        <v>5</v>
      </c>
      <c r="AI3680" t="n">
        <v>5</v>
      </c>
      <c r="AJ3680" t="n">
        <v>4</v>
      </c>
      <c r="AK3680" t="n">
        <v>4</v>
      </c>
      <c r="AL3680" t="n">
        <v>7</v>
      </c>
      <c r="AM3680" t="n">
        <v>7</v>
      </c>
      <c r="AN3680" t="n">
        <v>2</v>
      </c>
      <c r="AO3680" t="n">
        <v>2</v>
      </c>
      <c r="AP3680" t="n">
        <v>0</v>
      </c>
      <c r="AQ3680" t="n">
        <v>0</v>
      </c>
      <c r="AR3680" t="inlineStr">
        <is>
          <t>No</t>
        </is>
      </c>
      <c r="AS3680" t="inlineStr">
        <is>
          <t>Yes</t>
        </is>
      </c>
      <c r="AT3680">
        <f>HYPERLINK("http://catalog.hathitrust.org/Record/004380200","HathiTrust Record")</f>
        <v/>
      </c>
      <c r="AU3680">
        <f>HYPERLINK("https://creighton-primo.hosted.exlibrisgroup.com/primo-explore/search?tab=default_tab&amp;search_scope=EVERYTHING&amp;vid=01CRU&amp;lang=en_US&amp;offset=0&amp;query=any,contains,991004393129702656","Catalog Record")</f>
        <v/>
      </c>
      <c r="AV3680">
        <f>HYPERLINK("http://www.worldcat.org/oclc/52471529","WorldCat Record")</f>
        <v/>
      </c>
      <c r="AW3680" t="inlineStr">
        <is>
          <t>793254:eng</t>
        </is>
      </c>
      <c r="AX3680" t="inlineStr">
        <is>
          <t>52471529</t>
        </is>
      </c>
      <c r="AY3680" t="inlineStr">
        <is>
          <t>991004393129702656</t>
        </is>
      </c>
      <c r="AZ3680" t="inlineStr">
        <is>
          <t>991004393129702656</t>
        </is>
      </c>
      <c r="BA3680" t="inlineStr">
        <is>
          <t>2258563470002656</t>
        </is>
      </c>
      <c r="BB3680" t="inlineStr">
        <is>
          <t>BOOK</t>
        </is>
      </c>
      <c r="BD3680" t="inlineStr">
        <is>
          <t>9781583670972</t>
        </is>
      </c>
      <c r="BE3680" t="inlineStr">
        <is>
          <t>32285005008668</t>
        </is>
      </c>
      <c r="BF3680" t="inlineStr">
        <is>
          <t>893712534</t>
        </is>
      </c>
    </row>
    <row r="3681">
      <c r="A3681" t="inlineStr">
        <is>
          <t>No</t>
        </is>
      </c>
      <c r="B3681" t="inlineStr">
        <is>
          <t>CURAL</t>
        </is>
      </c>
      <c r="C3681" t="inlineStr">
        <is>
          <t>SHELVES</t>
        </is>
      </c>
      <c r="D3681" t="inlineStr">
        <is>
          <t>PR830.S626 S6 1982</t>
        </is>
      </c>
      <c r="E3681" t="inlineStr">
        <is>
          <t>0                      PR 0830000S  626                S  6           1982</t>
        </is>
      </c>
      <c r="F3681" t="inlineStr">
        <is>
          <t>The Socialist novel in Britain : towards the recovery of a tradition / edited by H. Gustav Klaus.</t>
        </is>
      </c>
      <c r="H3681" t="inlineStr">
        <is>
          <t>No</t>
        </is>
      </c>
      <c r="I3681" t="inlineStr">
        <is>
          <t>1</t>
        </is>
      </c>
      <c r="J3681" t="inlineStr">
        <is>
          <t>No</t>
        </is>
      </c>
      <c r="K3681" t="inlineStr">
        <is>
          <t>No</t>
        </is>
      </c>
      <c r="L3681" t="inlineStr">
        <is>
          <t>0</t>
        </is>
      </c>
      <c r="N3681" t="inlineStr">
        <is>
          <t>New York : St. Martin's Press, 1982.</t>
        </is>
      </c>
      <c r="O3681" t="inlineStr">
        <is>
          <t>1982</t>
        </is>
      </c>
      <c r="Q3681" t="inlineStr">
        <is>
          <t>eng</t>
        </is>
      </c>
      <c r="R3681" t="inlineStr">
        <is>
          <t>nyu</t>
        </is>
      </c>
      <c r="T3681" t="inlineStr">
        <is>
          <t xml:space="preserve">PR </t>
        </is>
      </c>
      <c r="U3681" t="n">
        <v>2</v>
      </c>
      <c r="V3681" t="n">
        <v>2</v>
      </c>
      <c r="W3681" t="inlineStr">
        <is>
          <t>1999-11-15</t>
        </is>
      </c>
      <c r="X3681" t="inlineStr">
        <is>
          <t>1999-11-15</t>
        </is>
      </c>
      <c r="Y3681" t="inlineStr">
        <is>
          <t>1991-09-11</t>
        </is>
      </c>
      <c r="Z3681" t="inlineStr">
        <is>
          <t>1991-09-11</t>
        </is>
      </c>
      <c r="AA3681" t="n">
        <v>354</v>
      </c>
      <c r="AB3681" t="n">
        <v>310</v>
      </c>
      <c r="AC3681" t="n">
        <v>369</v>
      </c>
      <c r="AD3681" t="n">
        <v>3</v>
      </c>
      <c r="AE3681" t="n">
        <v>5</v>
      </c>
      <c r="AF3681" t="n">
        <v>15</v>
      </c>
      <c r="AG3681" t="n">
        <v>17</v>
      </c>
      <c r="AH3681" t="n">
        <v>6</v>
      </c>
      <c r="AI3681" t="n">
        <v>6</v>
      </c>
      <c r="AJ3681" t="n">
        <v>5</v>
      </c>
      <c r="AK3681" t="n">
        <v>5</v>
      </c>
      <c r="AL3681" t="n">
        <v>8</v>
      </c>
      <c r="AM3681" t="n">
        <v>8</v>
      </c>
      <c r="AN3681" t="n">
        <v>2</v>
      </c>
      <c r="AO3681" t="n">
        <v>4</v>
      </c>
      <c r="AP3681" t="n">
        <v>0</v>
      </c>
      <c r="AQ3681" t="n">
        <v>0</v>
      </c>
      <c r="AR3681" t="inlineStr">
        <is>
          <t>No</t>
        </is>
      </c>
      <c r="AS3681" t="inlineStr">
        <is>
          <t>No</t>
        </is>
      </c>
      <c r="AU3681">
        <f>HYPERLINK("https://creighton-primo.hosted.exlibrisgroup.com/primo-explore/search?tab=default_tab&amp;search_scope=EVERYTHING&amp;vid=01CRU&amp;lang=en_US&amp;offset=0&amp;query=any,contains,991005183889702656","Catalog Record")</f>
        <v/>
      </c>
      <c r="AV3681">
        <f>HYPERLINK("http://www.worldcat.org/oclc/7948580","WorldCat Record")</f>
        <v/>
      </c>
      <c r="AW3681" t="inlineStr">
        <is>
          <t>838941409:eng</t>
        </is>
      </c>
      <c r="AX3681" t="inlineStr">
        <is>
          <t>7948580</t>
        </is>
      </c>
      <c r="AY3681" t="inlineStr">
        <is>
          <t>991005183889702656</t>
        </is>
      </c>
      <c r="AZ3681" t="inlineStr">
        <is>
          <t>991005183889702656</t>
        </is>
      </c>
      <c r="BA3681" t="inlineStr">
        <is>
          <t>2267059250002656</t>
        </is>
      </c>
      <c r="BB3681" t="inlineStr">
        <is>
          <t>BOOK</t>
        </is>
      </c>
      <c r="BD3681" t="inlineStr">
        <is>
          <t>9780312737757</t>
        </is>
      </c>
      <c r="BE3681" t="inlineStr">
        <is>
          <t>32285000756154</t>
        </is>
      </c>
      <c r="BF3681" t="inlineStr">
        <is>
          <t>893533324</t>
        </is>
      </c>
    </row>
    <row r="3682">
      <c r="A3682" t="inlineStr">
        <is>
          <t>No</t>
        </is>
      </c>
      <c r="B3682" t="inlineStr">
        <is>
          <t>CURAL</t>
        </is>
      </c>
      <c r="C3682" t="inlineStr">
        <is>
          <t>SHELVES</t>
        </is>
      </c>
      <c r="D3682" t="inlineStr">
        <is>
          <t>PR830.S63 S7</t>
        </is>
      </c>
      <c r="E3682" t="inlineStr">
        <is>
          <t>0                      PR 0830000S  63                 S  7</t>
        </is>
      </c>
      <c r="F3682" t="inlineStr">
        <is>
          <t>The savage in literature : representations of "primitive" society in English fiction, 1858-1920 / Brian V. Street.</t>
        </is>
      </c>
      <c r="H3682" t="inlineStr">
        <is>
          <t>No</t>
        </is>
      </c>
      <c r="I3682" t="inlineStr">
        <is>
          <t>1</t>
        </is>
      </c>
      <c r="J3682" t="inlineStr">
        <is>
          <t>No</t>
        </is>
      </c>
      <c r="K3682" t="inlineStr">
        <is>
          <t>No</t>
        </is>
      </c>
      <c r="L3682" t="inlineStr">
        <is>
          <t>0</t>
        </is>
      </c>
      <c r="M3682" t="inlineStr">
        <is>
          <t>Street, Brian V.</t>
        </is>
      </c>
      <c r="N3682" t="inlineStr">
        <is>
          <t>London ; Boston : Routledge &amp; K. Paul, 1975.</t>
        </is>
      </c>
      <c r="O3682" t="inlineStr">
        <is>
          <t>1975</t>
        </is>
      </c>
      <c r="Q3682" t="inlineStr">
        <is>
          <t>eng</t>
        </is>
      </c>
      <c r="R3682" t="inlineStr">
        <is>
          <t>enk</t>
        </is>
      </c>
      <c r="S3682" t="inlineStr">
        <is>
          <t>International library of anthropology</t>
        </is>
      </c>
      <c r="T3682" t="inlineStr">
        <is>
          <t xml:space="preserve">PR </t>
        </is>
      </c>
      <c r="U3682" t="n">
        <v>2</v>
      </c>
      <c r="V3682" t="n">
        <v>2</v>
      </c>
      <c r="W3682" t="inlineStr">
        <is>
          <t>1995-07-03</t>
        </is>
      </c>
      <c r="X3682" t="inlineStr">
        <is>
          <t>1995-07-03</t>
        </is>
      </c>
      <c r="Y3682" t="inlineStr">
        <is>
          <t>1991-09-12</t>
        </is>
      </c>
      <c r="Z3682" t="inlineStr">
        <is>
          <t>1991-09-12</t>
        </is>
      </c>
      <c r="AA3682" t="n">
        <v>660</v>
      </c>
      <c r="AB3682" t="n">
        <v>482</v>
      </c>
      <c r="AC3682" t="n">
        <v>506</v>
      </c>
      <c r="AD3682" t="n">
        <v>3</v>
      </c>
      <c r="AE3682" t="n">
        <v>3</v>
      </c>
      <c r="AF3682" t="n">
        <v>22</v>
      </c>
      <c r="AG3682" t="n">
        <v>22</v>
      </c>
      <c r="AH3682" t="n">
        <v>7</v>
      </c>
      <c r="AI3682" t="n">
        <v>7</v>
      </c>
      <c r="AJ3682" t="n">
        <v>7</v>
      </c>
      <c r="AK3682" t="n">
        <v>7</v>
      </c>
      <c r="AL3682" t="n">
        <v>12</v>
      </c>
      <c r="AM3682" t="n">
        <v>12</v>
      </c>
      <c r="AN3682" t="n">
        <v>2</v>
      </c>
      <c r="AO3682" t="n">
        <v>2</v>
      </c>
      <c r="AP3682" t="n">
        <v>0</v>
      </c>
      <c r="AQ3682" t="n">
        <v>0</v>
      </c>
      <c r="AR3682" t="inlineStr">
        <is>
          <t>No</t>
        </is>
      </c>
      <c r="AS3682" t="inlineStr">
        <is>
          <t>No</t>
        </is>
      </c>
      <c r="AU3682">
        <f>HYPERLINK("https://creighton-primo.hosted.exlibrisgroup.com/primo-explore/search?tab=default_tab&amp;search_scope=EVERYTHING&amp;vid=01CRU&amp;lang=en_US&amp;offset=0&amp;query=any,contains,991003740359702656","Catalog Record")</f>
        <v/>
      </c>
      <c r="AV3682">
        <f>HYPERLINK("http://www.worldcat.org/oclc/1403139","WorldCat Record")</f>
        <v/>
      </c>
      <c r="AW3682" t="inlineStr">
        <is>
          <t>863050238:eng</t>
        </is>
      </c>
      <c r="AX3682" t="inlineStr">
        <is>
          <t>1403139</t>
        </is>
      </c>
      <c r="AY3682" t="inlineStr">
        <is>
          <t>991003740359702656</t>
        </is>
      </c>
      <c r="AZ3682" t="inlineStr">
        <is>
          <t>991003740359702656</t>
        </is>
      </c>
      <c r="BA3682" t="inlineStr">
        <is>
          <t>2260491940002656</t>
        </is>
      </c>
      <c r="BB3682" t="inlineStr">
        <is>
          <t>BOOK</t>
        </is>
      </c>
      <c r="BD3682" t="inlineStr">
        <is>
          <t>9780710081100</t>
        </is>
      </c>
      <c r="BE3682" t="inlineStr">
        <is>
          <t>32285000756162</t>
        </is>
      </c>
      <c r="BF3682" t="inlineStr">
        <is>
          <t>893693098</t>
        </is>
      </c>
    </row>
    <row r="3683">
      <c r="A3683" t="inlineStr">
        <is>
          <t>No</t>
        </is>
      </c>
      <c r="B3683" t="inlineStr">
        <is>
          <t>CURAL</t>
        </is>
      </c>
      <c r="C3683" t="inlineStr">
        <is>
          <t>SHELVES</t>
        </is>
      </c>
      <c r="D3683" t="inlineStr">
        <is>
          <t>PR830.S65 S6 1990</t>
        </is>
      </c>
      <c r="E3683" t="inlineStr">
        <is>
          <t>0                      PR 0830000S  65                 S  6           1990</t>
        </is>
      </c>
      <c r="F3683" t="inlineStr">
        <is>
          <t>Spy thrillers : from Buchan to Le Carré / edited by Clive Bloom.</t>
        </is>
      </c>
      <c r="H3683" t="inlineStr">
        <is>
          <t>No</t>
        </is>
      </c>
      <c r="I3683" t="inlineStr">
        <is>
          <t>1</t>
        </is>
      </c>
      <c r="J3683" t="inlineStr">
        <is>
          <t>No</t>
        </is>
      </c>
      <c r="K3683" t="inlineStr">
        <is>
          <t>No</t>
        </is>
      </c>
      <c r="L3683" t="inlineStr">
        <is>
          <t>0</t>
        </is>
      </c>
      <c r="N3683" t="inlineStr">
        <is>
          <t>New York : St. Martin's Press, 1990.</t>
        </is>
      </c>
      <c r="O3683" t="inlineStr">
        <is>
          <t>1990</t>
        </is>
      </c>
      <c r="Q3683" t="inlineStr">
        <is>
          <t>eng</t>
        </is>
      </c>
      <c r="R3683" t="inlineStr">
        <is>
          <t>nyu</t>
        </is>
      </c>
      <c r="S3683" t="inlineStr">
        <is>
          <t>Insights</t>
        </is>
      </c>
      <c r="T3683" t="inlineStr">
        <is>
          <t xml:space="preserve">PR </t>
        </is>
      </c>
      <c r="U3683" t="n">
        <v>1</v>
      </c>
      <c r="V3683" t="n">
        <v>1</v>
      </c>
      <c r="W3683" t="inlineStr">
        <is>
          <t>1991-12-27</t>
        </is>
      </c>
      <c r="X3683" t="inlineStr">
        <is>
          <t>1991-12-27</t>
        </is>
      </c>
      <c r="Y3683" t="inlineStr">
        <is>
          <t>1991-12-13</t>
        </is>
      </c>
      <c r="Z3683" t="inlineStr">
        <is>
          <t>1991-12-13</t>
        </is>
      </c>
      <c r="AA3683" t="n">
        <v>212</v>
      </c>
      <c r="AB3683" t="n">
        <v>180</v>
      </c>
      <c r="AC3683" t="n">
        <v>208</v>
      </c>
      <c r="AD3683" t="n">
        <v>2</v>
      </c>
      <c r="AE3683" t="n">
        <v>2</v>
      </c>
      <c r="AF3683" t="n">
        <v>5</v>
      </c>
      <c r="AG3683" t="n">
        <v>6</v>
      </c>
      <c r="AH3683" t="n">
        <v>2</v>
      </c>
      <c r="AI3683" t="n">
        <v>3</v>
      </c>
      <c r="AJ3683" t="n">
        <v>1</v>
      </c>
      <c r="AK3683" t="n">
        <v>1</v>
      </c>
      <c r="AL3683" t="n">
        <v>3</v>
      </c>
      <c r="AM3683" t="n">
        <v>4</v>
      </c>
      <c r="AN3683" t="n">
        <v>1</v>
      </c>
      <c r="AO3683" t="n">
        <v>1</v>
      </c>
      <c r="AP3683" t="n">
        <v>0</v>
      </c>
      <c r="AQ3683" t="n">
        <v>0</v>
      </c>
      <c r="AR3683" t="inlineStr">
        <is>
          <t>No</t>
        </is>
      </c>
      <c r="AS3683" t="inlineStr">
        <is>
          <t>No</t>
        </is>
      </c>
      <c r="AU3683">
        <f>HYPERLINK("https://creighton-primo.hosted.exlibrisgroup.com/primo-explore/search?tab=default_tab&amp;search_scope=EVERYTHING&amp;vid=01CRU&amp;lang=en_US&amp;offset=0&amp;query=any,contains,991001620739702656","Catalog Record")</f>
        <v/>
      </c>
      <c r="AV3683">
        <f>HYPERLINK("http://www.worldcat.org/oclc/20823691","WorldCat Record")</f>
        <v/>
      </c>
      <c r="AW3683" t="inlineStr">
        <is>
          <t>836735797:eng</t>
        </is>
      </c>
      <c r="AX3683" t="inlineStr">
        <is>
          <t>20823691</t>
        </is>
      </c>
      <c r="AY3683" t="inlineStr">
        <is>
          <t>991001620739702656</t>
        </is>
      </c>
      <c r="AZ3683" t="inlineStr">
        <is>
          <t>991001620739702656</t>
        </is>
      </c>
      <c r="BA3683" t="inlineStr">
        <is>
          <t>2263889710002656</t>
        </is>
      </c>
      <c r="BB3683" t="inlineStr">
        <is>
          <t>BOOK</t>
        </is>
      </c>
      <c r="BD3683" t="inlineStr">
        <is>
          <t>9780312042455</t>
        </is>
      </c>
      <c r="BE3683" t="inlineStr">
        <is>
          <t>32285000819473</t>
        </is>
      </c>
      <c r="BF3683" t="inlineStr">
        <is>
          <t>893903482</t>
        </is>
      </c>
    </row>
    <row r="3684">
      <c r="A3684" t="inlineStr">
        <is>
          <t>No</t>
        </is>
      </c>
      <c r="B3684" t="inlineStr">
        <is>
          <t>CURAL</t>
        </is>
      </c>
      <c r="C3684" t="inlineStr">
        <is>
          <t>SHELVES</t>
        </is>
      </c>
      <c r="D3684" t="inlineStr">
        <is>
          <t>PR830.S9 G3 1969</t>
        </is>
      </c>
      <c r="E3684" t="inlineStr">
        <is>
          <t>0                      PR 0830000S  9                  G  3           1969</t>
        </is>
      </c>
      <c r="F3684" t="inlineStr">
        <is>
          <t>Scene and symbol from George Eliot to James Joyce; studies in changing fictional mode [by] Peter K. Garrett.</t>
        </is>
      </c>
      <c r="H3684" t="inlineStr">
        <is>
          <t>No</t>
        </is>
      </c>
      <c r="I3684" t="inlineStr">
        <is>
          <t>1</t>
        </is>
      </c>
      <c r="J3684" t="inlineStr">
        <is>
          <t>No</t>
        </is>
      </c>
      <c r="K3684" t="inlineStr">
        <is>
          <t>No</t>
        </is>
      </c>
      <c r="L3684" t="inlineStr">
        <is>
          <t>0</t>
        </is>
      </c>
      <c r="M3684" t="inlineStr">
        <is>
          <t>Garrett, Peter K.</t>
        </is>
      </c>
      <c r="N3684" t="inlineStr">
        <is>
          <t>New Haven, Yale University Press, 1969.</t>
        </is>
      </c>
      <c r="O3684" t="inlineStr">
        <is>
          <t>1969</t>
        </is>
      </c>
      <c r="Q3684" t="inlineStr">
        <is>
          <t>eng</t>
        </is>
      </c>
      <c r="R3684" t="inlineStr">
        <is>
          <t>ctu</t>
        </is>
      </c>
      <c r="S3684" t="inlineStr">
        <is>
          <t>Yale studies in English ; v. 172</t>
        </is>
      </c>
      <c r="T3684" t="inlineStr">
        <is>
          <t xml:space="preserve">PR </t>
        </is>
      </c>
      <c r="U3684" t="n">
        <v>4</v>
      </c>
      <c r="V3684" t="n">
        <v>4</v>
      </c>
      <c r="W3684" t="inlineStr">
        <is>
          <t>2001-01-27</t>
        </is>
      </c>
      <c r="X3684" t="inlineStr">
        <is>
          <t>2001-01-27</t>
        </is>
      </c>
      <c r="Y3684" t="inlineStr">
        <is>
          <t>1997-09-12</t>
        </is>
      </c>
      <c r="Z3684" t="inlineStr">
        <is>
          <t>1997-09-12</t>
        </is>
      </c>
      <c r="AA3684" t="n">
        <v>942</v>
      </c>
      <c r="AB3684" t="n">
        <v>773</v>
      </c>
      <c r="AC3684" t="n">
        <v>778</v>
      </c>
      <c r="AD3684" t="n">
        <v>8</v>
      </c>
      <c r="AE3684" t="n">
        <v>8</v>
      </c>
      <c r="AF3684" t="n">
        <v>38</v>
      </c>
      <c r="AG3684" t="n">
        <v>38</v>
      </c>
      <c r="AH3684" t="n">
        <v>12</v>
      </c>
      <c r="AI3684" t="n">
        <v>12</v>
      </c>
      <c r="AJ3684" t="n">
        <v>10</v>
      </c>
      <c r="AK3684" t="n">
        <v>10</v>
      </c>
      <c r="AL3684" t="n">
        <v>19</v>
      </c>
      <c r="AM3684" t="n">
        <v>19</v>
      </c>
      <c r="AN3684" t="n">
        <v>7</v>
      </c>
      <c r="AO3684" t="n">
        <v>7</v>
      </c>
      <c r="AP3684" t="n">
        <v>0</v>
      </c>
      <c r="AQ3684" t="n">
        <v>0</v>
      </c>
      <c r="AR3684" t="inlineStr">
        <is>
          <t>No</t>
        </is>
      </c>
      <c r="AS3684" t="inlineStr">
        <is>
          <t>No</t>
        </is>
      </c>
      <c r="AU3684">
        <f>HYPERLINK("https://creighton-primo.hosted.exlibrisgroup.com/primo-explore/search?tab=default_tab&amp;search_scope=EVERYTHING&amp;vid=01CRU&amp;lang=en_US&amp;offset=0&amp;query=any,contains,991000788199702656","Catalog Record")</f>
        <v/>
      </c>
      <c r="AV3684">
        <f>HYPERLINK("http://www.worldcat.org/oclc/136187","WorldCat Record")</f>
        <v/>
      </c>
      <c r="AW3684" t="inlineStr">
        <is>
          <t>196175607:eng</t>
        </is>
      </c>
      <c r="AX3684" t="inlineStr">
        <is>
          <t>136187</t>
        </is>
      </c>
      <c r="AY3684" t="inlineStr">
        <is>
          <t>991000788199702656</t>
        </is>
      </c>
      <c r="AZ3684" t="inlineStr">
        <is>
          <t>991000788199702656</t>
        </is>
      </c>
      <c r="BA3684" t="inlineStr">
        <is>
          <t>2264055620002656</t>
        </is>
      </c>
      <c r="BB3684" t="inlineStr">
        <is>
          <t>BOOK</t>
        </is>
      </c>
      <c r="BD3684" t="inlineStr">
        <is>
          <t>9780300010459</t>
        </is>
      </c>
      <c r="BE3684" t="inlineStr">
        <is>
          <t>32285003216412</t>
        </is>
      </c>
      <c r="BF3684" t="inlineStr">
        <is>
          <t>893315233</t>
        </is>
      </c>
    </row>
    <row r="3685">
      <c r="A3685" t="inlineStr">
        <is>
          <t>No</t>
        </is>
      </c>
      <c r="B3685" t="inlineStr">
        <is>
          <t>CURAL</t>
        </is>
      </c>
      <c r="C3685" t="inlineStr">
        <is>
          <t>SHELVES</t>
        </is>
      </c>
      <c r="D3685" t="inlineStr">
        <is>
          <t>PR830.T3 D39 1985</t>
        </is>
      </c>
      <c r="E3685" t="inlineStr">
        <is>
          <t>0                      PR 0830000T  3                  D  39          1985</t>
        </is>
      </c>
      <c r="F3685" t="inlineStr">
        <is>
          <t>In the circles of fear and desire : a study of Gothic fantasy / William Patrick Day.</t>
        </is>
      </c>
      <c r="H3685" t="inlineStr">
        <is>
          <t>No</t>
        </is>
      </c>
      <c r="I3685" t="inlineStr">
        <is>
          <t>1</t>
        </is>
      </c>
      <c r="J3685" t="inlineStr">
        <is>
          <t>No</t>
        </is>
      </c>
      <c r="K3685" t="inlineStr">
        <is>
          <t>No</t>
        </is>
      </c>
      <c r="L3685" t="inlineStr">
        <is>
          <t>0</t>
        </is>
      </c>
      <c r="M3685" t="inlineStr">
        <is>
          <t>Day, William Patrick.</t>
        </is>
      </c>
      <c r="N3685" t="inlineStr">
        <is>
          <t>Chicago : University of Chicago Press, 1985.</t>
        </is>
      </c>
      <c r="O3685" t="inlineStr">
        <is>
          <t>1985</t>
        </is>
      </c>
      <c r="Q3685" t="inlineStr">
        <is>
          <t>eng</t>
        </is>
      </c>
      <c r="R3685" t="inlineStr">
        <is>
          <t>ilu</t>
        </is>
      </c>
      <c r="T3685" t="inlineStr">
        <is>
          <t xml:space="preserve">PR </t>
        </is>
      </c>
      <c r="U3685" t="n">
        <v>6</v>
      </c>
      <c r="V3685" t="n">
        <v>6</v>
      </c>
      <c r="W3685" t="inlineStr">
        <is>
          <t>2003-03-24</t>
        </is>
      </c>
      <c r="X3685" t="inlineStr">
        <is>
          <t>2003-03-24</t>
        </is>
      </c>
      <c r="Y3685" t="inlineStr">
        <is>
          <t>1991-09-11</t>
        </is>
      </c>
      <c r="Z3685" t="inlineStr">
        <is>
          <t>1991-09-11</t>
        </is>
      </c>
      <c r="AA3685" t="n">
        <v>582</v>
      </c>
      <c r="AB3685" t="n">
        <v>456</v>
      </c>
      <c r="AC3685" t="n">
        <v>461</v>
      </c>
      <c r="AD3685" t="n">
        <v>5</v>
      </c>
      <c r="AE3685" t="n">
        <v>5</v>
      </c>
      <c r="AF3685" t="n">
        <v>26</v>
      </c>
      <c r="AG3685" t="n">
        <v>26</v>
      </c>
      <c r="AH3685" t="n">
        <v>11</v>
      </c>
      <c r="AI3685" t="n">
        <v>11</v>
      </c>
      <c r="AJ3685" t="n">
        <v>4</v>
      </c>
      <c r="AK3685" t="n">
        <v>4</v>
      </c>
      <c r="AL3685" t="n">
        <v>15</v>
      </c>
      <c r="AM3685" t="n">
        <v>15</v>
      </c>
      <c r="AN3685" t="n">
        <v>4</v>
      </c>
      <c r="AO3685" t="n">
        <v>4</v>
      </c>
      <c r="AP3685" t="n">
        <v>0</v>
      </c>
      <c r="AQ3685" t="n">
        <v>0</v>
      </c>
      <c r="AR3685" t="inlineStr">
        <is>
          <t>No</t>
        </is>
      </c>
      <c r="AS3685" t="inlineStr">
        <is>
          <t>No</t>
        </is>
      </c>
      <c r="AU3685">
        <f>HYPERLINK("https://creighton-primo.hosted.exlibrisgroup.com/primo-explore/search?tab=default_tab&amp;search_scope=EVERYTHING&amp;vid=01CRU&amp;lang=en_US&amp;offset=0&amp;query=any,contains,991000541619702656","Catalog Record")</f>
        <v/>
      </c>
      <c r="AV3685">
        <f>HYPERLINK("http://www.worldcat.org/oclc/11495583","WorldCat Record")</f>
        <v/>
      </c>
      <c r="AW3685" t="inlineStr">
        <is>
          <t>326335591:eng</t>
        </is>
      </c>
      <c r="AX3685" t="inlineStr">
        <is>
          <t>11495583</t>
        </is>
      </c>
      <c r="AY3685" t="inlineStr">
        <is>
          <t>991000541619702656</t>
        </is>
      </c>
      <c r="AZ3685" t="inlineStr">
        <is>
          <t>991000541619702656</t>
        </is>
      </c>
      <c r="BA3685" t="inlineStr">
        <is>
          <t>2263469070002656</t>
        </is>
      </c>
      <c r="BB3685" t="inlineStr">
        <is>
          <t>BOOK</t>
        </is>
      </c>
      <c r="BD3685" t="inlineStr">
        <is>
          <t>9780226138916</t>
        </is>
      </c>
      <c r="BE3685" t="inlineStr">
        <is>
          <t>32285000756212</t>
        </is>
      </c>
      <c r="BF3685" t="inlineStr">
        <is>
          <t>893790620</t>
        </is>
      </c>
    </row>
    <row r="3686">
      <c r="A3686" t="inlineStr">
        <is>
          <t>No</t>
        </is>
      </c>
      <c r="B3686" t="inlineStr">
        <is>
          <t>CURAL</t>
        </is>
      </c>
      <c r="C3686" t="inlineStr">
        <is>
          <t>SHELVES</t>
        </is>
      </c>
      <c r="D3686" t="inlineStr">
        <is>
          <t>PR830.T3 S9 1964</t>
        </is>
      </c>
      <c r="E3686" t="inlineStr">
        <is>
          <t>0                      PR 0830000T  3                  S  9           1964</t>
        </is>
      </c>
      <c r="F3686" t="inlineStr">
        <is>
          <t>The Gothic quest; a history of the Gothic novel.</t>
        </is>
      </c>
      <c r="H3686" t="inlineStr">
        <is>
          <t>No</t>
        </is>
      </c>
      <c r="I3686" t="inlineStr">
        <is>
          <t>1</t>
        </is>
      </c>
      <c r="J3686" t="inlineStr">
        <is>
          <t>No</t>
        </is>
      </c>
      <c r="K3686" t="inlineStr">
        <is>
          <t>No</t>
        </is>
      </c>
      <c r="L3686" t="inlineStr">
        <is>
          <t>0</t>
        </is>
      </c>
      <c r="M3686" t="inlineStr">
        <is>
          <t>Summers, Montague, 1880-1948.</t>
        </is>
      </c>
      <c r="N3686" t="inlineStr">
        <is>
          <t>New York, Russell &amp; Russell [1964]</t>
        </is>
      </c>
      <c r="O3686" t="inlineStr">
        <is>
          <t>1964</t>
        </is>
      </c>
      <c r="Q3686" t="inlineStr">
        <is>
          <t>eng</t>
        </is>
      </c>
      <c r="R3686" t="inlineStr">
        <is>
          <t>nyu</t>
        </is>
      </c>
      <c r="T3686" t="inlineStr">
        <is>
          <t xml:space="preserve">PR </t>
        </is>
      </c>
      <c r="U3686" t="n">
        <v>2</v>
      </c>
      <c r="V3686" t="n">
        <v>2</v>
      </c>
      <c r="W3686" t="inlineStr">
        <is>
          <t>2003-10-26</t>
        </is>
      </c>
      <c r="X3686" t="inlineStr">
        <is>
          <t>2003-10-26</t>
        </is>
      </c>
      <c r="Y3686" t="inlineStr">
        <is>
          <t>1997-09-12</t>
        </is>
      </c>
      <c r="Z3686" t="inlineStr">
        <is>
          <t>1997-09-12</t>
        </is>
      </c>
      <c r="AA3686" t="n">
        <v>890</v>
      </c>
      <c r="AB3686" t="n">
        <v>792</v>
      </c>
      <c r="AC3686" t="n">
        <v>1045</v>
      </c>
      <c r="AD3686" t="n">
        <v>9</v>
      </c>
      <c r="AE3686" t="n">
        <v>10</v>
      </c>
      <c r="AF3686" t="n">
        <v>37</v>
      </c>
      <c r="AG3686" t="n">
        <v>52</v>
      </c>
      <c r="AH3686" t="n">
        <v>17</v>
      </c>
      <c r="AI3686" t="n">
        <v>24</v>
      </c>
      <c r="AJ3686" t="n">
        <v>7</v>
      </c>
      <c r="AK3686" t="n">
        <v>10</v>
      </c>
      <c r="AL3686" t="n">
        <v>16</v>
      </c>
      <c r="AM3686" t="n">
        <v>24</v>
      </c>
      <c r="AN3686" t="n">
        <v>7</v>
      </c>
      <c r="AO3686" t="n">
        <v>8</v>
      </c>
      <c r="AP3686" t="n">
        <v>0</v>
      </c>
      <c r="AQ3686" t="n">
        <v>0</v>
      </c>
      <c r="AR3686" t="inlineStr">
        <is>
          <t>No</t>
        </is>
      </c>
      <c r="AS3686" t="inlineStr">
        <is>
          <t>Yes</t>
        </is>
      </c>
      <c r="AT3686">
        <f>HYPERLINK("http://catalog.hathitrust.org/Record/001440342","HathiTrust Record")</f>
        <v/>
      </c>
      <c r="AU3686">
        <f>HYPERLINK("https://creighton-primo.hosted.exlibrisgroup.com/primo-explore/search?tab=default_tab&amp;search_scope=EVERYTHING&amp;vid=01CRU&amp;lang=en_US&amp;offset=0&amp;query=any,contains,991002154619702656","Catalog Record")</f>
        <v/>
      </c>
      <c r="AV3686">
        <f>HYPERLINK("http://www.worldcat.org/oclc/272336","WorldCat Record")</f>
        <v/>
      </c>
      <c r="AW3686" t="inlineStr">
        <is>
          <t>1402523:eng</t>
        </is>
      </c>
      <c r="AX3686" t="inlineStr">
        <is>
          <t>272336</t>
        </is>
      </c>
      <c r="AY3686" t="inlineStr">
        <is>
          <t>991002154619702656</t>
        </is>
      </c>
      <c r="AZ3686" t="inlineStr">
        <is>
          <t>991002154619702656</t>
        </is>
      </c>
      <c r="BA3686" t="inlineStr">
        <is>
          <t>2262394380002656</t>
        </is>
      </c>
      <c r="BB3686" t="inlineStr">
        <is>
          <t>BOOK</t>
        </is>
      </c>
      <c r="BE3686" t="inlineStr">
        <is>
          <t>32285003216438</t>
        </is>
      </c>
      <c r="BF3686" t="inlineStr">
        <is>
          <t>893322612</t>
        </is>
      </c>
    </row>
    <row r="3687">
      <c r="A3687" t="inlineStr">
        <is>
          <t>No</t>
        </is>
      </c>
      <c r="B3687" t="inlineStr">
        <is>
          <t>CURAL</t>
        </is>
      </c>
      <c r="C3687" t="inlineStr">
        <is>
          <t>SHELVES</t>
        </is>
      </c>
      <c r="D3687" t="inlineStr">
        <is>
          <t>PR830.T3 V3</t>
        </is>
      </c>
      <c r="E3687" t="inlineStr">
        <is>
          <t>0                      PR 0830000T  3                  V  3</t>
        </is>
      </c>
      <c r="F3687" t="inlineStr">
        <is>
          <t>The Gothic flame, being a history of the Gothic novel in England: its origins, efflorescence, disintegration, and residuary influences.</t>
        </is>
      </c>
      <c r="H3687" t="inlineStr">
        <is>
          <t>No</t>
        </is>
      </c>
      <c r="I3687" t="inlineStr">
        <is>
          <t>1</t>
        </is>
      </c>
      <c r="J3687" t="inlineStr">
        <is>
          <t>No</t>
        </is>
      </c>
      <c r="K3687" t="inlineStr">
        <is>
          <t>No</t>
        </is>
      </c>
      <c r="L3687" t="inlineStr">
        <is>
          <t>0</t>
        </is>
      </c>
      <c r="M3687" t="inlineStr">
        <is>
          <t>Varma, Devendra P., 1923-</t>
        </is>
      </c>
      <c r="N3687" t="inlineStr">
        <is>
          <t>London, A Barker [1957]</t>
        </is>
      </c>
      <c r="O3687" t="inlineStr">
        <is>
          <t>1957</t>
        </is>
      </c>
      <c r="Q3687" t="inlineStr">
        <is>
          <t>eng</t>
        </is>
      </c>
      <c r="R3687" t="inlineStr">
        <is>
          <t>enk</t>
        </is>
      </c>
      <c r="T3687" t="inlineStr">
        <is>
          <t xml:space="preserve">PR </t>
        </is>
      </c>
      <c r="U3687" t="n">
        <v>3</v>
      </c>
      <c r="V3687" t="n">
        <v>3</v>
      </c>
      <c r="W3687" t="inlineStr">
        <is>
          <t>2003-10-26</t>
        </is>
      </c>
      <c r="X3687" t="inlineStr">
        <is>
          <t>2003-10-26</t>
        </is>
      </c>
      <c r="Y3687" t="inlineStr">
        <is>
          <t>1997-09-12</t>
        </is>
      </c>
      <c r="Z3687" t="inlineStr">
        <is>
          <t>1997-09-12</t>
        </is>
      </c>
      <c r="AA3687" t="n">
        <v>290</v>
      </c>
      <c r="AB3687" t="n">
        <v>226</v>
      </c>
      <c r="AC3687" t="n">
        <v>835</v>
      </c>
      <c r="AD3687" t="n">
        <v>4</v>
      </c>
      <c r="AE3687" t="n">
        <v>9</v>
      </c>
      <c r="AF3687" t="n">
        <v>13</v>
      </c>
      <c r="AG3687" t="n">
        <v>44</v>
      </c>
      <c r="AH3687" t="n">
        <v>3</v>
      </c>
      <c r="AI3687" t="n">
        <v>18</v>
      </c>
      <c r="AJ3687" t="n">
        <v>3</v>
      </c>
      <c r="AK3687" t="n">
        <v>7</v>
      </c>
      <c r="AL3687" t="n">
        <v>6</v>
      </c>
      <c r="AM3687" t="n">
        <v>20</v>
      </c>
      <c r="AN3687" t="n">
        <v>3</v>
      </c>
      <c r="AO3687" t="n">
        <v>8</v>
      </c>
      <c r="AP3687" t="n">
        <v>0</v>
      </c>
      <c r="AQ3687" t="n">
        <v>0</v>
      </c>
      <c r="AR3687" t="inlineStr">
        <is>
          <t>No</t>
        </is>
      </c>
      <c r="AS3687" t="inlineStr">
        <is>
          <t>Yes</t>
        </is>
      </c>
      <c r="AT3687">
        <f>HYPERLINK("http://catalog.hathitrust.org/Record/001016697","HathiTrust Record")</f>
        <v/>
      </c>
      <c r="AU3687">
        <f>HYPERLINK("https://creighton-primo.hosted.exlibrisgroup.com/primo-explore/search?tab=default_tab&amp;search_scope=EVERYTHING&amp;vid=01CRU&amp;lang=en_US&amp;offset=0&amp;query=any,contains,991003911449702656","Catalog Record")</f>
        <v/>
      </c>
      <c r="AV3687">
        <f>HYPERLINK("http://www.worldcat.org/oclc/1852944","WorldCat Record")</f>
        <v/>
      </c>
      <c r="AW3687" t="inlineStr">
        <is>
          <t>1383362:eng</t>
        </is>
      </c>
      <c r="AX3687" t="inlineStr">
        <is>
          <t>1852944</t>
        </is>
      </c>
      <c r="AY3687" t="inlineStr">
        <is>
          <t>991003911449702656</t>
        </is>
      </c>
      <c r="AZ3687" t="inlineStr">
        <is>
          <t>991003911449702656</t>
        </is>
      </c>
      <c r="BA3687" t="inlineStr">
        <is>
          <t>2263847600002656</t>
        </is>
      </c>
      <c r="BB3687" t="inlineStr">
        <is>
          <t>BOOK</t>
        </is>
      </c>
      <c r="BE3687" t="inlineStr">
        <is>
          <t>32285003216446</t>
        </is>
      </c>
      <c r="BF3687" t="inlineStr">
        <is>
          <t>893869044</t>
        </is>
      </c>
    </row>
    <row r="3688">
      <c r="A3688" t="inlineStr">
        <is>
          <t>No</t>
        </is>
      </c>
      <c r="B3688" t="inlineStr">
        <is>
          <t>CURAL</t>
        </is>
      </c>
      <c r="C3688" t="inlineStr">
        <is>
          <t>SHELVES</t>
        </is>
      </c>
      <c r="D3688" t="inlineStr">
        <is>
          <t>PR830.U48 G6 1977</t>
        </is>
      </c>
      <c r="E3688" t="inlineStr">
        <is>
          <t>0                      PR 0830000U  48                 G  6           1977</t>
        </is>
      </c>
      <c r="F3688" t="inlineStr">
        <is>
          <t>Developing countries in British fiction / D. C. R. A. Goonetilleke. --</t>
        </is>
      </c>
      <c r="H3688" t="inlineStr">
        <is>
          <t>No</t>
        </is>
      </c>
      <c r="I3688" t="inlineStr">
        <is>
          <t>1</t>
        </is>
      </c>
      <c r="J3688" t="inlineStr">
        <is>
          <t>No</t>
        </is>
      </c>
      <c r="K3688" t="inlineStr">
        <is>
          <t>No</t>
        </is>
      </c>
      <c r="L3688" t="inlineStr">
        <is>
          <t>0</t>
        </is>
      </c>
      <c r="M3688" t="inlineStr">
        <is>
          <t>Goonetilleke, D. C. R. A.</t>
        </is>
      </c>
      <c r="N3688" t="inlineStr">
        <is>
          <t>Totowa, N.J. : Rowman and Littlefield, 1977.</t>
        </is>
      </c>
      <c r="O3688" t="inlineStr">
        <is>
          <t>1977</t>
        </is>
      </c>
      <c r="Q3688" t="inlineStr">
        <is>
          <t>eng</t>
        </is>
      </c>
      <c r="R3688" t="inlineStr">
        <is>
          <t>nju</t>
        </is>
      </c>
      <c r="T3688" t="inlineStr">
        <is>
          <t xml:space="preserve">PR </t>
        </is>
      </c>
      <c r="U3688" t="n">
        <v>2</v>
      </c>
      <c r="V3688" t="n">
        <v>2</v>
      </c>
      <c r="W3688" t="inlineStr">
        <is>
          <t>1995-07-03</t>
        </is>
      </c>
      <c r="X3688" t="inlineStr">
        <is>
          <t>1995-07-03</t>
        </is>
      </c>
      <c r="Y3688" t="inlineStr">
        <is>
          <t>1991-09-11</t>
        </is>
      </c>
      <c r="Z3688" t="inlineStr">
        <is>
          <t>1991-09-11</t>
        </is>
      </c>
      <c r="AA3688" t="n">
        <v>495</v>
      </c>
      <c r="AB3688" t="n">
        <v>451</v>
      </c>
      <c r="AC3688" t="n">
        <v>499</v>
      </c>
      <c r="AD3688" t="n">
        <v>6</v>
      </c>
      <c r="AE3688" t="n">
        <v>7</v>
      </c>
      <c r="AF3688" t="n">
        <v>27</v>
      </c>
      <c r="AG3688" t="n">
        <v>32</v>
      </c>
      <c r="AH3688" t="n">
        <v>12</v>
      </c>
      <c r="AI3688" t="n">
        <v>13</v>
      </c>
      <c r="AJ3688" t="n">
        <v>8</v>
      </c>
      <c r="AK3688" t="n">
        <v>9</v>
      </c>
      <c r="AL3688" t="n">
        <v>9</v>
      </c>
      <c r="AM3688" t="n">
        <v>12</v>
      </c>
      <c r="AN3688" t="n">
        <v>5</v>
      </c>
      <c r="AO3688" t="n">
        <v>6</v>
      </c>
      <c r="AP3688" t="n">
        <v>0</v>
      </c>
      <c r="AQ3688" t="n">
        <v>0</v>
      </c>
      <c r="AR3688" t="inlineStr">
        <is>
          <t>No</t>
        </is>
      </c>
      <c r="AS3688" t="inlineStr">
        <is>
          <t>Yes</t>
        </is>
      </c>
      <c r="AT3688">
        <f>HYPERLINK("http://catalog.hathitrust.org/Record/000723756","HathiTrust Record")</f>
        <v/>
      </c>
      <c r="AU3688">
        <f>HYPERLINK("https://creighton-primo.hosted.exlibrisgroup.com/primo-explore/search?tab=default_tab&amp;search_scope=EVERYTHING&amp;vid=01CRU&amp;lang=en_US&amp;offset=0&amp;query=any,contains,991004120289702656","Catalog Record")</f>
        <v/>
      </c>
      <c r="AV3688">
        <f>HYPERLINK("http://www.worldcat.org/oclc/2424909","WorldCat Record")</f>
        <v/>
      </c>
      <c r="AW3688" t="inlineStr">
        <is>
          <t>5072247:eng</t>
        </is>
      </c>
      <c r="AX3688" t="inlineStr">
        <is>
          <t>2424909</t>
        </is>
      </c>
      <c r="AY3688" t="inlineStr">
        <is>
          <t>991004120289702656</t>
        </is>
      </c>
      <c r="AZ3688" t="inlineStr">
        <is>
          <t>991004120289702656</t>
        </is>
      </c>
      <c r="BA3688" t="inlineStr">
        <is>
          <t>2265160870002656</t>
        </is>
      </c>
      <c r="BB3688" t="inlineStr">
        <is>
          <t>BOOK</t>
        </is>
      </c>
      <c r="BD3688" t="inlineStr">
        <is>
          <t>9780874719086</t>
        </is>
      </c>
      <c r="BE3688" t="inlineStr">
        <is>
          <t>32285000756261</t>
        </is>
      </c>
      <c r="BF3688" t="inlineStr">
        <is>
          <t>893241041</t>
        </is>
      </c>
    </row>
    <row r="3689">
      <c r="A3689" t="inlineStr">
        <is>
          <t>No</t>
        </is>
      </c>
      <c r="B3689" t="inlineStr">
        <is>
          <t>CURAL</t>
        </is>
      </c>
      <c r="C3689" t="inlineStr">
        <is>
          <t>SHELVES</t>
        </is>
      </c>
      <c r="D3689" t="inlineStr">
        <is>
          <t>PR830.U7 B54 1984</t>
        </is>
      </c>
      <c r="E3689" t="inlineStr">
        <is>
          <t>0                      PR 0830000U  7                  B  54          1984</t>
        </is>
      </c>
      <c r="F3689" t="inlineStr">
        <is>
          <t>Utopia : the psychology of a cultural fantasy / by David Bleich.</t>
        </is>
      </c>
      <c r="H3689" t="inlineStr">
        <is>
          <t>No</t>
        </is>
      </c>
      <c r="I3689" t="inlineStr">
        <is>
          <t>1</t>
        </is>
      </c>
      <c r="J3689" t="inlineStr">
        <is>
          <t>No</t>
        </is>
      </c>
      <c r="K3689" t="inlineStr">
        <is>
          <t>No</t>
        </is>
      </c>
      <c r="L3689" t="inlineStr">
        <is>
          <t>0</t>
        </is>
      </c>
      <c r="M3689" t="inlineStr">
        <is>
          <t>Bleich, David.</t>
        </is>
      </c>
      <c r="N3689" t="inlineStr">
        <is>
          <t>Ann Arbor, Mich. : UMI Research Press, c1984.</t>
        </is>
      </c>
      <c r="O3689" t="inlineStr">
        <is>
          <t>1984</t>
        </is>
      </c>
      <c r="Q3689" t="inlineStr">
        <is>
          <t>eng</t>
        </is>
      </c>
      <c r="R3689" t="inlineStr">
        <is>
          <t>miu</t>
        </is>
      </c>
      <c r="S3689" t="inlineStr">
        <is>
          <t>Studies in speculative fiction ; no. 5</t>
        </is>
      </c>
      <c r="T3689" t="inlineStr">
        <is>
          <t xml:space="preserve">PR </t>
        </is>
      </c>
      <c r="U3689" t="n">
        <v>2</v>
      </c>
      <c r="V3689" t="n">
        <v>2</v>
      </c>
      <c r="W3689" t="inlineStr">
        <is>
          <t>2006-02-14</t>
        </is>
      </c>
      <c r="X3689" t="inlineStr">
        <is>
          <t>2006-02-14</t>
        </is>
      </c>
      <c r="Y3689" t="inlineStr">
        <is>
          <t>1991-09-11</t>
        </is>
      </c>
      <c r="Z3689" t="inlineStr">
        <is>
          <t>1991-09-11</t>
        </is>
      </c>
      <c r="AA3689" t="n">
        <v>388</v>
      </c>
      <c r="AB3689" t="n">
        <v>300</v>
      </c>
      <c r="AC3689" t="n">
        <v>305</v>
      </c>
      <c r="AD3689" t="n">
        <v>4</v>
      </c>
      <c r="AE3689" t="n">
        <v>4</v>
      </c>
      <c r="AF3689" t="n">
        <v>15</v>
      </c>
      <c r="AG3689" t="n">
        <v>15</v>
      </c>
      <c r="AH3689" t="n">
        <v>3</v>
      </c>
      <c r="AI3689" t="n">
        <v>3</v>
      </c>
      <c r="AJ3689" t="n">
        <v>5</v>
      </c>
      <c r="AK3689" t="n">
        <v>5</v>
      </c>
      <c r="AL3689" t="n">
        <v>9</v>
      </c>
      <c r="AM3689" t="n">
        <v>9</v>
      </c>
      <c r="AN3689" t="n">
        <v>3</v>
      </c>
      <c r="AO3689" t="n">
        <v>3</v>
      </c>
      <c r="AP3689" t="n">
        <v>0</v>
      </c>
      <c r="AQ3689" t="n">
        <v>0</v>
      </c>
      <c r="AR3689" t="inlineStr">
        <is>
          <t>No</t>
        </is>
      </c>
      <c r="AS3689" t="inlineStr">
        <is>
          <t>Yes</t>
        </is>
      </c>
      <c r="AT3689">
        <f>HYPERLINK("http://catalog.hathitrust.org/Record/000616447","HathiTrust Record")</f>
        <v/>
      </c>
      <c r="AU3689">
        <f>HYPERLINK("https://creighton-primo.hosted.exlibrisgroup.com/primo-explore/search?tab=default_tab&amp;search_scope=EVERYTHING&amp;vid=01CRU&amp;lang=en_US&amp;offset=0&amp;query=any,contains,991000407889702656","Catalog Record")</f>
        <v/>
      </c>
      <c r="AV3689">
        <f>HYPERLINK("http://www.worldcat.org/oclc/10696117","WorldCat Record")</f>
        <v/>
      </c>
      <c r="AW3689" t="inlineStr">
        <is>
          <t>2105332:eng</t>
        </is>
      </c>
      <c r="AX3689" t="inlineStr">
        <is>
          <t>10696117</t>
        </is>
      </c>
      <c r="AY3689" t="inlineStr">
        <is>
          <t>991000407889702656</t>
        </is>
      </c>
      <c r="AZ3689" t="inlineStr">
        <is>
          <t>991000407889702656</t>
        </is>
      </c>
      <c r="BA3689" t="inlineStr">
        <is>
          <t>2269067310002656</t>
        </is>
      </c>
      <c r="BB3689" t="inlineStr">
        <is>
          <t>BOOK</t>
        </is>
      </c>
      <c r="BD3689" t="inlineStr">
        <is>
          <t>9780835715744</t>
        </is>
      </c>
      <c r="BE3689" t="inlineStr">
        <is>
          <t>32285000756279</t>
        </is>
      </c>
      <c r="BF3689" t="inlineStr">
        <is>
          <t>893496192</t>
        </is>
      </c>
    </row>
    <row r="3690">
      <c r="A3690" t="inlineStr">
        <is>
          <t>No</t>
        </is>
      </c>
      <c r="B3690" t="inlineStr">
        <is>
          <t>CURAL</t>
        </is>
      </c>
      <c r="C3690" t="inlineStr">
        <is>
          <t>SHELVES</t>
        </is>
      </c>
      <c r="D3690" t="inlineStr">
        <is>
          <t>PR830.W6 M6 1982</t>
        </is>
      </c>
      <c r="E3690" t="inlineStr">
        <is>
          <t>0                      PR 0830000W  6                  M  6           1982</t>
        </is>
      </c>
      <c r="F3690" t="inlineStr">
        <is>
          <t>Loving with a vengeance : mass-produced fantasies for women / Tania Modleski.</t>
        </is>
      </c>
      <c r="H3690" t="inlineStr">
        <is>
          <t>No</t>
        </is>
      </c>
      <c r="I3690" t="inlineStr">
        <is>
          <t>1</t>
        </is>
      </c>
      <c r="J3690" t="inlineStr">
        <is>
          <t>No</t>
        </is>
      </c>
      <c r="K3690" t="inlineStr">
        <is>
          <t>No</t>
        </is>
      </c>
      <c r="L3690" t="inlineStr">
        <is>
          <t>0</t>
        </is>
      </c>
      <c r="M3690" t="inlineStr">
        <is>
          <t>Modleski, Tania, 1949-</t>
        </is>
      </c>
      <c r="N3690" t="inlineStr">
        <is>
          <t>Hamden, Conn. : Archon Books, 1982.</t>
        </is>
      </c>
      <c r="O3690" t="inlineStr">
        <is>
          <t>1982</t>
        </is>
      </c>
      <c r="Q3690" t="inlineStr">
        <is>
          <t>eng</t>
        </is>
      </c>
      <c r="R3690" t="inlineStr">
        <is>
          <t>ctu</t>
        </is>
      </c>
      <c r="T3690" t="inlineStr">
        <is>
          <t xml:space="preserve">PR </t>
        </is>
      </c>
      <c r="U3690" t="n">
        <v>4</v>
      </c>
      <c r="V3690" t="n">
        <v>4</v>
      </c>
      <c r="W3690" t="inlineStr">
        <is>
          <t>2009-01-28</t>
        </is>
      </c>
      <c r="X3690" t="inlineStr">
        <is>
          <t>2009-01-28</t>
        </is>
      </c>
      <c r="Y3690" t="inlineStr">
        <is>
          <t>1991-09-11</t>
        </is>
      </c>
      <c r="Z3690" t="inlineStr">
        <is>
          <t>1991-09-11</t>
        </is>
      </c>
      <c r="AA3690" t="n">
        <v>608</v>
      </c>
      <c r="AB3690" t="n">
        <v>526</v>
      </c>
      <c r="AC3690" t="n">
        <v>874</v>
      </c>
      <c r="AD3690" t="n">
        <v>3</v>
      </c>
      <c r="AE3690" t="n">
        <v>7</v>
      </c>
      <c r="AF3690" t="n">
        <v>18</v>
      </c>
      <c r="AG3690" t="n">
        <v>44</v>
      </c>
      <c r="AH3690" t="n">
        <v>6</v>
      </c>
      <c r="AI3690" t="n">
        <v>20</v>
      </c>
      <c r="AJ3690" t="n">
        <v>4</v>
      </c>
      <c r="AK3690" t="n">
        <v>9</v>
      </c>
      <c r="AL3690" t="n">
        <v>9</v>
      </c>
      <c r="AM3690" t="n">
        <v>19</v>
      </c>
      <c r="AN3690" t="n">
        <v>2</v>
      </c>
      <c r="AO3690" t="n">
        <v>6</v>
      </c>
      <c r="AP3690" t="n">
        <v>0</v>
      </c>
      <c r="AQ3690" t="n">
        <v>0</v>
      </c>
      <c r="AR3690" t="inlineStr">
        <is>
          <t>No</t>
        </is>
      </c>
      <c r="AS3690" t="inlineStr">
        <is>
          <t>Yes</t>
        </is>
      </c>
      <c r="AT3690">
        <f>HYPERLINK("http://catalog.hathitrust.org/Record/000230035","HathiTrust Record")</f>
        <v/>
      </c>
      <c r="AU3690">
        <f>HYPERLINK("https://creighton-primo.hosted.exlibrisgroup.com/primo-explore/search?tab=default_tab&amp;search_scope=EVERYTHING&amp;vid=01CRU&amp;lang=en_US&amp;offset=0&amp;query=any,contains,991005245759702656","Catalog Record")</f>
        <v/>
      </c>
      <c r="AV3690">
        <f>HYPERLINK("http://www.worldcat.org/oclc/8452362","WorldCat Record")</f>
        <v/>
      </c>
      <c r="AW3690" t="inlineStr">
        <is>
          <t>417756:eng</t>
        </is>
      </c>
      <c r="AX3690" t="inlineStr">
        <is>
          <t>8452362</t>
        </is>
      </c>
      <c r="AY3690" t="inlineStr">
        <is>
          <t>991005245759702656</t>
        </is>
      </c>
      <c r="AZ3690" t="inlineStr">
        <is>
          <t>991005245759702656</t>
        </is>
      </c>
      <c r="BA3690" t="inlineStr">
        <is>
          <t>2262879640002656</t>
        </is>
      </c>
      <c r="BB3690" t="inlineStr">
        <is>
          <t>BOOK</t>
        </is>
      </c>
      <c r="BD3690" t="inlineStr">
        <is>
          <t>9780208019455</t>
        </is>
      </c>
      <c r="BE3690" t="inlineStr">
        <is>
          <t>32285000756311</t>
        </is>
      </c>
      <c r="BF3690" t="inlineStr">
        <is>
          <t>893722854</t>
        </is>
      </c>
    </row>
    <row r="3691">
      <c r="A3691" t="inlineStr">
        <is>
          <t>No</t>
        </is>
      </c>
      <c r="B3691" t="inlineStr">
        <is>
          <t>CURAL</t>
        </is>
      </c>
      <c r="C3691" t="inlineStr">
        <is>
          <t>SHELVES</t>
        </is>
      </c>
      <c r="D3691" t="inlineStr">
        <is>
          <t>PR830.W6 P37 1991</t>
        </is>
      </c>
      <c r="E3691" t="inlineStr">
        <is>
          <t>0                      PR 0830000W  6                  P  37          1991</t>
        </is>
      </c>
      <c r="F3691" t="inlineStr">
        <is>
          <t>Fictions of the female self : Charlotte Brontë, Olive Schreiner, Katherine Mansfield / [Ruth Parkin-Gounelas].</t>
        </is>
      </c>
      <c r="H3691" t="inlineStr">
        <is>
          <t>No</t>
        </is>
      </c>
      <c r="I3691" t="inlineStr">
        <is>
          <t>1</t>
        </is>
      </c>
      <c r="J3691" t="inlineStr">
        <is>
          <t>No</t>
        </is>
      </c>
      <c r="K3691" t="inlineStr">
        <is>
          <t>No</t>
        </is>
      </c>
      <c r="L3691" t="inlineStr">
        <is>
          <t>0</t>
        </is>
      </c>
      <c r="M3691" t="inlineStr">
        <is>
          <t>Parkin-Gounelas, Ruth, 1950-</t>
        </is>
      </c>
      <c r="N3691" t="inlineStr">
        <is>
          <t>New York : St. Martin's Press, 1991.</t>
        </is>
      </c>
      <c r="O3691" t="inlineStr">
        <is>
          <t>1991</t>
        </is>
      </c>
      <c r="Q3691" t="inlineStr">
        <is>
          <t>eng</t>
        </is>
      </c>
      <c r="R3691" t="inlineStr">
        <is>
          <t>nyu</t>
        </is>
      </c>
      <c r="T3691" t="inlineStr">
        <is>
          <t xml:space="preserve">PR </t>
        </is>
      </c>
      <c r="U3691" t="n">
        <v>3</v>
      </c>
      <c r="V3691" t="n">
        <v>3</v>
      </c>
      <c r="W3691" t="inlineStr">
        <is>
          <t>1993-11-20</t>
        </is>
      </c>
      <c r="X3691" t="inlineStr">
        <is>
          <t>1993-11-20</t>
        </is>
      </c>
      <c r="Y3691" t="inlineStr">
        <is>
          <t>1992-06-11</t>
        </is>
      </c>
      <c r="Z3691" t="inlineStr">
        <is>
          <t>1992-06-11</t>
        </is>
      </c>
      <c r="AA3691" t="n">
        <v>289</v>
      </c>
      <c r="AB3691" t="n">
        <v>256</v>
      </c>
      <c r="AC3691" t="n">
        <v>330</v>
      </c>
      <c r="AD3691" t="n">
        <v>2</v>
      </c>
      <c r="AE3691" t="n">
        <v>2</v>
      </c>
      <c r="AF3691" t="n">
        <v>15</v>
      </c>
      <c r="AG3691" t="n">
        <v>18</v>
      </c>
      <c r="AH3691" t="n">
        <v>6</v>
      </c>
      <c r="AI3691" t="n">
        <v>9</v>
      </c>
      <c r="AJ3691" t="n">
        <v>4</v>
      </c>
      <c r="AK3691" t="n">
        <v>5</v>
      </c>
      <c r="AL3691" t="n">
        <v>11</v>
      </c>
      <c r="AM3691" t="n">
        <v>11</v>
      </c>
      <c r="AN3691" t="n">
        <v>1</v>
      </c>
      <c r="AO3691" t="n">
        <v>1</v>
      </c>
      <c r="AP3691" t="n">
        <v>0</v>
      </c>
      <c r="AQ3691" t="n">
        <v>0</v>
      </c>
      <c r="AR3691" t="inlineStr">
        <is>
          <t>No</t>
        </is>
      </c>
      <c r="AS3691" t="inlineStr">
        <is>
          <t>No</t>
        </is>
      </c>
      <c r="AU3691">
        <f>HYPERLINK("https://creighton-primo.hosted.exlibrisgroup.com/primo-explore/search?tab=default_tab&amp;search_scope=EVERYTHING&amp;vid=01CRU&amp;lang=en_US&amp;offset=0&amp;query=any,contains,991001800399702656","Catalog Record")</f>
        <v/>
      </c>
      <c r="AV3691">
        <f>HYPERLINK("http://www.worldcat.org/oclc/22629727","WorldCat Record")</f>
        <v/>
      </c>
      <c r="AW3691" t="inlineStr">
        <is>
          <t>24037567:eng</t>
        </is>
      </c>
      <c r="AX3691" t="inlineStr">
        <is>
          <t>22629727</t>
        </is>
      </c>
      <c r="AY3691" t="inlineStr">
        <is>
          <t>991001800399702656</t>
        </is>
      </c>
      <c r="AZ3691" t="inlineStr">
        <is>
          <t>991001800399702656</t>
        </is>
      </c>
      <c r="BA3691" t="inlineStr">
        <is>
          <t>2269051760002656</t>
        </is>
      </c>
      <c r="BB3691" t="inlineStr">
        <is>
          <t>BOOK</t>
        </is>
      </c>
      <c r="BD3691" t="inlineStr">
        <is>
          <t>9780312057091</t>
        </is>
      </c>
      <c r="BE3691" t="inlineStr">
        <is>
          <t>32285001127934</t>
        </is>
      </c>
      <c r="BF3691" t="inlineStr">
        <is>
          <t>893250516</t>
        </is>
      </c>
    </row>
    <row r="3692">
      <c r="A3692" t="inlineStr">
        <is>
          <t>No</t>
        </is>
      </c>
      <c r="B3692" t="inlineStr">
        <is>
          <t>CURAL</t>
        </is>
      </c>
      <c r="C3692" t="inlineStr">
        <is>
          <t>SHELVES</t>
        </is>
      </c>
      <c r="D3692" t="inlineStr">
        <is>
          <t>PR85 .C68</t>
        </is>
      </c>
      <c r="E3692" t="inlineStr">
        <is>
          <t>0                      PR 0085000C  68</t>
        </is>
      </c>
      <c r="F3692" t="inlineStr">
        <is>
          <t>A history of English literature.</t>
        </is>
      </c>
      <c r="H3692" t="inlineStr">
        <is>
          <t>No</t>
        </is>
      </c>
      <c r="I3692" t="inlineStr">
        <is>
          <t>1</t>
        </is>
      </c>
      <c r="J3692" t="inlineStr">
        <is>
          <t>No</t>
        </is>
      </c>
      <c r="K3692" t="inlineStr">
        <is>
          <t>No</t>
        </is>
      </c>
      <c r="L3692" t="inlineStr">
        <is>
          <t>0</t>
        </is>
      </c>
      <c r="M3692" t="inlineStr">
        <is>
          <t>Craig, Hardin, 1875-1968 editor.</t>
        </is>
      </c>
      <c r="N3692" t="inlineStr">
        <is>
          <t>New York : Oxford University Press, 1950.</t>
        </is>
      </c>
      <c r="O3692" t="inlineStr">
        <is>
          <t>1950</t>
        </is>
      </c>
      <c r="Q3692" t="inlineStr">
        <is>
          <t>eng</t>
        </is>
      </c>
      <c r="R3692" t="inlineStr">
        <is>
          <t>nyu</t>
        </is>
      </c>
      <c r="T3692" t="inlineStr">
        <is>
          <t xml:space="preserve">PR </t>
        </is>
      </c>
      <c r="U3692" t="n">
        <v>4</v>
      </c>
      <c r="V3692" t="n">
        <v>4</v>
      </c>
      <c r="W3692" t="inlineStr">
        <is>
          <t>1997-04-04</t>
        </is>
      </c>
      <c r="X3692" t="inlineStr">
        <is>
          <t>1997-04-04</t>
        </is>
      </c>
      <c r="Y3692" t="inlineStr">
        <is>
          <t>1992-01-16</t>
        </is>
      </c>
      <c r="Z3692" t="inlineStr">
        <is>
          <t>1992-01-16</t>
        </is>
      </c>
      <c r="AA3692" t="n">
        <v>412</v>
      </c>
      <c r="AB3692" t="n">
        <v>360</v>
      </c>
      <c r="AC3692" t="n">
        <v>365</v>
      </c>
      <c r="AD3692" t="n">
        <v>5</v>
      </c>
      <c r="AE3692" t="n">
        <v>5</v>
      </c>
      <c r="AF3692" t="n">
        <v>22</v>
      </c>
      <c r="AG3692" t="n">
        <v>22</v>
      </c>
      <c r="AH3692" t="n">
        <v>9</v>
      </c>
      <c r="AI3692" t="n">
        <v>9</v>
      </c>
      <c r="AJ3692" t="n">
        <v>3</v>
      </c>
      <c r="AK3692" t="n">
        <v>3</v>
      </c>
      <c r="AL3692" t="n">
        <v>11</v>
      </c>
      <c r="AM3692" t="n">
        <v>11</v>
      </c>
      <c r="AN3692" t="n">
        <v>4</v>
      </c>
      <c r="AO3692" t="n">
        <v>4</v>
      </c>
      <c r="AP3692" t="n">
        <v>0</v>
      </c>
      <c r="AQ3692" t="n">
        <v>0</v>
      </c>
      <c r="AR3692" t="inlineStr">
        <is>
          <t>No</t>
        </is>
      </c>
      <c r="AS3692" t="inlineStr">
        <is>
          <t>No</t>
        </is>
      </c>
      <c r="AT3692">
        <f>HYPERLINK("http://catalog.hathitrust.org/Record/001016215","HathiTrust Record")</f>
        <v/>
      </c>
      <c r="AU3692">
        <f>HYPERLINK("https://creighton-primo.hosted.exlibrisgroup.com/primo-explore/search?tab=default_tab&amp;search_scope=EVERYTHING&amp;vid=01CRU&amp;lang=en_US&amp;offset=0&amp;query=any,contains,991003886009702656","Catalog Record")</f>
        <v/>
      </c>
      <c r="AV3692">
        <f>HYPERLINK("http://www.worldcat.org/oclc/1737105","WorldCat Record")</f>
        <v/>
      </c>
      <c r="AW3692" t="inlineStr">
        <is>
          <t>3372364105:eng</t>
        </is>
      </c>
      <c r="AX3692" t="inlineStr">
        <is>
          <t>1737105</t>
        </is>
      </c>
      <c r="AY3692" t="inlineStr">
        <is>
          <t>991003886009702656</t>
        </is>
      </c>
      <c r="AZ3692" t="inlineStr">
        <is>
          <t>991003886009702656</t>
        </is>
      </c>
      <c r="BA3692" t="inlineStr">
        <is>
          <t>2269784110002656</t>
        </is>
      </c>
      <c r="BB3692" t="inlineStr">
        <is>
          <t>BOOK</t>
        </is>
      </c>
      <c r="BE3692" t="inlineStr">
        <is>
          <t>32285000913581</t>
        </is>
      </c>
      <c r="BF3692" t="inlineStr">
        <is>
          <t>893240711</t>
        </is>
      </c>
    </row>
    <row r="3693">
      <c r="A3693" t="inlineStr">
        <is>
          <t>No</t>
        </is>
      </c>
      <c r="B3693" t="inlineStr">
        <is>
          <t>CURAL</t>
        </is>
      </c>
      <c r="C3693" t="inlineStr">
        <is>
          <t>SHELVES</t>
        </is>
      </c>
      <c r="D3693" t="inlineStr">
        <is>
          <t>PR851 .B75 1997</t>
        </is>
      </c>
      <c r="E3693" t="inlineStr">
        <is>
          <t>0                      PR 0851000B  75          1997</t>
        </is>
      </c>
      <c r="F3693" t="inlineStr">
        <is>
          <t>Institutions of the English novel from Defoe to Scott / Homer Obed Brown.</t>
        </is>
      </c>
      <c r="H3693" t="inlineStr">
        <is>
          <t>No</t>
        </is>
      </c>
      <c r="I3693" t="inlineStr">
        <is>
          <t>1</t>
        </is>
      </c>
      <c r="J3693" t="inlineStr">
        <is>
          <t>No</t>
        </is>
      </c>
      <c r="K3693" t="inlineStr">
        <is>
          <t>No</t>
        </is>
      </c>
      <c r="L3693" t="inlineStr">
        <is>
          <t>0</t>
        </is>
      </c>
      <c r="M3693" t="inlineStr">
        <is>
          <t>Brown, Homer Obed, 1933-</t>
        </is>
      </c>
      <c r="N3693" t="inlineStr">
        <is>
          <t>Philadelphia : University of Pennsylvania Press, c1997.</t>
        </is>
      </c>
      <c r="O3693" t="inlineStr">
        <is>
          <t>1997</t>
        </is>
      </c>
      <c r="Q3693" t="inlineStr">
        <is>
          <t>eng</t>
        </is>
      </c>
      <c r="R3693" t="inlineStr">
        <is>
          <t>pau</t>
        </is>
      </c>
      <c r="S3693" t="inlineStr">
        <is>
          <t>Critical authors &amp; issues</t>
        </is>
      </c>
      <c r="T3693" t="inlineStr">
        <is>
          <t xml:space="preserve">PR </t>
        </is>
      </c>
      <c r="U3693" t="n">
        <v>1</v>
      </c>
      <c r="V3693" t="n">
        <v>1</v>
      </c>
      <c r="W3693" t="inlineStr">
        <is>
          <t>2005-04-26</t>
        </is>
      </c>
      <c r="X3693" t="inlineStr">
        <is>
          <t>2005-04-26</t>
        </is>
      </c>
      <c r="Y3693" t="inlineStr">
        <is>
          <t>2005-04-26</t>
        </is>
      </c>
      <c r="Z3693" t="inlineStr">
        <is>
          <t>2005-04-26</t>
        </is>
      </c>
      <c r="AA3693" t="n">
        <v>492</v>
      </c>
      <c r="AB3693" t="n">
        <v>378</v>
      </c>
      <c r="AC3693" t="n">
        <v>1024</v>
      </c>
      <c r="AD3693" t="n">
        <v>3</v>
      </c>
      <c r="AE3693" t="n">
        <v>6</v>
      </c>
      <c r="AF3693" t="n">
        <v>26</v>
      </c>
      <c r="AG3693" t="n">
        <v>42</v>
      </c>
      <c r="AH3693" t="n">
        <v>11</v>
      </c>
      <c r="AI3693" t="n">
        <v>19</v>
      </c>
      <c r="AJ3693" t="n">
        <v>6</v>
      </c>
      <c r="AK3693" t="n">
        <v>9</v>
      </c>
      <c r="AL3693" t="n">
        <v>16</v>
      </c>
      <c r="AM3693" t="n">
        <v>19</v>
      </c>
      <c r="AN3693" t="n">
        <v>2</v>
      </c>
      <c r="AO3693" t="n">
        <v>5</v>
      </c>
      <c r="AP3693" t="n">
        <v>0</v>
      </c>
      <c r="AQ3693" t="n">
        <v>1</v>
      </c>
      <c r="AR3693" t="inlineStr">
        <is>
          <t>No</t>
        </is>
      </c>
      <c r="AS3693" t="inlineStr">
        <is>
          <t>Yes</t>
        </is>
      </c>
      <c r="AT3693">
        <f>HYPERLINK("http://catalog.hathitrust.org/Record/003159095","HathiTrust Record")</f>
        <v/>
      </c>
      <c r="AU3693">
        <f>HYPERLINK("https://creighton-primo.hosted.exlibrisgroup.com/primo-explore/search?tab=default_tab&amp;search_scope=EVERYTHING&amp;vid=01CRU&amp;lang=en_US&amp;offset=0&amp;query=any,contains,991004542739702656","Catalog Record")</f>
        <v/>
      </c>
      <c r="AV3693">
        <f>HYPERLINK("http://www.worldcat.org/oclc/35723732","WorldCat Record")</f>
        <v/>
      </c>
      <c r="AW3693" t="inlineStr">
        <is>
          <t>1010722:eng</t>
        </is>
      </c>
      <c r="AX3693" t="inlineStr">
        <is>
          <t>35723732</t>
        </is>
      </c>
      <c r="AY3693" t="inlineStr">
        <is>
          <t>991004542739702656</t>
        </is>
      </c>
      <c r="AZ3693" t="inlineStr">
        <is>
          <t>991004542739702656</t>
        </is>
      </c>
      <c r="BA3693" t="inlineStr">
        <is>
          <t>2255138460002656</t>
        </is>
      </c>
      <c r="BB3693" t="inlineStr">
        <is>
          <t>BOOK</t>
        </is>
      </c>
      <c r="BD3693" t="inlineStr">
        <is>
          <t>9780812233834</t>
        </is>
      </c>
      <c r="BE3693" t="inlineStr">
        <is>
          <t>32285005033435</t>
        </is>
      </c>
      <c r="BF3693" t="inlineStr">
        <is>
          <t>893788824</t>
        </is>
      </c>
    </row>
    <row r="3694">
      <c r="A3694" t="inlineStr">
        <is>
          <t>No</t>
        </is>
      </c>
      <c r="B3694" t="inlineStr">
        <is>
          <t>CURAL</t>
        </is>
      </c>
      <c r="C3694" t="inlineStr">
        <is>
          <t>SHELVES</t>
        </is>
      </c>
      <c r="D3694" t="inlineStr">
        <is>
          <t>PR851 .D3 1983</t>
        </is>
      </c>
      <c r="E3694" t="inlineStr">
        <is>
          <t>0                      PR 0851000D  3           1983</t>
        </is>
      </c>
      <c r="F3694" t="inlineStr">
        <is>
          <t>Factual fictions : the origins of the English novel / Lennard J. Davis.</t>
        </is>
      </c>
      <c r="H3694" t="inlineStr">
        <is>
          <t>No</t>
        </is>
      </c>
      <c r="I3694" t="inlineStr">
        <is>
          <t>1</t>
        </is>
      </c>
      <c r="J3694" t="inlineStr">
        <is>
          <t>No</t>
        </is>
      </c>
      <c r="K3694" t="inlineStr">
        <is>
          <t>No</t>
        </is>
      </c>
      <c r="L3694" t="inlineStr">
        <is>
          <t>0</t>
        </is>
      </c>
      <c r="M3694" t="inlineStr">
        <is>
          <t>Davis, Lennard J., 1949-</t>
        </is>
      </c>
      <c r="N3694" t="inlineStr">
        <is>
          <t>New York : Columbia University Press, 1983.</t>
        </is>
      </c>
      <c r="O3694" t="inlineStr">
        <is>
          <t>1983</t>
        </is>
      </c>
      <c r="Q3694" t="inlineStr">
        <is>
          <t>eng</t>
        </is>
      </c>
      <c r="R3694" t="inlineStr">
        <is>
          <t>nyu</t>
        </is>
      </c>
      <c r="T3694" t="inlineStr">
        <is>
          <t xml:space="preserve">PR </t>
        </is>
      </c>
      <c r="U3694" t="n">
        <v>1</v>
      </c>
      <c r="V3694" t="n">
        <v>1</v>
      </c>
      <c r="W3694" t="inlineStr">
        <is>
          <t>2007-10-30</t>
        </is>
      </c>
      <c r="X3694" t="inlineStr">
        <is>
          <t>2007-10-30</t>
        </is>
      </c>
      <c r="Y3694" t="inlineStr">
        <is>
          <t>1991-09-11</t>
        </is>
      </c>
      <c r="Z3694" t="inlineStr">
        <is>
          <t>1991-09-11</t>
        </is>
      </c>
      <c r="AA3694" t="n">
        <v>674</v>
      </c>
      <c r="AB3694" t="n">
        <v>533</v>
      </c>
      <c r="AC3694" t="n">
        <v>626</v>
      </c>
      <c r="AD3694" t="n">
        <v>6</v>
      </c>
      <c r="AE3694" t="n">
        <v>6</v>
      </c>
      <c r="AF3694" t="n">
        <v>34</v>
      </c>
      <c r="AG3694" t="n">
        <v>40</v>
      </c>
      <c r="AH3694" t="n">
        <v>15</v>
      </c>
      <c r="AI3694" t="n">
        <v>18</v>
      </c>
      <c r="AJ3694" t="n">
        <v>9</v>
      </c>
      <c r="AK3694" t="n">
        <v>10</v>
      </c>
      <c r="AL3694" t="n">
        <v>13</v>
      </c>
      <c r="AM3694" t="n">
        <v>16</v>
      </c>
      <c r="AN3694" t="n">
        <v>5</v>
      </c>
      <c r="AO3694" t="n">
        <v>5</v>
      </c>
      <c r="AP3694" t="n">
        <v>0</v>
      </c>
      <c r="AQ3694" t="n">
        <v>0</v>
      </c>
      <c r="AR3694" t="inlineStr">
        <is>
          <t>No</t>
        </is>
      </c>
      <c r="AS3694" t="inlineStr">
        <is>
          <t>No</t>
        </is>
      </c>
      <c r="AU3694">
        <f>HYPERLINK("https://creighton-primo.hosted.exlibrisgroup.com/primo-explore/search?tab=default_tab&amp;search_scope=EVERYTHING&amp;vid=01CRU&amp;lang=en_US&amp;offset=0&amp;query=any,contains,991000038609702656","Catalog Record")</f>
        <v/>
      </c>
      <c r="AV3694">
        <f>HYPERLINK("http://www.worldcat.org/oclc/8629188","WorldCat Record")</f>
        <v/>
      </c>
      <c r="AW3694" t="inlineStr">
        <is>
          <t>420506:eng</t>
        </is>
      </c>
      <c r="AX3694" t="inlineStr">
        <is>
          <t>8629188</t>
        </is>
      </c>
      <c r="AY3694" t="inlineStr">
        <is>
          <t>991000038609702656</t>
        </is>
      </c>
      <c r="AZ3694" t="inlineStr">
        <is>
          <t>991000038609702656</t>
        </is>
      </c>
      <c r="BA3694" t="inlineStr">
        <is>
          <t>2264140760002656</t>
        </is>
      </c>
      <c r="BB3694" t="inlineStr">
        <is>
          <t>BOOK</t>
        </is>
      </c>
      <c r="BD3694" t="inlineStr">
        <is>
          <t>9780231054218</t>
        </is>
      </c>
      <c r="BE3694" t="inlineStr">
        <is>
          <t>32285000756428</t>
        </is>
      </c>
      <c r="BF3694" t="inlineStr">
        <is>
          <t>893419139</t>
        </is>
      </c>
    </row>
    <row r="3695">
      <c r="A3695" t="inlineStr">
        <is>
          <t>No</t>
        </is>
      </c>
      <c r="B3695" t="inlineStr">
        <is>
          <t>CURAL</t>
        </is>
      </c>
      <c r="C3695" t="inlineStr">
        <is>
          <t>SHELVES</t>
        </is>
      </c>
      <c r="D3695" t="inlineStr">
        <is>
          <t>PR851 .D34 1987</t>
        </is>
      </c>
      <c r="E3695" t="inlineStr">
        <is>
          <t>0                      PR 0851000D  34          1987</t>
        </is>
      </c>
      <c r="F3695" t="inlineStr">
        <is>
          <t>From fiction to the novel / Geoffrey Day.</t>
        </is>
      </c>
      <c r="H3695" t="inlineStr">
        <is>
          <t>No</t>
        </is>
      </c>
      <c r="I3695" t="inlineStr">
        <is>
          <t>1</t>
        </is>
      </c>
      <c r="J3695" t="inlineStr">
        <is>
          <t>No</t>
        </is>
      </c>
      <c r="K3695" t="inlineStr">
        <is>
          <t>No</t>
        </is>
      </c>
      <c r="L3695" t="inlineStr">
        <is>
          <t>0</t>
        </is>
      </c>
      <c r="M3695" t="inlineStr">
        <is>
          <t>Day, Geoffrey.</t>
        </is>
      </c>
      <c r="N3695" t="inlineStr">
        <is>
          <t>London ; New York : Routledge &amp; K. Paul, 1987.</t>
        </is>
      </c>
      <c r="O3695" t="inlineStr">
        <is>
          <t>1987</t>
        </is>
      </c>
      <c r="Q3695" t="inlineStr">
        <is>
          <t>eng</t>
        </is>
      </c>
      <c r="R3695" t="inlineStr">
        <is>
          <t>enk</t>
        </is>
      </c>
      <c r="T3695" t="inlineStr">
        <is>
          <t xml:space="preserve">PR </t>
        </is>
      </c>
      <c r="U3695" t="n">
        <v>1</v>
      </c>
      <c r="V3695" t="n">
        <v>1</v>
      </c>
      <c r="W3695" t="inlineStr">
        <is>
          <t>2005-03-03</t>
        </is>
      </c>
      <c r="X3695" t="inlineStr">
        <is>
          <t>2005-03-03</t>
        </is>
      </c>
      <c r="Y3695" t="inlineStr">
        <is>
          <t>2005-03-03</t>
        </is>
      </c>
      <c r="Z3695" t="inlineStr">
        <is>
          <t>2005-03-03</t>
        </is>
      </c>
      <c r="AA3695" t="n">
        <v>451</v>
      </c>
      <c r="AB3695" t="n">
        <v>327</v>
      </c>
      <c r="AC3695" t="n">
        <v>339</v>
      </c>
      <c r="AD3695" t="n">
        <v>3</v>
      </c>
      <c r="AE3695" t="n">
        <v>3</v>
      </c>
      <c r="AF3695" t="n">
        <v>20</v>
      </c>
      <c r="AG3695" t="n">
        <v>20</v>
      </c>
      <c r="AH3695" t="n">
        <v>11</v>
      </c>
      <c r="AI3695" t="n">
        <v>11</v>
      </c>
      <c r="AJ3695" t="n">
        <v>5</v>
      </c>
      <c r="AK3695" t="n">
        <v>5</v>
      </c>
      <c r="AL3695" t="n">
        <v>9</v>
      </c>
      <c r="AM3695" t="n">
        <v>9</v>
      </c>
      <c r="AN3695" t="n">
        <v>2</v>
      </c>
      <c r="AO3695" t="n">
        <v>2</v>
      </c>
      <c r="AP3695" t="n">
        <v>0</v>
      </c>
      <c r="AQ3695" t="n">
        <v>0</v>
      </c>
      <c r="AR3695" t="inlineStr">
        <is>
          <t>No</t>
        </is>
      </c>
      <c r="AS3695" t="inlineStr">
        <is>
          <t>Yes</t>
        </is>
      </c>
      <c r="AT3695">
        <f>HYPERLINK("http://catalog.hathitrust.org/Record/000833560","HathiTrust Record")</f>
        <v/>
      </c>
      <c r="AU3695">
        <f>HYPERLINK("https://creighton-primo.hosted.exlibrisgroup.com/primo-explore/search?tab=default_tab&amp;search_scope=EVERYTHING&amp;vid=01CRU&amp;lang=en_US&amp;offset=0&amp;query=any,contains,991004491839702656","Catalog Record")</f>
        <v/>
      </c>
      <c r="AV3695">
        <f>HYPERLINK("http://www.worldcat.org/oclc/14097914","WorldCat Record")</f>
        <v/>
      </c>
      <c r="AW3695" t="inlineStr">
        <is>
          <t>8043331:eng</t>
        </is>
      </c>
      <c r="AX3695" t="inlineStr">
        <is>
          <t>14097914</t>
        </is>
      </c>
      <c r="AY3695" t="inlineStr">
        <is>
          <t>991004491839702656</t>
        </is>
      </c>
      <c r="AZ3695" t="inlineStr">
        <is>
          <t>991004491839702656</t>
        </is>
      </c>
      <c r="BA3695" t="inlineStr">
        <is>
          <t>2266319090002656</t>
        </is>
      </c>
      <c r="BB3695" t="inlineStr">
        <is>
          <t>BOOK</t>
        </is>
      </c>
      <c r="BD3695" t="inlineStr">
        <is>
          <t>9780710209115</t>
        </is>
      </c>
      <c r="BE3695" t="inlineStr">
        <is>
          <t>32285005029375</t>
        </is>
      </c>
      <c r="BF3695" t="inlineStr">
        <is>
          <t>893229424</t>
        </is>
      </c>
    </row>
    <row r="3696">
      <c r="A3696" t="inlineStr">
        <is>
          <t>No</t>
        </is>
      </c>
      <c r="B3696" t="inlineStr">
        <is>
          <t>CURAL</t>
        </is>
      </c>
      <c r="C3696" t="inlineStr">
        <is>
          <t>SHELVES</t>
        </is>
      </c>
      <c r="D3696" t="inlineStr">
        <is>
          <t>PR851 .F6 1970</t>
        </is>
      </c>
      <c r="E3696" t="inlineStr">
        <is>
          <t>0                      PR 0851000F  6           1970</t>
        </is>
      </c>
      <c r="F3696" t="inlineStr">
        <is>
          <t>The novels and novelists of the eighteenth century, in illustration of the manners and morals of the age.</t>
        </is>
      </c>
      <c r="H3696" t="inlineStr">
        <is>
          <t>No</t>
        </is>
      </c>
      <c r="I3696" t="inlineStr">
        <is>
          <t>1</t>
        </is>
      </c>
      <c r="J3696" t="inlineStr">
        <is>
          <t>No</t>
        </is>
      </c>
      <c r="K3696" t="inlineStr">
        <is>
          <t>No</t>
        </is>
      </c>
      <c r="L3696" t="inlineStr">
        <is>
          <t>0</t>
        </is>
      </c>
      <c r="M3696" t="inlineStr">
        <is>
          <t>Forsyth, William, 1812-1899.</t>
        </is>
      </c>
      <c r="N3696" t="inlineStr">
        <is>
          <t>Port Washington, N.Y., Kennikat Press [1970]</t>
        </is>
      </c>
      <c r="O3696" t="inlineStr">
        <is>
          <t>1970</t>
        </is>
      </c>
      <c r="Q3696" t="inlineStr">
        <is>
          <t>eng</t>
        </is>
      </c>
      <c r="R3696" t="inlineStr">
        <is>
          <t>nyu</t>
        </is>
      </c>
      <c r="T3696" t="inlineStr">
        <is>
          <t xml:space="preserve">PR </t>
        </is>
      </c>
      <c r="U3696" t="n">
        <v>2</v>
      </c>
      <c r="V3696" t="n">
        <v>2</v>
      </c>
      <c r="W3696" t="inlineStr">
        <is>
          <t>1998-11-30</t>
        </is>
      </c>
      <c r="X3696" t="inlineStr">
        <is>
          <t>1998-11-30</t>
        </is>
      </c>
      <c r="Y3696" t="inlineStr">
        <is>
          <t>1997-09-12</t>
        </is>
      </c>
      <c r="Z3696" t="inlineStr">
        <is>
          <t>1997-09-12</t>
        </is>
      </c>
      <c r="AA3696" t="n">
        <v>204</v>
      </c>
      <c r="AB3696" t="n">
        <v>177</v>
      </c>
      <c r="AC3696" t="n">
        <v>403</v>
      </c>
      <c r="AD3696" t="n">
        <v>4</v>
      </c>
      <c r="AE3696" t="n">
        <v>5</v>
      </c>
      <c r="AF3696" t="n">
        <v>12</v>
      </c>
      <c r="AG3696" t="n">
        <v>21</v>
      </c>
      <c r="AH3696" t="n">
        <v>5</v>
      </c>
      <c r="AI3696" t="n">
        <v>5</v>
      </c>
      <c r="AJ3696" t="n">
        <v>4</v>
      </c>
      <c r="AK3696" t="n">
        <v>8</v>
      </c>
      <c r="AL3696" t="n">
        <v>5</v>
      </c>
      <c r="AM3696" t="n">
        <v>11</v>
      </c>
      <c r="AN3696" t="n">
        <v>3</v>
      </c>
      <c r="AO3696" t="n">
        <v>4</v>
      </c>
      <c r="AP3696" t="n">
        <v>0</v>
      </c>
      <c r="AQ3696" t="n">
        <v>0</v>
      </c>
      <c r="AR3696" t="inlineStr">
        <is>
          <t>No</t>
        </is>
      </c>
      <c r="AS3696" t="inlineStr">
        <is>
          <t>Yes</t>
        </is>
      </c>
      <c r="AT3696">
        <f>HYPERLINK("http://catalog.hathitrust.org/Record/004437296","HathiTrust Record")</f>
        <v/>
      </c>
      <c r="AU3696">
        <f>HYPERLINK("https://creighton-primo.hosted.exlibrisgroup.com/primo-explore/search?tab=default_tab&amp;search_scope=EVERYTHING&amp;vid=01CRU&amp;lang=en_US&amp;offset=0&amp;query=any,contains,991000532479702656","Catalog Record")</f>
        <v/>
      </c>
      <c r="AV3696">
        <f>HYPERLINK("http://www.worldcat.org/oclc/89720","WorldCat Record")</f>
        <v/>
      </c>
      <c r="AW3696" t="inlineStr">
        <is>
          <t>935639:eng</t>
        </is>
      </c>
      <c r="AX3696" t="inlineStr">
        <is>
          <t>89720</t>
        </is>
      </c>
      <c r="AY3696" t="inlineStr">
        <is>
          <t>991000532479702656</t>
        </is>
      </c>
      <c r="AZ3696" t="inlineStr">
        <is>
          <t>991000532479702656</t>
        </is>
      </c>
      <c r="BA3696" t="inlineStr">
        <is>
          <t>2259030030002656</t>
        </is>
      </c>
      <c r="BB3696" t="inlineStr">
        <is>
          <t>BOOK</t>
        </is>
      </c>
      <c r="BD3696" t="inlineStr">
        <is>
          <t>9780804609524</t>
        </is>
      </c>
      <c r="BE3696" t="inlineStr">
        <is>
          <t>32285003216487</t>
        </is>
      </c>
      <c r="BF3696" t="inlineStr">
        <is>
          <t>893225073</t>
        </is>
      </c>
    </row>
    <row r="3697">
      <c r="A3697" t="inlineStr">
        <is>
          <t>No</t>
        </is>
      </c>
      <c r="B3697" t="inlineStr">
        <is>
          <t>CURAL</t>
        </is>
      </c>
      <c r="C3697" t="inlineStr">
        <is>
          <t>SHELVES</t>
        </is>
      </c>
      <c r="D3697" t="inlineStr">
        <is>
          <t>PR851 .H68</t>
        </is>
      </c>
      <c r="E3697" t="inlineStr">
        <is>
          <t>0                      PR 0851000H  68</t>
        </is>
      </c>
      <c r="F3697" t="inlineStr">
        <is>
          <t>Love, mystery, and misery : feeling in Gothic fiction / by Coral Ann Howells. --</t>
        </is>
      </c>
      <c r="H3697" t="inlineStr">
        <is>
          <t>No</t>
        </is>
      </c>
      <c r="I3697" t="inlineStr">
        <is>
          <t>1</t>
        </is>
      </c>
      <c r="J3697" t="inlineStr">
        <is>
          <t>No</t>
        </is>
      </c>
      <c r="K3697" t="inlineStr">
        <is>
          <t>No</t>
        </is>
      </c>
      <c r="L3697" t="inlineStr">
        <is>
          <t>0</t>
        </is>
      </c>
      <c r="M3697" t="inlineStr">
        <is>
          <t>Howells, Coral Ann.</t>
        </is>
      </c>
      <c r="N3697" t="inlineStr">
        <is>
          <t>London : Athlone, c1978.</t>
        </is>
      </c>
      <c r="O3697" t="inlineStr">
        <is>
          <t>1978</t>
        </is>
      </c>
      <c r="Q3697" t="inlineStr">
        <is>
          <t>eng</t>
        </is>
      </c>
      <c r="R3697" t="inlineStr">
        <is>
          <t>xxk</t>
        </is>
      </c>
      <c r="T3697" t="inlineStr">
        <is>
          <t xml:space="preserve">PR </t>
        </is>
      </c>
      <c r="U3697" t="n">
        <v>1</v>
      </c>
      <c r="V3697" t="n">
        <v>1</v>
      </c>
      <c r="W3697" t="inlineStr">
        <is>
          <t>1994-01-14</t>
        </is>
      </c>
      <c r="X3697" t="inlineStr">
        <is>
          <t>1994-01-14</t>
        </is>
      </c>
      <c r="Y3697" t="inlineStr">
        <is>
          <t>1991-09-11</t>
        </is>
      </c>
      <c r="Z3697" t="inlineStr">
        <is>
          <t>1991-09-11</t>
        </is>
      </c>
      <c r="AA3697" t="n">
        <v>835</v>
      </c>
      <c r="AB3697" t="n">
        <v>664</v>
      </c>
      <c r="AC3697" t="n">
        <v>813</v>
      </c>
      <c r="AD3697" t="n">
        <v>7</v>
      </c>
      <c r="AE3697" t="n">
        <v>7</v>
      </c>
      <c r="AF3697" t="n">
        <v>32</v>
      </c>
      <c r="AG3697" t="n">
        <v>37</v>
      </c>
      <c r="AH3697" t="n">
        <v>11</v>
      </c>
      <c r="AI3697" t="n">
        <v>14</v>
      </c>
      <c r="AJ3697" t="n">
        <v>10</v>
      </c>
      <c r="AK3697" t="n">
        <v>10</v>
      </c>
      <c r="AL3697" t="n">
        <v>13</v>
      </c>
      <c r="AM3697" t="n">
        <v>14</v>
      </c>
      <c r="AN3697" t="n">
        <v>6</v>
      </c>
      <c r="AO3697" t="n">
        <v>6</v>
      </c>
      <c r="AP3697" t="n">
        <v>0</v>
      </c>
      <c r="AQ3697" t="n">
        <v>1</v>
      </c>
      <c r="AR3697" t="inlineStr">
        <is>
          <t>No</t>
        </is>
      </c>
      <c r="AS3697" t="inlineStr">
        <is>
          <t>Yes</t>
        </is>
      </c>
      <c r="AT3697">
        <f>HYPERLINK("http://catalog.hathitrust.org/Record/000260394","HathiTrust Record")</f>
        <v/>
      </c>
      <c r="AU3697">
        <f>HYPERLINK("https://creighton-primo.hosted.exlibrisgroup.com/primo-explore/search?tab=default_tab&amp;search_scope=EVERYTHING&amp;vid=01CRU&amp;lang=en_US&amp;offset=0&amp;query=any,contains,991004698589702656","Catalog Record")</f>
        <v/>
      </c>
      <c r="AV3697">
        <f>HYPERLINK("http://www.worldcat.org/oclc/4659376","WorldCat Record")</f>
        <v/>
      </c>
      <c r="AW3697" t="inlineStr">
        <is>
          <t>491111:eng</t>
        </is>
      </c>
      <c r="AX3697" t="inlineStr">
        <is>
          <t>4659376</t>
        </is>
      </c>
      <c r="AY3697" t="inlineStr">
        <is>
          <t>991004698589702656</t>
        </is>
      </c>
      <c r="AZ3697" t="inlineStr">
        <is>
          <t>991004698589702656</t>
        </is>
      </c>
      <c r="BA3697" t="inlineStr">
        <is>
          <t>2257844450002656</t>
        </is>
      </c>
      <c r="BB3697" t="inlineStr">
        <is>
          <t>BOOK</t>
        </is>
      </c>
      <c r="BD3697" t="inlineStr">
        <is>
          <t>9780485111811</t>
        </is>
      </c>
      <c r="BE3697" t="inlineStr">
        <is>
          <t>32285000756436</t>
        </is>
      </c>
      <c r="BF3697" t="inlineStr">
        <is>
          <t>893882827</t>
        </is>
      </c>
    </row>
    <row r="3698">
      <c r="A3698" t="inlineStr">
        <is>
          <t>No</t>
        </is>
      </c>
      <c r="B3698" t="inlineStr">
        <is>
          <t>CURAL</t>
        </is>
      </c>
      <c r="C3698" t="inlineStr">
        <is>
          <t>SHELVES</t>
        </is>
      </c>
      <c r="D3698" t="inlineStr">
        <is>
          <t>PR851 .K66 1985</t>
        </is>
      </c>
      <c r="E3698" t="inlineStr">
        <is>
          <t>0                      PR 0851000K  66          1985</t>
        </is>
      </c>
      <c r="F3698" t="inlineStr">
        <is>
          <t>Narrative technique in the English novel : Defoe to Austen / Ira Konigsberg.</t>
        </is>
      </c>
      <c r="H3698" t="inlineStr">
        <is>
          <t>No</t>
        </is>
      </c>
      <c r="I3698" t="inlineStr">
        <is>
          <t>1</t>
        </is>
      </c>
      <c r="J3698" t="inlineStr">
        <is>
          <t>No</t>
        </is>
      </c>
      <c r="K3698" t="inlineStr">
        <is>
          <t>No</t>
        </is>
      </c>
      <c r="L3698" t="inlineStr">
        <is>
          <t>0</t>
        </is>
      </c>
      <c r="M3698" t="inlineStr">
        <is>
          <t>Konigsberg, Ira.</t>
        </is>
      </c>
      <c r="N3698" t="inlineStr">
        <is>
          <t>Hamden, Conn. : Archon Books, 1985.</t>
        </is>
      </c>
      <c r="O3698" t="inlineStr">
        <is>
          <t>1985</t>
        </is>
      </c>
      <c r="Q3698" t="inlineStr">
        <is>
          <t>eng</t>
        </is>
      </c>
      <c r="R3698" t="inlineStr">
        <is>
          <t>ctu</t>
        </is>
      </c>
      <c r="T3698" t="inlineStr">
        <is>
          <t xml:space="preserve">PR </t>
        </is>
      </c>
      <c r="U3698" t="n">
        <v>1</v>
      </c>
      <c r="V3698" t="n">
        <v>1</v>
      </c>
      <c r="W3698" t="inlineStr">
        <is>
          <t>2004-09-27</t>
        </is>
      </c>
      <c r="X3698" t="inlineStr">
        <is>
          <t>2004-09-27</t>
        </is>
      </c>
      <c r="Y3698" t="inlineStr">
        <is>
          <t>2004-09-27</t>
        </is>
      </c>
      <c r="Z3698" t="inlineStr">
        <is>
          <t>2004-09-27</t>
        </is>
      </c>
      <c r="AA3698" t="n">
        <v>720</v>
      </c>
      <c r="AB3698" t="n">
        <v>617</v>
      </c>
      <c r="AC3698" t="n">
        <v>619</v>
      </c>
      <c r="AD3698" t="n">
        <v>6</v>
      </c>
      <c r="AE3698" t="n">
        <v>6</v>
      </c>
      <c r="AF3698" t="n">
        <v>28</v>
      </c>
      <c r="AG3698" t="n">
        <v>28</v>
      </c>
      <c r="AH3698" t="n">
        <v>13</v>
      </c>
      <c r="AI3698" t="n">
        <v>13</v>
      </c>
      <c r="AJ3698" t="n">
        <v>6</v>
      </c>
      <c r="AK3698" t="n">
        <v>6</v>
      </c>
      <c r="AL3698" t="n">
        <v>12</v>
      </c>
      <c r="AM3698" t="n">
        <v>12</v>
      </c>
      <c r="AN3698" t="n">
        <v>5</v>
      </c>
      <c r="AO3698" t="n">
        <v>5</v>
      </c>
      <c r="AP3698" t="n">
        <v>0</v>
      </c>
      <c r="AQ3698" t="n">
        <v>0</v>
      </c>
      <c r="AR3698" t="inlineStr">
        <is>
          <t>No</t>
        </is>
      </c>
      <c r="AS3698" t="inlineStr">
        <is>
          <t>Yes</t>
        </is>
      </c>
      <c r="AT3698">
        <f>HYPERLINK("http://catalog.hathitrust.org/Record/000615691","HathiTrust Record")</f>
        <v/>
      </c>
      <c r="AU3698">
        <f>HYPERLINK("https://creighton-primo.hosted.exlibrisgroup.com/primo-explore/search?tab=default_tab&amp;search_scope=EVERYTHING&amp;vid=01CRU&amp;lang=en_US&amp;offset=0&amp;query=any,contains,991004384119702656","Catalog Record")</f>
        <v/>
      </c>
      <c r="AV3698">
        <f>HYPERLINK("http://www.worldcat.org/oclc/12285744","WorldCat Record")</f>
        <v/>
      </c>
      <c r="AW3698" t="inlineStr">
        <is>
          <t>346013535:eng</t>
        </is>
      </c>
      <c r="AX3698" t="inlineStr">
        <is>
          <t>12285744</t>
        </is>
      </c>
      <c r="AY3698" t="inlineStr">
        <is>
          <t>991004384119702656</t>
        </is>
      </c>
      <c r="AZ3698" t="inlineStr">
        <is>
          <t>991004384119702656</t>
        </is>
      </c>
      <c r="BA3698" t="inlineStr">
        <is>
          <t>2257082360002656</t>
        </is>
      </c>
      <c r="BB3698" t="inlineStr">
        <is>
          <t>BOOK</t>
        </is>
      </c>
      <c r="BD3698" t="inlineStr">
        <is>
          <t>9780208020819</t>
        </is>
      </c>
      <c r="BE3698" t="inlineStr">
        <is>
          <t>32285004989439</t>
        </is>
      </c>
      <c r="BF3698" t="inlineStr">
        <is>
          <t>893337661</t>
        </is>
      </c>
    </row>
    <row r="3699">
      <c r="A3699" t="inlineStr">
        <is>
          <t>No</t>
        </is>
      </c>
      <c r="B3699" t="inlineStr">
        <is>
          <t>CURAL</t>
        </is>
      </c>
      <c r="C3699" t="inlineStr">
        <is>
          <t>SHELVES</t>
        </is>
      </c>
      <c r="D3699" t="inlineStr">
        <is>
          <t>PR851 .P76 1987</t>
        </is>
      </c>
      <c r="E3699" t="inlineStr">
        <is>
          <t>0                      PR 0851000P  76          1987</t>
        </is>
      </c>
      <c r="F3699" t="inlineStr">
        <is>
          <t>English fiction of the eighteenth century, 1700-1789 / Clive T. Probyn.</t>
        </is>
      </c>
      <c r="H3699" t="inlineStr">
        <is>
          <t>No</t>
        </is>
      </c>
      <c r="I3699" t="inlineStr">
        <is>
          <t>1</t>
        </is>
      </c>
      <c r="J3699" t="inlineStr">
        <is>
          <t>No</t>
        </is>
      </c>
      <c r="K3699" t="inlineStr">
        <is>
          <t>No</t>
        </is>
      </c>
      <c r="L3699" t="inlineStr">
        <is>
          <t>0</t>
        </is>
      </c>
      <c r="M3699" t="inlineStr">
        <is>
          <t>Probyn, Clive T.</t>
        </is>
      </c>
      <c r="N3699" t="inlineStr">
        <is>
          <t>London ; New York : Longman, 1987.</t>
        </is>
      </c>
      <c r="O3699" t="inlineStr">
        <is>
          <t>1987</t>
        </is>
      </c>
      <c r="Q3699" t="inlineStr">
        <is>
          <t>eng</t>
        </is>
      </c>
      <c r="R3699" t="inlineStr">
        <is>
          <t>enk</t>
        </is>
      </c>
      <c r="S3699" t="inlineStr">
        <is>
          <t>Longman literature in English series</t>
        </is>
      </c>
      <c r="T3699" t="inlineStr">
        <is>
          <t xml:space="preserve">PR </t>
        </is>
      </c>
      <c r="U3699" t="n">
        <v>8</v>
      </c>
      <c r="V3699" t="n">
        <v>8</v>
      </c>
      <c r="W3699" t="inlineStr">
        <is>
          <t>2003-10-03</t>
        </is>
      </c>
      <c r="X3699" t="inlineStr">
        <is>
          <t>2003-10-03</t>
        </is>
      </c>
      <c r="Y3699" t="inlineStr">
        <is>
          <t>1990-02-16</t>
        </is>
      </c>
      <c r="Z3699" t="inlineStr">
        <is>
          <t>1990-02-16</t>
        </is>
      </c>
      <c r="AA3699" t="n">
        <v>734</v>
      </c>
      <c r="AB3699" t="n">
        <v>530</v>
      </c>
      <c r="AC3699" t="n">
        <v>540</v>
      </c>
      <c r="AD3699" t="n">
        <v>3</v>
      </c>
      <c r="AE3699" t="n">
        <v>3</v>
      </c>
      <c r="AF3699" t="n">
        <v>30</v>
      </c>
      <c r="AG3699" t="n">
        <v>31</v>
      </c>
      <c r="AH3699" t="n">
        <v>15</v>
      </c>
      <c r="AI3699" t="n">
        <v>16</v>
      </c>
      <c r="AJ3699" t="n">
        <v>6</v>
      </c>
      <c r="AK3699" t="n">
        <v>6</v>
      </c>
      <c r="AL3699" t="n">
        <v>18</v>
      </c>
      <c r="AM3699" t="n">
        <v>18</v>
      </c>
      <c r="AN3699" t="n">
        <v>2</v>
      </c>
      <c r="AO3699" t="n">
        <v>2</v>
      </c>
      <c r="AP3699" t="n">
        <v>0</v>
      </c>
      <c r="AQ3699" t="n">
        <v>0</v>
      </c>
      <c r="AR3699" t="inlineStr">
        <is>
          <t>No</t>
        </is>
      </c>
      <c r="AS3699" t="inlineStr">
        <is>
          <t>Yes</t>
        </is>
      </c>
      <c r="AT3699">
        <f>HYPERLINK("http://catalog.hathitrust.org/Record/000875276","HathiTrust Record")</f>
        <v/>
      </c>
      <c r="AU3699">
        <f>HYPERLINK("https://creighton-primo.hosted.exlibrisgroup.com/primo-explore/search?tab=default_tab&amp;search_scope=EVERYTHING&amp;vid=01CRU&amp;lang=en_US&amp;offset=0&amp;query=any,contains,991000978179702656","Catalog Record")</f>
        <v/>
      </c>
      <c r="AV3699">
        <f>HYPERLINK("http://www.worldcat.org/oclc/15017295","WorldCat Record")</f>
        <v/>
      </c>
      <c r="AW3699" t="inlineStr">
        <is>
          <t>8567909:eng</t>
        </is>
      </c>
      <c r="AX3699" t="inlineStr">
        <is>
          <t>15017295</t>
        </is>
      </c>
      <c r="AY3699" t="inlineStr">
        <is>
          <t>991000978179702656</t>
        </is>
      </c>
      <c r="AZ3699" t="inlineStr">
        <is>
          <t>991000978179702656</t>
        </is>
      </c>
      <c r="BA3699" t="inlineStr">
        <is>
          <t>2265025320002656</t>
        </is>
      </c>
      <c r="BB3699" t="inlineStr">
        <is>
          <t>BOOK</t>
        </is>
      </c>
      <c r="BD3699" t="inlineStr">
        <is>
          <t>9780582493704</t>
        </is>
      </c>
      <c r="BE3699" t="inlineStr">
        <is>
          <t>32285000038934</t>
        </is>
      </c>
      <c r="BF3699" t="inlineStr">
        <is>
          <t>893626531</t>
        </is>
      </c>
    </row>
    <row r="3700">
      <c r="A3700" t="inlineStr">
        <is>
          <t>No</t>
        </is>
      </c>
      <c r="B3700" t="inlineStr">
        <is>
          <t>CURAL</t>
        </is>
      </c>
      <c r="C3700" t="inlineStr">
        <is>
          <t>SHELVES</t>
        </is>
      </c>
      <c r="D3700" t="inlineStr">
        <is>
          <t>PR851 .S67</t>
        </is>
      </c>
      <c r="E3700" t="inlineStr">
        <is>
          <t>0                      PR 0851000S  67</t>
        </is>
      </c>
      <c r="F3700" t="inlineStr">
        <is>
          <t>Before Jane Austen; the shaping of the English novel in the eighteenth century, by Harrison R. Steeves.</t>
        </is>
      </c>
      <c r="H3700" t="inlineStr">
        <is>
          <t>No</t>
        </is>
      </c>
      <c r="I3700" t="inlineStr">
        <is>
          <t>1</t>
        </is>
      </c>
      <c r="J3700" t="inlineStr">
        <is>
          <t>No</t>
        </is>
      </c>
      <c r="K3700" t="inlineStr">
        <is>
          <t>No</t>
        </is>
      </c>
      <c r="L3700" t="inlineStr">
        <is>
          <t>0</t>
        </is>
      </c>
      <c r="M3700" t="inlineStr">
        <is>
          <t>Steeves, Harrison R. (Harrison Ross), 1881-</t>
        </is>
      </c>
      <c r="N3700" t="inlineStr">
        <is>
          <t>New York, Holt, Rinehart and Winston [1965]</t>
        </is>
      </c>
      <c r="O3700" t="inlineStr">
        <is>
          <t>1965</t>
        </is>
      </c>
      <c r="P3700" t="inlineStr">
        <is>
          <t>[1st ed.]</t>
        </is>
      </c>
      <c r="Q3700" t="inlineStr">
        <is>
          <t>eng</t>
        </is>
      </c>
      <c r="R3700" t="inlineStr">
        <is>
          <t>nyu</t>
        </is>
      </c>
      <c r="T3700" t="inlineStr">
        <is>
          <t xml:space="preserve">PR </t>
        </is>
      </c>
      <c r="U3700" t="n">
        <v>4</v>
      </c>
      <c r="V3700" t="n">
        <v>4</v>
      </c>
      <c r="W3700" t="inlineStr">
        <is>
          <t>2001-04-12</t>
        </is>
      </c>
      <c r="X3700" t="inlineStr">
        <is>
          <t>2001-04-12</t>
        </is>
      </c>
      <c r="Y3700" t="inlineStr">
        <is>
          <t>1997-09-12</t>
        </is>
      </c>
      <c r="Z3700" t="inlineStr">
        <is>
          <t>1997-09-12</t>
        </is>
      </c>
      <c r="AA3700" t="n">
        <v>1326</v>
      </c>
      <c r="AB3700" t="n">
        <v>1244</v>
      </c>
      <c r="AC3700" t="n">
        <v>1277</v>
      </c>
      <c r="AD3700" t="n">
        <v>10</v>
      </c>
      <c r="AE3700" t="n">
        <v>10</v>
      </c>
      <c r="AF3700" t="n">
        <v>44</v>
      </c>
      <c r="AG3700" t="n">
        <v>45</v>
      </c>
      <c r="AH3700" t="n">
        <v>15</v>
      </c>
      <c r="AI3700" t="n">
        <v>16</v>
      </c>
      <c r="AJ3700" t="n">
        <v>8</v>
      </c>
      <c r="AK3700" t="n">
        <v>8</v>
      </c>
      <c r="AL3700" t="n">
        <v>21</v>
      </c>
      <c r="AM3700" t="n">
        <v>22</v>
      </c>
      <c r="AN3700" t="n">
        <v>8</v>
      </c>
      <c r="AO3700" t="n">
        <v>8</v>
      </c>
      <c r="AP3700" t="n">
        <v>0</v>
      </c>
      <c r="AQ3700" t="n">
        <v>0</v>
      </c>
      <c r="AR3700" t="inlineStr">
        <is>
          <t>No</t>
        </is>
      </c>
      <c r="AS3700" t="inlineStr">
        <is>
          <t>Yes</t>
        </is>
      </c>
      <c r="AT3700">
        <f>HYPERLINK("http://catalog.hathitrust.org/Record/001016704","HathiTrust Record")</f>
        <v/>
      </c>
      <c r="AU3700">
        <f>HYPERLINK("https://creighton-primo.hosted.exlibrisgroup.com/primo-explore/search?tab=default_tab&amp;search_scope=EVERYTHING&amp;vid=01CRU&amp;lang=en_US&amp;offset=0&amp;query=any,contains,991003430249702656","Catalog Record")</f>
        <v/>
      </c>
      <c r="AV3700">
        <f>HYPERLINK("http://www.worldcat.org/oclc/965402","WorldCat Record")</f>
        <v/>
      </c>
      <c r="AW3700" t="inlineStr">
        <is>
          <t>285058679:eng</t>
        </is>
      </c>
      <c r="AX3700" t="inlineStr">
        <is>
          <t>965402</t>
        </is>
      </c>
      <c r="AY3700" t="inlineStr">
        <is>
          <t>991003430249702656</t>
        </is>
      </c>
      <c r="AZ3700" t="inlineStr">
        <is>
          <t>991003430249702656</t>
        </is>
      </c>
      <c r="BA3700" t="inlineStr">
        <is>
          <t>2258315960002656</t>
        </is>
      </c>
      <c r="BB3700" t="inlineStr">
        <is>
          <t>BOOK</t>
        </is>
      </c>
      <c r="BE3700" t="inlineStr">
        <is>
          <t>32285003216511</t>
        </is>
      </c>
      <c r="BF3700" t="inlineStr">
        <is>
          <t>893511935</t>
        </is>
      </c>
    </row>
    <row r="3701">
      <c r="A3701" t="inlineStr">
        <is>
          <t>No</t>
        </is>
      </c>
      <c r="B3701" t="inlineStr">
        <is>
          <t>CURAL</t>
        </is>
      </c>
      <c r="C3701" t="inlineStr">
        <is>
          <t>SHELVES</t>
        </is>
      </c>
      <c r="D3701" t="inlineStr">
        <is>
          <t>PR851 .S687 1990</t>
        </is>
      </c>
      <c r="E3701" t="inlineStr">
        <is>
          <t>0                      PR 0851000S  687         1990</t>
        </is>
      </c>
      <c r="F3701" t="inlineStr">
        <is>
          <t>The British novel, Defoe to Austen : a critical history / John Allen Stevenson.</t>
        </is>
      </c>
      <c r="H3701" t="inlineStr">
        <is>
          <t>No</t>
        </is>
      </c>
      <c r="I3701" t="inlineStr">
        <is>
          <t>1</t>
        </is>
      </c>
      <c r="J3701" t="inlineStr">
        <is>
          <t>No</t>
        </is>
      </c>
      <c r="K3701" t="inlineStr">
        <is>
          <t>No</t>
        </is>
      </c>
      <c r="L3701" t="inlineStr">
        <is>
          <t>0</t>
        </is>
      </c>
      <c r="M3701" t="inlineStr">
        <is>
          <t>Stevenson, John Allen.</t>
        </is>
      </c>
      <c r="N3701" t="inlineStr">
        <is>
          <t>Boston : Twayne, 1990.</t>
        </is>
      </c>
      <c r="O3701" t="inlineStr">
        <is>
          <t>1990</t>
        </is>
      </c>
      <c r="Q3701" t="inlineStr">
        <is>
          <t>eng</t>
        </is>
      </c>
      <c r="R3701" t="inlineStr">
        <is>
          <t>mau</t>
        </is>
      </c>
      <c r="S3701" t="inlineStr">
        <is>
          <t>Twayne's critical history of the novel</t>
        </is>
      </c>
      <c r="T3701" t="inlineStr">
        <is>
          <t xml:space="preserve">PR </t>
        </is>
      </c>
      <c r="U3701" t="n">
        <v>1</v>
      </c>
      <c r="V3701" t="n">
        <v>1</v>
      </c>
      <c r="W3701" t="inlineStr">
        <is>
          <t>2004-09-16</t>
        </is>
      </c>
      <c r="X3701" t="inlineStr">
        <is>
          <t>2004-09-16</t>
        </is>
      </c>
      <c r="Y3701" t="inlineStr">
        <is>
          <t>2004-09-16</t>
        </is>
      </c>
      <c r="Z3701" t="inlineStr">
        <is>
          <t>2004-09-16</t>
        </is>
      </c>
      <c r="AA3701" t="n">
        <v>733</v>
      </c>
      <c r="AB3701" t="n">
        <v>624</v>
      </c>
      <c r="AC3701" t="n">
        <v>624</v>
      </c>
      <c r="AD3701" t="n">
        <v>4</v>
      </c>
      <c r="AE3701" t="n">
        <v>4</v>
      </c>
      <c r="AF3701" t="n">
        <v>25</v>
      </c>
      <c r="AG3701" t="n">
        <v>25</v>
      </c>
      <c r="AH3701" t="n">
        <v>11</v>
      </c>
      <c r="AI3701" t="n">
        <v>11</v>
      </c>
      <c r="AJ3701" t="n">
        <v>3</v>
      </c>
      <c r="AK3701" t="n">
        <v>3</v>
      </c>
      <c r="AL3701" t="n">
        <v>14</v>
      </c>
      <c r="AM3701" t="n">
        <v>14</v>
      </c>
      <c r="AN3701" t="n">
        <v>3</v>
      </c>
      <c r="AO3701" t="n">
        <v>3</v>
      </c>
      <c r="AP3701" t="n">
        <v>0</v>
      </c>
      <c r="AQ3701" t="n">
        <v>0</v>
      </c>
      <c r="AR3701" t="inlineStr">
        <is>
          <t>No</t>
        </is>
      </c>
      <c r="AS3701" t="inlineStr">
        <is>
          <t>No</t>
        </is>
      </c>
      <c r="AU3701">
        <f>HYPERLINK("https://creighton-primo.hosted.exlibrisgroup.com/primo-explore/search?tab=default_tab&amp;search_scope=EVERYTHING&amp;vid=01CRU&amp;lang=en_US&amp;offset=0&amp;query=any,contains,991004375909702656","Catalog Record")</f>
        <v/>
      </c>
      <c r="AV3701">
        <f>HYPERLINK("http://www.worldcat.org/oclc/21335645","WorldCat Record")</f>
        <v/>
      </c>
      <c r="AW3701" t="inlineStr">
        <is>
          <t>23490027:eng</t>
        </is>
      </c>
      <c r="AX3701" t="inlineStr">
        <is>
          <t>21335645</t>
        </is>
      </c>
      <c r="AY3701" t="inlineStr">
        <is>
          <t>991004375909702656</t>
        </is>
      </c>
      <c r="AZ3701" t="inlineStr">
        <is>
          <t>991004375909702656</t>
        </is>
      </c>
      <c r="BA3701" t="inlineStr">
        <is>
          <t>2263974550002656</t>
        </is>
      </c>
      <c r="BB3701" t="inlineStr">
        <is>
          <t>BOOK</t>
        </is>
      </c>
      <c r="BD3701" t="inlineStr">
        <is>
          <t>9780805778526</t>
        </is>
      </c>
      <c r="BE3701" t="inlineStr">
        <is>
          <t>32285004988126</t>
        </is>
      </c>
      <c r="BF3701" t="inlineStr">
        <is>
          <t>893894917</t>
        </is>
      </c>
    </row>
    <row r="3702">
      <c r="A3702" t="inlineStr">
        <is>
          <t>No</t>
        </is>
      </c>
      <c r="B3702" t="inlineStr">
        <is>
          <t>CURAL</t>
        </is>
      </c>
      <c r="C3702" t="inlineStr">
        <is>
          <t>SHELVES</t>
        </is>
      </c>
      <c r="D3702" t="inlineStr">
        <is>
          <t>PR851 .T6</t>
        </is>
      </c>
      <c r="E3702" t="inlineStr">
        <is>
          <t>0                      PR 0851000T  6</t>
        </is>
      </c>
      <c r="F3702" t="inlineStr">
        <is>
          <t>The popular novel in England, 1770-1800.</t>
        </is>
      </c>
      <c r="H3702" t="inlineStr">
        <is>
          <t>No</t>
        </is>
      </c>
      <c r="I3702" t="inlineStr">
        <is>
          <t>1</t>
        </is>
      </c>
      <c r="J3702" t="inlineStr">
        <is>
          <t>No</t>
        </is>
      </c>
      <c r="K3702" t="inlineStr">
        <is>
          <t>No</t>
        </is>
      </c>
      <c r="L3702" t="inlineStr">
        <is>
          <t>0</t>
        </is>
      </c>
      <c r="M3702" t="inlineStr">
        <is>
          <t>Tompkins, J. M. S. (Joyce Marjorie Sanxter), 1897-1986.</t>
        </is>
      </c>
      <c r="N3702" t="inlineStr">
        <is>
          <t>Lincoln, University of Nebraska Press, 1961.</t>
        </is>
      </c>
      <c r="O3702" t="inlineStr">
        <is>
          <t>1961</t>
        </is>
      </c>
      <c r="Q3702" t="inlineStr">
        <is>
          <t>eng</t>
        </is>
      </c>
      <c r="R3702" t="inlineStr">
        <is>
          <t>nbu</t>
        </is>
      </c>
      <c r="T3702" t="inlineStr">
        <is>
          <t xml:space="preserve">PR </t>
        </is>
      </c>
      <c r="U3702" t="n">
        <v>1</v>
      </c>
      <c r="V3702" t="n">
        <v>1</v>
      </c>
      <c r="W3702" t="inlineStr">
        <is>
          <t>2004-11-13</t>
        </is>
      </c>
      <c r="X3702" t="inlineStr">
        <is>
          <t>2004-11-13</t>
        </is>
      </c>
      <c r="Y3702" t="inlineStr">
        <is>
          <t>1997-09-12</t>
        </is>
      </c>
      <c r="Z3702" t="inlineStr">
        <is>
          <t>1997-09-12</t>
        </is>
      </c>
      <c r="AA3702" t="n">
        <v>749</v>
      </c>
      <c r="AB3702" t="n">
        <v>691</v>
      </c>
      <c r="AC3702" t="n">
        <v>858</v>
      </c>
      <c r="AD3702" t="n">
        <v>8</v>
      </c>
      <c r="AE3702" t="n">
        <v>9</v>
      </c>
      <c r="AF3702" t="n">
        <v>32</v>
      </c>
      <c r="AG3702" t="n">
        <v>43</v>
      </c>
      <c r="AH3702" t="n">
        <v>10</v>
      </c>
      <c r="AI3702" t="n">
        <v>15</v>
      </c>
      <c r="AJ3702" t="n">
        <v>7</v>
      </c>
      <c r="AK3702" t="n">
        <v>8</v>
      </c>
      <c r="AL3702" t="n">
        <v>16</v>
      </c>
      <c r="AM3702" t="n">
        <v>22</v>
      </c>
      <c r="AN3702" t="n">
        <v>6</v>
      </c>
      <c r="AO3702" t="n">
        <v>7</v>
      </c>
      <c r="AP3702" t="n">
        <v>0</v>
      </c>
      <c r="AQ3702" t="n">
        <v>0</v>
      </c>
      <c r="AR3702" t="inlineStr">
        <is>
          <t>No</t>
        </is>
      </c>
      <c r="AS3702" t="inlineStr">
        <is>
          <t>No</t>
        </is>
      </c>
      <c r="AT3702">
        <f>HYPERLINK("http://catalog.hathitrust.org/Record/001016705","HathiTrust Record")</f>
        <v/>
      </c>
      <c r="AU3702">
        <f>HYPERLINK("https://creighton-primo.hosted.exlibrisgroup.com/primo-explore/search?tab=default_tab&amp;search_scope=EVERYTHING&amp;vid=01CRU&amp;lang=en_US&amp;offset=0&amp;query=any,contains,991002441099702656","Catalog Record")</f>
        <v/>
      </c>
      <c r="AV3702">
        <f>HYPERLINK("http://www.worldcat.org/oclc/350148","WorldCat Record")</f>
        <v/>
      </c>
      <c r="AW3702" t="inlineStr">
        <is>
          <t>150847556:eng</t>
        </is>
      </c>
      <c r="AX3702" t="inlineStr">
        <is>
          <t>350148</t>
        </is>
      </c>
      <c r="AY3702" t="inlineStr">
        <is>
          <t>991002441099702656</t>
        </is>
      </c>
      <c r="AZ3702" t="inlineStr">
        <is>
          <t>991002441099702656</t>
        </is>
      </c>
      <c r="BA3702" t="inlineStr">
        <is>
          <t>2268374090002656</t>
        </is>
      </c>
      <c r="BB3702" t="inlineStr">
        <is>
          <t>BOOK</t>
        </is>
      </c>
      <c r="BE3702" t="inlineStr">
        <is>
          <t>32285003216529</t>
        </is>
      </c>
      <c r="BF3702" t="inlineStr">
        <is>
          <t>893251232</t>
        </is>
      </c>
    </row>
    <row r="3703">
      <c r="A3703" t="inlineStr">
        <is>
          <t>No</t>
        </is>
      </c>
      <c r="B3703" t="inlineStr">
        <is>
          <t>CURAL</t>
        </is>
      </c>
      <c r="C3703" t="inlineStr">
        <is>
          <t>SHELVES</t>
        </is>
      </c>
      <c r="D3703" t="inlineStr">
        <is>
          <t>PR8511 .C7 1976</t>
        </is>
      </c>
      <c r="E3703" t="inlineStr">
        <is>
          <t>0                      PR 8511000C  7           1976</t>
        </is>
      </c>
      <c r="F3703" t="inlineStr">
        <is>
          <t>Scottish literature and the Scottish people, 1680-1830 / David Craig.</t>
        </is>
      </c>
      <c r="H3703" t="inlineStr">
        <is>
          <t>No</t>
        </is>
      </c>
      <c r="I3703" t="inlineStr">
        <is>
          <t>1</t>
        </is>
      </c>
      <c r="J3703" t="inlineStr">
        <is>
          <t>No</t>
        </is>
      </c>
      <c r="K3703" t="inlineStr">
        <is>
          <t>No</t>
        </is>
      </c>
      <c r="L3703" t="inlineStr">
        <is>
          <t>0</t>
        </is>
      </c>
      <c r="M3703" t="inlineStr">
        <is>
          <t>Craig, David, 1932-</t>
        </is>
      </c>
      <c r="N3703" t="inlineStr">
        <is>
          <t>Westport, Conn. : Greenwood Press, 1976, c1961.</t>
        </is>
      </c>
      <c r="O3703" t="inlineStr">
        <is>
          <t>1976</t>
        </is>
      </c>
      <c r="Q3703" t="inlineStr">
        <is>
          <t>eng</t>
        </is>
      </c>
      <c r="R3703" t="inlineStr">
        <is>
          <t>ctu</t>
        </is>
      </c>
      <c r="T3703" t="inlineStr">
        <is>
          <t xml:space="preserve">PR </t>
        </is>
      </c>
      <c r="U3703" t="n">
        <v>1</v>
      </c>
      <c r="V3703" t="n">
        <v>1</v>
      </c>
      <c r="W3703" t="inlineStr">
        <is>
          <t>2001-08-01</t>
        </is>
      </c>
      <c r="X3703" t="inlineStr">
        <is>
          <t>2001-08-01</t>
        </is>
      </c>
      <c r="Y3703" t="inlineStr">
        <is>
          <t>1997-04-25</t>
        </is>
      </c>
      <c r="Z3703" t="inlineStr">
        <is>
          <t>1997-04-25</t>
        </is>
      </c>
      <c r="AA3703" t="n">
        <v>82</v>
      </c>
      <c r="AB3703" t="n">
        <v>76</v>
      </c>
      <c r="AC3703" t="n">
        <v>493</v>
      </c>
      <c r="AD3703" t="n">
        <v>1</v>
      </c>
      <c r="AE3703" t="n">
        <v>2</v>
      </c>
      <c r="AF3703" t="n">
        <v>2</v>
      </c>
      <c r="AG3703" t="n">
        <v>21</v>
      </c>
      <c r="AH3703" t="n">
        <v>1</v>
      </c>
      <c r="AI3703" t="n">
        <v>8</v>
      </c>
      <c r="AJ3703" t="n">
        <v>2</v>
      </c>
      <c r="AK3703" t="n">
        <v>6</v>
      </c>
      <c r="AL3703" t="n">
        <v>1</v>
      </c>
      <c r="AM3703" t="n">
        <v>15</v>
      </c>
      <c r="AN3703" t="n">
        <v>0</v>
      </c>
      <c r="AO3703" t="n">
        <v>1</v>
      </c>
      <c r="AP3703" t="n">
        <v>0</v>
      </c>
      <c r="AQ3703" t="n">
        <v>0</v>
      </c>
      <c r="AR3703" t="inlineStr">
        <is>
          <t>No</t>
        </is>
      </c>
      <c r="AS3703" t="inlineStr">
        <is>
          <t>Yes</t>
        </is>
      </c>
      <c r="AT3703">
        <f>HYPERLINK("http://catalog.hathitrust.org/Record/004453427","HathiTrust Record")</f>
        <v/>
      </c>
      <c r="AU3703">
        <f>HYPERLINK("https://creighton-primo.hosted.exlibrisgroup.com/primo-explore/search?tab=default_tab&amp;search_scope=EVERYTHING&amp;vid=01CRU&amp;lang=en_US&amp;offset=0&amp;query=any,contains,991004210899702656","Catalog Record")</f>
        <v/>
      </c>
      <c r="AV3703">
        <f>HYPERLINK("http://www.worldcat.org/oclc/2681929","WorldCat Record")</f>
        <v/>
      </c>
      <c r="AW3703" t="inlineStr">
        <is>
          <t>1372991:eng</t>
        </is>
      </c>
      <c r="AX3703" t="inlineStr">
        <is>
          <t>2681929</t>
        </is>
      </c>
      <c r="AY3703" t="inlineStr">
        <is>
          <t>991004210899702656</t>
        </is>
      </c>
      <c r="AZ3703" t="inlineStr">
        <is>
          <t>991004210899702656</t>
        </is>
      </c>
      <c r="BA3703" t="inlineStr">
        <is>
          <t>2268694630002656</t>
        </is>
      </c>
      <c r="BB3703" t="inlineStr">
        <is>
          <t>BOOK</t>
        </is>
      </c>
      <c r="BD3703" t="inlineStr">
        <is>
          <t>9780837190822</t>
        </is>
      </c>
      <c r="BE3703" t="inlineStr">
        <is>
          <t>32285002591948</t>
        </is>
      </c>
      <c r="BF3703" t="inlineStr">
        <is>
          <t>893446084</t>
        </is>
      </c>
    </row>
    <row r="3704">
      <c r="A3704" t="inlineStr">
        <is>
          <t>No</t>
        </is>
      </c>
      <c r="B3704" t="inlineStr">
        <is>
          <t>CURAL</t>
        </is>
      </c>
      <c r="C3704" t="inlineStr">
        <is>
          <t>SHELVES</t>
        </is>
      </c>
      <c r="D3704" t="inlineStr">
        <is>
          <t>PR8511 .W38 1985</t>
        </is>
      </c>
      <c r="E3704" t="inlineStr">
        <is>
          <t>0                      PR 8511000W  38          1985</t>
        </is>
      </c>
      <c r="F3704" t="inlineStr">
        <is>
          <t>The literature of Scotland / Roderick Watson.</t>
        </is>
      </c>
      <c r="H3704" t="inlineStr">
        <is>
          <t>No</t>
        </is>
      </c>
      <c r="I3704" t="inlineStr">
        <is>
          <t>1</t>
        </is>
      </c>
      <c r="J3704" t="inlineStr">
        <is>
          <t>No</t>
        </is>
      </c>
      <c r="K3704" t="inlineStr">
        <is>
          <t>No</t>
        </is>
      </c>
      <c r="L3704" t="inlineStr">
        <is>
          <t>0</t>
        </is>
      </c>
      <c r="M3704" t="inlineStr">
        <is>
          <t>Watson, Roderick, 1943-</t>
        </is>
      </c>
      <c r="N3704" t="inlineStr">
        <is>
          <t>New York : Schocken Books, 1985, c1984.</t>
        </is>
      </c>
      <c r="O3704" t="inlineStr">
        <is>
          <t>1985</t>
        </is>
      </c>
      <c r="P3704" t="inlineStr">
        <is>
          <t>1st American ed.</t>
        </is>
      </c>
      <c r="Q3704" t="inlineStr">
        <is>
          <t>eng</t>
        </is>
      </c>
      <c r="R3704" t="inlineStr">
        <is>
          <t>nyu</t>
        </is>
      </c>
      <c r="S3704" t="inlineStr">
        <is>
          <t>History of literature series</t>
        </is>
      </c>
      <c r="T3704" t="inlineStr">
        <is>
          <t xml:space="preserve">PR </t>
        </is>
      </c>
      <c r="U3704" t="n">
        <v>1</v>
      </c>
      <c r="V3704" t="n">
        <v>1</v>
      </c>
      <c r="W3704" t="inlineStr">
        <is>
          <t>2001-08-01</t>
        </is>
      </c>
      <c r="X3704" t="inlineStr">
        <is>
          <t>2001-08-01</t>
        </is>
      </c>
      <c r="Y3704" t="inlineStr">
        <is>
          <t>1992-08-14</t>
        </is>
      </c>
      <c r="Z3704" t="inlineStr">
        <is>
          <t>1992-08-14</t>
        </is>
      </c>
      <c r="AA3704" t="n">
        <v>284</v>
      </c>
      <c r="AB3704" t="n">
        <v>268</v>
      </c>
      <c r="AC3704" t="n">
        <v>428</v>
      </c>
      <c r="AD3704" t="n">
        <v>2</v>
      </c>
      <c r="AE3704" t="n">
        <v>4</v>
      </c>
      <c r="AF3704" t="n">
        <v>9</v>
      </c>
      <c r="AG3704" t="n">
        <v>17</v>
      </c>
      <c r="AH3704" t="n">
        <v>4</v>
      </c>
      <c r="AI3704" t="n">
        <v>6</v>
      </c>
      <c r="AJ3704" t="n">
        <v>2</v>
      </c>
      <c r="AK3704" t="n">
        <v>3</v>
      </c>
      <c r="AL3704" t="n">
        <v>5</v>
      </c>
      <c r="AM3704" t="n">
        <v>10</v>
      </c>
      <c r="AN3704" t="n">
        <v>1</v>
      </c>
      <c r="AO3704" t="n">
        <v>3</v>
      </c>
      <c r="AP3704" t="n">
        <v>0</v>
      </c>
      <c r="AQ3704" t="n">
        <v>0</v>
      </c>
      <c r="AR3704" t="inlineStr">
        <is>
          <t>No</t>
        </is>
      </c>
      <c r="AS3704" t="inlineStr">
        <is>
          <t>No</t>
        </is>
      </c>
      <c r="AU3704">
        <f>HYPERLINK("https://creighton-primo.hosted.exlibrisgroup.com/primo-explore/search?tab=default_tab&amp;search_scope=EVERYTHING&amp;vid=01CRU&amp;lang=en_US&amp;offset=0&amp;query=any,contains,991000454609702656","Catalog Record")</f>
        <v/>
      </c>
      <c r="AV3704">
        <f>HYPERLINK("http://www.worldcat.org/oclc/10913383","WorldCat Record")</f>
        <v/>
      </c>
      <c r="AW3704" t="inlineStr">
        <is>
          <t>3104260:eng</t>
        </is>
      </c>
      <c r="AX3704" t="inlineStr">
        <is>
          <t>10913383</t>
        </is>
      </c>
      <c r="AY3704" t="inlineStr">
        <is>
          <t>991000454609702656</t>
        </is>
      </c>
      <c r="AZ3704" t="inlineStr">
        <is>
          <t>991000454609702656</t>
        </is>
      </c>
      <c r="BA3704" t="inlineStr">
        <is>
          <t>2258627480002656</t>
        </is>
      </c>
      <c r="BB3704" t="inlineStr">
        <is>
          <t>BOOK</t>
        </is>
      </c>
      <c r="BD3704" t="inlineStr">
        <is>
          <t>9780805239492</t>
        </is>
      </c>
      <c r="BE3704" t="inlineStr">
        <is>
          <t>32285001244978</t>
        </is>
      </c>
      <c r="BF3704" t="inlineStr">
        <is>
          <t>893777943</t>
        </is>
      </c>
    </row>
    <row r="3705">
      <c r="A3705" t="inlineStr">
        <is>
          <t>No</t>
        </is>
      </c>
      <c r="B3705" t="inlineStr">
        <is>
          <t>CURAL</t>
        </is>
      </c>
      <c r="C3705" t="inlineStr">
        <is>
          <t>SHELVES</t>
        </is>
      </c>
      <c r="D3705" t="inlineStr">
        <is>
          <t>PR852 .W5</t>
        </is>
      </c>
      <c r="E3705" t="inlineStr">
        <is>
          <t>0                      PR 0852000W  5</t>
        </is>
      </c>
      <c r="F3705" t="inlineStr">
        <is>
          <t>Novel and romance, 1700-1800; a documentary record. Edited by Ioan Williams.</t>
        </is>
      </c>
      <c r="H3705" t="inlineStr">
        <is>
          <t>No</t>
        </is>
      </c>
      <c r="I3705" t="inlineStr">
        <is>
          <t>1</t>
        </is>
      </c>
      <c r="J3705" t="inlineStr">
        <is>
          <t>No</t>
        </is>
      </c>
      <c r="K3705" t="inlineStr">
        <is>
          <t>No</t>
        </is>
      </c>
      <c r="L3705" t="inlineStr">
        <is>
          <t>0</t>
        </is>
      </c>
      <c r="M3705" t="inlineStr">
        <is>
          <t>Williams, Ioan M. compiler.</t>
        </is>
      </c>
      <c r="N3705" t="inlineStr">
        <is>
          <t>New York, Barnes &amp; Noble [1970]</t>
        </is>
      </c>
      <c r="O3705" t="inlineStr">
        <is>
          <t>1970</t>
        </is>
      </c>
      <c r="Q3705" t="inlineStr">
        <is>
          <t>eng</t>
        </is>
      </c>
      <c r="R3705" t="inlineStr">
        <is>
          <t>nyu</t>
        </is>
      </c>
      <c r="T3705" t="inlineStr">
        <is>
          <t xml:space="preserve">PR </t>
        </is>
      </c>
      <c r="U3705" t="n">
        <v>1</v>
      </c>
      <c r="V3705" t="n">
        <v>1</v>
      </c>
      <c r="W3705" t="inlineStr">
        <is>
          <t>2004-11-27</t>
        </is>
      </c>
      <c r="X3705" t="inlineStr">
        <is>
          <t>2004-11-27</t>
        </is>
      </c>
      <c r="Y3705" t="inlineStr">
        <is>
          <t>1997-09-12</t>
        </is>
      </c>
      <c r="Z3705" t="inlineStr">
        <is>
          <t>1997-09-12</t>
        </is>
      </c>
      <c r="AA3705" t="n">
        <v>459</v>
      </c>
      <c r="AB3705" t="n">
        <v>439</v>
      </c>
      <c r="AC3705" t="n">
        <v>566</v>
      </c>
      <c r="AD3705" t="n">
        <v>4</v>
      </c>
      <c r="AE3705" t="n">
        <v>4</v>
      </c>
      <c r="AF3705" t="n">
        <v>23</v>
      </c>
      <c r="AG3705" t="n">
        <v>30</v>
      </c>
      <c r="AH3705" t="n">
        <v>10</v>
      </c>
      <c r="AI3705" t="n">
        <v>10</v>
      </c>
      <c r="AJ3705" t="n">
        <v>5</v>
      </c>
      <c r="AK3705" t="n">
        <v>7</v>
      </c>
      <c r="AL3705" t="n">
        <v>11</v>
      </c>
      <c r="AM3705" t="n">
        <v>18</v>
      </c>
      <c r="AN3705" t="n">
        <v>3</v>
      </c>
      <c r="AO3705" t="n">
        <v>3</v>
      </c>
      <c r="AP3705" t="n">
        <v>0</v>
      </c>
      <c r="AQ3705" t="n">
        <v>0</v>
      </c>
      <c r="AR3705" t="inlineStr">
        <is>
          <t>No</t>
        </is>
      </c>
      <c r="AS3705" t="inlineStr">
        <is>
          <t>No</t>
        </is>
      </c>
      <c r="AU3705">
        <f>HYPERLINK("https://creighton-primo.hosted.exlibrisgroup.com/primo-explore/search?tab=default_tab&amp;search_scope=EVERYTHING&amp;vid=01CRU&amp;lang=en_US&amp;offset=0&amp;query=any,contains,991000143689702656","Catalog Record")</f>
        <v/>
      </c>
      <c r="AV3705">
        <f>HYPERLINK("http://www.worldcat.org/oclc/58446","WorldCat Record")</f>
        <v/>
      </c>
      <c r="AW3705" t="inlineStr">
        <is>
          <t>836647625:eng</t>
        </is>
      </c>
      <c r="AX3705" t="inlineStr">
        <is>
          <t>58446</t>
        </is>
      </c>
      <c r="AY3705" t="inlineStr">
        <is>
          <t>991000143689702656</t>
        </is>
      </c>
      <c r="AZ3705" t="inlineStr">
        <is>
          <t>991000143689702656</t>
        </is>
      </c>
      <c r="BA3705" t="inlineStr">
        <is>
          <t>2260063360002656</t>
        </is>
      </c>
      <c r="BB3705" t="inlineStr">
        <is>
          <t>BOOK</t>
        </is>
      </c>
      <c r="BD3705" t="inlineStr">
        <is>
          <t>9780389010630</t>
        </is>
      </c>
      <c r="BE3705" t="inlineStr">
        <is>
          <t>32285003216537</t>
        </is>
      </c>
      <c r="BF3705" t="inlineStr">
        <is>
          <t>893771429</t>
        </is>
      </c>
    </row>
    <row r="3706">
      <c r="A3706" t="inlineStr">
        <is>
          <t>No</t>
        </is>
      </c>
      <c r="B3706" t="inlineStr">
        <is>
          <t>CURAL</t>
        </is>
      </c>
      <c r="C3706" t="inlineStr">
        <is>
          <t>SHELVES</t>
        </is>
      </c>
      <c r="D3706" t="inlineStr">
        <is>
          <t>PR853 .S6</t>
        </is>
      </c>
      <c r="E3706" t="inlineStr">
        <is>
          <t>0                      PR 0853000S  6</t>
        </is>
      </c>
      <c r="F3706" t="inlineStr">
        <is>
          <t>Essays on the eighteenth-century novel.</t>
        </is>
      </c>
      <c r="H3706" t="inlineStr">
        <is>
          <t>No</t>
        </is>
      </c>
      <c r="I3706" t="inlineStr">
        <is>
          <t>1</t>
        </is>
      </c>
      <c r="J3706" t="inlineStr">
        <is>
          <t>No</t>
        </is>
      </c>
      <c r="K3706" t="inlineStr">
        <is>
          <t>No</t>
        </is>
      </c>
      <c r="L3706" t="inlineStr">
        <is>
          <t>0</t>
        </is>
      </c>
      <c r="M3706" t="inlineStr">
        <is>
          <t>Spector, Robert Donald, editor.</t>
        </is>
      </c>
      <c r="N3706" t="inlineStr">
        <is>
          <t>Bloomington, Indiana University Press [1965]</t>
        </is>
      </c>
      <c r="O3706" t="inlineStr">
        <is>
          <t>1965</t>
        </is>
      </c>
      <c r="Q3706" t="inlineStr">
        <is>
          <t>eng</t>
        </is>
      </c>
      <c r="R3706" t="inlineStr">
        <is>
          <t>inu</t>
        </is>
      </c>
      <c r="S3706" t="inlineStr">
        <is>
          <t>A Midland book, MB-82</t>
        </is>
      </c>
      <c r="T3706" t="inlineStr">
        <is>
          <t xml:space="preserve">PR </t>
        </is>
      </c>
      <c r="U3706" t="n">
        <v>1</v>
      </c>
      <c r="V3706" t="n">
        <v>1</v>
      </c>
      <c r="W3706" t="inlineStr">
        <is>
          <t>2000-10-03</t>
        </is>
      </c>
      <c r="X3706" t="inlineStr">
        <is>
          <t>2000-10-03</t>
        </is>
      </c>
      <c r="Y3706" t="inlineStr">
        <is>
          <t>1997-09-12</t>
        </is>
      </c>
      <c r="Z3706" t="inlineStr">
        <is>
          <t>1997-09-12</t>
        </is>
      </c>
      <c r="AA3706" t="n">
        <v>962</v>
      </c>
      <c r="AB3706" t="n">
        <v>858</v>
      </c>
      <c r="AC3706" t="n">
        <v>871</v>
      </c>
      <c r="AD3706" t="n">
        <v>9</v>
      </c>
      <c r="AE3706" t="n">
        <v>9</v>
      </c>
      <c r="AF3706" t="n">
        <v>41</v>
      </c>
      <c r="AG3706" t="n">
        <v>41</v>
      </c>
      <c r="AH3706" t="n">
        <v>15</v>
      </c>
      <c r="AI3706" t="n">
        <v>15</v>
      </c>
      <c r="AJ3706" t="n">
        <v>8</v>
      </c>
      <c r="AK3706" t="n">
        <v>8</v>
      </c>
      <c r="AL3706" t="n">
        <v>22</v>
      </c>
      <c r="AM3706" t="n">
        <v>22</v>
      </c>
      <c r="AN3706" t="n">
        <v>8</v>
      </c>
      <c r="AO3706" t="n">
        <v>8</v>
      </c>
      <c r="AP3706" t="n">
        <v>0</v>
      </c>
      <c r="AQ3706" t="n">
        <v>0</v>
      </c>
      <c r="AR3706" t="inlineStr">
        <is>
          <t>No</t>
        </is>
      </c>
      <c r="AS3706" t="inlineStr">
        <is>
          <t>Yes</t>
        </is>
      </c>
      <c r="AT3706">
        <f>HYPERLINK("http://catalog.hathitrust.org/Record/001016706","HathiTrust Record")</f>
        <v/>
      </c>
      <c r="AU3706">
        <f>HYPERLINK("https://creighton-primo.hosted.exlibrisgroup.com/primo-explore/search?tab=default_tab&amp;search_scope=EVERYTHING&amp;vid=01CRU&amp;lang=en_US&amp;offset=0&amp;query=any,contains,991002441129702656","Catalog Record")</f>
        <v/>
      </c>
      <c r="AV3706">
        <f>HYPERLINK("http://www.worldcat.org/oclc/350151","WorldCat Record")</f>
        <v/>
      </c>
      <c r="AW3706" t="inlineStr">
        <is>
          <t>1382827:eng</t>
        </is>
      </c>
      <c r="AX3706" t="inlineStr">
        <is>
          <t>350151</t>
        </is>
      </c>
      <c r="AY3706" t="inlineStr">
        <is>
          <t>991002441129702656</t>
        </is>
      </c>
      <c r="AZ3706" t="inlineStr">
        <is>
          <t>991002441129702656</t>
        </is>
      </c>
      <c r="BA3706" t="inlineStr">
        <is>
          <t>2268373880002656</t>
        </is>
      </c>
      <c r="BB3706" t="inlineStr">
        <is>
          <t>BOOK</t>
        </is>
      </c>
      <c r="BE3706" t="inlineStr">
        <is>
          <t>32285003216545</t>
        </is>
      </c>
      <c r="BF3706" t="inlineStr">
        <is>
          <t>893622284</t>
        </is>
      </c>
    </row>
    <row r="3707">
      <c r="A3707" t="inlineStr">
        <is>
          <t>No</t>
        </is>
      </c>
      <c r="B3707" t="inlineStr">
        <is>
          <t>CURAL</t>
        </is>
      </c>
      <c r="C3707" t="inlineStr">
        <is>
          <t>SHELVES</t>
        </is>
      </c>
      <c r="D3707" t="inlineStr">
        <is>
          <t>PR858.A74 P38 1996</t>
        </is>
      </c>
      <c r="E3707" t="inlineStr">
        <is>
          <t>0                      PR 0858000A  74                 P  38          1996</t>
        </is>
      </c>
      <c r="F3707" t="inlineStr">
        <is>
          <t>The beautiful, novel, and strange : aesthetics and heterodoxy / Ronald Paulson.</t>
        </is>
      </c>
      <c r="H3707" t="inlineStr">
        <is>
          <t>No</t>
        </is>
      </c>
      <c r="I3707" t="inlineStr">
        <is>
          <t>1</t>
        </is>
      </c>
      <c r="J3707" t="inlineStr">
        <is>
          <t>No</t>
        </is>
      </c>
      <c r="K3707" t="inlineStr">
        <is>
          <t>No</t>
        </is>
      </c>
      <c r="L3707" t="inlineStr">
        <is>
          <t>0</t>
        </is>
      </c>
      <c r="M3707" t="inlineStr">
        <is>
          <t>Paulson, Ronald.</t>
        </is>
      </c>
      <c r="N3707" t="inlineStr">
        <is>
          <t>Baltimore : Johns Hopkins University Press, 1996.</t>
        </is>
      </c>
      <c r="O3707" t="inlineStr">
        <is>
          <t>1996</t>
        </is>
      </c>
      <c r="Q3707" t="inlineStr">
        <is>
          <t>eng</t>
        </is>
      </c>
      <c r="R3707" t="inlineStr">
        <is>
          <t>mdu</t>
        </is>
      </c>
      <c r="T3707" t="inlineStr">
        <is>
          <t xml:space="preserve">PR </t>
        </is>
      </c>
      <c r="U3707" t="n">
        <v>8</v>
      </c>
      <c r="V3707" t="n">
        <v>8</v>
      </c>
      <c r="W3707" t="inlineStr">
        <is>
          <t>2007-03-26</t>
        </is>
      </c>
      <c r="X3707" t="inlineStr">
        <is>
          <t>2007-03-26</t>
        </is>
      </c>
      <c r="Y3707" t="inlineStr">
        <is>
          <t>1996-02-21</t>
        </is>
      </c>
      <c r="Z3707" t="inlineStr">
        <is>
          <t>1996-02-21</t>
        </is>
      </c>
      <c r="AA3707" t="n">
        <v>486</v>
      </c>
      <c r="AB3707" t="n">
        <v>389</v>
      </c>
      <c r="AC3707" t="n">
        <v>496</v>
      </c>
      <c r="AD3707" t="n">
        <v>3</v>
      </c>
      <c r="AE3707" t="n">
        <v>5</v>
      </c>
      <c r="AF3707" t="n">
        <v>28</v>
      </c>
      <c r="AG3707" t="n">
        <v>33</v>
      </c>
      <c r="AH3707" t="n">
        <v>11</v>
      </c>
      <c r="AI3707" t="n">
        <v>14</v>
      </c>
      <c r="AJ3707" t="n">
        <v>8</v>
      </c>
      <c r="AK3707" t="n">
        <v>9</v>
      </c>
      <c r="AL3707" t="n">
        <v>15</v>
      </c>
      <c r="AM3707" t="n">
        <v>15</v>
      </c>
      <c r="AN3707" t="n">
        <v>2</v>
      </c>
      <c r="AO3707" t="n">
        <v>4</v>
      </c>
      <c r="AP3707" t="n">
        <v>0</v>
      </c>
      <c r="AQ3707" t="n">
        <v>0</v>
      </c>
      <c r="AR3707" t="inlineStr">
        <is>
          <t>No</t>
        </is>
      </c>
      <c r="AS3707" t="inlineStr">
        <is>
          <t>Yes</t>
        </is>
      </c>
      <c r="AT3707">
        <f>HYPERLINK("http://catalog.hathitrust.org/Record/003048498","HathiTrust Record")</f>
        <v/>
      </c>
      <c r="AU3707">
        <f>HYPERLINK("https://creighton-primo.hosted.exlibrisgroup.com/primo-explore/search?tab=default_tab&amp;search_scope=EVERYTHING&amp;vid=01CRU&amp;lang=en_US&amp;offset=0&amp;query=any,contains,991002501749702656","Catalog Record")</f>
        <v/>
      </c>
      <c r="AV3707">
        <f>HYPERLINK("http://www.worldcat.org/oclc/32545829","WorldCat Record")</f>
        <v/>
      </c>
      <c r="AW3707" t="inlineStr">
        <is>
          <t>806564434:eng</t>
        </is>
      </c>
      <c r="AX3707" t="inlineStr">
        <is>
          <t>32545829</t>
        </is>
      </c>
      <c r="AY3707" t="inlineStr">
        <is>
          <t>991002501749702656</t>
        </is>
      </c>
      <c r="AZ3707" t="inlineStr">
        <is>
          <t>991002501749702656</t>
        </is>
      </c>
      <c r="BA3707" t="inlineStr">
        <is>
          <t>2265120730002656</t>
        </is>
      </c>
      <c r="BB3707" t="inlineStr">
        <is>
          <t>BOOK</t>
        </is>
      </c>
      <c r="BD3707" t="inlineStr">
        <is>
          <t>9780801851711</t>
        </is>
      </c>
      <c r="BE3707" t="inlineStr">
        <is>
          <t>32285002136850</t>
        </is>
      </c>
      <c r="BF3707" t="inlineStr">
        <is>
          <t>893616208</t>
        </is>
      </c>
    </row>
    <row r="3708">
      <c r="A3708" t="inlineStr">
        <is>
          <t>No</t>
        </is>
      </c>
      <c r="B3708" t="inlineStr">
        <is>
          <t>CURAL</t>
        </is>
      </c>
      <c r="C3708" t="inlineStr">
        <is>
          <t>SHELVES</t>
        </is>
      </c>
      <c r="D3708" t="inlineStr">
        <is>
          <t>PR858.C25 C78 1999</t>
        </is>
      </c>
      <c r="E3708" t="inlineStr">
        <is>
          <t>0                      PR 0858000C  25                 C  78          1999</t>
        </is>
      </c>
      <c r="F3708" t="inlineStr">
        <is>
          <t>Governing consumption : needs and wants, suspended characters, and the "Origins" of eighteenth-century English novels / James Cruise.</t>
        </is>
      </c>
      <c r="H3708" t="inlineStr">
        <is>
          <t>No</t>
        </is>
      </c>
      <c r="I3708" t="inlineStr">
        <is>
          <t>1</t>
        </is>
      </c>
      <c r="J3708" t="inlineStr">
        <is>
          <t>No</t>
        </is>
      </c>
      <c r="K3708" t="inlineStr">
        <is>
          <t>No</t>
        </is>
      </c>
      <c r="L3708" t="inlineStr">
        <is>
          <t>0</t>
        </is>
      </c>
      <c r="M3708" t="inlineStr">
        <is>
          <t>Cruise, James, 1949-</t>
        </is>
      </c>
      <c r="N3708" t="inlineStr">
        <is>
          <t>Lewisburg, [Pa.] : Bucknell University Press ; London : Associated University Presses, c1999.</t>
        </is>
      </c>
      <c r="O3708" t="inlineStr">
        <is>
          <t>1999</t>
        </is>
      </c>
      <c r="Q3708" t="inlineStr">
        <is>
          <t>eng</t>
        </is>
      </c>
      <c r="R3708" t="inlineStr">
        <is>
          <t>pau</t>
        </is>
      </c>
      <c r="S3708" t="inlineStr">
        <is>
          <t>The Bucknell studies in eighteenth-century literature and culture</t>
        </is>
      </c>
      <c r="T3708" t="inlineStr">
        <is>
          <t xml:space="preserve">PR </t>
        </is>
      </c>
      <c r="U3708" t="n">
        <v>2</v>
      </c>
      <c r="V3708" t="n">
        <v>2</v>
      </c>
      <c r="W3708" t="inlineStr">
        <is>
          <t>2004-11-22</t>
        </is>
      </c>
      <c r="X3708" t="inlineStr">
        <is>
          <t>2004-11-22</t>
        </is>
      </c>
      <c r="Y3708" t="inlineStr">
        <is>
          <t>2004-04-13</t>
        </is>
      </c>
      <c r="Z3708" t="inlineStr">
        <is>
          <t>2004-04-13</t>
        </is>
      </c>
      <c r="AA3708" t="n">
        <v>280</v>
      </c>
      <c r="AB3708" t="n">
        <v>230</v>
      </c>
      <c r="AC3708" t="n">
        <v>232</v>
      </c>
      <c r="AD3708" t="n">
        <v>3</v>
      </c>
      <c r="AE3708" t="n">
        <v>3</v>
      </c>
      <c r="AF3708" t="n">
        <v>14</v>
      </c>
      <c r="AG3708" t="n">
        <v>14</v>
      </c>
      <c r="AH3708" t="n">
        <v>4</v>
      </c>
      <c r="AI3708" t="n">
        <v>4</v>
      </c>
      <c r="AJ3708" t="n">
        <v>5</v>
      </c>
      <c r="AK3708" t="n">
        <v>5</v>
      </c>
      <c r="AL3708" t="n">
        <v>8</v>
      </c>
      <c r="AM3708" t="n">
        <v>8</v>
      </c>
      <c r="AN3708" t="n">
        <v>2</v>
      </c>
      <c r="AO3708" t="n">
        <v>2</v>
      </c>
      <c r="AP3708" t="n">
        <v>0</v>
      </c>
      <c r="AQ3708" t="n">
        <v>0</v>
      </c>
      <c r="AR3708" t="inlineStr">
        <is>
          <t>No</t>
        </is>
      </c>
      <c r="AS3708" t="inlineStr">
        <is>
          <t>Yes</t>
        </is>
      </c>
      <c r="AT3708">
        <f>HYPERLINK("http://catalog.hathitrust.org/Record/004070982","HathiTrust Record")</f>
        <v/>
      </c>
      <c r="AU3708">
        <f>HYPERLINK("https://creighton-primo.hosted.exlibrisgroup.com/primo-explore/search?tab=default_tab&amp;search_scope=EVERYTHING&amp;vid=01CRU&amp;lang=en_US&amp;offset=0&amp;query=any,contains,991004281069702656","Catalog Record")</f>
        <v/>
      </c>
      <c r="AV3708">
        <f>HYPERLINK("http://www.worldcat.org/oclc/41211376","WorldCat Record")</f>
        <v/>
      </c>
      <c r="AW3708" t="inlineStr">
        <is>
          <t>905761180:eng</t>
        </is>
      </c>
      <c r="AX3708" t="inlineStr">
        <is>
          <t>41211376</t>
        </is>
      </c>
      <c r="AY3708" t="inlineStr">
        <is>
          <t>991004281069702656</t>
        </is>
      </c>
      <c r="AZ3708" t="inlineStr">
        <is>
          <t>991004281069702656</t>
        </is>
      </c>
      <c r="BA3708" t="inlineStr">
        <is>
          <t>2260054780002656</t>
        </is>
      </c>
      <c r="BB3708" t="inlineStr">
        <is>
          <t>BOOK</t>
        </is>
      </c>
      <c r="BD3708" t="inlineStr">
        <is>
          <t>9780838754283</t>
        </is>
      </c>
      <c r="BE3708" t="inlineStr">
        <is>
          <t>32285004899208</t>
        </is>
      </c>
      <c r="BF3708" t="inlineStr">
        <is>
          <t>893513041</t>
        </is>
      </c>
    </row>
    <row r="3709">
      <c r="A3709" t="inlineStr">
        <is>
          <t>No</t>
        </is>
      </c>
      <c r="B3709" t="inlineStr">
        <is>
          <t>CURAL</t>
        </is>
      </c>
      <c r="C3709" t="inlineStr">
        <is>
          <t>SHELVES</t>
        </is>
      </c>
      <c r="D3709" t="inlineStr">
        <is>
          <t>PR858.E38 B37 1999</t>
        </is>
      </c>
      <c r="E3709" t="inlineStr">
        <is>
          <t>0                      PR 0858000E  38                 B  37          1999</t>
        </is>
      </c>
      <c r="F3709" t="inlineStr">
        <is>
          <t>Plots of enlightenment : education and the novel in eighteenth-century England / Richard A. Barney.</t>
        </is>
      </c>
      <c r="H3709" t="inlineStr">
        <is>
          <t>No</t>
        </is>
      </c>
      <c r="I3709" t="inlineStr">
        <is>
          <t>1</t>
        </is>
      </c>
      <c r="J3709" t="inlineStr">
        <is>
          <t>No</t>
        </is>
      </c>
      <c r="K3709" t="inlineStr">
        <is>
          <t>No</t>
        </is>
      </c>
      <c r="L3709" t="inlineStr">
        <is>
          <t>0</t>
        </is>
      </c>
      <c r="M3709" t="inlineStr">
        <is>
          <t>Barney, Richard A., 1955-</t>
        </is>
      </c>
      <c r="N3709" t="inlineStr">
        <is>
          <t>Stanford, Calif. : Stanford University Press, c1999.</t>
        </is>
      </c>
      <c r="O3709" t="inlineStr">
        <is>
          <t>1999</t>
        </is>
      </c>
      <c r="Q3709" t="inlineStr">
        <is>
          <t>eng</t>
        </is>
      </c>
      <c r="R3709" t="inlineStr">
        <is>
          <t>cau</t>
        </is>
      </c>
      <c r="T3709" t="inlineStr">
        <is>
          <t xml:space="preserve">PR </t>
        </is>
      </c>
      <c r="U3709" t="n">
        <v>2</v>
      </c>
      <c r="V3709" t="n">
        <v>2</v>
      </c>
      <c r="W3709" t="inlineStr">
        <is>
          <t>2002-01-22</t>
        </is>
      </c>
      <c r="X3709" t="inlineStr">
        <is>
          <t>2002-01-22</t>
        </is>
      </c>
      <c r="Y3709" t="inlineStr">
        <is>
          <t>2001-11-09</t>
        </is>
      </c>
      <c r="Z3709" t="inlineStr">
        <is>
          <t>2001-11-09</t>
        </is>
      </c>
      <c r="AA3709" t="n">
        <v>449</v>
      </c>
      <c r="AB3709" t="n">
        <v>341</v>
      </c>
      <c r="AC3709" t="n">
        <v>342</v>
      </c>
      <c r="AD3709" t="n">
        <v>4</v>
      </c>
      <c r="AE3709" t="n">
        <v>4</v>
      </c>
      <c r="AF3709" t="n">
        <v>21</v>
      </c>
      <c r="AG3709" t="n">
        <v>21</v>
      </c>
      <c r="AH3709" t="n">
        <v>8</v>
      </c>
      <c r="AI3709" t="n">
        <v>8</v>
      </c>
      <c r="AJ3709" t="n">
        <v>5</v>
      </c>
      <c r="AK3709" t="n">
        <v>5</v>
      </c>
      <c r="AL3709" t="n">
        <v>11</v>
      </c>
      <c r="AM3709" t="n">
        <v>11</v>
      </c>
      <c r="AN3709" t="n">
        <v>3</v>
      </c>
      <c r="AO3709" t="n">
        <v>3</v>
      </c>
      <c r="AP3709" t="n">
        <v>0</v>
      </c>
      <c r="AQ3709" t="n">
        <v>0</v>
      </c>
      <c r="AR3709" t="inlineStr">
        <is>
          <t>No</t>
        </is>
      </c>
      <c r="AS3709" t="inlineStr">
        <is>
          <t>No</t>
        </is>
      </c>
      <c r="AU3709">
        <f>HYPERLINK("https://creighton-primo.hosted.exlibrisgroup.com/primo-explore/search?tab=default_tab&amp;search_scope=EVERYTHING&amp;vid=01CRU&amp;lang=en_US&amp;offset=0&amp;query=any,contains,991003676019702656","Catalog Record")</f>
        <v/>
      </c>
      <c r="AV3709">
        <f>HYPERLINK("http://www.worldcat.org/oclc/40912674","WorldCat Record")</f>
        <v/>
      </c>
      <c r="AW3709" t="inlineStr">
        <is>
          <t>198794870:eng</t>
        </is>
      </c>
      <c r="AX3709" t="inlineStr">
        <is>
          <t>40912674</t>
        </is>
      </c>
      <c r="AY3709" t="inlineStr">
        <is>
          <t>991003676019702656</t>
        </is>
      </c>
      <c r="AZ3709" t="inlineStr">
        <is>
          <t>991003676019702656</t>
        </is>
      </c>
      <c r="BA3709" t="inlineStr">
        <is>
          <t>2263150140002656</t>
        </is>
      </c>
      <c r="BB3709" t="inlineStr">
        <is>
          <t>BOOK</t>
        </is>
      </c>
      <c r="BD3709" t="inlineStr">
        <is>
          <t>9780804729789</t>
        </is>
      </c>
      <c r="BE3709" t="inlineStr">
        <is>
          <t>32285004420492</t>
        </is>
      </c>
      <c r="BF3709" t="inlineStr">
        <is>
          <t>893410545</t>
        </is>
      </c>
    </row>
    <row r="3710">
      <c r="A3710" t="inlineStr">
        <is>
          <t>No</t>
        </is>
      </c>
      <c r="B3710" t="inlineStr">
        <is>
          <t>CURAL</t>
        </is>
      </c>
      <c r="C3710" t="inlineStr">
        <is>
          <t>SHELVES</t>
        </is>
      </c>
      <c r="D3710" t="inlineStr">
        <is>
          <t>PR858.F45 B36 2000</t>
        </is>
      </c>
      <c r="E3710" t="inlineStr">
        <is>
          <t>0                      PR 0858000F  45                 B  36          2000</t>
        </is>
      </c>
      <c r="F3710" t="inlineStr">
        <is>
          <t>The domestic revolution : Enlightenment feminisms and the novel / Eve Tavor Bannet.</t>
        </is>
      </c>
      <c r="H3710" t="inlineStr">
        <is>
          <t>No</t>
        </is>
      </c>
      <c r="I3710" t="inlineStr">
        <is>
          <t>1</t>
        </is>
      </c>
      <c r="J3710" t="inlineStr">
        <is>
          <t>No</t>
        </is>
      </c>
      <c r="K3710" t="inlineStr">
        <is>
          <t>No</t>
        </is>
      </c>
      <c r="L3710" t="inlineStr">
        <is>
          <t>0</t>
        </is>
      </c>
      <c r="M3710" t="inlineStr">
        <is>
          <t>Bannet, Eve Tavor, 1947-</t>
        </is>
      </c>
      <c r="N3710" t="inlineStr">
        <is>
          <t>Baltimore : Johns Hopkins University Press, 2000.</t>
        </is>
      </c>
      <c r="O3710" t="inlineStr">
        <is>
          <t>2000</t>
        </is>
      </c>
      <c r="Q3710" t="inlineStr">
        <is>
          <t>eng</t>
        </is>
      </c>
      <c r="R3710" t="inlineStr">
        <is>
          <t>mdu</t>
        </is>
      </c>
      <c r="T3710" t="inlineStr">
        <is>
          <t xml:space="preserve">PR </t>
        </is>
      </c>
      <c r="U3710" t="n">
        <v>5</v>
      </c>
      <c r="V3710" t="n">
        <v>5</v>
      </c>
      <c r="W3710" t="inlineStr">
        <is>
          <t>2008-12-04</t>
        </is>
      </c>
      <c r="X3710" t="inlineStr">
        <is>
          <t>2008-12-04</t>
        </is>
      </c>
      <c r="Y3710" t="inlineStr">
        <is>
          <t>2003-09-03</t>
        </is>
      </c>
      <c r="Z3710" t="inlineStr">
        <is>
          <t>2003-09-03</t>
        </is>
      </c>
      <c r="AA3710" t="n">
        <v>434</v>
      </c>
      <c r="AB3710" t="n">
        <v>345</v>
      </c>
      <c r="AC3710" t="n">
        <v>352</v>
      </c>
      <c r="AD3710" t="n">
        <v>3</v>
      </c>
      <c r="AE3710" t="n">
        <v>3</v>
      </c>
      <c r="AF3710" t="n">
        <v>23</v>
      </c>
      <c r="AG3710" t="n">
        <v>23</v>
      </c>
      <c r="AH3710" t="n">
        <v>9</v>
      </c>
      <c r="AI3710" t="n">
        <v>9</v>
      </c>
      <c r="AJ3710" t="n">
        <v>5</v>
      </c>
      <c r="AK3710" t="n">
        <v>5</v>
      </c>
      <c r="AL3710" t="n">
        <v>13</v>
      </c>
      <c r="AM3710" t="n">
        <v>13</v>
      </c>
      <c r="AN3710" t="n">
        <v>2</v>
      </c>
      <c r="AO3710" t="n">
        <v>2</v>
      </c>
      <c r="AP3710" t="n">
        <v>0</v>
      </c>
      <c r="AQ3710" t="n">
        <v>0</v>
      </c>
      <c r="AR3710" t="inlineStr">
        <is>
          <t>No</t>
        </is>
      </c>
      <c r="AS3710" t="inlineStr">
        <is>
          <t>Yes</t>
        </is>
      </c>
      <c r="AT3710">
        <f>HYPERLINK("http://catalog.hathitrust.org/Record/004135488","HathiTrust Record")</f>
        <v/>
      </c>
      <c r="AU3710">
        <f>HYPERLINK("https://creighton-primo.hosted.exlibrisgroup.com/primo-explore/search?tab=default_tab&amp;search_scope=EVERYTHING&amp;vid=01CRU&amp;lang=en_US&amp;offset=0&amp;query=any,contains,991004112819702656","Catalog Record")</f>
        <v/>
      </c>
      <c r="AV3710">
        <f>HYPERLINK("http://www.worldcat.org/oclc/43296741","WorldCat Record")</f>
        <v/>
      </c>
      <c r="AW3710" t="inlineStr">
        <is>
          <t>20829411:eng</t>
        </is>
      </c>
      <c r="AX3710" t="inlineStr">
        <is>
          <t>43296741</t>
        </is>
      </c>
      <c r="AY3710" t="inlineStr">
        <is>
          <t>991004112819702656</t>
        </is>
      </c>
      <c r="AZ3710" t="inlineStr">
        <is>
          <t>991004112819702656</t>
        </is>
      </c>
      <c r="BA3710" t="inlineStr">
        <is>
          <t>2264047940002656</t>
        </is>
      </c>
      <c r="BB3710" t="inlineStr">
        <is>
          <t>BOOK</t>
        </is>
      </c>
      <c r="BD3710" t="inlineStr">
        <is>
          <t>9780801864162</t>
        </is>
      </c>
      <c r="BE3710" t="inlineStr">
        <is>
          <t>32285004781083</t>
        </is>
      </c>
      <c r="BF3710" t="inlineStr">
        <is>
          <t>893687382</t>
        </is>
      </c>
    </row>
    <row r="3711">
      <c r="A3711" t="inlineStr">
        <is>
          <t>No</t>
        </is>
      </c>
      <c r="B3711" t="inlineStr">
        <is>
          <t>CURAL</t>
        </is>
      </c>
      <c r="C3711" t="inlineStr">
        <is>
          <t>SHELVES</t>
        </is>
      </c>
      <c r="D3711" t="inlineStr">
        <is>
          <t>PR858.M37 C36 1986</t>
        </is>
      </c>
      <c r="E3711" t="inlineStr">
        <is>
          <t>0                      PR 0858000M  37                 C  36          1986</t>
        </is>
      </c>
      <c r="F3711" t="inlineStr">
        <is>
          <t>Masquerade and civilization : the carnivalesque in eighteenth-century English culture and fiction / Terry Castle.</t>
        </is>
      </c>
      <c r="H3711" t="inlineStr">
        <is>
          <t>No</t>
        </is>
      </c>
      <c r="I3711" t="inlineStr">
        <is>
          <t>1</t>
        </is>
      </c>
      <c r="J3711" t="inlineStr">
        <is>
          <t>No</t>
        </is>
      </c>
      <c r="K3711" t="inlineStr">
        <is>
          <t>No</t>
        </is>
      </c>
      <c r="L3711" t="inlineStr">
        <is>
          <t>0</t>
        </is>
      </c>
      <c r="M3711" t="inlineStr">
        <is>
          <t>Castle, Terry.</t>
        </is>
      </c>
      <c r="N3711" t="inlineStr">
        <is>
          <t>Stanford, Calif. : Stanford University Press, 1986.</t>
        </is>
      </c>
      <c r="O3711" t="inlineStr">
        <is>
          <t>1986</t>
        </is>
      </c>
      <c r="Q3711" t="inlineStr">
        <is>
          <t>eng</t>
        </is>
      </c>
      <c r="R3711" t="inlineStr">
        <is>
          <t>cau</t>
        </is>
      </c>
      <c r="T3711" t="inlineStr">
        <is>
          <t xml:space="preserve">PR </t>
        </is>
      </c>
      <c r="U3711" t="n">
        <v>3</v>
      </c>
      <c r="V3711" t="n">
        <v>3</v>
      </c>
      <c r="W3711" t="inlineStr">
        <is>
          <t>2007-03-08</t>
        </is>
      </c>
      <c r="X3711" t="inlineStr">
        <is>
          <t>2007-03-08</t>
        </is>
      </c>
      <c r="Y3711" t="inlineStr">
        <is>
          <t>2005-05-04</t>
        </is>
      </c>
      <c r="Z3711" t="inlineStr">
        <is>
          <t>2005-05-04</t>
        </is>
      </c>
      <c r="AA3711" t="n">
        <v>590</v>
      </c>
      <c r="AB3711" t="n">
        <v>465</v>
      </c>
      <c r="AC3711" t="n">
        <v>479</v>
      </c>
      <c r="AD3711" t="n">
        <v>3</v>
      </c>
      <c r="AE3711" t="n">
        <v>3</v>
      </c>
      <c r="AF3711" t="n">
        <v>26</v>
      </c>
      <c r="AG3711" t="n">
        <v>26</v>
      </c>
      <c r="AH3711" t="n">
        <v>11</v>
      </c>
      <c r="AI3711" t="n">
        <v>11</v>
      </c>
      <c r="AJ3711" t="n">
        <v>10</v>
      </c>
      <c r="AK3711" t="n">
        <v>10</v>
      </c>
      <c r="AL3711" t="n">
        <v>9</v>
      </c>
      <c r="AM3711" t="n">
        <v>9</v>
      </c>
      <c r="AN3711" t="n">
        <v>2</v>
      </c>
      <c r="AO3711" t="n">
        <v>2</v>
      </c>
      <c r="AP3711" t="n">
        <v>0</v>
      </c>
      <c r="AQ3711" t="n">
        <v>0</v>
      </c>
      <c r="AR3711" t="inlineStr">
        <is>
          <t>No</t>
        </is>
      </c>
      <c r="AS3711" t="inlineStr">
        <is>
          <t>No</t>
        </is>
      </c>
      <c r="AU3711">
        <f>HYPERLINK("https://creighton-primo.hosted.exlibrisgroup.com/primo-explore/search?tab=default_tab&amp;search_scope=EVERYTHING&amp;vid=01CRU&amp;lang=en_US&amp;offset=0&amp;query=any,contains,991004549699702656","Catalog Record")</f>
        <v/>
      </c>
      <c r="AV3711">
        <f>HYPERLINK("http://www.worldcat.org/oclc/13158111","WorldCat Record")</f>
        <v/>
      </c>
      <c r="AW3711" t="inlineStr">
        <is>
          <t>864150915:eng</t>
        </is>
      </c>
      <c r="AX3711" t="inlineStr">
        <is>
          <t>13158111</t>
        </is>
      </c>
      <c r="AY3711" t="inlineStr">
        <is>
          <t>991004549699702656</t>
        </is>
      </c>
      <c r="AZ3711" t="inlineStr">
        <is>
          <t>991004549699702656</t>
        </is>
      </c>
      <c r="BA3711" t="inlineStr">
        <is>
          <t>2265285140002656</t>
        </is>
      </c>
      <c r="BB3711" t="inlineStr">
        <is>
          <t>BOOK</t>
        </is>
      </c>
      <c r="BD3711" t="inlineStr">
        <is>
          <t>9780804713139</t>
        </is>
      </c>
      <c r="BE3711" t="inlineStr">
        <is>
          <t>32285005035679</t>
        </is>
      </c>
      <c r="BF3711" t="inlineStr">
        <is>
          <t>893876235</t>
        </is>
      </c>
    </row>
    <row r="3712">
      <c r="A3712" t="inlineStr">
        <is>
          <t>No</t>
        </is>
      </c>
      <c r="B3712" t="inlineStr">
        <is>
          <t>CURAL</t>
        </is>
      </c>
      <c r="C3712" t="inlineStr">
        <is>
          <t>SHELVES</t>
        </is>
      </c>
      <c r="D3712" t="inlineStr">
        <is>
          <t>PR858.P53 S63 1994</t>
        </is>
      </c>
      <c r="E3712" t="inlineStr">
        <is>
          <t>0                      PR 0858000P  53                 S  63          1994</t>
        </is>
      </c>
      <c r="F3712" t="inlineStr">
        <is>
          <t>Desire and truth : functions of plot in eighteenth-century English novels / Patricia Meyer Spacks.</t>
        </is>
      </c>
      <c r="H3712" t="inlineStr">
        <is>
          <t>No</t>
        </is>
      </c>
      <c r="I3712" t="inlineStr">
        <is>
          <t>1</t>
        </is>
      </c>
      <c r="J3712" t="inlineStr">
        <is>
          <t>No</t>
        </is>
      </c>
      <c r="K3712" t="inlineStr">
        <is>
          <t>No</t>
        </is>
      </c>
      <c r="L3712" t="inlineStr">
        <is>
          <t>0</t>
        </is>
      </c>
      <c r="M3712" t="inlineStr">
        <is>
          <t>Spacks, Patricia Meyer.</t>
        </is>
      </c>
      <c r="N3712" t="inlineStr">
        <is>
          <t>Chicago : University of Chicago Press, 1994, 1990.</t>
        </is>
      </c>
      <c r="O3712" t="inlineStr">
        <is>
          <t>1994</t>
        </is>
      </c>
      <c r="P3712" t="inlineStr">
        <is>
          <t>Paperback ed., 1994.</t>
        </is>
      </c>
      <c r="Q3712" t="inlineStr">
        <is>
          <t>eng</t>
        </is>
      </c>
      <c r="R3712" t="inlineStr">
        <is>
          <t>ilu</t>
        </is>
      </c>
      <c r="T3712" t="inlineStr">
        <is>
          <t xml:space="preserve">PR </t>
        </is>
      </c>
      <c r="U3712" t="n">
        <v>4</v>
      </c>
      <c r="V3712" t="n">
        <v>4</v>
      </c>
      <c r="W3712" t="inlineStr">
        <is>
          <t>2006-10-25</t>
        </is>
      </c>
      <c r="X3712" t="inlineStr">
        <is>
          <t>2006-10-25</t>
        </is>
      </c>
      <c r="Y3712" t="inlineStr">
        <is>
          <t>2004-12-02</t>
        </is>
      </c>
      <c r="Z3712" t="inlineStr">
        <is>
          <t>2004-12-02</t>
        </is>
      </c>
      <c r="AA3712" t="n">
        <v>23</v>
      </c>
      <c r="AB3712" t="n">
        <v>18</v>
      </c>
      <c r="AC3712" t="n">
        <v>616</v>
      </c>
      <c r="AD3712" t="n">
        <v>1</v>
      </c>
      <c r="AE3712" t="n">
        <v>4</v>
      </c>
      <c r="AF3712" t="n">
        <v>1</v>
      </c>
      <c r="AG3712" t="n">
        <v>33</v>
      </c>
      <c r="AH3712" t="n">
        <v>1</v>
      </c>
      <c r="AI3712" t="n">
        <v>12</v>
      </c>
      <c r="AJ3712" t="n">
        <v>0</v>
      </c>
      <c r="AK3712" t="n">
        <v>9</v>
      </c>
      <c r="AL3712" t="n">
        <v>0</v>
      </c>
      <c r="AM3712" t="n">
        <v>19</v>
      </c>
      <c r="AN3712" t="n">
        <v>0</v>
      </c>
      <c r="AO3712" t="n">
        <v>3</v>
      </c>
      <c r="AP3712" t="n">
        <v>0</v>
      </c>
      <c r="AQ3712" t="n">
        <v>0</v>
      </c>
      <c r="AR3712" t="inlineStr">
        <is>
          <t>No</t>
        </is>
      </c>
      <c r="AS3712" t="inlineStr">
        <is>
          <t>No</t>
        </is>
      </c>
      <c r="AU3712">
        <f>HYPERLINK("https://creighton-primo.hosted.exlibrisgroup.com/primo-explore/search?tab=default_tab&amp;search_scope=EVERYTHING&amp;vid=01CRU&amp;lang=en_US&amp;offset=0&amp;query=any,contains,991004427259702656","Catalog Record")</f>
        <v/>
      </c>
      <c r="AV3712">
        <f>HYPERLINK("http://www.worldcat.org/oclc/41597224","WorldCat Record")</f>
        <v/>
      </c>
      <c r="AW3712" t="inlineStr">
        <is>
          <t>22015366:eng</t>
        </is>
      </c>
      <c r="AX3712" t="inlineStr">
        <is>
          <t>41597224</t>
        </is>
      </c>
      <c r="AY3712" t="inlineStr">
        <is>
          <t>991004427259702656</t>
        </is>
      </c>
      <c r="AZ3712" t="inlineStr">
        <is>
          <t>991004427259702656</t>
        </is>
      </c>
      <c r="BA3712" t="inlineStr">
        <is>
          <t>2263234020002656</t>
        </is>
      </c>
      <c r="BB3712" t="inlineStr">
        <is>
          <t>BOOK</t>
        </is>
      </c>
      <c r="BD3712" t="inlineStr">
        <is>
          <t>9780226768458</t>
        </is>
      </c>
      <c r="BE3712" t="inlineStr">
        <is>
          <t>32285005014716</t>
        </is>
      </c>
      <c r="BF3712" t="inlineStr">
        <is>
          <t>893259717</t>
        </is>
      </c>
    </row>
    <row r="3713">
      <c r="A3713" t="inlineStr">
        <is>
          <t>No</t>
        </is>
      </c>
      <c r="B3713" t="inlineStr">
        <is>
          <t>CURAL</t>
        </is>
      </c>
      <c r="C3713" t="inlineStr">
        <is>
          <t>SHELVES</t>
        </is>
      </c>
      <c r="D3713" t="inlineStr">
        <is>
          <t>PR858.P6 J6</t>
        </is>
      </c>
      <c r="E3713" t="inlineStr">
        <is>
          <t>0                      PR 0858000P  6                  J  6</t>
        </is>
      </c>
      <c r="F3713" t="inlineStr">
        <is>
          <t>Plots and characters in the fiction of eighteenth-century English authors / Clifford R. Johnson.</t>
        </is>
      </c>
      <c r="G3713" t="inlineStr">
        <is>
          <t>V.2</t>
        </is>
      </c>
      <c r="H3713" t="inlineStr">
        <is>
          <t>Yes</t>
        </is>
      </c>
      <c r="I3713" t="inlineStr">
        <is>
          <t>1</t>
        </is>
      </c>
      <c r="J3713" t="inlineStr">
        <is>
          <t>No</t>
        </is>
      </c>
      <c r="K3713" t="inlineStr">
        <is>
          <t>No</t>
        </is>
      </c>
      <c r="L3713" t="inlineStr">
        <is>
          <t>0</t>
        </is>
      </c>
      <c r="M3713" t="inlineStr">
        <is>
          <t>Johnson, Clifford R., 1945-</t>
        </is>
      </c>
      <c r="N3713" t="inlineStr">
        <is>
          <t>Hamden, Conn. : Archon Books, 1977-</t>
        </is>
      </c>
      <c r="O3713" t="inlineStr">
        <is>
          <t>1977</t>
        </is>
      </c>
      <c r="Q3713" t="inlineStr">
        <is>
          <t>eng</t>
        </is>
      </c>
      <c r="R3713" t="inlineStr">
        <is>
          <t>ctu</t>
        </is>
      </c>
      <c r="S3713" t="inlineStr">
        <is>
          <t>The Plots and characters series</t>
        </is>
      </c>
      <c r="T3713" t="inlineStr">
        <is>
          <t xml:space="preserve">PR </t>
        </is>
      </c>
      <c r="U3713" t="n">
        <v>3</v>
      </c>
      <c r="V3713" t="n">
        <v>5</v>
      </c>
      <c r="W3713" t="inlineStr">
        <is>
          <t>2000-09-24</t>
        </is>
      </c>
      <c r="X3713" t="inlineStr">
        <is>
          <t>2006-10-25</t>
        </is>
      </c>
      <c r="Y3713" t="inlineStr">
        <is>
          <t>1991-09-12</t>
        </is>
      </c>
      <c r="Z3713" t="inlineStr">
        <is>
          <t>1991-09-12</t>
        </is>
      </c>
      <c r="AA3713" t="n">
        <v>503</v>
      </c>
      <c r="AB3713" t="n">
        <v>406</v>
      </c>
      <c r="AC3713" t="n">
        <v>409</v>
      </c>
      <c r="AD3713" t="n">
        <v>3</v>
      </c>
      <c r="AE3713" t="n">
        <v>3</v>
      </c>
      <c r="AF3713" t="n">
        <v>12</v>
      </c>
      <c r="AG3713" t="n">
        <v>12</v>
      </c>
      <c r="AH3713" t="n">
        <v>5</v>
      </c>
      <c r="AI3713" t="n">
        <v>5</v>
      </c>
      <c r="AJ3713" t="n">
        <v>2</v>
      </c>
      <c r="AK3713" t="n">
        <v>2</v>
      </c>
      <c r="AL3713" t="n">
        <v>6</v>
      </c>
      <c r="AM3713" t="n">
        <v>6</v>
      </c>
      <c r="AN3713" t="n">
        <v>2</v>
      </c>
      <c r="AO3713" t="n">
        <v>2</v>
      </c>
      <c r="AP3713" t="n">
        <v>0</v>
      </c>
      <c r="AQ3713" t="n">
        <v>0</v>
      </c>
      <c r="AR3713" t="inlineStr">
        <is>
          <t>No</t>
        </is>
      </c>
      <c r="AS3713" t="inlineStr">
        <is>
          <t>Yes</t>
        </is>
      </c>
      <c r="AT3713">
        <f>HYPERLINK("http://catalog.hathitrust.org/Record/000230071","HathiTrust Record")</f>
        <v/>
      </c>
      <c r="AU3713">
        <f>HYPERLINK("https://creighton-primo.hosted.exlibrisgroup.com/primo-explore/search?tab=default_tab&amp;search_scope=EVERYTHING&amp;vid=01CRU&amp;lang=en_US&amp;offset=0&amp;query=any,contains,991004254199702656","Catalog Record")</f>
        <v/>
      </c>
      <c r="AV3713">
        <f>HYPERLINK("http://www.worldcat.org/oclc/2818668","WorldCat Record")</f>
        <v/>
      </c>
      <c r="AW3713" t="inlineStr">
        <is>
          <t>4495081695:eng</t>
        </is>
      </c>
      <c r="AX3713" t="inlineStr">
        <is>
          <t>2818668</t>
        </is>
      </c>
      <c r="AY3713" t="inlineStr">
        <is>
          <t>991004254199702656</t>
        </is>
      </c>
      <c r="AZ3713" t="inlineStr">
        <is>
          <t>991004254199702656</t>
        </is>
      </c>
      <c r="BA3713" t="inlineStr">
        <is>
          <t>2267768510002656</t>
        </is>
      </c>
      <c r="BB3713" t="inlineStr">
        <is>
          <t>BOOK</t>
        </is>
      </c>
      <c r="BD3713" t="inlineStr">
        <is>
          <t>9780208014986</t>
        </is>
      </c>
      <c r="BE3713" t="inlineStr">
        <is>
          <t>32285000757020</t>
        </is>
      </c>
      <c r="BF3713" t="inlineStr">
        <is>
          <t>893875868</t>
        </is>
      </c>
    </row>
    <row r="3714">
      <c r="A3714" t="inlineStr">
        <is>
          <t>No</t>
        </is>
      </c>
      <c r="B3714" t="inlineStr">
        <is>
          <t>CURAL</t>
        </is>
      </c>
      <c r="C3714" t="inlineStr">
        <is>
          <t>SHELVES</t>
        </is>
      </c>
      <c r="D3714" t="inlineStr">
        <is>
          <t>PR858.P6 J6</t>
        </is>
      </c>
      <c r="E3714" t="inlineStr">
        <is>
          <t>0                      PR 0858000P  6                  J  6</t>
        </is>
      </c>
      <c r="F3714" t="inlineStr">
        <is>
          <t>Plots and characters in the fiction of eighteenth-century English authors / Clifford R. Johnson.</t>
        </is>
      </c>
      <c r="G3714" t="inlineStr">
        <is>
          <t>V.1</t>
        </is>
      </c>
      <c r="H3714" t="inlineStr">
        <is>
          <t>Yes</t>
        </is>
      </c>
      <c r="I3714" t="inlineStr">
        <is>
          <t>1</t>
        </is>
      </c>
      <c r="J3714" t="inlineStr">
        <is>
          <t>No</t>
        </is>
      </c>
      <c r="K3714" t="inlineStr">
        <is>
          <t>No</t>
        </is>
      </c>
      <c r="L3714" t="inlineStr">
        <is>
          <t>0</t>
        </is>
      </c>
      <c r="M3714" t="inlineStr">
        <is>
          <t>Johnson, Clifford R., 1945-</t>
        </is>
      </c>
      <c r="N3714" t="inlineStr">
        <is>
          <t>Hamden, Conn. : Archon Books, 1977-</t>
        </is>
      </c>
      <c r="O3714" t="inlineStr">
        <is>
          <t>1977</t>
        </is>
      </c>
      <c r="Q3714" t="inlineStr">
        <is>
          <t>eng</t>
        </is>
      </c>
      <c r="R3714" t="inlineStr">
        <is>
          <t>ctu</t>
        </is>
      </c>
      <c r="S3714" t="inlineStr">
        <is>
          <t>The Plots and characters series</t>
        </is>
      </c>
      <c r="T3714" t="inlineStr">
        <is>
          <t xml:space="preserve">PR </t>
        </is>
      </c>
      <c r="U3714" t="n">
        <v>2</v>
      </c>
      <c r="V3714" t="n">
        <v>5</v>
      </c>
      <c r="W3714" t="inlineStr">
        <is>
          <t>2006-10-25</t>
        </is>
      </c>
      <c r="X3714" t="inlineStr">
        <is>
          <t>2006-10-25</t>
        </is>
      </c>
      <c r="Y3714" t="inlineStr">
        <is>
          <t>1991-09-12</t>
        </is>
      </c>
      <c r="Z3714" t="inlineStr">
        <is>
          <t>1991-09-12</t>
        </is>
      </c>
      <c r="AA3714" t="n">
        <v>503</v>
      </c>
      <c r="AB3714" t="n">
        <v>406</v>
      </c>
      <c r="AC3714" t="n">
        <v>409</v>
      </c>
      <c r="AD3714" t="n">
        <v>3</v>
      </c>
      <c r="AE3714" t="n">
        <v>3</v>
      </c>
      <c r="AF3714" t="n">
        <v>12</v>
      </c>
      <c r="AG3714" t="n">
        <v>12</v>
      </c>
      <c r="AH3714" t="n">
        <v>5</v>
      </c>
      <c r="AI3714" t="n">
        <v>5</v>
      </c>
      <c r="AJ3714" t="n">
        <v>2</v>
      </c>
      <c r="AK3714" t="n">
        <v>2</v>
      </c>
      <c r="AL3714" t="n">
        <v>6</v>
      </c>
      <c r="AM3714" t="n">
        <v>6</v>
      </c>
      <c r="AN3714" t="n">
        <v>2</v>
      </c>
      <c r="AO3714" t="n">
        <v>2</v>
      </c>
      <c r="AP3714" t="n">
        <v>0</v>
      </c>
      <c r="AQ3714" t="n">
        <v>0</v>
      </c>
      <c r="AR3714" t="inlineStr">
        <is>
          <t>No</t>
        </is>
      </c>
      <c r="AS3714" t="inlineStr">
        <is>
          <t>Yes</t>
        </is>
      </c>
      <c r="AT3714">
        <f>HYPERLINK("http://catalog.hathitrust.org/Record/000230071","HathiTrust Record")</f>
        <v/>
      </c>
      <c r="AU3714">
        <f>HYPERLINK("https://creighton-primo.hosted.exlibrisgroup.com/primo-explore/search?tab=default_tab&amp;search_scope=EVERYTHING&amp;vid=01CRU&amp;lang=en_US&amp;offset=0&amp;query=any,contains,991004254199702656","Catalog Record")</f>
        <v/>
      </c>
      <c r="AV3714">
        <f>HYPERLINK("http://www.worldcat.org/oclc/2818668","WorldCat Record")</f>
        <v/>
      </c>
      <c r="AW3714" t="inlineStr">
        <is>
          <t>4495081695:eng</t>
        </is>
      </c>
      <c r="AX3714" t="inlineStr">
        <is>
          <t>2818668</t>
        </is>
      </c>
      <c r="AY3714" t="inlineStr">
        <is>
          <t>991004254199702656</t>
        </is>
      </c>
      <c r="AZ3714" t="inlineStr">
        <is>
          <t>991004254199702656</t>
        </is>
      </c>
      <c r="BA3714" t="inlineStr">
        <is>
          <t>2267768510002656</t>
        </is>
      </c>
      <c r="BB3714" t="inlineStr">
        <is>
          <t>BOOK</t>
        </is>
      </c>
      <c r="BD3714" t="inlineStr">
        <is>
          <t>9780208014986</t>
        </is>
      </c>
      <c r="BE3714" t="inlineStr">
        <is>
          <t>32285000757012</t>
        </is>
      </c>
      <c r="BF3714" t="inlineStr">
        <is>
          <t>893869495</t>
        </is>
      </c>
    </row>
    <row r="3715">
      <c r="A3715" t="inlineStr">
        <is>
          <t>No</t>
        </is>
      </c>
      <c r="B3715" t="inlineStr">
        <is>
          <t>CURAL</t>
        </is>
      </c>
      <c r="C3715" t="inlineStr">
        <is>
          <t>SHELVES</t>
        </is>
      </c>
      <c r="D3715" t="inlineStr">
        <is>
          <t>PR858.P66 F73 1997</t>
        </is>
      </c>
      <c r="E3715" t="inlineStr">
        <is>
          <t>0                      PR 0858000P  66                 F  73          1997</t>
        </is>
      </c>
      <c r="F3715" t="inlineStr">
        <is>
          <t>Common ground : eighteenth-century English satiric fiction and the poor / Judith Frank.</t>
        </is>
      </c>
      <c r="H3715" t="inlineStr">
        <is>
          <t>No</t>
        </is>
      </c>
      <c r="I3715" t="inlineStr">
        <is>
          <t>1</t>
        </is>
      </c>
      <c r="J3715" t="inlineStr">
        <is>
          <t>No</t>
        </is>
      </c>
      <c r="K3715" t="inlineStr">
        <is>
          <t>No</t>
        </is>
      </c>
      <c r="L3715" t="inlineStr">
        <is>
          <t>0</t>
        </is>
      </c>
      <c r="M3715" t="inlineStr">
        <is>
          <t>Frank, Judith, 1958-</t>
        </is>
      </c>
      <c r="N3715" t="inlineStr">
        <is>
          <t>Stanford, Calif. : Stanford University Press, 1997.</t>
        </is>
      </c>
      <c r="O3715" t="inlineStr">
        <is>
          <t>1997</t>
        </is>
      </c>
      <c r="Q3715" t="inlineStr">
        <is>
          <t>eng</t>
        </is>
      </c>
      <c r="R3715" t="inlineStr">
        <is>
          <t>cau</t>
        </is>
      </c>
      <c r="T3715" t="inlineStr">
        <is>
          <t xml:space="preserve">PR </t>
        </is>
      </c>
      <c r="U3715" t="n">
        <v>4</v>
      </c>
      <c r="V3715" t="n">
        <v>4</v>
      </c>
      <c r="W3715" t="inlineStr">
        <is>
          <t>2003-03-03</t>
        </is>
      </c>
      <c r="X3715" t="inlineStr">
        <is>
          <t>2003-03-03</t>
        </is>
      </c>
      <c r="Y3715" t="inlineStr">
        <is>
          <t>1999-04-07</t>
        </is>
      </c>
      <c r="Z3715" t="inlineStr">
        <is>
          <t>1999-04-07</t>
        </is>
      </c>
      <c r="AA3715" t="n">
        <v>480</v>
      </c>
      <c r="AB3715" t="n">
        <v>387</v>
      </c>
      <c r="AC3715" t="n">
        <v>388</v>
      </c>
      <c r="AD3715" t="n">
        <v>3</v>
      </c>
      <c r="AE3715" t="n">
        <v>3</v>
      </c>
      <c r="AF3715" t="n">
        <v>25</v>
      </c>
      <c r="AG3715" t="n">
        <v>25</v>
      </c>
      <c r="AH3715" t="n">
        <v>10</v>
      </c>
      <c r="AI3715" t="n">
        <v>10</v>
      </c>
      <c r="AJ3715" t="n">
        <v>6</v>
      </c>
      <c r="AK3715" t="n">
        <v>6</v>
      </c>
      <c r="AL3715" t="n">
        <v>14</v>
      </c>
      <c r="AM3715" t="n">
        <v>14</v>
      </c>
      <c r="AN3715" t="n">
        <v>2</v>
      </c>
      <c r="AO3715" t="n">
        <v>2</v>
      </c>
      <c r="AP3715" t="n">
        <v>0</v>
      </c>
      <c r="AQ3715" t="n">
        <v>0</v>
      </c>
      <c r="AR3715" t="inlineStr">
        <is>
          <t>No</t>
        </is>
      </c>
      <c r="AS3715" t="inlineStr">
        <is>
          <t>No</t>
        </is>
      </c>
      <c r="AU3715">
        <f>HYPERLINK("https://creighton-primo.hosted.exlibrisgroup.com/primo-explore/search?tab=default_tab&amp;search_scope=EVERYTHING&amp;vid=01CRU&amp;lang=en_US&amp;offset=0&amp;query=any,contains,991002772429702656","Catalog Record")</f>
        <v/>
      </c>
      <c r="AV3715">
        <f>HYPERLINK("http://www.worldcat.org/oclc/36407818","WorldCat Record")</f>
        <v/>
      </c>
      <c r="AW3715" t="inlineStr">
        <is>
          <t>806836215:eng</t>
        </is>
      </c>
      <c r="AX3715" t="inlineStr">
        <is>
          <t>36407818</t>
        </is>
      </c>
      <c r="AY3715" t="inlineStr">
        <is>
          <t>991002772429702656</t>
        </is>
      </c>
      <c r="AZ3715" t="inlineStr">
        <is>
          <t>991002772429702656</t>
        </is>
      </c>
      <c r="BA3715" t="inlineStr">
        <is>
          <t>2257268020002656</t>
        </is>
      </c>
      <c r="BB3715" t="inlineStr">
        <is>
          <t>BOOK</t>
        </is>
      </c>
      <c r="BD3715" t="inlineStr">
        <is>
          <t>9780804729086</t>
        </is>
      </c>
      <c r="BE3715" t="inlineStr">
        <is>
          <t>32285003549663</t>
        </is>
      </c>
      <c r="BF3715" t="inlineStr">
        <is>
          <t>893792897</t>
        </is>
      </c>
    </row>
    <row r="3716">
      <c r="A3716" t="inlineStr">
        <is>
          <t>No</t>
        </is>
      </c>
      <c r="B3716" t="inlineStr">
        <is>
          <t>CURAL</t>
        </is>
      </c>
      <c r="C3716" t="inlineStr">
        <is>
          <t>SHELVES</t>
        </is>
      </c>
      <c r="D3716" t="inlineStr">
        <is>
          <t>PR858.P7 B4 1987</t>
        </is>
      </c>
      <c r="E3716" t="inlineStr">
        <is>
          <t>0                      PR 0858000P  7                  B  4           1987</t>
        </is>
      </c>
      <c r="F3716" t="inlineStr">
        <is>
          <t>Imagining the penitentiary : fiction and the architecture of mind in eighteenth-century England / John Bender.</t>
        </is>
      </c>
      <c r="H3716" t="inlineStr">
        <is>
          <t>No</t>
        </is>
      </c>
      <c r="I3716" t="inlineStr">
        <is>
          <t>1</t>
        </is>
      </c>
      <c r="J3716" t="inlineStr">
        <is>
          <t>No</t>
        </is>
      </c>
      <c r="K3716" t="inlineStr">
        <is>
          <t>No</t>
        </is>
      </c>
      <c r="L3716" t="inlineStr">
        <is>
          <t>0</t>
        </is>
      </c>
      <c r="M3716" t="inlineStr">
        <is>
          <t>Bender, John B.</t>
        </is>
      </c>
      <c r="N3716" t="inlineStr">
        <is>
          <t>Chicago : University of Chicago Press, 1987.</t>
        </is>
      </c>
      <c r="O3716" t="inlineStr">
        <is>
          <t>1987</t>
        </is>
      </c>
      <c r="Q3716" t="inlineStr">
        <is>
          <t>eng</t>
        </is>
      </c>
      <c r="R3716" t="inlineStr">
        <is>
          <t>ilu</t>
        </is>
      </c>
      <c r="T3716" t="inlineStr">
        <is>
          <t xml:space="preserve">PR </t>
        </is>
      </c>
      <c r="U3716" t="n">
        <v>1</v>
      </c>
      <c r="V3716" t="n">
        <v>1</v>
      </c>
      <c r="W3716" t="inlineStr">
        <is>
          <t>2005-05-04</t>
        </is>
      </c>
      <c r="X3716" t="inlineStr">
        <is>
          <t>2005-05-04</t>
        </is>
      </c>
      <c r="Y3716" t="inlineStr">
        <is>
          <t>2005-05-04</t>
        </is>
      </c>
      <c r="Z3716" t="inlineStr">
        <is>
          <t>2005-05-04</t>
        </is>
      </c>
      <c r="AA3716" t="n">
        <v>706</v>
      </c>
      <c r="AB3716" t="n">
        <v>547</v>
      </c>
      <c r="AC3716" t="n">
        <v>557</v>
      </c>
      <c r="AD3716" t="n">
        <v>4</v>
      </c>
      <c r="AE3716" t="n">
        <v>4</v>
      </c>
      <c r="AF3716" t="n">
        <v>30</v>
      </c>
      <c r="AG3716" t="n">
        <v>30</v>
      </c>
      <c r="AH3716" t="n">
        <v>13</v>
      </c>
      <c r="AI3716" t="n">
        <v>13</v>
      </c>
      <c r="AJ3716" t="n">
        <v>8</v>
      </c>
      <c r="AK3716" t="n">
        <v>8</v>
      </c>
      <c r="AL3716" t="n">
        <v>14</v>
      </c>
      <c r="AM3716" t="n">
        <v>14</v>
      </c>
      <c r="AN3716" t="n">
        <v>3</v>
      </c>
      <c r="AO3716" t="n">
        <v>3</v>
      </c>
      <c r="AP3716" t="n">
        <v>0</v>
      </c>
      <c r="AQ3716" t="n">
        <v>0</v>
      </c>
      <c r="AR3716" t="inlineStr">
        <is>
          <t>No</t>
        </is>
      </c>
      <c r="AS3716" t="inlineStr">
        <is>
          <t>No</t>
        </is>
      </c>
      <c r="AU3716">
        <f>HYPERLINK("https://creighton-primo.hosted.exlibrisgroup.com/primo-explore/search?tab=default_tab&amp;search_scope=EVERYTHING&amp;vid=01CRU&amp;lang=en_US&amp;offset=0&amp;query=any,contains,991004549449702656","Catalog Record")</f>
        <v/>
      </c>
      <c r="AV3716">
        <f>HYPERLINK("http://www.worldcat.org/oclc/14692559","WorldCat Record")</f>
        <v/>
      </c>
      <c r="AW3716" t="inlineStr">
        <is>
          <t>289664894:eng</t>
        </is>
      </c>
      <c r="AX3716" t="inlineStr">
        <is>
          <t>14692559</t>
        </is>
      </c>
      <c r="AY3716" t="inlineStr">
        <is>
          <t>991004549449702656</t>
        </is>
      </c>
      <c r="AZ3716" t="inlineStr">
        <is>
          <t>991004549449702656</t>
        </is>
      </c>
      <c r="BA3716" t="inlineStr">
        <is>
          <t>2257664540002656</t>
        </is>
      </c>
      <c r="BB3716" t="inlineStr">
        <is>
          <t>BOOK</t>
        </is>
      </c>
      <c r="BD3716" t="inlineStr">
        <is>
          <t>9780226042282</t>
        </is>
      </c>
      <c r="BE3716" t="inlineStr">
        <is>
          <t>32285005035836</t>
        </is>
      </c>
      <c r="BF3716" t="inlineStr">
        <is>
          <t>893417762</t>
        </is>
      </c>
    </row>
    <row r="3717">
      <c r="A3717" t="inlineStr">
        <is>
          <t>No</t>
        </is>
      </c>
      <c r="B3717" t="inlineStr">
        <is>
          <t>CURAL</t>
        </is>
      </c>
      <c r="C3717" t="inlineStr">
        <is>
          <t>SHELVES</t>
        </is>
      </c>
      <c r="D3717" t="inlineStr">
        <is>
          <t>PR858.P8 D3 1985</t>
        </is>
      </c>
      <c r="E3717" t="inlineStr">
        <is>
          <t>0                      PR 0858000P  8                  D  3           1985</t>
        </is>
      </c>
      <c r="F3717" t="inlineStr">
        <is>
          <t>God's plot &amp; man's stories : studies in the fictional imagination from Milton to Fielding / Leopold Damrosch, Jr.</t>
        </is>
      </c>
      <c r="H3717" t="inlineStr">
        <is>
          <t>No</t>
        </is>
      </c>
      <c r="I3717" t="inlineStr">
        <is>
          <t>1</t>
        </is>
      </c>
      <c r="J3717" t="inlineStr">
        <is>
          <t>No</t>
        </is>
      </c>
      <c r="K3717" t="inlineStr">
        <is>
          <t>No</t>
        </is>
      </c>
      <c r="L3717" t="inlineStr">
        <is>
          <t>0</t>
        </is>
      </c>
      <c r="M3717" t="inlineStr">
        <is>
          <t>Damrosch, Leopold.</t>
        </is>
      </c>
      <c r="N3717" t="inlineStr">
        <is>
          <t>Chicago : University of Chicago Press, 1985.</t>
        </is>
      </c>
      <c r="O3717" t="inlineStr">
        <is>
          <t>1985</t>
        </is>
      </c>
      <c r="Q3717" t="inlineStr">
        <is>
          <t>eng</t>
        </is>
      </c>
      <c r="R3717" t="inlineStr">
        <is>
          <t>ilu</t>
        </is>
      </c>
      <c r="T3717" t="inlineStr">
        <is>
          <t xml:space="preserve">PR </t>
        </is>
      </c>
      <c r="U3717" t="n">
        <v>1</v>
      </c>
      <c r="V3717" t="n">
        <v>1</v>
      </c>
      <c r="W3717" t="inlineStr">
        <is>
          <t>1996-11-05</t>
        </is>
      </c>
      <c r="X3717" t="inlineStr">
        <is>
          <t>1996-11-05</t>
        </is>
      </c>
      <c r="Y3717" t="inlineStr">
        <is>
          <t>1991-09-12</t>
        </is>
      </c>
      <c r="Z3717" t="inlineStr">
        <is>
          <t>1991-09-12</t>
        </is>
      </c>
      <c r="AA3717" t="n">
        <v>794</v>
      </c>
      <c r="AB3717" t="n">
        <v>666</v>
      </c>
      <c r="AC3717" t="n">
        <v>670</v>
      </c>
      <c r="AD3717" t="n">
        <v>6</v>
      </c>
      <c r="AE3717" t="n">
        <v>6</v>
      </c>
      <c r="AF3717" t="n">
        <v>33</v>
      </c>
      <c r="AG3717" t="n">
        <v>33</v>
      </c>
      <c r="AH3717" t="n">
        <v>12</v>
      </c>
      <c r="AI3717" t="n">
        <v>12</v>
      </c>
      <c r="AJ3717" t="n">
        <v>8</v>
      </c>
      <c r="AK3717" t="n">
        <v>8</v>
      </c>
      <c r="AL3717" t="n">
        <v>16</v>
      </c>
      <c r="AM3717" t="n">
        <v>16</v>
      </c>
      <c r="AN3717" t="n">
        <v>5</v>
      </c>
      <c r="AO3717" t="n">
        <v>5</v>
      </c>
      <c r="AP3717" t="n">
        <v>0</v>
      </c>
      <c r="AQ3717" t="n">
        <v>0</v>
      </c>
      <c r="AR3717" t="inlineStr">
        <is>
          <t>No</t>
        </is>
      </c>
      <c r="AS3717" t="inlineStr">
        <is>
          <t>No</t>
        </is>
      </c>
      <c r="AU3717">
        <f>HYPERLINK("https://creighton-primo.hosted.exlibrisgroup.com/primo-explore/search?tab=default_tab&amp;search_scope=EVERYTHING&amp;vid=01CRU&amp;lang=en_US&amp;offset=0&amp;query=any,contains,991000453859702656","Catalog Record")</f>
        <v/>
      </c>
      <c r="AV3717">
        <f>HYPERLINK("http://www.worldcat.org/oclc/10912765","WorldCat Record")</f>
        <v/>
      </c>
      <c r="AW3717" t="inlineStr">
        <is>
          <t>3025495:eng</t>
        </is>
      </c>
      <c r="AX3717" t="inlineStr">
        <is>
          <t>10912765</t>
        </is>
      </c>
      <c r="AY3717" t="inlineStr">
        <is>
          <t>991000453859702656</t>
        </is>
      </c>
      <c r="AZ3717" t="inlineStr">
        <is>
          <t>991000453859702656</t>
        </is>
      </c>
      <c r="BA3717" t="inlineStr">
        <is>
          <t>2259212730002656</t>
        </is>
      </c>
      <c r="BB3717" t="inlineStr">
        <is>
          <t>BOOK</t>
        </is>
      </c>
      <c r="BD3717" t="inlineStr">
        <is>
          <t>9780226135793</t>
        </is>
      </c>
      <c r="BE3717" t="inlineStr">
        <is>
          <t>32285000757038</t>
        </is>
      </c>
      <c r="BF3717" t="inlineStr">
        <is>
          <t>893249359</t>
        </is>
      </c>
    </row>
    <row r="3718">
      <c r="A3718" t="inlineStr">
        <is>
          <t>No</t>
        </is>
      </c>
      <c r="B3718" t="inlineStr">
        <is>
          <t>CURAL</t>
        </is>
      </c>
      <c r="C3718" t="inlineStr">
        <is>
          <t>SHELVES</t>
        </is>
      </c>
      <c r="D3718" t="inlineStr">
        <is>
          <t>PR858.S3 P3</t>
        </is>
      </c>
      <c r="E3718" t="inlineStr">
        <is>
          <t>0                      PR 0858000S  3                  P  3</t>
        </is>
      </c>
      <c r="F3718" t="inlineStr">
        <is>
          <t>Satire and the novel in eighteenth-century England.</t>
        </is>
      </c>
      <c r="H3718" t="inlineStr">
        <is>
          <t>No</t>
        </is>
      </c>
      <c r="I3718" t="inlineStr">
        <is>
          <t>1</t>
        </is>
      </c>
      <c r="J3718" t="inlineStr">
        <is>
          <t>No</t>
        </is>
      </c>
      <c r="K3718" t="inlineStr">
        <is>
          <t>No</t>
        </is>
      </c>
      <c r="L3718" t="inlineStr">
        <is>
          <t>0</t>
        </is>
      </c>
      <c r="M3718" t="inlineStr">
        <is>
          <t>Paulson, Ronald.</t>
        </is>
      </c>
      <c r="N3718" t="inlineStr">
        <is>
          <t>New Haven, Yale University Press, 1967.</t>
        </is>
      </c>
      <c r="O3718" t="inlineStr">
        <is>
          <t>1967</t>
        </is>
      </c>
      <c r="Q3718" t="inlineStr">
        <is>
          <t>eng</t>
        </is>
      </c>
      <c r="R3718" t="inlineStr">
        <is>
          <t>ctu</t>
        </is>
      </c>
      <c r="T3718" t="inlineStr">
        <is>
          <t xml:space="preserve">PR </t>
        </is>
      </c>
      <c r="U3718" t="n">
        <v>1</v>
      </c>
      <c r="V3718" t="n">
        <v>1</v>
      </c>
      <c r="W3718" t="inlineStr">
        <is>
          <t>2002-11-20</t>
        </is>
      </c>
      <c r="X3718" t="inlineStr">
        <is>
          <t>2002-11-20</t>
        </is>
      </c>
      <c r="Y3718" t="inlineStr">
        <is>
          <t>1997-09-15</t>
        </is>
      </c>
      <c r="Z3718" t="inlineStr">
        <is>
          <t>1997-09-15</t>
        </is>
      </c>
      <c r="AA3718" t="n">
        <v>1168</v>
      </c>
      <c r="AB3718" t="n">
        <v>985</v>
      </c>
      <c r="AC3718" t="n">
        <v>990</v>
      </c>
      <c r="AD3718" t="n">
        <v>10</v>
      </c>
      <c r="AE3718" t="n">
        <v>10</v>
      </c>
      <c r="AF3718" t="n">
        <v>48</v>
      </c>
      <c r="AG3718" t="n">
        <v>48</v>
      </c>
      <c r="AH3718" t="n">
        <v>20</v>
      </c>
      <c r="AI3718" t="n">
        <v>20</v>
      </c>
      <c r="AJ3718" t="n">
        <v>9</v>
      </c>
      <c r="AK3718" t="n">
        <v>9</v>
      </c>
      <c r="AL3718" t="n">
        <v>21</v>
      </c>
      <c r="AM3718" t="n">
        <v>21</v>
      </c>
      <c r="AN3718" t="n">
        <v>9</v>
      </c>
      <c r="AO3718" t="n">
        <v>9</v>
      </c>
      <c r="AP3718" t="n">
        <v>0</v>
      </c>
      <c r="AQ3718" t="n">
        <v>0</v>
      </c>
      <c r="AR3718" t="inlineStr">
        <is>
          <t>No</t>
        </is>
      </c>
      <c r="AS3718" t="inlineStr">
        <is>
          <t>No</t>
        </is>
      </c>
      <c r="AU3718">
        <f>HYPERLINK("https://creighton-primo.hosted.exlibrisgroup.com/primo-explore/search?tab=default_tab&amp;search_scope=EVERYTHING&amp;vid=01CRU&amp;lang=en_US&amp;offset=0&amp;query=any,contains,991002263239702656","Catalog Record")</f>
        <v/>
      </c>
      <c r="AV3718">
        <f>HYPERLINK("http://www.worldcat.org/oclc/305539","WorldCat Record")</f>
        <v/>
      </c>
      <c r="AW3718" t="inlineStr">
        <is>
          <t>1356242:eng</t>
        </is>
      </c>
      <c r="AX3718" t="inlineStr">
        <is>
          <t>305539</t>
        </is>
      </c>
      <c r="AY3718" t="inlineStr">
        <is>
          <t>991002263239702656</t>
        </is>
      </c>
      <c r="AZ3718" t="inlineStr">
        <is>
          <t>991002263239702656</t>
        </is>
      </c>
      <c r="BA3718" t="inlineStr">
        <is>
          <t>2263052720002656</t>
        </is>
      </c>
      <c r="BB3718" t="inlineStr">
        <is>
          <t>BOOK</t>
        </is>
      </c>
      <c r="BE3718" t="inlineStr">
        <is>
          <t>32285003216560</t>
        </is>
      </c>
      <c r="BF3718" t="inlineStr">
        <is>
          <t>893691404</t>
        </is>
      </c>
    </row>
    <row r="3719">
      <c r="A3719" t="inlineStr">
        <is>
          <t>No</t>
        </is>
      </c>
      <c r="B3719" t="inlineStr">
        <is>
          <t>CURAL</t>
        </is>
      </c>
      <c r="C3719" t="inlineStr">
        <is>
          <t>SHELVES</t>
        </is>
      </c>
      <c r="D3719" t="inlineStr">
        <is>
          <t>PR858.S45 E55 1996</t>
        </is>
      </c>
      <c r="E3719" t="inlineStr">
        <is>
          <t>0                      PR 0858000S  45                 E  55          1996</t>
        </is>
      </c>
      <c r="F3719" t="inlineStr">
        <is>
          <t>The politics of sensibility : race, gender, and commerce in the sentimental novel / Markman Ellis.</t>
        </is>
      </c>
      <c r="H3719" t="inlineStr">
        <is>
          <t>No</t>
        </is>
      </c>
      <c r="I3719" t="inlineStr">
        <is>
          <t>1</t>
        </is>
      </c>
      <c r="J3719" t="inlineStr">
        <is>
          <t>No</t>
        </is>
      </c>
      <c r="K3719" t="inlineStr">
        <is>
          <t>No</t>
        </is>
      </c>
      <c r="L3719" t="inlineStr">
        <is>
          <t>0</t>
        </is>
      </c>
      <c r="M3719" t="inlineStr">
        <is>
          <t>Ellis, Markman.</t>
        </is>
      </c>
      <c r="N3719" t="inlineStr">
        <is>
          <t>New York : Cambridge University Press, 1996.</t>
        </is>
      </c>
      <c r="O3719" t="inlineStr">
        <is>
          <t>1996</t>
        </is>
      </c>
      <c r="Q3719" t="inlineStr">
        <is>
          <t>eng</t>
        </is>
      </c>
      <c r="R3719" t="inlineStr">
        <is>
          <t>nyu</t>
        </is>
      </c>
      <c r="S3719" t="inlineStr">
        <is>
          <t>Cambridge studies in Romanticism ; 18</t>
        </is>
      </c>
      <c r="T3719" t="inlineStr">
        <is>
          <t xml:space="preserve">PR </t>
        </is>
      </c>
      <c r="U3719" t="n">
        <v>7</v>
      </c>
      <c r="V3719" t="n">
        <v>7</v>
      </c>
      <c r="W3719" t="inlineStr">
        <is>
          <t>2003-10-03</t>
        </is>
      </c>
      <c r="X3719" t="inlineStr">
        <is>
          <t>2003-10-03</t>
        </is>
      </c>
      <c r="Y3719" t="inlineStr">
        <is>
          <t>1997-05-21</t>
        </is>
      </c>
      <c r="Z3719" t="inlineStr">
        <is>
          <t>1997-05-21</t>
        </is>
      </c>
      <c r="AA3719" t="n">
        <v>514</v>
      </c>
      <c r="AB3719" t="n">
        <v>404</v>
      </c>
      <c r="AC3719" t="n">
        <v>421</v>
      </c>
      <c r="AD3719" t="n">
        <v>3</v>
      </c>
      <c r="AE3719" t="n">
        <v>3</v>
      </c>
      <c r="AF3719" t="n">
        <v>22</v>
      </c>
      <c r="AG3719" t="n">
        <v>22</v>
      </c>
      <c r="AH3719" t="n">
        <v>6</v>
      </c>
      <c r="AI3719" t="n">
        <v>6</v>
      </c>
      <c r="AJ3719" t="n">
        <v>8</v>
      </c>
      <c r="AK3719" t="n">
        <v>8</v>
      </c>
      <c r="AL3719" t="n">
        <v>12</v>
      </c>
      <c r="AM3719" t="n">
        <v>12</v>
      </c>
      <c r="AN3719" t="n">
        <v>2</v>
      </c>
      <c r="AO3719" t="n">
        <v>2</v>
      </c>
      <c r="AP3719" t="n">
        <v>0</v>
      </c>
      <c r="AQ3719" t="n">
        <v>0</v>
      </c>
      <c r="AR3719" t="inlineStr">
        <is>
          <t>No</t>
        </is>
      </c>
      <c r="AS3719" t="inlineStr">
        <is>
          <t>No</t>
        </is>
      </c>
      <c r="AU3719">
        <f>HYPERLINK("https://creighton-primo.hosted.exlibrisgroup.com/primo-explore/search?tab=default_tab&amp;search_scope=EVERYTHING&amp;vid=01CRU&amp;lang=en_US&amp;offset=0&amp;query=any,contains,991002514999702656","Catalog Record")</f>
        <v/>
      </c>
      <c r="AV3719">
        <f>HYPERLINK("http://www.worldcat.org/oclc/32701362","WorldCat Record")</f>
        <v/>
      </c>
      <c r="AW3719" t="inlineStr">
        <is>
          <t>36270886:eng</t>
        </is>
      </c>
      <c r="AX3719" t="inlineStr">
        <is>
          <t>32701362</t>
        </is>
      </c>
      <c r="AY3719" t="inlineStr">
        <is>
          <t>991002514999702656</t>
        </is>
      </c>
      <c r="AZ3719" t="inlineStr">
        <is>
          <t>991002514999702656</t>
        </is>
      </c>
      <c r="BA3719" t="inlineStr">
        <is>
          <t>2269041520002656</t>
        </is>
      </c>
      <c r="BB3719" t="inlineStr">
        <is>
          <t>BOOK</t>
        </is>
      </c>
      <c r="BD3719" t="inlineStr">
        <is>
          <t>9780521552219</t>
        </is>
      </c>
      <c r="BE3719" t="inlineStr">
        <is>
          <t>32285002610532</t>
        </is>
      </c>
      <c r="BF3719" t="inlineStr">
        <is>
          <t>893685435</t>
        </is>
      </c>
    </row>
    <row r="3720">
      <c r="A3720" t="inlineStr">
        <is>
          <t>No</t>
        </is>
      </c>
      <c r="B3720" t="inlineStr">
        <is>
          <t>CURAL</t>
        </is>
      </c>
      <c r="C3720" t="inlineStr">
        <is>
          <t>SHELVES</t>
        </is>
      </c>
      <c r="D3720" t="inlineStr">
        <is>
          <t>PR858.S5 T38 1987</t>
        </is>
      </c>
      <c r="E3720" t="inlineStr">
        <is>
          <t>0                      PR 0858000S  5                  T  38          1987</t>
        </is>
      </c>
      <c r="F3720" t="inlineStr">
        <is>
          <t>Scepticism, society and the eighteenth-century novel / Eve Tavor.</t>
        </is>
      </c>
      <c r="H3720" t="inlineStr">
        <is>
          <t>No</t>
        </is>
      </c>
      <c r="I3720" t="inlineStr">
        <is>
          <t>1</t>
        </is>
      </c>
      <c r="J3720" t="inlineStr">
        <is>
          <t>No</t>
        </is>
      </c>
      <c r="K3720" t="inlineStr">
        <is>
          <t>No</t>
        </is>
      </c>
      <c r="L3720" t="inlineStr">
        <is>
          <t>0</t>
        </is>
      </c>
      <c r="M3720" t="inlineStr">
        <is>
          <t>Tavor, Eve, 1957-</t>
        </is>
      </c>
      <c r="N3720" t="inlineStr">
        <is>
          <t>London : Macmillan, 1987.</t>
        </is>
      </c>
      <c r="O3720" t="inlineStr">
        <is>
          <t>1986</t>
        </is>
      </c>
      <c r="Q3720" t="inlineStr">
        <is>
          <t>eng</t>
        </is>
      </c>
      <c r="R3720" t="inlineStr">
        <is>
          <t>enk</t>
        </is>
      </c>
      <c r="T3720" t="inlineStr">
        <is>
          <t xml:space="preserve">PR </t>
        </is>
      </c>
      <c r="U3720" t="n">
        <v>1</v>
      </c>
      <c r="V3720" t="n">
        <v>1</v>
      </c>
      <c r="W3720" t="inlineStr">
        <is>
          <t>2002-10-11</t>
        </is>
      </c>
      <c r="X3720" t="inlineStr">
        <is>
          <t>2002-10-11</t>
        </is>
      </c>
      <c r="Y3720" t="inlineStr">
        <is>
          <t>1991-09-12</t>
        </is>
      </c>
      <c r="Z3720" t="inlineStr">
        <is>
          <t>1991-09-12</t>
        </is>
      </c>
      <c r="AA3720" t="n">
        <v>156</v>
      </c>
      <c r="AB3720" t="n">
        <v>66</v>
      </c>
      <c r="AC3720" t="n">
        <v>302</v>
      </c>
      <c r="AD3720" t="n">
        <v>3</v>
      </c>
      <c r="AE3720" t="n">
        <v>3</v>
      </c>
      <c r="AF3720" t="n">
        <v>3</v>
      </c>
      <c r="AG3720" t="n">
        <v>14</v>
      </c>
      <c r="AH3720" t="n">
        <v>0</v>
      </c>
      <c r="AI3720" t="n">
        <v>6</v>
      </c>
      <c r="AJ3720" t="n">
        <v>1</v>
      </c>
      <c r="AK3720" t="n">
        <v>3</v>
      </c>
      <c r="AL3720" t="n">
        <v>1</v>
      </c>
      <c r="AM3720" t="n">
        <v>8</v>
      </c>
      <c r="AN3720" t="n">
        <v>2</v>
      </c>
      <c r="AO3720" t="n">
        <v>2</v>
      </c>
      <c r="AP3720" t="n">
        <v>0</v>
      </c>
      <c r="AQ3720" t="n">
        <v>0</v>
      </c>
      <c r="AR3720" t="inlineStr">
        <is>
          <t>No</t>
        </is>
      </c>
      <c r="AS3720" t="inlineStr">
        <is>
          <t>Yes</t>
        </is>
      </c>
      <c r="AT3720">
        <f>HYPERLINK("http://catalog.hathitrust.org/Record/000836613","HathiTrust Record")</f>
        <v/>
      </c>
      <c r="AU3720">
        <f>HYPERLINK("https://creighton-primo.hosted.exlibrisgroup.com/primo-explore/search?tab=default_tab&amp;search_scope=EVERYTHING&amp;vid=01CRU&amp;lang=en_US&amp;offset=0&amp;query=any,contains,991000763309702656","Catalog Record")</f>
        <v/>
      </c>
      <c r="AV3720">
        <f>HYPERLINK("http://www.worldcat.org/oclc/17260963","WorldCat Record")</f>
        <v/>
      </c>
      <c r="AW3720" t="inlineStr">
        <is>
          <t>7797481:eng</t>
        </is>
      </c>
      <c r="AX3720" t="inlineStr">
        <is>
          <t>17260963</t>
        </is>
      </c>
      <c r="AY3720" t="inlineStr">
        <is>
          <t>991000763309702656</t>
        </is>
      </c>
      <c r="AZ3720" t="inlineStr">
        <is>
          <t>991000763309702656</t>
        </is>
      </c>
      <c r="BA3720" t="inlineStr">
        <is>
          <t>2262088460002656</t>
        </is>
      </c>
      <c r="BB3720" t="inlineStr">
        <is>
          <t>BOOK</t>
        </is>
      </c>
      <c r="BD3720" t="inlineStr">
        <is>
          <t>9780333400142</t>
        </is>
      </c>
      <c r="BE3720" t="inlineStr">
        <is>
          <t>32285000757053</t>
        </is>
      </c>
      <c r="BF3720" t="inlineStr">
        <is>
          <t>893702411</t>
        </is>
      </c>
    </row>
    <row r="3721">
      <c r="A3721" t="inlineStr">
        <is>
          <t>No</t>
        </is>
      </c>
      <c r="B3721" t="inlineStr">
        <is>
          <t>CURAL</t>
        </is>
      </c>
      <c r="C3721" t="inlineStr">
        <is>
          <t>SHELVES</t>
        </is>
      </c>
      <c r="D3721" t="inlineStr">
        <is>
          <t>PR858.T3 N37 1987</t>
        </is>
      </c>
      <c r="E3721" t="inlineStr">
        <is>
          <t>0                      PR 0858000T  3                  N  37          1987</t>
        </is>
      </c>
      <c r="F3721" t="inlineStr">
        <is>
          <t>The failure of Gothic : problems of disjunction in an eighteenth-century literary form / Elizabeth R. Napier.</t>
        </is>
      </c>
      <c r="H3721" t="inlineStr">
        <is>
          <t>No</t>
        </is>
      </c>
      <c r="I3721" t="inlineStr">
        <is>
          <t>1</t>
        </is>
      </c>
      <c r="J3721" t="inlineStr">
        <is>
          <t>No</t>
        </is>
      </c>
      <c r="K3721" t="inlineStr">
        <is>
          <t>No</t>
        </is>
      </c>
      <c r="L3721" t="inlineStr">
        <is>
          <t>0</t>
        </is>
      </c>
      <c r="M3721" t="inlineStr">
        <is>
          <t>Napier, Elizabeth R., 1950-</t>
        </is>
      </c>
      <c r="N3721" t="inlineStr">
        <is>
          <t>Oxford [Oxfordshire] : Clarendon Press ; New York : Oxford University Press, 1987.</t>
        </is>
      </c>
      <c r="O3721" t="inlineStr">
        <is>
          <t>1986</t>
        </is>
      </c>
      <c r="Q3721" t="inlineStr">
        <is>
          <t>eng</t>
        </is>
      </c>
      <c r="R3721" t="inlineStr">
        <is>
          <t>enk</t>
        </is>
      </c>
      <c r="T3721" t="inlineStr">
        <is>
          <t xml:space="preserve">PR </t>
        </is>
      </c>
      <c r="U3721" t="n">
        <v>2</v>
      </c>
      <c r="V3721" t="n">
        <v>2</v>
      </c>
      <c r="W3721" t="inlineStr">
        <is>
          <t>2003-03-26</t>
        </is>
      </c>
      <c r="X3721" t="inlineStr">
        <is>
          <t>2003-03-26</t>
        </is>
      </c>
      <c r="Y3721" t="inlineStr">
        <is>
          <t>1991-09-12</t>
        </is>
      </c>
      <c r="Z3721" t="inlineStr">
        <is>
          <t>1991-09-12</t>
        </is>
      </c>
      <c r="AA3721" t="n">
        <v>480</v>
      </c>
      <c r="AB3721" t="n">
        <v>348</v>
      </c>
      <c r="AC3721" t="n">
        <v>387</v>
      </c>
      <c r="AD3721" t="n">
        <v>3</v>
      </c>
      <c r="AE3721" t="n">
        <v>3</v>
      </c>
      <c r="AF3721" t="n">
        <v>20</v>
      </c>
      <c r="AG3721" t="n">
        <v>22</v>
      </c>
      <c r="AH3721" t="n">
        <v>9</v>
      </c>
      <c r="AI3721" t="n">
        <v>9</v>
      </c>
      <c r="AJ3721" t="n">
        <v>4</v>
      </c>
      <c r="AK3721" t="n">
        <v>6</v>
      </c>
      <c r="AL3721" t="n">
        <v>12</v>
      </c>
      <c r="AM3721" t="n">
        <v>12</v>
      </c>
      <c r="AN3721" t="n">
        <v>2</v>
      </c>
      <c r="AO3721" t="n">
        <v>2</v>
      </c>
      <c r="AP3721" t="n">
        <v>0</v>
      </c>
      <c r="AQ3721" t="n">
        <v>0</v>
      </c>
      <c r="AR3721" t="inlineStr">
        <is>
          <t>No</t>
        </is>
      </c>
      <c r="AS3721" t="inlineStr">
        <is>
          <t>Yes</t>
        </is>
      </c>
      <c r="AT3721">
        <f>HYPERLINK("http://catalog.hathitrust.org/Record/000834588","HathiTrust Record")</f>
        <v/>
      </c>
      <c r="AU3721">
        <f>HYPERLINK("https://creighton-primo.hosted.exlibrisgroup.com/primo-explore/search?tab=default_tab&amp;search_scope=EVERYTHING&amp;vid=01CRU&amp;lang=en_US&amp;offset=0&amp;query=any,contains,991000886419702656","Catalog Record")</f>
        <v/>
      </c>
      <c r="AV3721">
        <f>HYPERLINK("http://www.worldcat.org/oclc/13861372","WorldCat Record")</f>
        <v/>
      </c>
      <c r="AW3721" t="inlineStr">
        <is>
          <t>807588871:eng</t>
        </is>
      </c>
      <c r="AX3721" t="inlineStr">
        <is>
          <t>13861372</t>
        </is>
      </c>
      <c r="AY3721" t="inlineStr">
        <is>
          <t>991000886419702656</t>
        </is>
      </c>
      <c r="AZ3721" t="inlineStr">
        <is>
          <t>991000886419702656</t>
        </is>
      </c>
      <c r="BA3721" t="inlineStr">
        <is>
          <t>2262355410002656</t>
        </is>
      </c>
      <c r="BB3721" t="inlineStr">
        <is>
          <t>BOOK</t>
        </is>
      </c>
      <c r="BD3721" t="inlineStr">
        <is>
          <t>9780198128601</t>
        </is>
      </c>
      <c r="BE3721" t="inlineStr">
        <is>
          <t>32285000757061</t>
        </is>
      </c>
      <c r="BF3721" t="inlineStr">
        <is>
          <t>893413768</t>
        </is>
      </c>
    </row>
    <row r="3722">
      <c r="A3722" t="inlineStr">
        <is>
          <t>No</t>
        </is>
      </c>
      <c r="B3722" t="inlineStr">
        <is>
          <t>CURAL</t>
        </is>
      </c>
      <c r="C3722" t="inlineStr">
        <is>
          <t>SHELVES</t>
        </is>
      </c>
      <c r="D3722" t="inlineStr">
        <is>
          <t>PR858.U7 R44 1996</t>
        </is>
      </c>
      <c r="E3722" t="inlineStr">
        <is>
          <t>0                      PR 0858000U  7                  R  44          1996</t>
        </is>
      </c>
      <c r="F3722" t="inlineStr">
        <is>
          <t>Utopian imagination and eighteenth-century fiction / Christine Rees.</t>
        </is>
      </c>
      <c r="H3722" t="inlineStr">
        <is>
          <t>No</t>
        </is>
      </c>
      <c r="I3722" t="inlineStr">
        <is>
          <t>1</t>
        </is>
      </c>
      <c r="J3722" t="inlineStr">
        <is>
          <t>No</t>
        </is>
      </c>
      <c r="K3722" t="inlineStr">
        <is>
          <t>No</t>
        </is>
      </c>
      <c r="L3722" t="inlineStr">
        <is>
          <t>0</t>
        </is>
      </c>
      <c r="M3722" t="inlineStr">
        <is>
          <t>Rees, Christine.</t>
        </is>
      </c>
      <c r="N3722" t="inlineStr">
        <is>
          <t>London ; New York : Longman, 1996.</t>
        </is>
      </c>
      <c r="O3722" t="inlineStr">
        <is>
          <t>1996</t>
        </is>
      </c>
      <c r="Q3722" t="inlineStr">
        <is>
          <t>eng</t>
        </is>
      </c>
      <c r="R3722" t="inlineStr">
        <is>
          <t>enk</t>
        </is>
      </c>
      <c r="S3722" t="inlineStr">
        <is>
          <t>Studies in eighteenth- and nineteenth-century literature</t>
        </is>
      </c>
      <c r="T3722" t="inlineStr">
        <is>
          <t xml:space="preserve">PR </t>
        </is>
      </c>
      <c r="U3722" t="n">
        <v>5</v>
      </c>
      <c r="V3722" t="n">
        <v>5</v>
      </c>
      <c r="W3722" t="inlineStr">
        <is>
          <t>2001-04-16</t>
        </is>
      </c>
      <c r="X3722" t="inlineStr">
        <is>
          <t>2001-04-16</t>
        </is>
      </c>
      <c r="Y3722" t="inlineStr">
        <is>
          <t>1996-09-25</t>
        </is>
      </c>
      <c r="Z3722" t="inlineStr">
        <is>
          <t>1996-09-25</t>
        </is>
      </c>
      <c r="AA3722" t="n">
        <v>349</v>
      </c>
      <c r="AB3722" t="n">
        <v>241</v>
      </c>
      <c r="AC3722" t="n">
        <v>270</v>
      </c>
      <c r="AD3722" t="n">
        <v>2</v>
      </c>
      <c r="AE3722" t="n">
        <v>2</v>
      </c>
      <c r="AF3722" t="n">
        <v>13</v>
      </c>
      <c r="AG3722" t="n">
        <v>13</v>
      </c>
      <c r="AH3722" t="n">
        <v>4</v>
      </c>
      <c r="AI3722" t="n">
        <v>4</v>
      </c>
      <c r="AJ3722" t="n">
        <v>3</v>
      </c>
      <c r="AK3722" t="n">
        <v>3</v>
      </c>
      <c r="AL3722" t="n">
        <v>9</v>
      </c>
      <c r="AM3722" t="n">
        <v>9</v>
      </c>
      <c r="AN3722" t="n">
        <v>1</v>
      </c>
      <c r="AO3722" t="n">
        <v>1</v>
      </c>
      <c r="AP3722" t="n">
        <v>0</v>
      </c>
      <c r="AQ3722" t="n">
        <v>0</v>
      </c>
      <c r="AR3722" t="inlineStr">
        <is>
          <t>No</t>
        </is>
      </c>
      <c r="AS3722" t="inlineStr">
        <is>
          <t>Yes</t>
        </is>
      </c>
      <c r="AT3722">
        <f>HYPERLINK("http://catalog.hathitrust.org/Record/003030244","HathiTrust Record")</f>
        <v/>
      </c>
      <c r="AU3722">
        <f>HYPERLINK("https://creighton-primo.hosted.exlibrisgroup.com/primo-explore/search?tab=default_tab&amp;search_scope=EVERYTHING&amp;vid=01CRU&amp;lang=en_US&amp;offset=0&amp;query=any,contains,991002475469702656","Catalog Record")</f>
        <v/>
      </c>
      <c r="AV3722">
        <f>HYPERLINK("http://www.worldcat.org/oclc/32236656","WorldCat Record")</f>
        <v/>
      </c>
      <c r="AW3722" t="inlineStr">
        <is>
          <t>34483658:eng</t>
        </is>
      </c>
      <c r="AX3722" t="inlineStr">
        <is>
          <t>32236656</t>
        </is>
      </c>
      <c r="AY3722" t="inlineStr">
        <is>
          <t>991002475469702656</t>
        </is>
      </c>
      <c r="AZ3722" t="inlineStr">
        <is>
          <t>991002475469702656</t>
        </is>
      </c>
      <c r="BA3722" t="inlineStr">
        <is>
          <t>2266351000002656</t>
        </is>
      </c>
      <c r="BB3722" t="inlineStr">
        <is>
          <t>BOOK</t>
        </is>
      </c>
      <c r="BD3722" t="inlineStr">
        <is>
          <t>9780582067356</t>
        </is>
      </c>
      <c r="BE3722" t="inlineStr">
        <is>
          <t>32285002319498</t>
        </is>
      </c>
      <c r="BF3722" t="inlineStr">
        <is>
          <t>893898790</t>
        </is>
      </c>
    </row>
    <row r="3723">
      <c r="A3723" t="inlineStr">
        <is>
          <t>No</t>
        </is>
      </c>
      <c r="B3723" t="inlineStr">
        <is>
          <t>CURAL</t>
        </is>
      </c>
      <c r="C3723" t="inlineStr">
        <is>
          <t>SHELVES</t>
        </is>
      </c>
      <c r="D3723" t="inlineStr">
        <is>
          <t>PR858.W6 K34 1991</t>
        </is>
      </c>
      <c r="E3723" t="inlineStr">
        <is>
          <t>0                      PR 0858000W  6                  K  34          1991</t>
        </is>
      </c>
      <c r="F3723" t="inlineStr">
        <is>
          <t>Narrative transvestism : rhetoric and gender in the eighteenth-century English novel / Madeleine Kahn.</t>
        </is>
      </c>
      <c r="H3723" t="inlineStr">
        <is>
          <t>No</t>
        </is>
      </c>
      <c r="I3723" t="inlineStr">
        <is>
          <t>1</t>
        </is>
      </c>
      <c r="J3723" t="inlineStr">
        <is>
          <t>No</t>
        </is>
      </c>
      <c r="K3723" t="inlineStr">
        <is>
          <t>No</t>
        </is>
      </c>
      <c r="L3723" t="inlineStr">
        <is>
          <t>0</t>
        </is>
      </c>
      <c r="M3723" t="inlineStr">
        <is>
          <t>Kahn, Madeleine, 1955-</t>
        </is>
      </c>
      <c r="N3723" t="inlineStr">
        <is>
          <t>Ithaca, N.Y. : Cornell University Press, 1991.</t>
        </is>
      </c>
      <c r="O3723" t="inlineStr">
        <is>
          <t>1991</t>
        </is>
      </c>
      <c r="Q3723" t="inlineStr">
        <is>
          <t>eng</t>
        </is>
      </c>
      <c r="R3723" t="inlineStr">
        <is>
          <t>nyu</t>
        </is>
      </c>
      <c r="S3723" t="inlineStr">
        <is>
          <t>Reading women writing</t>
        </is>
      </c>
      <c r="T3723" t="inlineStr">
        <is>
          <t xml:space="preserve">PR </t>
        </is>
      </c>
      <c r="U3723" t="n">
        <v>3</v>
      </c>
      <c r="V3723" t="n">
        <v>3</v>
      </c>
      <c r="W3723" t="inlineStr">
        <is>
          <t>2004-11-13</t>
        </is>
      </c>
      <c r="X3723" t="inlineStr">
        <is>
          <t>2004-11-13</t>
        </is>
      </c>
      <c r="Y3723" t="inlineStr">
        <is>
          <t>2002-12-11</t>
        </is>
      </c>
      <c r="Z3723" t="inlineStr">
        <is>
          <t>2002-12-11</t>
        </is>
      </c>
      <c r="AA3723" t="n">
        <v>403</v>
      </c>
      <c r="AB3723" t="n">
        <v>297</v>
      </c>
      <c r="AC3723" t="n">
        <v>486</v>
      </c>
      <c r="AD3723" t="n">
        <v>4</v>
      </c>
      <c r="AE3723" t="n">
        <v>4</v>
      </c>
      <c r="AF3723" t="n">
        <v>15</v>
      </c>
      <c r="AG3723" t="n">
        <v>25</v>
      </c>
      <c r="AH3723" t="n">
        <v>3</v>
      </c>
      <c r="AI3723" t="n">
        <v>9</v>
      </c>
      <c r="AJ3723" t="n">
        <v>6</v>
      </c>
      <c r="AK3723" t="n">
        <v>9</v>
      </c>
      <c r="AL3723" t="n">
        <v>8</v>
      </c>
      <c r="AM3723" t="n">
        <v>13</v>
      </c>
      <c r="AN3723" t="n">
        <v>3</v>
      </c>
      <c r="AO3723" t="n">
        <v>3</v>
      </c>
      <c r="AP3723" t="n">
        <v>0</v>
      </c>
      <c r="AQ3723" t="n">
        <v>0</v>
      </c>
      <c r="AR3723" t="inlineStr">
        <is>
          <t>No</t>
        </is>
      </c>
      <c r="AS3723" t="inlineStr">
        <is>
          <t>No</t>
        </is>
      </c>
      <c r="AU3723">
        <f>HYPERLINK("https://creighton-primo.hosted.exlibrisgroup.com/primo-explore/search?tab=default_tab&amp;search_scope=EVERYTHING&amp;vid=01CRU&amp;lang=en_US&amp;offset=0&amp;query=any,contains,991003960699702656","Catalog Record")</f>
        <v/>
      </c>
      <c r="AV3723">
        <f>HYPERLINK("http://www.worldcat.org/oclc/23732365","WorldCat Record")</f>
        <v/>
      </c>
      <c r="AW3723" t="inlineStr">
        <is>
          <t>808724314:eng</t>
        </is>
      </c>
      <c r="AX3723" t="inlineStr">
        <is>
          <t>23732365</t>
        </is>
      </c>
      <c r="AY3723" t="inlineStr">
        <is>
          <t>991003960699702656</t>
        </is>
      </c>
      <c r="AZ3723" t="inlineStr">
        <is>
          <t>991003960699702656</t>
        </is>
      </c>
      <c r="BA3723" t="inlineStr">
        <is>
          <t>2265337330002656</t>
        </is>
      </c>
      <c r="BB3723" t="inlineStr">
        <is>
          <t>BOOK</t>
        </is>
      </c>
      <c r="BD3723" t="inlineStr">
        <is>
          <t>9780801425363</t>
        </is>
      </c>
      <c r="BE3723" t="inlineStr">
        <is>
          <t>32285004690664</t>
        </is>
      </c>
      <c r="BF3723" t="inlineStr">
        <is>
          <t>893775431</t>
        </is>
      </c>
    </row>
    <row r="3724">
      <c r="A3724" t="inlineStr">
        <is>
          <t>No</t>
        </is>
      </c>
      <c r="B3724" t="inlineStr">
        <is>
          <t>CURAL</t>
        </is>
      </c>
      <c r="C3724" t="inlineStr">
        <is>
          <t>SHELVES</t>
        </is>
      </c>
      <c r="D3724" t="inlineStr">
        <is>
          <t>PR858.W6 L58 1992</t>
        </is>
      </c>
      <c r="E3724" t="inlineStr">
        <is>
          <t>0                      PR 0858000W  6                  L  58          1992</t>
        </is>
      </c>
      <c r="F3724" t="inlineStr">
        <is>
          <t>Living by the pen : early British women writers / edited by Dale Spender.</t>
        </is>
      </c>
      <c r="H3724" t="inlineStr">
        <is>
          <t>No</t>
        </is>
      </c>
      <c r="I3724" t="inlineStr">
        <is>
          <t>1</t>
        </is>
      </c>
      <c r="J3724" t="inlineStr">
        <is>
          <t>No</t>
        </is>
      </c>
      <c r="K3724" t="inlineStr">
        <is>
          <t>No</t>
        </is>
      </c>
      <c r="L3724" t="inlineStr">
        <is>
          <t>0</t>
        </is>
      </c>
      <c r="N3724" t="inlineStr">
        <is>
          <t>New York : Teachers College Press, c1992.</t>
        </is>
      </c>
      <c r="O3724" t="inlineStr">
        <is>
          <t>1992</t>
        </is>
      </c>
      <c r="Q3724" t="inlineStr">
        <is>
          <t>eng</t>
        </is>
      </c>
      <c r="R3724" t="inlineStr">
        <is>
          <t>nyu</t>
        </is>
      </c>
      <c r="S3724" t="inlineStr">
        <is>
          <t>The Athene series</t>
        </is>
      </c>
      <c r="T3724" t="inlineStr">
        <is>
          <t xml:space="preserve">PR </t>
        </is>
      </c>
      <c r="U3724" t="n">
        <v>5</v>
      </c>
      <c r="V3724" t="n">
        <v>5</v>
      </c>
      <c r="W3724" t="inlineStr">
        <is>
          <t>2007-01-25</t>
        </is>
      </c>
      <c r="X3724" t="inlineStr">
        <is>
          <t>2007-01-25</t>
        </is>
      </c>
      <c r="Y3724" t="inlineStr">
        <is>
          <t>2003-09-15</t>
        </is>
      </c>
      <c r="Z3724" t="inlineStr">
        <is>
          <t>2003-09-15</t>
        </is>
      </c>
      <c r="AA3724" t="n">
        <v>468</v>
      </c>
      <c r="AB3724" t="n">
        <v>348</v>
      </c>
      <c r="AC3724" t="n">
        <v>353</v>
      </c>
      <c r="AD3724" t="n">
        <v>4</v>
      </c>
      <c r="AE3724" t="n">
        <v>4</v>
      </c>
      <c r="AF3724" t="n">
        <v>18</v>
      </c>
      <c r="AG3724" t="n">
        <v>18</v>
      </c>
      <c r="AH3724" t="n">
        <v>6</v>
      </c>
      <c r="AI3724" t="n">
        <v>6</v>
      </c>
      <c r="AJ3724" t="n">
        <v>5</v>
      </c>
      <c r="AK3724" t="n">
        <v>5</v>
      </c>
      <c r="AL3724" t="n">
        <v>9</v>
      </c>
      <c r="AM3724" t="n">
        <v>9</v>
      </c>
      <c r="AN3724" t="n">
        <v>3</v>
      </c>
      <c r="AO3724" t="n">
        <v>3</v>
      </c>
      <c r="AP3724" t="n">
        <v>0</v>
      </c>
      <c r="AQ3724" t="n">
        <v>0</v>
      </c>
      <c r="AR3724" t="inlineStr">
        <is>
          <t>No</t>
        </is>
      </c>
      <c r="AS3724" t="inlineStr">
        <is>
          <t>No</t>
        </is>
      </c>
      <c r="AU3724">
        <f>HYPERLINK("https://creighton-primo.hosted.exlibrisgroup.com/primo-explore/search?tab=default_tab&amp;search_scope=EVERYTHING&amp;vid=01CRU&amp;lang=en_US&amp;offset=0&amp;query=any,contains,991004123419702656","Catalog Record")</f>
        <v/>
      </c>
      <c r="AV3724">
        <f>HYPERLINK("http://www.worldcat.org/oclc/22731456","WorldCat Record")</f>
        <v/>
      </c>
      <c r="AW3724" t="inlineStr">
        <is>
          <t>836751576:eng</t>
        </is>
      </c>
      <c r="AX3724" t="inlineStr">
        <is>
          <t>22731456</t>
        </is>
      </c>
      <c r="AY3724" t="inlineStr">
        <is>
          <t>991004123419702656</t>
        </is>
      </c>
      <c r="AZ3724" t="inlineStr">
        <is>
          <t>991004123419702656</t>
        </is>
      </c>
      <c r="BA3724" t="inlineStr">
        <is>
          <t>2270817190002656</t>
        </is>
      </c>
      <c r="BB3724" t="inlineStr">
        <is>
          <t>BOOK</t>
        </is>
      </c>
      <c r="BD3724" t="inlineStr">
        <is>
          <t>9780080374659</t>
        </is>
      </c>
      <c r="BE3724" t="inlineStr">
        <is>
          <t>32285004783022</t>
        </is>
      </c>
      <c r="BF3724" t="inlineStr">
        <is>
          <t>893699876</t>
        </is>
      </c>
    </row>
    <row r="3725">
      <c r="A3725" t="inlineStr">
        <is>
          <t>No</t>
        </is>
      </c>
      <c r="B3725" t="inlineStr">
        <is>
          <t>CURAL</t>
        </is>
      </c>
      <c r="C3725" t="inlineStr">
        <is>
          <t>SHELVES</t>
        </is>
      </c>
      <c r="D3725" t="inlineStr">
        <is>
          <t>PR858.W6 M33 1994</t>
        </is>
      </c>
      <c r="E3725" t="inlineStr">
        <is>
          <t>0                      PR 0858000W  6                  M  33          1994</t>
        </is>
      </c>
      <c r="F3725" t="inlineStr">
        <is>
          <t>The female pen : women writers and novelists, 1621-1818 / by B.G. MacCarthy ; with a preface by Janet Todd.</t>
        </is>
      </c>
      <c r="H3725" t="inlineStr">
        <is>
          <t>No</t>
        </is>
      </c>
      <c r="I3725" t="inlineStr">
        <is>
          <t>1</t>
        </is>
      </c>
      <c r="J3725" t="inlineStr">
        <is>
          <t>No</t>
        </is>
      </c>
      <c r="K3725" t="inlineStr">
        <is>
          <t>No</t>
        </is>
      </c>
      <c r="L3725" t="inlineStr">
        <is>
          <t>0</t>
        </is>
      </c>
      <c r="M3725" t="inlineStr">
        <is>
          <t>MacCarthy, B. G. (Bridget G.)</t>
        </is>
      </c>
      <c r="N3725" t="inlineStr">
        <is>
          <t>New York : New York University Press, 1994.</t>
        </is>
      </c>
      <c r="O3725" t="inlineStr">
        <is>
          <t>1994</t>
        </is>
      </c>
      <c r="Q3725" t="inlineStr">
        <is>
          <t>eng</t>
        </is>
      </c>
      <c r="R3725" t="inlineStr">
        <is>
          <t>nyu</t>
        </is>
      </c>
      <c r="T3725" t="inlineStr">
        <is>
          <t xml:space="preserve">PR </t>
        </is>
      </c>
      <c r="U3725" t="n">
        <v>4</v>
      </c>
      <c r="V3725" t="n">
        <v>4</v>
      </c>
      <c r="W3725" t="inlineStr">
        <is>
          <t>2007-01-25</t>
        </is>
      </c>
      <c r="X3725" t="inlineStr">
        <is>
          <t>2007-01-25</t>
        </is>
      </c>
      <c r="Y3725" t="inlineStr">
        <is>
          <t>2003-09-15</t>
        </is>
      </c>
      <c r="Z3725" t="inlineStr">
        <is>
          <t>2003-09-15</t>
        </is>
      </c>
      <c r="AA3725" t="n">
        <v>275</v>
      </c>
      <c r="AB3725" t="n">
        <v>238</v>
      </c>
      <c r="AC3725" t="n">
        <v>272</v>
      </c>
      <c r="AD3725" t="n">
        <v>3</v>
      </c>
      <c r="AE3725" t="n">
        <v>4</v>
      </c>
      <c r="AF3725" t="n">
        <v>11</v>
      </c>
      <c r="AG3725" t="n">
        <v>13</v>
      </c>
      <c r="AH3725" t="n">
        <v>3</v>
      </c>
      <c r="AI3725" t="n">
        <v>3</v>
      </c>
      <c r="AJ3725" t="n">
        <v>3</v>
      </c>
      <c r="AK3725" t="n">
        <v>4</v>
      </c>
      <c r="AL3725" t="n">
        <v>4</v>
      </c>
      <c r="AM3725" t="n">
        <v>5</v>
      </c>
      <c r="AN3725" t="n">
        <v>2</v>
      </c>
      <c r="AO3725" t="n">
        <v>3</v>
      </c>
      <c r="AP3725" t="n">
        <v>0</v>
      </c>
      <c r="AQ3725" t="n">
        <v>0</v>
      </c>
      <c r="AR3725" t="inlineStr">
        <is>
          <t>No</t>
        </is>
      </c>
      <c r="AS3725" t="inlineStr">
        <is>
          <t>No</t>
        </is>
      </c>
      <c r="AU3725">
        <f>HYPERLINK("https://creighton-primo.hosted.exlibrisgroup.com/primo-explore/search?tab=default_tab&amp;search_scope=EVERYTHING&amp;vid=01CRU&amp;lang=en_US&amp;offset=0&amp;query=any,contains,991004123229702656","Catalog Record")</f>
        <v/>
      </c>
      <c r="AV3725">
        <f>HYPERLINK("http://www.worldcat.org/oclc/30109760","WorldCat Record")</f>
        <v/>
      </c>
      <c r="AW3725" t="inlineStr">
        <is>
          <t>840344674:eng</t>
        </is>
      </c>
      <c r="AX3725" t="inlineStr">
        <is>
          <t>30109760</t>
        </is>
      </c>
      <c r="AY3725" t="inlineStr">
        <is>
          <t>991004123229702656</t>
        </is>
      </c>
      <c r="AZ3725" t="inlineStr">
        <is>
          <t>991004123229702656</t>
        </is>
      </c>
      <c r="BA3725" t="inlineStr">
        <is>
          <t>2263633400002656</t>
        </is>
      </c>
      <c r="BB3725" t="inlineStr">
        <is>
          <t>BOOK</t>
        </is>
      </c>
      <c r="BD3725" t="inlineStr">
        <is>
          <t>9780814755181</t>
        </is>
      </c>
      <c r="BE3725" t="inlineStr">
        <is>
          <t>32285004783097</t>
        </is>
      </c>
      <c r="BF3725" t="inlineStr">
        <is>
          <t>893500139</t>
        </is>
      </c>
    </row>
    <row r="3726">
      <c r="A3726" t="inlineStr">
        <is>
          <t>No</t>
        </is>
      </c>
      <c r="B3726" t="inlineStr">
        <is>
          <t>CURAL</t>
        </is>
      </c>
      <c r="C3726" t="inlineStr">
        <is>
          <t>SHELVES</t>
        </is>
      </c>
      <c r="D3726" t="inlineStr">
        <is>
          <t>PR858.W6 T6</t>
        </is>
      </c>
      <c r="E3726" t="inlineStr">
        <is>
          <t>0                      PR 0858000W  6                  T  6</t>
        </is>
      </c>
      <c r="F3726" t="inlineStr">
        <is>
          <t>Women's friendship in literature / Janet Todd.</t>
        </is>
      </c>
      <c r="H3726" t="inlineStr">
        <is>
          <t>No</t>
        </is>
      </c>
      <c r="I3726" t="inlineStr">
        <is>
          <t>1</t>
        </is>
      </c>
      <c r="J3726" t="inlineStr">
        <is>
          <t>No</t>
        </is>
      </c>
      <c r="K3726" t="inlineStr">
        <is>
          <t>No</t>
        </is>
      </c>
      <c r="L3726" t="inlineStr">
        <is>
          <t>0</t>
        </is>
      </c>
      <c r="M3726" t="inlineStr">
        <is>
          <t>Todd, Janet, 1942-</t>
        </is>
      </c>
      <c r="N3726" t="inlineStr">
        <is>
          <t>New York : Columbia University Press, 1980.</t>
        </is>
      </c>
      <c r="O3726" t="inlineStr">
        <is>
          <t>1980</t>
        </is>
      </c>
      <c r="Q3726" t="inlineStr">
        <is>
          <t>eng</t>
        </is>
      </c>
      <c r="R3726" t="inlineStr">
        <is>
          <t>nyu</t>
        </is>
      </c>
      <c r="T3726" t="inlineStr">
        <is>
          <t xml:space="preserve">PR </t>
        </is>
      </c>
      <c r="U3726" t="n">
        <v>7</v>
      </c>
      <c r="V3726" t="n">
        <v>7</v>
      </c>
      <c r="W3726" t="inlineStr">
        <is>
          <t>2004-11-13</t>
        </is>
      </c>
      <c r="X3726" t="inlineStr">
        <is>
          <t>2004-11-13</t>
        </is>
      </c>
      <c r="Y3726" t="inlineStr">
        <is>
          <t>1991-09-12</t>
        </is>
      </c>
      <c r="Z3726" t="inlineStr">
        <is>
          <t>1991-09-12</t>
        </is>
      </c>
      <c r="AA3726" t="n">
        <v>983</v>
      </c>
      <c r="AB3726" t="n">
        <v>807</v>
      </c>
      <c r="AC3726" t="n">
        <v>813</v>
      </c>
      <c r="AD3726" t="n">
        <v>6</v>
      </c>
      <c r="AE3726" t="n">
        <v>6</v>
      </c>
      <c r="AF3726" t="n">
        <v>39</v>
      </c>
      <c r="AG3726" t="n">
        <v>39</v>
      </c>
      <c r="AH3726" t="n">
        <v>15</v>
      </c>
      <c r="AI3726" t="n">
        <v>15</v>
      </c>
      <c r="AJ3726" t="n">
        <v>11</v>
      </c>
      <c r="AK3726" t="n">
        <v>11</v>
      </c>
      <c r="AL3726" t="n">
        <v>17</v>
      </c>
      <c r="AM3726" t="n">
        <v>17</v>
      </c>
      <c r="AN3726" t="n">
        <v>5</v>
      </c>
      <c r="AO3726" t="n">
        <v>5</v>
      </c>
      <c r="AP3726" t="n">
        <v>0</v>
      </c>
      <c r="AQ3726" t="n">
        <v>0</v>
      </c>
      <c r="AR3726" t="inlineStr">
        <is>
          <t>No</t>
        </is>
      </c>
      <c r="AS3726" t="inlineStr">
        <is>
          <t>No</t>
        </is>
      </c>
      <c r="AU3726">
        <f>HYPERLINK("https://creighton-primo.hosted.exlibrisgroup.com/primo-explore/search?tab=default_tab&amp;search_scope=EVERYTHING&amp;vid=01CRU&amp;lang=en_US&amp;offset=0&amp;query=any,contains,991004826019702656","Catalog Record")</f>
        <v/>
      </c>
      <c r="AV3726">
        <f>HYPERLINK("http://www.worldcat.org/oclc/5353696","WorldCat Record")</f>
        <v/>
      </c>
      <c r="AW3726" t="inlineStr">
        <is>
          <t>420154:eng</t>
        </is>
      </c>
      <c r="AX3726" t="inlineStr">
        <is>
          <t>5353696</t>
        </is>
      </c>
      <c r="AY3726" t="inlineStr">
        <is>
          <t>991004826019702656</t>
        </is>
      </c>
      <c r="AZ3726" t="inlineStr">
        <is>
          <t>991004826019702656</t>
        </is>
      </c>
      <c r="BA3726" t="inlineStr">
        <is>
          <t>2257444340002656</t>
        </is>
      </c>
      <c r="BB3726" t="inlineStr">
        <is>
          <t>BOOK</t>
        </is>
      </c>
      <c r="BD3726" t="inlineStr">
        <is>
          <t>9780231045629</t>
        </is>
      </c>
      <c r="BE3726" t="inlineStr">
        <is>
          <t>32285000757087</t>
        </is>
      </c>
      <c r="BF3726" t="inlineStr">
        <is>
          <t>893606506</t>
        </is>
      </c>
    </row>
    <row r="3727">
      <c r="A3727" t="inlineStr">
        <is>
          <t>No</t>
        </is>
      </c>
      <c r="B3727" t="inlineStr">
        <is>
          <t>CURAL</t>
        </is>
      </c>
      <c r="C3727" t="inlineStr">
        <is>
          <t>SHELVES</t>
        </is>
      </c>
      <c r="D3727" t="inlineStr">
        <is>
          <t>PR86 .A72</t>
        </is>
      </c>
      <c r="E3727" t="inlineStr">
        <is>
          <t>0                      PR 0086000A  72</t>
        </is>
      </c>
      <c r="F3727" t="inlineStr">
        <is>
          <t>It all started with freshman English; a survival kit for students and teachers of English and a relaxed review for those who are happily past it all, by Richard Armour.</t>
        </is>
      </c>
      <c r="H3727" t="inlineStr">
        <is>
          <t>No</t>
        </is>
      </c>
      <c r="I3727" t="inlineStr">
        <is>
          <t>1</t>
        </is>
      </c>
      <c r="J3727" t="inlineStr">
        <is>
          <t>No</t>
        </is>
      </c>
      <c r="K3727" t="inlineStr">
        <is>
          <t>No</t>
        </is>
      </c>
      <c r="L3727" t="inlineStr">
        <is>
          <t>0</t>
        </is>
      </c>
      <c r="M3727" t="inlineStr">
        <is>
          <t>Armour, Richard, 1906-1989.</t>
        </is>
      </c>
      <c r="N3727" t="inlineStr">
        <is>
          <t>New York, McGraw-Hill [1973]</t>
        </is>
      </c>
      <c r="O3727" t="inlineStr">
        <is>
          <t>1973</t>
        </is>
      </c>
      <c r="P3727" t="inlineStr">
        <is>
          <t>[1st ed.]</t>
        </is>
      </c>
      <c r="Q3727" t="inlineStr">
        <is>
          <t>eng</t>
        </is>
      </c>
      <c r="R3727" t="inlineStr">
        <is>
          <t>nyu</t>
        </is>
      </c>
      <c r="T3727" t="inlineStr">
        <is>
          <t xml:space="preserve">PR </t>
        </is>
      </c>
      <c r="U3727" t="n">
        <v>1</v>
      </c>
      <c r="V3727" t="n">
        <v>1</v>
      </c>
      <c r="W3727" t="inlineStr">
        <is>
          <t>2010-01-24</t>
        </is>
      </c>
      <c r="X3727" t="inlineStr">
        <is>
          <t>2010-01-24</t>
        </is>
      </c>
      <c r="Y3727" t="inlineStr">
        <is>
          <t>1997-08-13</t>
        </is>
      </c>
      <c r="Z3727" t="inlineStr">
        <is>
          <t>1997-08-13</t>
        </is>
      </c>
      <c r="AA3727" t="n">
        <v>537</v>
      </c>
      <c r="AB3727" t="n">
        <v>520</v>
      </c>
      <c r="AC3727" t="n">
        <v>521</v>
      </c>
      <c r="AD3727" t="n">
        <v>4</v>
      </c>
      <c r="AE3727" t="n">
        <v>4</v>
      </c>
      <c r="AF3727" t="n">
        <v>9</v>
      </c>
      <c r="AG3727" t="n">
        <v>9</v>
      </c>
      <c r="AH3727" t="n">
        <v>4</v>
      </c>
      <c r="AI3727" t="n">
        <v>4</v>
      </c>
      <c r="AJ3727" t="n">
        <v>1</v>
      </c>
      <c r="AK3727" t="n">
        <v>1</v>
      </c>
      <c r="AL3727" t="n">
        <v>4</v>
      </c>
      <c r="AM3727" t="n">
        <v>4</v>
      </c>
      <c r="AN3727" t="n">
        <v>2</v>
      </c>
      <c r="AO3727" t="n">
        <v>2</v>
      </c>
      <c r="AP3727" t="n">
        <v>0</v>
      </c>
      <c r="AQ3727" t="n">
        <v>0</v>
      </c>
      <c r="AR3727" t="inlineStr">
        <is>
          <t>No</t>
        </is>
      </c>
      <c r="AS3727" t="inlineStr">
        <is>
          <t>Yes</t>
        </is>
      </c>
      <c r="AT3727">
        <f>HYPERLINK("http://catalog.hathitrust.org/Record/004542368","HathiTrust Record")</f>
        <v/>
      </c>
      <c r="AU3727">
        <f>HYPERLINK("https://creighton-primo.hosted.exlibrisgroup.com/primo-explore/search?tab=default_tab&amp;search_scope=EVERYTHING&amp;vid=01CRU&amp;lang=en_US&amp;offset=0&amp;query=any,contains,991003212819702656","Catalog Record")</f>
        <v/>
      </c>
      <c r="AV3727">
        <f>HYPERLINK("http://www.worldcat.org/oclc/739373","WorldCat Record")</f>
        <v/>
      </c>
      <c r="AW3727" t="inlineStr">
        <is>
          <t>1796692:eng</t>
        </is>
      </c>
      <c r="AX3727" t="inlineStr">
        <is>
          <t>739373</t>
        </is>
      </c>
      <c r="AY3727" t="inlineStr">
        <is>
          <t>991003212819702656</t>
        </is>
      </c>
      <c r="AZ3727" t="inlineStr">
        <is>
          <t>991003212819702656</t>
        </is>
      </c>
      <c r="BA3727" t="inlineStr">
        <is>
          <t>2255955950002656</t>
        </is>
      </c>
      <c r="BB3727" t="inlineStr">
        <is>
          <t>BOOK</t>
        </is>
      </c>
      <c r="BD3727" t="inlineStr">
        <is>
          <t>9780070023017</t>
        </is>
      </c>
      <c r="BE3727" t="inlineStr">
        <is>
          <t>32285003064051</t>
        </is>
      </c>
      <c r="BF3727" t="inlineStr">
        <is>
          <t>893227798</t>
        </is>
      </c>
    </row>
    <row r="3728">
      <c r="A3728" t="inlineStr">
        <is>
          <t>No</t>
        </is>
      </c>
      <c r="B3728" t="inlineStr">
        <is>
          <t>CURAL</t>
        </is>
      </c>
      <c r="C3728" t="inlineStr">
        <is>
          <t>SHELVES</t>
        </is>
      </c>
      <c r="D3728" t="inlineStr">
        <is>
          <t>PR861 .C6</t>
        </is>
      </c>
      <c r="E3728" t="inlineStr">
        <is>
          <t>0                      PR 0861000C  6</t>
        </is>
      </c>
      <c r="F3728" t="inlineStr">
        <is>
          <t>Fiction with a purpose; major and minor nineteenth-century novels [by] Robert A. Colby.</t>
        </is>
      </c>
      <c r="H3728" t="inlineStr">
        <is>
          <t>No</t>
        </is>
      </c>
      <c r="I3728" t="inlineStr">
        <is>
          <t>1</t>
        </is>
      </c>
      <c r="J3728" t="inlineStr">
        <is>
          <t>No</t>
        </is>
      </c>
      <c r="K3728" t="inlineStr">
        <is>
          <t>No</t>
        </is>
      </c>
      <c r="L3728" t="inlineStr">
        <is>
          <t>0</t>
        </is>
      </c>
      <c r="M3728" t="inlineStr">
        <is>
          <t>Colby, Robert A. (Robert Alan), 1920-2004.</t>
        </is>
      </c>
      <c r="N3728" t="inlineStr">
        <is>
          <t>Bloomington, Indiana University Press [1967]</t>
        </is>
      </c>
      <c r="O3728" t="inlineStr">
        <is>
          <t>1967</t>
        </is>
      </c>
      <c r="Q3728" t="inlineStr">
        <is>
          <t>eng</t>
        </is>
      </c>
      <c r="R3728" t="inlineStr">
        <is>
          <t>inu</t>
        </is>
      </c>
      <c r="T3728" t="inlineStr">
        <is>
          <t xml:space="preserve">PR </t>
        </is>
      </c>
      <c r="U3728" t="n">
        <v>2</v>
      </c>
      <c r="V3728" t="n">
        <v>2</v>
      </c>
      <c r="W3728" t="inlineStr">
        <is>
          <t>2003-03-31</t>
        </is>
      </c>
      <c r="X3728" t="inlineStr">
        <is>
          <t>2003-03-31</t>
        </is>
      </c>
      <c r="Y3728" t="inlineStr">
        <is>
          <t>1997-09-15</t>
        </is>
      </c>
      <c r="Z3728" t="inlineStr">
        <is>
          <t>1997-09-15</t>
        </is>
      </c>
      <c r="AA3728" t="n">
        <v>1212</v>
      </c>
      <c r="AB3728" t="n">
        <v>1108</v>
      </c>
      <c r="AC3728" t="n">
        <v>1115</v>
      </c>
      <c r="AD3728" t="n">
        <v>11</v>
      </c>
      <c r="AE3728" t="n">
        <v>11</v>
      </c>
      <c r="AF3728" t="n">
        <v>43</v>
      </c>
      <c r="AG3728" t="n">
        <v>43</v>
      </c>
      <c r="AH3728" t="n">
        <v>13</v>
      </c>
      <c r="AI3728" t="n">
        <v>13</v>
      </c>
      <c r="AJ3728" t="n">
        <v>10</v>
      </c>
      <c r="AK3728" t="n">
        <v>10</v>
      </c>
      <c r="AL3728" t="n">
        <v>20</v>
      </c>
      <c r="AM3728" t="n">
        <v>20</v>
      </c>
      <c r="AN3728" t="n">
        <v>10</v>
      </c>
      <c r="AO3728" t="n">
        <v>10</v>
      </c>
      <c r="AP3728" t="n">
        <v>0</v>
      </c>
      <c r="AQ3728" t="n">
        <v>0</v>
      </c>
      <c r="AR3728" t="inlineStr">
        <is>
          <t>No</t>
        </is>
      </c>
      <c r="AS3728" t="inlineStr">
        <is>
          <t>Yes</t>
        </is>
      </c>
      <c r="AT3728">
        <f>HYPERLINK("http://catalog.hathitrust.org/Record/001374922","HathiTrust Record")</f>
        <v/>
      </c>
      <c r="AU3728">
        <f>HYPERLINK("https://creighton-primo.hosted.exlibrisgroup.com/primo-explore/search?tab=default_tab&amp;search_scope=EVERYTHING&amp;vid=01CRU&amp;lang=en_US&amp;offset=0&amp;query=any,contains,991002445359702656","Catalog Record")</f>
        <v/>
      </c>
      <c r="AV3728">
        <f>HYPERLINK("http://www.worldcat.org/oclc/351316","WorldCat Record")</f>
        <v/>
      </c>
      <c r="AW3728" t="inlineStr">
        <is>
          <t>203149173:eng</t>
        </is>
      </c>
      <c r="AX3728" t="inlineStr">
        <is>
          <t>351316</t>
        </is>
      </c>
      <c r="AY3728" t="inlineStr">
        <is>
          <t>991002445359702656</t>
        </is>
      </c>
      <c r="AZ3728" t="inlineStr">
        <is>
          <t>991002445359702656</t>
        </is>
      </c>
      <c r="BA3728" t="inlineStr">
        <is>
          <t>2266615180002656</t>
        </is>
      </c>
      <c r="BB3728" t="inlineStr">
        <is>
          <t>BOOK</t>
        </is>
      </c>
      <c r="BE3728" t="inlineStr">
        <is>
          <t>32285003216586</t>
        </is>
      </c>
      <c r="BF3728" t="inlineStr">
        <is>
          <t>893329081</t>
        </is>
      </c>
    </row>
    <row r="3729">
      <c r="A3729" t="inlineStr">
        <is>
          <t>No</t>
        </is>
      </c>
      <c r="B3729" t="inlineStr">
        <is>
          <t>CURAL</t>
        </is>
      </c>
      <c r="C3729" t="inlineStr">
        <is>
          <t>SHELVES</t>
        </is>
      </c>
      <c r="D3729" t="inlineStr">
        <is>
          <t>PR861 .K3</t>
        </is>
      </c>
      <c r="E3729" t="inlineStr">
        <is>
          <t>0                      PR 0861000K  3</t>
        </is>
      </c>
      <c r="F3729" t="inlineStr">
        <is>
          <t>An age of fiction: the nineteenth century British novel [by] Frederick R. Karl.</t>
        </is>
      </c>
      <c r="H3729" t="inlineStr">
        <is>
          <t>No</t>
        </is>
      </c>
      <c r="I3729" t="inlineStr">
        <is>
          <t>1</t>
        </is>
      </c>
      <c r="J3729" t="inlineStr">
        <is>
          <t>No</t>
        </is>
      </c>
      <c r="K3729" t="inlineStr">
        <is>
          <t>No</t>
        </is>
      </c>
      <c r="L3729" t="inlineStr">
        <is>
          <t>0</t>
        </is>
      </c>
      <c r="M3729" t="inlineStr">
        <is>
          <t>Karl, Frederick R. (Frederick Robert), 1927-2004.</t>
        </is>
      </c>
      <c r="N3729" t="inlineStr">
        <is>
          <t>New York, Farrar, Straus and Giroux [1964]</t>
        </is>
      </c>
      <c r="O3729" t="inlineStr">
        <is>
          <t>1964</t>
        </is>
      </c>
      <c r="Q3729" t="inlineStr">
        <is>
          <t>eng</t>
        </is>
      </c>
      <c r="R3729" t="inlineStr">
        <is>
          <t>nyu</t>
        </is>
      </c>
      <c r="T3729" t="inlineStr">
        <is>
          <t xml:space="preserve">PR </t>
        </is>
      </c>
      <c r="U3729" t="n">
        <v>1</v>
      </c>
      <c r="V3729" t="n">
        <v>1</v>
      </c>
      <c r="W3729" t="inlineStr">
        <is>
          <t>2006-03-21</t>
        </is>
      </c>
      <c r="X3729" t="inlineStr">
        <is>
          <t>2006-03-21</t>
        </is>
      </c>
      <c r="Y3729" t="inlineStr">
        <is>
          <t>1997-09-15</t>
        </is>
      </c>
      <c r="Z3729" t="inlineStr">
        <is>
          <t>1997-09-15</t>
        </is>
      </c>
      <c r="AA3729" t="n">
        <v>980</v>
      </c>
      <c r="AB3729" t="n">
        <v>922</v>
      </c>
      <c r="AC3729" t="n">
        <v>961</v>
      </c>
      <c r="AD3729" t="n">
        <v>9</v>
      </c>
      <c r="AE3729" t="n">
        <v>9</v>
      </c>
      <c r="AF3729" t="n">
        <v>30</v>
      </c>
      <c r="AG3729" t="n">
        <v>31</v>
      </c>
      <c r="AH3729" t="n">
        <v>12</v>
      </c>
      <c r="AI3729" t="n">
        <v>12</v>
      </c>
      <c r="AJ3729" t="n">
        <v>7</v>
      </c>
      <c r="AK3729" t="n">
        <v>8</v>
      </c>
      <c r="AL3729" t="n">
        <v>13</v>
      </c>
      <c r="AM3729" t="n">
        <v>14</v>
      </c>
      <c r="AN3729" t="n">
        <v>5</v>
      </c>
      <c r="AO3729" t="n">
        <v>5</v>
      </c>
      <c r="AP3729" t="n">
        <v>0</v>
      </c>
      <c r="AQ3729" t="n">
        <v>0</v>
      </c>
      <c r="AR3729" t="inlineStr">
        <is>
          <t>No</t>
        </is>
      </c>
      <c r="AS3729" t="inlineStr">
        <is>
          <t>Yes</t>
        </is>
      </c>
      <c r="AT3729">
        <f>HYPERLINK("http://catalog.hathitrust.org/Record/001016710","HathiTrust Record")</f>
        <v/>
      </c>
      <c r="AU3729">
        <f>HYPERLINK("https://creighton-primo.hosted.exlibrisgroup.com/primo-explore/search?tab=default_tab&amp;search_scope=EVERYTHING&amp;vid=01CRU&amp;lang=en_US&amp;offset=0&amp;query=any,contains,991003178479702656","Catalog Record")</f>
        <v/>
      </c>
      <c r="AV3729">
        <f>HYPERLINK("http://www.worldcat.org/oclc/711258","WorldCat Record")</f>
        <v/>
      </c>
      <c r="AW3729" t="inlineStr">
        <is>
          <t>4780255346:eng</t>
        </is>
      </c>
      <c r="AX3729" t="inlineStr">
        <is>
          <t>711258</t>
        </is>
      </c>
      <c r="AY3729" t="inlineStr">
        <is>
          <t>991003178479702656</t>
        </is>
      </c>
      <c r="AZ3729" t="inlineStr">
        <is>
          <t>991003178479702656</t>
        </is>
      </c>
      <c r="BA3729" t="inlineStr">
        <is>
          <t>2263987580002656</t>
        </is>
      </c>
      <c r="BB3729" t="inlineStr">
        <is>
          <t>BOOK</t>
        </is>
      </c>
      <c r="BE3729" t="inlineStr">
        <is>
          <t>32285003216594</t>
        </is>
      </c>
      <c r="BF3729" t="inlineStr">
        <is>
          <t>893698726</t>
        </is>
      </c>
    </row>
    <row r="3730">
      <c r="A3730" t="inlineStr">
        <is>
          <t>No</t>
        </is>
      </c>
      <c r="B3730" t="inlineStr">
        <is>
          <t>CURAL</t>
        </is>
      </c>
      <c r="C3730" t="inlineStr">
        <is>
          <t>SHELVES</t>
        </is>
      </c>
      <c r="D3730" t="inlineStr">
        <is>
          <t>PR863 .H6 1967</t>
        </is>
      </c>
      <c r="E3730" t="inlineStr">
        <is>
          <t>0                      PR 0863000H  6           1967</t>
        </is>
      </c>
      <c r="F3730" t="inlineStr">
        <is>
          <t>Tradition and tolerance in nineteenth-century fiction; critical essays on some English and American novels / edited by David Howard, John Lucas, John Goode.</t>
        </is>
      </c>
      <c r="H3730" t="inlineStr">
        <is>
          <t>No</t>
        </is>
      </c>
      <c r="I3730" t="inlineStr">
        <is>
          <t>1</t>
        </is>
      </c>
      <c r="J3730" t="inlineStr">
        <is>
          <t>No</t>
        </is>
      </c>
      <c r="K3730" t="inlineStr">
        <is>
          <t>No</t>
        </is>
      </c>
      <c r="L3730" t="inlineStr">
        <is>
          <t>0</t>
        </is>
      </c>
      <c r="M3730" t="inlineStr">
        <is>
          <t>Howard, David (David Barrymore)</t>
        </is>
      </c>
      <c r="N3730" t="inlineStr">
        <is>
          <t>New York : Barnes &amp; Noble, [1967]</t>
        </is>
      </c>
      <c r="O3730" t="inlineStr">
        <is>
          <t>1967</t>
        </is>
      </c>
      <c r="Q3730" t="inlineStr">
        <is>
          <t>eng</t>
        </is>
      </c>
      <c r="R3730" t="inlineStr">
        <is>
          <t>nyu</t>
        </is>
      </c>
      <c r="T3730" t="inlineStr">
        <is>
          <t xml:space="preserve">PR </t>
        </is>
      </c>
      <c r="U3730" t="n">
        <v>6</v>
      </c>
      <c r="V3730" t="n">
        <v>6</v>
      </c>
      <c r="W3730" t="inlineStr">
        <is>
          <t>2003-10-15</t>
        </is>
      </c>
      <c r="X3730" t="inlineStr">
        <is>
          <t>2003-10-15</t>
        </is>
      </c>
      <c r="Y3730" t="inlineStr">
        <is>
          <t>1997-09-15</t>
        </is>
      </c>
      <c r="Z3730" t="inlineStr">
        <is>
          <t>1997-09-15</t>
        </is>
      </c>
      <c r="AA3730" t="n">
        <v>391</v>
      </c>
      <c r="AB3730" t="n">
        <v>371</v>
      </c>
      <c r="AC3730" t="n">
        <v>524</v>
      </c>
      <c r="AD3730" t="n">
        <v>2</v>
      </c>
      <c r="AE3730" t="n">
        <v>3</v>
      </c>
      <c r="AF3730" t="n">
        <v>17</v>
      </c>
      <c r="AG3730" t="n">
        <v>23</v>
      </c>
      <c r="AH3730" t="n">
        <v>4</v>
      </c>
      <c r="AI3730" t="n">
        <v>5</v>
      </c>
      <c r="AJ3730" t="n">
        <v>4</v>
      </c>
      <c r="AK3730" t="n">
        <v>6</v>
      </c>
      <c r="AL3730" t="n">
        <v>11</v>
      </c>
      <c r="AM3730" t="n">
        <v>15</v>
      </c>
      <c r="AN3730" t="n">
        <v>1</v>
      </c>
      <c r="AO3730" t="n">
        <v>2</v>
      </c>
      <c r="AP3730" t="n">
        <v>0</v>
      </c>
      <c r="AQ3730" t="n">
        <v>0</v>
      </c>
      <c r="AR3730" t="inlineStr">
        <is>
          <t>No</t>
        </is>
      </c>
      <c r="AS3730" t="inlineStr">
        <is>
          <t>Yes</t>
        </is>
      </c>
      <c r="AT3730">
        <f>HYPERLINK("http://catalog.hathitrust.org/Record/001374969","HathiTrust Record")</f>
        <v/>
      </c>
      <c r="AU3730">
        <f>HYPERLINK("https://creighton-primo.hosted.exlibrisgroup.com/primo-explore/search?tab=default_tab&amp;search_scope=EVERYTHING&amp;vid=01CRU&amp;lang=en_US&amp;offset=0&amp;query=any,contains,991003252689702656","Catalog Record")</f>
        <v/>
      </c>
      <c r="AV3730">
        <f>HYPERLINK("http://www.worldcat.org/oclc/777369","WorldCat Record")</f>
        <v/>
      </c>
      <c r="AW3730" t="inlineStr">
        <is>
          <t>9439743:eng</t>
        </is>
      </c>
      <c r="AX3730" t="inlineStr">
        <is>
          <t>777369</t>
        </is>
      </c>
      <c r="AY3730" t="inlineStr">
        <is>
          <t>991003252689702656</t>
        </is>
      </c>
      <c r="AZ3730" t="inlineStr">
        <is>
          <t>991003252689702656</t>
        </is>
      </c>
      <c r="BA3730" t="inlineStr">
        <is>
          <t>2267975590002656</t>
        </is>
      </c>
      <c r="BB3730" t="inlineStr">
        <is>
          <t>BOOK</t>
        </is>
      </c>
      <c r="BE3730" t="inlineStr">
        <is>
          <t>32285003216644</t>
        </is>
      </c>
      <c r="BF3730" t="inlineStr">
        <is>
          <t>893511744</t>
        </is>
      </c>
    </row>
    <row r="3731">
      <c r="A3731" t="inlineStr">
        <is>
          <t>No</t>
        </is>
      </c>
      <c r="B3731" t="inlineStr">
        <is>
          <t>CURAL</t>
        </is>
      </c>
      <c r="C3731" t="inlineStr">
        <is>
          <t>SHELVES</t>
        </is>
      </c>
      <c r="D3731" t="inlineStr">
        <is>
          <t>PR8636.5.S36 S38 1996</t>
        </is>
      </c>
      <c r="E3731" t="inlineStr">
        <is>
          <t>0                      PR 8636500S  36                 S  38          1996</t>
        </is>
      </c>
      <c r="F3731" t="inlineStr">
        <is>
          <t>Scottish literature : an anthology / David McCordick, editor.</t>
        </is>
      </c>
      <c r="G3731" t="inlineStr">
        <is>
          <t>V.2</t>
        </is>
      </c>
      <c r="H3731" t="inlineStr">
        <is>
          <t>Yes</t>
        </is>
      </c>
      <c r="I3731" t="inlineStr">
        <is>
          <t>1</t>
        </is>
      </c>
      <c r="J3731" t="inlineStr">
        <is>
          <t>No</t>
        </is>
      </c>
      <c r="K3731" t="inlineStr">
        <is>
          <t>No</t>
        </is>
      </c>
      <c r="L3731" t="inlineStr">
        <is>
          <t>0</t>
        </is>
      </c>
      <c r="N3731" t="inlineStr">
        <is>
          <t>New York : P. Lang, c1996-</t>
        </is>
      </c>
      <c r="O3731" t="inlineStr">
        <is>
          <t>1996</t>
        </is>
      </c>
      <c r="Q3731" t="inlineStr">
        <is>
          <t>eng</t>
        </is>
      </c>
      <c r="R3731" t="inlineStr">
        <is>
          <t>nyu</t>
        </is>
      </c>
      <c r="T3731" t="inlineStr">
        <is>
          <t xml:space="preserve">PR </t>
        </is>
      </c>
      <c r="U3731" t="n">
        <v>0</v>
      </c>
      <c r="V3731" t="n">
        <v>2</v>
      </c>
      <c r="X3731" t="inlineStr">
        <is>
          <t>2003-01-30</t>
        </is>
      </c>
      <c r="Y3731" t="inlineStr">
        <is>
          <t>1997-07-31</t>
        </is>
      </c>
      <c r="Z3731" t="inlineStr">
        <is>
          <t>1997-07-31</t>
        </is>
      </c>
      <c r="AA3731" t="n">
        <v>372</v>
      </c>
      <c r="AB3731" t="n">
        <v>313</v>
      </c>
      <c r="AC3731" t="n">
        <v>316</v>
      </c>
      <c r="AD3731" t="n">
        <v>2</v>
      </c>
      <c r="AE3731" t="n">
        <v>2</v>
      </c>
      <c r="AF3731" t="n">
        <v>18</v>
      </c>
      <c r="AG3731" t="n">
        <v>18</v>
      </c>
      <c r="AH3731" t="n">
        <v>7</v>
      </c>
      <c r="AI3731" t="n">
        <v>7</v>
      </c>
      <c r="AJ3731" t="n">
        <v>3</v>
      </c>
      <c r="AK3731" t="n">
        <v>3</v>
      </c>
      <c r="AL3731" t="n">
        <v>13</v>
      </c>
      <c r="AM3731" t="n">
        <v>13</v>
      </c>
      <c r="AN3731" t="n">
        <v>1</v>
      </c>
      <c r="AO3731" t="n">
        <v>1</v>
      </c>
      <c r="AP3731" t="n">
        <v>0</v>
      </c>
      <c r="AQ3731" t="n">
        <v>0</v>
      </c>
      <c r="AR3731" t="inlineStr">
        <is>
          <t>No</t>
        </is>
      </c>
      <c r="AS3731" t="inlineStr">
        <is>
          <t>Yes</t>
        </is>
      </c>
      <c r="AT3731">
        <f>HYPERLINK("http://catalog.hathitrust.org/Record/003167709","HathiTrust Record")</f>
        <v/>
      </c>
      <c r="AU3731">
        <f>HYPERLINK("https://creighton-primo.hosted.exlibrisgroup.com/primo-explore/search?tab=default_tab&amp;search_scope=EVERYTHING&amp;vid=01CRU&amp;lang=en_US&amp;offset=0&amp;query=any,contains,991002534709702656","Catalog Record")</f>
        <v/>
      </c>
      <c r="AV3731">
        <f>HYPERLINK("http://www.worldcat.org/oclc/32926212","WorldCat Record")</f>
        <v/>
      </c>
      <c r="AW3731" t="inlineStr">
        <is>
          <t>4417367604:eng</t>
        </is>
      </c>
      <c r="AX3731" t="inlineStr">
        <is>
          <t>32926212</t>
        </is>
      </c>
      <c r="AY3731" t="inlineStr">
        <is>
          <t>991002534709702656</t>
        </is>
      </c>
      <c r="AZ3731" t="inlineStr">
        <is>
          <t>991002534709702656</t>
        </is>
      </c>
      <c r="BA3731" t="inlineStr">
        <is>
          <t>2263640630002656</t>
        </is>
      </c>
      <c r="BB3731" t="inlineStr">
        <is>
          <t>BOOK</t>
        </is>
      </c>
      <c r="BD3731" t="inlineStr">
        <is>
          <t>9780820428802</t>
        </is>
      </c>
      <c r="BE3731" t="inlineStr">
        <is>
          <t>32285003020061</t>
        </is>
      </c>
      <c r="BF3731" t="inlineStr">
        <is>
          <t>893710404</t>
        </is>
      </c>
    </row>
    <row r="3732">
      <c r="A3732" t="inlineStr">
        <is>
          <t>No</t>
        </is>
      </c>
      <c r="B3732" t="inlineStr">
        <is>
          <t>CURAL</t>
        </is>
      </c>
      <c r="C3732" t="inlineStr">
        <is>
          <t>SHELVES</t>
        </is>
      </c>
      <c r="D3732" t="inlineStr">
        <is>
          <t>PR8636.5.S36 S38 1996</t>
        </is>
      </c>
      <c r="E3732" t="inlineStr">
        <is>
          <t>0                      PR 8636500S  36                 S  38          1996</t>
        </is>
      </c>
      <c r="F3732" t="inlineStr">
        <is>
          <t>Scottish literature : an anthology / David McCordick, editor.</t>
        </is>
      </c>
      <c r="G3732" t="inlineStr">
        <is>
          <t>V.1</t>
        </is>
      </c>
      <c r="H3732" t="inlineStr">
        <is>
          <t>Yes</t>
        </is>
      </c>
      <c r="I3732" t="inlineStr">
        <is>
          <t>1</t>
        </is>
      </c>
      <c r="J3732" t="inlineStr">
        <is>
          <t>No</t>
        </is>
      </c>
      <c r="K3732" t="inlineStr">
        <is>
          <t>No</t>
        </is>
      </c>
      <c r="L3732" t="inlineStr">
        <is>
          <t>0</t>
        </is>
      </c>
      <c r="N3732" t="inlineStr">
        <is>
          <t>New York : P. Lang, c1996-</t>
        </is>
      </c>
      <c r="O3732" t="inlineStr">
        <is>
          <t>1996</t>
        </is>
      </c>
      <c r="Q3732" t="inlineStr">
        <is>
          <t>eng</t>
        </is>
      </c>
      <c r="R3732" t="inlineStr">
        <is>
          <t>nyu</t>
        </is>
      </c>
      <c r="T3732" t="inlineStr">
        <is>
          <t xml:space="preserve">PR </t>
        </is>
      </c>
      <c r="U3732" t="n">
        <v>2</v>
      </c>
      <c r="V3732" t="n">
        <v>2</v>
      </c>
      <c r="W3732" t="inlineStr">
        <is>
          <t>2003-01-30</t>
        </is>
      </c>
      <c r="X3732" t="inlineStr">
        <is>
          <t>2003-01-30</t>
        </is>
      </c>
      <c r="Y3732" t="inlineStr">
        <is>
          <t>1997-07-28</t>
        </is>
      </c>
      <c r="Z3732" t="inlineStr">
        <is>
          <t>1997-07-31</t>
        </is>
      </c>
      <c r="AA3732" t="n">
        <v>372</v>
      </c>
      <c r="AB3732" t="n">
        <v>313</v>
      </c>
      <c r="AC3732" t="n">
        <v>316</v>
      </c>
      <c r="AD3732" t="n">
        <v>2</v>
      </c>
      <c r="AE3732" t="n">
        <v>2</v>
      </c>
      <c r="AF3732" t="n">
        <v>18</v>
      </c>
      <c r="AG3732" t="n">
        <v>18</v>
      </c>
      <c r="AH3732" t="n">
        <v>7</v>
      </c>
      <c r="AI3732" t="n">
        <v>7</v>
      </c>
      <c r="AJ3732" t="n">
        <v>3</v>
      </c>
      <c r="AK3732" t="n">
        <v>3</v>
      </c>
      <c r="AL3732" t="n">
        <v>13</v>
      </c>
      <c r="AM3732" t="n">
        <v>13</v>
      </c>
      <c r="AN3732" t="n">
        <v>1</v>
      </c>
      <c r="AO3732" t="n">
        <v>1</v>
      </c>
      <c r="AP3732" t="n">
        <v>0</v>
      </c>
      <c r="AQ3732" t="n">
        <v>0</v>
      </c>
      <c r="AR3732" t="inlineStr">
        <is>
          <t>No</t>
        </is>
      </c>
      <c r="AS3732" t="inlineStr">
        <is>
          <t>Yes</t>
        </is>
      </c>
      <c r="AT3732">
        <f>HYPERLINK("http://catalog.hathitrust.org/Record/003167709","HathiTrust Record")</f>
        <v/>
      </c>
      <c r="AU3732">
        <f>HYPERLINK("https://creighton-primo.hosted.exlibrisgroup.com/primo-explore/search?tab=default_tab&amp;search_scope=EVERYTHING&amp;vid=01CRU&amp;lang=en_US&amp;offset=0&amp;query=any,contains,991002534709702656","Catalog Record")</f>
        <v/>
      </c>
      <c r="AV3732">
        <f>HYPERLINK("http://www.worldcat.org/oclc/32926212","WorldCat Record")</f>
        <v/>
      </c>
      <c r="AW3732" t="inlineStr">
        <is>
          <t>4417367604:eng</t>
        </is>
      </c>
      <c r="AX3732" t="inlineStr">
        <is>
          <t>32926212</t>
        </is>
      </c>
      <c r="AY3732" t="inlineStr">
        <is>
          <t>991002534709702656</t>
        </is>
      </c>
      <c r="AZ3732" t="inlineStr">
        <is>
          <t>991002534709702656</t>
        </is>
      </c>
      <c r="BA3732" t="inlineStr">
        <is>
          <t>2263640630002656</t>
        </is>
      </c>
      <c r="BB3732" t="inlineStr">
        <is>
          <t>BOOK</t>
        </is>
      </c>
      <c r="BD3732" t="inlineStr">
        <is>
          <t>9780820428802</t>
        </is>
      </c>
      <c r="BE3732" t="inlineStr">
        <is>
          <t>32285002884186</t>
        </is>
      </c>
      <c r="BF3732" t="inlineStr">
        <is>
          <t>893721509</t>
        </is>
      </c>
    </row>
    <row r="3733">
      <c r="A3733" t="inlineStr">
        <is>
          <t>No</t>
        </is>
      </c>
      <c r="B3733" t="inlineStr">
        <is>
          <t>CURAL</t>
        </is>
      </c>
      <c r="C3733" t="inlineStr">
        <is>
          <t>SHELVES</t>
        </is>
      </c>
      <c r="D3733" t="inlineStr">
        <is>
          <t>PR868.C25 C56 2004</t>
        </is>
      </c>
      <c r="E3733" t="inlineStr">
        <is>
          <t>0                      PR 0868000C  25                 C  56          2004</t>
        </is>
      </c>
      <c r="F3733" t="inlineStr">
        <is>
          <t>Avuncularism : capitalism, patriarchy, and nineteenth-century English culture / Eileen Cleere.</t>
        </is>
      </c>
      <c r="H3733" t="inlineStr">
        <is>
          <t>No</t>
        </is>
      </c>
      <c r="I3733" t="inlineStr">
        <is>
          <t>1</t>
        </is>
      </c>
      <c r="J3733" t="inlineStr">
        <is>
          <t>No</t>
        </is>
      </c>
      <c r="K3733" t="inlineStr">
        <is>
          <t>No</t>
        </is>
      </c>
      <c r="L3733" t="inlineStr">
        <is>
          <t>0</t>
        </is>
      </c>
      <c r="M3733" t="inlineStr">
        <is>
          <t>Cleere, Eileen.</t>
        </is>
      </c>
      <c r="N3733" t="inlineStr">
        <is>
          <t>Stanford, Calif. : Stanford University Press, 2004.</t>
        </is>
      </c>
      <c r="O3733" t="inlineStr">
        <is>
          <t>2004</t>
        </is>
      </c>
      <c r="Q3733" t="inlineStr">
        <is>
          <t>eng</t>
        </is>
      </c>
      <c r="R3733" t="inlineStr">
        <is>
          <t>cau</t>
        </is>
      </c>
      <c r="T3733" t="inlineStr">
        <is>
          <t xml:space="preserve">PR </t>
        </is>
      </c>
      <c r="U3733" t="n">
        <v>1</v>
      </c>
      <c r="V3733" t="n">
        <v>1</v>
      </c>
      <c r="W3733" t="inlineStr">
        <is>
          <t>2005-04-25</t>
        </is>
      </c>
      <c r="X3733" t="inlineStr">
        <is>
          <t>2005-04-25</t>
        </is>
      </c>
      <c r="Y3733" t="inlineStr">
        <is>
          <t>2005-04-25</t>
        </is>
      </c>
      <c r="Z3733" t="inlineStr">
        <is>
          <t>2005-04-25</t>
        </is>
      </c>
      <c r="AA3733" t="n">
        <v>242</v>
      </c>
      <c r="AB3733" t="n">
        <v>199</v>
      </c>
      <c r="AC3733" t="n">
        <v>201</v>
      </c>
      <c r="AD3733" t="n">
        <v>2</v>
      </c>
      <c r="AE3733" t="n">
        <v>2</v>
      </c>
      <c r="AF3733" t="n">
        <v>10</v>
      </c>
      <c r="AG3733" t="n">
        <v>10</v>
      </c>
      <c r="AH3733" t="n">
        <v>4</v>
      </c>
      <c r="AI3733" t="n">
        <v>4</v>
      </c>
      <c r="AJ3733" t="n">
        <v>2</v>
      </c>
      <c r="AK3733" t="n">
        <v>2</v>
      </c>
      <c r="AL3733" t="n">
        <v>6</v>
      </c>
      <c r="AM3733" t="n">
        <v>6</v>
      </c>
      <c r="AN3733" t="n">
        <v>1</v>
      </c>
      <c r="AO3733" t="n">
        <v>1</v>
      </c>
      <c r="AP3733" t="n">
        <v>0</v>
      </c>
      <c r="AQ3733" t="n">
        <v>0</v>
      </c>
      <c r="AR3733" t="inlineStr">
        <is>
          <t>No</t>
        </is>
      </c>
      <c r="AS3733" t="inlineStr">
        <is>
          <t>Yes</t>
        </is>
      </c>
      <c r="AT3733">
        <f>HYPERLINK("http://catalog.hathitrust.org/Record/004736870","HathiTrust Record")</f>
        <v/>
      </c>
      <c r="AU3733">
        <f>HYPERLINK("https://creighton-primo.hosted.exlibrisgroup.com/primo-explore/search?tab=default_tab&amp;search_scope=EVERYTHING&amp;vid=01CRU&amp;lang=en_US&amp;offset=0&amp;query=any,contains,991004501929702656","Catalog Record")</f>
        <v/>
      </c>
      <c r="AV3733">
        <f>HYPERLINK("http://www.worldcat.org/oclc/53469681","WorldCat Record")</f>
        <v/>
      </c>
      <c r="AW3733" t="inlineStr">
        <is>
          <t>474750192:eng</t>
        </is>
      </c>
      <c r="AX3733" t="inlineStr">
        <is>
          <t>53469681</t>
        </is>
      </c>
      <c r="AY3733" t="inlineStr">
        <is>
          <t>991004501929702656</t>
        </is>
      </c>
      <c r="AZ3733" t="inlineStr">
        <is>
          <t>991004501929702656</t>
        </is>
      </c>
      <c r="BA3733" t="inlineStr">
        <is>
          <t>2259239020002656</t>
        </is>
      </c>
      <c r="BB3733" t="inlineStr">
        <is>
          <t>BOOK</t>
        </is>
      </c>
      <c r="BD3733" t="inlineStr">
        <is>
          <t>9780804750257</t>
        </is>
      </c>
      <c r="BE3733" t="inlineStr">
        <is>
          <t>32285005032908</t>
        </is>
      </c>
      <c r="BF3733" t="inlineStr">
        <is>
          <t>893599907</t>
        </is>
      </c>
    </row>
    <row r="3734">
      <c r="A3734" t="inlineStr">
        <is>
          <t>No</t>
        </is>
      </c>
      <c r="B3734" t="inlineStr">
        <is>
          <t>CURAL</t>
        </is>
      </c>
      <c r="C3734" t="inlineStr">
        <is>
          <t>SHELVES</t>
        </is>
      </c>
      <c r="D3734" t="inlineStr">
        <is>
          <t>PR868.D65 J64 2001</t>
        </is>
      </c>
      <c r="E3734" t="inlineStr">
        <is>
          <t>0                      PR 0868000D  65                 J  64          2001</t>
        </is>
      </c>
      <c r="F3734" t="inlineStr">
        <is>
          <t>Women and domestic experience in Victorian political fiction / Susan Johnston.</t>
        </is>
      </c>
      <c r="H3734" t="inlineStr">
        <is>
          <t>No</t>
        </is>
      </c>
      <c r="I3734" t="inlineStr">
        <is>
          <t>1</t>
        </is>
      </c>
      <c r="J3734" t="inlineStr">
        <is>
          <t>No</t>
        </is>
      </c>
      <c r="K3734" t="inlineStr">
        <is>
          <t>No</t>
        </is>
      </c>
      <c r="L3734" t="inlineStr">
        <is>
          <t>0</t>
        </is>
      </c>
      <c r="M3734" t="inlineStr">
        <is>
          <t>Johnston, Susan, 1964-</t>
        </is>
      </c>
      <c r="N3734" t="inlineStr">
        <is>
          <t>Westport, Conn. : Greenwood Press, 2001.</t>
        </is>
      </c>
      <c r="O3734" t="inlineStr">
        <is>
          <t>2001</t>
        </is>
      </c>
      <c r="Q3734" t="inlineStr">
        <is>
          <t>eng</t>
        </is>
      </c>
      <c r="R3734" t="inlineStr">
        <is>
          <t>ctu</t>
        </is>
      </c>
      <c r="S3734" t="inlineStr">
        <is>
          <t>Contributions in women's studies, 0147-104X ; no. 186</t>
        </is>
      </c>
      <c r="T3734" t="inlineStr">
        <is>
          <t xml:space="preserve">PR </t>
        </is>
      </c>
      <c r="U3734" t="n">
        <v>3</v>
      </c>
      <c r="V3734" t="n">
        <v>3</v>
      </c>
      <c r="W3734" t="inlineStr">
        <is>
          <t>2008-04-23</t>
        </is>
      </c>
      <c r="X3734" t="inlineStr">
        <is>
          <t>2008-04-23</t>
        </is>
      </c>
      <c r="Y3734" t="inlineStr">
        <is>
          <t>2002-12-03</t>
        </is>
      </c>
      <c r="Z3734" t="inlineStr">
        <is>
          <t>2002-12-03</t>
        </is>
      </c>
      <c r="AA3734" t="n">
        <v>294</v>
      </c>
      <c r="AB3734" t="n">
        <v>237</v>
      </c>
      <c r="AC3734" t="n">
        <v>244</v>
      </c>
      <c r="AD3734" t="n">
        <v>3</v>
      </c>
      <c r="AE3734" t="n">
        <v>3</v>
      </c>
      <c r="AF3734" t="n">
        <v>13</v>
      </c>
      <c r="AG3734" t="n">
        <v>13</v>
      </c>
      <c r="AH3734" t="n">
        <v>4</v>
      </c>
      <c r="AI3734" t="n">
        <v>4</v>
      </c>
      <c r="AJ3734" t="n">
        <v>4</v>
      </c>
      <c r="AK3734" t="n">
        <v>4</v>
      </c>
      <c r="AL3734" t="n">
        <v>7</v>
      </c>
      <c r="AM3734" t="n">
        <v>7</v>
      </c>
      <c r="AN3734" t="n">
        <v>2</v>
      </c>
      <c r="AO3734" t="n">
        <v>2</v>
      </c>
      <c r="AP3734" t="n">
        <v>0</v>
      </c>
      <c r="AQ3734" t="n">
        <v>0</v>
      </c>
      <c r="AR3734" t="inlineStr">
        <is>
          <t>No</t>
        </is>
      </c>
      <c r="AS3734" t="inlineStr">
        <is>
          <t>Yes</t>
        </is>
      </c>
      <c r="AT3734">
        <f>HYPERLINK("http://catalog.hathitrust.org/Record/004167205","HathiTrust Record")</f>
        <v/>
      </c>
      <c r="AU3734">
        <f>HYPERLINK("https://creighton-primo.hosted.exlibrisgroup.com/primo-explore/search?tab=default_tab&amp;search_scope=EVERYTHING&amp;vid=01CRU&amp;lang=en_US&amp;offset=0&amp;query=any,contains,991003920729702656","Catalog Record")</f>
        <v/>
      </c>
      <c r="AV3734">
        <f>HYPERLINK("http://www.worldcat.org/oclc/44132915","WorldCat Record")</f>
        <v/>
      </c>
      <c r="AW3734" t="inlineStr">
        <is>
          <t>2634130:eng</t>
        </is>
      </c>
      <c r="AX3734" t="inlineStr">
        <is>
          <t>44132915</t>
        </is>
      </c>
      <c r="AY3734" t="inlineStr">
        <is>
          <t>991003920729702656</t>
        </is>
      </c>
      <c r="AZ3734" t="inlineStr">
        <is>
          <t>991003920729702656</t>
        </is>
      </c>
      <c r="BA3734" t="inlineStr">
        <is>
          <t>2270031090002656</t>
        </is>
      </c>
      <c r="BB3734" t="inlineStr">
        <is>
          <t>BOOK</t>
        </is>
      </c>
      <c r="BD3734" t="inlineStr">
        <is>
          <t>9780313316340</t>
        </is>
      </c>
      <c r="BE3734" t="inlineStr">
        <is>
          <t>32285004666391</t>
        </is>
      </c>
      <c r="BF3734" t="inlineStr">
        <is>
          <t>893441956</t>
        </is>
      </c>
    </row>
    <row r="3735">
      <c r="A3735" t="inlineStr">
        <is>
          <t>No</t>
        </is>
      </c>
      <c r="B3735" t="inlineStr">
        <is>
          <t>CURAL</t>
        </is>
      </c>
      <c r="C3735" t="inlineStr">
        <is>
          <t>SHELVES</t>
        </is>
      </c>
      <c r="D3735" t="inlineStr">
        <is>
          <t>PR868.E67 M69 2002</t>
        </is>
      </c>
      <c r="E3735" t="inlineStr">
        <is>
          <t>0                      PR 0868000E  67                 M  69          2002</t>
        </is>
      </c>
      <c r="F3735" t="inlineStr">
        <is>
          <t>Interfering values in the nineteenth-century British novel : Austen, Dickens, Eliot, Hardy, and the ethics of criticism / Jeffrey Moxham.</t>
        </is>
      </c>
      <c r="H3735" t="inlineStr">
        <is>
          <t>No</t>
        </is>
      </c>
      <c r="I3735" t="inlineStr">
        <is>
          <t>1</t>
        </is>
      </c>
      <c r="J3735" t="inlineStr">
        <is>
          <t>No</t>
        </is>
      </c>
      <c r="K3735" t="inlineStr">
        <is>
          <t>No</t>
        </is>
      </c>
      <c r="L3735" t="inlineStr">
        <is>
          <t>0</t>
        </is>
      </c>
      <c r="M3735" t="inlineStr">
        <is>
          <t>Moxham, Jeffrey, 1948-</t>
        </is>
      </c>
      <c r="N3735" t="inlineStr">
        <is>
          <t>Westport, Conn. : Greenwood Press, 2002.</t>
        </is>
      </c>
      <c r="O3735" t="inlineStr">
        <is>
          <t>2002</t>
        </is>
      </c>
      <c r="Q3735" t="inlineStr">
        <is>
          <t>eng</t>
        </is>
      </c>
      <c r="R3735" t="inlineStr">
        <is>
          <t>ctu</t>
        </is>
      </c>
      <c r="S3735" t="inlineStr">
        <is>
          <t>Contributions to the study of world literature, 0738-9345 ; no. 117</t>
        </is>
      </c>
      <c r="T3735" t="inlineStr">
        <is>
          <t xml:space="preserve">PR </t>
        </is>
      </c>
      <c r="U3735" t="n">
        <v>3</v>
      </c>
      <c r="V3735" t="n">
        <v>3</v>
      </c>
      <c r="W3735" t="inlineStr">
        <is>
          <t>2005-11-22</t>
        </is>
      </c>
      <c r="X3735" t="inlineStr">
        <is>
          <t>2005-11-22</t>
        </is>
      </c>
      <c r="Y3735" t="inlineStr">
        <is>
          <t>2003-09-26</t>
        </is>
      </c>
      <c r="Z3735" t="inlineStr">
        <is>
          <t>2003-09-26</t>
        </is>
      </c>
      <c r="AA3735" t="n">
        <v>239</v>
      </c>
      <c r="AB3735" t="n">
        <v>183</v>
      </c>
      <c r="AC3735" t="n">
        <v>185</v>
      </c>
      <c r="AD3735" t="n">
        <v>2</v>
      </c>
      <c r="AE3735" t="n">
        <v>2</v>
      </c>
      <c r="AF3735" t="n">
        <v>7</v>
      </c>
      <c r="AG3735" t="n">
        <v>7</v>
      </c>
      <c r="AH3735" t="n">
        <v>2</v>
      </c>
      <c r="AI3735" t="n">
        <v>2</v>
      </c>
      <c r="AJ3735" t="n">
        <v>2</v>
      </c>
      <c r="AK3735" t="n">
        <v>2</v>
      </c>
      <c r="AL3735" t="n">
        <v>5</v>
      </c>
      <c r="AM3735" t="n">
        <v>5</v>
      </c>
      <c r="AN3735" t="n">
        <v>1</v>
      </c>
      <c r="AO3735" t="n">
        <v>1</v>
      </c>
      <c r="AP3735" t="n">
        <v>0</v>
      </c>
      <c r="AQ3735" t="n">
        <v>0</v>
      </c>
      <c r="AR3735" t="inlineStr">
        <is>
          <t>No</t>
        </is>
      </c>
      <c r="AS3735" t="inlineStr">
        <is>
          <t>Yes</t>
        </is>
      </c>
      <c r="AT3735">
        <f>HYPERLINK("http://catalog.hathitrust.org/Record/004310580","HathiTrust Record")</f>
        <v/>
      </c>
      <c r="AU3735">
        <f>HYPERLINK("https://creighton-primo.hosted.exlibrisgroup.com/primo-explore/search?tab=default_tab&amp;search_scope=EVERYTHING&amp;vid=01CRU&amp;lang=en_US&amp;offset=0&amp;query=any,contains,991004138629702656","Catalog Record")</f>
        <v/>
      </c>
      <c r="AV3735">
        <f>HYPERLINK("http://www.worldcat.org/oclc/49617462","WorldCat Record")</f>
        <v/>
      </c>
      <c r="AW3735" t="inlineStr">
        <is>
          <t>138917923:eng</t>
        </is>
      </c>
      <c r="AX3735" t="inlineStr">
        <is>
          <t>49617462</t>
        </is>
      </c>
      <c r="AY3735" t="inlineStr">
        <is>
          <t>991004138629702656</t>
        </is>
      </c>
      <c r="AZ3735" t="inlineStr">
        <is>
          <t>991004138629702656</t>
        </is>
      </c>
      <c r="BA3735" t="inlineStr">
        <is>
          <t>2270209710002656</t>
        </is>
      </c>
      <c r="BB3735" t="inlineStr">
        <is>
          <t>BOOK</t>
        </is>
      </c>
      <c r="BD3735" t="inlineStr">
        <is>
          <t>9780313322839</t>
        </is>
      </c>
      <c r="BE3735" t="inlineStr">
        <is>
          <t>32285004794177</t>
        </is>
      </c>
      <c r="BF3735" t="inlineStr">
        <is>
          <t>893904720</t>
        </is>
      </c>
    </row>
    <row r="3736">
      <c r="A3736" t="inlineStr">
        <is>
          <t>No</t>
        </is>
      </c>
      <c r="B3736" t="inlineStr">
        <is>
          <t>CURAL</t>
        </is>
      </c>
      <c r="C3736" t="inlineStr">
        <is>
          <t>SHELVES</t>
        </is>
      </c>
      <c r="D3736" t="inlineStr">
        <is>
          <t>PR868.G32 F58 2003</t>
        </is>
      </c>
      <c r="E3736" t="inlineStr">
        <is>
          <t>0                      PR 0868000G  32                 F  58          2003</t>
        </is>
      </c>
      <c r="F3736" t="inlineStr">
        <is>
          <t>Gambling in the nineteenth-century English novel : "a leprosy is o'er the land" / Michael Flavin.</t>
        </is>
      </c>
      <c r="H3736" t="inlineStr">
        <is>
          <t>No</t>
        </is>
      </c>
      <c r="I3736" t="inlineStr">
        <is>
          <t>1</t>
        </is>
      </c>
      <c r="J3736" t="inlineStr">
        <is>
          <t>No</t>
        </is>
      </c>
      <c r="K3736" t="inlineStr">
        <is>
          <t>No</t>
        </is>
      </c>
      <c r="L3736" t="inlineStr">
        <is>
          <t>0</t>
        </is>
      </c>
      <c r="M3736" t="inlineStr">
        <is>
          <t>Flavin, Michael.</t>
        </is>
      </c>
      <c r="N3736" t="inlineStr">
        <is>
          <t>Brighton, England ; Portland, Or. : Sussex Academic Press, 2003.</t>
        </is>
      </c>
      <c r="O3736" t="inlineStr">
        <is>
          <t>2003</t>
        </is>
      </c>
      <c r="Q3736" t="inlineStr">
        <is>
          <t>eng</t>
        </is>
      </c>
      <c r="R3736" t="inlineStr">
        <is>
          <t>enk</t>
        </is>
      </c>
      <c r="T3736" t="inlineStr">
        <is>
          <t xml:space="preserve">PR </t>
        </is>
      </c>
      <c r="U3736" t="n">
        <v>1</v>
      </c>
      <c r="V3736" t="n">
        <v>1</v>
      </c>
      <c r="W3736" t="inlineStr">
        <is>
          <t>2005-10-19</t>
        </is>
      </c>
      <c r="X3736" t="inlineStr">
        <is>
          <t>2005-10-19</t>
        </is>
      </c>
      <c r="Y3736" t="inlineStr">
        <is>
          <t>2005-10-19</t>
        </is>
      </c>
      <c r="Z3736" t="inlineStr">
        <is>
          <t>2005-10-19</t>
        </is>
      </c>
      <c r="AA3736" t="n">
        <v>215</v>
      </c>
      <c r="AB3736" t="n">
        <v>177</v>
      </c>
      <c r="AC3736" t="n">
        <v>186</v>
      </c>
      <c r="AD3736" t="n">
        <v>2</v>
      </c>
      <c r="AE3736" t="n">
        <v>2</v>
      </c>
      <c r="AF3736" t="n">
        <v>12</v>
      </c>
      <c r="AG3736" t="n">
        <v>13</v>
      </c>
      <c r="AH3736" t="n">
        <v>3</v>
      </c>
      <c r="AI3736" t="n">
        <v>3</v>
      </c>
      <c r="AJ3736" t="n">
        <v>5</v>
      </c>
      <c r="AK3736" t="n">
        <v>6</v>
      </c>
      <c r="AL3736" t="n">
        <v>7</v>
      </c>
      <c r="AM3736" t="n">
        <v>8</v>
      </c>
      <c r="AN3736" t="n">
        <v>1</v>
      </c>
      <c r="AO3736" t="n">
        <v>1</v>
      </c>
      <c r="AP3736" t="n">
        <v>0</v>
      </c>
      <c r="AQ3736" t="n">
        <v>0</v>
      </c>
      <c r="AR3736" t="inlineStr">
        <is>
          <t>No</t>
        </is>
      </c>
      <c r="AS3736" t="inlineStr">
        <is>
          <t>Yes</t>
        </is>
      </c>
      <c r="AT3736">
        <f>HYPERLINK("http://catalog.hathitrust.org/Record/004334141","HathiTrust Record")</f>
        <v/>
      </c>
      <c r="AU3736">
        <f>HYPERLINK("https://creighton-primo.hosted.exlibrisgroup.com/primo-explore/search?tab=default_tab&amp;search_scope=EVERYTHING&amp;vid=01CRU&amp;lang=en_US&amp;offset=0&amp;query=any,contains,991004674219702656","Catalog Record")</f>
        <v/>
      </c>
      <c r="AV3736">
        <f>HYPERLINK("http://www.worldcat.org/oclc/50693470","WorldCat Record")</f>
        <v/>
      </c>
      <c r="AW3736" t="inlineStr">
        <is>
          <t>372399844:eng</t>
        </is>
      </c>
      <c r="AX3736" t="inlineStr">
        <is>
          <t>50693470</t>
        </is>
      </c>
      <c r="AY3736" t="inlineStr">
        <is>
          <t>991004674219702656</t>
        </is>
      </c>
      <c r="AZ3736" t="inlineStr">
        <is>
          <t>991004674219702656</t>
        </is>
      </c>
      <c r="BA3736" t="inlineStr">
        <is>
          <t>2256241730002656</t>
        </is>
      </c>
      <c r="BB3736" t="inlineStr">
        <is>
          <t>BOOK</t>
        </is>
      </c>
      <c r="BD3736" t="inlineStr">
        <is>
          <t>9781903900185</t>
        </is>
      </c>
      <c r="BE3736" t="inlineStr">
        <is>
          <t>32285005140644</t>
        </is>
      </c>
      <c r="BF3736" t="inlineStr">
        <is>
          <t>893688006</t>
        </is>
      </c>
    </row>
    <row r="3737">
      <c r="A3737" t="inlineStr">
        <is>
          <t>No</t>
        </is>
      </c>
      <c r="B3737" t="inlineStr">
        <is>
          <t>CURAL</t>
        </is>
      </c>
      <c r="C3737" t="inlineStr">
        <is>
          <t>SHELVES</t>
        </is>
      </c>
      <c r="D3737" t="inlineStr">
        <is>
          <t>PR868.H5 W35 2005</t>
        </is>
      </c>
      <c r="E3737" t="inlineStr">
        <is>
          <t>0                      PR 0868000H  5                  W  35          2005</t>
        </is>
      </c>
      <c r="F3737" t="inlineStr">
        <is>
          <t>The woman's historical novel : British women writers, 1900-2000 / Diana Wallace.</t>
        </is>
      </c>
      <c r="H3737" t="inlineStr">
        <is>
          <t>No</t>
        </is>
      </c>
      <c r="I3737" t="inlineStr">
        <is>
          <t>1</t>
        </is>
      </c>
      <c r="J3737" t="inlineStr">
        <is>
          <t>No</t>
        </is>
      </c>
      <c r="K3737" t="inlineStr">
        <is>
          <t>No</t>
        </is>
      </c>
      <c r="L3737" t="inlineStr">
        <is>
          <t>0</t>
        </is>
      </c>
      <c r="M3737" t="inlineStr">
        <is>
          <t>Wallace, Diana, 1964-</t>
        </is>
      </c>
      <c r="N3737" t="inlineStr">
        <is>
          <t>Houndmills, Basingstoke, Hampshire ; New York : Palgrave Macmillan, 2005.</t>
        </is>
      </c>
      <c r="O3737" t="inlineStr">
        <is>
          <t>2005</t>
        </is>
      </c>
      <c r="Q3737" t="inlineStr">
        <is>
          <t>eng</t>
        </is>
      </c>
      <c r="R3737" t="inlineStr">
        <is>
          <t>enk</t>
        </is>
      </c>
      <c r="T3737" t="inlineStr">
        <is>
          <t xml:space="preserve">PR </t>
        </is>
      </c>
      <c r="U3737" t="n">
        <v>1</v>
      </c>
      <c r="V3737" t="n">
        <v>1</v>
      </c>
      <c r="W3737" t="inlineStr">
        <is>
          <t>2006-03-02</t>
        </is>
      </c>
      <c r="X3737" t="inlineStr">
        <is>
          <t>2006-03-02</t>
        </is>
      </c>
      <c r="Y3737" t="inlineStr">
        <is>
          <t>2006-02-17</t>
        </is>
      </c>
      <c r="Z3737" t="inlineStr">
        <is>
          <t>2006-02-17</t>
        </is>
      </c>
      <c r="AA3737" t="n">
        <v>416</v>
      </c>
      <c r="AB3737" t="n">
        <v>322</v>
      </c>
      <c r="AC3737" t="n">
        <v>356</v>
      </c>
      <c r="AD3737" t="n">
        <v>4</v>
      </c>
      <c r="AE3737" t="n">
        <v>5</v>
      </c>
      <c r="AF3737" t="n">
        <v>24</v>
      </c>
      <c r="AG3737" t="n">
        <v>28</v>
      </c>
      <c r="AH3737" t="n">
        <v>10</v>
      </c>
      <c r="AI3737" t="n">
        <v>12</v>
      </c>
      <c r="AJ3737" t="n">
        <v>7</v>
      </c>
      <c r="AK3737" t="n">
        <v>7</v>
      </c>
      <c r="AL3737" t="n">
        <v>11</v>
      </c>
      <c r="AM3737" t="n">
        <v>14</v>
      </c>
      <c r="AN3737" t="n">
        <v>3</v>
      </c>
      <c r="AO3737" t="n">
        <v>4</v>
      </c>
      <c r="AP3737" t="n">
        <v>0</v>
      </c>
      <c r="AQ3737" t="n">
        <v>0</v>
      </c>
      <c r="AR3737" t="inlineStr">
        <is>
          <t>No</t>
        </is>
      </c>
      <c r="AS3737" t="inlineStr">
        <is>
          <t>No</t>
        </is>
      </c>
      <c r="AU3737">
        <f>HYPERLINK("https://creighton-primo.hosted.exlibrisgroup.com/primo-explore/search?tab=default_tab&amp;search_scope=EVERYTHING&amp;vid=01CRU&amp;lang=en_US&amp;offset=0&amp;query=any,contains,991004748269702656","Catalog Record")</f>
        <v/>
      </c>
      <c r="AV3737">
        <f>HYPERLINK("http://www.worldcat.org/oclc/55286568","WorldCat Record")</f>
        <v/>
      </c>
      <c r="AW3737" t="inlineStr">
        <is>
          <t>257705:eng</t>
        </is>
      </c>
      <c r="AX3737" t="inlineStr">
        <is>
          <t>55286568</t>
        </is>
      </c>
      <c r="AY3737" t="inlineStr">
        <is>
          <t>991004748269702656</t>
        </is>
      </c>
      <c r="AZ3737" t="inlineStr">
        <is>
          <t>991004748269702656</t>
        </is>
      </c>
      <c r="BA3737" t="inlineStr">
        <is>
          <t>2269235270002656</t>
        </is>
      </c>
      <c r="BB3737" t="inlineStr">
        <is>
          <t>BOOK</t>
        </is>
      </c>
      <c r="BD3737" t="inlineStr">
        <is>
          <t>9781403903228</t>
        </is>
      </c>
      <c r="BE3737" t="inlineStr">
        <is>
          <t>32285005162390</t>
        </is>
      </c>
      <c r="BF3737" t="inlineStr">
        <is>
          <t>893700605</t>
        </is>
      </c>
    </row>
    <row r="3738">
      <c r="A3738" t="inlineStr">
        <is>
          <t>No</t>
        </is>
      </c>
      <c r="B3738" t="inlineStr">
        <is>
          <t>CURAL</t>
        </is>
      </c>
      <c r="C3738" t="inlineStr">
        <is>
          <t>SHELVES</t>
        </is>
      </c>
      <c r="D3738" t="inlineStr">
        <is>
          <t>PR868.I54 P47 1991</t>
        </is>
      </c>
      <c r="E3738" t="inlineStr">
        <is>
          <t>0                      PR 0868000I  54                 P  47          1991</t>
        </is>
      </c>
      <c r="F3738" t="inlineStr">
        <is>
          <t>Reaches of empire : the English novel from Edgeworth to Dickens / Suvendrini Perera.</t>
        </is>
      </c>
      <c r="H3738" t="inlineStr">
        <is>
          <t>No</t>
        </is>
      </c>
      <c r="I3738" t="inlineStr">
        <is>
          <t>1</t>
        </is>
      </c>
      <c r="J3738" t="inlineStr">
        <is>
          <t>No</t>
        </is>
      </c>
      <c r="K3738" t="inlineStr">
        <is>
          <t>No</t>
        </is>
      </c>
      <c r="L3738" t="inlineStr">
        <is>
          <t>0</t>
        </is>
      </c>
      <c r="M3738" t="inlineStr">
        <is>
          <t>Perera, Suvendrini.</t>
        </is>
      </c>
      <c r="N3738" t="inlineStr">
        <is>
          <t>New York : Columbia University Press, c1991.</t>
        </is>
      </c>
      <c r="O3738" t="inlineStr">
        <is>
          <t>1991</t>
        </is>
      </c>
      <c r="Q3738" t="inlineStr">
        <is>
          <t>eng</t>
        </is>
      </c>
      <c r="R3738" t="inlineStr">
        <is>
          <t>nyu</t>
        </is>
      </c>
      <c r="S3738" t="inlineStr">
        <is>
          <t>The Social foundations of aesthetic forms</t>
        </is>
      </c>
      <c r="T3738" t="inlineStr">
        <is>
          <t xml:space="preserve">PR </t>
        </is>
      </c>
      <c r="U3738" t="n">
        <v>2</v>
      </c>
      <c r="V3738" t="n">
        <v>2</v>
      </c>
      <c r="W3738" t="inlineStr">
        <is>
          <t>1995-09-24</t>
        </is>
      </c>
      <c r="X3738" t="inlineStr">
        <is>
          <t>1995-09-24</t>
        </is>
      </c>
      <c r="Y3738" t="inlineStr">
        <is>
          <t>1993-05-19</t>
        </is>
      </c>
      <c r="Z3738" t="inlineStr">
        <is>
          <t>1993-05-19</t>
        </is>
      </c>
      <c r="AA3738" t="n">
        <v>370</v>
      </c>
      <c r="AB3738" t="n">
        <v>261</v>
      </c>
      <c r="AC3738" t="n">
        <v>266</v>
      </c>
      <c r="AD3738" t="n">
        <v>3</v>
      </c>
      <c r="AE3738" t="n">
        <v>3</v>
      </c>
      <c r="AF3738" t="n">
        <v>14</v>
      </c>
      <c r="AG3738" t="n">
        <v>14</v>
      </c>
      <c r="AH3738" t="n">
        <v>4</v>
      </c>
      <c r="AI3738" t="n">
        <v>4</v>
      </c>
      <c r="AJ3738" t="n">
        <v>4</v>
      </c>
      <c r="AK3738" t="n">
        <v>4</v>
      </c>
      <c r="AL3738" t="n">
        <v>9</v>
      </c>
      <c r="AM3738" t="n">
        <v>9</v>
      </c>
      <c r="AN3738" t="n">
        <v>2</v>
      </c>
      <c r="AO3738" t="n">
        <v>2</v>
      </c>
      <c r="AP3738" t="n">
        <v>0</v>
      </c>
      <c r="AQ3738" t="n">
        <v>0</v>
      </c>
      <c r="AR3738" t="inlineStr">
        <is>
          <t>No</t>
        </is>
      </c>
      <c r="AS3738" t="inlineStr">
        <is>
          <t>No</t>
        </is>
      </c>
      <c r="AU3738">
        <f>HYPERLINK("https://creighton-primo.hosted.exlibrisgroup.com/primo-explore/search?tab=default_tab&amp;search_scope=EVERYTHING&amp;vid=01CRU&amp;lang=en_US&amp;offset=0&amp;query=any,contains,991001898449702656","Catalog Record")</f>
        <v/>
      </c>
      <c r="AV3738">
        <f>HYPERLINK("http://www.worldcat.org/oclc/23975455","WorldCat Record")</f>
        <v/>
      </c>
      <c r="AW3738" t="inlineStr">
        <is>
          <t>836879323:eng</t>
        </is>
      </c>
      <c r="AX3738" t="inlineStr">
        <is>
          <t>23975455</t>
        </is>
      </c>
      <c r="AY3738" t="inlineStr">
        <is>
          <t>991001898449702656</t>
        </is>
      </c>
      <c r="AZ3738" t="inlineStr">
        <is>
          <t>991001898449702656</t>
        </is>
      </c>
      <c r="BA3738" t="inlineStr">
        <is>
          <t>2270527980002656</t>
        </is>
      </c>
      <c r="BB3738" t="inlineStr">
        <is>
          <t>BOOK</t>
        </is>
      </c>
      <c r="BD3738" t="inlineStr">
        <is>
          <t>9780231075787</t>
        </is>
      </c>
      <c r="BE3738" t="inlineStr">
        <is>
          <t>32285001582211</t>
        </is>
      </c>
      <c r="BF3738" t="inlineStr">
        <is>
          <t>893529319</t>
        </is>
      </c>
    </row>
    <row r="3739">
      <c r="A3739" t="inlineStr">
        <is>
          <t>No</t>
        </is>
      </c>
      <c r="B3739" t="inlineStr">
        <is>
          <t>CURAL</t>
        </is>
      </c>
      <c r="C3739" t="inlineStr">
        <is>
          <t>SHELVES</t>
        </is>
      </c>
      <c r="D3739" t="inlineStr">
        <is>
          <t>PR868.L69 P65 1990</t>
        </is>
      </c>
      <c r="E3739" t="inlineStr">
        <is>
          <t>0                      PR 0868000L  69                 P  65          1990</t>
        </is>
      </c>
      <c r="F3739" t="inlineStr">
        <is>
          <t>Erotic faith : being in love from Jane Austen to D.H. Lawrence / Robert M. Polhemus.</t>
        </is>
      </c>
      <c r="H3739" t="inlineStr">
        <is>
          <t>No</t>
        </is>
      </c>
      <c r="I3739" t="inlineStr">
        <is>
          <t>1</t>
        </is>
      </c>
      <c r="J3739" t="inlineStr">
        <is>
          <t>No</t>
        </is>
      </c>
      <c r="K3739" t="inlineStr">
        <is>
          <t>No</t>
        </is>
      </c>
      <c r="L3739" t="inlineStr">
        <is>
          <t>0</t>
        </is>
      </c>
      <c r="M3739" t="inlineStr">
        <is>
          <t>Polhemus, Robert M.</t>
        </is>
      </c>
      <c r="N3739" t="inlineStr">
        <is>
          <t>Chicago : University of Chicago Press, 1990.</t>
        </is>
      </c>
      <c r="O3739" t="inlineStr">
        <is>
          <t>1990</t>
        </is>
      </c>
      <c r="Q3739" t="inlineStr">
        <is>
          <t>eng</t>
        </is>
      </c>
      <c r="R3739" t="inlineStr">
        <is>
          <t>ilu</t>
        </is>
      </c>
      <c r="T3739" t="inlineStr">
        <is>
          <t xml:space="preserve">PR </t>
        </is>
      </c>
      <c r="U3739" t="n">
        <v>2</v>
      </c>
      <c r="V3739" t="n">
        <v>2</v>
      </c>
      <c r="W3739" t="inlineStr">
        <is>
          <t>2004-09-27</t>
        </is>
      </c>
      <c r="X3739" t="inlineStr">
        <is>
          <t>2004-09-27</t>
        </is>
      </c>
      <c r="Y3739" t="inlineStr">
        <is>
          <t>2004-04-12</t>
        </is>
      </c>
      <c r="Z3739" t="inlineStr">
        <is>
          <t>2004-04-12</t>
        </is>
      </c>
      <c r="AA3739" t="n">
        <v>991</v>
      </c>
      <c r="AB3739" t="n">
        <v>857</v>
      </c>
      <c r="AC3739" t="n">
        <v>863</v>
      </c>
      <c r="AD3739" t="n">
        <v>6</v>
      </c>
      <c r="AE3739" t="n">
        <v>6</v>
      </c>
      <c r="AF3739" t="n">
        <v>43</v>
      </c>
      <c r="AG3739" t="n">
        <v>43</v>
      </c>
      <c r="AH3739" t="n">
        <v>16</v>
      </c>
      <c r="AI3739" t="n">
        <v>16</v>
      </c>
      <c r="AJ3739" t="n">
        <v>11</v>
      </c>
      <c r="AK3739" t="n">
        <v>11</v>
      </c>
      <c r="AL3739" t="n">
        <v>21</v>
      </c>
      <c r="AM3739" t="n">
        <v>21</v>
      </c>
      <c r="AN3739" t="n">
        <v>5</v>
      </c>
      <c r="AO3739" t="n">
        <v>5</v>
      </c>
      <c r="AP3739" t="n">
        <v>0</v>
      </c>
      <c r="AQ3739" t="n">
        <v>0</v>
      </c>
      <c r="AR3739" t="inlineStr">
        <is>
          <t>No</t>
        </is>
      </c>
      <c r="AS3739" t="inlineStr">
        <is>
          <t>No</t>
        </is>
      </c>
      <c r="AU3739">
        <f>HYPERLINK("https://creighton-primo.hosted.exlibrisgroup.com/primo-explore/search?tab=default_tab&amp;search_scope=EVERYTHING&amp;vid=01CRU&amp;lang=en_US&amp;offset=0&amp;query=any,contains,991004280559702656","Catalog Record")</f>
        <v/>
      </c>
      <c r="AV3739">
        <f>HYPERLINK("http://www.worldcat.org/oclc/20526403","WorldCat Record")</f>
        <v/>
      </c>
      <c r="AW3739" t="inlineStr">
        <is>
          <t>809052885:eng</t>
        </is>
      </c>
      <c r="AX3739" t="inlineStr">
        <is>
          <t>20526403</t>
        </is>
      </c>
      <c r="AY3739" t="inlineStr">
        <is>
          <t>991004280559702656</t>
        </is>
      </c>
      <c r="AZ3739" t="inlineStr">
        <is>
          <t>991004280559702656</t>
        </is>
      </c>
      <c r="BA3739" t="inlineStr">
        <is>
          <t>2262793400002656</t>
        </is>
      </c>
      <c r="BB3739" t="inlineStr">
        <is>
          <t>BOOK</t>
        </is>
      </c>
      <c r="BD3739" t="inlineStr">
        <is>
          <t>9780226673226</t>
        </is>
      </c>
      <c r="BE3739" t="inlineStr">
        <is>
          <t>32285004899166</t>
        </is>
      </c>
      <c r="BF3739" t="inlineStr">
        <is>
          <t>893782066</t>
        </is>
      </c>
    </row>
    <row r="3740">
      <c r="A3740" t="inlineStr">
        <is>
          <t>No</t>
        </is>
      </c>
      <c r="B3740" t="inlineStr">
        <is>
          <t>CURAL</t>
        </is>
      </c>
      <c r="C3740" t="inlineStr">
        <is>
          <t>SHELVES</t>
        </is>
      </c>
      <c r="D3740" t="inlineStr">
        <is>
          <t>PR868.M47 M46 2003</t>
        </is>
      </c>
      <c r="E3740" t="inlineStr">
        <is>
          <t>0                      PR 0868000M  47                 M  46          2003</t>
        </is>
      </c>
      <c r="F3740" t="inlineStr">
        <is>
          <t>Austen, Eliot, Charlotte Brontë and the mentor-lover / Patricia Menon.</t>
        </is>
      </c>
      <c r="H3740" t="inlineStr">
        <is>
          <t>No</t>
        </is>
      </c>
      <c r="I3740" t="inlineStr">
        <is>
          <t>1</t>
        </is>
      </c>
      <c r="J3740" t="inlineStr">
        <is>
          <t>No</t>
        </is>
      </c>
      <c r="K3740" t="inlineStr">
        <is>
          <t>No</t>
        </is>
      </c>
      <c r="L3740" t="inlineStr">
        <is>
          <t>0</t>
        </is>
      </c>
      <c r="M3740" t="inlineStr">
        <is>
          <t>Menon, Patricia.</t>
        </is>
      </c>
      <c r="N3740" t="inlineStr">
        <is>
          <t>Houndmills, Basingstoke, Hampshire ; New York : Palgrave Macmillan, 2003.</t>
        </is>
      </c>
      <c r="O3740" t="inlineStr">
        <is>
          <t>2003</t>
        </is>
      </c>
      <c r="Q3740" t="inlineStr">
        <is>
          <t>eng</t>
        </is>
      </c>
      <c r="R3740" t="inlineStr">
        <is>
          <t>enk</t>
        </is>
      </c>
      <c r="T3740" t="inlineStr">
        <is>
          <t xml:space="preserve">PR </t>
        </is>
      </c>
      <c r="U3740" t="n">
        <v>3</v>
      </c>
      <c r="V3740" t="n">
        <v>3</v>
      </c>
      <c r="W3740" t="inlineStr">
        <is>
          <t>2005-04-04</t>
        </is>
      </c>
      <c r="X3740" t="inlineStr">
        <is>
          <t>2005-04-04</t>
        </is>
      </c>
      <c r="Y3740" t="inlineStr">
        <is>
          <t>2005-01-17</t>
        </is>
      </c>
      <c r="Z3740" t="inlineStr">
        <is>
          <t>2005-01-17</t>
        </is>
      </c>
      <c r="AA3740" t="n">
        <v>648</v>
      </c>
      <c r="AB3740" t="n">
        <v>556</v>
      </c>
      <c r="AC3740" t="n">
        <v>578</v>
      </c>
      <c r="AD3740" t="n">
        <v>3</v>
      </c>
      <c r="AE3740" t="n">
        <v>3</v>
      </c>
      <c r="AF3740" t="n">
        <v>26</v>
      </c>
      <c r="AG3740" t="n">
        <v>26</v>
      </c>
      <c r="AH3740" t="n">
        <v>14</v>
      </c>
      <c r="AI3740" t="n">
        <v>14</v>
      </c>
      <c r="AJ3740" t="n">
        <v>4</v>
      </c>
      <c r="AK3740" t="n">
        <v>4</v>
      </c>
      <c r="AL3740" t="n">
        <v>12</v>
      </c>
      <c r="AM3740" t="n">
        <v>12</v>
      </c>
      <c r="AN3740" t="n">
        <v>2</v>
      </c>
      <c r="AO3740" t="n">
        <v>2</v>
      </c>
      <c r="AP3740" t="n">
        <v>0</v>
      </c>
      <c r="AQ3740" t="n">
        <v>0</v>
      </c>
      <c r="AR3740" t="inlineStr">
        <is>
          <t>No</t>
        </is>
      </c>
      <c r="AS3740" t="inlineStr">
        <is>
          <t>No</t>
        </is>
      </c>
      <c r="AU3740">
        <f>HYPERLINK("https://creighton-primo.hosted.exlibrisgroup.com/primo-explore/search?tab=default_tab&amp;search_scope=EVERYTHING&amp;vid=01CRU&amp;lang=en_US&amp;offset=0&amp;query=any,contains,991004412119702656","Catalog Record")</f>
        <v/>
      </c>
      <c r="AV3740">
        <f>HYPERLINK("http://www.worldcat.org/oclc/51518565","WorldCat Record")</f>
        <v/>
      </c>
      <c r="AW3740" t="inlineStr">
        <is>
          <t>762185:eng</t>
        </is>
      </c>
      <c r="AX3740" t="inlineStr">
        <is>
          <t>51518565</t>
        </is>
      </c>
      <c r="AY3740" t="inlineStr">
        <is>
          <t>991004412119702656</t>
        </is>
      </c>
      <c r="AZ3740" t="inlineStr">
        <is>
          <t>991004412119702656</t>
        </is>
      </c>
      <c r="BA3740" t="inlineStr">
        <is>
          <t>2259883090002656</t>
        </is>
      </c>
      <c r="BB3740" t="inlineStr">
        <is>
          <t>BOOK</t>
        </is>
      </c>
      <c r="BD3740" t="inlineStr">
        <is>
          <t>9781403902597</t>
        </is>
      </c>
      <c r="BE3740" t="inlineStr">
        <is>
          <t>32285005021489</t>
        </is>
      </c>
      <c r="BF3740" t="inlineStr">
        <is>
          <t>893417600</t>
        </is>
      </c>
    </row>
    <row r="3741">
      <c r="A3741" t="inlineStr">
        <is>
          <t>No</t>
        </is>
      </c>
      <c r="B3741" t="inlineStr">
        <is>
          <t>CURAL</t>
        </is>
      </c>
      <c r="C3741" t="inlineStr">
        <is>
          <t>SHELVES</t>
        </is>
      </c>
      <c r="D3741" t="inlineStr">
        <is>
          <t>PR868.P57 W38 1994</t>
        </is>
      </c>
      <c r="E3741" t="inlineStr">
        <is>
          <t>0                      PR 0868000P  57                 W  38          1994</t>
        </is>
      </c>
      <c r="F3741" t="inlineStr">
        <is>
          <t>Revolution and the form of the British novel, 1790-1825 : intercepted letters, interrupted seductions / Nicola J. Watson.</t>
        </is>
      </c>
      <c r="H3741" t="inlineStr">
        <is>
          <t>No</t>
        </is>
      </c>
      <c r="I3741" t="inlineStr">
        <is>
          <t>1</t>
        </is>
      </c>
      <c r="J3741" t="inlineStr">
        <is>
          <t>No</t>
        </is>
      </c>
      <c r="K3741" t="inlineStr">
        <is>
          <t>No</t>
        </is>
      </c>
      <c r="L3741" t="inlineStr">
        <is>
          <t>0</t>
        </is>
      </c>
      <c r="M3741" t="inlineStr">
        <is>
          <t>Watson, Nicola J., 1958-</t>
        </is>
      </c>
      <c r="N3741" t="inlineStr">
        <is>
          <t>Oxford : Clarendon Press ; New York : Oxford University Press, 1994.</t>
        </is>
      </c>
      <c r="O3741" t="inlineStr">
        <is>
          <t>1994</t>
        </is>
      </c>
      <c r="Q3741" t="inlineStr">
        <is>
          <t>eng</t>
        </is>
      </c>
      <c r="R3741" t="inlineStr">
        <is>
          <t>enk</t>
        </is>
      </c>
      <c r="T3741" t="inlineStr">
        <is>
          <t xml:space="preserve">PR </t>
        </is>
      </c>
      <c r="U3741" t="n">
        <v>1</v>
      </c>
      <c r="V3741" t="n">
        <v>1</v>
      </c>
      <c r="W3741" t="inlineStr">
        <is>
          <t>2003-05-01</t>
        </is>
      </c>
      <c r="X3741" t="inlineStr">
        <is>
          <t>2003-05-01</t>
        </is>
      </c>
      <c r="Y3741" t="inlineStr">
        <is>
          <t>2003-05-01</t>
        </is>
      </c>
      <c r="Z3741" t="inlineStr">
        <is>
          <t>2003-05-01</t>
        </is>
      </c>
      <c r="AA3741" t="n">
        <v>409</v>
      </c>
      <c r="AB3741" t="n">
        <v>295</v>
      </c>
      <c r="AC3741" t="n">
        <v>327</v>
      </c>
      <c r="AD3741" t="n">
        <v>3</v>
      </c>
      <c r="AE3741" t="n">
        <v>3</v>
      </c>
      <c r="AF3741" t="n">
        <v>21</v>
      </c>
      <c r="AG3741" t="n">
        <v>22</v>
      </c>
      <c r="AH3741" t="n">
        <v>7</v>
      </c>
      <c r="AI3741" t="n">
        <v>7</v>
      </c>
      <c r="AJ3741" t="n">
        <v>8</v>
      </c>
      <c r="AK3741" t="n">
        <v>9</v>
      </c>
      <c r="AL3741" t="n">
        <v>12</v>
      </c>
      <c r="AM3741" t="n">
        <v>12</v>
      </c>
      <c r="AN3741" t="n">
        <v>2</v>
      </c>
      <c r="AO3741" t="n">
        <v>2</v>
      </c>
      <c r="AP3741" t="n">
        <v>0</v>
      </c>
      <c r="AQ3741" t="n">
        <v>0</v>
      </c>
      <c r="AR3741" t="inlineStr">
        <is>
          <t>No</t>
        </is>
      </c>
      <c r="AS3741" t="inlineStr">
        <is>
          <t>Yes</t>
        </is>
      </c>
      <c r="AT3741">
        <f>HYPERLINK("http://catalog.hathitrust.org/Record/002808294","HathiTrust Record")</f>
        <v/>
      </c>
      <c r="AU3741">
        <f>HYPERLINK("https://creighton-primo.hosted.exlibrisgroup.com/primo-explore/search?tab=default_tab&amp;search_scope=EVERYTHING&amp;vid=01CRU&amp;lang=en_US&amp;offset=0&amp;query=any,contains,991004043499702656","Catalog Record")</f>
        <v/>
      </c>
      <c r="AV3741">
        <f>HYPERLINK("http://www.worldcat.org/oclc/28676744","WorldCat Record")</f>
        <v/>
      </c>
      <c r="AW3741" t="inlineStr">
        <is>
          <t>476563595:eng</t>
        </is>
      </c>
      <c r="AX3741" t="inlineStr">
        <is>
          <t>28676744</t>
        </is>
      </c>
      <c r="AY3741" t="inlineStr">
        <is>
          <t>991004043499702656</t>
        </is>
      </c>
      <c r="AZ3741" t="inlineStr">
        <is>
          <t>991004043499702656</t>
        </is>
      </c>
      <c r="BA3741" t="inlineStr">
        <is>
          <t>2272665770002656</t>
        </is>
      </c>
      <c r="BB3741" t="inlineStr">
        <is>
          <t>BOOK</t>
        </is>
      </c>
      <c r="BD3741" t="inlineStr">
        <is>
          <t>9780198112976</t>
        </is>
      </c>
      <c r="BE3741" t="inlineStr">
        <is>
          <t>32285004744883</t>
        </is>
      </c>
      <c r="BF3741" t="inlineStr">
        <is>
          <t>893423311</t>
        </is>
      </c>
    </row>
    <row r="3742">
      <c r="A3742" t="inlineStr">
        <is>
          <t>No</t>
        </is>
      </c>
      <c r="B3742" t="inlineStr">
        <is>
          <t>CURAL</t>
        </is>
      </c>
      <c r="C3742" t="inlineStr">
        <is>
          <t>SHELVES</t>
        </is>
      </c>
      <c r="D3742" t="inlineStr">
        <is>
          <t>PR868.R4 S53 1999</t>
        </is>
      </c>
      <c r="E3742" t="inlineStr">
        <is>
          <t>0                      PR 0868000R  4                  S  53          1999</t>
        </is>
      </c>
      <c r="F3742" t="inlineStr">
        <is>
          <t>Narrating reality : Austen, Scott, Eliot / Harry E. Shaw.</t>
        </is>
      </c>
      <c r="H3742" t="inlineStr">
        <is>
          <t>No</t>
        </is>
      </c>
      <c r="I3742" t="inlineStr">
        <is>
          <t>1</t>
        </is>
      </c>
      <c r="J3742" t="inlineStr">
        <is>
          <t>No</t>
        </is>
      </c>
      <c r="K3742" t="inlineStr">
        <is>
          <t>No</t>
        </is>
      </c>
      <c r="L3742" t="inlineStr">
        <is>
          <t>0</t>
        </is>
      </c>
      <c r="M3742" t="inlineStr">
        <is>
          <t>Shaw, Harry E., 1946-</t>
        </is>
      </c>
      <c r="N3742" t="inlineStr">
        <is>
          <t>Ithaca, N.Y. : Cornell University Press, 1999.</t>
        </is>
      </c>
      <c r="O3742" t="inlineStr">
        <is>
          <t>1999</t>
        </is>
      </c>
      <c r="Q3742" t="inlineStr">
        <is>
          <t>eng</t>
        </is>
      </c>
      <c r="R3742" t="inlineStr">
        <is>
          <t>nyu</t>
        </is>
      </c>
      <c r="T3742" t="inlineStr">
        <is>
          <t xml:space="preserve">PR </t>
        </is>
      </c>
      <c r="U3742" t="n">
        <v>3</v>
      </c>
      <c r="V3742" t="n">
        <v>3</v>
      </c>
      <c r="W3742" t="inlineStr">
        <is>
          <t>2003-03-18</t>
        </is>
      </c>
      <c r="X3742" t="inlineStr">
        <is>
          <t>2003-03-18</t>
        </is>
      </c>
      <c r="Y3742" t="inlineStr">
        <is>
          <t>2001-01-08</t>
        </is>
      </c>
      <c r="Z3742" t="inlineStr">
        <is>
          <t>2001-01-08</t>
        </is>
      </c>
      <c r="AA3742" t="n">
        <v>500</v>
      </c>
      <c r="AB3742" t="n">
        <v>393</v>
      </c>
      <c r="AC3742" t="n">
        <v>565</v>
      </c>
      <c r="AD3742" t="n">
        <v>3</v>
      </c>
      <c r="AE3742" t="n">
        <v>3</v>
      </c>
      <c r="AF3742" t="n">
        <v>23</v>
      </c>
      <c r="AG3742" t="n">
        <v>28</v>
      </c>
      <c r="AH3742" t="n">
        <v>8</v>
      </c>
      <c r="AI3742" t="n">
        <v>11</v>
      </c>
      <c r="AJ3742" t="n">
        <v>7</v>
      </c>
      <c r="AK3742" t="n">
        <v>8</v>
      </c>
      <c r="AL3742" t="n">
        <v>14</v>
      </c>
      <c r="AM3742" t="n">
        <v>16</v>
      </c>
      <c r="AN3742" t="n">
        <v>2</v>
      </c>
      <c r="AO3742" t="n">
        <v>2</v>
      </c>
      <c r="AP3742" t="n">
        <v>0</v>
      </c>
      <c r="AQ3742" t="n">
        <v>0</v>
      </c>
      <c r="AR3742" t="inlineStr">
        <is>
          <t>No</t>
        </is>
      </c>
      <c r="AS3742" t="inlineStr">
        <is>
          <t>No</t>
        </is>
      </c>
      <c r="AU3742">
        <f>HYPERLINK("https://creighton-primo.hosted.exlibrisgroup.com/primo-explore/search?tab=default_tab&amp;search_scope=EVERYTHING&amp;vid=01CRU&amp;lang=en_US&amp;offset=0&amp;query=any,contains,991003323419702656","Catalog Record")</f>
        <v/>
      </c>
      <c r="AV3742">
        <f>HYPERLINK("http://www.worldcat.org/oclc/40954222","WorldCat Record")</f>
        <v/>
      </c>
      <c r="AW3742" t="inlineStr">
        <is>
          <t>23501286:eng</t>
        </is>
      </c>
      <c r="AX3742" t="inlineStr">
        <is>
          <t>40954222</t>
        </is>
      </c>
      <c r="AY3742" t="inlineStr">
        <is>
          <t>991003323419702656</t>
        </is>
      </c>
      <c r="AZ3742" t="inlineStr">
        <is>
          <t>991003323419702656</t>
        </is>
      </c>
      <c r="BA3742" t="inlineStr">
        <is>
          <t>2262869340002656</t>
        </is>
      </c>
      <c r="BB3742" t="inlineStr">
        <is>
          <t>BOOK</t>
        </is>
      </c>
      <c r="BD3742" t="inlineStr">
        <is>
          <t>9780801436727</t>
        </is>
      </c>
      <c r="BE3742" t="inlineStr">
        <is>
          <t>32285004280300</t>
        </is>
      </c>
      <c r="BF3742" t="inlineStr">
        <is>
          <t>893531085</t>
        </is>
      </c>
    </row>
    <row r="3743">
      <c r="A3743" t="inlineStr">
        <is>
          <t>No</t>
        </is>
      </c>
      <c r="B3743" t="inlineStr">
        <is>
          <t>CURAL</t>
        </is>
      </c>
      <c r="C3743" t="inlineStr">
        <is>
          <t>SHELVES</t>
        </is>
      </c>
      <c r="D3743" t="inlineStr">
        <is>
          <t>PR868.R73 K45 1989</t>
        </is>
      </c>
      <c r="E3743" t="inlineStr">
        <is>
          <t>0                      PR 0868000R  73                 K  45          1989</t>
        </is>
      </c>
      <c r="F3743" t="inlineStr">
        <is>
          <t>English fiction of the romantic period, 1789-1830 / Gary Kelly.</t>
        </is>
      </c>
      <c r="H3743" t="inlineStr">
        <is>
          <t>No</t>
        </is>
      </c>
      <c r="I3743" t="inlineStr">
        <is>
          <t>1</t>
        </is>
      </c>
      <c r="J3743" t="inlineStr">
        <is>
          <t>No</t>
        </is>
      </c>
      <c r="K3743" t="inlineStr">
        <is>
          <t>No</t>
        </is>
      </c>
      <c r="L3743" t="inlineStr">
        <is>
          <t>0</t>
        </is>
      </c>
      <c r="M3743" t="inlineStr">
        <is>
          <t>Kelly, Gary.</t>
        </is>
      </c>
      <c r="N3743" t="inlineStr">
        <is>
          <t>London ; New York : Longman, 1989.</t>
        </is>
      </c>
      <c r="O3743" t="inlineStr">
        <is>
          <t>1989</t>
        </is>
      </c>
      <c r="Q3743" t="inlineStr">
        <is>
          <t>eng</t>
        </is>
      </c>
      <c r="R3743" t="inlineStr">
        <is>
          <t>enk</t>
        </is>
      </c>
      <c r="S3743" t="inlineStr">
        <is>
          <t>Longman literature in English series</t>
        </is>
      </c>
      <c r="T3743" t="inlineStr">
        <is>
          <t xml:space="preserve">PR </t>
        </is>
      </c>
      <c r="U3743" t="n">
        <v>1</v>
      </c>
      <c r="V3743" t="n">
        <v>1</v>
      </c>
      <c r="W3743" t="inlineStr">
        <is>
          <t>2009-04-23</t>
        </is>
      </c>
      <c r="X3743" t="inlineStr">
        <is>
          <t>2009-04-23</t>
        </is>
      </c>
      <c r="Y3743" t="inlineStr">
        <is>
          <t>2009-04-23</t>
        </is>
      </c>
      <c r="Z3743" t="inlineStr">
        <is>
          <t>2009-04-23</t>
        </is>
      </c>
      <c r="AA3743" t="n">
        <v>495</v>
      </c>
      <c r="AB3743" t="n">
        <v>304</v>
      </c>
      <c r="AC3743" t="n">
        <v>333</v>
      </c>
      <c r="AD3743" t="n">
        <v>4</v>
      </c>
      <c r="AE3743" t="n">
        <v>4</v>
      </c>
      <c r="AF3743" t="n">
        <v>20</v>
      </c>
      <c r="AG3743" t="n">
        <v>20</v>
      </c>
      <c r="AH3743" t="n">
        <v>7</v>
      </c>
      <c r="AI3743" t="n">
        <v>7</v>
      </c>
      <c r="AJ3743" t="n">
        <v>5</v>
      </c>
      <c r="AK3743" t="n">
        <v>5</v>
      </c>
      <c r="AL3743" t="n">
        <v>13</v>
      </c>
      <c r="AM3743" t="n">
        <v>13</v>
      </c>
      <c r="AN3743" t="n">
        <v>3</v>
      </c>
      <c r="AO3743" t="n">
        <v>3</v>
      </c>
      <c r="AP3743" t="n">
        <v>0</v>
      </c>
      <c r="AQ3743" t="n">
        <v>0</v>
      </c>
      <c r="AR3743" t="inlineStr">
        <is>
          <t>No</t>
        </is>
      </c>
      <c r="AS3743" t="inlineStr">
        <is>
          <t>Yes</t>
        </is>
      </c>
      <c r="AT3743">
        <f>HYPERLINK("http://catalog.hathitrust.org/Record/001288363","HathiTrust Record")</f>
        <v/>
      </c>
      <c r="AU3743">
        <f>HYPERLINK("https://creighton-primo.hosted.exlibrisgroup.com/primo-explore/search?tab=default_tab&amp;search_scope=EVERYTHING&amp;vid=01CRU&amp;lang=en_US&amp;offset=0&amp;query=any,contains,991005312619702656","Catalog Record")</f>
        <v/>
      </c>
      <c r="AV3743">
        <f>HYPERLINK("http://www.worldcat.org/oclc/17775827","WorldCat Record")</f>
        <v/>
      </c>
      <c r="AW3743" t="inlineStr">
        <is>
          <t>16687854:eng</t>
        </is>
      </c>
      <c r="AX3743" t="inlineStr">
        <is>
          <t>17775827</t>
        </is>
      </c>
      <c r="AY3743" t="inlineStr">
        <is>
          <t>991005312619702656</t>
        </is>
      </c>
      <c r="AZ3743" t="inlineStr">
        <is>
          <t>991005312619702656</t>
        </is>
      </c>
      <c r="BA3743" t="inlineStr">
        <is>
          <t>2271121860002656</t>
        </is>
      </c>
      <c r="BB3743" t="inlineStr">
        <is>
          <t>BOOK</t>
        </is>
      </c>
      <c r="BD3743" t="inlineStr">
        <is>
          <t>9780582492608</t>
        </is>
      </c>
      <c r="BE3743" t="inlineStr">
        <is>
          <t>32285005518179</t>
        </is>
      </c>
      <c r="BF3743" t="inlineStr">
        <is>
          <t>893345012</t>
        </is>
      </c>
    </row>
    <row r="3744">
      <c r="A3744" t="inlineStr">
        <is>
          <t>No</t>
        </is>
      </c>
      <c r="B3744" t="inlineStr">
        <is>
          <t>CURAL</t>
        </is>
      </c>
      <c r="C3744" t="inlineStr">
        <is>
          <t>SHELVES</t>
        </is>
      </c>
      <c r="D3744" t="inlineStr">
        <is>
          <t>PR868.S6 W4</t>
        </is>
      </c>
      <c r="E3744" t="inlineStr">
        <is>
          <t>0                      PR 0868000S  6                  W  4</t>
        </is>
      </c>
      <c r="F3744" t="inlineStr">
        <is>
          <t>From custom to capital : the English novel and the Industrial Revolution / Igor Webb.</t>
        </is>
      </c>
      <c r="H3744" t="inlineStr">
        <is>
          <t>No</t>
        </is>
      </c>
      <c r="I3744" t="inlineStr">
        <is>
          <t>1</t>
        </is>
      </c>
      <c r="J3744" t="inlineStr">
        <is>
          <t>No</t>
        </is>
      </c>
      <c r="K3744" t="inlineStr">
        <is>
          <t>No</t>
        </is>
      </c>
      <c r="L3744" t="inlineStr">
        <is>
          <t>0</t>
        </is>
      </c>
      <c r="M3744" t="inlineStr">
        <is>
          <t>Webb, Igor.</t>
        </is>
      </c>
      <c r="N3744" t="inlineStr">
        <is>
          <t>Ithaca : Cornell University Press, 1981.</t>
        </is>
      </c>
      <c r="O3744" t="inlineStr">
        <is>
          <t>1981</t>
        </is>
      </c>
      <c r="Q3744" t="inlineStr">
        <is>
          <t>eng</t>
        </is>
      </c>
      <c r="R3744" t="inlineStr">
        <is>
          <t>nyu</t>
        </is>
      </c>
      <c r="T3744" t="inlineStr">
        <is>
          <t xml:space="preserve">PR </t>
        </is>
      </c>
      <c r="U3744" t="n">
        <v>1</v>
      </c>
      <c r="V3744" t="n">
        <v>1</v>
      </c>
      <c r="W3744" t="inlineStr">
        <is>
          <t>2004-12-01</t>
        </is>
      </c>
      <c r="X3744" t="inlineStr">
        <is>
          <t>2004-12-01</t>
        </is>
      </c>
      <c r="Y3744" t="inlineStr">
        <is>
          <t>1991-09-12</t>
        </is>
      </c>
      <c r="Z3744" t="inlineStr">
        <is>
          <t>1991-09-12</t>
        </is>
      </c>
      <c r="AA3744" t="n">
        <v>626</v>
      </c>
      <c r="AB3744" t="n">
        <v>473</v>
      </c>
      <c r="AC3744" t="n">
        <v>480</v>
      </c>
      <c r="AD3744" t="n">
        <v>4</v>
      </c>
      <c r="AE3744" t="n">
        <v>4</v>
      </c>
      <c r="AF3744" t="n">
        <v>27</v>
      </c>
      <c r="AG3744" t="n">
        <v>27</v>
      </c>
      <c r="AH3744" t="n">
        <v>13</v>
      </c>
      <c r="AI3744" t="n">
        <v>13</v>
      </c>
      <c r="AJ3744" t="n">
        <v>8</v>
      </c>
      <c r="AK3744" t="n">
        <v>8</v>
      </c>
      <c r="AL3744" t="n">
        <v>13</v>
      </c>
      <c r="AM3744" t="n">
        <v>13</v>
      </c>
      <c r="AN3744" t="n">
        <v>3</v>
      </c>
      <c r="AO3744" t="n">
        <v>3</v>
      </c>
      <c r="AP3744" t="n">
        <v>0</v>
      </c>
      <c r="AQ3744" t="n">
        <v>0</v>
      </c>
      <c r="AR3744" t="inlineStr">
        <is>
          <t>No</t>
        </is>
      </c>
      <c r="AS3744" t="inlineStr">
        <is>
          <t>Yes</t>
        </is>
      </c>
      <c r="AT3744">
        <f>HYPERLINK("http://catalog.hathitrust.org/Record/000262866","HathiTrust Record")</f>
        <v/>
      </c>
      <c r="AU3744">
        <f>HYPERLINK("https://creighton-primo.hosted.exlibrisgroup.com/primo-explore/search?tab=default_tab&amp;search_scope=EVERYTHING&amp;vid=01CRU&amp;lang=en_US&amp;offset=0&amp;query=any,contains,991005088009702656","Catalog Record")</f>
        <v/>
      </c>
      <c r="AV3744">
        <f>HYPERLINK("http://www.worldcat.org/oclc/7197766","WorldCat Record")</f>
        <v/>
      </c>
      <c r="AW3744" t="inlineStr">
        <is>
          <t>293144605:eng</t>
        </is>
      </c>
      <c r="AX3744" t="inlineStr">
        <is>
          <t>7197766</t>
        </is>
      </c>
      <c r="AY3744" t="inlineStr">
        <is>
          <t>991005088009702656</t>
        </is>
      </c>
      <c r="AZ3744" t="inlineStr">
        <is>
          <t>991005088009702656</t>
        </is>
      </c>
      <c r="BA3744" t="inlineStr">
        <is>
          <t>2256805590002656</t>
        </is>
      </c>
      <c r="BB3744" t="inlineStr">
        <is>
          <t>BOOK</t>
        </is>
      </c>
      <c r="BD3744" t="inlineStr">
        <is>
          <t>9780801413926</t>
        </is>
      </c>
      <c r="BE3744" t="inlineStr">
        <is>
          <t>32285000757269</t>
        </is>
      </c>
      <c r="BF3744" t="inlineStr">
        <is>
          <t>893418354</t>
        </is>
      </c>
    </row>
    <row r="3745">
      <c r="A3745" t="inlineStr">
        <is>
          <t>No</t>
        </is>
      </c>
      <c r="B3745" t="inlineStr">
        <is>
          <t>CURAL</t>
        </is>
      </c>
      <c r="C3745" t="inlineStr">
        <is>
          <t>SHELVES</t>
        </is>
      </c>
      <c r="D3745" t="inlineStr">
        <is>
          <t>PR868.W6 B4</t>
        </is>
      </c>
      <c r="E3745" t="inlineStr">
        <is>
          <t>0                      PR 0868000W  6                  B  4</t>
        </is>
      </c>
      <c r="F3745" t="inlineStr">
        <is>
          <t>Reader, I married him : a study of the women characters of Jane Austen, Charlotte Bronte, Elizabeth Gaskell and George Eliot / Patricia Beer.</t>
        </is>
      </c>
      <c r="H3745" t="inlineStr">
        <is>
          <t>No</t>
        </is>
      </c>
      <c r="I3745" t="inlineStr">
        <is>
          <t>1</t>
        </is>
      </c>
      <c r="J3745" t="inlineStr">
        <is>
          <t>No</t>
        </is>
      </c>
      <c r="K3745" t="inlineStr">
        <is>
          <t>No</t>
        </is>
      </c>
      <c r="L3745" t="inlineStr">
        <is>
          <t>0</t>
        </is>
      </c>
      <c r="M3745" t="inlineStr">
        <is>
          <t>Beer, Patricia.</t>
        </is>
      </c>
      <c r="N3745" t="inlineStr">
        <is>
          <t>London : Macmillan, 1974, 1977 printing.</t>
        </is>
      </c>
      <c r="O3745" t="inlineStr">
        <is>
          <t>1974</t>
        </is>
      </c>
      <c r="Q3745" t="inlineStr">
        <is>
          <t>eng</t>
        </is>
      </c>
      <c r="R3745" t="inlineStr">
        <is>
          <t>enk</t>
        </is>
      </c>
      <c r="T3745" t="inlineStr">
        <is>
          <t xml:space="preserve">PR </t>
        </is>
      </c>
      <c r="U3745" t="n">
        <v>1</v>
      </c>
      <c r="V3745" t="n">
        <v>1</v>
      </c>
      <c r="W3745" t="inlineStr">
        <is>
          <t>2008-09-02</t>
        </is>
      </c>
      <c r="X3745" t="inlineStr">
        <is>
          <t>2008-09-02</t>
        </is>
      </c>
      <c r="Y3745" t="inlineStr">
        <is>
          <t>1991-09-12</t>
        </is>
      </c>
      <c r="Z3745" t="inlineStr">
        <is>
          <t>1991-09-12</t>
        </is>
      </c>
      <c r="AA3745" t="n">
        <v>547</v>
      </c>
      <c r="AB3745" t="n">
        <v>302</v>
      </c>
      <c r="AC3745" t="n">
        <v>302</v>
      </c>
      <c r="AD3745" t="n">
        <v>4</v>
      </c>
      <c r="AE3745" t="n">
        <v>4</v>
      </c>
      <c r="AF3745" t="n">
        <v>16</v>
      </c>
      <c r="AG3745" t="n">
        <v>16</v>
      </c>
      <c r="AH3745" t="n">
        <v>7</v>
      </c>
      <c r="AI3745" t="n">
        <v>7</v>
      </c>
      <c r="AJ3745" t="n">
        <v>2</v>
      </c>
      <c r="AK3745" t="n">
        <v>2</v>
      </c>
      <c r="AL3745" t="n">
        <v>6</v>
      </c>
      <c r="AM3745" t="n">
        <v>6</v>
      </c>
      <c r="AN3745" t="n">
        <v>3</v>
      </c>
      <c r="AO3745" t="n">
        <v>3</v>
      </c>
      <c r="AP3745" t="n">
        <v>0</v>
      </c>
      <c r="AQ3745" t="n">
        <v>0</v>
      </c>
      <c r="AR3745" t="inlineStr">
        <is>
          <t>No</t>
        </is>
      </c>
      <c r="AS3745" t="inlineStr">
        <is>
          <t>Yes</t>
        </is>
      </c>
      <c r="AT3745">
        <f>HYPERLINK("http://catalog.hathitrust.org/Record/000098443","HathiTrust Record")</f>
        <v/>
      </c>
      <c r="AU3745">
        <f>HYPERLINK("https://creighton-primo.hosted.exlibrisgroup.com/primo-explore/search?tab=default_tab&amp;search_scope=EVERYTHING&amp;vid=01CRU&amp;lang=en_US&amp;offset=0&amp;query=any,contains,991003774429702656","Catalog Record")</f>
        <v/>
      </c>
      <c r="AV3745">
        <f>HYPERLINK("http://www.worldcat.org/oclc/1478034","WorldCat Record")</f>
        <v/>
      </c>
      <c r="AW3745" t="inlineStr">
        <is>
          <t>10596472726:eng</t>
        </is>
      </c>
      <c r="AX3745" t="inlineStr">
        <is>
          <t>1478034</t>
        </is>
      </c>
      <c r="AY3745" t="inlineStr">
        <is>
          <t>991003774429702656</t>
        </is>
      </c>
      <c r="AZ3745" t="inlineStr">
        <is>
          <t>991003774429702656</t>
        </is>
      </c>
      <c r="BA3745" t="inlineStr">
        <is>
          <t>2258729760002656</t>
        </is>
      </c>
      <c r="BB3745" t="inlineStr">
        <is>
          <t>BOOK</t>
        </is>
      </c>
      <c r="BD3745" t="inlineStr">
        <is>
          <t>9780333150672</t>
        </is>
      </c>
      <c r="BE3745" t="inlineStr">
        <is>
          <t>32285000757285</t>
        </is>
      </c>
      <c r="BF3745" t="inlineStr">
        <is>
          <t>893787757</t>
        </is>
      </c>
    </row>
    <row r="3746">
      <c r="A3746" t="inlineStr">
        <is>
          <t>No</t>
        </is>
      </c>
      <c r="B3746" t="inlineStr">
        <is>
          <t>CURAL</t>
        </is>
      </c>
      <c r="C3746" t="inlineStr">
        <is>
          <t>SHELVES</t>
        </is>
      </c>
      <c r="D3746" t="inlineStr">
        <is>
          <t>PR868.W6 M53 2002</t>
        </is>
      </c>
      <c r="E3746" t="inlineStr">
        <is>
          <t>0                      PR 0868000W  6                  M  53          2002</t>
        </is>
      </c>
      <c r="F3746" t="inlineStr">
        <is>
          <t>Speaking volumes : women, reading, and speech in the age of Austen / Patricia Howell Michaelson.</t>
        </is>
      </c>
      <c r="H3746" t="inlineStr">
        <is>
          <t>No</t>
        </is>
      </c>
      <c r="I3746" t="inlineStr">
        <is>
          <t>1</t>
        </is>
      </c>
      <c r="J3746" t="inlineStr">
        <is>
          <t>No</t>
        </is>
      </c>
      <c r="K3746" t="inlineStr">
        <is>
          <t>No</t>
        </is>
      </c>
      <c r="L3746" t="inlineStr">
        <is>
          <t>0</t>
        </is>
      </c>
      <c r="M3746" t="inlineStr">
        <is>
          <t>Michaelson, Patricia Howell, 1954-</t>
        </is>
      </c>
      <c r="N3746" t="inlineStr">
        <is>
          <t>Stanford, Calif. : Stanford University Press, 2002.</t>
        </is>
      </c>
      <c r="O3746" t="inlineStr">
        <is>
          <t>2002</t>
        </is>
      </c>
      <c r="Q3746" t="inlineStr">
        <is>
          <t>eng</t>
        </is>
      </c>
      <c r="R3746" t="inlineStr">
        <is>
          <t>cau</t>
        </is>
      </c>
      <c r="T3746" t="inlineStr">
        <is>
          <t xml:space="preserve">PR </t>
        </is>
      </c>
      <c r="U3746" t="n">
        <v>1</v>
      </c>
      <c r="V3746" t="n">
        <v>1</v>
      </c>
      <c r="W3746" t="inlineStr">
        <is>
          <t>2005-01-31</t>
        </is>
      </c>
      <c r="X3746" t="inlineStr">
        <is>
          <t>2005-01-31</t>
        </is>
      </c>
      <c r="Y3746" t="inlineStr">
        <is>
          <t>2005-01-31</t>
        </is>
      </c>
      <c r="Z3746" t="inlineStr">
        <is>
          <t>2005-01-31</t>
        </is>
      </c>
      <c r="AA3746" t="n">
        <v>475</v>
      </c>
      <c r="AB3746" t="n">
        <v>385</v>
      </c>
      <c r="AC3746" t="n">
        <v>393</v>
      </c>
      <c r="AD3746" t="n">
        <v>3</v>
      </c>
      <c r="AE3746" t="n">
        <v>3</v>
      </c>
      <c r="AF3746" t="n">
        <v>21</v>
      </c>
      <c r="AG3746" t="n">
        <v>21</v>
      </c>
      <c r="AH3746" t="n">
        <v>9</v>
      </c>
      <c r="AI3746" t="n">
        <v>9</v>
      </c>
      <c r="AJ3746" t="n">
        <v>7</v>
      </c>
      <c r="AK3746" t="n">
        <v>7</v>
      </c>
      <c r="AL3746" t="n">
        <v>11</v>
      </c>
      <c r="AM3746" t="n">
        <v>11</v>
      </c>
      <c r="AN3746" t="n">
        <v>2</v>
      </c>
      <c r="AO3746" t="n">
        <v>2</v>
      </c>
      <c r="AP3746" t="n">
        <v>0</v>
      </c>
      <c r="AQ3746" t="n">
        <v>0</v>
      </c>
      <c r="AR3746" t="inlineStr">
        <is>
          <t>No</t>
        </is>
      </c>
      <c r="AS3746" t="inlineStr">
        <is>
          <t>No</t>
        </is>
      </c>
      <c r="AU3746">
        <f>HYPERLINK("https://creighton-primo.hosted.exlibrisgroup.com/primo-explore/search?tab=default_tab&amp;search_scope=EVERYTHING&amp;vid=01CRU&amp;lang=en_US&amp;offset=0&amp;query=any,contains,991004412739702656","Catalog Record")</f>
        <v/>
      </c>
      <c r="AV3746">
        <f>HYPERLINK("http://www.worldcat.org/oclc/47892569","WorldCat Record")</f>
        <v/>
      </c>
      <c r="AW3746" t="inlineStr">
        <is>
          <t>17475850:eng</t>
        </is>
      </c>
      <c r="AX3746" t="inlineStr">
        <is>
          <t>47892569</t>
        </is>
      </c>
      <c r="AY3746" t="inlineStr">
        <is>
          <t>991004412739702656</t>
        </is>
      </c>
      <c r="AZ3746" t="inlineStr">
        <is>
          <t>991004412739702656</t>
        </is>
      </c>
      <c r="BA3746" t="inlineStr">
        <is>
          <t>2260498130002656</t>
        </is>
      </c>
      <c r="BB3746" t="inlineStr">
        <is>
          <t>BOOK</t>
        </is>
      </c>
      <c r="BD3746" t="inlineStr">
        <is>
          <t>9780804740753</t>
        </is>
      </c>
      <c r="BE3746" t="inlineStr">
        <is>
          <t>32285005023352</t>
        </is>
      </c>
      <c r="BF3746" t="inlineStr">
        <is>
          <t>893349969</t>
        </is>
      </c>
    </row>
    <row r="3747">
      <c r="A3747" t="inlineStr">
        <is>
          <t>No</t>
        </is>
      </c>
      <c r="B3747" t="inlineStr">
        <is>
          <t>CURAL</t>
        </is>
      </c>
      <c r="C3747" t="inlineStr">
        <is>
          <t>SHELVES</t>
        </is>
      </c>
      <c r="D3747" t="inlineStr">
        <is>
          <t>PR868.W62 K4 1985</t>
        </is>
      </c>
      <c r="E3747" t="inlineStr">
        <is>
          <t>0                      PR 0868000W  62                 K  4           1985</t>
        </is>
      </c>
      <c r="F3747" t="inlineStr">
        <is>
          <t>Protest and reform : the British social narrative by women, 1827-1867 / Joseph Kestner.</t>
        </is>
      </c>
      <c r="H3747" t="inlineStr">
        <is>
          <t>No</t>
        </is>
      </c>
      <c r="I3747" t="inlineStr">
        <is>
          <t>1</t>
        </is>
      </c>
      <c r="J3747" t="inlineStr">
        <is>
          <t>No</t>
        </is>
      </c>
      <c r="K3747" t="inlineStr">
        <is>
          <t>No</t>
        </is>
      </c>
      <c r="L3747" t="inlineStr">
        <is>
          <t>0</t>
        </is>
      </c>
      <c r="M3747" t="inlineStr">
        <is>
          <t>Kestner, Joseph A.</t>
        </is>
      </c>
      <c r="N3747" t="inlineStr">
        <is>
          <t>London : Methuen, 1985.</t>
        </is>
      </c>
      <c r="O3747" t="inlineStr">
        <is>
          <t>1985</t>
        </is>
      </c>
      <c r="Q3747" t="inlineStr">
        <is>
          <t>eng</t>
        </is>
      </c>
      <c r="R3747" t="inlineStr">
        <is>
          <t>enk</t>
        </is>
      </c>
      <c r="T3747" t="inlineStr">
        <is>
          <t xml:space="preserve">PR </t>
        </is>
      </c>
      <c r="U3747" t="n">
        <v>1</v>
      </c>
      <c r="V3747" t="n">
        <v>1</v>
      </c>
      <c r="W3747" t="inlineStr">
        <is>
          <t>2002-02-04</t>
        </is>
      </c>
      <c r="X3747" t="inlineStr">
        <is>
          <t>2002-02-04</t>
        </is>
      </c>
      <c r="Y3747" t="inlineStr">
        <is>
          <t>1991-09-12</t>
        </is>
      </c>
      <c r="Z3747" t="inlineStr">
        <is>
          <t>1991-09-12</t>
        </is>
      </c>
      <c r="AA3747" t="n">
        <v>97</v>
      </c>
      <c r="AB3747" t="n">
        <v>20</v>
      </c>
      <c r="AC3747" t="n">
        <v>381</v>
      </c>
      <c r="AD3747" t="n">
        <v>2</v>
      </c>
      <c r="AE3747" t="n">
        <v>4</v>
      </c>
      <c r="AF3747" t="n">
        <v>1</v>
      </c>
      <c r="AG3747" t="n">
        <v>20</v>
      </c>
      <c r="AH3747" t="n">
        <v>0</v>
      </c>
      <c r="AI3747" t="n">
        <v>7</v>
      </c>
      <c r="AJ3747" t="n">
        <v>0</v>
      </c>
      <c r="AK3747" t="n">
        <v>7</v>
      </c>
      <c r="AL3747" t="n">
        <v>0</v>
      </c>
      <c r="AM3747" t="n">
        <v>9</v>
      </c>
      <c r="AN3747" t="n">
        <v>1</v>
      </c>
      <c r="AO3747" t="n">
        <v>3</v>
      </c>
      <c r="AP3747" t="n">
        <v>0</v>
      </c>
      <c r="AQ3747" t="n">
        <v>0</v>
      </c>
      <c r="AR3747" t="inlineStr">
        <is>
          <t>No</t>
        </is>
      </c>
      <c r="AS3747" t="inlineStr">
        <is>
          <t>No</t>
        </is>
      </c>
      <c r="AU3747">
        <f>HYPERLINK("https://creighton-primo.hosted.exlibrisgroup.com/primo-explore/search?tab=default_tab&amp;search_scope=EVERYTHING&amp;vid=01CRU&amp;lang=en_US&amp;offset=0&amp;query=any,contains,991000658519702656","Catalog Record")</f>
        <v/>
      </c>
      <c r="AV3747">
        <f>HYPERLINK("http://www.worldcat.org/oclc/13279139","WorldCat Record")</f>
        <v/>
      </c>
      <c r="AW3747" t="inlineStr">
        <is>
          <t>4241629:eng</t>
        </is>
      </c>
      <c r="AX3747" t="inlineStr">
        <is>
          <t>13279139</t>
        </is>
      </c>
      <c r="AY3747" t="inlineStr">
        <is>
          <t>991000658519702656</t>
        </is>
      </c>
      <c r="AZ3747" t="inlineStr">
        <is>
          <t>991000658519702656</t>
        </is>
      </c>
      <c r="BA3747" t="inlineStr">
        <is>
          <t>2262900710002656</t>
        </is>
      </c>
      <c r="BB3747" t="inlineStr">
        <is>
          <t>BOOK</t>
        </is>
      </c>
      <c r="BD3747" t="inlineStr">
        <is>
          <t>9780416394108</t>
        </is>
      </c>
      <c r="BE3747" t="inlineStr">
        <is>
          <t>32285000757293</t>
        </is>
      </c>
      <c r="BF3747" t="inlineStr">
        <is>
          <t>893521876</t>
        </is>
      </c>
    </row>
    <row r="3748">
      <c r="A3748" t="inlineStr">
        <is>
          <t>No</t>
        </is>
      </c>
      <c r="B3748" t="inlineStr">
        <is>
          <t>CURAL</t>
        </is>
      </c>
      <c r="C3748" t="inlineStr">
        <is>
          <t>SHELVES</t>
        </is>
      </c>
      <c r="D3748" t="inlineStr">
        <is>
          <t>PR8703 .M4 1988</t>
        </is>
      </c>
      <c r="E3748" t="inlineStr">
        <is>
          <t>0                      PR 8703000M  4           1988</t>
        </is>
      </c>
      <c r="F3748" t="inlineStr">
        <is>
          <t>Medieval and modern Ireland / edited by Richard Wall.</t>
        </is>
      </c>
      <c r="H3748" t="inlineStr">
        <is>
          <t>No</t>
        </is>
      </c>
      <c r="I3748" t="inlineStr">
        <is>
          <t>1</t>
        </is>
      </c>
      <c r="J3748" t="inlineStr">
        <is>
          <t>No</t>
        </is>
      </c>
      <c r="K3748" t="inlineStr">
        <is>
          <t>No</t>
        </is>
      </c>
      <c r="L3748" t="inlineStr">
        <is>
          <t>0</t>
        </is>
      </c>
      <c r="N3748" t="inlineStr">
        <is>
          <t>Totowa, N.J. : Barnes and Noble, 1988.</t>
        </is>
      </c>
      <c r="O3748" t="inlineStr">
        <is>
          <t>1988</t>
        </is>
      </c>
      <c r="Q3748" t="inlineStr">
        <is>
          <t>eng</t>
        </is>
      </c>
      <c r="R3748" t="inlineStr">
        <is>
          <t>enk</t>
        </is>
      </c>
      <c r="T3748" t="inlineStr">
        <is>
          <t xml:space="preserve">PR </t>
        </is>
      </c>
      <c r="U3748" t="n">
        <v>3</v>
      </c>
      <c r="V3748" t="n">
        <v>3</v>
      </c>
      <c r="W3748" t="inlineStr">
        <is>
          <t>1997-09-08</t>
        </is>
      </c>
      <c r="X3748" t="inlineStr">
        <is>
          <t>1997-09-08</t>
        </is>
      </c>
      <c r="Y3748" t="inlineStr">
        <is>
          <t>1989-10-20</t>
        </is>
      </c>
      <c r="Z3748" t="inlineStr">
        <is>
          <t>1989-10-20</t>
        </is>
      </c>
      <c r="AA3748" t="n">
        <v>166</v>
      </c>
      <c r="AB3748" t="n">
        <v>147</v>
      </c>
      <c r="AC3748" t="n">
        <v>177</v>
      </c>
      <c r="AD3748" t="n">
        <v>1</v>
      </c>
      <c r="AE3748" t="n">
        <v>1</v>
      </c>
      <c r="AF3748" t="n">
        <v>10</v>
      </c>
      <c r="AG3748" t="n">
        <v>10</v>
      </c>
      <c r="AH3748" t="n">
        <v>2</v>
      </c>
      <c r="AI3748" t="n">
        <v>2</v>
      </c>
      <c r="AJ3748" t="n">
        <v>4</v>
      </c>
      <c r="AK3748" t="n">
        <v>4</v>
      </c>
      <c r="AL3748" t="n">
        <v>7</v>
      </c>
      <c r="AM3748" t="n">
        <v>7</v>
      </c>
      <c r="AN3748" t="n">
        <v>0</v>
      </c>
      <c r="AO3748" t="n">
        <v>0</v>
      </c>
      <c r="AP3748" t="n">
        <v>0</v>
      </c>
      <c r="AQ3748" t="n">
        <v>0</v>
      </c>
      <c r="AR3748" t="inlineStr">
        <is>
          <t>No</t>
        </is>
      </c>
      <c r="AS3748" t="inlineStr">
        <is>
          <t>No</t>
        </is>
      </c>
      <c r="AU3748">
        <f>HYPERLINK("https://creighton-primo.hosted.exlibrisgroup.com/primo-explore/search?tab=default_tab&amp;search_scope=EVERYTHING&amp;vid=01CRU&amp;lang=en_US&amp;offset=0&amp;query=any,contains,991001231959702656","Catalog Record")</f>
        <v/>
      </c>
      <c r="AV3748">
        <f>HYPERLINK("http://www.worldcat.org/oclc/17547651","WorldCat Record")</f>
        <v/>
      </c>
      <c r="AW3748" t="inlineStr">
        <is>
          <t>55204781:eng</t>
        </is>
      </c>
      <c r="AX3748" t="inlineStr">
        <is>
          <t>17547651</t>
        </is>
      </c>
      <c r="AY3748" t="inlineStr">
        <is>
          <t>991001231959702656</t>
        </is>
      </c>
      <c r="AZ3748" t="inlineStr">
        <is>
          <t>991001231959702656</t>
        </is>
      </c>
      <c r="BA3748" t="inlineStr">
        <is>
          <t>2265197220002656</t>
        </is>
      </c>
      <c r="BB3748" t="inlineStr">
        <is>
          <t>BOOK</t>
        </is>
      </c>
      <c r="BD3748" t="inlineStr">
        <is>
          <t>9780389207931</t>
        </is>
      </c>
      <c r="BE3748" t="inlineStr">
        <is>
          <t>32285000003227</t>
        </is>
      </c>
      <c r="BF3748" t="inlineStr">
        <is>
          <t>893334177</t>
        </is>
      </c>
    </row>
    <row r="3749">
      <c r="A3749" t="inlineStr">
        <is>
          <t>No</t>
        </is>
      </c>
      <c r="B3749" t="inlineStr">
        <is>
          <t>CURAL</t>
        </is>
      </c>
      <c r="C3749" t="inlineStr">
        <is>
          <t>SHELVES</t>
        </is>
      </c>
      <c r="D3749" t="inlineStr">
        <is>
          <t>PR8704 .J64 2001</t>
        </is>
      </c>
      <c r="E3749" t="inlineStr">
        <is>
          <t>0                      PR 8704000J  64          2001</t>
        </is>
      </c>
      <c r="F3749" t="inlineStr">
        <is>
          <t>John Quinn : selected Irish writers from his library / edited by Janis and Richard Londraville.</t>
        </is>
      </c>
      <c r="H3749" t="inlineStr">
        <is>
          <t>No</t>
        </is>
      </c>
      <c r="I3749" t="inlineStr">
        <is>
          <t>1</t>
        </is>
      </c>
      <c r="J3749" t="inlineStr">
        <is>
          <t>No</t>
        </is>
      </c>
      <c r="K3749" t="inlineStr">
        <is>
          <t>No</t>
        </is>
      </c>
      <c r="L3749" t="inlineStr">
        <is>
          <t>0</t>
        </is>
      </c>
      <c r="N3749" t="inlineStr">
        <is>
          <t>West Cornwall, CT : Locust Hill Press, c2001.</t>
        </is>
      </c>
      <c r="O3749" t="inlineStr">
        <is>
          <t>2001</t>
        </is>
      </c>
      <c r="Q3749" t="inlineStr">
        <is>
          <t>eng</t>
        </is>
      </c>
      <c r="R3749" t="inlineStr">
        <is>
          <t>ctu</t>
        </is>
      </c>
      <c r="S3749" t="inlineStr">
        <is>
          <t>Locust Hill literary studies ; no. 30</t>
        </is>
      </c>
      <c r="T3749" t="inlineStr">
        <is>
          <t xml:space="preserve">PR </t>
        </is>
      </c>
      <c r="U3749" t="n">
        <v>1</v>
      </c>
      <c r="V3749" t="n">
        <v>1</v>
      </c>
      <c r="W3749" t="inlineStr">
        <is>
          <t>2003-03-19</t>
        </is>
      </c>
      <c r="X3749" t="inlineStr">
        <is>
          <t>2003-03-19</t>
        </is>
      </c>
      <c r="Y3749" t="inlineStr">
        <is>
          <t>2003-03-19</t>
        </is>
      </c>
      <c r="Z3749" t="inlineStr">
        <is>
          <t>2003-03-19</t>
        </is>
      </c>
      <c r="AA3749" t="n">
        <v>168</v>
      </c>
      <c r="AB3749" t="n">
        <v>148</v>
      </c>
      <c r="AC3749" t="n">
        <v>151</v>
      </c>
      <c r="AD3749" t="n">
        <v>2</v>
      </c>
      <c r="AE3749" t="n">
        <v>2</v>
      </c>
      <c r="AF3749" t="n">
        <v>9</v>
      </c>
      <c r="AG3749" t="n">
        <v>9</v>
      </c>
      <c r="AH3749" t="n">
        <v>1</v>
      </c>
      <c r="AI3749" t="n">
        <v>1</v>
      </c>
      <c r="AJ3749" t="n">
        <v>5</v>
      </c>
      <c r="AK3749" t="n">
        <v>5</v>
      </c>
      <c r="AL3749" t="n">
        <v>5</v>
      </c>
      <c r="AM3749" t="n">
        <v>5</v>
      </c>
      <c r="AN3749" t="n">
        <v>1</v>
      </c>
      <c r="AO3749" t="n">
        <v>1</v>
      </c>
      <c r="AP3749" t="n">
        <v>0</v>
      </c>
      <c r="AQ3749" t="n">
        <v>0</v>
      </c>
      <c r="AR3749" t="inlineStr">
        <is>
          <t>No</t>
        </is>
      </c>
      <c r="AS3749" t="inlineStr">
        <is>
          <t>Yes</t>
        </is>
      </c>
      <c r="AT3749">
        <f>HYPERLINK("http://catalog.hathitrust.org/Record/004193889","HathiTrust Record")</f>
        <v/>
      </c>
      <c r="AU3749">
        <f>HYPERLINK("https://creighton-primo.hosted.exlibrisgroup.com/primo-explore/search?tab=default_tab&amp;search_scope=EVERYTHING&amp;vid=01CRU&amp;lang=en_US&amp;offset=0&amp;query=any,contains,991003981819702656","Catalog Record")</f>
        <v/>
      </c>
      <c r="AV3749">
        <f>HYPERLINK("http://www.worldcat.org/oclc/46462879","WorldCat Record")</f>
        <v/>
      </c>
      <c r="AW3749" t="inlineStr">
        <is>
          <t>902613188:eng</t>
        </is>
      </c>
      <c r="AX3749" t="inlineStr">
        <is>
          <t>46462879</t>
        </is>
      </c>
      <c r="AY3749" t="inlineStr">
        <is>
          <t>991003981819702656</t>
        </is>
      </c>
      <c r="AZ3749" t="inlineStr">
        <is>
          <t>991003981819702656</t>
        </is>
      </c>
      <c r="BA3749" t="inlineStr">
        <is>
          <t>2268506610002656</t>
        </is>
      </c>
      <c r="BB3749" t="inlineStr">
        <is>
          <t>BOOK</t>
        </is>
      </c>
      <c r="BD3749" t="inlineStr">
        <is>
          <t>9780933951938</t>
        </is>
      </c>
      <c r="BE3749" t="inlineStr">
        <is>
          <t>32285004685649</t>
        </is>
      </c>
      <c r="BF3749" t="inlineStr">
        <is>
          <t>893687209</t>
        </is>
      </c>
    </row>
    <row r="3750">
      <c r="A3750" t="inlineStr">
        <is>
          <t>No</t>
        </is>
      </c>
      <c r="B3750" t="inlineStr">
        <is>
          <t>CURAL</t>
        </is>
      </c>
      <c r="C3750" t="inlineStr">
        <is>
          <t>SHELVES</t>
        </is>
      </c>
      <c r="D3750" t="inlineStr">
        <is>
          <t>PR871 .D37 2003</t>
        </is>
      </c>
      <c r="E3750" t="inlineStr">
        <is>
          <t>0                      PR 0871000D  37          2003</t>
        </is>
      </c>
      <c r="F3750" t="inlineStr">
        <is>
          <t>The Victorian novel / Barbara Dennis.</t>
        </is>
      </c>
      <c r="H3750" t="inlineStr">
        <is>
          <t>No</t>
        </is>
      </c>
      <c r="I3750" t="inlineStr">
        <is>
          <t>1</t>
        </is>
      </c>
      <c r="J3750" t="inlineStr">
        <is>
          <t>No</t>
        </is>
      </c>
      <c r="K3750" t="inlineStr">
        <is>
          <t>No</t>
        </is>
      </c>
      <c r="L3750" t="inlineStr">
        <is>
          <t>0</t>
        </is>
      </c>
      <c r="M3750" t="inlineStr">
        <is>
          <t>Dennis, Barbara, 1942-</t>
        </is>
      </c>
      <c r="N3750" t="inlineStr">
        <is>
          <t>Cambridge, U.K. ; New York : Cambridge University Press, c2003.</t>
        </is>
      </c>
      <c r="O3750" t="inlineStr">
        <is>
          <t>2003</t>
        </is>
      </c>
      <c r="Q3750" t="inlineStr">
        <is>
          <t>eng</t>
        </is>
      </c>
      <c r="R3750" t="inlineStr">
        <is>
          <t>enk</t>
        </is>
      </c>
      <c r="S3750" t="inlineStr">
        <is>
          <t>Cambridge contexts in literature</t>
        </is>
      </c>
      <c r="T3750" t="inlineStr">
        <is>
          <t xml:space="preserve">PR </t>
        </is>
      </c>
      <c r="U3750" t="n">
        <v>1</v>
      </c>
      <c r="V3750" t="n">
        <v>1</v>
      </c>
      <c r="W3750" t="inlineStr">
        <is>
          <t>2008-12-03</t>
        </is>
      </c>
      <c r="X3750" t="inlineStr">
        <is>
          <t>2008-12-03</t>
        </is>
      </c>
      <c r="Y3750" t="inlineStr">
        <is>
          <t>2008-12-03</t>
        </is>
      </c>
      <c r="Z3750" t="inlineStr">
        <is>
          <t>2008-12-03</t>
        </is>
      </c>
      <c r="AA3750" t="n">
        <v>242</v>
      </c>
      <c r="AB3750" t="n">
        <v>104</v>
      </c>
      <c r="AC3750" t="n">
        <v>110</v>
      </c>
      <c r="AD3750" t="n">
        <v>2</v>
      </c>
      <c r="AE3750" t="n">
        <v>2</v>
      </c>
      <c r="AF3750" t="n">
        <v>5</v>
      </c>
      <c r="AG3750" t="n">
        <v>5</v>
      </c>
      <c r="AH3750" t="n">
        <v>2</v>
      </c>
      <c r="AI3750" t="n">
        <v>2</v>
      </c>
      <c r="AJ3750" t="n">
        <v>1</v>
      </c>
      <c r="AK3750" t="n">
        <v>1</v>
      </c>
      <c r="AL3750" t="n">
        <v>2</v>
      </c>
      <c r="AM3750" t="n">
        <v>2</v>
      </c>
      <c r="AN3750" t="n">
        <v>1</v>
      </c>
      <c r="AO3750" t="n">
        <v>1</v>
      </c>
      <c r="AP3750" t="n">
        <v>0</v>
      </c>
      <c r="AQ3750" t="n">
        <v>0</v>
      </c>
      <c r="AR3750" t="inlineStr">
        <is>
          <t>No</t>
        </is>
      </c>
      <c r="AS3750" t="inlineStr">
        <is>
          <t>No</t>
        </is>
      </c>
      <c r="AU3750">
        <f>HYPERLINK("https://creighton-primo.hosted.exlibrisgroup.com/primo-explore/search?tab=default_tab&amp;search_scope=EVERYTHING&amp;vid=01CRU&amp;lang=en_US&amp;offset=0&amp;query=any,contains,991005279929702656","Catalog Record")</f>
        <v/>
      </c>
      <c r="AV3750">
        <f>HYPERLINK("http://www.worldcat.org/oclc/43186981","WorldCat Record")</f>
        <v/>
      </c>
      <c r="AW3750" t="inlineStr">
        <is>
          <t>47159:eng</t>
        </is>
      </c>
      <c r="AX3750" t="inlineStr">
        <is>
          <t>43186981</t>
        </is>
      </c>
      <c r="AY3750" t="inlineStr">
        <is>
          <t>991005279929702656</t>
        </is>
      </c>
      <c r="AZ3750" t="inlineStr">
        <is>
          <t>991005279929702656</t>
        </is>
      </c>
      <c r="BA3750" t="inlineStr">
        <is>
          <t>2269741120002656</t>
        </is>
      </c>
      <c r="BB3750" t="inlineStr">
        <is>
          <t>BOOK</t>
        </is>
      </c>
      <c r="BD3750" t="inlineStr">
        <is>
          <t>9780521775953</t>
        </is>
      </c>
      <c r="BE3750" t="inlineStr">
        <is>
          <t>32285005470207</t>
        </is>
      </c>
      <c r="BF3750" t="inlineStr">
        <is>
          <t>893883616</t>
        </is>
      </c>
    </row>
    <row r="3751">
      <c r="A3751" t="inlineStr">
        <is>
          <t>No</t>
        </is>
      </c>
      <c r="B3751" t="inlineStr">
        <is>
          <t>CURAL</t>
        </is>
      </c>
      <c r="C3751" t="inlineStr">
        <is>
          <t>SHELVES</t>
        </is>
      </c>
      <c r="D3751" t="inlineStr">
        <is>
          <t>PR871 .G55 1986</t>
        </is>
      </c>
      <c r="E3751" t="inlineStr">
        <is>
          <t>0                      PR 0871000G  55          1986</t>
        </is>
      </c>
      <c r="F3751" t="inlineStr">
        <is>
          <t>The novel in the Victorian age : a modern introduction / Robin Gilmour.</t>
        </is>
      </c>
      <c r="H3751" t="inlineStr">
        <is>
          <t>No</t>
        </is>
      </c>
      <c r="I3751" t="inlineStr">
        <is>
          <t>1</t>
        </is>
      </c>
      <c r="J3751" t="inlineStr">
        <is>
          <t>No</t>
        </is>
      </c>
      <c r="K3751" t="inlineStr">
        <is>
          <t>No</t>
        </is>
      </c>
      <c r="L3751" t="inlineStr">
        <is>
          <t>0</t>
        </is>
      </c>
      <c r="M3751" t="inlineStr">
        <is>
          <t>Gilmour, Robin, 1943-</t>
        </is>
      </c>
      <c r="N3751" t="inlineStr">
        <is>
          <t>London : Edward Arnold, 1986.</t>
        </is>
      </c>
      <c r="O3751" t="inlineStr">
        <is>
          <t>1986</t>
        </is>
      </c>
      <c r="Q3751" t="inlineStr">
        <is>
          <t>eng</t>
        </is>
      </c>
      <c r="R3751" t="inlineStr">
        <is>
          <t>enk</t>
        </is>
      </c>
      <c r="T3751" t="inlineStr">
        <is>
          <t xml:space="preserve">PR </t>
        </is>
      </c>
      <c r="U3751" t="n">
        <v>1</v>
      </c>
      <c r="V3751" t="n">
        <v>1</v>
      </c>
      <c r="W3751" t="inlineStr">
        <is>
          <t>2008-04-09</t>
        </is>
      </c>
      <c r="X3751" t="inlineStr">
        <is>
          <t>2008-04-09</t>
        </is>
      </c>
      <c r="Y3751" t="inlineStr">
        <is>
          <t>1991-09-12</t>
        </is>
      </c>
      <c r="Z3751" t="inlineStr">
        <is>
          <t>1991-09-12</t>
        </is>
      </c>
      <c r="AA3751" t="n">
        <v>508</v>
      </c>
      <c r="AB3751" t="n">
        <v>320</v>
      </c>
      <c r="AC3751" t="n">
        <v>326</v>
      </c>
      <c r="AD3751" t="n">
        <v>3</v>
      </c>
      <c r="AE3751" t="n">
        <v>3</v>
      </c>
      <c r="AF3751" t="n">
        <v>15</v>
      </c>
      <c r="AG3751" t="n">
        <v>15</v>
      </c>
      <c r="AH3751" t="n">
        <v>6</v>
      </c>
      <c r="AI3751" t="n">
        <v>6</v>
      </c>
      <c r="AJ3751" t="n">
        <v>5</v>
      </c>
      <c r="AK3751" t="n">
        <v>5</v>
      </c>
      <c r="AL3751" t="n">
        <v>8</v>
      </c>
      <c r="AM3751" t="n">
        <v>8</v>
      </c>
      <c r="AN3751" t="n">
        <v>2</v>
      </c>
      <c r="AO3751" t="n">
        <v>2</v>
      </c>
      <c r="AP3751" t="n">
        <v>0</v>
      </c>
      <c r="AQ3751" t="n">
        <v>0</v>
      </c>
      <c r="AR3751" t="inlineStr">
        <is>
          <t>No</t>
        </is>
      </c>
      <c r="AS3751" t="inlineStr">
        <is>
          <t>No</t>
        </is>
      </c>
      <c r="AU3751">
        <f>HYPERLINK("https://creighton-primo.hosted.exlibrisgroup.com/primo-explore/search?tab=default_tab&amp;search_scope=EVERYTHING&amp;vid=01CRU&amp;lang=en_US&amp;offset=0&amp;query=any,contains,991000821039702656","Catalog Record")</f>
        <v/>
      </c>
      <c r="AV3751">
        <f>HYPERLINK("http://www.worldcat.org/oclc/16351236","WorldCat Record")</f>
        <v/>
      </c>
      <c r="AW3751" t="inlineStr">
        <is>
          <t>836634190:eng</t>
        </is>
      </c>
      <c r="AX3751" t="inlineStr">
        <is>
          <t>16351236</t>
        </is>
      </c>
      <c r="AY3751" t="inlineStr">
        <is>
          <t>991000821039702656</t>
        </is>
      </c>
      <c r="AZ3751" t="inlineStr">
        <is>
          <t>991000821039702656</t>
        </is>
      </c>
      <c r="BA3751" t="inlineStr">
        <is>
          <t>2262109520002656</t>
        </is>
      </c>
      <c r="BB3751" t="inlineStr">
        <is>
          <t>BOOK</t>
        </is>
      </c>
      <c r="BD3751" t="inlineStr">
        <is>
          <t>9780713164688</t>
        </is>
      </c>
      <c r="BE3751" t="inlineStr">
        <is>
          <t>32285000757319</t>
        </is>
      </c>
      <c r="BF3751" t="inlineStr">
        <is>
          <t>893602090</t>
        </is>
      </c>
    </row>
    <row r="3752">
      <c r="A3752" t="inlineStr">
        <is>
          <t>No</t>
        </is>
      </c>
      <c r="B3752" t="inlineStr">
        <is>
          <t>CURAL</t>
        </is>
      </c>
      <c r="C3752" t="inlineStr">
        <is>
          <t>SHELVES</t>
        </is>
      </c>
      <c r="D3752" t="inlineStr">
        <is>
          <t>PR871 .K43 1989</t>
        </is>
      </c>
      <c r="E3752" t="inlineStr">
        <is>
          <t>0                      PR 0871000K  43          1989</t>
        </is>
      </c>
      <c r="F3752" t="inlineStr">
        <is>
          <t>The haunted study : a social history of the English novel, 1875-1914 / Peter Keating.</t>
        </is>
      </c>
      <c r="H3752" t="inlineStr">
        <is>
          <t>No</t>
        </is>
      </c>
      <c r="I3752" t="inlineStr">
        <is>
          <t>1</t>
        </is>
      </c>
      <c r="J3752" t="inlineStr">
        <is>
          <t>No</t>
        </is>
      </c>
      <c r="K3752" t="inlineStr">
        <is>
          <t>No</t>
        </is>
      </c>
      <c r="L3752" t="inlineStr">
        <is>
          <t>0</t>
        </is>
      </c>
      <c r="M3752" t="inlineStr">
        <is>
          <t>Keating, P. J.</t>
        </is>
      </c>
      <c r="N3752" t="inlineStr">
        <is>
          <t>London : Secker &amp; Warburg, 1989.</t>
        </is>
      </c>
      <c r="O3752" t="inlineStr">
        <is>
          <t>1989</t>
        </is>
      </c>
      <c r="Q3752" t="inlineStr">
        <is>
          <t>eng</t>
        </is>
      </c>
      <c r="R3752" t="inlineStr">
        <is>
          <t>enk</t>
        </is>
      </c>
      <c r="T3752" t="inlineStr">
        <is>
          <t xml:space="preserve">PR </t>
        </is>
      </c>
      <c r="U3752" t="n">
        <v>1</v>
      </c>
      <c r="V3752" t="n">
        <v>1</v>
      </c>
      <c r="W3752" t="inlineStr">
        <is>
          <t>2001-02-09</t>
        </is>
      </c>
      <c r="X3752" t="inlineStr">
        <is>
          <t>2001-02-09</t>
        </is>
      </c>
      <c r="Y3752" t="inlineStr">
        <is>
          <t>1990-02-14</t>
        </is>
      </c>
      <c r="Z3752" t="inlineStr">
        <is>
          <t>1990-02-14</t>
        </is>
      </c>
      <c r="AA3752" t="n">
        <v>314</v>
      </c>
      <c r="AB3752" t="n">
        <v>138</v>
      </c>
      <c r="AC3752" t="n">
        <v>162</v>
      </c>
      <c r="AD3752" t="n">
        <v>3</v>
      </c>
      <c r="AE3752" t="n">
        <v>3</v>
      </c>
      <c r="AF3752" t="n">
        <v>12</v>
      </c>
      <c r="AG3752" t="n">
        <v>12</v>
      </c>
      <c r="AH3752" t="n">
        <v>3</v>
      </c>
      <c r="AI3752" t="n">
        <v>3</v>
      </c>
      <c r="AJ3752" t="n">
        <v>6</v>
      </c>
      <c r="AK3752" t="n">
        <v>6</v>
      </c>
      <c r="AL3752" t="n">
        <v>6</v>
      </c>
      <c r="AM3752" t="n">
        <v>6</v>
      </c>
      <c r="AN3752" t="n">
        <v>2</v>
      </c>
      <c r="AO3752" t="n">
        <v>2</v>
      </c>
      <c r="AP3752" t="n">
        <v>0</v>
      </c>
      <c r="AQ3752" t="n">
        <v>0</v>
      </c>
      <c r="AR3752" t="inlineStr">
        <is>
          <t>No</t>
        </is>
      </c>
      <c r="AS3752" t="inlineStr">
        <is>
          <t>Yes</t>
        </is>
      </c>
      <c r="AT3752">
        <f>HYPERLINK("http://catalog.hathitrust.org/Record/001543804","HathiTrust Record")</f>
        <v/>
      </c>
      <c r="AU3752">
        <f>HYPERLINK("https://creighton-primo.hosted.exlibrisgroup.com/primo-explore/search?tab=default_tab&amp;search_scope=EVERYTHING&amp;vid=01CRU&amp;lang=en_US&amp;offset=0&amp;query=any,contains,991001487789702656","Catalog Record")</f>
        <v/>
      </c>
      <c r="AV3752">
        <f>HYPERLINK("http://www.worldcat.org/oclc/21973339","WorldCat Record")</f>
        <v/>
      </c>
      <c r="AW3752" t="inlineStr">
        <is>
          <t>864114711:eng</t>
        </is>
      </c>
      <c r="AX3752" t="inlineStr">
        <is>
          <t>21973339</t>
        </is>
      </c>
      <c r="AY3752" t="inlineStr">
        <is>
          <t>991001487789702656</t>
        </is>
      </c>
      <c r="AZ3752" t="inlineStr">
        <is>
          <t>991001487789702656</t>
        </is>
      </c>
      <c r="BA3752" t="inlineStr">
        <is>
          <t>2264716380002656</t>
        </is>
      </c>
      <c r="BB3752" t="inlineStr">
        <is>
          <t>BOOK</t>
        </is>
      </c>
      <c r="BD3752" t="inlineStr">
        <is>
          <t>9780436232480</t>
        </is>
      </c>
      <c r="BE3752" t="inlineStr">
        <is>
          <t>32285000037688</t>
        </is>
      </c>
      <c r="BF3752" t="inlineStr">
        <is>
          <t>893608899</t>
        </is>
      </c>
    </row>
    <row r="3753">
      <c r="A3753" t="inlineStr">
        <is>
          <t>No</t>
        </is>
      </c>
      <c r="B3753" t="inlineStr">
        <is>
          <t>CURAL</t>
        </is>
      </c>
      <c r="C3753" t="inlineStr">
        <is>
          <t>SHELVES</t>
        </is>
      </c>
      <c r="D3753" t="inlineStr">
        <is>
          <t>PR871 .P5 1962</t>
        </is>
      </c>
      <c r="E3753" t="inlineStr">
        <is>
          <t>0                      PR 0871000P  5           1962</t>
        </is>
      </c>
      <c r="F3753" t="inlineStr">
        <is>
          <t>Dickens, Reade, and Collins: sensation novelists; a study in the conditions and theories of novel writing in Victorian England.</t>
        </is>
      </c>
      <c r="H3753" t="inlineStr">
        <is>
          <t>No</t>
        </is>
      </c>
      <c r="I3753" t="inlineStr">
        <is>
          <t>1</t>
        </is>
      </c>
      <c r="J3753" t="inlineStr">
        <is>
          <t>No</t>
        </is>
      </c>
      <c r="K3753" t="inlineStr">
        <is>
          <t>No</t>
        </is>
      </c>
      <c r="L3753" t="inlineStr">
        <is>
          <t>0</t>
        </is>
      </c>
      <c r="M3753" t="inlineStr">
        <is>
          <t>Phillips, Walter Clarke, 1881-1950.</t>
        </is>
      </c>
      <c r="N3753" t="inlineStr">
        <is>
          <t>New York, Russell &amp; Russell, 1962.</t>
        </is>
      </c>
      <c r="O3753" t="inlineStr">
        <is>
          <t>1962</t>
        </is>
      </c>
      <c r="Q3753" t="inlineStr">
        <is>
          <t>eng</t>
        </is>
      </c>
      <c r="R3753" t="inlineStr">
        <is>
          <t>nyu</t>
        </is>
      </c>
      <c r="T3753" t="inlineStr">
        <is>
          <t xml:space="preserve">PR </t>
        </is>
      </c>
      <c r="U3753" t="n">
        <v>1</v>
      </c>
      <c r="V3753" t="n">
        <v>1</v>
      </c>
      <c r="W3753" t="inlineStr">
        <is>
          <t>1999-12-04</t>
        </is>
      </c>
      <c r="X3753" t="inlineStr">
        <is>
          <t>1999-12-04</t>
        </is>
      </c>
      <c r="Y3753" t="inlineStr">
        <is>
          <t>1997-09-15</t>
        </is>
      </c>
      <c r="Z3753" t="inlineStr">
        <is>
          <t>1997-09-15</t>
        </is>
      </c>
      <c r="AA3753" t="n">
        <v>546</v>
      </c>
      <c r="AB3753" t="n">
        <v>488</v>
      </c>
      <c r="AC3753" t="n">
        <v>614</v>
      </c>
      <c r="AD3753" t="n">
        <v>5</v>
      </c>
      <c r="AE3753" t="n">
        <v>7</v>
      </c>
      <c r="AF3753" t="n">
        <v>28</v>
      </c>
      <c r="AG3753" t="n">
        <v>34</v>
      </c>
      <c r="AH3753" t="n">
        <v>11</v>
      </c>
      <c r="AI3753" t="n">
        <v>13</v>
      </c>
      <c r="AJ3753" t="n">
        <v>7</v>
      </c>
      <c r="AK3753" t="n">
        <v>7</v>
      </c>
      <c r="AL3753" t="n">
        <v>13</v>
      </c>
      <c r="AM3753" t="n">
        <v>16</v>
      </c>
      <c r="AN3753" t="n">
        <v>4</v>
      </c>
      <c r="AO3753" t="n">
        <v>6</v>
      </c>
      <c r="AP3753" t="n">
        <v>0</v>
      </c>
      <c r="AQ3753" t="n">
        <v>0</v>
      </c>
      <c r="AR3753" t="inlineStr">
        <is>
          <t>Yes</t>
        </is>
      </c>
      <c r="AS3753" t="inlineStr">
        <is>
          <t>No</t>
        </is>
      </c>
      <c r="AT3753">
        <f>HYPERLINK("http://catalog.hathitrust.org/Record/001016715","HathiTrust Record")</f>
        <v/>
      </c>
      <c r="AU3753">
        <f>HYPERLINK("https://creighton-primo.hosted.exlibrisgroup.com/primo-explore/search?tab=default_tab&amp;search_scope=EVERYTHING&amp;vid=01CRU&amp;lang=en_US&amp;offset=0&amp;query=any,contains,991002441869702656","Catalog Record")</f>
        <v/>
      </c>
      <c r="AV3753">
        <f>HYPERLINK("http://www.worldcat.org/oclc/350356","WorldCat Record")</f>
        <v/>
      </c>
      <c r="AW3753" t="inlineStr">
        <is>
          <t>1375476:eng</t>
        </is>
      </c>
      <c r="AX3753" t="inlineStr">
        <is>
          <t>350356</t>
        </is>
      </c>
      <c r="AY3753" t="inlineStr">
        <is>
          <t>991002441869702656</t>
        </is>
      </c>
      <c r="AZ3753" t="inlineStr">
        <is>
          <t>991002441869702656</t>
        </is>
      </c>
      <c r="BA3753" t="inlineStr">
        <is>
          <t>2268710850002656</t>
        </is>
      </c>
      <c r="BB3753" t="inlineStr">
        <is>
          <t>BOOK</t>
        </is>
      </c>
      <c r="BE3753" t="inlineStr">
        <is>
          <t>32285003216727</t>
        </is>
      </c>
      <c r="BF3753" t="inlineStr">
        <is>
          <t>893597460</t>
        </is>
      </c>
    </row>
    <row r="3754">
      <c r="A3754" t="inlineStr">
        <is>
          <t>No</t>
        </is>
      </c>
      <c r="B3754" t="inlineStr">
        <is>
          <t>CURAL</t>
        </is>
      </c>
      <c r="C3754" t="inlineStr">
        <is>
          <t>SHELVES</t>
        </is>
      </c>
      <c r="D3754" t="inlineStr">
        <is>
          <t>PR871 .S85</t>
        </is>
      </c>
      <c r="E3754" t="inlineStr">
        <is>
          <t>0                      PR 0871000S  85</t>
        </is>
      </c>
      <c r="F3754" t="inlineStr">
        <is>
          <t>Novelists in a changing world; Meredith, James, and the transformation of English fiction in the 1880's.</t>
        </is>
      </c>
      <c r="H3754" t="inlineStr">
        <is>
          <t>No</t>
        </is>
      </c>
      <c r="I3754" t="inlineStr">
        <is>
          <t>1</t>
        </is>
      </c>
      <c r="J3754" t="inlineStr">
        <is>
          <t>No</t>
        </is>
      </c>
      <c r="K3754" t="inlineStr">
        <is>
          <t>No</t>
        </is>
      </c>
      <c r="L3754" t="inlineStr">
        <is>
          <t>0</t>
        </is>
      </c>
      <c r="M3754" t="inlineStr">
        <is>
          <t>Stone, Donald David.</t>
        </is>
      </c>
      <c r="N3754" t="inlineStr">
        <is>
          <t>Cambridge, Mass., Harvard University Press, 1972.</t>
        </is>
      </c>
      <c r="O3754" t="inlineStr">
        <is>
          <t>1972</t>
        </is>
      </c>
      <c r="Q3754" t="inlineStr">
        <is>
          <t>eng</t>
        </is>
      </c>
      <c r="R3754" t="inlineStr">
        <is>
          <t>mau</t>
        </is>
      </c>
      <c r="T3754" t="inlineStr">
        <is>
          <t xml:space="preserve">PR </t>
        </is>
      </c>
      <c r="U3754" t="n">
        <v>3</v>
      </c>
      <c r="V3754" t="n">
        <v>3</v>
      </c>
      <c r="W3754" t="inlineStr">
        <is>
          <t>2004-09-27</t>
        </is>
      </c>
      <c r="X3754" t="inlineStr">
        <is>
          <t>2004-09-27</t>
        </is>
      </c>
      <c r="Y3754" t="inlineStr">
        <is>
          <t>1997-09-15</t>
        </is>
      </c>
      <c r="Z3754" t="inlineStr">
        <is>
          <t>1997-09-15</t>
        </is>
      </c>
      <c r="AA3754" t="n">
        <v>896</v>
      </c>
      <c r="AB3754" t="n">
        <v>743</v>
      </c>
      <c r="AC3754" t="n">
        <v>755</v>
      </c>
      <c r="AD3754" t="n">
        <v>6</v>
      </c>
      <c r="AE3754" t="n">
        <v>6</v>
      </c>
      <c r="AF3754" t="n">
        <v>33</v>
      </c>
      <c r="AG3754" t="n">
        <v>33</v>
      </c>
      <c r="AH3754" t="n">
        <v>9</v>
      </c>
      <c r="AI3754" t="n">
        <v>9</v>
      </c>
      <c r="AJ3754" t="n">
        <v>8</v>
      </c>
      <c r="AK3754" t="n">
        <v>8</v>
      </c>
      <c r="AL3754" t="n">
        <v>19</v>
      </c>
      <c r="AM3754" t="n">
        <v>19</v>
      </c>
      <c r="AN3754" t="n">
        <v>5</v>
      </c>
      <c r="AO3754" t="n">
        <v>5</v>
      </c>
      <c r="AP3754" t="n">
        <v>0</v>
      </c>
      <c r="AQ3754" t="n">
        <v>0</v>
      </c>
      <c r="AR3754" t="inlineStr">
        <is>
          <t>No</t>
        </is>
      </c>
      <c r="AS3754" t="inlineStr">
        <is>
          <t>Yes</t>
        </is>
      </c>
      <c r="AT3754">
        <f>HYPERLINK("http://catalog.hathitrust.org/Record/001371245","HathiTrust Record")</f>
        <v/>
      </c>
      <c r="AU3754">
        <f>HYPERLINK("https://creighton-primo.hosted.exlibrisgroup.com/primo-explore/search?tab=default_tab&amp;search_scope=EVERYTHING&amp;vid=01CRU&amp;lang=en_US&amp;offset=0&amp;query=any,contains,991001907229702656","Catalog Record")</f>
        <v/>
      </c>
      <c r="AV3754">
        <f>HYPERLINK("http://www.worldcat.org/oclc/240909","WorldCat Record")</f>
        <v/>
      </c>
      <c r="AW3754" t="inlineStr">
        <is>
          <t>1384702:eng</t>
        </is>
      </c>
      <c r="AX3754" t="inlineStr">
        <is>
          <t>240909</t>
        </is>
      </c>
      <c r="AY3754" t="inlineStr">
        <is>
          <t>991001907229702656</t>
        </is>
      </c>
      <c r="AZ3754" t="inlineStr">
        <is>
          <t>991001907229702656</t>
        </is>
      </c>
      <c r="BA3754" t="inlineStr">
        <is>
          <t>2272295520002656</t>
        </is>
      </c>
      <c r="BB3754" t="inlineStr">
        <is>
          <t>BOOK</t>
        </is>
      </c>
      <c r="BD3754" t="inlineStr">
        <is>
          <t>9780674628304</t>
        </is>
      </c>
      <c r="BE3754" t="inlineStr">
        <is>
          <t>32285003216743</t>
        </is>
      </c>
      <c r="BF3754" t="inlineStr">
        <is>
          <t>893779185</t>
        </is>
      </c>
    </row>
    <row r="3755">
      <c r="A3755" t="inlineStr">
        <is>
          <t>No</t>
        </is>
      </c>
      <c r="B3755" t="inlineStr">
        <is>
          <t>CURAL</t>
        </is>
      </c>
      <c r="C3755" t="inlineStr">
        <is>
          <t>SHELVES</t>
        </is>
      </c>
      <c r="D3755" t="inlineStr">
        <is>
          <t>PR871 .W45</t>
        </is>
      </c>
      <c r="E3755" t="inlineStr">
        <is>
          <t>0                      PR 0871000W  45</t>
        </is>
      </c>
      <c r="F3755" t="inlineStr">
        <is>
          <t>Political fictions / Michael Wilding.</t>
        </is>
      </c>
      <c r="H3755" t="inlineStr">
        <is>
          <t>No</t>
        </is>
      </c>
      <c r="I3755" t="inlineStr">
        <is>
          <t>1</t>
        </is>
      </c>
      <c r="J3755" t="inlineStr">
        <is>
          <t>No</t>
        </is>
      </c>
      <c r="K3755" t="inlineStr">
        <is>
          <t>No</t>
        </is>
      </c>
      <c r="L3755" t="inlineStr">
        <is>
          <t>0</t>
        </is>
      </c>
      <c r="M3755" t="inlineStr">
        <is>
          <t>Wilding, Michael.</t>
        </is>
      </c>
      <c r="N3755" t="inlineStr">
        <is>
          <t>London : Routledge &amp; Kegan Paul, 1980.</t>
        </is>
      </c>
      <c r="O3755" t="inlineStr">
        <is>
          <t>1980</t>
        </is>
      </c>
      <c r="Q3755" t="inlineStr">
        <is>
          <t>eng</t>
        </is>
      </c>
      <c r="R3755" t="inlineStr">
        <is>
          <t>enk</t>
        </is>
      </c>
      <c r="T3755" t="inlineStr">
        <is>
          <t xml:space="preserve">PR </t>
        </is>
      </c>
      <c r="U3755" t="n">
        <v>1</v>
      </c>
      <c r="V3755" t="n">
        <v>1</v>
      </c>
      <c r="W3755" t="inlineStr">
        <is>
          <t>2009-02-08</t>
        </is>
      </c>
      <c r="X3755" t="inlineStr">
        <is>
          <t>2009-02-08</t>
        </is>
      </c>
      <c r="Y3755" t="inlineStr">
        <is>
          <t>1991-09-12</t>
        </is>
      </c>
      <c r="Z3755" t="inlineStr">
        <is>
          <t>1991-09-12</t>
        </is>
      </c>
      <c r="AA3755" t="n">
        <v>568</v>
      </c>
      <c r="AB3755" t="n">
        <v>410</v>
      </c>
      <c r="AC3755" t="n">
        <v>411</v>
      </c>
      <c r="AD3755" t="n">
        <v>3</v>
      </c>
      <c r="AE3755" t="n">
        <v>3</v>
      </c>
      <c r="AF3755" t="n">
        <v>24</v>
      </c>
      <c r="AG3755" t="n">
        <v>24</v>
      </c>
      <c r="AH3755" t="n">
        <v>10</v>
      </c>
      <c r="AI3755" t="n">
        <v>10</v>
      </c>
      <c r="AJ3755" t="n">
        <v>7</v>
      </c>
      <c r="AK3755" t="n">
        <v>7</v>
      </c>
      <c r="AL3755" t="n">
        <v>13</v>
      </c>
      <c r="AM3755" t="n">
        <v>13</v>
      </c>
      <c r="AN3755" t="n">
        <v>2</v>
      </c>
      <c r="AO3755" t="n">
        <v>2</v>
      </c>
      <c r="AP3755" t="n">
        <v>0</v>
      </c>
      <c r="AQ3755" t="n">
        <v>0</v>
      </c>
      <c r="AR3755" t="inlineStr">
        <is>
          <t>No</t>
        </is>
      </c>
      <c r="AS3755" t="inlineStr">
        <is>
          <t>Yes</t>
        </is>
      </c>
      <c r="AT3755">
        <f>HYPERLINK("http://catalog.hathitrust.org/Record/009913952","HathiTrust Record")</f>
        <v/>
      </c>
      <c r="AU3755">
        <f>HYPERLINK("https://creighton-primo.hosted.exlibrisgroup.com/primo-explore/search?tab=default_tab&amp;search_scope=EVERYTHING&amp;vid=01CRU&amp;lang=en_US&amp;offset=0&amp;query=any,contains,991005005609702656","Catalog Record")</f>
        <v/>
      </c>
      <c r="AV3755">
        <f>HYPERLINK("http://www.worldcat.org/oclc/6566359","WorldCat Record")</f>
        <v/>
      </c>
      <c r="AW3755" t="inlineStr">
        <is>
          <t>22904783:eng</t>
        </is>
      </c>
      <c r="AX3755" t="inlineStr">
        <is>
          <t>6566359</t>
        </is>
      </c>
      <c r="AY3755" t="inlineStr">
        <is>
          <t>991005005609702656</t>
        </is>
      </c>
      <c r="AZ3755" t="inlineStr">
        <is>
          <t>991005005609702656</t>
        </is>
      </c>
      <c r="BA3755" t="inlineStr">
        <is>
          <t>2255326280002656</t>
        </is>
      </c>
      <c r="BB3755" t="inlineStr">
        <is>
          <t>BOOK</t>
        </is>
      </c>
      <c r="BD3755" t="inlineStr">
        <is>
          <t>9780710004574</t>
        </is>
      </c>
      <c r="BE3755" t="inlineStr">
        <is>
          <t>32285000757327</t>
        </is>
      </c>
      <c r="BF3755" t="inlineStr">
        <is>
          <t>893260430</t>
        </is>
      </c>
    </row>
    <row r="3756">
      <c r="A3756" t="inlineStr">
        <is>
          <t>No</t>
        </is>
      </c>
      <c r="B3756" t="inlineStr">
        <is>
          <t>CURAL</t>
        </is>
      </c>
      <c r="C3756" t="inlineStr">
        <is>
          <t>SHELVES</t>
        </is>
      </c>
      <c r="D3756" t="inlineStr">
        <is>
          <t>PR871 .W49 1985</t>
        </is>
      </c>
      <c r="E3756" t="inlineStr">
        <is>
          <t>0                      PR 0871000W  49          1985</t>
        </is>
      </c>
      <c r="F3756" t="inlineStr">
        <is>
          <t>English fiction of the Victorian period : 1830-1890 / Michael Wheeler.</t>
        </is>
      </c>
      <c r="H3756" t="inlineStr">
        <is>
          <t>No</t>
        </is>
      </c>
      <c r="I3756" t="inlineStr">
        <is>
          <t>1</t>
        </is>
      </c>
      <c r="J3756" t="inlineStr">
        <is>
          <t>No</t>
        </is>
      </c>
      <c r="K3756" t="inlineStr">
        <is>
          <t>No</t>
        </is>
      </c>
      <c r="L3756" t="inlineStr">
        <is>
          <t>0</t>
        </is>
      </c>
      <c r="M3756" t="inlineStr">
        <is>
          <t>Wheeler, Michael, 1947-</t>
        </is>
      </c>
      <c r="N3756" t="inlineStr">
        <is>
          <t>London ; New York : Longman, 1985.</t>
        </is>
      </c>
      <c r="O3756" t="inlineStr">
        <is>
          <t>1985</t>
        </is>
      </c>
      <c r="Q3756" t="inlineStr">
        <is>
          <t>eng</t>
        </is>
      </c>
      <c r="R3756" t="inlineStr">
        <is>
          <t>enk</t>
        </is>
      </c>
      <c r="S3756" t="inlineStr">
        <is>
          <t>Longman literature in English series</t>
        </is>
      </c>
      <c r="T3756" t="inlineStr">
        <is>
          <t xml:space="preserve">PR </t>
        </is>
      </c>
      <c r="U3756" t="n">
        <v>1</v>
      </c>
      <c r="V3756" t="n">
        <v>1</v>
      </c>
      <c r="W3756" t="inlineStr">
        <is>
          <t>2008-04-09</t>
        </is>
      </c>
      <c r="X3756" t="inlineStr">
        <is>
          <t>2008-04-09</t>
        </is>
      </c>
      <c r="Y3756" t="inlineStr">
        <is>
          <t>1991-09-12</t>
        </is>
      </c>
      <c r="Z3756" t="inlineStr">
        <is>
          <t>1991-09-12</t>
        </is>
      </c>
      <c r="AA3756" t="n">
        <v>541</v>
      </c>
      <c r="AB3756" t="n">
        <v>331</v>
      </c>
      <c r="AC3756" t="n">
        <v>331</v>
      </c>
      <c r="AD3756" t="n">
        <v>4</v>
      </c>
      <c r="AE3756" t="n">
        <v>4</v>
      </c>
      <c r="AF3756" t="n">
        <v>18</v>
      </c>
      <c r="AG3756" t="n">
        <v>18</v>
      </c>
      <c r="AH3756" t="n">
        <v>6</v>
      </c>
      <c r="AI3756" t="n">
        <v>6</v>
      </c>
      <c r="AJ3756" t="n">
        <v>5</v>
      </c>
      <c r="AK3756" t="n">
        <v>5</v>
      </c>
      <c r="AL3756" t="n">
        <v>9</v>
      </c>
      <c r="AM3756" t="n">
        <v>9</v>
      </c>
      <c r="AN3756" t="n">
        <v>3</v>
      </c>
      <c r="AO3756" t="n">
        <v>3</v>
      </c>
      <c r="AP3756" t="n">
        <v>0</v>
      </c>
      <c r="AQ3756" t="n">
        <v>0</v>
      </c>
      <c r="AR3756" t="inlineStr">
        <is>
          <t>No</t>
        </is>
      </c>
      <c r="AS3756" t="inlineStr">
        <is>
          <t>No</t>
        </is>
      </c>
      <c r="AU3756">
        <f>HYPERLINK("https://creighton-primo.hosted.exlibrisgroup.com/primo-explore/search?tab=default_tab&amp;search_scope=EVERYTHING&amp;vid=01CRU&amp;lang=en_US&amp;offset=0&amp;query=any,contains,991000498429702656","Catalog Record")</f>
        <v/>
      </c>
      <c r="AV3756">
        <f>HYPERLINK("http://www.worldcat.org/oclc/11158939","WorldCat Record")</f>
        <v/>
      </c>
      <c r="AW3756" t="inlineStr">
        <is>
          <t>10627684323:eng</t>
        </is>
      </c>
      <c r="AX3756" t="inlineStr">
        <is>
          <t>11158939</t>
        </is>
      </c>
      <c r="AY3756" t="inlineStr">
        <is>
          <t>991000498429702656</t>
        </is>
      </c>
      <c r="AZ3756" t="inlineStr">
        <is>
          <t>991000498429702656</t>
        </is>
      </c>
      <c r="BA3756" t="inlineStr">
        <is>
          <t>2254876310002656</t>
        </is>
      </c>
      <c r="BB3756" t="inlineStr">
        <is>
          <t>BOOK</t>
        </is>
      </c>
      <c r="BD3756" t="inlineStr">
        <is>
          <t>9780582492356</t>
        </is>
      </c>
      <c r="BE3756" t="inlineStr">
        <is>
          <t>32285000757335</t>
        </is>
      </c>
      <c r="BF3756" t="inlineStr">
        <is>
          <t>893878087</t>
        </is>
      </c>
    </row>
    <row r="3757">
      <c r="A3757" t="inlineStr">
        <is>
          <t>No</t>
        </is>
      </c>
      <c r="B3757" t="inlineStr">
        <is>
          <t>CURAL</t>
        </is>
      </c>
      <c r="C3757" t="inlineStr">
        <is>
          <t>SHELVES</t>
        </is>
      </c>
      <c r="D3757" t="inlineStr">
        <is>
          <t>PR871 H67 1990</t>
        </is>
      </c>
      <c r="E3757" t="inlineStr">
        <is>
          <t>0                      PR 0871000H  67          1990</t>
        </is>
      </c>
      <c r="F3757" t="inlineStr">
        <is>
          <t>The Victorian novel / Alan Horsman.</t>
        </is>
      </c>
      <c r="H3757" t="inlineStr">
        <is>
          <t>No</t>
        </is>
      </c>
      <c r="I3757" t="inlineStr">
        <is>
          <t>1</t>
        </is>
      </c>
      <c r="J3757" t="inlineStr">
        <is>
          <t>No</t>
        </is>
      </c>
      <c r="K3757" t="inlineStr">
        <is>
          <t>No</t>
        </is>
      </c>
      <c r="L3757" t="inlineStr">
        <is>
          <t>0</t>
        </is>
      </c>
      <c r="M3757" t="inlineStr">
        <is>
          <t>Horsman, E. A. (Ernest Alan), 1918-</t>
        </is>
      </c>
      <c r="N3757" t="inlineStr">
        <is>
          <t>Oxford [England] : Clarendon Press ; New York : Oxford University Press, 1990.</t>
        </is>
      </c>
      <c r="O3757" t="inlineStr">
        <is>
          <t>1990</t>
        </is>
      </c>
      <c r="Q3757" t="inlineStr">
        <is>
          <t>eng</t>
        </is>
      </c>
      <c r="R3757" t="inlineStr">
        <is>
          <t>enk</t>
        </is>
      </c>
      <c r="S3757" t="inlineStr">
        <is>
          <t>The Oxford history of English literature ; 13</t>
        </is>
      </c>
      <c r="T3757" t="inlineStr">
        <is>
          <t xml:space="preserve">PR </t>
        </is>
      </c>
      <c r="U3757" t="n">
        <v>2</v>
      </c>
      <c r="V3757" t="n">
        <v>2</v>
      </c>
      <c r="W3757" t="inlineStr">
        <is>
          <t>1995-09-24</t>
        </is>
      </c>
      <c r="X3757" t="inlineStr">
        <is>
          <t>1995-09-24</t>
        </is>
      </c>
      <c r="Y3757" t="inlineStr">
        <is>
          <t>1991-07-03</t>
        </is>
      </c>
      <c r="Z3757" t="inlineStr">
        <is>
          <t>1991-07-03</t>
        </is>
      </c>
      <c r="AA3757" t="n">
        <v>958</v>
      </c>
      <c r="AB3757" t="n">
        <v>723</v>
      </c>
      <c r="AC3757" t="n">
        <v>730</v>
      </c>
      <c r="AD3757" t="n">
        <v>9</v>
      </c>
      <c r="AE3757" t="n">
        <v>9</v>
      </c>
      <c r="AF3757" t="n">
        <v>52</v>
      </c>
      <c r="AG3757" t="n">
        <v>52</v>
      </c>
      <c r="AH3757" t="n">
        <v>22</v>
      </c>
      <c r="AI3757" t="n">
        <v>22</v>
      </c>
      <c r="AJ3757" t="n">
        <v>9</v>
      </c>
      <c r="AK3757" t="n">
        <v>9</v>
      </c>
      <c r="AL3757" t="n">
        <v>26</v>
      </c>
      <c r="AM3757" t="n">
        <v>26</v>
      </c>
      <c r="AN3757" t="n">
        <v>8</v>
      </c>
      <c r="AO3757" t="n">
        <v>8</v>
      </c>
      <c r="AP3757" t="n">
        <v>0</v>
      </c>
      <c r="AQ3757" t="n">
        <v>0</v>
      </c>
      <c r="AR3757" t="inlineStr">
        <is>
          <t>No</t>
        </is>
      </c>
      <c r="AS3757" t="inlineStr">
        <is>
          <t>Yes</t>
        </is>
      </c>
      <c r="AT3757">
        <f>HYPERLINK("http://catalog.hathitrust.org/Record/002566280","HathiTrust Record")</f>
        <v/>
      </c>
      <c r="AU3757">
        <f>HYPERLINK("https://creighton-primo.hosted.exlibrisgroup.com/primo-explore/search?tab=default_tab&amp;search_scope=EVERYTHING&amp;vid=01CRU&amp;lang=en_US&amp;offset=0&amp;query=any,contains,991001673659702656","Catalog Record")</f>
        <v/>
      </c>
      <c r="AV3757">
        <f>HYPERLINK("http://www.worldcat.org/oclc/21302990","WorldCat Record")</f>
        <v/>
      </c>
      <c r="AW3757" t="inlineStr">
        <is>
          <t>22833664:eng</t>
        </is>
      </c>
      <c r="AX3757" t="inlineStr">
        <is>
          <t>21302990</t>
        </is>
      </c>
      <c r="AY3757" t="inlineStr">
        <is>
          <t>991001673659702656</t>
        </is>
      </c>
      <c r="AZ3757" t="inlineStr">
        <is>
          <t>991001673659702656</t>
        </is>
      </c>
      <c r="BA3757" t="inlineStr">
        <is>
          <t>2263896230002656</t>
        </is>
      </c>
      <c r="BB3757" t="inlineStr">
        <is>
          <t>BOOK</t>
        </is>
      </c>
      <c r="BD3757" t="inlineStr">
        <is>
          <t>9780198122166</t>
        </is>
      </c>
      <c r="BE3757" t="inlineStr">
        <is>
          <t>32285000648534</t>
        </is>
      </c>
      <c r="BF3757" t="inlineStr">
        <is>
          <t>893709452</t>
        </is>
      </c>
    </row>
    <row r="3758">
      <c r="A3758" t="inlineStr">
        <is>
          <t>No</t>
        </is>
      </c>
      <c r="B3758" t="inlineStr">
        <is>
          <t>CURAL</t>
        </is>
      </c>
      <c r="C3758" t="inlineStr">
        <is>
          <t>SHELVES</t>
        </is>
      </c>
      <c r="D3758" t="inlineStr">
        <is>
          <t>PR8711 .C66 1983</t>
        </is>
      </c>
      <c r="E3758" t="inlineStr">
        <is>
          <t>0                      PR 8711000C  66          1983</t>
        </is>
      </c>
      <c r="F3758" t="inlineStr">
        <is>
          <t>Heritage now : Irish literature in the English language / Anthony Cronin.</t>
        </is>
      </c>
      <c r="H3758" t="inlineStr">
        <is>
          <t>No</t>
        </is>
      </c>
      <c r="I3758" t="inlineStr">
        <is>
          <t>1</t>
        </is>
      </c>
      <c r="J3758" t="inlineStr">
        <is>
          <t>No</t>
        </is>
      </c>
      <c r="K3758" t="inlineStr">
        <is>
          <t>No</t>
        </is>
      </c>
      <c r="L3758" t="inlineStr">
        <is>
          <t>0</t>
        </is>
      </c>
      <c r="M3758" t="inlineStr">
        <is>
          <t>Cronin, Anthony.</t>
        </is>
      </c>
      <c r="N3758" t="inlineStr">
        <is>
          <t>New York : St. Martin's Press, 1983, c1982</t>
        </is>
      </c>
      <c r="O3758" t="inlineStr">
        <is>
          <t>1983</t>
        </is>
      </c>
      <c r="Q3758" t="inlineStr">
        <is>
          <t>eng</t>
        </is>
      </c>
      <c r="R3758" t="inlineStr">
        <is>
          <t>nyu</t>
        </is>
      </c>
      <c r="T3758" t="inlineStr">
        <is>
          <t xml:space="preserve">PR </t>
        </is>
      </c>
      <c r="U3758" t="n">
        <v>5</v>
      </c>
      <c r="V3758" t="n">
        <v>5</v>
      </c>
      <c r="W3758" t="inlineStr">
        <is>
          <t>2000-11-18</t>
        </is>
      </c>
      <c r="X3758" t="inlineStr">
        <is>
          <t>2000-11-18</t>
        </is>
      </c>
      <c r="Y3758" t="inlineStr">
        <is>
          <t>1992-08-14</t>
        </is>
      </c>
      <c r="Z3758" t="inlineStr">
        <is>
          <t>1992-08-14</t>
        </is>
      </c>
      <c r="AA3758" t="n">
        <v>547</v>
      </c>
      <c r="AB3758" t="n">
        <v>494</v>
      </c>
      <c r="AC3758" t="n">
        <v>524</v>
      </c>
      <c r="AD3758" t="n">
        <v>3</v>
      </c>
      <c r="AE3758" t="n">
        <v>4</v>
      </c>
      <c r="AF3758" t="n">
        <v>29</v>
      </c>
      <c r="AG3758" t="n">
        <v>30</v>
      </c>
      <c r="AH3758" t="n">
        <v>12</v>
      </c>
      <c r="AI3758" t="n">
        <v>12</v>
      </c>
      <c r="AJ3758" t="n">
        <v>9</v>
      </c>
      <c r="AK3758" t="n">
        <v>9</v>
      </c>
      <c r="AL3758" t="n">
        <v>14</v>
      </c>
      <c r="AM3758" t="n">
        <v>14</v>
      </c>
      <c r="AN3758" t="n">
        <v>2</v>
      </c>
      <c r="AO3758" t="n">
        <v>3</v>
      </c>
      <c r="AP3758" t="n">
        <v>0</v>
      </c>
      <c r="AQ3758" t="n">
        <v>0</v>
      </c>
      <c r="AR3758" t="inlineStr">
        <is>
          <t>No</t>
        </is>
      </c>
      <c r="AS3758" t="inlineStr">
        <is>
          <t>No</t>
        </is>
      </c>
      <c r="AU3758">
        <f>HYPERLINK("https://creighton-primo.hosted.exlibrisgroup.com/primo-explore/search?tab=default_tab&amp;search_scope=EVERYTHING&amp;vid=01CRU&amp;lang=en_US&amp;offset=0&amp;query=any,contains,991000096959702656","Catalog Record")</f>
        <v/>
      </c>
      <c r="AV3758">
        <f>HYPERLINK("http://www.worldcat.org/oclc/8929593","WorldCat Record")</f>
        <v/>
      </c>
      <c r="AW3758" t="inlineStr">
        <is>
          <t>4903424:eng</t>
        </is>
      </c>
      <c r="AX3758" t="inlineStr">
        <is>
          <t>8929593</t>
        </is>
      </c>
      <c r="AY3758" t="inlineStr">
        <is>
          <t>991000096959702656</t>
        </is>
      </c>
      <c r="AZ3758" t="inlineStr">
        <is>
          <t>991000096959702656</t>
        </is>
      </c>
      <c r="BA3758" t="inlineStr">
        <is>
          <t>2265955200002656</t>
        </is>
      </c>
      <c r="BB3758" t="inlineStr">
        <is>
          <t>BOOK</t>
        </is>
      </c>
      <c r="BD3758" t="inlineStr">
        <is>
          <t>9780312369934</t>
        </is>
      </c>
      <c r="BE3758" t="inlineStr">
        <is>
          <t>32285001245090</t>
        </is>
      </c>
      <c r="BF3758" t="inlineStr">
        <is>
          <t>893224725</t>
        </is>
      </c>
    </row>
    <row r="3759">
      <c r="A3759" t="inlineStr">
        <is>
          <t>No</t>
        </is>
      </c>
      <c r="B3759" t="inlineStr">
        <is>
          <t>CURAL</t>
        </is>
      </c>
      <c r="C3759" t="inlineStr">
        <is>
          <t>SHELVES</t>
        </is>
      </c>
      <c r="D3759" t="inlineStr">
        <is>
          <t>PR8711 .G8</t>
        </is>
      </c>
      <c r="E3759" t="inlineStr">
        <is>
          <t>0                      PR 8711000G  8</t>
        </is>
      </c>
      <c r="F3759" t="inlineStr">
        <is>
          <t>Irish literature and drama in the English language : a short history / by Stephen Gwynn.</t>
        </is>
      </c>
      <c r="H3759" t="inlineStr">
        <is>
          <t>No</t>
        </is>
      </c>
      <c r="I3759" t="inlineStr">
        <is>
          <t>1</t>
        </is>
      </c>
      <c r="J3759" t="inlineStr">
        <is>
          <t>No</t>
        </is>
      </c>
      <c r="K3759" t="inlineStr">
        <is>
          <t>No</t>
        </is>
      </c>
      <c r="L3759" t="inlineStr">
        <is>
          <t>0</t>
        </is>
      </c>
      <c r="M3759" t="inlineStr">
        <is>
          <t>Gwynn, Stephen Lucius, 1864-1950.</t>
        </is>
      </c>
      <c r="N3759" t="inlineStr">
        <is>
          <t>London ; New York : T. Nelson, [1936]</t>
        </is>
      </c>
      <c r="O3759" t="inlineStr">
        <is>
          <t>1936</t>
        </is>
      </c>
      <c r="Q3759" t="inlineStr">
        <is>
          <t>eng</t>
        </is>
      </c>
      <c r="R3759" t="inlineStr">
        <is>
          <t>enk</t>
        </is>
      </c>
      <c r="T3759" t="inlineStr">
        <is>
          <t xml:space="preserve">PR </t>
        </is>
      </c>
      <c r="U3759" t="n">
        <v>1</v>
      </c>
      <c r="V3759" t="n">
        <v>1</v>
      </c>
      <c r="W3759" t="inlineStr">
        <is>
          <t>2000-12-10</t>
        </is>
      </c>
      <c r="X3759" t="inlineStr">
        <is>
          <t>2000-12-10</t>
        </is>
      </c>
      <c r="Y3759" t="inlineStr">
        <is>
          <t>1997-04-25</t>
        </is>
      </c>
      <c r="Z3759" t="inlineStr">
        <is>
          <t>1997-04-25</t>
        </is>
      </c>
      <c r="AA3759" t="n">
        <v>334</v>
      </c>
      <c r="AB3759" t="n">
        <v>236</v>
      </c>
      <c r="AC3759" t="n">
        <v>298</v>
      </c>
      <c r="AD3759" t="n">
        <v>3</v>
      </c>
      <c r="AE3759" t="n">
        <v>3</v>
      </c>
      <c r="AF3759" t="n">
        <v>18</v>
      </c>
      <c r="AG3759" t="n">
        <v>18</v>
      </c>
      <c r="AH3759" t="n">
        <v>4</v>
      </c>
      <c r="AI3759" t="n">
        <v>4</v>
      </c>
      <c r="AJ3759" t="n">
        <v>5</v>
      </c>
      <c r="AK3759" t="n">
        <v>5</v>
      </c>
      <c r="AL3759" t="n">
        <v>11</v>
      </c>
      <c r="AM3759" t="n">
        <v>11</v>
      </c>
      <c r="AN3759" t="n">
        <v>2</v>
      </c>
      <c r="AO3759" t="n">
        <v>2</v>
      </c>
      <c r="AP3759" t="n">
        <v>0</v>
      </c>
      <c r="AQ3759" t="n">
        <v>0</v>
      </c>
      <c r="AR3759" t="inlineStr">
        <is>
          <t>No</t>
        </is>
      </c>
      <c r="AS3759" t="inlineStr">
        <is>
          <t>Yes</t>
        </is>
      </c>
      <c r="AT3759">
        <f>HYPERLINK("http://catalog.hathitrust.org/Record/001370875","HathiTrust Record")</f>
        <v/>
      </c>
      <c r="AU3759">
        <f>HYPERLINK("https://creighton-primo.hosted.exlibrisgroup.com/primo-explore/search?tab=default_tab&amp;search_scope=EVERYTHING&amp;vid=01CRU&amp;lang=en_US&amp;offset=0&amp;query=any,contains,991002385369702656","Catalog Record")</f>
        <v/>
      </c>
      <c r="AV3759">
        <f>HYPERLINK("http://www.worldcat.org/oclc/31005207","WorldCat Record")</f>
        <v/>
      </c>
      <c r="AW3759" t="inlineStr">
        <is>
          <t>1590758:eng</t>
        </is>
      </c>
      <c r="AX3759" t="inlineStr">
        <is>
          <t>31005207</t>
        </is>
      </c>
      <c r="AY3759" t="inlineStr">
        <is>
          <t>991002385369702656</t>
        </is>
      </c>
      <c r="AZ3759" t="inlineStr">
        <is>
          <t>991002385369702656</t>
        </is>
      </c>
      <c r="BA3759" t="inlineStr">
        <is>
          <t>2266727140002656</t>
        </is>
      </c>
      <c r="BB3759" t="inlineStr">
        <is>
          <t>BOOK</t>
        </is>
      </c>
      <c r="BE3759" t="inlineStr">
        <is>
          <t>32285002592136</t>
        </is>
      </c>
      <c r="BF3759" t="inlineStr">
        <is>
          <t>893691556</t>
        </is>
      </c>
    </row>
    <row r="3760">
      <c r="A3760" t="inlineStr">
        <is>
          <t>No</t>
        </is>
      </c>
      <c r="B3760" t="inlineStr">
        <is>
          <t>CURAL</t>
        </is>
      </c>
      <c r="C3760" t="inlineStr">
        <is>
          <t>SHELVES</t>
        </is>
      </c>
      <c r="D3760" t="inlineStr">
        <is>
          <t>PR8711 .K4</t>
        </is>
      </c>
      <c r="E3760" t="inlineStr">
        <is>
          <t>0                      PR 8711000K  4</t>
        </is>
      </c>
      <c r="F3760" t="inlineStr">
        <is>
          <t>The voice of the Irish.</t>
        </is>
      </c>
      <c r="H3760" t="inlineStr">
        <is>
          <t>No</t>
        </is>
      </c>
      <c r="I3760" t="inlineStr">
        <is>
          <t>1</t>
        </is>
      </c>
      <c r="J3760" t="inlineStr">
        <is>
          <t>No</t>
        </is>
      </c>
      <c r="K3760" t="inlineStr">
        <is>
          <t>No</t>
        </is>
      </c>
      <c r="L3760" t="inlineStr">
        <is>
          <t>0</t>
        </is>
      </c>
      <c r="M3760" t="inlineStr">
        <is>
          <t>Kelly, Blanche Mary, 1881-1966.</t>
        </is>
      </c>
      <c r="N3760" t="inlineStr">
        <is>
          <t>New York : Sheed &amp; Ward, 1952.</t>
        </is>
      </c>
      <c r="O3760" t="inlineStr">
        <is>
          <t>1952</t>
        </is>
      </c>
      <c r="Q3760" t="inlineStr">
        <is>
          <t>eng</t>
        </is>
      </c>
      <c r="R3760" t="inlineStr">
        <is>
          <t xml:space="preserve">xx </t>
        </is>
      </c>
      <c r="T3760" t="inlineStr">
        <is>
          <t xml:space="preserve">PR </t>
        </is>
      </c>
      <c r="U3760" t="n">
        <v>3</v>
      </c>
      <c r="V3760" t="n">
        <v>3</v>
      </c>
      <c r="W3760" t="inlineStr">
        <is>
          <t>2008-03-05</t>
        </is>
      </c>
      <c r="X3760" t="inlineStr">
        <is>
          <t>2008-03-05</t>
        </is>
      </c>
      <c r="Y3760" t="inlineStr">
        <is>
          <t>1993-10-05</t>
        </is>
      </c>
      <c r="Z3760" t="inlineStr">
        <is>
          <t>1993-10-05</t>
        </is>
      </c>
      <c r="AA3760" t="n">
        <v>222</v>
      </c>
      <c r="AB3760" t="n">
        <v>206</v>
      </c>
      <c r="AC3760" t="n">
        <v>208</v>
      </c>
      <c r="AD3760" t="n">
        <v>2</v>
      </c>
      <c r="AE3760" t="n">
        <v>2</v>
      </c>
      <c r="AF3760" t="n">
        <v>21</v>
      </c>
      <c r="AG3760" t="n">
        <v>21</v>
      </c>
      <c r="AH3760" t="n">
        <v>7</v>
      </c>
      <c r="AI3760" t="n">
        <v>7</v>
      </c>
      <c r="AJ3760" t="n">
        <v>5</v>
      </c>
      <c r="AK3760" t="n">
        <v>5</v>
      </c>
      <c r="AL3760" t="n">
        <v>16</v>
      </c>
      <c r="AM3760" t="n">
        <v>16</v>
      </c>
      <c r="AN3760" t="n">
        <v>1</v>
      </c>
      <c r="AO3760" t="n">
        <v>1</v>
      </c>
      <c r="AP3760" t="n">
        <v>0</v>
      </c>
      <c r="AQ3760" t="n">
        <v>0</v>
      </c>
      <c r="AR3760" t="inlineStr">
        <is>
          <t>No</t>
        </is>
      </c>
      <c r="AS3760" t="inlineStr">
        <is>
          <t>Yes</t>
        </is>
      </c>
      <c r="AT3760">
        <f>HYPERLINK("http://catalog.hathitrust.org/Record/006665994","HathiTrust Record")</f>
        <v/>
      </c>
      <c r="AU3760">
        <f>HYPERLINK("https://creighton-primo.hosted.exlibrisgroup.com/primo-explore/search?tab=default_tab&amp;search_scope=EVERYTHING&amp;vid=01CRU&amp;lang=en_US&amp;offset=0&amp;query=any,contains,991003740909702656","Catalog Record")</f>
        <v/>
      </c>
      <c r="AV3760">
        <f>HYPERLINK("http://www.worldcat.org/oclc/1404559","WorldCat Record")</f>
        <v/>
      </c>
      <c r="AW3760" t="inlineStr">
        <is>
          <t>2257959:eng</t>
        </is>
      </c>
      <c r="AX3760" t="inlineStr">
        <is>
          <t>1404559</t>
        </is>
      </c>
      <c r="AY3760" t="inlineStr">
        <is>
          <t>991003740909702656</t>
        </is>
      </c>
      <c r="AZ3760" t="inlineStr">
        <is>
          <t>991003740909702656</t>
        </is>
      </c>
      <c r="BA3760" t="inlineStr">
        <is>
          <t>2259955280002656</t>
        </is>
      </c>
      <c r="BB3760" t="inlineStr">
        <is>
          <t>BOOK</t>
        </is>
      </c>
      <c r="BE3760" t="inlineStr">
        <is>
          <t>32285001772747</t>
        </is>
      </c>
      <c r="BF3760" t="inlineStr">
        <is>
          <t>893445821</t>
        </is>
      </c>
    </row>
    <row r="3761">
      <c r="A3761" t="inlineStr">
        <is>
          <t>No</t>
        </is>
      </c>
      <c r="B3761" t="inlineStr">
        <is>
          <t>CURAL</t>
        </is>
      </c>
      <c r="C3761" t="inlineStr">
        <is>
          <t>SHELVES</t>
        </is>
      </c>
      <c r="D3761" t="inlineStr">
        <is>
          <t>PR8711 .M3 1916</t>
        </is>
      </c>
      <c r="E3761" t="inlineStr">
        <is>
          <t>0                      PR 8711000M  3           1916</t>
        </is>
      </c>
      <c r="F3761" t="inlineStr">
        <is>
          <t>Literature in Ireland : studies Irish and Anglo-Irish / by Thomas MacDonagh.</t>
        </is>
      </c>
      <c r="H3761" t="inlineStr">
        <is>
          <t>No</t>
        </is>
      </c>
      <c r="I3761" t="inlineStr">
        <is>
          <t>1</t>
        </is>
      </c>
      <c r="J3761" t="inlineStr">
        <is>
          <t>No</t>
        </is>
      </c>
      <c r="K3761" t="inlineStr">
        <is>
          <t>No</t>
        </is>
      </c>
      <c r="L3761" t="inlineStr">
        <is>
          <t>0</t>
        </is>
      </c>
      <c r="M3761" t="inlineStr">
        <is>
          <t>MacDonagh, Thomas, 1878-1916.</t>
        </is>
      </c>
      <c r="N3761" t="inlineStr">
        <is>
          <t>New York : F. A. Stokes, 1916.</t>
        </is>
      </c>
      <c r="O3761" t="inlineStr">
        <is>
          <t>1916</t>
        </is>
      </c>
      <c r="Q3761" t="inlineStr">
        <is>
          <t>eng</t>
        </is>
      </c>
      <c r="R3761" t="inlineStr">
        <is>
          <t>enk</t>
        </is>
      </c>
      <c r="T3761" t="inlineStr">
        <is>
          <t xml:space="preserve">PR </t>
        </is>
      </c>
      <c r="U3761" t="n">
        <v>3</v>
      </c>
      <c r="V3761" t="n">
        <v>3</v>
      </c>
      <c r="W3761" t="inlineStr">
        <is>
          <t>2004-12-15</t>
        </is>
      </c>
      <c r="X3761" t="inlineStr">
        <is>
          <t>2004-12-15</t>
        </is>
      </c>
      <c r="Y3761" t="inlineStr">
        <is>
          <t>1997-04-25</t>
        </is>
      </c>
      <c r="Z3761" t="inlineStr">
        <is>
          <t>1997-04-25</t>
        </is>
      </c>
      <c r="AA3761" t="n">
        <v>104</v>
      </c>
      <c r="AB3761" t="n">
        <v>91</v>
      </c>
      <c r="AC3761" t="n">
        <v>285</v>
      </c>
      <c r="AD3761" t="n">
        <v>2</v>
      </c>
      <c r="AE3761" t="n">
        <v>3</v>
      </c>
      <c r="AF3761" t="n">
        <v>11</v>
      </c>
      <c r="AG3761" t="n">
        <v>24</v>
      </c>
      <c r="AH3761" t="n">
        <v>3</v>
      </c>
      <c r="AI3761" t="n">
        <v>8</v>
      </c>
      <c r="AJ3761" t="n">
        <v>2</v>
      </c>
      <c r="AK3761" t="n">
        <v>5</v>
      </c>
      <c r="AL3761" t="n">
        <v>9</v>
      </c>
      <c r="AM3761" t="n">
        <v>15</v>
      </c>
      <c r="AN3761" t="n">
        <v>1</v>
      </c>
      <c r="AO3761" t="n">
        <v>2</v>
      </c>
      <c r="AP3761" t="n">
        <v>0</v>
      </c>
      <c r="AQ3761" t="n">
        <v>0</v>
      </c>
      <c r="AR3761" t="inlineStr">
        <is>
          <t>Yes</t>
        </is>
      </c>
      <c r="AS3761" t="inlineStr">
        <is>
          <t>No</t>
        </is>
      </c>
      <c r="AT3761">
        <f>HYPERLINK("http://catalog.hathitrust.org/Record/006561388","HathiTrust Record")</f>
        <v/>
      </c>
      <c r="AU3761">
        <f>HYPERLINK("https://creighton-primo.hosted.exlibrisgroup.com/primo-explore/search?tab=default_tab&amp;search_scope=EVERYTHING&amp;vid=01CRU&amp;lang=en_US&amp;offset=0&amp;query=any,contains,991004634319702656","Catalog Record")</f>
        <v/>
      </c>
      <c r="AV3761">
        <f>HYPERLINK("http://www.worldcat.org/oclc/4396290","WorldCat Record")</f>
        <v/>
      </c>
      <c r="AW3761" t="inlineStr">
        <is>
          <t>1176476:eng</t>
        </is>
      </c>
      <c r="AX3761" t="inlineStr">
        <is>
          <t>4396290</t>
        </is>
      </c>
      <c r="AY3761" t="inlineStr">
        <is>
          <t>991004634319702656</t>
        </is>
      </c>
      <c r="AZ3761" t="inlineStr">
        <is>
          <t>991004634319702656</t>
        </is>
      </c>
      <c r="BA3761" t="inlineStr">
        <is>
          <t>2263123650002656</t>
        </is>
      </c>
      <c r="BB3761" t="inlineStr">
        <is>
          <t>BOOK</t>
        </is>
      </c>
      <c r="BE3761" t="inlineStr">
        <is>
          <t>32285002592144</t>
        </is>
      </c>
      <c r="BF3761" t="inlineStr">
        <is>
          <t>893876347</t>
        </is>
      </c>
    </row>
    <row r="3762">
      <c r="A3762" t="inlineStr">
        <is>
          <t>No</t>
        </is>
      </c>
      <c r="B3762" t="inlineStr">
        <is>
          <t>CURAL</t>
        </is>
      </c>
      <c r="C3762" t="inlineStr">
        <is>
          <t>SHELVES</t>
        </is>
      </c>
      <c r="D3762" t="inlineStr">
        <is>
          <t>PR8711 .M33 1985</t>
        </is>
      </c>
      <c r="E3762" t="inlineStr">
        <is>
          <t>0                      PR 8711000M  33          1985</t>
        </is>
      </c>
      <c r="F3762" t="inlineStr">
        <is>
          <t>Ascendancy and tradition in Anglo-Irish literary history from 1789 to 1939 / W.J. McCormack.</t>
        </is>
      </c>
      <c r="H3762" t="inlineStr">
        <is>
          <t>No</t>
        </is>
      </c>
      <c r="I3762" t="inlineStr">
        <is>
          <t>1</t>
        </is>
      </c>
      <c r="J3762" t="inlineStr">
        <is>
          <t>No</t>
        </is>
      </c>
      <c r="K3762" t="inlineStr">
        <is>
          <t>No</t>
        </is>
      </c>
      <c r="L3762" t="inlineStr">
        <is>
          <t>0</t>
        </is>
      </c>
      <c r="M3762" t="inlineStr">
        <is>
          <t>McCormack, W. J.</t>
        </is>
      </c>
      <c r="N3762" t="inlineStr">
        <is>
          <t>Oxford [Oxfordshire] : Clarendon Press ; New York : Oxford University Press, c1985.</t>
        </is>
      </c>
      <c r="O3762" t="inlineStr">
        <is>
          <t>1985</t>
        </is>
      </c>
      <c r="Q3762" t="inlineStr">
        <is>
          <t>eng</t>
        </is>
      </c>
      <c r="R3762" t="inlineStr">
        <is>
          <t>enk</t>
        </is>
      </c>
      <c r="T3762" t="inlineStr">
        <is>
          <t xml:space="preserve">PR </t>
        </is>
      </c>
      <c r="U3762" t="n">
        <v>10</v>
      </c>
      <c r="V3762" t="n">
        <v>10</v>
      </c>
      <c r="W3762" t="inlineStr">
        <is>
          <t>2007-10-29</t>
        </is>
      </c>
      <c r="X3762" t="inlineStr">
        <is>
          <t>2007-10-29</t>
        </is>
      </c>
      <c r="Y3762" t="inlineStr">
        <is>
          <t>1992-03-20</t>
        </is>
      </c>
      <c r="Z3762" t="inlineStr">
        <is>
          <t>1992-03-20</t>
        </is>
      </c>
      <c r="AA3762" t="n">
        <v>515</v>
      </c>
      <c r="AB3762" t="n">
        <v>402</v>
      </c>
      <c r="AC3762" t="n">
        <v>431</v>
      </c>
      <c r="AD3762" t="n">
        <v>3</v>
      </c>
      <c r="AE3762" t="n">
        <v>3</v>
      </c>
      <c r="AF3762" t="n">
        <v>22</v>
      </c>
      <c r="AG3762" t="n">
        <v>23</v>
      </c>
      <c r="AH3762" t="n">
        <v>6</v>
      </c>
      <c r="AI3762" t="n">
        <v>6</v>
      </c>
      <c r="AJ3762" t="n">
        <v>8</v>
      </c>
      <c r="AK3762" t="n">
        <v>9</v>
      </c>
      <c r="AL3762" t="n">
        <v>13</v>
      </c>
      <c r="AM3762" t="n">
        <v>13</v>
      </c>
      <c r="AN3762" t="n">
        <v>2</v>
      </c>
      <c r="AO3762" t="n">
        <v>2</v>
      </c>
      <c r="AP3762" t="n">
        <v>0</v>
      </c>
      <c r="AQ3762" t="n">
        <v>0</v>
      </c>
      <c r="AR3762" t="inlineStr">
        <is>
          <t>No</t>
        </is>
      </c>
      <c r="AS3762" t="inlineStr">
        <is>
          <t>Yes</t>
        </is>
      </c>
      <c r="AT3762">
        <f>HYPERLINK("http://catalog.hathitrust.org/Record/000609953","HathiTrust Record")</f>
        <v/>
      </c>
      <c r="AU3762">
        <f>HYPERLINK("https://creighton-primo.hosted.exlibrisgroup.com/primo-explore/search?tab=default_tab&amp;search_scope=EVERYTHING&amp;vid=01CRU&amp;lang=en_US&amp;offset=0&amp;query=any,contains,991000555069702656","Catalog Record")</f>
        <v/>
      </c>
      <c r="AV3762">
        <f>HYPERLINK("http://www.worldcat.org/oclc/11550417","WorldCat Record")</f>
        <v/>
      </c>
      <c r="AW3762" t="inlineStr">
        <is>
          <t>9657252070:eng</t>
        </is>
      </c>
      <c r="AX3762" t="inlineStr">
        <is>
          <t>11550417</t>
        </is>
      </c>
      <c r="AY3762" t="inlineStr">
        <is>
          <t>991000555069702656</t>
        </is>
      </c>
      <c r="AZ3762" t="inlineStr">
        <is>
          <t>991000555069702656</t>
        </is>
      </c>
      <c r="BA3762" t="inlineStr">
        <is>
          <t>2259954400002656</t>
        </is>
      </c>
      <c r="BB3762" t="inlineStr">
        <is>
          <t>BOOK</t>
        </is>
      </c>
      <c r="BD3762" t="inlineStr">
        <is>
          <t>9780198128069</t>
        </is>
      </c>
      <c r="BE3762" t="inlineStr">
        <is>
          <t>32285001025526</t>
        </is>
      </c>
      <c r="BF3762" t="inlineStr">
        <is>
          <t>893903057</t>
        </is>
      </c>
    </row>
    <row r="3763">
      <c r="A3763" t="inlineStr">
        <is>
          <t>No</t>
        </is>
      </c>
      <c r="B3763" t="inlineStr">
        <is>
          <t>CURAL</t>
        </is>
      </c>
      <c r="C3763" t="inlineStr">
        <is>
          <t>SHELVES</t>
        </is>
      </c>
      <c r="D3763" t="inlineStr">
        <is>
          <t>PR8711 .M335 1993</t>
        </is>
      </c>
      <c r="E3763" t="inlineStr">
        <is>
          <t>0                      PR 8711000M  335         1993</t>
        </is>
      </c>
      <c r="F3763" t="inlineStr">
        <is>
          <t>Dissolute characters : Irish literary history through Balzac, Sheridan Le Fanu, Yeats, and Bowen / W.J. McCormack.</t>
        </is>
      </c>
      <c r="H3763" t="inlineStr">
        <is>
          <t>No</t>
        </is>
      </c>
      <c r="I3763" t="inlineStr">
        <is>
          <t>1</t>
        </is>
      </c>
      <c r="J3763" t="inlineStr">
        <is>
          <t>No</t>
        </is>
      </c>
      <c r="K3763" t="inlineStr">
        <is>
          <t>No</t>
        </is>
      </c>
      <c r="L3763" t="inlineStr">
        <is>
          <t>0</t>
        </is>
      </c>
      <c r="M3763" t="inlineStr">
        <is>
          <t>McCormack, W. J.</t>
        </is>
      </c>
      <c r="N3763" t="inlineStr">
        <is>
          <t>Manchester ; New York : Manchester University Press ; New York : Distributed exclusively in the USA and Canada by St. Martin's Press, c1993.</t>
        </is>
      </c>
      <c r="O3763" t="inlineStr">
        <is>
          <t>1993</t>
        </is>
      </c>
      <c r="Q3763" t="inlineStr">
        <is>
          <t>eng</t>
        </is>
      </c>
      <c r="R3763" t="inlineStr">
        <is>
          <t>enk</t>
        </is>
      </c>
      <c r="T3763" t="inlineStr">
        <is>
          <t xml:space="preserve">PR </t>
        </is>
      </c>
      <c r="U3763" t="n">
        <v>7</v>
      </c>
      <c r="V3763" t="n">
        <v>7</v>
      </c>
      <c r="W3763" t="inlineStr">
        <is>
          <t>2007-10-29</t>
        </is>
      </c>
      <c r="X3763" t="inlineStr">
        <is>
          <t>2007-10-29</t>
        </is>
      </c>
      <c r="Y3763" t="inlineStr">
        <is>
          <t>1993-11-02</t>
        </is>
      </c>
      <c r="Z3763" t="inlineStr">
        <is>
          <t>1993-11-02</t>
        </is>
      </c>
      <c r="AA3763" t="n">
        <v>253</v>
      </c>
      <c r="AB3763" t="n">
        <v>174</v>
      </c>
      <c r="AC3763" t="n">
        <v>189</v>
      </c>
      <c r="AD3763" t="n">
        <v>2</v>
      </c>
      <c r="AE3763" t="n">
        <v>2</v>
      </c>
      <c r="AF3763" t="n">
        <v>10</v>
      </c>
      <c r="AG3763" t="n">
        <v>10</v>
      </c>
      <c r="AH3763" t="n">
        <v>1</v>
      </c>
      <c r="AI3763" t="n">
        <v>1</v>
      </c>
      <c r="AJ3763" t="n">
        <v>5</v>
      </c>
      <c r="AK3763" t="n">
        <v>5</v>
      </c>
      <c r="AL3763" t="n">
        <v>6</v>
      </c>
      <c r="AM3763" t="n">
        <v>6</v>
      </c>
      <c r="AN3763" t="n">
        <v>1</v>
      </c>
      <c r="AO3763" t="n">
        <v>1</v>
      </c>
      <c r="AP3763" t="n">
        <v>0</v>
      </c>
      <c r="AQ3763" t="n">
        <v>0</v>
      </c>
      <c r="AR3763" t="inlineStr">
        <is>
          <t>No</t>
        </is>
      </c>
      <c r="AS3763" t="inlineStr">
        <is>
          <t>Yes</t>
        </is>
      </c>
      <c r="AT3763">
        <f>HYPERLINK("http://catalog.hathitrust.org/Record/002736516","HathiTrust Record")</f>
        <v/>
      </c>
      <c r="AU3763">
        <f>HYPERLINK("https://creighton-primo.hosted.exlibrisgroup.com/primo-explore/search?tab=default_tab&amp;search_scope=EVERYTHING&amp;vid=01CRU&amp;lang=en_US&amp;offset=0&amp;query=any,contains,991002088319702656","Catalog Record")</f>
        <v/>
      </c>
      <c r="AV3763">
        <f>HYPERLINK("http://www.worldcat.org/oclc/26801360","WorldCat Record")</f>
        <v/>
      </c>
      <c r="AW3763" t="inlineStr">
        <is>
          <t>836842614:eng</t>
        </is>
      </c>
      <c r="AX3763" t="inlineStr">
        <is>
          <t>26801360</t>
        </is>
      </c>
      <c r="AY3763" t="inlineStr">
        <is>
          <t>991002088319702656</t>
        </is>
      </c>
      <c r="AZ3763" t="inlineStr">
        <is>
          <t>991002088319702656</t>
        </is>
      </c>
      <c r="BA3763" t="inlineStr">
        <is>
          <t>2263845470002656</t>
        </is>
      </c>
      <c r="BB3763" t="inlineStr">
        <is>
          <t>BOOK</t>
        </is>
      </c>
      <c r="BD3763" t="inlineStr">
        <is>
          <t>9780719039621</t>
        </is>
      </c>
      <c r="BE3763" t="inlineStr">
        <is>
          <t>32285001810018</t>
        </is>
      </c>
      <c r="BF3763" t="inlineStr">
        <is>
          <t>893804209</t>
        </is>
      </c>
    </row>
    <row r="3764">
      <c r="A3764" t="inlineStr">
        <is>
          <t>No</t>
        </is>
      </c>
      <c r="B3764" t="inlineStr">
        <is>
          <t>CURAL</t>
        </is>
      </c>
      <c r="C3764" t="inlineStr">
        <is>
          <t>SHELVES</t>
        </is>
      </c>
      <c r="D3764" t="inlineStr">
        <is>
          <t>PR8711 .M35 1982</t>
        </is>
      </c>
      <c r="E3764" t="inlineStr">
        <is>
          <t>0                      PR 8711000M  35          1982</t>
        </is>
      </c>
      <c r="F3764" t="inlineStr">
        <is>
          <t>Short history of Anglo-Irish literature from its origins to the present day / Roger McHugh and Maurice Harmon.</t>
        </is>
      </c>
      <c r="H3764" t="inlineStr">
        <is>
          <t>No</t>
        </is>
      </c>
      <c r="I3764" t="inlineStr">
        <is>
          <t>1</t>
        </is>
      </c>
      <c r="J3764" t="inlineStr">
        <is>
          <t>No</t>
        </is>
      </c>
      <c r="K3764" t="inlineStr">
        <is>
          <t>No</t>
        </is>
      </c>
      <c r="L3764" t="inlineStr">
        <is>
          <t>0</t>
        </is>
      </c>
      <c r="M3764" t="inlineStr">
        <is>
          <t>McHugh, Roger Joseph.</t>
        </is>
      </c>
      <c r="N3764" t="inlineStr">
        <is>
          <t>Totowa, N.J. : Barnes &amp; Noble Books, 1982.</t>
        </is>
      </c>
      <c r="O3764" t="inlineStr">
        <is>
          <t>1982</t>
        </is>
      </c>
      <c r="Q3764" t="inlineStr">
        <is>
          <t>eng</t>
        </is>
      </c>
      <c r="R3764" t="inlineStr">
        <is>
          <t>nju</t>
        </is>
      </c>
      <c r="T3764" t="inlineStr">
        <is>
          <t xml:space="preserve">PR </t>
        </is>
      </c>
      <c r="U3764" t="n">
        <v>13</v>
      </c>
      <c r="V3764" t="n">
        <v>13</v>
      </c>
      <c r="W3764" t="inlineStr">
        <is>
          <t>2007-10-29</t>
        </is>
      </c>
      <c r="X3764" t="inlineStr">
        <is>
          <t>2007-10-29</t>
        </is>
      </c>
      <c r="Y3764" t="inlineStr">
        <is>
          <t>1992-08-14</t>
        </is>
      </c>
      <c r="Z3764" t="inlineStr">
        <is>
          <t>1992-08-14</t>
        </is>
      </c>
      <c r="AA3764" t="n">
        <v>361</v>
      </c>
      <c r="AB3764" t="n">
        <v>327</v>
      </c>
      <c r="AC3764" t="n">
        <v>405</v>
      </c>
      <c r="AD3764" t="n">
        <v>3</v>
      </c>
      <c r="AE3764" t="n">
        <v>4</v>
      </c>
      <c r="AF3764" t="n">
        <v>20</v>
      </c>
      <c r="AG3764" t="n">
        <v>24</v>
      </c>
      <c r="AH3764" t="n">
        <v>7</v>
      </c>
      <c r="AI3764" t="n">
        <v>8</v>
      </c>
      <c r="AJ3764" t="n">
        <v>8</v>
      </c>
      <c r="AK3764" t="n">
        <v>9</v>
      </c>
      <c r="AL3764" t="n">
        <v>9</v>
      </c>
      <c r="AM3764" t="n">
        <v>12</v>
      </c>
      <c r="AN3764" t="n">
        <v>2</v>
      </c>
      <c r="AO3764" t="n">
        <v>3</v>
      </c>
      <c r="AP3764" t="n">
        <v>0</v>
      </c>
      <c r="AQ3764" t="n">
        <v>0</v>
      </c>
      <c r="AR3764" t="inlineStr">
        <is>
          <t>No</t>
        </is>
      </c>
      <c r="AS3764" t="inlineStr">
        <is>
          <t>No</t>
        </is>
      </c>
      <c r="AU3764">
        <f>HYPERLINK("https://creighton-primo.hosted.exlibrisgroup.com/primo-explore/search?tab=default_tab&amp;search_scope=EVERYTHING&amp;vid=01CRU&amp;lang=en_US&amp;offset=0&amp;query=any,contains,991005249429702656","Catalog Record")</f>
        <v/>
      </c>
      <c r="AV3764">
        <f>HYPERLINK("http://www.worldcat.org/oclc/8476396","WorldCat Record")</f>
        <v/>
      </c>
      <c r="AW3764" t="inlineStr">
        <is>
          <t>31801259:eng</t>
        </is>
      </c>
      <c r="AX3764" t="inlineStr">
        <is>
          <t>8476396</t>
        </is>
      </c>
      <c r="AY3764" t="inlineStr">
        <is>
          <t>991005249429702656</t>
        </is>
      </c>
      <c r="AZ3764" t="inlineStr">
        <is>
          <t>991005249429702656</t>
        </is>
      </c>
      <c r="BA3764" t="inlineStr">
        <is>
          <t>2257630530002656</t>
        </is>
      </c>
      <c r="BB3764" t="inlineStr">
        <is>
          <t>BOOK</t>
        </is>
      </c>
      <c r="BD3764" t="inlineStr">
        <is>
          <t>9780389203162</t>
        </is>
      </c>
      <c r="BE3764" t="inlineStr">
        <is>
          <t>32285001245108</t>
        </is>
      </c>
      <c r="BF3764" t="inlineStr">
        <is>
          <t>893507848</t>
        </is>
      </c>
    </row>
    <row r="3765">
      <c r="A3765" t="inlineStr">
        <is>
          <t>No</t>
        </is>
      </c>
      <c r="B3765" t="inlineStr">
        <is>
          <t>CURAL</t>
        </is>
      </c>
      <c r="C3765" t="inlineStr">
        <is>
          <t>SHELVES</t>
        </is>
      </c>
      <c r="D3765" t="inlineStr">
        <is>
          <t>PR8711 .V3 1990</t>
        </is>
      </c>
      <c r="E3765" t="inlineStr">
        <is>
          <t>0                      PR 8711000V  3           1990</t>
        </is>
      </c>
      <c r="F3765" t="inlineStr">
        <is>
          <t>Irish literature : a social history : tradition, identity and difference / Norman Vance.</t>
        </is>
      </c>
      <c r="H3765" t="inlineStr">
        <is>
          <t>No</t>
        </is>
      </c>
      <c r="I3765" t="inlineStr">
        <is>
          <t>1</t>
        </is>
      </c>
      <c r="J3765" t="inlineStr">
        <is>
          <t>No</t>
        </is>
      </c>
      <c r="K3765" t="inlineStr">
        <is>
          <t>Yes</t>
        </is>
      </c>
      <c r="L3765" t="inlineStr">
        <is>
          <t>0</t>
        </is>
      </c>
      <c r="M3765" t="inlineStr">
        <is>
          <t>Vance, Norman, 1950-</t>
        </is>
      </c>
      <c r="N3765" t="inlineStr">
        <is>
          <t>Oxford, UK ; Cambridge, Mass., USA : B. Blackwell, 1990.</t>
        </is>
      </c>
      <c r="O3765" t="inlineStr">
        <is>
          <t>1990</t>
        </is>
      </c>
      <c r="Q3765" t="inlineStr">
        <is>
          <t>eng</t>
        </is>
      </c>
      <c r="R3765" t="inlineStr">
        <is>
          <t>enk</t>
        </is>
      </c>
      <c r="T3765" t="inlineStr">
        <is>
          <t xml:space="preserve">PR </t>
        </is>
      </c>
      <c r="U3765" t="n">
        <v>10</v>
      </c>
      <c r="V3765" t="n">
        <v>10</v>
      </c>
      <c r="W3765" t="inlineStr">
        <is>
          <t>2003-02-01</t>
        </is>
      </c>
      <c r="X3765" t="inlineStr">
        <is>
          <t>2003-02-01</t>
        </is>
      </c>
      <c r="Y3765" t="inlineStr">
        <is>
          <t>1990-11-27</t>
        </is>
      </c>
      <c r="Z3765" t="inlineStr">
        <is>
          <t>1990-11-27</t>
        </is>
      </c>
      <c r="AA3765" t="n">
        <v>517</v>
      </c>
      <c r="AB3765" t="n">
        <v>371</v>
      </c>
      <c r="AC3765" t="n">
        <v>436</v>
      </c>
      <c r="AD3765" t="n">
        <v>5</v>
      </c>
      <c r="AE3765" t="n">
        <v>6</v>
      </c>
      <c r="AF3765" t="n">
        <v>25</v>
      </c>
      <c r="AG3765" t="n">
        <v>33</v>
      </c>
      <c r="AH3765" t="n">
        <v>10</v>
      </c>
      <c r="AI3765" t="n">
        <v>14</v>
      </c>
      <c r="AJ3765" t="n">
        <v>4</v>
      </c>
      <c r="AK3765" t="n">
        <v>7</v>
      </c>
      <c r="AL3765" t="n">
        <v>13</v>
      </c>
      <c r="AM3765" t="n">
        <v>15</v>
      </c>
      <c r="AN3765" t="n">
        <v>4</v>
      </c>
      <c r="AO3765" t="n">
        <v>5</v>
      </c>
      <c r="AP3765" t="n">
        <v>0</v>
      </c>
      <c r="AQ3765" t="n">
        <v>0</v>
      </c>
      <c r="AR3765" t="inlineStr">
        <is>
          <t>No</t>
        </is>
      </c>
      <c r="AS3765" t="inlineStr">
        <is>
          <t>No</t>
        </is>
      </c>
      <c r="AU3765">
        <f>HYPERLINK("https://creighton-primo.hosted.exlibrisgroup.com/primo-explore/search?tab=default_tab&amp;search_scope=EVERYTHING&amp;vid=01CRU&amp;lang=en_US&amp;offset=0&amp;query=any,contains,991001677119702656","Catalog Record")</f>
        <v/>
      </c>
      <c r="AV3765">
        <f>HYPERLINK("http://www.worldcat.org/oclc/21333265","WorldCat Record")</f>
        <v/>
      </c>
      <c r="AW3765" t="inlineStr">
        <is>
          <t>836885887:eng</t>
        </is>
      </c>
      <c r="AX3765" t="inlineStr">
        <is>
          <t>21333265</t>
        </is>
      </c>
      <c r="AY3765" t="inlineStr">
        <is>
          <t>991001677119702656</t>
        </is>
      </c>
      <c r="AZ3765" t="inlineStr">
        <is>
          <t>991001677119702656</t>
        </is>
      </c>
      <c r="BA3765" t="inlineStr">
        <is>
          <t>2262464290002656</t>
        </is>
      </c>
      <c r="BB3765" t="inlineStr">
        <is>
          <t>BOOK</t>
        </is>
      </c>
      <c r="BD3765" t="inlineStr">
        <is>
          <t>9780631156291</t>
        </is>
      </c>
      <c r="BE3765" t="inlineStr">
        <is>
          <t>32285000357433</t>
        </is>
      </c>
      <c r="BF3765" t="inlineStr">
        <is>
          <t>893226021</t>
        </is>
      </c>
    </row>
    <row r="3766">
      <c r="A3766" t="inlineStr">
        <is>
          <t>No</t>
        </is>
      </c>
      <c r="B3766" t="inlineStr">
        <is>
          <t>CURAL</t>
        </is>
      </c>
      <c r="C3766" t="inlineStr">
        <is>
          <t>SHELVES</t>
        </is>
      </c>
      <c r="D3766" t="inlineStr">
        <is>
          <t>PR8711 .W3</t>
        </is>
      </c>
      <c r="E3766" t="inlineStr">
        <is>
          <t>0                      PR 8711000W  3</t>
        </is>
      </c>
      <c r="F3766" t="inlineStr">
        <is>
          <t>A guide to Anglo-Irish literature / by Alan Warner.</t>
        </is>
      </c>
      <c r="H3766" t="inlineStr">
        <is>
          <t>No</t>
        </is>
      </c>
      <c r="I3766" t="inlineStr">
        <is>
          <t>1</t>
        </is>
      </c>
      <c r="J3766" t="inlineStr">
        <is>
          <t>No</t>
        </is>
      </c>
      <c r="K3766" t="inlineStr">
        <is>
          <t>No</t>
        </is>
      </c>
      <c r="L3766" t="inlineStr">
        <is>
          <t>0</t>
        </is>
      </c>
      <c r="M3766" t="inlineStr">
        <is>
          <t>Warner, Alan.</t>
        </is>
      </c>
      <c r="N3766" t="inlineStr">
        <is>
          <t>Dublin : Gill and Macmillan ; New York : St. Martin's Press, 1981.</t>
        </is>
      </c>
      <c r="O3766" t="inlineStr">
        <is>
          <t>1981</t>
        </is>
      </c>
      <c r="Q3766" t="inlineStr">
        <is>
          <t>eng</t>
        </is>
      </c>
      <c r="R3766" t="inlineStr">
        <is>
          <t>nik</t>
        </is>
      </c>
      <c r="T3766" t="inlineStr">
        <is>
          <t xml:space="preserve">PR </t>
        </is>
      </c>
      <c r="U3766" t="n">
        <v>3</v>
      </c>
      <c r="V3766" t="n">
        <v>3</v>
      </c>
      <c r="W3766" t="inlineStr">
        <is>
          <t>2003-11-09</t>
        </is>
      </c>
      <c r="X3766" t="inlineStr">
        <is>
          <t>2003-11-09</t>
        </is>
      </c>
      <c r="Y3766" t="inlineStr">
        <is>
          <t>1992-08-14</t>
        </is>
      </c>
      <c r="Z3766" t="inlineStr">
        <is>
          <t>1992-08-14</t>
        </is>
      </c>
      <c r="AA3766" t="n">
        <v>417</v>
      </c>
      <c r="AB3766" t="n">
        <v>295</v>
      </c>
      <c r="AC3766" t="n">
        <v>301</v>
      </c>
      <c r="AD3766" t="n">
        <v>4</v>
      </c>
      <c r="AE3766" t="n">
        <v>4</v>
      </c>
      <c r="AF3766" t="n">
        <v>19</v>
      </c>
      <c r="AG3766" t="n">
        <v>19</v>
      </c>
      <c r="AH3766" t="n">
        <v>7</v>
      </c>
      <c r="AI3766" t="n">
        <v>7</v>
      </c>
      <c r="AJ3766" t="n">
        <v>5</v>
      </c>
      <c r="AK3766" t="n">
        <v>5</v>
      </c>
      <c r="AL3766" t="n">
        <v>9</v>
      </c>
      <c r="AM3766" t="n">
        <v>9</v>
      </c>
      <c r="AN3766" t="n">
        <v>3</v>
      </c>
      <c r="AO3766" t="n">
        <v>3</v>
      </c>
      <c r="AP3766" t="n">
        <v>0</v>
      </c>
      <c r="AQ3766" t="n">
        <v>0</v>
      </c>
      <c r="AR3766" t="inlineStr">
        <is>
          <t>No</t>
        </is>
      </c>
      <c r="AS3766" t="inlineStr">
        <is>
          <t>Yes</t>
        </is>
      </c>
      <c r="AT3766">
        <f>HYPERLINK("http://catalog.hathitrust.org/Record/000760764","HathiTrust Record")</f>
        <v/>
      </c>
      <c r="AU3766">
        <f>HYPERLINK("https://creighton-primo.hosted.exlibrisgroup.com/primo-explore/search?tab=default_tab&amp;search_scope=EVERYTHING&amp;vid=01CRU&amp;lang=en_US&amp;offset=0&amp;query=any,contains,991005228079702656","Catalog Record")</f>
        <v/>
      </c>
      <c r="AV3766">
        <f>HYPERLINK("http://www.worldcat.org/oclc/8287329","WorldCat Record")</f>
        <v/>
      </c>
      <c r="AW3766" t="inlineStr">
        <is>
          <t>147306187:eng</t>
        </is>
      </c>
      <c r="AX3766" t="inlineStr">
        <is>
          <t>8287329</t>
        </is>
      </c>
      <c r="AY3766" t="inlineStr">
        <is>
          <t>991005228079702656</t>
        </is>
      </c>
      <c r="AZ3766" t="inlineStr">
        <is>
          <t>991005228079702656</t>
        </is>
      </c>
      <c r="BA3766" t="inlineStr">
        <is>
          <t>2264328710002656</t>
        </is>
      </c>
      <c r="BB3766" t="inlineStr">
        <is>
          <t>BOOK</t>
        </is>
      </c>
      <c r="BD3766" t="inlineStr">
        <is>
          <t>9780312352905</t>
        </is>
      </c>
      <c r="BE3766" t="inlineStr">
        <is>
          <t>32285001245116</t>
        </is>
      </c>
      <c r="BF3766" t="inlineStr">
        <is>
          <t>893514268</t>
        </is>
      </c>
    </row>
    <row r="3767">
      <c r="A3767" t="inlineStr">
        <is>
          <t>No</t>
        </is>
      </c>
      <c r="B3767" t="inlineStr">
        <is>
          <t>CURAL</t>
        </is>
      </c>
      <c r="C3767" t="inlineStr">
        <is>
          <t>SHELVES</t>
        </is>
      </c>
      <c r="D3767" t="inlineStr">
        <is>
          <t>PR8712 .A5</t>
        </is>
      </c>
      <c r="E3767" t="inlineStr">
        <is>
          <t>0                      PR 8712000A  5</t>
        </is>
      </c>
      <c r="F3767" t="inlineStr">
        <is>
          <t>Anglo-Irish literature : a review of research / edited by Richard J. Finneran.</t>
        </is>
      </c>
      <c r="H3767" t="inlineStr">
        <is>
          <t>No</t>
        </is>
      </c>
      <c r="I3767" t="inlineStr">
        <is>
          <t>1</t>
        </is>
      </c>
      <c r="J3767" t="inlineStr">
        <is>
          <t>No</t>
        </is>
      </c>
      <c r="K3767" t="inlineStr">
        <is>
          <t>No</t>
        </is>
      </c>
      <c r="L3767" t="inlineStr">
        <is>
          <t>0</t>
        </is>
      </c>
      <c r="N3767" t="inlineStr">
        <is>
          <t>New York : Modern Language Association of America, 1976.</t>
        </is>
      </c>
      <c r="O3767" t="inlineStr">
        <is>
          <t>1976</t>
        </is>
      </c>
      <c r="Q3767" t="inlineStr">
        <is>
          <t>eng</t>
        </is>
      </c>
      <c r="R3767" t="inlineStr">
        <is>
          <t>nyu</t>
        </is>
      </c>
      <c r="T3767" t="inlineStr">
        <is>
          <t xml:space="preserve">PR </t>
        </is>
      </c>
      <c r="U3767" t="n">
        <v>2</v>
      </c>
      <c r="V3767" t="n">
        <v>2</v>
      </c>
      <c r="W3767" t="inlineStr">
        <is>
          <t>2003-10-26</t>
        </is>
      </c>
      <c r="X3767" t="inlineStr">
        <is>
          <t>2003-10-26</t>
        </is>
      </c>
      <c r="Y3767" t="inlineStr">
        <is>
          <t>1997-04-25</t>
        </is>
      </c>
      <c r="Z3767" t="inlineStr">
        <is>
          <t>1997-04-25</t>
        </is>
      </c>
      <c r="AA3767" t="n">
        <v>857</v>
      </c>
      <c r="AB3767" t="n">
        <v>711</v>
      </c>
      <c r="AC3767" t="n">
        <v>711</v>
      </c>
      <c r="AD3767" t="n">
        <v>6</v>
      </c>
      <c r="AE3767" t="n">
        <v>6</v>
      </c>
      <c r="AF3767" t="n">
        <v>39</v>
      </c>
      <c r="AG3767" t="n">
        <v>39</v>
      </c>
      <c r="AH3767" t="n">
        <v>17</v>
      </c>
      <c r="AI3767" t="n">
        <v>17</v>
      </c>
      <c r="AJ3767" t="n">
        <v>10</v>
      </c>
      <c r="AK3767" t="n">
        <v>10</v>
      </c>
      <c r="AL3767" t="n">
        <v>18</v>
      </c>
      <c r="AM3767" t="n">
        <v>18</v>
      </c>
      <c r="AN3767" t="n">
        <v>5</v>
      </c>
      <c r="AO3767" t="n">
        <v>5</v>
      </c>
      <c r="AP3767" t="n">
        <v>0</v>
      </c>
      <c r="AQ3767" t="n">
        <v>0</v>
      </c>
      <c r="AR3767" t="inlineStr">
        <is>
          <t>No</t>
        </is>
      </c>
      <c r="AS3767" t="inlineStr">
        <is>
          <t>No</t>
        </is>
      </c>
      <c r="AU3767">
        <f>HYPERLINK("https://creighton-primo.hosted.exlibrisgroup.com/primo-explore/search?tab=default_tab&amp;search_scope=EVERYTHING&amp;vid=01CRU&amp;lang=en_US&amp;offset=0&amp;query=any,contains,991004231549702656","Catalog Record")</f>
        <v/>
      </c>
      <c r="AV3767">
        <f>HYPERLINK("http://www.worldcat.org/oclc/2748388","WorldCat Record")</f>
        <v/>
      </c>
      <c r="AW3767" t="inlineStr">
        <is>
          <t>909672585:eng</t>
        </is>
      </c>
      <c r="AX3767" t="inlineStr">
        <is>
          <t>2748388</t>
        </is>
      </c>
      <c r="AY3767" t="inlineStr">
        <is>
          <t>991004231549702656</t>
        </is>
      </c>
      <c r="AZ3767" t="inlineStr">
        <is>
          <t>991004231549702656</t>
        </is>
      </c>
      <c r="BA3767" t="inlineStr">
        <is>
          <t>2257920710002656</t>
        </is>
      </c>
      <c r="BB3767" t="inlineStr">
        <is>
          <t>BOOK</t>
        </is>
      </c>
      <c r="BD3767" t="inlineStr">
        <is>
          <t>9780873522526</t>
        </is>
      </c>
      <c r="BE3767" t="inlineStr">
        <is>
          <t>32285002592169</t>
        </is>
      </c>
      <c r="BF3767" t="inlineStr">
        <is>
          <t>893712304</t>
        </is>
      </c>
    </row>
    <row r="3768">
      <c r="A3768" t="inlineStr">
        <is>
          <t>No</t>
        </is>
      </c>
      <c r="B3768" t="inlineStr">
        <is>
          <t>CURAL</t>
        </is>
      </c>
      <c r="C3768" t="inlineStr">
        <is>
          <t>SHELVES</t>
        </is>
      </c>
      <c r="D3768" t="inlineStr">
        <is>
          <t>PR8712 .R4 1983</t>
        </is>
      </c>
      <c r="E3768" t="inlineStr">
        <is>
          <t>0                      PR 8712000R  4           1983</t>
        </is>
      </c>
      <c r="F3768" t="inlineStr">
        <is>
          <t>Recent research on Anglo-Irish writers / edited by Richard J. Finneran.</t>
        </is>
      </c>
      <c r="H3768" t="inlineStr">
        <is>
          <t>No</t>
        </is>
      </c>
      <c r="I3768" t="inlineStr">
        <is>
          <t>1</t>
        </is>
      </c>
      <c r="J3768" t="inlineStr">
        <is>
          <t>No</t>
        </is>
      </c>
      <c r="K3768" t="inlineStr">
        <is>
          <t>No</t>
        </is>
      </c>
      <c r="L3768" t="inlineStr">
        <is>
          <t>0</t>
        </is>
      </c>
      <c r="N3768" t="inlineStr">
        <is>
          <t>New York : Modern Language Association of America, 1983.</t>
        </is>
      </c>
      <c r="O3768" t="inlineStr">
        <is>
          <t>1983</t>
        </is>
      </c>
      <c r="Q3768" t="inlineStr">
        <is>
          <t>eng</t>
        </is>
      </c>
      <c r="R3768" t="inlineStr">
        <is>
          <t>nyu</t>
        </is>
      </c>
      <c r="T3768" t="inlineStr">
        <is>
          <t xml:space="preserve">PR </t>
        </is>
      </c>
      <c r="U3768" t="n">
        <v>4</v>
      </c>
      <c r="V3768" t="n">
        <v>4</v>
      </c>
      <c r="W3768" t="inlineStr">
        <is>
          <t>2003-11-19</t>
        </is>
      </c>
      <c r="X3768" t="inlineStr">
        <is>
          <t>2003-11-19</t>
        </is>
      </c>
      <c r="Y3768" t="inlineStr">
        <is>
          <t>1992-01-08</t>
        </is>
      </c>
      <c r="Z3768" t="inlineStr">
        <is>
          <t>1992-01-08</t>
        </is>
      </c>
      <c r="AA3768" t="n">
        <v>433</v>
      </c>
      <c r="AB3768" t="n">
        <v>366</v>
      </c>
      <c r="AC3768" t="n">
        <v>372</v>
      </c>
      <c r="AD3768" t="n">
        <v>6</v>
      </c>
      <c r="AE3768" t="n">
        <v>6</v>
      </c>
      <c r="AF3768" t="n">
        <v>29</v>
      </c>
      <c r="AG3768" t="n">
        <v>29</v>
      </c>
      <c r="AH3768" t="n">
        <v>8</v>
      </c>
      <c r="AI3768" t="n">
        <v>8</v>
      </c>
      <c r="AJ3768" t="n">
        <v>8</v>
      </c>
      <c r="AK3768" t="n">
        <v>8</v>
      </c>
      <c r="AL3768" t="n">
        <v>17</v>
      </c>
      <c r="AM3768" t="n">
        <v>17</v>
      </c>
      <c r="AN3768" t="n">
        <v>5</v>
      </c>
      <c r="AO3768" t="n">
        <v>5</v>
      </c>
      <c r="AP3768" t="n">
        <v>0</v>
      </c>
      <c r="AQ3768" t="n">
        <v>0</v>
      </c>
      <c r="AR3768" t="inlineStr">
        <is>
          <t>No</t>
        </is>
      </c>
      <c r="AS3768" t="inlineStr">
        <is>
          <t>No</t>
        </is>
      </c>
      <c r="AU3768">
        <f>HYPERLINK("https://creighton-primo.hosted.exlibrisgroup.com/primo-explore/search?tab=default_tab&amp;search_scope=EVERYTHING&amp;vid=01CRU&amp;lang=en_US&amp;offset=0&amp;query=any,contains,991000037989702656","Catalog Record")</f>
        <v/>
      </c>
      <c r="AV3768">
        <f>HYPERLINK("http://www.worldcat.org/oclc/8628837","WorldCat Record")</f>
        <v/>
      </c>
      <c r="AW3768" t="inlineStr">
        <is>
          <t>857332153:eng</t>
        </is>
      </c>
      <c r="AX3768" t="inlineStr">
        <is>
          <t>8628837</t>
        </is>
      </c>
      <c r="AY3768" t="inlineStr">
        <is>
          <t>991000037989702656</t>
        </is>
      </c>
      <c r="AZ3768" t="inlineStr">
        <is>
          <t>991000037989702656</t>
        </is>
      </c>
      <c r="BA3768" t="inlineStr">
        <is>
          <t>2264265290002656</t>
        </is>
      </c>
      <c r="BB3768" t="inlineStr">
        <is>
          <t>BOOK</t>
        </is>
      </c>
      <c r="BD3768" t="inlineStr">
        <is>
          <t>9780873522595</t>
        </is>
      </c>
      <c r="BE3768" t="inlineStr">
        <is>
          <t>32285000884287</t>
        </is>
      </c>
      <c r="BF3768" t="inlineStr">
        <is>
          <t>893695529</t>
        </is>
      </c>
    </row>
    <row r="3769">
      <c r="A3769" t="inlineStr">
        <is>
          <t>No</t>
        </is>
      </c>
      <c r="B3769" t="inlineStr">
        <is>
          <t>CURAL</t>
        </is>
      </c>
      <c r="C3769" t="inlineStr">
        <is>
          <t>SHELVES</t>
        </is>
      </c>
      <c r="D3769" t="inlineStr">
        <is>
          <t>PR8714 .E28 1998</t>
        </is>
      </c>
      <c r="E3769" t="inlineStr">
        <is>
          <t>0                      PR 8714000E  28          1998</t>
        </is>
      </c>
      <c r="F3769" t="inlineStr">
        <is>
          <t>Crazy John and the Bishop and other essays on Irish culture / Terry Eagleton.</t>
        </is>
      </c>
      <c r="H3769" t="inlineStr">
        <is>
          <t>No</t>
        </is>
      </c>
      <c r="I3769" t="inlineStr">
        <is>
          <t>1</t>
        </is>
      </c>
      <c r="J3769" t="inlineStr">
        <is>
          <t>No</t>
        </is>
      </c>
      <c r="K3769" t="inlineStr">
        <is>
          <t>No</t>
        </is>
      </c>
      <c r="L3769" t="inlineStr">
        <is>
          <t>0</t>
        </is>
      </c>
      <c r="M3769" t="inlineStr">
        <is>
          <t>Eagleton, Terry, 1943-</t>
        </is>
      </c>
      <c r="N3769" t="inlineStr">
        <is>
          <t>Notre Dame : University of Notre Dame Press in association with Field Day, 1998.</t>
        </is>
      </c>
      <c r="O3769" t="inlineStr">
        <is>
          <t>1998</t>
        </is>
      </c>
      <c r="Q3769" t="inlineStr">
        <is>
          <t>eng</t>
        </is>
      </c>
      <c r="R3769" t="inlineStr">
        <is>
          <t>inu</t>
        </is>
      </c>
      <c r="S3769" t="inlineStr">
        <is>
          <t>Critical conditions ; 5</t>
        </is>
      </c>
      <c r="T3769" t="inlineStr">
        <is>
          <t xml:space="preserve">PR </t>
        </is>
      </c>
      <c r="U3769" t="n">
        <v>2</v>
      </c>
      <c r="V3769" t="n">
        <v>2</v>
      </c>
      <c r="W3769" t="inlineStr">
        <is>
          <t>2000-09-12</t>
        </is>
      </c>
      <c r="X3769" t="inlineStr">
        <is>
          <t>2000-09-12</t>
        </is>
      </c>
      <c r="Y3769" t="inlineStr">
        <is>
          <t>2000-02-16</t>
        </is>
      </c>
      <c r="Z3769" t="inlineStr">
        <is>
          <t>2000-02-16</t>
        </is>
      </c>
      <c r="AA3769" t="n">
        <v>539</v>
      </c>
      <c r="AB3769" t="n">
        <v>471</v>
      </c>
      <c r="AC3769" t="n">
        <v>512</v>
      </c>
      <c r="AD3769" t="n">
        <v>6</v>
      </c>
      <c r="AE3769" t="n">
        <v>6</v>
      </c>
      <c r="AF3769" t="n">
        <v>38</v>
      </c>
      <c r="AG3769" t="n">
        <v>42</v>
      </c>
      <c r="AH3769" t="n">
        <v>19</v>
      </c>
      <c r="AI3769" t="n">
        <v>19</v>
      </c>
      <c r="AJ3769" t="n">
        <v>8</v>
      </c>
      <c r="AK3769" t="n">
        <v>11</v>
      </c>
      <c r="AL3769" t="n">
        <v>16</v>
      </c>
      <c r="AM3769" t="n">
        <v>19</v>
      </c>
      <c r="AN3769" t="n">
        <v>5</v>
      </c>
      <c r="AO3769" t="n">
        <v>5</v>
      </c>
      <c r="AP3769" t="n">
        <v>0</v>
      </c>
      <c r="AQ3769" t="n">
        <v>0</v>
      </c>
      <c r="AR3769" t="inlineStr">
        <is>
          <t>No</t>
        </is>
      </c>
      <c r="AS3769" t="inlineStr">
        <is>
          <t>No</t>
        </is>
      </c>
      <c r="AU3769">
        <f>HYPERLINK("https://creighton-primo.hosted.exlibrisgroup.com/primo-explore/search?tab=default_tab&amp;search_scope=EVERYTHING&amp;vid=01CRU&amp;lang=en_US&amp;offset=0&amp;query=any,contains,991002918979702656","Catalog Record")</f>
        <v/>
      </c>
      <c r="AV3769">
        <f>HYPERLINK("http://www.worldcat.org/oclc/38602693","WorldCat Record")</f>
        <v/>
      </c>
      <c r="AW3769" t="inlineStr">
        <is>
          <t>26546753:eng</t>
        </is>
      </c>
      <c r="AX3769" t="inlineStr">
        <is>
          <t>38602693</t>
        </is>
      </c>
      <c r="AY3769" t="inlineStr">
        <is>
          <t>991002918979702656</t>
        </is>
      </c>
      <c r="AZ3769" t="inlineStr">
        <is>
          <t>991002918979702656</t>
        </is>
      </c>
      <c r="BA3769" t="inlineStr">
        <is>
          <t>2269085670002656</t>
        </is>
      </c>
      <c r="BB3769" t="inlineStr">
        <is>
          <t>BOOK</t>
        </is>
      </c>
      <c r="BD3769" t="inlineStr">
        <is>
          <t>9780268008321</t>
        </is>
      </c>
      <c r="BE3769" t="inlineStr">
        <is>
          <t>32285003662300</t>
        </is>
      </c>
      <c r="BF3769" t="inlineStr">
        <is>
          <t>893692167</t>
        </is>
      </c>
    </row>
    <row r="3770">
      <c r="A3770" t="inlineStr">
        <is>
          <t>No</t>
        </is>
      </c>
      <c r="B3770" t="inlineStr">
        <is>
          <t>CURAL</t>
        </is>
      </c>
      <c r="C3770" t="inlineStr">
        <is>
          <t>SHELVES</t>
        </is>
      </c>
      <c r="D3770" t="inlineStr">
        <is>
          <t>PR8714 .F58 2004</t>
        </is>
      </c>
      <c r="E3770" t="inlineStr">
        <is>
          <t>0                      PR 8714000F  58          2004</t>
        </is>
      </c>
      <c r="F3770" t="inlineStr">
        <is>
          <t>There you are : writings on Irish and American literature and history / Thomas Flanagan ; preface by Seamus Heaney ; edited and with an introduction by Christopher Cahill.</t>
        </is>
      </c>
      <c r="H3770" t="inlineStr">
        <is>
          <t>No</t>
        </is>
      </c>
      <c r="I3770" t="inlineStr">
        <is>
          <t>1</t>
        </is>
      </c>
      <c r="J3770" t="inlineStr">
        <is>
          <t>No</t>
        </is>
      </c>
      <c r="K3770" t="inlineStr">
        <is>
          <t>No</t>
        </is>
      </c>
      <c r="L3770" t="inlineStr">
        <is>
          <t>0</t>
        </is>
      </c>
      <c r="M3770" t="inlineStr">
        <is>
          <t>Flanagan, Thomas, 1923-2002.</t>
        </is>
      </c>
      <c r="N3770" t="inlineStr">
        <is>
          <t>New York : New York Review Books, c2004.</t>
        </is>
      </c>
      <c r="O3770" t="inlineStr">
        <is>
          <t>2004</t>
        </is>
      </c>
      <c r="Q3770" t="inlineStr">
        <is>
          <t>eng</t>
        </is>
      </c>
      <c r="R3770" t="inlineStr">
        <is>
          <t>nyu</t>
        </is>
      </c>
      <c r="S3770" t="inlineStr">
        <is>
          <t>New York Review Books collection</t>
        </is>
      </c>
      <c r="T3770" t="inlineStr">
        <is>
          <t xml:space="preserve">PR </t>
        </is>
      </c>
      <c r="U3770" t="n">
        <v>2</v>
      </c>
      <c r="V3770" t="n">
        <v>2</v>
      </c>
      <c r="W3770" t="inlineStr">
        <is>
          <t>2006-04-13</t>
        </is>
      </c>
      <c r="X3770" t="inlineStr">
        <is>
          <t>2006-04-13</t>
        </is>
      </c>
      <c r="Y3770" t="inlineStr">
        <is>
          <t>2006-03-02</t>
        </is>
      </c>
      <c r="Z3770" t="inlineStr">
        <is>
          <t>2006-03-02</t>
        </is>
      </c>
      <c r="AA3770" t="n">
        <v>252</v>
      </c>
      <c r="AB3770" t="n">
        <v>206</v>
      </c>
      <c r="AC3770" t="n">
        <v>213</v>
      </c>
      <c r="AD3770" t="n">
        <v>4</v>
      </c>
      <c r="AE3770" t="n">
        <v>4</v>
      </c>
      <c r="AF3770" t="n">
        <v>17</v>
      </c>
      <c r="AG3770" t="n">
        <v>17</v>
      </c>
      <c r="AH3770" t="n">
        <v>7</v>
      </c>
      <c r="AI3770" t="n">
        <v>7</v>
      </c>
      <c r="AJ3770" t="n">
        <v>4</v>
      </c>
      <c r="AK3770" t="n">
        <v>4</v>
      </c>
      <c r="AL3770" t="n">
        <v>10</v>
      </c>
      <c r="AM3770" t="n">
        <v>10</v>
      </c>
      <c r="AN3770" t="n">
        <v>3</v>
      </c>
      <c r="AO3770" t="n">
        <v>3</v>
      </c>
      <c r="AP3770" t="n">
        <v>0</v>
      </c>
      <c r="AQ3770" t="n">
        <v>0</v>
      </c>
      <c r="AR3770" t="inlineStr">
        <is>
          <t>No</t>
        </is>
      </c>
      <c r="AS3770" t="inlineStr">
        <is>
          <t>Yes</t>
        </is>
      </c>
      <c r="AT3770">
        <f>HYPERLINK("http://catalog.hathitrust.org/Record/004920752","HathiTrust Record")</f>
        <v/>
      </c>
      <c r="AU3770">
        <f>HYPERLINK("https://creighton-primo.hosted.exlibrisgroup.com/primo-explore/search?tab=default_tab&amp;search_scope=EVERYTHING&amp;vid=01CRU&amp;lang=en_US&amp;offset=0&amp;query=any,contains,991004746079702656","Catalog Record")</f>
        <v/>
      </c>
      <c r="AV3770">
        <f>HYPERLINK("http://www.worldcat.org/oclc/56051053","WorldCat Record")</f>
        <v/>
      </c>
      <c r="AW3770" t="inlineStr">
        <is>
          <t>57577352:eng</t>
        </is>
      </c>
      <c r="AX3770" t="inlineStr">
        <is>
          <t>56051053</t>
        </is>
      </c>
      <c r="AY3770" t="inlineStr">
        <is>
          <t>991004746079702656</t>
        </is>
      </c>
      <c r="AZ3770" t="inlineStr">
        <is>
          <t>991004746079702656</t>
        </is>
      </c>
      <c r="BA3770" t="inlineStr">
        <is>
          <t>2267585740002656</t>
        </is>
      </c>
      <c r="BB3770" t="inlineStr">
        <is>
          <t>BOOK</t>
        </is>
      </c>
      <c r="BD3770" t="inlineStr">
        <is>
          <t>9781590171066</t>
        </is>
      </c>
      <c r="BE3770" t="inlineStr">
        <is>
          <t>32285005162028</t>
        </is>
      </c>
      <c r="BF3770" t="inlineStr">
        <is>
          <t>893319581</t>
        </is>
      </c>
    </row>
    <row r="3771">
      <c r="A3771" t="inlineStr">
        <is>
          <t>No</t>
        </is>
      </c>
      <c r="B3771" t="inlineStr">
        <is>
          <t>CURAL</t>
        </is>
      </c>
      <c r="C3771" t="inlineStr">
        <is>
          <t>SHELVES</t>
        </is>
      </c>
      <c r="D3771" t="inlineStr">
        <is>
          <t>PR8714 .I75 1991</t>
        </is>
      </c>
      <c r="E3771" t="inlineStr">
        <is>
          <t>0                      PR 8714000I  75          1991</t>
        </is>
      </c>
      <c r="F3771" t="inlineStr">
        <is>
          <t>Irish writing : exile and subversion / edited by Paul Hyland and Neil Sammells.</t>
        </is>
      </c>
      <c r="H3771" t="inlineStr">
        <is>
          <t>No</t>
        </is>
      </c>
      <c r="I3771" t="inlineStr">
        <is>
          <t>1</t>
        </is>
      </c>
      <c r="J3771" t="inlineStr">
        <is>
          <t>No</t>
        </is>
      </c>
      <c r="K3771" t="inlineStr">
        <is>
          <t>No</t>
        </is>
      </c>
      <c r="L3771" t="inlineStr">
        <is>
          <t>0</t>
        </is>
      </c>
      <c r="N3771" t="inlineStr">
        <is>
          <t>New York : St. Martin's Press, 1991.</t>
        </is>
      </c>
      <c r="O3771" t="inlineStr">
        <is>
          <t>1991</t>
        </is>
      </c>
      <c r="Q3771" t="inlineStr">
        <is>
          <t>eng</t>
        </is>
      </c>
      <c r="R3771" t="inlineStr">
        <is>
          <t>nyu</t>
        </is>
      </c>
      <c r="T3771" t="inlineStr">
        <is>
          <t xml:space="preserve">PR </t>
        </is>
      </c>
      <c r="U3771" t="n">
        <v>9</v>
      </c>
      <c r="V3771" t="n">
        <v>9</v>
      </c>
      <c r="W3771" t="inlineStr">
        <is>
          <t>2005-04-11</t>
        </is>
      </c>
      <c r="X3771" t="inlineStr">
        <is>
          <t>2005-04-11</t>
        </is>
      </c>
      <c r="Y3771" t="inlineStr">
        <is>
          <t>1992-03-25</t>
        </is>
      </c>
      <c r="Z3771" t="inlineStr">
        <is>
          <t>1992-03-25</t>
        </is>
      </c>
      <c r="AA3771" t="n">
        <v>185</v>
      </c>
      <c r="AB3771" t="n">
        <v>165</v>
      </c>
      <c r="AC3771" t="n">
        <v>228</v>
      </c>
      <c r="AD3771" t="n">
        <v>3</v>
      </c>
      <c r="AE3771" t="n">
        <v>3</v>
      </c>
      <c r="AF3771" t="n">
        <v>10</v>
      </c>
      <c r="AG3771" t="n">
        <v>13</v>
      </c>
      <c r="AH3771" t="n">
        <v>2</v>
      </c>
      <c r="AI3771" t="n">
        <v>3</v>
      </c>
      <c r="AJ3771" t="n">
        <v>5</v>
      </c>
      <c r="AK3771" t="n">
        <v>6</v>
      </c>
      <c r="AL3771" t="n">
        <v>5</v>
      </c>
      <c r="AM3771" t="n">
        <v>7</v>
      </c>
      <c r="AN3771" t="n">
        <v>2</v>
      </c>
      <c r="AO3771" t="n">
        <v>2</v>
      </c>
      <c r="AP3771" t="n">
        <v>0</v>
      </c>
      <c r="AQ3771" t="n">
        <v>0</v>
      </c>
      <c r="AR3771" t="inlineStr">
        <is>
          <t>No</t>
        </is>
      </c>
      <c r="AS3771" t="inlineStr">
        <is>
          <t>No</t>
        </is>
      </c>
      <c r="AU3771">
        <f>HYPERLINK("https://creighton-primo.hosted.exlibrisgroup.com/primo-explore/search?tab=default_tab&amp;search_scope=EVERYTHING&amp;vid=01CRU&amp;lang=en_US&amp;offset=0&amp;query=any,contains,991001817659702656","Catalog Record")</f>
        <v/>
      </c>
      <c r="AV3771">
        <f>HYPERLINK("http://www.worldcat.org/oclc/22859070","WorldCat Record")</f>
        <v/>
      </c>
      <c r="AW3771" t="inlineStr">
        <is>
          <t>836740546:eng</t>
        </is>
      </c>
      <c r="AX3771" t="inlineStr">
        <is>
          <t>22859070</t>
        </is>
      </c>
      <c r="AY3771" t="inlineStr">
        <is>
          <t>991001817659702656</t>
        </is>
      </c>
      <c r="AZ3771" t="inlineStr">
        <is>
          <t>991001817659702656</t>
        </is>
      </c>
      <c r="BA3771" t="inlineStr">
        <is>
          <t>2259512060002656</t>
        </is>
      </c>
      <c r="BB3771" t="inlineStr">
        <is>
          <t>BOOK</t>
        </is>
      </c>
      <c r="BD3771" t="inlineStr">
        <is>
          <t>9780312060794</t>
        </is>
      </c>
      <c r="BE3771" t="inlineStr">
        <is>
          <t>32285001005692</t>
        </is>
      </c>
      <c r="BF3771" t="inlineStr">
        <is>
          <t>893885574</t>
        </is>
      </c>
    </row>
    <row r="3772">
      <c r="A3772" t="inlineStr">
        <is>
          <t>No</t>
        </is>
      </c>
      <c r="B3772" t="inlineStr">
        <is>
          <t>CURAL</t>
        </is>
      </c>
      <c r="C3772" t="inlineStr">
        <is>
          <t>SHELVES</t>
        </is>
      </c>
      <c r="D3772" t="inlineStr">
        <is>
          <t>PR8714 .M37 1996</t>
        </is>
      </c>
      <c r="E3772" t="inlineStr">
        <is>
          <t>0                      PR 8714000M  37          1996</t>
        </is>
      </c>
      <c r="F3772" t="inlineStr">
        <is>
          <t>Bearing witness : essays on Anglo-Irish literature / Augustine Martin ; edited by Anthony Roche.</t>
        </is>
      </c>
      <c r="H3772" t="inlineStr">
        <is>
          <t>No</t>
        </is>
      </c>
      <c r="I3772" t="inlineStr">
        <is>
          <t>1</t>
        </is>
      </c>
      <c r="J3772" t="inlineStr">
        <is>
          <t>No</t>
        </is>
      </c>
      <c r="K3772" t="inlineStr">
        <is>
          <t>No</t>
        </is>
      </c>
      <c r="L3772" t="inlineStr">
        <is>
          <t>0</t>
        </is>
      </c>
      <c r="M3772" t="inlineStr">
        <is>
          <t>Martin, Augustine.</t>
        </is>
      </c>
      <c r="N3772" t="inlineStr">
        <is>
          <t>Dublin, Ireland : University College Dublin Press, 1996.</t>
        </is>
      </c>
      <c r="O3772" t="inlineStr">
        <is>
          <t>1996</t>
        </is>
      </c>
      <c r="Q3772" t="inlineStr">
        <is>
          <t>eng</t>
        </is>
      </c>
      <c r="R3772" t="inlineStr">
        <is>
          <t xml:space="preserve">ie </t>
        </is>
      </c>
      <c r="T3772" t="inlineStr">
        <is>
          <t xml:space="preserve">PR </t>
        </is>
      </c>
      <c r="U3772" t="n">
        <v>1</v>
      </c>
      <c r="V3772" t="n">
        <v>1</v>
      </c>
      <c r="W3772" t="inlineStr">
        <is>
          <t>2002-04-03</t>
        </is>
      </c>
      <c r="X3772" t="inlineStr">
        <is>
          <t>2002-04-03</t>
        </is>
      </c>
      <c r="Y3772" t="inlineStr">
        <is>
          <t>1998-02-04</t>
        </is>
      </c>
      <c r="Z3772" t="inlineStr">
        <is>
          <t>1998-02-04</t>
        </is>
      </c>
      <c r="AA3772" t="n">
        <v>305</v>
      </c>
      <c r="AB3772" t="n">
        <v>239</v>
      </c>
      <c r="AC3772" t="n">
        <v>246</v>
      </c>
      <c r="AD3772" t="n">
        <v>2</v>
      </c>
      <c r="AE3772" t="n">
        <v>2</v>
      </c>
      <c r="AF3772" t="n">
        <v>18</v>
      </c>
      <c r="AG3772" t="n">
        <v>18</v>
      </c>
      <c r="AH3772" t="n">
        <v>6</v>
      </c>
      <c r="AI3772" t="n">
        <v>6</v>
      </c>
      <c r="AJ3772" t="n">
        <v>8</v>
      </c>
      <c r="AK3772" t="n">
        <v>8</v>
      </c>
      <c r="AL3772" t="n">
        <v>9</v>
      </c>
      <c r="AM3772" t="n">
        <v>9</v>
      </c>
      <c r="AN3772" t="n">
        <v>1</v>
      </c>
      <c r="AO3772" t="n">
        <v>1</v>
      </c>
      <c r="AP3772" t="n">
        <v>0</v>
      </c>
      <c r="AQ3772" t="n">
        <v>0</v>
      </c>
      <c r="AR3772" t="inlineStr">
        <is>
          <t>No</t>
        </is>
      </c>
      <c r="AS3772" t="inlineStr">
        <is>
          <t>Yes</t>
        </is>
      </c>
      <c r="AT3772">
        <f>HYPERLINK("http://catalog.hathitrust.org/Record/003126772","HathiTrust Record")</f>
        <v/>
      </c>
      <c r="AU3772">
        <f>HYPERLINK("https://creighton-primo.hosted.exlibrisgroup.com/primo-explore/search?tab=default_tab&amp;search_scope=EVERYTHING&amp;vid=01CRU&amp;lang=en_US&amp;offset=0&amp;query=any,contains,991002785919702656","Catalog Record")</f>
        <v/>
      </c>
      <c r="AV3772">
        <f>HYPERLINK("http://www.worldcat.org/oclc/36581842","WorldCat Record")</f>
        <v/>
      </c>
      <c r="AW3772" t="inlineStr">
        <is>
          <t>365583172:eng</t>
        </is>
      </c>
      <c r="AX3772" t="inlineStr">
        <is>
          <t>36581842</t>
        </is>
      </c>
      <c r="AY3772" t="inlineStr">
        <is>
          <t>991002785919702656</t>
        </is>
      </c>
      <c r="AZ3772" t="inlineStr">
        <is>
          <t>991002785919702656</t>
        </is>
      </c>
      <c r="BA3772" t="inlineStr">
        <is>
          <t>2259740280002656</t>
        </is>
      </c>
      <c r="BB3772" t="inlineStr">
        <is>
          <t>BOOK</t>
        </is>
      </c>
      <c r="BD3772" t="inlineStr">
        <is>
          <t>9781900621014</t>
        </is>
      </c>
      <c r="BE3772" t="inlineStr">
        <is>
          <t>32285003312229</t>
        </is>
      </c>
      <c r="BF3772" t="inlineStr">
        <is>
          <t>893867708</t>
        </is>
      </c>
    </row>
    <row r="3773">
      <c r="A3773" t="inlineStr">
        <is>
          <t>No</t>
        </is>
      </c>
      <c r="B3773" t="inlineStr">
        <is>
          <t>CURAL</t>
        </is>
      </c>
      <c r="C3773" t="inlineStr">
        <is>
          <t>SHELVES</t>
        </is>
      </c>
      <c r="D3773" t="inlineStr">
        <is>
          <t>PR8714 .N48 2000</t>
        </is>
      </c>
      <c r="E3773" t="inlineStr">
        <is>
          <t>0                      PR 8714000N  48          2000</t>
        </is>
      </c>
      <c r="F3773" t="inlineStr">
        <is>
          <t>New voices in Irish criticism / P.J. Mathews, editor.</t>
        </is>
      </c>
      <c r="H3773" t="inlineStr">
        <is>
          <t>No</t>
        </is>
      </c>
      <c r="I3773" t="inlineStr">
        <is>
          <t>1</t>
        </is>
      </c>
      <c r="J3773" t="inlineStr">
        <is>
          <t>No</t>
        </is>
      </c>
      <c r="K3773" t="inlineStr">
        <is>
          <t>No</t>
        </is>
      </c>
      <c r="L3773" t="inlineStr">
        <is>
          <t>0</t>
        </is>
      </c>
      <c r="N3773" t="inlineStr">
        <is>
          <t>Dublin, Ireland ; Portland, OR : Four Courts Press, c2000.</t>
        </is>
      </c>
      <c r="O3773" t="inlineStr">
        <is>
          <t>2000</t>
        </is>
      </c>
      <c r="Q3773" t="inlineStr">
        <is>
          <t>eng</t>
        </is>
      </c>
      <c r="R3773" t="inlineStr">
        <is>
          <t xml:space="preserve">ie </t>
        </is>
      </c>
      <c r="T3773" t="inlineStr">
        <is>
          <t xml:space="preserve">PR </t>
        </is>
      </c>
      <c r="U3773" t="n">
        <v>8</v>
      </c>
      <c r="V3773" t="n">
        <v>8</v>
      </c>
      <c r="W3773" t="inlineStr">
        <is>
          <t>2005-04-21</t>
        </is>
      </c>
      <c r="X3773" t="inlineStr">
        <is>
          <t>2005-04-21</t>
        </is>
      </c>
      <c r="Y3773" t="inlineStr">
        <is>
          <t>2000-10-24</t>
        </is>
      </c>
      <c r="Z3773" t="inlineStr">
        <is>
          <t>2000-10-24</t>
        </is>
      </c>
      <c r="AA3773" t="n">
        <v>185</v>
      </c>
      <c r="AB3773" t="n">
        <v>140</v>
      </c>
      <c r="AC3773" t="n">
        <v>147</v>
      </c>
      <c r="AD3773" t="n">
        <v>2</v>
      </c>
      <c r="AE3773" t="n">
        <v>2</v>
      </c>
      <c r="AF3773" t="n">
        <v>11</v>
      </c>
      <c r="AG3773" t="n">
        <v>11</v>
      </c>
      <c r="AH3773" t="n">
        <v>2</v>
      </c>
      <c r="AI3773" t="n">
        <v>2</v>
      </c>
      <c r="AJ3773" t="n">
        <v>6</v>
      </c>
      <c r="AK3773" t="n">
        <v>6</v>
      </c>
      <c r="AL3773" t="n">
        <v>6</v>
      </c>
      <c r="AM3773" t="n">
        <v>6</v>
      </c>
      <c r="AN3773" t="n">
        <v>1</v>
      </c>
      <c r="AO3773" t="n">
        <v>1</v>
      </c>
      <c r="AP3773" t="n">
        <v>0</v>
      </c>
      <c r="AQ3773" t="n">
        <v>0</v>
      </c>
      <c r="AR3773" t="inlineStr">
        <is>
          <t>No</t>
        </is>
      </c>
      <c r="AS3773" t="inlineStr">
        <is>
          <t>Yes</t>
        </is>
      </c>
      <c r="AT3773">
        <f>HYPERLINK("http://catalog.hathitrust.org/Record/004117524","HathiTrust Record")</f>
        <v/>
      </c>
      <c r="AU3773">
        <f>HYPERLINK("https://creighton-primo.hosted.exlibrisgroup.com/primo-explore/search?tab=default_tab&amp;search_scope=EVERYTHING&amp;vid=01CRU&amp;lang=en_US&amp;offset=0&amp;query=any,contains,991003284549702656","Catalog Record")</f>
        <v/>
      </c>
      <c r="AV3773">
        <f>HYPERLINK("http://www.worldcat.org/oclc/45015708","WorldCat Record")</f>
        <v/>
      </c>
      <c r="AW3773" t="inlineStr">
        <is>
          <t>366368020:eng</t>
        </is>
      </c>
      <c r="AX3773" t="inlineStr">
        <is>
          <t>45015708</t>
        </is>
      </c>
      <c r="AY3773" t="inlineStr">
        <is>
          <t>991003284549702656</t>
        </is>
      </c>
      <c r="AZ3773" t="inlineStr">
        <is>
          <t>991003284549702656</t>
        </is>
      </c>
      <c r="BA3773" t="inlineStr">
        <is>
          <t>2263284450002656</t>
        </is>
      </c>
      <c r="BB3773" t="inlineStr">
        <is>
          <t>BOOK</t>
        </is>
      </c>
      <c r="BD3773" t="inlineStr">
        <is>
          <t>9781851825448</t>
        </is>
      </c>
      <c r="BE3773" t="inlineStr">
        <is>
          <t>32285003769956</t>
        </is>
      </c>
      <c r="BF3773" t="inlineStr">
        <is>
          <t>893899818</t>
        </is>
      </c>
    </row>
    <row r="3774">
      <c r="A3774" t="inlineStr">
        <is>
          <t>No</t>
        </is>
      </c>
      <c r="B3774" t="inlineStr">
        <is>
          <t>CURAL</t>
        </is>
      </c>
      <c r="C3774" t="inlineStr">
        <is>
          <t>SHELVES</t>
        </is>
      </c>
      <c r="D3774" t="inlineStr">
        <is>
          <t>PR8714 .S56 1990</t>
        </is>
      </c>
      <c r="E3774" t="inlineStr">
        <is>
          <t>0                      PR 8714000S  56          1990</t>
        </is>
      </c>
      <c r="F3774" t="inlineStr">
        <is>
          <t>Celtic contraries / Robin Skelton.</t>
        </is>
      </c>
      <c r="H3774" t="inlineStr">
        <is>
          <t>No</t>
        </is>
      </c>
      <c r="I3774" t="inlineStr">
        <is>
          <t>1</t>
        </is>
      </c>
      <c r="J3774" t="inlineStr">
        <is>
          <t>No</t>
        </is>
      </c>
      <c r="K3774" t="inlineStr">
        <is>
          <t>No</t>
        </is>
      </c>
      <c r="L3774" t="inlineStr">
        <is>
          <t>0</t>
        </is>
      </c>
      <c r="M3774" t="inlineStr">
        <is>
          <t>Skelton, Robin.</t>
        </is>
      </c>
      <c r="N3774" t="inlineStr">
        <is>
          <t>Syracuse, N.Y. : Syracuse University Press, 1990.</t>
        </is>
      </c>
      <c r="O3774" t="inlineStr">
        <is>
          <t>1990</t>
        </is>
      </c>
      <c r="P3774" t="inlineStr">
        <is>
          <t>1st ed.</t>
        </is>
      </c>
      <c r="Q3774" t="inlineStr">
        <is>
          <t>eng</t>
        </is>
      </c>
      <c r="R3774" t="inlineStr">
        <is>
          <t>nyu</t>
        </is>
      </c>
      <c r="S3774" t="inlineStr">
        <is>
          <t>Irish studies</t>
        </is>
      </c>
      <c r="T3774" t="inlineStr">
        <is>
          <t xml:space="preserve">PR </t>
        </is>
      </c>
      <c r="U3774" t="n">
        <v>1</v>
      </c>
      <c r="V3774" t="n">
        <v>1</v>
      </c>
      <c r="W3774" t="inlineStr">
        <is>
          <t>2001-09-05</t>
        </is>
      </c>
      <c r="X3774" t="inlineStr">
        <is>
          <t>2001-09-05</t>
        </is>
      </c>
      <c r="Y3774" t="inlineStr">
        <is>
          <t>1990-04-03</t>
        </is>
      </c>
      <c r="Z3774" t="inlineStr">
        <is>
          <t>1990-04-03</t>
        </is>
      </c>
      <c r="AA3774" t="n">
        <v>329</v>
      </c>
      <c r="AB3774" t="n">
        <v>267</v>
      </c>
      <c r="AC3774" t="n">
        <v>276</v>
      </c>
      <c r="AD3774" t="n">
        <v>2</v>
      </c>
      <c r="AE3774" t="n">
        <v>2</v>
      </c>
      <c r="AF3774" t="n">
        <v>13</v>
      </c>
      <c r="AG3774" t="n">
        <v>13</v>
      </c>
      <c r="AH3774" t="n">
        <v>5</v>
      </c>
      <c r="AI3774" t="n">
        <v>5</v>
      </c>
      <c r="AJ3774" t="n">
        <v>3</v>
      </c>
      <c r="AK3774" t="n">
        <v>3</v>
      </c>
      <c r="AL3774" t="n">
        <v>7</v>
      </c>
      <c r="AM3774" t="n">
        <v>7</v>
      </c>
      <c r="AN3774" t="n">
        <v>1</v>
      </c>
      <c r="AO3774" t="n">
        <v>1</v>
      </c>
      <c r="AP3774" t="n">
        <v>0</v>
      </c>
      <c r="AQ3774" t="n">
        <v>0</v>
      </c>
      <c r="AR3774" t="inlineStr">
        <is>
          <t>No</t>
        </is>
      </c>
      <c r="AS3774" t="inlineStr">
        <is>
          <t>Yes</t>
        </is>
      </c>
      <c r="AT3774">
        <f>HYPERLINK("http://catalog.hathitrust.org/Record/001947580","HathiTrust Record")</f>
        <v/>
      </c>
      <c r="AU3774">
        <f>HYPERLINK("https://creighton-primo.hosted.exlibrisgroup.com/primo-explore/search?tab=default_tab&amp;search_scope=EVERYTHING&amp;vid=01CRU&amp;lang=en_US&amp;offset=0&amp;query=any,contains,991001540839702656","Catalog Record")</f>
        <v/>
      </c>
      <c r="AV3774">
        <f>HYPERLINK("http://www.worldcat.org/oclc/20130246","WorldCat Record")</f>
        <v/>
      </c>
      <c r="AW3774" t="inlineStr">
        <is>
          <t>21614165:eng</t>
        </is>
      </c>
      <c r="AX3774" t="inlineStr">
        <is>
          <t>20130246</t>
        </is>
      </c>
      <c r="AY3774" t="inlineStr">
        <is>
          <t>991001540839702656</t>
        </is>
      </c>
      <c r="AZ3774" t="inlineStr">
        <is>
          <t>991001540839702656</t>
        </is>
      </c>
      <c r="BA3774" t="inlineStr">
        <is>
          <t>2263729050002656</t>
        </is>
      </c>
      <c r="BB3774" t="inlineStr">
        <is>
          <t>BOOK</t>
        </is>
      </c>
      <c r="BD3774" t="inlineStr">
        <is>
          <t>9780815624790</t>
        </is>
      </c>
      <c r="BE3774" t="inlineStr">
        <is>
          <t>32285000092964</t>
        </is>
      </c>
      <c r="BF3774" t="inlineStr">
        <is>
          <t>893885349</t>
        </is>
      </c>
    </row>
    <row r="3775">
      <c r="A3775" t="inlineStr">
        <is>
          <t>No</t>
        </is>
      </c>
      <c r="B3775" t="inlineStr">
        <is>
          <t>CURAL</t>
        </is>
      </c>
      <c r="C3775" t="inlineStr">
        <is>
          <t>SHELVES</t>
        </is>
      </c>
      <c r="D3775" t="inlineStr">
        <is>
          <t>PR8714 .T9 1975</t>
        </is>
      </c>
      <c r="E3775" t="inlineStr">
        <is>
          <t>0                      PR 8714000T  9           1975</t>
        </is>
      </c>
      <c r="F3775" t="inlineStr">
        <is>
          <t>Two decades of Irish writing : a critical survey / [edited by] Douglas Dunn.</t>
        </is>
      </c>
      <c r="H3775" t="inlineStr">
        <is>
          <t>No</t>
        </is>
      </c>
      <c r="I3775" t="inlineStr">
        <is>
          <t>1</t>
        </is>
      </c>
      <c r="J3775" t="inlineStr">
        <is>
          <t>No</t>
        </is>
      </c>
      <c r="K3775" t="inlineStr">
        <is>
          <t>No</t>
        </is>
      </c>
      <c r="L3775" t="inlineStr">
        <is>
          <t>0</t>
        </is>
      </c>
      <c r="N3775" t="inlineStr">
        <is>
          <t>Chester Springs, Pa. : Dufour Editions, 1975.</t>
        </is>
      </c>
      <c r="O3775" t="inlineStr">
        <is>
          <t>1975</t>
        </is>
      </c>
      <c r="Q3775" t="inlineStr">
        <is>
          <t>eng</t>
        </is>
      </c>
      <c r="R3775" t="inlineStr">
        <is>
          <t>pau</t>
        </is>
      </c>
      <c r="T3775" t="inlineStr">
        <is>
          <t xml:space="preserve">PR </t>
        </is>
      </c>
      <c r="U3775" t="n">
        <v>4</v>
      </c>
      <c r="V3775" t="n">
        <v>4</v>
      </c>
      <c r="W3775" t="inlineStr">
        <is>
          <t>2004-08-12</t>
        </is>
      </c>
      <c r="X3775" t="inlineStr">
        <is>
          <t>2004-08-12</t>
        </is>
      </c>
      <c r="Y3775" t="inlineStr">
        <is>
          <t>1992-08-14</t>
        </is>
      </c>
      <c r="Z3775" t="inlineStr">
        <is>
          <t>1992-08-14</t>
        </is>
      </c>
      <c r="AA3775" t="n">
        <v>452</v>
      </c>
      <c r="AB3775" t="n">
        <v>416</v>
      </c>
      <c r="AC3775" t="n">
        <v>501</v>
      </c>
      <c r="AD3775" t="n">
        <v>4</v>
      </c>
      <c r="AE3775" t="n">
        <v>5</v>
      </c>
      <c r="AF3775" t="n">
        <v>27</v>
      </c>
      <c r="AG3775" t="n">
        <v>33</v>
      </c>
      <c r="AH3775" t="n">
        <v>13</v>
      </c>
      <c r="AI3775" t="n">
        <v>13</v>
      </c>
      <c r="AJ3775" t="n">
        <v>7</v>
      </c>
      <c r="AK3775" t="n">
        <v>10</v>
      </c>
      <c r="AL3775" t="n">
        <v>13</v>
      </c>
      <c r="AM3775" t="n">
        <v>16</v>
      </c>
      <c r="AN3775" t="n">
        <v>3</v>
      </c>
      <c r="AO3775" t="n">
        <v>4</v>
      </c>
      <c r="AP3775" t="n">
        <v>0</v>
      </c>
      <c r="AQ3775" t="n">
        <v>0</v>
      </c>
      <c r="AR3775" t="inlineStr">
        <is>
          <t>No</t>
        </is>
      </c>
      <c r="AS3775" t="inlineStr">
        <is>
          <t>Yes</t>
        </is>
      </c>
      <c r="AT3775">
        <f>HYPERLINK("http://catalog.hathitrust.org/Record/000700596","HathiTrust Record")</f>
        <v/>
      </c>
      <c r="AU3775">
        <f>HYPERLINK("https://creighton-primo.hosted.exlibrisgroup.com/primo-explore/search?tab=default_tab&amp;search_scope=EVERYTHING&amp;vid=01CRU&amp;lang=en_US&amp;offset=0&amp;query=any,contains,991003999569702656","Catalog Record")</f>
        <v/>
      </c>
      <c r="AV3775">
        <f>HYPERLINK("http://www.worldcat.org/oclc/2072338","WorldCat Record")</f>
        <v/>
      </c>
      <c r="AW3775" t="inlineStr">
        <is>
          <t>815128655:eng</t>
        </is>
      </c>
      <c r="AX3775" t="inlineStr">
        <is>
          <t>2072338</t>
        </is>
      </c>
      <c r="AY3775" t="inlineStr">
        <is>
          <t>991003999569702656</t>
        </is>
      </c>
      <c r="AZ3775" t="inlineStr">
        <is>
          <t>991003999569702656</t>
        </is>
      </c>
      <c r="BA3775" t="inlineStr">
        <is>
          <t>2254816590002656</t>
        </is>
      </c>
      <c r="BB3775" t="inlineStr">
        <is>
          <t>BOOK</t>
        </is>
      </c>
      <c r="BD3775" t="inlineStr">
        <is>
          <t>9780802312532</t>
        </is>
      </c>
      <c r="BE3775" t="inlineStr">
        <is>
          <t>32285001245124</t>
        </is>
      </c>
      <c r="BF3775" t="inlineStr">
        <is>
          <t>893247036</t>
        </is>
      </c>
    </row>
    <row r="3776">
      <c r="A3776" t="inlineStr">
        <is>
          <t>No</t>
        </is>
      </c>
      <c r="B3776" t="inlineStr">
        <is>
          <t>CURAL</t>
        </is>
      </c>
      <c r="C3776" t="inlineStr">
        <is>
          <t>SHELVES</t>
        </is>
      </c>
      <c r="D3776" t="inlineStr">
        <is>
          <t>PR8718 .B76 1988</t>
        </is>
      </c>
      <c r="E3776" t="inlineStr">
        <is>
          <t>0                      PR 8718000B  76          1988</t>
        </is>
      </c>
      <c r="F3776" t="inlineStr">
        <is>
          <t>Ireland's literature : selected essays / Terence Brown.</t>
        </is>
      </c>
      <c r="H3776" t="inlineStr">
        <is>
          <t>No</t>
        </is>
      </c>
      <c r="I3776" t="inlineStr">
        <is>
          <t>1</t>
        </is>
      </c>
      <c r="J3776" t="inlineStr">
        <is>
          <t>No</t>
        </is>
      </c>
      <c r="K3776" t="inlineStr">
        <is>
          <t>No</t>
        </is>
      </c>
      <c r="L3776" t="inlineStr">
        <is>
          <t>0</t>
        </is>
      </c>
      <c r="M3776" t="inlineStr">
        <is>
          <t>Brown, Terence, 1944-</t>
        </is>
      </c>
      <c r="N3776" t="inlineStr">
        <is>
          <t>Totowa, N.J. : Barnes &amp; Noble Books, 1988.</t>
        </is>
      </c>
      <c r="O3776" t="inlineStr">
        <is>
          <t>1988</t>
        </is>
      </c>
      <c r="Q3776" t="inlineStr">
        <is>
          <t>eng</t>
        </is>
      </c>
      <c r="R3776" t="inlineStr">
        <is>
          <t>nju</t>
        </is>
      </c>
      <c r="T3776" t="inlineStr">
        <is>
          <t xml:space="preserve">PR </t>
        </is>
      </c>
      <c r="U3776" t="n">
        <v>7</v>
      </c>
      <c r="V3776" t="n">
        <v>7</v>
      </c>
      <c r="W3776" t="inlineStr">
        <is>
          <t>2005-04-11</t>
        </is>
      </c>
      <c r="X3776" t="inlineStr">
        <is>
          <t>2005-04-11</t>
        </is>
      </c>
      <c r="Y3776" t="inlineStr">
        <is>
          <t>1991-12-23</t>
        </is>
      </c>
      <c r="Z3776" t="inlineStr">
        <is>
          <t>1991-12-23</t>
        </is>
      </c>
      <c r="AA3776" t="n">
        <v>362</v>
      </c>
      <c r="AB3776" t="n">
        <v>275</v>
      </c>
      <c r="AC3776" t="n">
        <v>282</v>
      </c>
      <c r="AD3776" t="n">
        <v>2</v>
      </c>
      <c r="AE3776" t="n">
        <v>2</v>
      </c>
      <c r="AF3776" t="n">
        <v>16</v>
      </c>
      <c r="AG3776" t="n">
        <v>16</v>
      </c>
      <c r="AH3776" t="n">
        <v>5</v>
      </c>
      <c r="AI3776" t="n">
        <v>5</v>
      </c>
      <c r="AJ3776" t="n">
        <v>7</v>
      </c>
      <c r="AK3776" t="n">
        <v>7</v>
      </c>
      <c r="AL3776" t="n">
        <v>11</v>
      </c>
      <c r="AM3776" t="n">
        <v>11</v>
      </c>
      <c r="AN3776" t="n">
        <v>1</v>
      </c>
      <c r="AO3776" t="n">
        <v>1</v>
      </c>
      <c r="AP3776" t="n">
        <v>0</v>
      </c>
      <c r="AQ3776" t="n">
        <v>0</v>
      </c>
      <c r="AR3776" t="inlineStr">
        <is>
          <t>No</t>
        </is>
      </c>
      <c r="AS3776" t="inlineStr">
        <is>
          <t>Yes</t>
        </is>
      </c>
      <c r="AT3776">
        <f>HYPERLINK("http://catalog.hathitrust.org/Record/001550066","HathiTrust Record")</f>
        <v/>
      </c>
      <c r="AU3776">
        <f>HYPERLINK("https://creighton-primo.hosted.exlibrisgroup.com/primo-explore/search?tab=default_tab&amp;search_scope=EVERYTHING&amp;vid=01CRU&amp;lang=en_US&amp;offset=0&amp;query=any,contains,991001293139702656","Catalog Record")</f>
        <v/>
      </c>
      <c r="AV3776">
        <f>HYPERLINK("http://www.worldcat.org/oclc/18015362","WorldCat Record")</f>
        <v/>
      </c>
      <c r="AW3776" t="inlineStr">
        <is>
          <t>199038089:eng</t>
        </is>
      </c>
      <c r="AX3776" t="inlineStr">
        <is>
          <t>18015362</t>
        </is>
      </c>
      <c r="AY3776" t="inlineStr">
        <is>
          <t>991001293139702656</t>
        </is>
      </c>
      <c r="AZ3776" t="inlineStr">
        <is>
          <t>991001293139702656</t>
        </is>
      </c>
      <c r="BA3776" t="inlineStr">
        <is>
          <t>2272806120002656</t>
        </is>
      </c>
      <c r="BB3776" t="inlineStr">
        <is>
          <t>BOOK</t>
        </is>
      </c>
      <c r="BD3776" t="inlineStr">
        <is>
          <t>9780389208020</t>
        </is>
      </c>
      <c r="BE3776" t="inlineStr">
        <is>
          <t>32285000880954</t>
        </is>
      </c>
      <c r="BF3776" t="inlineStr">
        <is>
          <t>893709164</t>
        </is>
      </c>
    </row>
    <row r="3777">
      <c r="A3777" t="inlineStr">
        <is>
          <t>No</t>
        </is>
      </c>
      <c r="B3777" t="inlineStr">
        <is>
          <t>CURAL</t>
        </is>
      </c>
      <c r="C3777" t="inlineStr">
        <is>
          <t>SHELVES</t>
        </is>
      </c>
      <c r="D3777" t="inlineStr">
        <is>
          <t>PR8718 .C75 2001</t>
        </is>
      </c>
      <c r="E3777" t="inlineStr">
        <is>
          <t>0                      PR 8718000C  75          2001</t>
        </is>
      </c>
      <c r="F3777" t="inlineStr">
        <is>
          <t>Critical Ireland : new essays in literature and culture / Alan A. Gillis &amp; Aaron Kelly, editors.</t>
        </is>
      </c>
      <c r="H3777" t="inlineStr">
        <is>
          <t>No</t>
        </is>
      </c>
      <c r="I3777" t="inlineStr">
        <is>
          <t>1</t>
        </is>
      </c>
      <c r="J3777" t="inlineStr">
        <is>
          <t>No</t>
        </is>
      </c>
      <c r="K3777" t="inlineStr">
        <is>
          <t>No</t>
        </is>
      </c>
      <c r="L3777" t="inlineStr">
        <is>
          <t>0</t>
        </is>
      </c>
      <c r="N3777" t="inlineStr">
        <is>
          <t>Dublin ; Portland, OR : Four Courts Press, c2001.</t>
        </is>
      </c>
      <c r="O3777" t="inlineStr">
        <is>
          <t>2001</t>
        </is>
      </c>
      <c r="Q3777" t="inlineStr">
        <is>
          <t>eng</t>
        </is>
      </c>
      <c r="R3777" t="inlineStr">
        <is>
          <t xml:space="preserve">ie </t>
        </is>
      </c>
      <c r="T3777" t="inlineStr">
        <is>
          <t xml:space="preserve">PR </t>
        </is>
      </c>
      <c r="U3777" t="n">
        <v>1</v>
      </c>
      <c r="V3777" t="n">
        <v>1</v>
      </c>
      <c r="W3777" t="inlineStr">
        <is>
          <t>2010-10-07</t>
        </is>
      </c>
      <c r="X3777" t="inlineStr">
        <is>
          <t>2010-10-07</t>
        </is>
      </c>
      <c r="Y3777" t="inlineStr">
        <is>
          <t>2010-10-07</t>
        </is>
      </c>
      <c r="Z3777" t="inlineStr">
        <is>
          <t>2010-10-07</t>
        </is>
      </c>
      <c r="AA3777" t="n">
        <v>181</v>
      </c>
      <c r="AB3777" t="n">
        <v>127</v>
      </c>
      <c r="AC3777" t="n">
        <v>132</v>
      </c>
      <c r="AD3777" t="n">
        <v>1</v>
      </c>
      <c r="AE3777" t="n">
        <v>1</v>
      </c>
      <c r="AF3777" t="n">
        <v>11</v>
      </c>
      <c r="AG3777" t="n">
        <v>11</v>
      </c>
      <c r="AH3777" t="n">
        <v>2</v>
      </c>
      <c r="AI3777" t="n">
        <v>2</v>
      </c>
      <c r="AJ3777" t="n">
        <v>7</v>
      </c>
      <c r="AK3777" t="n">
        <v>7</v>
      </c>
      <c r="AL3777" t="n">
        <v>5</v>
      </c>
      <c r="AM3777" t="n">
        <v>5</v>
      </c>
      <c r="AN3777" t="n">
        <v>0</v>
      </c>
      <c r="AO3777" t="n">
        <v>0</v>
      </c>
      <c r="AP3777" t="n">
        <v>0</v>
      </c>
      <c r="AQ3777" t="n">
        <v>0</v>
      </c>
      <c r="AR3777" t="inlineStr">
        <is>
          <t>No</t>
        </is>
      </c>
      <c r="AS3777" t="inlineStr">
        <is>
          <t>Yes</t>
        </is>
      </c>
      <c r="AT3777">
        <f>HYPERLINK("http://catalog.hathitrust.org/Record/004171331","HathiTrust Record")</f>
        <v/>
      </c>
      <c r="AU3777">
        <f>HYPERLINK("https://creighton-primo.hosted.exlibrisgroup.com/primo-explore/search?tab=default_tab&amp;search_scope=EVERYTHING&amp;vid=01CRU&amp;lang=en_US&amp;offset=0&amp;query=any,contains,991005394659702656","Catalog Record")</f>
        <v/>
      </c>
      <c r="AV3777">
        <f>HYPERLINK("http://www.worldcat.org/oclc/48515844","WorldCat Record")</f>
        <v/>
      </c>
      <c r="AW3777" t="inlineStr">
        <is>
          <t>837149787:eng</t>
        </is>
      </c>
      <c r="AX3777" t="inlineStr">
        <is>
          <t>48515844</t>
        </is>
      </c>
      <c r="AY3777" t="inlineStr">
        <is>
          <t>991005394659702656</t>
        </is>
      </c>
      <c r="AZ3777" t="inlineStr">
        <is>
          <t>991005394659702656</t>
        </is>
      </c>
      <c r="BA3777" t="inlineStr">
        <is>
          <t>2257032720002656</t>
        </is>
      </c>
      <c r="BB3777" t="inlineStr">
        <is>
          <t>BOOK</t>
        </is>
      </c>
      <c r="BD3777" t="inlineStr">
        <is>
          <t>9781851825974</t>
        </is>
      </c>
      <c r="BE3777" t="inlineStr">
        <is>
          <t>32285005599245</t>
        </is>
      </c>
      <c r="BF3777" t="inlineStr">
        <is>
          <t>893877473</t>
        </is>
      </c>
    </row>
    <row r="3778">
      <c r="A3778" t="inlineStr">
        <is>
          <t>No</t>
        </is>
      </c>
      <c r="B3778" t="inlineStr">
        <is>
          <t>CURAL</t>
        </is>
      </c>
      <c r="C3778" t="inlineStr">
        <is>
          <t>SHELVES</t>
        </is>
      </c>
      <c r="D3778" t="inlineStr">
        <is>
          <t>PR8718 .D43 1985</t>
        </is>
      </c>
      <c r="E3778" t="inlineStr">
        <is>
          <t>0                      PR 8718000D  43          1985</t>
        </is>
      </c>
      <c r="F3778" t="inlineStr">
        <is>
          <t>Celtic revivals : essays in modern Irish literature, 1880-1980 / by Seamus Deane.</t>
        </is>
      </c>
      <c r="H3778" t="inlineStr">
        <is>
          <t>No</t>
        </is>
      </c>
      <c r="I3778" t="inlineStr">
        <is>
          <t>1</t>
        </is>
      </c>
      <c r="J3778" t="inlineStr">
        <is>
          <t>No</t>
        </is>
      </c>
      <c r="K3778" t="inlineStr">
        <is>
          <t>No</t>
        </is>
      </c>
      <c r="L3778" t="inlineStr">
        <is>
          <t>0</t>
        </is>
      </c>
      <c r="M3778" t="inlineStr">
        <is>
          <t>Deane, Seamus, 1940-</t>
        </is>
      </c>
      <c r="N3778" t="inlineStr">
        <is>
          <t>London ; Boston : Faber and Faber, 1985.</t>
        </is>
      </c>
      <c r="O3778" t="inlineStr">
        <is>
          <t>1985</t>
        </is>
      </c>
      <c r="Q3778" t="inlineStr">
        <is>
          <t>eng</t>
        </is>
      </c>
      <c r="R3778" t="inlineStr">
        <is>
          <t>enk</t>
        </is>
      </c>
      <c r="T3778" t="inlineStr">
        <is>
          <t xml:space="preserve">PR </t>
        </is>
      </c>
      <c r="U3778" t="n">
        <v>11</v>
      </c>
      <c r="V3778" t="n">
        <v>11</v>
      </c>
      <c r="W3778" t="inlineStr">
        <is>
          <t>2005-05-01</t>
        </is>
      </c>
      <c r="X3778" t="inlineStr">
        <is>
          <t>2005-05-01</t>
        </is>
      </c>
      <c r="Y3778" t="inlineStr">
        <is>
          <t>1992-08-14</t>
        </is>
      </c>
      <c r="Z3778" t="inlineStr">
        <is>
          <t>1992-08-14</t>
        </is>
      </c>
      <c r="AA3778" t="n">
        <v>505</v>
      </c>
      <c r="AB3778" t="n">
        <v>370</v>
      </c>
      <c r="AC3778" t="n">
        <v>437</v>
      </c>
      <c r="AD3778" t="n">
        <v>5</v>
      </c>
      <c r="AE3778" t="n">
        <v>5</v>
      </c>
      <c r="AF3778" t="n">
        <v>25</v>
      </c>
      <c r="AG3778" t="n">
        <v>33</v>
      </c>
      <c r="AH3778" t="n">
        <v>11</v>
      </c>
      <c r="AI3778" t="n">
        <v>14</v>
      </c>
      <c r="AJ3778" t="n">
        <v>8</v>
      </c>
      <c r="AK3778" t="n">
        <v>8</v>
      </c>
      <c r="AL3778" t="n">
        <v>10</v>
      </c>
      <c r="AM3778" t="n">
        <v>17</v>
      </c>
      <c r="AN3778" t="n">
        <v>4</v>
      </c>
      <c r="AO3778" t="n">
        <v>4</v>
      </c>
      <c r="AP3778" t="n">
        <v>0</v>
      </c>
      <c r="AQ3778" t="n">
        <v>0</v>
      </c>
      <c r="AR3778" t="inlineStr">
        <is>
          <t>No</t>
        </is>
      </c>
      <c r="AS3778" t="inlineStr">
        <is>
          <t>No</t>
        </is>
      </c>
      <c r="AU3778">
        <f>HYPERLINK("https://creighton-primo.hosted.exlibrisgroup.com/primo-explore/search?tab=default_tab&amp;search_scope=EVERYTHING&amp;vid=01CRU&amp;lang=en_US&amp;offset=0&amp;query=any,contains,991000594529702656","Catalog Record")</f>
        <v/>
      </c>
      <c r="AV3778">
        <f>HYPERLINK("http://www.worldcat.org/oclc/11811969","WorldCat Record")</f>
        <v/>
      </c>
      <c r="AW3778" t="inlineStr">
        <is>
          <t>836704180:eng</t>
        </is>
      </c>
      <c r="AX3778" t="inlineStr">
        <is>
          <t>11811969</t>
        </is>
      </c>
      <c r="AY3778" t="inlineStr">
        <is>
          <t>991000594529702656</t>
        </is>
      </c>
      <c r="AZ3778" t="inlineStr">
        <is>
          <t>991000594529702656</t>
        </is>
      </c>
      <c r="BA3778" t="inlineStr">
        <is>
          <t>2259891320002656</t>
        </is>
      </c>
      <c r="BB3778" t="inlineStr">
        <is>
          <t>BOOK</t>
        </is>
      </c>
      <c r="BD3778" t="inlineStr">
        <is>
          <t>9780571135004</t>
        </is>
      </c>
      <c r="BE3778" t="inlineStr">
        <is>
          <t>32285001245132</t>
        </is>
      </c>
      <c r="BF3778" t="inlineStr">
        <is>
          <t>893702255</t>
        </is>
      </c>
    </row>
    <row r="3779">
      <c r="A3779" t="inlineStr">
        <is>
          <t>No</t>
        </is>
      </c>
      <c r="B3779" t="inlineStr">
        <is>
          <t>CURAL</t>
        </is>
      </c>
      <c r="C3779" t="inlineStr">
        <is>
          <t>SHELVES</t>
        </is>
      </c>
      <c r="D3779" t="inlineStr">
        <is>
          <t>PR8718 .P37 1984</t>
        </is>
      </c>
      <c r="E3779" t="inlineStr">
        <is>
          <t>0                      PR 8718000P  37          1984</t>
        </is>
      </c>
      <c r="F3779" t="inlineStr">
        <is>
          <t>Language and society in Anglo-Irish literature / A.C. Partridge.</t>
        </is>
      </c>
      <c r="H3779" t="inlineStr">
        <is>
          <t>No</t>
        </is>
      </c>
      <c r="I3779" t="inlineStr">
        <is>
          <t>1</t>
        </is>
      </c>
      <c r="J3779" t="inlineStr">
        <is>
          <t>No</t>
        </is>
      </c>
      <c r="K3779" t="inlineStr">
        <is>
          <t>No</t>
        </is>
      </c>
      <c r="L3779" t="inlineStr">
        <is>
          <t>0</t>
        </is>
      </c>
      <c r="M3779" t="inlineStr">
        <is>
          <t>Partridge, A. C. (Astley Cooper)</t>
        </is>
      </c>
      <c r="N3779" t="inlineStr">
        <is>
          <t>Totowa, N.J. : Barnes &amp; Noble Books, 1984.</t>
        </is>
      </c>
      <c r="O3779" t="inlineStr">
        <is>
          <t>1984</t>
        </is>
      </c>
      <c r="Q3779" t="inlineStr">
        <is>
          <t>eng</t>
        </is>
      </c>
      <c r="R3779" t="inlineStr">
        <is>
          <t>nju</t>
        </is>
      </c>
      <c r="T3779" t="inlineStr">
        <is>
          <t xml:space="preserve">PR </t>
        </is>
      </c>
      <c r="U3779" t="n">
        <v>2</v>
      </c>
      <c r="V3779" t="n">
        <v>2</v>
      </c>
      <c r="W3779" t="inlineStr">
        <is>
          <t>1993-10-13</t>
        </is>
      </c>
      <c r="X3779" t="inlineStr">
        <is>
          <t>1993-10-13</t>
        </is>
      </c>
      <c r="Y3779" t="inlineStr">
        <is>
          <t>1992-08-14</t>
        </is>
      </c>
      <c r="Z3779" t="inlineStr">
        <is>
          <t>1992-08-14</t>
        </is>
      </c>
      <c r="AA3779" t="n">
        <v>300</v>
      </c>
      <c r="AB3779" t="n">
        <v>248</v>
      </c>
      <c r="AC3779" t="n">
        <v>278</v>
      </c>
      <c r="AD3779" t="n">
        <v>3</v>
      </c>
      <c r="AE3779" t="n">
        <v>3</v>
      </c>
      <c r="AF3779" t="n">
        <v>15</v>
      </c>
      <c r="AG3779" t="n">
        <v>15</v>
      </c>
      <c r="AH3779" t="n">
        <v>5</v>
      </c>
      <c r="AI3779" t="n">
        <v>5</v>
      </c>
      <c r="AJ3779" t="n">
        <v>5</v>
      </c>
      <c r="AK3779" t="n">
        <v>5</v>
      </c>
      <c r="AL3779" t="n">
        <v>7</v>
      </c>
      <c r="AM3779" t="n">
        <v>7</v>
      </c>
      <c r="AN3779" t="n">
        <v>2</v>
      </c>
      <c r="AO3779" t="n">
        <v>2</v>
      </c>
      <c r="AP3779" t="n">
        <v>0</v>
      </c>
      <c r="AQ3779" t="n">
        <v>0</v>
      </c>
      <c r="AR3779" t="inlineStr">
        <is>
          <t>No</t>
        </is>
      </c>
      <c r="AS3779" t="inlineStr">
        <is>
          <t>Yes</t>
        </is>
      </c>
      <c r="AT3779">
        <f>HYPERLINK("http://catalog.hathitrust.org/Record/009494900","HathiTrust Record")</f>
        <v/>
      </c>
      <c r="AU3779">
        <f>HYPERLINK("https://creighton-primo.hosted.exlibrisgroup.com/primo-explore/search?tab=default_tab&amp;search_scope=EVERYTHING&amp;vid=01CRU&amp;lang=en_US&amp;offset=0&amp;query=any,contains,991000440959702656","Catalog Record")</f>
        <v/>
      </c>
      <c r="AV3779">
        <f>HYPERLINK("http://www.worldcat.org/oclc/10824322","WorldCat Record")</f>
        <v/>
      </c>
      <c r="AW3779" t="inlineStr">
        <is>
          <t>3311126:eng</t>
        </is>
      </c>
      <c r="AX3779" t="inlineStr">
        <is>
          <t>10824322</t>
        </is>
      </c>
      <c r="AY3779" t="inlineStr">
        <is>
          <t>991000440959702656</t>
        </is>
      </c>
      <c r="AZ3779" t="inlineStr">
        <is>
          <t>991000440959702656</t>
        </is>
      </c>
      <c r="BA3779" t="inlineStr">
        <is>
          <t>2265066340002656</t>
        </is>
      </c>
      <c r="BB3779" t="inlineStr">
        <is>
          <t>BOOK</t>
        </is>
      </c>
      <c r="BD3779" t="inlineStr">
        <is>
          <t>9780389204947</t>
        </is>
      </c>
      <c r="BE3779" t="inlineStr">
        <is>
          <t>32285001245165</t>
        </is>
      </c>
      <c r="BF3779" t="inlineStr">
        <is>
          <t>893438254</t>
        </is>
      </c>
    </row>
    <row r="3780">
      <c r="A3780" t="inlineStr">
        <is>
          <t>No</t>
        </is>
      </c>
      <c r="B3780" t="inlineStr">
        <is>
          <t>CURAL</t>
        </is>
      </c>
      <c r="C3780" t="inlineStr">
        <is>
          <t>SHELVES</t>
        </is>
      </c>
      <c r="D3780" t="inlineStr">
        <is>
          <t>PR8718 .T64 1989</t>
        </is>
      </c>
      <c r="E3780" t="inlineStr">
        <is>
          <t>0                      PR 8718000T  64          1989</t>
        </is>
      </c>
      <c r="F3780" t="inlineStr">
        <is>
          <t>The language of Irish literature / Loreto Todd.</t>
        </is>
      </c>
      <c r="H3780" t="inlineStr">
        <is>
          <t>No</t>
        </is>
      </c>
      <c r="I3780" t="inlineStr">
        <is>
          <t>1</t>
        </is>
      </c>
      <c r="J3780" t="inlineStr">
        <is>
          <t>No</t>
        </is>
      </c>
      <c r="K3780" t="inlineStr">
        <is>
          <t>No</t>
        </is>
      </c>
      <c r="L3780" t="inlineStr">
        <is>
          <t>0</t>
        </is>
      </c>
      <c r="M3780" t="inlineStr">
        <is>
          <t>Todd, Loreto.</t>
        </is>
      </c>
      <c r="N3780" t="inlineStr">
        <is>
          <t>New York : St. Martin's Press, 1989.</t>
        </is>
      </c>
      <c r="O3780" t="inlineStr">
        <is>
          <t>1989</t>
        </is>
      </c>
      <c r="Q3780" t="inlineStr">
        <is>
          <t>eng</t>
        </is>
      </c>
      <c r="R3780" t="inlineStr">
        <is>
          <t>nyu</t>
        </is>
      </c>
      <c r="S3780" t="inlineStr">
        <is>
          <t>The Language of literature</t>
        </is>
      </c>
      <c r="T3780" t="inlineStr">
        <is>
          <t xml:space="preserve">PR </t>
        </is>
      </c>
      <c r="U3780" t="n">
        <v>6</v>
      </c>
      <c r="V3780" t="n">
        <v>6</v>
      </c>
      <c r="W3780" t="inlineStr">
        <is>
          <t>2003-12-14</t>
        </is>
      </c>
      <c r="X3780" t="inlineStr">
        <is>
          <t>2003-12-14</t>
        </is>
      </c>
      <c r="Y3780" t="inlineStr">
        <is>
          <t>1990-05-04</t>
        </is>
      </c>
      <c r="Z3780" t="inlineStr">
        <is>
          <t>1990-05-04</t>
        </is>
      </c>
      <c r="AA3780" t="n">
        <v>148</v>
      </c>
      <c r="AB3780" t="n">
        <v>131</v>
      </c>
      <c r="AC3780" t="n">
        <v>193</v>
      </c>
      <c r="AD3780" t="n">
        <v>1</v>
      </c>
      <c r="AE3780" t="n">
        <v>2</v>
      </c>
      <c r="AF3780" t="n">
        <v>8</v>
      </c>
      <c r="AG3780" t="n">
        <v>10</v>
      </c>
      <c r="AH3780" t="n">
        <v>3</v>
      </c>
      <c r="AI3780" t="n">
        <v>3</v>
      </c>
      <c r="AJ3780" t="n">
        <v>2</v>
      </c>
      <c r="AK3780" t="n">
        <v>3</v>
      </c>
      <c r="AL3780" t="n">
        <v>5</v>
      </c>
      <c r="AM3780" t="n">
        <v>6</v>
      </c>
      <c r="AN3780" t="n">
        <v>0</v>
      </c>
      <c r="AO3780" t="n">
        <v>1</v>
      </c>
      <c r="AP3780" t="n">
        <v>0</v>
      </c>
      <c r="AQ3780" t="n">
        <v>0</v>
      </c>
      <c r="AR3780" t="inlineStr">
        <is>
          <t>No</t>
        </is>
      </c>
      <c r="AS3780" t="inlineStr">
        <is>
          <t>No</t>
        </is>
      </c>
      <c r="AU3780">
        <f>HYPERLINK("https://creighton-primo.hosted.exlibrisgroup.com/primo-explore/search?tab=default_tab&amp;search_scope=EVERYTHING&amp;vid=01CRU&amp;lang=en_US&amp;offset=0&amp;query=any,contains,991001395509702656","Catalog Record")</f>
        <v/>
      </c>
      <c r="AV3780">
        <f>HYPERLINK("http://www.worldcat.org/oclc/18781226","WorldCat Record")</f>
        <v/>
      </c>
      <c r="AW3780" t="inlineStr">
        <is>
          <t>18897877:eng</t>
        </is>
      </c>
      <c r="AX3780" t="inlineStr">
        <is>
          <t>18781226</t>
        </is>
      </c>
      <c r="AY3780" t="inlineStr">
        <is>
          <t>991001395509702656</t>
        </is>
      </c>
      <c r="AZ3780" t="inlineStr">
        <is>
          <t>991001395509702656</t>
        </is>
      </c>
      <c r="BA3780" t="inlineStr">
        <is>
          <t>2260930640002656</t>
        </is>
      </c>
      <c r="BB3780" t="inlineStr">
        <is>
          <t>BOOK</t>
        </is>
      </c>
      <c r="BD3780" t="inlineStr">
        <is>
          <t>9780312028428</t>
        </is>
      </c>
      <c r="BE3780" t="inlineStr">
        <is>
          <t>32285000119692</t>
        </is>
      </c>
      <c r="BF3780" t="inlineStr">
        <is>
          <t>893621310</t>
        </is>
      </c>
    </row>
    <row r="3781">
      <c r="A3781" t="inlineStr">
        <is>
          <t>No</t>
        </is>
      </c>
      <c r="B3781" t="inlineStr">
        <is>
          <t>CURAL</t>
        </is>
      </c>
      <c r="C3781" t="inlineStr">
        <is>
          <t>SHELVES</t>
        </is>
      </c>
      <c r="D3781" t="inlineStr">
        <is>
          <t>PR8718 .T73 1998</t>
        </is>
      </c>
      <c r="E3781" t="inlineStr">
        <is>
          <t>0                      PR 8718000T  73          1998</t>
        </is>
      </c>
      <c r="F3781" t="inlineStr">
        <is>
          <t>The unappeasable host : studies in Irish identities / Robert Tracy.</t>
        </is>
      </c>
      <c r="H3781" t="inlineStr">
        <is>
          <t>No</t>
        </is>
      </c>
      <c r="I3781" t="inlineStr">
        <is>
          <t>1</t>
        </is>
      </c>
      <c r="J3781" t="inlineStr">
        <is>
          <t>No</t>
        </is>
      </c>
      <c r="K3781" t="inlineStr">
        <is>
          <t>No</t>
        </is>
      </c>
      <c r="L3781" t="inlineStr">
        <is>
          <t>0</t>
        </is>
      </c>
      <c r="M3781" t="inlineStr">
        <is>
          <t>Tracy, Robert, 1928-</t>
        </is>
      </c>
      <c r="N3781" t="inlineStr">
        <is>
          <t>Dublin : University College Dublin Press ; Chester Springs, PA : U.S. distributor Dufour Editions, 1998.</t>
        </is>
      </c>
      <c r="O3781" t="inlineStr">
        <is>
          <t>1998</t>
        </is>
      </c>
      <c r="Q3781" t="inlineStr">
        <is>
          <t>eng</t>
        </is>
      </c>
      <c r="R3781" t="inlineStr">
        <is>
          <t xml:space="preserve">ie </t>
        </is>
      </c>
      <c r="T3781" t="inlineStr">
        <is>
          <t xml:space="preserve">PR </t>
        </is>
      </c>
      <c r="U3781" t="n">
        <v>5</v>
      </c>
      <c r="V3781" t="n">
        <v>5</v>
      </c>
      <c r="W3781" t="inlineStr">
        <is>
          <t>2004-10-26</t>
        </is>
      </c>
      <c r="X3781" t="inlineStr">
        <is>
          <t>2004-10-26</t>
        </is>
      </c>
      <c r="Y3781" t="inlineStr">
        <is>
          <t>1999-05-25</t>
        </is>
      </c>
      <c r="Z3781" t="inlineStr">
        <is>
          <t>1999-05-25</t>
        </is>
      </c>
      <c r="AA3781" t="n">
        <v>355</v>
      </c>
      <c r="AB3781" t="n">
        <v>282</v>
      </c>
      <c r="AC3781" t="n">
        <v>284</v>
      </c>
      <c r="AD3781" t="n">
        <v>4</v>
      </c>
      <c r="AE3781" t="n">
        <v>4</v>
      </c>
      <c r="AF3781" t="n">
        <v>26</v>
      </c>
      <c r="AG3781" t="n">
        <v>26</v>
      </c>
      <c r="AH3781" t="n">
        <v>10</v>
      </c>
      <c r="AI3781" t="n">
        <v>10</v>
      </c>
      <c r="AJ3781" t="n">
        <v>8</v>
      </c>
      <c r="AK3781" t="n">
        <v>8</v>
      </c>
      <c r="AL3781" t="n">
        <v>12</v>
      </c>
      <c r="AM3781" t="n">
        <v>12</v>
      </c>
      <c r="AN3781" t="n">
        <v>3</v>
      </c>
      <c r="AO3781" t="n">
        <v>3</v>
      </c>
      <c r="AP3781" t="n">
        <v>0</v>
      </c>
      <c r="AQ3781" t="n">
        <v>0</v>
      </c>
      <c r="AR3781" t="inlineStr">
        <is>
          <t>No</t>
        </is>
      </c>
      <c r="AS3781" t="inlineStr">
        <is>
          <t>Yes</t>
        </is>
      </c>
      <c r="AT3781">
        <f>HYPERLINK("http://catalog.hathitrust.org/Record/004025978","HathiTrust Record")</f>
        <v/>
      </c>
      <c r="AU3781">
        <f>HYPERLINK("https://creighton-primo.hosted.exlibrisgroup.com/primo-explore/search?tab=default_tab&amp;search_scope=EVERYTHING&amp;vid=01CRU&amp;lang=en_US&amp;offset=0&amp;query=any,contains,991002959209702656","Catalog Record")</f>
        <v/>
      </c>
      <c r="AV3781">
        <f>HYPERLINK("http://www.worldcat.org/oclc/39534343","WorldCat Record")</f>
        <v/>
      </c>
      <c r="AW3781" t="inlineStr">
        <is>
          <t>836970682:eng</t>
        </is>
      </c>
      <c r="AX3781" t="inlineStr">
        <is>
          <t>39534343</t>
        </is>
      </c>
      <c r="AY3781" t="inlineStr">
        <is>
          <t>991002959209702656</t>
        </is>
      </c>
      <c r="AZ3781" t="inlineStr">
        <is>
          <t>991002959209702656</t>
        </is>
      </c>
      <c r="BA3781" t="inlineStr">
        <is>
          <t>2257512910002656</t>
        </is>
      </c>
      <c r="BB3781" t="inlineStr">
        <is>
          <t>BOOK</t>
        </is>
      </c>
      <c r="BD3781" t="inlineStr">
        <is>
          <t>9781900621069</t>
        </is>
      </c>
      <c r="BE3781" t="inlineStr">
        <is>
          <t>32285003571709</t>
        </is>
      </c>
      <c r="BF3781" t="inlineStr">
        <is>
          <t>893498769</t>
        </is>
      </c>
    </row>
    <row r="3782">
      <c r="A3782" t="inlineStr">
        <is>
          <t>No</t>
        </is>
      </c>
      <c r="B3782" t="inlineStr">
        <is>
          <t>CURAL</t>
        </is>
      </c>
      <c r="C3782" t="inlineStr">
        <is>
          <t>SHELVES</t>
        </is>
      </c>
      <c r="D3782" t="inlineStr">
        <is>
          <t>PR8722.F35 M6 1991</t>
        </is>
      </c>
      <c r="E3782" t="inlineStr">
        <is>
          <t>0                      PR 8722000F  35                 M  6           1991</t>
        </is>
      </c>
      <c r="F3782" t="inlineStr">
        <is>
          <t>More real than reality : the fantastic in Irish literature and the arts / edited by Donald E. Morse and Csilla Bertha.</t>
        </is>
      </c>
      <c r="H3782" t="inlineStr">
        <is>
          <t>No</t>
        </is>
      </c>
      <c r="I3782" t="inlineStr">
        <is>
          <t>1</t>
        </is>
      </c>
      <c r="J3782" t="inlineStr">
        <is>
          <t>No</t>
        </is>
      </c>
      <c r="K3782" t="inlineStr">
        <is>
          <t>No</t>
        </is>
      </c>
      <c r="L3782" t="inlineStr">
        <is>
          <t>0</t>
        </is>
      </c>
      <c r="N3782" t="inlineStr">
        <is>
          <t>New York : Greenwood Press, 1991.</t>
        </is>
      </c>
      <c r="O3782" t="inlineStr">
        <is>
          <t>1991</t>
        </is>
      </c>
      <c r="Q3782" t="inlineStr">
        <is>
          <t>eng</t>
        </is>
      </c>
      <c r="R3782" t="inlineStr">
        <is>
          <t>nyu</t>
        </is>
      </c>
      <c r="S3782" t="inlineStr">
        <is>
          <t>Contributions to the study of science fiction and fantasy, 0193-6875 ; no. 45</t>
        </is>
      </c>
      <c r="T3782" t="inlineStr">
        <is>
          <t xml:space="preserve">PR </t>
        </is>
      </c>
      <c r="U3782" t="n">
        <v>4</v>
      </c>
      <c r="V3782" t="n">
        <v>4</v>
      </c>
      <c r="W3782" t="inlineStr">
        <is>
          <t>2006-04-13</t>
        </is>
      </c>
      <c r="X3782" t="inlineStr">
        <is>
          <t>2006-04-13</t>
        </is>
      </c>
      <c r="Y3782" t="inlineStr">
        <is>
          <t>1992-04-22</t>
        </is>
      </c>
      <c r="Z3782" t="inlineStr">
        <is>
          <t>1992-04-22</t>
        </is>
      </c>
      <c r="AA3782" t="n">
        <v>302</v>
      </c>
      <c r="AB3782" t="n">
        <v>233</v>
      </c>
      <c r="AC3782" t="n">
        <v>235</v>
      </c>
      <c r="AD3782" t="n">
        <v>3</v>
      </c>
      <c r="AE3782" t="n">
        <v>3</v>
      </c>
      <c r="AF3782" t="n">
        <v>14</v>
      </c>
      <c r="AG3782" t="n">
        <v>14</v>
      </c>
      <c r="AH3782" t="n">
        <v>6</v>
      </c>
      <c r="AI3782" t="n">
        <v>6</v>
      </c>
      <c r="AJ3782" t="n">
        <v>5</v>
      </c>
      <c r="AK3782" t="n">
        <v>5</v>
      </c>
      <c r="AL3782" t="n">
        <v>8</v>
      </c>
      <c r="AM3782" t="n">
        <v>8</v>
      </c>
      <c r="AN3782" t="n">
        <v>2</v>
      </c>
      <c r="AO3782" t="n">
        <v>2</v>
      </c>
      <c r="AP3782" t="n">
        <v>0</v>
      </c>
      <c r="AQ3782" t="n">
        <v>0</v>
      </c>
      <c r="AR3782" t="inlineStr">
        <is>
          <t>No</t>
        </is>
      </c>
      <c r="AS3782" t="inlineStr">
        <is>
          <t>Yes</t>
        </is>
      </c>
      <c r="AT3782">
        <f>HYPERLINK("http://catalog.hathitrust.org/Record/002549552","HathiTrust Record")</f>
        <v/>
      </c>
      <c r="AU3782">
        <f>HYPERLINK("https://creighton-primo.hosted.exlibrisgroup.com/primo-explore/search?tab=default_tab&amp;search_scope=EVERYTHING&amp;vid=01CRU&amp;lang=en_US&amp;offset=0&amp;query=any,contains,991001775519702656","Catalog Record")</f>
        <v/>
      </c>
      <c r="AV3782">
        <f>HYPERLINK("http://www.worldcat.org/oclc/22420976","WorldCat Record")</f>
        <v/>
      </c>
      <c r="AW3782" t="inlineStr">
        <is>
          <t>808710557:eng</t>
        </is>
      </c>
      <c r="AX3782" t="inlineStr">
        <is>
          <t>22420976</t>
        </is>
      </c>
      <c r="AY3782" t="inlineStr">
        <is>
          <t>991001775519702656</t>
        </is>
      </c>
      <c r="AZ3782" t="inlineStr">
        <is>
          <t>991001775519702656</t>
        </is>
      </c>
      <c r="BA3782" t="inlineStr">
        <is>
          <t>2272189860002656</t>
        </is>
      </c>
      <c r="BB3782" t="inlineStr">
        <is>
          <t>BOOK</t>
        </is>
      </c>
      <c r="BD3782" t="inlineStr">
        <is>
          <t>9780313266126</t>
        </is>
      </c>
      <c r="BE3782" t="inlineStr">
        <is>
          <t>32285001036291</t>
        </is>
      </c>
      <c r="BF3782" t="inlineStr">
        <is>
          <t>893433134</t>
        </is>
      </c>
    </row>
    <row r="3783">
      <c r="A3783" t="inlineStr">
        <is>
          <t>No</t>
        </is>
      </c>
      <c r="B3783" t="inlineStr">
        <is>
          <t>CURAL</t>
        </is>
      </c>
      <c r="C3783" t="inlineStr">
        <is>
          <t>SHELVES</t>
        </is>
      </c>
      <c r="D3783" t="inlineStr">
        <is>
          <t>PR8722.P64 R488 1995</t>
        </is>
      </c>
      <c r="E3783" t="inlineStr">
        <is>
          <t>0                      PR 8722000P  64                 R  488         1995</t>
        </is>
      </c>
      <c r="F3783" t="inlineStr">
        <is>
          <t>Returning to ourselves : second volume of papers from the John Hewitt International Summer School / edited by Eve Patten.</t>
        </is>
      </c>
      <c r="H3783" t="inlineStr">
        <is>
          <t>No</t>
        </is>
      </c>
      <c r="I3783" t="inlineStr">
        <is>
          <t>1</t>
        </is>
      </c>
      <c r="J3783" t="inlineStr">
        <is>
          <t>No</t>
        </is>
      </c>
      <c r="K3783" t="inlineStr">
        <is>
          <t>No</t>
        </is>
      </c>
      <c r="L3783" t="inlineStr">
        <is>
          <t>0</t>
        </is>
      </c>
      <c r="N3783" t="inlineStr">
        <is>
          <t>Belfast : Lagan Press, 1995.</t>
        </is>
      </c>
      <c r="O3783" t="inlineStr">
        <is>
          <t>1995</t>
        </is>
      </c>
      <c r="Q3783" t="inlineStr">
        <is>
          <t>eng</t>
        </is>
      </c>
      <c r="R3783" t="inlineStr">
        <is>
          <t>nik</t>
        </is>
      </c>
      <c r="T3783" t="inlineStr">
        <is>
          <t xml:space="preserve">PR </t>
        </is>
      </c>
      <c r="U3783" t="n">
        <v>3</v>
      </c>
      <c r="V3783" t="n">
        <v>3</v>
      </c>
      <c r="W3783" t="inlineStr">
        <is>
          <t>1998-11-20</t>
        </is>
      </c>
      <c r="X3783" t="inlineStr">
        <is>
          <t>1998-11-20</t>
        </is>
      </c>
      <c r="Y3783" t="inlineStr">
        <is>
          <t>1996-03-28</t>
        </is>
      </c>
      <c r="Z3783" t="inlineStr">
        <is>
          <t>1996-03-28</t>
        </is>
      </c>
      <c r="AA3783" t="n">
        <v>74</v>
      </c>
      <c r="AB3783" t="n">
        <v>54</v>
      </c>
      <c r="AC3783" t="n">
        <v>56</v>
      </c>
      <c r="AD3783" t="n">
        <v>1</v>
      </c>
      <c r="AE3783" t="n">
        <v>1</v>
      </c>
      <c r="AF3783" t="n">
        <v>3</v>
      </c>
      <c r="AG3783" t="n">
        <v>3</v>
      </c>
      <c r="AH3783" t="n">
        <v>0</v>
      </c>
      <c r="AI3783" t="n">
        <v>0</v>
      </c>
      <c r="AJ3783" t="n">
        <v>2</v>
      </c>
      <c r="AK3783" t="n">
        <v>2</v>
      </c>
      <c r="AL3783" t="n">
        <v>2</v>
      </c>
      <c r="AM3783" t="n">
        <v>2</v>
      </c>
      <c r="AN3783" t="n">
        <v>0</v>
      </c>
      <c r="AO3783" t="n">
        <v>0</v>
      </c>
      <c r="AP3783" t="n">
        <v>0</v>
      </c>
      <c r="AQ3783" t="n">
        <v>0</v>
      </c>
      <c r="AR3783" t="inlineStr">
        <is>
          <t>No</t>
        </is>
      </c>
      <c r="AS3783" t="inlineStr">
        <is>
          <t>Yes</t>
        </is>
      </c>
      <c r="AT3783">
        <f>HYPERLINK("http://catalog.hathitrust.org/Record/003057375","HathiTrust Record")</f>
        <v/>
      </c>
      <c r="AU3783">
        <f>HYPERLINK("https://creighton-primo.hosted.exlibrisgroup.com/primo-explore/search?tab=default_tab&amp;search_scope=EVERYTHING&amp;vid=01CRU&amp;lang=en_US&amp;offset=0&amp;query=any,contains,991002608839702656","Catalog Record")</f>
        <v/>
      </c>
      <c r="AV3783">
        <f>HYPERLINK("http://www.worldcat.org/oclc/34597426","WorldCat Record")</f>
        <v/>
      </c>
      <c r="AW3783" t="inlineStr">
        <is>
          <t>836949974:eng</t>
        </is>
      </c>
      <c r="AX3783" t="inlineStr">
        <is>
          <t>34597426</t>
        </is>
      </c>
      <c r="AY3783" t="inlineStr">
        <is>
          <t>991002608839702656</t>
        </is>
      </c>
      <c r="AZ3783" t="inlineStr">
        <is>
          <t>991002608839702656</t>
        </is>
      </c>
      <c r="BA3783" t="inlineStr">
        <is>
          <t>2258234000002656</t>
        </is>
      </c>
      <c r="BB3783" t="inlineStr">
        <is>
          <t>BOOK</t>
        </is>
      </c>
      <c r="BD3783" t="inlineStr">
        <is>
          <t>9781873687567</t>
        </is>
      </c>
      <c r="BE3783" t="inlineStr">
        <is>
          <t>32285002147865</t>
        </is>
      </c>
      <c r="BF3783" t="inlineStr">
        <is>
          <t>893409308</t>
        </is>
      </c>
    </row>
    <row r="3784">
      <c r="A3784" t="inlineStr">
        <is>
          <t>No</t>
        </is>
      </c>
      <c r="B3784" t="inlineStr">
        <is>
          <t>CURAL</t>
        </is>
      </c>
      <c r="C3784" t="inlineStr">
        <is>
          <t>SHELVES</t>
        </is>
      </c>
      <c r="D3784" t="inlineStr">
        <is>
          <t>PR8727 .K4 1991</t>
        </is>
      </c>
      <c r="E3784" t="inlineStr">
        <is>
          <t>0                      PR 8727000K  4           1991</t>
        </is>
      </c>
      <c r="F3784" t="inlineStr">
        <is>
          <t>Literary Dublin : a history / Herbert A. Kenny.</t>
        </is>
      </c>
      <c r="H3784" t="inlineStr">
        <is>
          <t>No</t>
        </is>
      </c>
      <c r="I3784" t="inlineStr">
        <is>
          <t>1</t>
        </is>
      </c>
      <c r="J3784" t="inlineStr">
        <is>
          <t>No</t>
        </is>
      </c>
      <c r="K3784" t="inlineStr">
        <is>
          <t>No</t>
        </is>
      </c>
      <c r="L3784" t="inlineStr">
        <is>
          <t>0</t>
        </is>
      </c>
      <c r="M3784" t="inlineStr">
        <is>
          <t>Kenny, Herbert A.</t>
        </is>
      </c>
      <c r="N3784" t="inlineStr">
        <is>
          <t>Dublin : Gill and Macmillan, 1991.</t>
        </is>
      </c>
      <c r="O3784" t="inlineStr">
        <is>
          <t>1991</t>
        </is>
      </c>
      <c r="P3784" t="inlineStr">
        <is>
          <t>New and rev. ed.</t>
        </is>
      </c>
      <c r="Q3784" t="inlineStr">
        <is>
          <t>eng</t>
        </is>
      </c>
      <c r="R3784" t="inlineStr">
        <is>
          <t xml:space="preserve">ie </t>
        </is>
      </c>
      <c r="T3784" t="inlineStr">
        <is>
          <t xml:space="preserve">PR </t>
        </is>
      </c>
      <c r="U3784" t="n">
        <v>7</v>
      </c>
      <c r="V3784" t="n">
        <v>7</v>
      </c>
      <c r="W3784" t="inlineStr">
        <is>
          <t>2003-04-23</t>
        </is>
      </c>
      <c r="X3784" t="inlineStr">
        <is>
          <t>2003-04-23</t>
        </is>
      </c>
      <c r="Y3784" t="inlineStr">
        <is>
          <t>1992-05-15</t>
        </is>
      </c>
      <c r="Z3784" t="inlineStr">
        <is>
          <t>1992-05-15</t>
        </is>
      </c>
      <c r="AA3784" t="n">
        <v>47</v>
      </c>
      <c r="AB3784" t="n">
        <v>24</v>
      </c>
      <c r="AC3784" t="n">
        <v>624</v>
      </c>
      <c r="AD3784" t="n">
        <v>1</v>
      </c>
      <c r="AE3784" t="n">
        <v>5</v>
      </c>
      <c r="AF3784" t="n">
        <v>2</v>
      </c>
      <c r="AG3784" t="n">
        <v>34</v>
      </c>
      <c r="AH3784" t="n">
        <v>0</v>
      </c>
      <c r="AI3784" t="n">
        <v>14</v>
      </c>
      <c r="AJ3784" t="n">
        <v>0</v>
      </c>
      <c r="AK3784" t="n">
        <v>8</v>
      </c>
      <c r="AL3784" t="n">
        <v>2</v>
      </c>
      <c r="AM3784" t="n">
        <v>18</v>
      </c>
      <c r="AN3784" t="n">
        <v>0</v>
      </c>
      <c r="AO3784" t="n">
        <v>4</v>
      </c>
      <c r="AP3784" t="n">
        <v>0</v>
      </c>
      <c r="AQ3784" t="n">
        <v>0</v>
      </c>
      <c r="AR3784" t="inlineStr">
        <is>
          <t>No</t>
        </is>
      </c>
      <c r="AS3784" t="inlineStr">
        <is>
          <t>Yes</t>
        </is>
      </c>
      <c r="AT3784">
        <f>HYPERLINK("http://catalog.hathitrust.org/Record/002487979","HathiTrust Record")</f>
        <v/>
      </c>
      <c r="AU3784">
        <f>HYPERLINK("https://creighton-primo.hosted.exlibrisgroup.com/primo-explore/search?tab=default_tab&amp;search_scope=EVERYTHING&amp;vid=01CRU&amp;lang=en_US&amp;offset=0&amp;query=any,contains,991001932969702656","Catalog Record")</f>
        <v/>
      </c>
      <c r="AV3784">
        <f>HYPERLINK("http://www.worldcat.org/oclc/29256786","WorldCat Record")</f>
        <v/>
      </c>
      <c r="AW3784" t="inlineStr">
        <is>
          <t>1833234:eng</t>
        </is>
      </c>
      <c r="AX3784" t="inlineStr">
        <is>
          <t>29256786</t>
        </is>
      </c>
      <c r="AY3784" t="inlineStr">
        <is>
          <t>991001932969702656</t>
        </is>
      </c>
      <c r="AZ3784" t="inlineStr">
        <is>
          <t>991001932969702656</t>
        </is>
      </c>
      <c r="BA3784" t="inlineStr">
        <is>
          <t>2271869140002656</t>
        </is>
      </c>
      <c r="BB3784" t="inlineStr">
        <is>
          <t>BOOK</t>
        </is>
      </c>
      <c r="BD3784" t="inlineStr">
        <is>
          <t>9780717118281</t>
        </is>
      </c>
      <c r="BE3784" t="inlineStr">
        <is>
          <t>32285001116424</t>
        </is>
      </c>
      <c r="BF3784" t="inlineStr">
        <is>
          <t>893256647</t>
        </is>
      </c>
    </row>
    <row r="3785">
      <c r="A3785" t="inlineStr">
        <is>
          <t>No</t>
        </is>
      </c>
      <c r="B3785" t="inlineStr">
        <is>
          <t>CURAL</t>
        </is>
      </c>
      <c r="C3785" t="inlineStr">
        <is>
          <t>SHELVES</t>
        </is>
      </c>
      <c r="D3785" t="inlineStr">
        <is>
          <t>PR8727 .R6 1973</t>
        </is>
      </c>
      <c r="E3785" t="inlineStr">
        <is>
          <t>0                      PR 8727000R  6           1973</t>
        </is>
      </c>
      <c r="F3785" t="inlineStr">
        <is>
          <t>Irish literary portraits : W. B. Yeats, James Joyce, George Moore, J. M. Synge, George Bernard Shaw, Oliver St. John Gogarty, F. R. Higgins, AE (George Russell) / edited by W. R. Rodgers from his broadcast conversations with those who knew them.</t>
        </is>
      </c>
      <c r="H3785" t="inlineStr">
        <is>
          <t>No</t>
        </is>
      </c>
      <c r="I3785" t="inlineStr">
        <is>
          <t>1</t>
        </is>
      </c>
      <c r="J3785" t="inlineStr">
        <is>
          <t>No</t>
        </is>
      </c>
      <c r="K3785" t="inlineStr">
        <is>
          <t>No</t>
        </is>
      </c>
      <c r="L3785" t="inlineStr">
        <is>
          <t>0</t>
        </is>
      </c>
      <c r="M3785" t="inlineStr">
        <is>
          <t>Rodgers, W. R. (William Robert), 1909-1969.</t>
        </is>
      </c>
      <c r="N3785" t="inlineStr">
        <is>
          <t>New York : Taplinger, [1973, c1972]</t>
        </is>
      </c>
      <c r="O3785" t="inlineStr">
        <is>
          <t>1973</t>
        </is>
      </c>
      <c r="Q3785" t="inlineStr">
        <is>
          <t>eng</t>
        </is>
      </c>
      <c r="R3785" t="inlineStr">
        <is>
          <t>nyu</t>
        </is>
      </c>
      <c r="T3785" t="inlineStr">
        <is>
          <t xml:space="preserve">PR </t>
        </is>
      </c>
      <c r="U3785" t="n">
        <v>1</v>
      </c>
      <c r="V3785" t="n">
        <v>1</v>
      </c>
      <c r="W3785" t="inlineStr">
        <is>
          <t>2004-12-12</t>
        </is>
      </c>
      <c r="X3785" t="inlineStr">
        <is>
          <t>2004-12-12</t>
        </is>
      </c>
      <c r="Y3785" t="inlineStr">
        <is>
          <t>1995-10-05</t>
        </is>
      </c>
      <c r="Z3785" t="inlineStr">
        <is>
          <t>1995-10-05</t>
        </is>
      </c>
      <c r="AA3785" t="n">
        <v>489</v>
      </c>
      <c r="AB3785" t="n">
        <v>456</v>
      </c>
      <c r="AC3785" t="n">
        <v>463</v>
      </c>
      <c r="AD3785" t="n">
        <v>3</v>
      </c>
      <c r="AE3785" t="n">
        <v>3</v>
      </c>
      <c r="AF3785" t="n">
        <v>24</v>
      </c>
      <c r="AG3785" t="n">
        <v>24</v>
      </c>
      <c r="AH3785" t="n">
        <v>8</v>
      </c>
      <c r="AI3785" t="n">
        <v>8</v>
      </c>
      <c r="AJ3785" t="n">
        <v>7</v>
      </c>
      <c r="AK3785" t="n">
        <v>7</v>
      </c>
      <c r="AL3785" t="n">
        <v>11</v>
      </c>
      <c r="AM3785" t="n">
        <v>11</v>
      </c>
      <c r="AN3785" t="n">
        <v>2</v>
      </c>
      <c r="AO3785" t="n">
        <v>2</v>
      </c>
      <c r="AP3785" t="n">
        <v>0</v>
      </c>
      <c r="AQ3785" t="n">
        <v>0</v>
      </c>
      <c r="AR3785" t="inlineStr">
        <is>
          <t>No</t>
        </is>
      </c>
      <c r="AS3785" t="inlineStr">
        <is>
          <t>Yes</t>
        </is>
      </c>
      <c r="AT3785">
        <f>HYPERLINK("http://catalog.hathitrust.org/Record/001371154","HathiTrust Record")</f>
        <v/>
      </c>
      <c r="AU3785">
        <f>HYPERLINK("https://creighton-primo.hosted.exlibrisgroup.com/primo-explore/search?tab=default_tab&amp;search_scope=EVERYTHING&amp;vid=01CRU&amp;lang=en_US&amp;offset=0&amp;query=any,contains,991003089749702656","Catalog Record")</f>
        <v/>
      </c>
      <c r="AV3785">
        <f>HYPERLINK("http://www.worldcat.org/oclc/640213","WorldCat Record")</f>
        <v/>
      </c>
      <c r="AW3785" t="inlineStr">
        <is>
          <t>8910588619:eng</t>
        </is>
      </c>
      <c r="AX3785" t="inlineStr">
        <is>
          <t>640213</t>
        </is>
      </c>
      <c r="AY3785" t="inlineStr">
        <is>
          <t>991003089749702656</t>
        </is>
      </c>
      <c r="AZ3785" t="inlineStr">
        <is>
          <t>991003089749702656</t>
        </is>
      </c>
      <c r="BA3785" t="inlineStr">
        <is>
          <t>2263293450002656</t>
        </is>
      </c>
      <c r="BB3785" t="inlineStr">
        <is>
          <t>BOOK</t>
        </is>
      </c>
      <c r="BD3785" t="inlineStr">
        <is>
          <t>9780800842499</t>
        </is>
      </c>
      <c r="BE3785" t="inlineStr">
        <is>
          <t>32285002067477</t>
        </is>
      </c>
      <c r="BF3785" t="inlineStr">
        <is>
          <t>893258063</t>
        </is>
      </c>
    </row>
    <row r="3786">
      <c r="A3786" t="inlineStr">
        <is>
          <t>No</t>
        </is>
      </c>
      <c r="B3786" t="inlineStr">
        <is>
          <t>CURAL</t>
        </is>
      </c>
      <c r="C3786" t="inlineStr">
        <is>
          <t>SHELVES</t>
        </is>
      </c>
      <c r="D3786" t="inlineStr">
        <is>
          <t>PR873 .C4 1958</t>
        </is>
      </c>
      <c r="E3786" t="inlineStr">
        <is>
          <t>0                      PR 0873000C  4           1958</t>
        </is>
      </c>
      <c r="F3786" t="inlineStr">
        <is>
          <t>Victorian novelists : essays in revaluation / With a new foreword by the author.</t>
        </is>
      </c>
      <c r="H3786" t="inlineStr">
        <is>
          <t>No</t>
        </is>
      </c>
      <c r="I3786" t="inlineStr">
        <is>
          <t>1</t>
        </is>
      </c>
      <c r="J3786" t="inlineStr">
        <is>
          <t>No</t>
        </is>
      </c>
      <c r="K3786" t="inlineStr">
        <is>
          <t>No</t>
        </is>
      </c>
      <c r="L3786" t="inlineStr">
        <is>
          <t>0</t>
        </is>
      </c>
      <c r="M3786" t="inlineStr">
        <is>
          <t>Cecil, David, 1902-1986.</t>
        </is>
      </c>
      <c r="N3786" t="inlineStr">
        <is>
          <t>[Chicago] University of Chicago Press [1958]</t>
        </is>
      </c>
      <c r="O3786" t="inlineStr">
        <is>
          <t>1958</t>
        </is>
      </c>
      <c r="Q3786" t="inlineStr">
        <is>
          <t>eng</t>
        </is>
      </c>
      <c r="R3786" t="inlineStr">
        <is>
          <t>ilu</t>
        </is>
      </c>
      <c r="T3786" t="inlineStr">
        <is>
          <t xml:space="preserve">PR </t>
        </is>
      </c>
      <c r="U3786" t="n">
        <v>1</v>
      </c>
      <c r="V3786" t="n">
        <v>1</v>
      </c>
      <c r="W3786" t="inlineStr">
        <is>
          <t>2004-04-17</t>
        </is>
      </c>
      <c r="X3786" t="inlineStr">
        <is>
          <t>2004-04-17</t>
        </is>
      </c>
      <c r="Y3786" t="inlineStr">
        <is>
          <t>1997-09-17</t>
        </is>
      </c>
      <c r="Z3786" t="inlineStr">
        <is>
          <t>1997-09-17</t>
        </is>
      </c>
      <c r="AA3786" t="n">
        <v>1029</v>
      </c>
      <c r="AB3786" t="n">
        <v>977</v>
      </c>
      <c r="AC3786" t="n">
        <v>1088</v>
      </c>
      <c r="AD3786" t="n">
        <v>7</v>
      </c>
      <c r="AE3786" t="n">
        <v>9</v>
      </c>
      <c r="AF3786" t="n">
        <v>38</v>
      </c>
      <c r="AG3786" t="n">
        <v>42</v>
      </c>
      <c r="AH3786" t="n">
        <v>14</v>
      </c>
      <c r="AI3786" t="n">
        <v>15</v>
      </c>
      <c r="AJ3786" t="n">
        <v>7</v>
      </c>
      <c r="AK3786" t="n">
        <v>7</v>
      </c>
      <c r="AL3786" t="n">
        <v>18</v>
      </c>
      <c r="AM3786" t="n">
        <v>20</v>
      </c>
      <c r="AN3786" t="n">
        <v>6</v>
      </c>
      <c r="AO3786" t="n">
        <v>7</v>
      </c>
      <c r="AP3786" t="n">
        <v>0</v>
      </c>
      <c r="AQ3786" t="n">
        <v>0</v>
      </c>
      <c r="AR3786" t="inlineStr">
        <is>
          <t>No</t>
        </is>
      </c>
      <c r="AS3786" t="inlineStr">
        <is>
          <t>No</t>
        </is>
      </c>
      <c r="AT3786">
        <f>HYPERLINK("http://catalog.hathitrust.org/Record/001370710","HathiTrust Record")</f>
        <v/>
      </c>
      <c r="AU3786">
        <f>HYPERLINK("https://creighton-primo.hosted.exlibrisgroup.com/primo-explore/search?tab=default_tab&amp;search_scope=EVERYTHING&amp;vid=01CRU&amp;lang=en_US&amp;offset=0&amp;query=any,contains,991002441739702656","Catalog Record")</f>
        <v/>
      </c>
      <c r="AV3786">
        <f>HYPERLINK("http://www.worldcat.org/oclc/350346","WorldCat Record")</f>
        <v/>
      </c>
      <c r="AW3786" t="inlineStr">
        <is>
          <t>3749740437:eng</t>
        </is>
      </c>
      <c r="AX3786" t="inlineStr">
        <is>
          <t>350346</t>
        </is>
      </c>
      <c r="AY3786" t="inlineStr">
        <is>
          <t>991002441739702656</t>
        </is>
      </c>
      <c r="AZ3786" t="inlineStr">
        <is>
          <t>991002441739702656</t>
        </is>
      </c>
      <c r="BA3786" t="inlineStr">
        <is>
          <t>2268730030002656</t>
        </is>
      </c>
      <c r="BB3786" t="inlineStr">
        <is>
          <t>BOOK</t>
        </is>
      </c>
      <c r="BE3786" t="inlineStr">
        <is>
          <t>32285003216784</t>
        </is>
      </c>
      <c r="BF3786" t="inlineStr">
        <is>
          <t>893691617</t>
        </is>
      </c>
    </row>
    <row r="3787">
      <c r="A3787" t="inlineStr">
        <is>
          <t>No</t>
        </is>
      </c>
      <c r="B3787" t="inlineStr">
        <is>
          <t>CURAL</t>
        </is>
      </c>
      <c r="C3787" t="inlineStr">
        <is>
          <t>SHELVES</t>
        </is>
      </c>
      <c r="D3787" t="inlineStr">
        <is>
          <t>PR873 .H6 1953</t>
        </is>
      </c>
      <c r="E3787" t="inlineStr">
        <is>
          <t>0                      PR 0873000H  6           1953</t>
        </is>
      </c>
      <c r="F3787" t="inlineStr">
        <is>
          <t>Some studies in the modern novel.</t>
        </is>
      </c>
      <c r="H3787" t="inlineStr">
        <is>
          <t>No</t>
        </is>
      </c>
      <c r="I3787" t="inlineStr">
        <is>
          <t>1</t>
        </is>
      </c>
      <c r="J3787" t="inlineStr">
        <is>
          <t>No</t>
        </is>
      </c>
      <c r="K3787" t="inlineStr">
        <is>
          <t>No</t>
        </is>
      </c>
      <c r="L3787" t="inlineStr">
        <is>
          <t>0</t>
        </is>
      </c>
      <c r="M3787" t="inlineStr">
        <is>
          <t>Hoare, Dorothy Mackenzie, 1901-</t>
        </is>
      </c>
      <c r="N3787" t="inlineStr">
        <is>
          <t>Philadelphia, Dufour Editions, 1953.</t>
        </is>
      </c>
      <c r="O3787" t="inlineStr">
        <is>
          <t>1953</t>
        </is>
      </c>
      <c r="Q3787" t="inlineStr">
        <is>
          <t>eng</t>
        </is>
      </c>
      <c r="R3787" t="inlineStr">
        <is>
          <t>pau</t>
        </is>
      </c>
      <c r="T3787" t="inlineStr">
        <is>
          <t xml:space="preserve">PR </t>
        </is>
      </c>
      <c r="U3787" t="n">
        <v>1</v>
      </c>
      <c r="V3787" t="n">
        <v>1</v>
      </c>
      <c r="W3787" t="inlineStr">
        <is>
          <t>2004-09-27</t>
        </is>
      </c>
      <c r="X3787" t="inlineStr">
        <is>
          <t>2004-09-27</t>
        </is>
      </c>
      <c r="Y3787" t="inlineStr">
        <is>
          <t>1997-09-17</t>
        </is>
      </c>
      <c r="Z3787" t="inlineStr">
        <is>
          <t>1997-09-17</t>
        </is>
      </c>
      <c r="AA3787" t="n">
        <v>259</v>
      </c>
      <c r="AB3787" t="n">
        <v>248</v>
      </c>
      <c r="AC3787" t="n">
        <v>807</v>
      </c>
      <c r="AD3787" t="n">
        <v>3</v>
      </c>
      <c r="AE3787" t="n">
        <v>5</v>
      </c>
      <c r="AF3787" t="n">
        <v>17</v>
      </c>
      <c r="AG3787" t="n">
        <v>38</v>
      </c>
      <c r="AH3787" t="n">
        <v>7</v>
      </c>
      <c r="AI3787" t="n">
        <v>18</v>
      </c>
      <c r="AJ3787" t="n">
        <v>2</v>
      </c>
      <c r="AK3787" t="n">
        <v>6</v>
      </c>
      <c r="AL3787" t="n">
        <v>10</v>
      </c>
      <c r="AM3787" t="n">
        <v>18</v>
      </c>
      <c r="AN3787" t="n">
        <v>2</v>
      </c>
      <c r="AO3787" t="n">
        <v>4</v>
      </c>
      <c r="AP3787" t="n">
        <v>0</v>
      </c>
      <c r="AQ3787" t="n">
        <v>0</v>
      </c>
      <c r="AR3787" t="inlineStr">
        <is>
          <t>No</t>
        </is>
      </c>
      <c r="AS3787" t="inlineStr">
        <is>
          <t>No</t>
        </is>
      </c>
      <c r="AT3787">
        <f>HYPERLINK("http://catalog.hathitrust.org/Record/001016719","HathiTrust Record")</f>
        <v/>
      </c>
      <c r="AU3787">
        <f>HYPERLINK("https://creighton-primo.hosted.exlibrisgroup.com/primo-explore/search?tab=default_tab&amp;search_scope=EVERYTHING&amp;vid=01CRU&amp;lang=en_US&amp;offset=0&amp;query=any,contains,991003737769702656","Catalog Record")</f>
        <v/>
      </c>
      <c r="AV3787">
        <f>HYPERLINK("http://www.worldcat.org/oclc/1396928","WorldCat Record")</f>
        <v/>
      </c>
      <c r="AW3787" t="inlineStr">
        <is>
          <t>502849:eng</t>
        </is>
      </c>
      <c r="AX3787" t="inlineStr">
        <is>
          <t>1396928</t>
        </is>
      </c>
      <c r="AY3787" t="inlineStr">
        <is>
          <t>991003737769702656</t>
        </is>
      </c>
      <c r="AZ3787" t="inlineStr">
        <is>
          <t>991003737769702656</t>
        </is>
      </c>
      <c r="BA3787" t="inlineStr">
        <is>
          <t>2260348930002656</t>
        </is>
      </c>
      <c r="BB3787" t="inlineStr">
        <is>
          <t>BOOK</t>
        </is>
      </c>
      <c r="BE3787" t="inlineStr">
        <is>
          <t>32285003216792</t>
        </is>
      </c>
      <c r="BF3787" t="inlineStr">
        <is>
          <t>893711724</t>
        </is>
      </c>
    </row>
    <row r="3788">
      <c r="A3788" t="inlineStr">
        <is>
          <t>No</t>
        </is>
      </c>
      <c r="B3788" t="inlineStr">
        <is>
          <t>CURAL</t>
        </is>
      </c>
      <c r="C3788" t="inlineStr">
        <is>
          <t>SHELVES</t>
        </is>
      </c>
      <c r="D3788" t="inlineStr">
        <is>
          <t>PR873 .K48</t>
        </is>
      </c>
      <c r="E3788" t="inlineStr">
        <is>
          <t>0                      PR 0873000K  48</t>
        </is>
      </c>
      <c r="F3788" t="inlineStr">
        <is>
          <t>Laughter &amp; despair; readings in ten novels of the Victorian era [by] U. C. Knoepflmacher.</t>
        </is>
      </c>
      <c r="H3788" t="inlineStr">
        <is>
          <t>No</t>
        </is>
      </c>
      <c r="I3788" t="inlineStr">
        <is>
          <t>1</t>
        </is>
      </c>
      <c r="J3788" t="inlineStr">
        <is>
          <t>No</t>
        </is>
      </c>
      <c r="K3788" t="inlineStr">
        <is>
          <t>No</t>
        </is>
      </c>
      <c r="L3788" t="inlineStr">
        <is>
          <t>0</t>
        </is>
      </c>
      <c r="M3788" t="inlineStr">
        <is>
          <t>Knoepflmacher, U. C.</t>
        </is>
      </c>
      <c r="N3788" t="inlineStr">
        <is>
          <t>Berkeley, University of California Press, 1971.</t>
        </is>
      </c>
      <c r="O3788" t="inlineStr">
        <is>
          <t>1971</t>
        </is>
      </c>
      <c r="Q3788" t="inlineStr">
        <is>
          <t>eng</t>
        </is>
      </c>
      <c r="R3788" t="inlineStr">
        <is>
          <t>cau</t>
        </is>
      </c>
      <c r="T3788" t="inlineStr">
        <is>
          <t xml:space="preserve">PR </t>
        </is>
      </c>
      <c r="U3788" t="n">
        <v>1</v>
      </c>
      <c r="V3788" t="n">
        <v>1</v>
      </c>
      <c r="W3788" t="inlineStr">
        <is>
          <t>2003-09-18</t>
        </is>
      </c>
      <c r="X3788" t="inlineStr">
        <is>
          <t>2003-09-18</t>
        </is>
      </c>
      <c r="Y3788" t="inlineStr">
        <is>
          <t>1997-09-15</t>
        </is>
      </c>
      <c r="Z3788" t="inlineStr">
        <is>
          <t>1997-09-15</t>
        </is>
      </c>
      <c r="AA3788" t="n">
        <v>1101</v>
      </c>
      <c r="AB3788" t="n">
        <v>953</v>
      </c>
      <c r="AC3788" t="n">
        <v>1005</v>
      </c>
      <c r="AD3788" t="n">
        <v>10</v>
      </c>
      <c r="AE3788" t="n">
        <v>11</v>
      </c>
      <c r="AF3788" t="n">
        <v>47</v>
      </c>
      <c r="AG3788" t="n">
        <v>50</v>
      </c>
      <c r="AH3788" t="n">
        <v>16</v>
      </c>
      <c r="AI3788" t="n">
        <v>18</v>
      </c>
      <c r="AJ3788" t="n">
        <v>10</v>
      </c>
      <c r="AK3788" t="n">
        <v>10</v>
      </c>
      <c r="AL3788" t="n">
        <v>22</v>
      </c>
      <c r="AM3788" t="n">
        <v>22</v>
      </c>
      <c r="AN3788" t="n">
        <v>9</v>
      </c>
      <c r="AO3788" t="n">
        <v>10</v>
      </c>
      <c r="AP3788" t="n">
        <v>0</v>
      </c>
      <c r="AQ3788" t="n">
        <v>0</v>
      </c>
      <c r="AR3788" t="inlineStr">
        <is>
          <t>No</t>
        </is>
      </c>
      <c r="AS3788" t="inlineStr">
        <is>
          <t>No</t>
        </is>
      </c>
      <c r="AU3788">
        <f>HYPERLINK("https://creighton-primo.hosted.exlibrisgroup.com/primo-explore/search?tab=default_tab&amp;search_scope=EVERYTHING&amp;vid=01CRU&amp;lang=en_US&amp;offset=0&amp;query=any,contains,991001209029702656","Catalog Record")</f>
        <v/>
      </c>
      <c r="AV3788">
        <f>HYPERLINK("http://www.worldcat.org/oclc/192814","WorldCat Record")</f>
        <v/>
      </c>
      <c r="AW3788" t="inlineStr">
        <is>
          <t>198893630:eng</t>
        </is>
      </c>
      <c r="AX3788" t="inlineStr">
        <is>
          <t>192814</t>
        </is>
      </c>
      <c r="AY3788" t="inlineStr">
        <is>
          <t>991001209029702656</t>
        </is>
      </c>
      <c r="AZ3788" t="inlineStr">
        <is>
          <t>991001209029702656</t>
        </is>
      </c>
      <c r="BA3788" t="inlineStr">
        <is>
          <t>2256264670002656</t>
        </is>
      </c>
      <c r="BB3788" t="inlineStr">
        <is>
          <t>BOOK</t>
        </is>
      </c>
      <c r="BD3788" t="inlineStr">
        <is>
          <t>9780520019072</t>
        </is>
      </c>
      <c r="BE3788" t="inlineStr">
        <is>
          <t>32285003216800</t>
        </is>
      </c>
      <c r="BF3788" t="inlineStr">
        <is>
          <t>893321737</t>
        </is>
      </c>
    </row>
    <row r="3789">
      <c r="A3789" t="inlineStr">
        <is>
          <t>No</t>
        </is>
      </c>
      <c r="B3789" t="inlineStr">
        <is>
          <t>CURAL</t>
        </is>
      </c>
      <c r="C3789" t="inlineStr">
        <is>
          <t>SHELVES</t>
        </is>
      </c>
      <c r="D3789" t="inlineStr">
        <is>
          <t>PR873 .M5</t>
        </is>
      </c>
      <c r="E3789" t="inlineStr">
        <is>
          <t>0                      PR 0873000M  5</t>
        </is>
      </c>
      <c r="F3789" t="inlineStr">
        <is>
          <t>The form of Victorian fiction; Thackeray, Dickens, Trollope, George Eliot, Meredith, and Hardy [by] J. Hillis Miller.</t>
        </is>
      </c>
      <c r="H3789" t="inlineStr">
        <is>
          <t>No</t>
        </is>
      </c>
      <c r="I3789" t="inlineStr">
        <is>
          <t>1</t>
        </is>
      </c>
      <c r="J3789" t="inlineStr">
        <is>
          <t>No</t>
        </is>
      </c>
      <c r="K3789" t="inlineStr">
        <is>
          <t>No</t>
        </is>
      </c>
      <c r="L3789" t="inlineStr">
        <is>
          <t>0</t>
        </is>
      </c>
      <c r="M3789" t="inlineStr">
        <is>
          <t>Miller, J. Hillis (Joseph Hillis), 1928-</t>
        </is>
      </c>
      <c r="N3789" t="inlineStr">
        <is>
          <t>Notre Dame [Ind.] University of Notre Dame Press [1968]</t>
        </is>
      </c>
      <c r="O3789" t="inlineStr">
        <is>
          <t>1968</t>
        </is>
      </c>
      <c r="Q3789" t="inlineStr">
        <is>
          <t>eng</t>
        </is>
      </c>
      <c r="R3789" t="inlineStr">
        <is>
          <t>inu</t>
        </is>
      </c>
      <c r="S3789" t="inlineStr">
        <is>
          <t>Ward-Phillips lectures in English language and literature ; v. 2</t>
        </is>
      </c>
      <c r="T3789" t="inlineStr">
        <is>
          <t xml:space="preserve">PR </t>
        </is>
      </c>
      <c r="U3789" t="n">
        <v>1</v>
      </c>
      <c r="V3789" t="n">
        <v>1</v>
      </c>
      <c r="W3789" t="inlineStr">
        <is>
          <t>2007-03-07</t>
        </is>
      </c>
      <c r="X3789" t="inlineStr">
        <is>
          <t>2007-03-07</t>
        </is>
      </c>
      <c r="Y3789" t="inlineStr">
        <is>
          <t>1997-09-15</t>
        </is>
      </c>
      <c r="Z3789" t="inlineStr">
        <is>
          <t>1997-09-15</t>
        </is>
      </c>
      <c r="AA3789" t="n">
        <v>830</v>
      </c>
      <c r="AB3789" t="n">
        <v>689</v>
      </c>
      <c r="AC3789" t="n">
        <v>702</v>
      </c>
      <c r="AD3789" t="n">
        <v>9</v>
      </c>
      <c r="AE3789" t="n">
        <v>9</v>
      </c>
      <c r="AF3789" t="n">
        <v>41</v>
      </c>
      <c r="AG3789" t="n">
        <v>41</v>
      </c>
      <c r="AH3789" t="n">
        <v>14</v>
      </c>
      <c r="AI3789" t="n">
        <v>14</v>
      </c>
      <c r="AJ3789" t="n">
        <v>9</v>
      </c>
      <c r="AK3789" t="n">
        <v>9</v>
      </c>
      <c r="AL3789" t="n">
        <v>21</v>
      </c>
      <c r="AM3789" t="n">
        <v>21</v>
      </c>
      <c r="AN3789" t="n">
        <v>8</v>
      </c>
      <c r="AO3789" t="n">
        <v>8</v>
      </c>
      <c r="AP3789" t="n">
        <v>0</v>
      </c>
      <c r="AQ3789" t="n">
        <v>0</v>
      </c>
      <c r="AR3789" t="inlineStr">
        <is>
          <t>No</t>
        </is>
      </c>
      <c r="AS3789" t="inlineStr">
        <is>
          <t>Yes</t>
        </is>
      </c>
      <c r="AT3789">
        <f>HYPERLINK("http://catalog.hathitrust.org/Record/001371033","HathiTrust Record")</f>
        <v/>
      </c>
      <c r="AU3789">
        <f>HYPERLINK("https://creighton-primo.hosted.exlibrisgroup.com/primo-explore/search?tab=default_tab&amp;search_scope=EVERYTHING&amp;vid=01CRU&amp;lang=en_US&amp;offset=0&amp;query=any,contains,991002771429702656","Catalog Record")</f>
        <v/>
      </c>
      <c r="AV3789">
        <f>HYPERLINK("http://www.worldcat.org/oclc/437159","WorldCat Record")</f>
        <v/>
      </c>
      <c r="AW3789" t="inlineStr">
        <is>
          <t>287549937:eng</t>
        </is>
      </c>
      <c r="AX3789" t="inlineStr">
        <is>
          <t>437159</t>
        </is>
      </c>
      <c r="AY3789" t="inlineStr">
        <is>
          <t>991002771429702656</t>
        </is>
      </c>
      <c r="AZ3789" t="inlineStr">
        <is>
          <t>991002771429702656</t>
        </is>
      </c>
      <c r="BA3789" t="inlineStr">
        <is>
          <t>2267912340002656</t>
        </is>
      </c>
      <c r="BB3789" t="inlineStr">
        <is>
          <t>BOOK</t>
        </is>
      </c>
      <c r="BE3789" t="inlineStr">
        <is>
          <t>32285003216826</t>
        </is>
      </c>
      <c r="BF3789" t="inlineStr">
        <is>
          <t>893809660</t>
        </is>
      </c>
    </row>
    <row r="3790">
      <c r="A3790" t="inlineStr">
        <is>
          <t>No</t>
        </is>
      </c>
      <c r="B3790" t="inlineStr">
        <is>
          <t>CURAL</t>
        </is>
      </c>
      <c r="C3790" t="inlineStr">
        <is>
          <t>SHELVES</t>
        </is>
      </c>
      <c r="D3790" t="inlineStr">
        <is>
          <t>PR874 .R4 1980</t>
        </is>
      </c>
      <c r="E3790" t="inlineStr">
        <is>
          <t>0                      PR 0874000R  4           1980</t>
        </is>
      </c>
      <c r="F3790" t="inlineStr">
        <is>
          <t>Reading the Victorian novel : detail into form / edited by Ian Gregor.</t>
        </is>
      </c>
      <c r="H3790" t="inlineStr">
        <is>
          <t>No</t>
        </is>
      </c>
      <c r="I3790" t="inlineStr">
        <is>
          <t>1</t>
        </is>
      </c>
      <c r="J3790" t="inlineStr">
        <is>
          <t>No</t>
        </is>
      </c>
      <c r="K3790" t="inlineStr">
        <is>
          <t>No</t>
        </is>
      </c>
      <c r="L3790" t="inlineStr">
        <is>
          <t>0</t>
        </is>
      </c>
      <c r="N3790" t="inlineStr">
        <is>
          <t>New York : Barnes &amp; Noble Books, 1980.</t>
        </is>
      </c>
      <c r="O3790" t="inlineStr">
        <is>
          <t>1980</t>
        </is>
      </c>
      <c r="Q3790" t="inlineStr">
        <is>
          <t>eng</t>
        </is>
      </c>
      <c r="R3790" t="inlineStr">
        <is>
          <t>nyu</t>
        </is>
      </c>
      <c r="S3790" t="inlineStr">
        <is>
          <t>Barnes &amp; Noble critical studies</t>
        </is>
      </c>
      <c r="T3790" t="inlineStr">
        <is>
          <t xml:space="preserve">PR </t>
        </is>
      </c>
      <c r="U3790" t="n">
        <v>1</v>
      </c>
      <c r="V3790" t="n">
        <v>1</v>
      </c>
      <c r="W3790" t="inlineStr">
        <is>
          <t>2008-09-27</t>
        </is>
      </c>
      <c r="X3790" t="inlineStr">
        <is>
          <t>2008-09-27</t>
        </is>
      </c>
      <c r="Y3790" t="inlineStr">
        <is>
          <t>1991-09-12</t>
        </is>
      </c>
      <c r="Z3790" t="inlineStr">
        <is>
          <t>1991-09-12</t>
        </is>
      </c>
      <c r="AA3790" t="n">
        <v>707</v>
      </c>
      <c r="AB3790" t="n">
        <v>665</v>
      </c>
      <c r="AC3790" t="n">
        <v>767</v>
      </c>
      <c r="AD3790" t="n">
        <v>4</v>
      </c>
      <c r="AE3790" t="n">
        <v>7</v>
      </c>
      <c r="AF3790" t="n">
        <v>26</v>
      </c>
      <c r="AG3790" t="n">
        <v>33</v>
      </c>
      <c r="AH3790" t="n">
        <v>11</v>
      </c>
      <c r="AI3790" t="n">
        <v>14</v>
      </c>
      <c r="AJ3790" t="n">
        <v>4</v>
      </c>
      <c r="AK3790" t="n">
        <v>4</v>
      </c>
      <c r="AL3790" t="n">
        <v>15</v>
      </c>
      <c r="AM3790" t="n">
        <v>17</v>
      </c>
      <c r="AN3790" t="n">
        <v>3</v>
      </c>
      <c r="AO3790" t="n">
        <v>6</v>
      </c>
      <c r="AP3790" t="n">
        <v>0</v>
      </c>
      <c r="AQ3790" t="n">
        <v>0</v>
      </c>
      <c r="AR3790" t="inlineStr">
        <is>
          <t>No</t>
        </is>
      </c>
      <c r="AS3790" t="inlineStr">
        <is>
          <t>Yes</t>
        </is>
      </c>
      <c r="AT3790">
        <f>HYPERLINK("http://catalog.hathitrust.org/Record/000693485","HathiTrust Record")</f>
        <v/>
      </c>
      <c r="AU3790">
        <f>HYPERLINK("https://creighton-primo.hosted.exlibrisgroup.com/primo-explore/search?tab=default_tab&amp;search_scope=EVERYTHING&amp;vid=01CRU&amp;lang=en_US&amp;offset=0&amp;query=any,contains,991004945579702656","Catalog Record")</f>
        <v/>
      </c>
      <c r="AV3790">
        <f>HYPERLINK("http://www.worldcat.org/oclc/6203290","WorldCat Record")</f>
        <v/>
      </c>
      <c r="AW3790" t="inlineStr">
        <is>
          <t>806836315:eng</t>
        </is>
      </c>
      <c r="AX3790" t="inlineStr">
        <is>
          <t>6203290</t>
        </is>
      </c>
      <c r="AY3790" t="inlineStr">
        <is>
          <t>991004945579702656</t>
        </is>
      </c>
      <c r="AZ3790" t="inlineStr">
        <is>
          <t>991004945579702656</t>
        </is>
      </c>
      <c r="BA3790" t="inlineStr">
        <is>
          <t>2263421310002656</t>
        </is>
      </c>
      <c r="BB3790" t="inlineStr">
        <is>
          <t>BOOK</t>
        </is>
      </c>
      <c r="BD3790" t="inlineStr">
        <is>
          <t>9780064925426</t>
        </is>
      </c>
      <c r="BE3790" t="inlineStr">
        <is>
          <t>32285000757384</t>
        </is>
      </c>
      <c r="BF3790" t="inlineStr">
        <is>
          <t>893236088</t>
        </is>
      </c>
    </row>
    <row r="3791">
      <c r="A3791" t="inlineStr">
        <is>
          <t>No</t>
        </is>
      </c>
      <c r="B3791" t="inlineStr">
        <is>
          <t>CURAL</t>
        </is>
      </c>
      <c r="C3791" t="inlineStr">
        <is>
          <t>SHELVES</t>
        </is>
      </c>
      <c r="D3791" t="inlineStr">
        <is>
          <t>PR8750 .B6</t>
        </is>
      </c>
      <c r="E3791" t="inlineStr">
        <is>
          <t>0                      PR 8750000B  6</t>
        </is>
      </c>
      <c r="F3791" t="inlineStr">
        <is>
          <t>Ireland's literary renaissance / by Ernest A. Boyd.</t>
        </is>
      </c>
      <c r="H3791" t="inlineStr">
        <is>
          <t>No</t>
        </is>
      </c>
      <c r="I3791" t="inlineStr">
        <is>
          <t>1</t>
        </is>
      </c>
      <c r="J3791" t="inlineStr">
        <is>
          <t>No</t>
        </is>
      </c>
      <c r="K3791" t="inlineStr">
        <is>
          <t>No</t>
        </is>
      </c>
      <c r="L3791" t="inlineStr">
        <is>
          <t>0</t>
        </is>
      </c>
      <c r="M3791" t="inlineStr">
        <is>
          <t>Boyd, Ernest Augustus, 1887-1946.</t>
        </is>
      </c>
      <c r="N3791" t="inlineStr">
        <is>
          <t>New York : John Lane Company, 1916.</t>
        </is>
      </c>
      <c r="O3791" t="inlineStr">
        <is>
          <t>1916</t>
        </is>
      </c>
      <c r="Q3791" t="inlineStr">
        <is>
          <t>eng</t>
        </is>
      </c>
      <c r="R3791" t="inlineStr">
        <is>
          <t>nyu</t>
        </is>
      </c>
      <c r="T3791" t="inlineStr">
        <is>
          <t xml:space="preserve">PR </t>
        </is>
      </c>
      <c r="U3791" t="n">
        <v>3</v>
      </c>
      <c r="V3791" t="n">
        <v>3</v>
      </c>
      <c r="W3791" t="inlineStr">
        <is>
          <t>2006-02-20</t>
        </is>
      </c>
      <c r="X3791" t="inlineStr">
        <is>
          <t>2006-02-20</t>
        </is>
      </c>
      <c r="Y3791" t="inlineStr">
        <is>
          <t>1994-04-29</t>
        </is>
      </c>
      <c r="Z3791" t="inlineStr">
        <is>
          <t>1994-04-29</t>
        </is>
      </c>
      <c r="AA3791" t="n">
        <v>201</v>
      </c>
      <c r="AB3791" t="n">
        <v>179</v>
      </c>
      <c r="AC3791" t="n">
        <v>739</v>
      </c>
      <c r="AD3791" t="n">
        <v>4</v>
      </c>
      <c r="AE3791" t="n">
        <v>6</v>
      </c>
      <c r="AF3791" t="n">
        <v>9</v>
      </c>
      <c r="AG3791" t="n">
        <v>41</v>
      </c>
      <c r="AH3791" t="n">
        <v>2</v>
      </c>
      <c r="AI3791" t="n">
        <v>15</v>
      </c>
      <c r="AJ3791" t="n">
        <v>0</v>
      </c>
      <c r="AK3791" t="n">
        <v>11</v>
      </c>
      <c r="AL3791" t="n">
        <v>6</v>
      </c>
      <c r="AM3791" t="n">
        <v>22</v>
      </c>
      <c r="AN3791" t="n">
        <v>3</v>
      </c>
      <c r="AO3791" t="n">
        <v>5</v>
      </c>
      <c r="AP3791" t="n">
        <v>0</v>
      </c>
      <c r="AQ3791" t="n">
        <v>0</v>
      </c>
      <c r="AR3791" t="inlineStr">
        <is>
          <t>Yes</t>
        </is>
      </c>
      <c r="AS3791" t="inlineStr">
        <is>
          <t>No</t>
        </is>
      </c>
      <c r="AT3791">
        <f>HYPERLINK("http://catalog.hathitrust.org/Record/001370667","HathiTrust Record")</f>
        <v/>
      </c>
      <c r="AU3791">
        <f>HYPERLINK("https://creighton-primo.hosted.exlibrisgroup.com/primo-explore/search?tab=default_tab&amp;search_scope=EVERYTHING&amp;vid=01CRU&amp;lang=en_US&amp;offset=0&amp;query=any,contains,991003778519702656","Catalog Record")</f>
        <v/>
      </c>
      <c r="AV3791">
        <f>HYPERLINK("http://www.worldcat.org/oclc/1489282","WorldCat Record")</f>
        <v/>
      </c>
      <c r="AW3791" t="inlineStr">
        <is>
          <t>1180012:eng</t>
        </is>
      </c>
      <c r="AX3791" t="inlineStr">
        <is>
          <t>1489282</t>
        </is>
      </c>
      <c r="AY3791" t="inlineStr">
        <is>
          <t>991003778519702656</t>
        </is>
      </c>
      <c r="AZ3791" t="inlineStr">
        <is>
          <t>991003778519702656</t>
        </is>
      </c>
      <c r="BA3791" t="inlineStr">
        <is>
          <t>2257762460002656</t>
        </is>
      </c>
      <c r="BB3791" t="inlineStr">
        <is>
          <t>BOOK</t>
        </is>
      </c>
      <c r="BE3791" t="inlineStr">
        <is>
          <t>32285001905230</t>
        </is>
      </c>
      <c r="BF3791" t="inlineStr">
        <is>
          <t>893228464</t>
        </is>
      </c>
    </row>
    <row r="3792">
      <c r="A3792" t="inlineStr">
        <is>
          <t>No</t>
        </is>
      </c>
      <c r="B3792" t="inlineStr">
        <is>
          <t>CURAL</t>
        </is>
      </c>
      <c r="C3792" t="inlineStr">
        <is>
          <t>SHELVES</t>
        </is>
      </c>
      <c r="D3792" t="inlineStr">
        <is>
          <t>PR8750 .F34</t>
        </is>
      </c>
      <c r="E3792" t="inlineStr">
        <is>
          <t>0                      PR 8750000F  34</t>
        </is>
      </c>
      <c r="F3792" t="inlineStr">
        <is>
          <t>The Irish renaissance / Richard Fallis.</t>
        </is>
      </c>
      <c r="H3792" t="inlineStr">
        <is>
          <t>No</t>
        </is>
      </c>
      <c r="I3792" t="inlineStr">
        <is>
          <t>1</t>
        </is>
      </c>
      <c r="J3792" t="inlineStr">
        <is>
          <t>No</t>
        </is>
      </c>
      <c r="K3792" t="inlineStr">
        <is>
          <t>No</t>
        </is>
      </c>
      <c r="L3792" t="inlineStr">
        <is>
          <t>0</t>
        </is>
      </c>
      <c r="M3792" t="inlineStr">
        <is>
          <t>Fallis, Richard.</t>
        </is>
      </c>
      <c r="N3792" t="inlineStr">
        <is>
          <t>Syracuse, N.Y. : Syracuse University Press, 1977.</t>
        </is>
      </c>
      <c r="O3792" t="inlineStr">
        <is>
          <t>1977</t>
        </is>
      </c>
      <c r="P3792" t="inlineStr">
        <is>
          <t>1st ed.</t>
        </is>
      </c>
      <c r="Q3792" t="inlineStr">
        <is>
          <t>eng</t>
        </is>
      </c>
      <c r="R3792" t="inlineStr">
        <is>
          <t>nyu</t>
        </is>
      </c>
      <c r="T3792" t="inlineStr">
        <is>
          <t xml:space="preserve">PR </t>
        </is>
      </c>
      <c r="U3792" t="n">
        <v>9</v>
      </c>
      <c r="V3792" t="n">
        <v>9</v>
      </c>
      <c r="W3792" t="inlineStr">
        <is>
          <t>2003-02-04</t>
        </is>
      </c>
      <c r="X3792" t="inlineStr">
        <is>
          <t>2003-02-04</t>
        </is>
      </c>
      <c r="Y3792" t="inlineStr">
        <is>
          <t>1993-04-13</t>
        </is>
      </c>
      <c r="Z3792" t="inlineStr">
        <is>
          <t>1993-04-13</t>
        </is>
      </c>
      <c r="AA3792" t="n">
        <v>949</v>
      </c>
      <c r="AB3792" t="n">
        <v>841</v>
      </c>
      <c r="AC3792" t="n">
        <v>854</v>
      </c>
      <c r="AD3792" t="n">
        <v>10</v>
      </c>
      <c r="AE3792" t="n">
        <v>10</v>
      </c>
      <c r="AF3792" t="n">
        <v>46</v>
      </c>
      <c r="AG3792" t="n">
        <v>46</v>
      </c>
      <c r="AH3792" t="n">
        <v>20</v>
      </c>
      <c r="AI3792" t="n">
        <v>20</v>
      </c>
      <c r="AJ3792" t="n">
        <v>9</v>
      </c>
      <c r="AK3792" t="n">
        <v>9</v>
      </c>
      <c r="AL3792" t="n">
        <v>18</v>
      </c>
      <c r="AM3792" t="n">
        <v>18</v>
      </c>
      <c r="AN3792" t="n">
        <v>9</v>
      </c>
      <c r="AO3792" t="n">
        <v>9</v>
      </c>
      <c r="AP3792" t="n">
        <v>0</v>
      </c>
      <c r="AQ3792" t="n">
        <v>0</v>
      </c>
      <c r="AR3792" t="inlineStr">
        <is>
          <t>No</t>
        </is>
      </c>
      <c r="AS3792" t="inlineStr">
        <is>
          <t>Yes</t>
        </is>
      </c>
      <c r="AT3792">
        <f>HYPERLINK("http://catalog.hathitrust.org/Record/000294250","HathiTrust Record")</f>
        <v/>
      </c>
      <c r="AU3792">
        <f>HYPERLINK("https://creighton-primo.hosted.exlibrisgroup.com/primo-explore/search?tab=default_tab&amp;search_scope=EVERYTHING&amp;vid=01CRU&amp;lang=en_US&amp;offset=0&amp;query=any,contains,991004370129702656","Catalog Record")</f>
        <v/>
      </c>
      <c r="AV3792">
        <f>HYPERLINK("http://www.worldcat.org/oclc/3186632","WorldCat Record")</f>
        <v/>
      </c>
      <c r="AW3792" t="inlineStr">
        <is>
          <t>889402641:eng</t>
        </is>
      </c>
      <c r="AX3792" t="inlineStr">
        <is>
          <t>3186632</t>
        </is>
      </c>
      <c r="AY3792" t="inlineStr">
        <is>
          <t>991004370129702656</t>
        </is>
      </c>
      <c r="AZ3792" t="inlineStr">
        <is>
          <t>991004370129702656</t>
        </is>
      </c>
      <c r="BA3792" t="inlineStr">
        <is>
          <t>2259988990002656</t>
        </is>
      </c>
      <c r="BB3792" t="inlineStr">
        <is>
          <t>BOOK</t>
        </is>
      </c>
      <c r="BD3792" t="inlineStr">
        <is>
          <t>9780815621874</t>
        </is>
      </c>
      <c r="BE3792" t="inlineStr">
        <is>
          <t>32285001616845</t>
        </is>
      </c>
      <c r="BF3792" t="inlineStr">
        <is>
          <t>893628125</t>
        </is>
      </c>
    </row>
    <row r="3793">
      <c r="A3793" t="inlineStr">
        <is>
          <t>No</t>
        </is>
      </c>
      <c r="B3793" t="inlineStr">
        <is>
          <t>CURAL</t>
        </is>
      </c>
      <c r="C3793" t="inlineStr">
        <is>
          <t>SHELVES</t>
        </is>
      </c>
      <c r="D3793" t="inlineStr">
        <is>
          <t>PR8750 .H3</t>
        </is>
      </c>
      <c r="E3793" t="inlineStr">
        <is>
          <t>0                      PR 8750000H  3</t>
        </is>
      </c>
      <c r="F3793" t="inlineStr">
        <is>
          <t>Shadowy heroes : Irish literature of the 1890s / Wayne E. Hall.</t>
        </is>
      </c>
      <c r="H3793" t="inlineStr">
        <is>
          <t>No</t>
        </is>
      </c>
      <c r="I3793" t="inlineStr">
        <is>
          <t>1</t>
        </is>
      </c>
      <c r="J3793" t="inlineStr">
        <is>
          <t>No</t>
        </is>
      </c>
      <c r="K3793" t="inlineStr">
        <is>
          <t>No</t>
        </is>
      </c>
      <c r="L3793" t="inlineStr">
        <is>
          <t>0</t>
        </is>
      </c>
      <c r="M3793" t="inlineStr">
        <is>
          <t>Hall, Wayne E.</t>
        </is>
      </c>
      <c r="N3793" t="inlineStr">
        <is>
          <t>Syracuse, N.Y. : Syracuse University Press, 1980.</t>
        </is>
      </c>
      <c r="O3793" t="inlineStr">
        <is>
          <t>1980</t>
        </is>
      </c>
      <c r="P3793" t="inlineStr">
        <is>
          <t>1st ed.</t>
        </is>
      </c>
      <c r="Q3793" t="inlineStr">
        <is>
          <t>eng</t>
        </is>
      </c>
      <c r="R3793" t="inlineStr">
        <is>
          <t>nyu</t>
        </is>
      </c>
      <c r="S3793" t="inlineStr">
        <is>
          <t>Irish studies series</t>
        </is>
      </c>
      <c r="T3793" t="inlineStr">
        <is>
          <t xml:space="preserve">PR </t>
        </is>
      </c>
      <c r="U3793" t="n">
        <v>8</v>
      </c>
      <c r="V3793" t="n">
        <v>8</v>
      </c>
      <c r="W3793" t="inlineStr">
        <is>
          <t>2003-11-25</t>
        </is>
      </c>
      <c r="X3793" t="inlineStr">
        <is>
          <t>2003-11-25</t>
        </is>
      </c>
      <c r="Y3793" t="inlineStr">
        <is>
          <t>1992-03-10</t>
        </is>
      </c>
      <c r="Z3793" t="inlineStr">
        <is>
          <t>1992-03-10</t>
        </is>
      </c>
      <c r="AA3793" t="n">
        <v>694</v>
      </c>
      <c r="AB3793" t="n">
        <v>571</v>
      </c>
      <c r="AC3793" t="n">
        <v>579</v>
      </c>
      <c r="AD3793" t="n">
        <v>5</v>
      </c>
      <c r="AE3793" t="n">
        <v>5</v>
      </c>
      <c r="AF3793" t="n">
        <v>28</v>
      </c>
      <c r="AG3793" t="n">
        <v>28</v>
      </c>
      <c r="AH3793" t="n">
        <v>10</v>
      </c>
      <c r="AI3793" t="n">
        <v>10</v>
      </c>
      <c r="AJ3793" t="n">
        <v>8</v>
      </c>
      <c r="AK3793" t="n">
        <v>8</v>
      </c>
      <c r="AL3793" t="n">
        <v>15</v>
      </c>
      <c r="AM3793" t="n">
        <v>15</v>
      </c>
      <c r="AN3793" t="n">
        <v>4</v>
      </c>
      <c r="AO3793" t="n">
        <v>4</v>
      </c>
      <c r="AP3793" t="n">
        <v>0</v>
      </c>
      <c r="AQ3793" t="n">
        <v>0</v>
      </c>
      <c r="AR3793" t="inlineStr">
        <is>
          <t>No</t>
        </is>
      </c>
      <c r="AS3793" t="inlineStr">
        <is>
          <t>Yes</t>
        </is>
      </c>
      <c r="AT3793">
        <f>HYPERLINK("http://catalog.hathitrust.org/Record/000730590","HathiTrust Record")</f>
        <v/>
      </c>
      <c r="AU3793">
        <f>HYPERLINK("https://creighton-primo.hosted.exlibrisgroup.com/primo-explore/search?tab=default_tab&amp;search_scope=EVERYTHING&amp;vid=01CRU&amp;lang=en_US&amp;offset=0&amp;query=any,contains,991005027269702656","Catalog Record")</f>
        <v/>
      </c>
      <c r="AV3793">
        <f>HYPERLINK("http://www.worldcat.org/oclc/6707280","WorldCat Record")</f>
        <v/>
      </c>
      <c r="AW3793" t="inlineStr">
        <is>
          <t>865030194:eng</t>
        </is>
      </c>
      <c r="AX3793" t="inlineStr">
        <is>
          <t>6707280</t>
        </is>
      </c>
      <c r="AY3793" t="inlineStr">
        <is>
          <t>991005027269702656</t>
        </is>
      </c>
      <c r="AZ3793" t="inlineStr">
        <is>
          <t>991005027269702656</t>
        </is>
      </c>
      <c r="BA3793" t="inlineStr">
        <is>
          <t>2257727990002656</t>
        </is>
      </c>
      <c r="BB3793" t="inlineStr">
        <is>
          <t>BOOK</t>
        </is>
      </c>
      <c r="BD3793" t="inlineStr">
        <is>
          <t>9780815622314</t>
        </is>
      </c>
      <c r="BE3793" t="inlineStr">
        <is>
          <t>32285000996438</t>
        </is>
      </c>
      <c r="BF3793" t="inlineStr">
        <is>
          <t>893326062</t>
        </is>
      </c>
    </row>
    <row r="3794">
      <c r="A3794" t="inlineStr">
        <is>
          <t>No</t>
        </is>
      </c>
      <c r="B3794" t="inlineStr">
        <is>
          <t>CURAL</t>
        </is>
      </c>
      <c r="C3794" t="inlineStr">
        <is>
          <t>SHELVES</t>
        </is>
      </c>
      <c r="D3794" t="inlineStr">
        <is>
          <t>PR8750 .K46 1983</t>
        </is>
      </c>
      <c r="E3794" t="inlineStr">
        <is>
          <t>0                      PR 8750000K  46          1983</t>
        </is>
      </c>
      <c r="F3794" t="inlineStr">
        <is>
          <t>A colder eye : the modern Irish writers / Hugh Kenner.</t>
        </is>
      </c>
      <c r="H3794" t="inlineStr">
        <is>
          <t>No</t>
        </is>
      </c>
      <c r="I3794" t="inlineStr">
        <is>
          <t>1</t>
        </is>
      </c>
      <c r="J3794" t="inlineStr">
        <is>
          <t>No</t>
        </is>
      </c>
      <c r="K3794" t="inlineStr">
        <is>
          <t>No</t>
        </is>
      </c>
      <c r="L3794" t="inlineStr">
        <is>
          <t>0</t>
        </is>
      </c>
      <c r="M3794" t="inlineStr">
        <is>
          <t>Kenner, Hugh.</t>
        </is>
      </c>
      <c r="N3794" t="inlineStr">
        <is>
          <t>New York, N.Y. : Knopf, 1983.</t>
        </is>
      </c>
      <c r="O3794" t="inlineStr">
        <is>
          <t>1983</t>
        </is>
      </c>
      <c r="P3794" t="inlineStr">
        <is>
          <t>1st ed.</t>
        </is>
      </c>
      <c r="Q3794" t="inlineStr">
        <is>
          <t>eng</t>
        </is>
      </c>
      <c r="R3794" t="inlineStr">
        <is>
          <t>nyu</t>
        </is>
      </c>
      <c r="T3794" t="inlineStr">
        <is>
          <t xml:space="preserve">PR </t>
        </is>
      </c>
      <c r="U3794" t="n">
        <v>11</v>
      </c>
      <c r="V3794" t="n">
        <v>11</v>
      </c>
      <c r="W3794" t="inlineStr">
        <is>
          <t>2006-11-21</t>
        </is>
      </c>
      <c r="X3794" t="inlineStr">
        <is>
          <t>2006-11-21</t>
        </is>
      </c>
      <c r="Y3794" t="inlineStr">
        <is>
          <t>1992-08-14</t>
        </is>
      </c>
      <c r="Z3794" t="inlineStr">
        <is>
          <t>1992-08-14</t>
        </is>
      </c>
      <c r="AA3794" t="n">
        <v>969</v>
      </c>
      <c r="AB3794" t="n">
        <v>872</v>
      </c>
      <c r="AC3794" t="n">
        <v>1030</v>
      </c>
      <c r="AD3794" t="n">
        <v>4</v>
      </c>
      <c r="AE3794" t="n">
        <v>6</v>
      </c>
      <c r="AF3794" t="n">
        <v>38</v>
      </c>
      <c r="AG3794" t="n">
        <v>44</v>
      </c>
      <c r="AH3794" t="n">
        <v>20</v>
      </c>
      <c r="AI3794" t="n">
        <v>21</v>
      </c>
      <c r="AJ3794" t="n">
        <v>9</v>
      </c>
      <c r="AK3794" t="n">
        <v>10</v>
      </c>
      <c r="AL3794" t="n">
        <v>17</v>
      </c>
      <c r="AM3794" t="n">
        <v>20</v>
      </c>
      <c r="AN3794" t="n">
        <v>3</v>
      </c>
      <c r="AO3794" t="n">
        <v>5</v>
      </c>
      <c r="AP3794" t="n">
        <v>0</v>
      </c>
      <c r="AQ3794" t="n">
        <v>0</v>
      </c>
      <c r="AR3794" t="inlineStr">
        <is>
          <t>No</t>
        </is>
      </c>
      <c r="AS3794" t="inlineStr">
        <is>
          <t>No</t>
        </is>
      </c>
      <c r="AU3794">
        <f>HYPERLINK("https://creighton-primo.hosted.exlibrisgroup.com/primo-explore/search?tab=default_tab&amp;search_scope=EVERYTHING&amp;vid=01CRU&amp;lang=en_US&amp;offset=0&amp;query=any,contains,991000131369702656","Catalog Record")</f>
        <v/>
      </c>
      <c r="AV3794">
        <f>HYPERLINK("http://www.worldcat.org/oclc/9111535","WorldCat Record")</f>
        <v/>
      </c>
      <c r="AW3794" t="inlineStr">
        <is>
          <t>3370255:eng</t>
        </is>
      </c>
      <c r="AX3794" t="inlineStr">
        <is>
          <t>9111535</t>
        </is>
      </c>
      <c r="AY3794" t="inlineStr">
        <is>
          <t>991000131369702656</t>
        </is>
      </c>
      <c r="AZ3794" t="inlineStr">
        <is>
          <t>991000131369702656</t>
        </is>
      </c>
      <c r="BA3794" t="inlineStr">
        <is>
          <t>2266824880002656</t>
        </is>
      </c>
      <c r="BB3794" t="inlineStr">
        <is>
          <t>BOOK</t>
        </is>
      </c>
      <c r="BD3794" t="inlineStr">
        <is>
          <t>9780394422251</t>
        </is>
      </c>
      <c r="BE3794" t="inlineStr">
        <is>
          <t>32285001245173</t>
        </is>
      </c>
      <c r="BF3794" t="inlineStr">
        <is>
          <t>893413105</t>
        </is>
      </c>
    </row>
    <row r="3795">
      <c r="A3795" t="inlineStr">
        <is>
          <t>No</t>
        </is>
      </c>
      <c r="B3795" t="inlineStr">
        <is>
          <t>CURAL</t>
        </is>
      </c>
      <c r="C3795" t="inlineStr">
        <is>
          <t>SHELVES</t>
        </is>
      </c>
      <c r="D3795" t="inlineStr">
        <is>
          <t>PR8750 .O36 1984</t>
        </is>
      </c>
      <c r="E3795" t="inlineStr">
        <is>
          <t>0                      PR 8750000O  36          1984</t>
        </is>
      </c>
      <c r="F3795" t="inlineStr">
        <is>
          <t>All the Olympians : a biographical portrait of the Irish literary renaissance / Ulick O'Connor.</t>
        </is>
      </c>
      <c r="H3795" t="inlineStr">
        <is>
          <t>No</t>
        </is>
      </c>
      <c r="I3795" t="inlineStr">
        <is>
          <t>1</t>
        </is>
      </c>
      <c r="J3795" t="inlineStr">
        <is>
          <t>No</t>
        </is>
      </c>
      <c r="K3795" t="inlineStr">
        <is>
          <t>No</t>
        </is>
      </c>
      <c r="L3795" t="inlineStr">
        <is>
          <t>0</t>
        </is>
      </c>
      <c r="M3795" t="inlineStr">
        <is>
          <t>O'Connor, Ulick.</t>
        </is>
      </c>
      <c r="N3795" t="inlineStr">
        <is>
          <t>New York : Atheneum, 1984.</t>
        </is>
      </c>
      <c r="O3795" t="inlineStr">
        <is>
          <t>1984</t>
        </is>
      </c>
      <c r="P3795" t="inlineStr">
        <is>
          <t>1st American ed.</t>
        </is>
      </c>
      <c r="Q3795" t="inlineStr">
        <is>
          <t>eng</t>
        </is>
      </c>
      <c r="R3795" t="inlineStr">
        <is>
          <t>nyu</t>
        </is>
      </c>
      <c r="T3795" t="inlineStr">
        <is>
          <t xml:space="preserve">PR </t>
        </is>
      </c>
      <c r="U3795" t="n">
        <v>5</v>
      </c>
      <c r="V3795" t="n">
        <v>5</v>
      </c>
      <c r="W3795" t="inlineStr">
        <is>
          <t>1998-04-11</t>
        </is>
      </c>
      <c r="X3795" t="inlineStr">
        <is>
          <t>1998-04-11</t>
        </is>
      </c>
      <c r="Y3795" t="inlineStr">
        <is>
          <t>1992-08-14</t>
        </is>
      </c>
      <c r="Z3795" t="inlineStr">
        <is>
          <t>1992-08-14</t>
        </is>
      </c>
      <c r="AA3795" t="n">
        <v>809</v>
      </c>
      <c r="AB3795" t="n">
        <v>759</v>
      </c>
      <c r="AC3795" t="n">
        <v>810</v>
      </c>
      <c r="AD3795" t="n">
        <v>4</v>
      </c>
      <c r="AE3795" t="n">
        <v>6</v>
      </c>
      <c r="AF3795" t="n">
        <v>30</v>
      </c>
      <c r="AG3795" t="n">
        <v>33</v>
      </c>
      <c r="AH3795" t="n">
        <v>14</v>
      </c>
      <c r="AI3795" t="n">
        <v>15</v>
      </c>
      <c r="AJ3795" t="n">
        <v>10</v>
      </c>
      <c r="AK3795" t="n">
        <v>10</v>
      </c>
      <c r="AL3795" t="n">
        <v>15</v>
      </c>
      <c r="AM3795" t="n">
        <v>15</v>
      </c>
      <c r="AN3795" t="n">
        <v>3</v>
      </c>
      <c r="AO3795" t="n">
        <v>5</v>
      </c>
      <c r="AP3795" t="n">
        <v>0</v>
      </c>
      <c r="AQ3795" t="n">
        <v>0</v>
      </c>
      <c r="AR3795" t="inlineStr">
        <is>
          <t>No</t>
        </is>
      </c>
      <c r="AS3795" t="inlineStr">
        <is>
          <t>Yes</t>
        </is>
      </c>
      <c r="AT3795">
        <f>HYPERLINK("http://catalog.hathitrust.org/Record/000418299","HathiTrust Record")</f>
        <v/>
      </c>
      <c r="AU3795">
        <f>HYPERLINK("https://creighton-primo.hosted.exlibrisgroup.com/primo-explore/search?tab=default_tab&amp;search_scope=EVERYTHING&amp;vid=01CRU&amp;lang=en_US&amp;offset=0&amp;query=any,contains,991000455029702656","Catalog Record")</f>
        <v/>
      </c>
      <c r="AV3795">
        <f>HYPERLINK("http://www.worldcat.org/oclc/10913651","WorldCat Record")</f>
        <v/>
      </c>
      <c r="AW3795" t="inlineStr">
        <is>
          <t>1151145591:eng</t>
        </is>
      </c>
      <c r="AX3795" t="inlineStr">
        <is>
          <t>10913651</t>
        </is>
      </c>
      <c r="AY3795" t="inlineStr">
        <is>
          <t>991000455029702656</t>
        </is>
      </c>
      <c r="AZ3795" t="inlineStr">
        <is>
          <t>991000455029702656</t>
        </is>
      </c>
      <c r="BA3795" t="inlineStr">
        <is>
          <t>2258612910002656</t>
        </is>
      </c>
      <c r="BB3795" t="inlineStr">
        <is>
          <t>BOOK</t>
        </is>
      </c>
      <c r="BD3795" t="inlineStr">
        <is>
          <t>9780689114908</t>
        </is>
      </c>
      <c r="BE3795" t="inlineStr">
        <is>
          <t>32285001245181</t>
        </is>
      </c>
      <c r="BF3795" t="inlineStr">
        <is>
          <t>893243260</t>
        </is>
      </c>
    </row>
    <row r="3796">
      <c r="A3796" t="inlineStr">
        <is>
          <t>No</t>
        </is>
      </c>
      <c r="B3796" t="inlineStr">
        <is>
          <t>CURAL</t>
        </is>
      </c>
      <c r="C3796" t="inlineStr">
        <is>
          <t>SHELVES</t>
        </is>
      </c>
      <c r="D3796" t="inlineStr">
        <is>
          <t>PR8750 .R313 1980</t>
        </is>
      </c>
      <c r="E3796" t="inlineStr">
        <is>
          <t>0                      PR 8750000R  313         1980</t>
        </is>
      </c>
      <c r="F3796" t="inlineStr">
        <is>
          <t>Irish literature in English : the romantic period, 1789-1850 / Patrick Rafroidi.</t>
        </is>
      </c>
      <c r="G3796" t="inlineStr">
        <is>
          <t>V.1</t>
        </is>
      </c>
      <c r="H3796" t="inlineStr">
        <is>
          <t>Yes</t>
        </is>
      </c>
      <c r="I3796" t="inlineStr">
        <is>
          <t>1</t>
        </is>
      </c>
      <c r="J3796" t="inlineStr">
        <is>
          <t>No</t>
        </is>
      </c>
      <c r="K3796" t="inlineStr">
        <is>
          <t>No</t>
        </is>
      </c>
      <c r="L3796" t="inlineStr">
        <is>
          <t>0</t>
        </is>
      </c>
      <c r="M3796" t="inlineStr">
        <is>
          <t>Rafroidi, Patrick.</t>
        </is>
      </c>
      <c r="N3796" t="inlineStr">
        <is>
          <t>Gerrards Cross, Buckinghamshire : C. Smythe, 1980.</t>
        </is>
      </c>
      <c r="O3796" t="inlineStr">
        <is>
          <t>1980</t>
        </is>
      </c>
      <c r="Q3796" t="inlineStr">
        <is>
          <t>eng</t>
        </is>
      </c>
      <c r="R3796" t="inlineStr">
        <is>
          <t>enk</t>
        </is>
      </c>
      <c r="T3796" t="inlineStr">
        <is>
          <t xml:space="preserve">PR </t>
        </is>
      </c>
      <c r="U3796" t="n">
        <v>2</v>
      </c>
      <c r="V3796" t="n">
        <v>7</v>
      </c>
      <c r="W3796" t="inlineStr">
        <is>
          <t>2003-02-27</t>
        </is>
      </c>
      <c r="X3796" t="inlineStr">
        <is>
          <t>2003-02-27</t>
        </is>
      </c>
      <c r="Y3796" t="inlineStr">
        <is>
          <t>1992-08-14</t>
        </is>
      </c>
      <c r="Z3796" t="inlineStr">
        <is>
          <t>1992-08-14</t>
        </is>
      </c>
      <c r="AA3796" t="n">
        <v>116</v>
      </c>
      <c r="AB3796" t="n">
        <v>62</v>
      </c>
      <c r="AC3796" t="n">
        <v>311</v>
      </c>
      <c r="AD3796" t="n">
        <v>2</v>
      </c>
      <c r="AE3796" t="n">
        <v>3</v>
      </c>
      <c r="AF3796" t="n">
        <v>3</v>
      </c>
      <c r="AG3796" t="n">
        <v>19</v>
      </c>
      <c r="AH3796" t="n">
        <v>1</v>
      </c>
      <c r="AI3796" t="n">
        <v>6</v>
      </c>
      <c r="AJ3796" t="n">
        <v>2</v>
      </c>
      <c r="AK3796" t="n">
        <v>8</v>
      </c>
      <c r="AL3796" t="n">
        <v>0</v>
      </c>
      <c r="AM3796" t="n">
        <v>10</v>
      </c>
      <c r="AN3796" t="n">
        <v>1</v>
      </c>
      <c r="AO3796" t="n">
        <v>2</v>
      </c>
      <c r="AP3796" t="n">
        <v>0</v>
      </c>
      <c r="AQ3796" t="n">
        <v>0</v>
      </c>
      <c r="AR3796" t="inlineStr">
        <is>
          <t>No</t>
        </is>
      </c>
      <c r="AS3796" t="inlineStr">
        <is>
          <t>Yes</t>
        </is>
      </c>
      <c r="AT3796">
        <f>HYPERLINK("http://catalog.hathitrust.org/Record/000188483","HathiTrust Record")</f>
        <v/>
      </c>
      <c r="AU3796">
        <f>HYPERLINK("https://creighton-primo.hosted.exlibrisgroup.com/primo-explore/search?tab=default_tab&amp;search_scope=EVERYTHING&amp;vid=01CRU&amp;lang=en_US&amp;offset=0&amp;query=any,contains,991005075899702656","Catalog Record")</f>
        <v/>
      </c>
      <c r="AV3796">
        <f>HYPERLINK("http://www.worldcat.org/oclc/7111649","WorldCat Record")</f>
        <v/>
      </c>
      <c r="AW3796" t="inlineStr">
        <is>
          <t>1151021839:eng</t>
        </is>
      </c>
      <c r="AX3796" t="inlineStr">
        <is>
          <t>7111649</t>
        </is>
      </c>
      <c r="AY3796" t="inlineStr">
        <is>
          <t>991005075899702656</t>
        </is>
      </c>
      <c r="AZ3796" t="inlineStr">
        <is>
          <t>991005075899702656</t>
        </is>
      </c>
      <c r="BA3796" t="inlineStr">
        <is>
          <t>2263867060002656</t>
        </is>
      </c>
      <c r="BB3796" t="inlineStr">
        <is>
          <t>BOOK</t>
        </is>
      </c>
      <c r="BD3796" t="inlineStr">
        <is>
          <t>9780901072405</t>
        </is>
      </c>
      <c r="BE3796" t="inlineStr">
        <is>
          <t>32285001245199</t>
        </is>
      </c>
      <c r="BF3796" t="inlineStr">
        <is>
          <t>893707209</t>
        </is>
      </c>
    </row>
    <row r="3797">
      <c r="A3797" t="inlineStr">
        <is>
          <t>No</t>
        </is>
      </c>
      <c r="B3797" t="inlineStr">
        <is>
          <t>CURAL</t>
        </is>
      </c>
      <c r="C3797" t="inlineStr">
        <is>
          <t>SHELVES</t>
        </is>
      </c>
      <c r="D3797" t="inlineStr">
        <is>
          <t>PR8750 .R313 1980</t>
        </is>
      </c>
      <c r="E3797" t="inlineStr">
        <is>
          <t>0                      PR 8750000R  313         1980</t>
        </is>
      </c>
      <c r="F3797" t="inlineStr">
        <is>
          <t>Irish literature in English : the romantic period, 1789-1850 / Patrick Rafroidi.</t>
        </is>
      </c>
      <c r="G3797" t="inlineStr">
        <is>
          <t>V.2</t>
        </is>
      </c>
      <c r="H3797" t="inlineStr">
        <is>
          <t>Yes</t>
        </is>
      </c>
      <c r="I3797" t="inlineStr">
        <is>
          <t>1</t>
        </is>
      </c>
      <c r="J3797" t="inlineStr">
        <is>
          <t>No</t>
        </is>
      </c>
      <c r="K3797" t="inlineStr">
        <is>
          <t>No</t>
        </is>
      </c>
      <c r="L3797" t="inlineStr">
        <is>
          <t>0</t>
        </is>
      </c>
      <c r="M3797" t="inlineStr">
        <is>
          <t>Rafroidi, Patrick.</t>
        </is>
      </c>
      <c r="N3797" t="inlineStr">
        <is>
          <t>Gerrards Cross, Buckinghamshire : C. Smythe, 1980.</t>
        </is>
      </c>
      <c r="O3797" t="inlineStr">
        <is>
          <t>1980</t>
        </is>
      </c>
      <c r="Q3797" t="inlineStr">
        <is>
          <t>eng</t>
        </is>
      </c>
      <c r="R3797" t="inlineStr">
        <is>
          <t>enk</t>
        </is>
      </c>
      <c r="T3797" t="inlineStr">
        <is>
          <t xml:space="preserve">PR </t>
        </is>
      </c>
      <c r="U3797" t="n">
        <v>5</v>
      </c>
      <c r="V3797" t="n">
        <v>7</v>
      </c>
      <c r="W3797" t="inlineStr">
        <is>
          <t>1996-02-11</t>
        </is>
      </c>
      <c r="X3797" t="inlineStr">
        <is>
          <t>2003-02-27</t>
        </is>
      </c>
      <c r="Y3797" t="inlineStr">
        <is>
          <t>1992-08-14</t>
        </is>
      </c>
      <c r="Z3797" t="inlineStr">
        <is>
          <t>1992-08-14</t>
        </is>
      </c>
      <c r="AA3797" t="n">
        <v>116</v>
      </c>
      <c r="AB3797" t="n">
        <v>62</v>
      </c>
      <c r="AC3797" t="n">
        <v>311</v>
      </c>
      <c r="AD3797" t="n">
        <v>2</v>
      </c>
      <c r="AE3797" t="n">
        <v>3</v>
      </c>
      <c r="AF3797" t="n">
        <v>3</v>
      </c>
      <c r="AG3797" t="n">
        <v>19</v>
      </c>
      <c r="AH3797" t="n">
        <v>1</v>
      </c>
      <c r="AI3797" t="n">
        <v>6</v>
      </c>
      <c r="AJ3797" t="n">
        <v>2</v>
      </c>
      <c r="AK3797" t="n">
        <v>8</v>
      </c>
      <c r="AL3797" t="n">
        <v>0</v>
      </c>
      <c r="AM3797" t="n">
        <v>10</v>
      </c>
      <c r="AN3797" t="n">
        <v>1</v>
      </c>
      <c r="AO3797" t="n">
        <v>2</v>
      </c>
      <c r="AP3797" t="n">
        <v>0</v>
      </c>
      <c r="AQ3797" t="n">
        <v>0</v>
      </c>
      <c r="AR3797" t="inlineStr">
        <is>
          <t>No</t>
        </is>
      </c>
      <c r="AS3797" t="inlineStr">
        <is>
          <t>Yes</t>
        </is>
      </c>
      <c r="AT3797">
        <f>HYPERLINK("http://catalog.hathitrust.org/Record/000188483","HathiTrust Record")</f>
        <v/>
      </c>
      <c r="AU3797">
        <f>HYPERLINK("https://creighton-primo.hosted.exlibrisgroup.com/primo-explore/search?tab=default_tab&amp;search_scope=EVERYTHING&amp;vid=01CRU&amp;lang=en_US&amp;offset=0&amp;query=any,contains,991005075899702656","Catalog Record")</f>
        <v/>
      </c>
      <c r="AV3797">
        <f>HYPERLINK("http://www.worldcat.org/oclc/7111649","WorldCat Record")</f>
        <v/>
      </c>
      <c r="AW3797" t="inlineStr">
        <is>
          <t>1151021839:eng</t>
        </is>
      </c>
      <c r="AX3797" t="inlineStr">
        <is>
          <t>7111649</t>
        </is>
      </c>
      <c r="AY3797" t="inlineStr">
        <is>
          <t>991005075899702656</t>
        </is>
      </c>
      <c r="AZ3797" t="inlineStr">
        <is>
          <t>991005075899702656</t>
        </is>
      </c>
      <c r="BA3797" t="inlineStr">
        <is>
          <t>2263867060002656</t>
        </is>
      </c>
      <c r="BB3797" t="inlineStr">
        <is>
          <t>BOOK</t>
        </is>
      </c>
      <c r="BD3797" t="inlineStr">
        <is>
          <t>9780901072405</t>
        </is>
      </c>
      <c r="BE3797" t="inlineStr">
        <is>
          <t>32285001245207</t>
        </is>
      </c>
      <c r="BF3797" t="inlineStr">
        <is>
          <t>893719731</t>
        </is>
      </c>
    </row>
    <row r="3798">
      <c r="A3798" t="inlineStr">
        <is>
          <t>No</t>
        </is>
      </c>
      <c r="B3798" t="inlineStr">
        <is>
          <t>CURAL</t>
        </is>
      </c>
      <c r="C3798" t="inlineStr">
        <is>
          <t>SHELVES</t>
        </is>
      </c>
      <c r="D3798" t="inlineStr">
        <is>
          <t>PR8750 .R8 1970</t>
        </is>
      </c>
      <c r="E3798" t="inlineStr">
        <is>
          <t>0                      PR 8750000R  8           1970</t>
        </is>
      </c>
      <c r="F3798" t="inlineStr">
        <is>
          <t>The Irish literary revival; its history, pioneers and possibilities.</t>
        </is>
      </c>
      <c r="H3798" t="inlineStr">
        <is>
          <t>No</t>
        </is>
      </c>
      <c r="I3798" t="inlineStr">
        <is>
          <t>1</t>
        </is>
      </c>
      <c r="J3798" t="inlineStr">
        <is>
          <t>No</t>
        </is>
      </c>
      <c r="K3798" t="inlineStr">
        <is>
          <t>No</t>
        </is>
      </c>
      <c r="L3798" t="inlineStr">
        <is>
          <t>0</t>
        </is>
      </c>
      <c r="M3798" t="inlineStr">
        <is>
          <t>Ryan, W. P. (William Patrick), 1867-1942.</t>
        </is>
      </c>
      <c r="N3798" t="inlineStr">
        <is>
          <t>New York, Lemma Pub. Corp., 1970.</t>
        </is>
      </c>
      <c r="O3798" t="inlineStr">
        <is>
          <t>1970</t>
        </is>
      </c>
      <c r="Q3798" t="inlineStr">
        <is>
          <t>eng</t>
        </is>
      </c>
      <c r="R3798" t="inlineStr">
        <is>
          <t>nyu</t>
        </is>
      </c>
      <c r="T3798" t="inlineStr">
        <is>
          <t xml:space="preserve">PR </t>
        </is>
      </c>
      <c r="U3798" t="n">
        <v>2</v>
      </c>
      <c r="V3798" t="n">
        <v>2</v>
      </c>
      <c r="W3798" t="inlineStr">
        <is>
          <t>1997-10-29</t>
        </is>
      </c>
      <c r="X3798" t="inlineStr">
        <is>
          <t>1997-10-29</t>
        </is>
      </c>
      <c r="Y3798" t="inlineStr">
        <is>
          <t>1997-04-25</t>
        </is>
      </c>
      <c r="Z3798" t="inlineStr">
        <is>
          <t>1997-04-25</t>
        </is>
      </c>
      <c r="AA3798" t="n">
        <v>248</v>
      </c>
      <c r="AB3798" t="n">
        <v>208</v>
      </c>
      <c r="AC3798" t="n">
        <v>240</v>
      </c>
      <c r="AD3798" t="n">
        <v>4</v>
      </c>
      <c r="AE3798" t="n">
        <v>4</v>
      </c>
      <c r="AF3798" t="n">
        <v>21</v>
      </c>
      <c r="AG3798" t="n">
        <v>23</v>
      </c>
      <c r="AH3798" t="n">
        <v>8</v>
      </c>
      <c r="AI3798" t="n">
        <v>9</v>
      </c>
      <c r="AJ3798" t="n">
        <v>6</v>
      </c>
      <c r="AK3798" t="n">
        <v>7</v>
      </c>
      <c r="AL3798" t="n">
        <v>9</v>
      </c>
      <c r="AM3798" t="n">
        <v>10</v>
      </c>
      <c r="AN3798" t="n">
        <v>3</v>
      </c>
      <c r="AO3798" t="n">
        <v>3</v>
      </c>
      <c r="AP3798" t="n">
        <v>0</v>
      </c>
      <c r="AQ3798" t="n">
        <v>0</v>
      </c>
      <c r="AR3798" t="inlineStr">
        <is>
          <t>No</t>
        </is>
      </c>
      <c r="AS3798" t="inlineStr">
        <is>
          <t>Yes</t>
        </is>
      </c>
      <c r="AT3798">
        <f>HYPERLINK("http://catalog.hathitrust.org/Record/007588556","HathiTrust Record")</f>
        <v/>
      </c>
      <c r="AU3798">
        <f>HYPERLINK("https://creighton-primo.hosted.exlibrisgroup.com/primo-explore/search?tab=default_tab&amp;search_scope=EVERYTHING&amp;vid=01CRU&amp;lang=en_US&amp;offset=0&amp;query=any,contains,991000612549702656","Catalog Record")</f>
        <v/>
      </c>
      <c r="AV3798">
        <f>HYPERLINK("http://www.worldcat.org/oclc/100779","WorldCat Record")</f>
        <v/>
      </c>
      <c r="AW3798" t="inlineStr">
        <is>
          <t>1169108:eng</t>
        </is>
      </c>
      <c r="AX3798" t="inlineStr">
        <is>
          <t>100779</t>
        </is>
      </c>
      <c r="AY3798" t="inlineStr">
        <is>
          <t>991000612549702656</t>
        </is>
      </c>
      <c r="AZ3798" t="inlineStr">
        <is>
          <t>991000612549702656</t>
        </is>
      </c>
      <c r="BA3798" t="inlineStr">
        <is>
          <t>2258436570002656</t>
        </is>
      </c>
      <c r="BB3798" t="inlineStr">
        <is>
          <t>BOOK</t>
        </is>
      </c>
      <c r="BD3798" t="inlineStr">
        <is>
          <t>9780876960042</t>
        </is>
      </c>
      <c r="BE3798" t="inlineStr">
        <is>
          <t>32285002592219</t>
        </is>
      </c>
      <c r="BF3798" t="inlineStr">
        <is>
          <t>893695992</t>
        </is>
      </c>
    </row>
    <row r="3799">
      <c r="A3799" t="inlineStr">
        <is>
          <t>No</t>
        </is>
      </c>
      <c r="B3799" t="inlineStr">
        <is>
          <t>CURAL</t>
        </is>
      </c>
      <c r="C3799" t="inlineStr">
        <is>
          <t>SHELVES</t>
        </is>
      </c>
      <c r="D3799" t="inlineStr">
        <is>
          <t>PR8750 .W3 1979</t>
        </is>
      </c>
      <c r="E3799" t="inlineStr">
        <is>
          <t>0                      PR 8750000W  3           1979</t>
        </is>
      </c>
      <c r="F3799" t="inlineStr">
        <is>
          <t>Irish identity and the literary revival : Synge, Yeats, Joyce and O'Casey / G. J. Watson.</t>
        </is>
      </c>
      <c r="H3799" t="inlineStr">
        <is>
          <t>No</t>
        </is>
      </c>
      <c r="I3799" t="inlineStr">
        <is>
          <t>1</t>
        </is>
      </c>
      <c r="J3799" t="inlineStr">
        <is>
          <t>No</t>
        </is>
      </c>
      <c r="K3799" t="inlineStr">
        <is>
          <t>Yes</t>
        </is>
      </c>
      <c r="L3799" t="inlineStr">
        <is>
          <t>0</t>
        </is>
      </c>
      <c r="M3799" t="inlineStr">
        <is>
          <t>Watson, George J.</t>
        </is>
      </c>
      <c r="N3799" t="inlineStr">
        <is>
          <t>London : Croom Helm ; New York : Barnes &amp; Noble, c1979.</t>
        </is>
      </c>
      <c r="O3799" t="inlineStr">
        <is>
          <t>1979</t>
        </is>
      </c>
      <c r="Q3799" t="inlineStr">
        <is>
          <t>eng</t>
        </is>
      </c>
      <c r="R3799" t="inlineStr">
        <is>
          <t>enk</t>
        </is>
      </c>
      <c r="T3799" t="inlineStr">
        <is>
          <t xml:space="preserve">PR </t>
        </is>
      </c>
      <c r="U3799" t="n">
        <v>11</v>
      </c>
      <c r="V3799" t="n">
        <v>11</v>
      </c>
      <c r="W3799" t="inlineStr">
        <is>
          <t>2006-05-04</t>
        </is>
      </c>
      <c r="X3799" t="inlineStr">
        <is>
          <t>2006-05-04</t>
        </is>
      </c>
      <c r="Y3799" t="inlineStr">
        <is>
          <t>1992-03-12</t>
        </is>
      </c>
      <c r="Z3799" t="inlineStr">
        <is>
          <t>1992-03-12</t>
        </is>
      </c>
      <c r="AA3799" t="n">
        <v>626</v>
      </c>
      <c r="AB3799" t="n">
        <v>468</v>
      </c>
      <c r="AC3799" t="n">
        <v>556</v>
      </c>
      <c r="AD3799" t="n">
        <v>5</v>
      </c>
      <c r="AE3799" t="n">
        <v>5</v>
      </c>
      <c r="AF3799" t="n">
        <v>30</v>
      </c>
      <c r="AG3799" t="n">
        <v>35</v>
      </c>
      <c r="AH3799" t="n">
        <v>12</v>
      </c>
      <c r="AI3799" t="n">
        <v>15</v>
      </c>
      <c r="AJ3799" t="n">
        <v>10</v>
      </c>
      <c r="AK3799" t="n">
        <v>10</v>
      </c>
      <c r="AL3799" t="n">
        <v>13</v>
      </c>
      <c r="AM3799" t="n">
        <v>17</v>
      </c>
      <c r="AN3799" t="n">
        <v>4</v>
      </c>
      <c r="AO3799" t="n">
        <v>4</v>
      </c>
      <c r="AP3799" t="n">
        <v>0</v>
      </c>
      <c r="AQ3799" t="n">
        <v>0</v>
      </c>
      <c r="AR3799" t="inlineStr">
        <is>
          <t>No</t>
        </is>
      </c>
      <c r="AS3799" t="inlineStr">
        <is>
          <t>Yes</t>
        </is>
      </c>
      <c r="AT3799">
        <f>HYPERLINK("http://catalog.hathitrust.org/Record/007115533","HathiTrust Record")</f>
        <v/>
      </c>
      <c r="AU3799">
        <f>HYPERLINK("https://creighton-primo.hosted.exlibrisgroup.com/primo-explore/search?tab=default_tab&amp;search_scope=EVERYTHING&amp;vid=01CRU&amp;lang=en_US&amp;offset=0&amp;query=any,contains,991004860459702656","Catalog Record")</f>
        <v/>
      </c>
      <c r="AV3799">
        <f>HYPERLINK("http://www.worldcat.org/oclc/5701446","WorldCat Record")</f>
        <v/>
      </c>
      <c r="AW3799" t="inlineStr">
        <is>
          <t>404583:eng</t>
        </is>
      </c>
      <c r="AX3799" t="inlineStr">
        <is>
          <t>5701446</t>
        </is>
      </c>
      <c r="AY3799" t="inlineStr">
        <is>
          <t>991004860459702656</t>
        </is>
      </c>
      <c r="AZ3799" t="inlineStr">
        <is>
          <t>991004860459702656</t>
        </is>
      </c>
      <c r="BA3799" t="inlineStr">
        <is>
          <t>2264253300002656</t>
        </is>
      </c>
      <c r="BB3799" t="inlineStr">
        <is>
          <t>BOOK</t>
        </is>
      </c>
      <c r="BD3799" t="inlineStr">
        <is>
          <t>9780064974950</t>
        </is>
      </c>
      <c r="BE3799" t="inlineStr">
        <is>
          <t>32285000998335</t>
        </is>
      </c>
      <c r="BF3799" t="inlineStr">
        <is>
          <t>893241924</t>
        </is>
      </c>
    </row>
    <row r="3800">
      <c r="A3800" t="inlineStr">
        <is>
          <t>No</t>
        </is>
      </c>
      <c r="B3800" t="inlineStr">
        <is>
          <t>CURAL</t>
        </is>
      </c>
      <c r="C3800" t="inlineStr">
        <is>
          <t>SHELVES</t>
        </is>
      </c>
      <c r="D3800" t="inlineStr">
        <is>
          <t>PR8753 .C665 1997</t>
        </is>
      </c>
      <c r="E3800" t="inlineStr">
        <is>
          <t>0                      PR 8753000C  665         1997</t>
        </is>
      </c>
      <c r="F3800" t="inlineStr">
        <is>
          <t>After Yeats and Joyce : reading modern Irish literature / Neil Corcoran.</t>
        </is>
      </c>
      <c r="H3800" t="inlineStr">
        <is>
          <t>No</t>
        </is>
      </c>
      <c r="I3800" t="inlineStr">
        <is>
          <t>1</t>
        </is>
      </c>
      <c r="J3800" t="inlineStr">
        <is>
          <t>No</t>
        </is>
      </c>
      <c r="K3800" t="inlineStr">
        <is>
          <t>No</t>
        </is>
      </c>
      <c r="L3800" t="inlineStr">
        <is>
          <t>0</t>
        </is>
      </c>
      <c r="M3800" t="inlineStr">
        <is>
          <t>Corcoran, Neil.</t>
        </is>
      </c>
      <c r="N3800" t="inlineStr">
        <is>
          <t>Oxford [England] ; New York : Oxford University Press, 1997.</t>
        </is>
      </c>
      <c r="O3800" t="inlineStr">
        <is>
          <t>1997</t>
        </is>
      </c>
      <c r="Q3800" t="inlineStr">
        <is>
          <t>eng</t>
        </is>
      </c>
      <c r="R3800" t="inlineStr">
        <is>
          <t>enk</t>
        </is>
      </c>
      <c r="T3800" t="inlineStr">
        <is>
          <t xml:space="preserve">PR </t>
        </is>
      </c>
      <c r="U3800" t="n">
        <v>4</v>
      </c>
      <c r="V3800" t="n">
        <v>4</v>
      </c>
      <c r="W3800" t="inlineStr">
        <is>
          <t>2005-04-25</t>
        </is>
      </c>
      <c r="X3800" t="inlineStr">
        <is>
          <t>2005-04-25</t>
        </is>
      </c>
      <c r="Y3800" t="inlineStr">
        <is>
          <t>2001-03-27</t>
        </is>
      </c>
      <c r="Z3800" t="inlineStr">
        <is>
          <t>2001-03-27</t>
        </is>
      </c>
      <c r="AA3800" t="n">
        <v>584</v>
      </c>
      <c r="AB3800" t="n">
        <v>425</v>
      </c>
      <c r="AC3800" t="n">
        <v>434</v>
      </c>
      <c r="AD3800" t="n">
        <v>5</v>
      </c>
      <c r="AE3800" t="n">
        <v>5</v>
      </c>
      <c r="AF3800" t="n">
        <v>30</v>
      </c>
      <c r="AG3800" t="n">
        <v>30</v>
      </c>
      <c r="AH3800" t="n">
        <v>11</v>
      </c>
      <c r="AI3800" t="n">
        <v>11</v>
      </c>
      <c r="AJ3800" t="n">
        <v>9</v>
      </c>
      <c r="AK3800" t="n">
        <v>9</v>
      </c>
      <c r="AL3800" t="n">
        <v>15</v>
      </c>
      <c r="AM3800" t="n">
        <v>15</v>
      </c>
      <c r="AN3800" t="n">
        <v>4</v>
      </c>
      <c r="AO3800" t="n">
        <v>4</v>
      </c>
      <c r="AP3800" t="n">
        <v>0</v>
      </c>
      <c r="AQ3800" t="n">
        <v>0</v>
      </c>
      <c r="AR3800" t="inlineStr">
        <is>
          <t>No</t>
        </is>
      </c>
      <c r="AS3800" t="inlineStr">
        <is>
          <t>Yes</t>
        </is>
      </c>
      <c r="AT3800">
        <f>HYPERLINK("http://catalog.hathitrust.org/Record/003943039","HathiTrust Record")</f>
        <v/>
      </c>
      <c r="AU3800">
        <f>HYPERLINK("https://creighton-primo.hosted.exlibrisgroup.com/primo-explore/search?tab=default_tab&amp;search_scope=EVERYTHING&amp;vid=01CRU&amp;lang=en_US&amp;offset=0&amp;query=any,contains,991003470519702656","Catalog Record")</f>
        <v/>
      </c>
      <c r="AV3800">
        <f>HYPERLINK("http://www.worldcat.org/oclc/36457995","WorldCat Record")</f>
        <v/>
      </c>
      <c r="AW3800" t="inlineStr">
        <is>
          <t>340371287:eng</t>
        </is>
      </c>
      <c r="AX3800" t="inlineStr">
        <is>
          <t>36457995</t>
        </is>
      </c>
      <c r="AY3800" t="inlineStr">
        <is>
          <t>991003470519702656</t>
        </is>
      </c>
      <c r="AZ3800" t="inlineStr">
        <is>
          <t>991003470519702656</t>
        </is>
      </c>
      <c r="BA3800" t="inlineStr">
        <is>
          <t>2270389370002656</t>
        </is>
      </c>
      <c r="BB3800" t="inlineStr">
        <is>
          <t>BOOK</t>
        </is>
      </c>
      <c r="BD3800" t="inlineStr">
        <is>
          <t>9780192892317</t>
        </is>
      </c>
      <c r="BE3800" t="inlineStr">
        <is>
          <t>32285004307954</t>
        </is>
      </c>
      <c r="BF3800" t="inlineStr">
        <is>
          <t>893874778</t>
        </is>
      </c>
    </row>
    <row r="3801">
      <c r="A3801" t="inlineStr">
        <is>
          <t>No</t>
        </is>
      </c>
      <c r="B3801" t="inlineStr">
        <is>
          <t>CURAL</t>
        </is>
      </c>
      <c r="C3801" t="inlineStr">
        <is>
          <t>SHELVES</t>
        </is>
      </c>
      <c r="D3801" t="inlineStr">
        <is>
          <t>PR8753 .H59 1996</t>
        </is>
      </c>
      <c r="E3801" t="inlineStr">
        <is>
          <t>0                      PR 8753000H  59          1996</t>
        </is>
      </c>
      <c r="F3801" t="inlineStr">
        <is>
          <t>The pressed melodeon : essays on modern Irish writing / Ben Howard.</t>
        </is>
      </c>
      <c r="H3801" t="inlineStr">
        <is>
          <t>No</t>
        </is>
      </c>
      <c r="I3801" t="inlineStr">
        <is>
          <t>1</t>
        </is>
      </c>
      <c r="J3801" t="inlineStr">
        <is>
          <t>No</t>
        </is>
      </c>
      <c r="K3801" t="inlineStr">
        <is>
          <t>No</t>
        </is>
      </c>
      <c r="L3801" t="inlineStr">
        <is>
          <t>0</t>
        </is>
      </c>
      <c r="M3801" t="inlineStr">
        <is>
          <t>Howard, Ben.</t>
        </is>
      </c>
      <c r="N3801" t="inlineStr">
        <is>
          <t>Brownsville, Ore. : Story Line Press, 1996.</t>
        </is>
      </c>
      <c r="O3801" t="inlineStr">
        <is>
          <t>1996</t>
        </is>
      </c>
      <c r="Q3801" t="inlineStr">
        <is>
          <t>eng</t>
        </is>
      </c>
      <c r="R3801" t="inlineStr">
        <is>
          <t>oru</t>
        </is>
      </c>
      <c r="T3801" t="inlineStr">
        <is>
          <t xml:space="preserve">PR </t>
        </is>
      </c>
      <c r="U3801" t="n">
        <v>7</v>
      </c>
      <c r="V3801" t="n">
        <v>7</v>
      </c>
      <c r="W3801" t="inlineStr">
        <is>
          <t>1999-01-28</t>
        </is>
      </c>
      <c r="X3801" t="inlineStr">
        <is>
          <t>1999-01-28</t>
        </is>
      </c>
      <c r="Y3801" t="inlineStr">
        <is>
          <t>1996-08-08</t>
        </is>
      </c>
      <c r="Z3801" t="inlineStr">
        <is>
          <t>1996-08-08</t>
        </is>
      </c>
      <c r="AA3801" t="n">
        <v>192</v>
      </c>
      <c r="AB3801" t="n">
        <v>174</v>
      </c>
      <c r="AC3801" t="n">
        <v>181</v>
      </c>
      <c r="AD3801" t="n">
        <v>2</v>
      </c>
      <c r="AE3801" t="n">
        <v>2</v>
      </c>
      <c r="AF3801" t="n">
        <v>12</v>
      </c>
      <c r="AG3801" t="n">
        <v>12</v>
      </c>
      <c r="AH3801" t="n">
        <v>3</v>
      </c>
      <c r="AI3801" t="n">
        <v>3</v>
      </c>
      <c r="AJ3801" t="n">
        <v>5</v>
      </c>
      <c r="AK3801" t="n">
        <v>5</v>
      </c>
      <c r="AL3801" t="n">
        <v>6</v>
      </c>
      <c r="AM3801" t="n">
        <v>6</v>
      </c>
      <c r="AN3801" t="n">
        <v>1</v>
      </c>
      <c r="AO3801" t="n">
        <v>1</v>
      </c>
      <c r="AP3801" t="n">
        <v>0</v>
      </c>
      <c r="AQ3801" t="n">
        <v>0</v>
      </c>
      <c r="AR3801" t="inlineStr">
        <is>
          <t>No</t>
        </is>
      </c>
      <c r="AS3801" t="inlineStr">
        <is>
          <t>Yes</t>
        </is>
      </c>
      <c r="AT3801">
        <f>HYPERLINK("http://catalog.hathitrust.org/Record/003092895","HathiTrust Record")</f>
        <v/>
      </c>
      <c r="AU3801">
        <f>HYPERLINK("https://creighton-primo.hosted.exlibrisgroup.com/primo-explore/search?tab=default_tab&amp;search_scope=EVERYTHING&amp;vid=01CRU&amp;lang=en_US&amp;offset=0&amp;query=any,contains,991002607629702656","Catalog Record")</f>
        <v/>
      </c>
      <c r="AV3801">
        <f>HYPERLINK("http://www.worldcat.org/oclc/34151019","WorldCat Record")</f>
        <v/>
      </c>
      <c r="AW3801" t="inlineStr">
        <is>
          <t>474837669:eng</t>
        </is>
      </c>
      <c r="AX3801" t="inlineStr">
        <is>
          <t>34151019</t>
        </is>
      </c>
      <c r="AY3801" t="inlineStr">
        <is>
          <t>991002607629702656</t>
        </is>
      </c>
      <c r="AZ3801" t="inlineStr">
        <is>
          <t>991002607629702656</t>
        </is>
      </c>
      <c r="BA3801" t="inlineStr">
        <is>
          <t>2261842640002656</t>
        </is>
      </c>
      <c r="BB3801" t="inlineStr">
        <is>
          <t>BOOK</t>
        </is>
      </c>
      <c r="BD3801" t="inlineStr">
        <is>
          <t>9781885266248</t>
        </is>
      </c>
      <c r="BE3801" t="inlineStr">
        <is>
          <t>32285002272069</t>
        </is>
      </c>
      <c r="BF3801" t="inlineStr">
        <is>
          <t>893704267</t>
        </is>
      </c>
    </row>
    <row r="3802">
      <c r="A3802" t="inlineStr">
        <is>
          <t>No</t>
        </is>
      </c>
      <c r="B3802" t="inlineStr">
        <is>
          <t>CURAL</t>
        </is>
      </c>
      <c r="C3802" t="inlineStr">
        <is>
          <t>SHELVES</t>
        </is>
      </c>
      <c r="D3802" t="inlineStr">
        <is>
          <t>PR8753 .H6 1959</t>
        </is>
      </c>
      <c r="E3802" t="inlineStr">
        <is>
          <t>0                      PR 8753000H  6           1959</t>
        </is>
      </c>
      <c r="F3802" t="inlineStr">
        <is>
          <t>The Irish writers, 1880-1940.</t>
        </is>
      </c>
      <c r="H3802" t="inlineStr">
        <is>
          <t>No</t>
        </is>
      </c>
      <c r="I3802" t="inlineStr">
        <is>
          <t>1</t>
        </is>
      </c>
      <c r="J3802" t="inlineStr">
        <is>
          <t>No</t>
        </is>
      </c>
      <c r="K3802" t="inlineStr">
        <is>
          <t>No</t>
        </is>
      </c>
      <c r="L3802" t="inlineStr">
        <is>
          <t>0</t>
        </is>
      </c>
      <c r="M3802" t="inlineStr">
        <is>
          <t>Howarth, Herbert, 1900-</t>
        </is>
      </c>
      <c r="N3802" t="inlineStr">
        <is>
          <t>New York, Hill and Wang [1959, c1958]</t>
        </is>
      </c>
      <c r="O3802" t="inlineStr">
        <is>
          <t>1959</t>
        </is>
      </c>
      <c r="Q3802" t="inlineStr">
        <is>
          <t>eng</t>
        </is>
      </c>
      <c r="R3802" t="inlineStr">
        <is>
          <t>nyu</t>
        </is>
      </c>
      <c r="T3802" t="inlineStr">
        <is>
          <t xml:space="preserve">PR </t>
        </is>
      </c>
      <c r="U3802" t="n">
        <v>1</v>
      </c>
      <c r="V3802" t="n">
        <v>1</v>
      </c>
      <c r="W3802" t="inlineStr">
        <is>
          <t>2006-03-26</t>
        </is>
      </c>
      <c r="X3802" t="inlineStr">
        <is>
          <t>2006-03-26</t>
        </is>
      </c>
      <c r="Y3802" t="inlineStr">
        <is>
          <t>1997-04-25</t>
        </is>
      </c>
      <c r="Z3802" t="inlineStr">
        <is>
          <t>1997-04-25</t>
        </is>
      </c>
      <c r="AA3802" t="n">
        <v>523</v>
      </c>
      <c r="AB3802" t="n">
        <v>492</v>
      </c>
      <c r="AC3802" t="n">
        <v>630</v>
      </c>
      <c r="AD3802" t="n">
        <v>5</v>
      </c>
      <c r="AE3802" t="n">
        <v>6</v>
      </c>
      <c r="AF3802" t="n">
        <v>26</v>
      </c>
      <c r="AG3802" t="n">
        <v>34</v>
      </c>
      <c r="AH3802" t="n">
        <v>9</v>
      </c>
      <c r="AI3802" t="n">
        <v>12</v>
      </c>
      <c r="AJ3802" t="n">
        <v>6</v>
      </c>
      <c r="AK3802" t="n">
        <v>9</v>
      </c>
      <c r="AL3802" t="n">
        <v>13</v>
      </c>
      <c r="AM3802" t="n">
        <v>16</v>
      </c>
      <c r="AN3802" t="n">
        <v>3</v>
      </c>
      <c r="AO3802" t="n">
        <v>4</v>
      </c>
      <c r="AP3802" t="n">
        <v>0</v>
      </c>
      <c r="AQ3802" t="n">
        <v>0</v>
      </c>
      <c r="AR3802" t="inlineStr">
        <is>
          <t>No</t>
        </is>
      </c>
      <c r="AS3802" t="inlineStr">
        <is>
          <t>No</t>
        </is>
      </c>
      <c r="AU3802">
        <f>HYPERLINK("https://creighton-primo.hosted.exlibrisgroup.com/primo-explore/search?tab=default_tab&amp;search_scope=EVERYTHING&amp;vid=01CRU&amp;lang=en_US&amp;offset=0&amp;query=any,contains,991001762289702656","Catalog Record")</f>
        <v/>
      </c>
      <c r="AV3802">
        <f>HYPERLINK("http://www.worldcat.org/oclc/236189","WorldCat Record")</f>
        <v/>
      </c>
      <c r="AW3802" t="inlineStr">
        <is>
          <t>1369799:eng</t>
        </is>
      </c>
      <c r="AX3802" t="inlineStr">
        <is>
          <t>236189</t>
        </is>
      </c>
      <c r="AY3802" t="inlineStr">
        <is>
          <t>991001762289702656</t>
        </is>
      </c>
      <c r="AZ3802" t="inlineStr">
        <is>
          <t>991001762289702656</t>
        </is>
      </c>
      <c r="BA3802" t="inlineStr">
        <is>
          <t>2257601760002656</t>
        </is>
      </c>
      <c r="BB3802" t="inlineStr">
        <is>
          <t>BOOK</t>
        </is>
      </c>
      <c r="BE3802" t="inlineStr">
        <is>
          <t>32285002592235</t>
        </is>
      </c>
      <c r="BF3802" t="inlineStr">
        <is>
          <t>893609117</t>
        </is>
      </c>
    </row>
    <row r="3803">
      <c r="A3803" t="inlineStr">
        <is>
          <t>No</t>
        </is>
      </c>
      <c r="B3803" t="inlineStr">
        <is>
          <t>CURAL</t>
        </is>
      </c>
      <c r="C3803" t="inlineStr">
        <is>
          <t>SHELVES</t>
        </is>
      </c>
      <c r="D3803" t="inlineStr">
        <is>
          <t>PR8753 .K43 1988</t>
        </is>
      </c>
      <c r="E3803" t="inlineStr">
        <is>
          <t>0                      PR 8753000K  43          1988</t>
        </is>
      </c>
      <c r="F3803" t="inlineStr">
        <is>
          <t>Transitions : narratives in modern Irish culture / Richard Kearney.</t>
        </is>
      </c>
      <c r="H3803" t="inlineStr">
        <is>
          <t>No</t>
        </is>
      </c>
      <c r="I3803" t="inlineStr">
        <is>
          <t>1</t>
        </is>
      </c>
      <c r="J3803" t="inlineStr">
        <is>
          <t>No</t>
        </is>
      </c>
      <c r="K3803" t="inlineStr">
        <is>
          <t>No</t>
        </is>
      </c>
      <c r="L3803" t="inlineStr">
        <is>
          <t>0</t>
        </is>
      </c>
      <c r="M3803" t="inlineStr">
        <is>
          <t>Kearney, Richard.</t>
        </is>
      </c>
      <c r="N3803" t="inlineStr">
        <is>
          <t>Manchester, UK : Manchester University Press ; New York, NY, USA : Distributed in the USA and Canada by St. Martin's Press, c1988.</t>
        </is>
      </c>
      <c r="O3803" t="inlineStr">
        <is>
          <t>1988</t>
        </is>
      </c>
      <c r="Q3803" t="inlineStr">
        <is>
          <t>eng</t>
        </is>
      </c>
      <c r="R3803" t="inlineStr">
        <is>
          <t>enk</t>
        </is>
      </c>
      <c r="T3803" t="inlineStr">
        <is>
          <t xml:space="preserve">PR </t>
        </is>
      </c>
      <c r="U3803" t="n">
        <v>7</v>
      </c>
      <c r="V3803" t="n">
        <v>7</v>
      </c>
      <c r="W3803" t="inlineStr">
        <is>
          <t>2002-04-02</t>
        </is>
      </c>
      <c r="X3803" t="inlineStr">
        <is>
          <t>2002-04-02</t>
        </is>
      </c>
      <c r="Y3803" t="inlineStr">
        <is>
          <t>1993-09-09</t>
        </is>
      </c>
      <c r="Z3803" t="inlineStr">
        <is>
          <t>1993-09-09</t>
        </is>
      </c>
      <c r="AA3803" t="n">
        <v>298</v>
      </c>
      <c r="AB3803" t="n">
        <v>206</v>
      </c>
      <c r="AC3803" t="n">
        <v>221</v>
      </c>
      <c r="AD3803" t="n">
        <v>3</v>
      </c>
      <c r="AE3803" t="n">
        <v>3</v>
      </c>
      <c r="AF3803" t="n">
        <v>15</v>
      </c>
      <c r="AG3803" t="n">
        <v>17</v>
      </c>
      <c r="AH3803" t="n">
        <v>4</v>
      </c>
      <c r="AI3803" t="n">
        <v>4</v>
      </c>
      <c r="AJ3803" t="n">
        <v>6</v>
      </c>
      <c r="AK3803" t="n">
        <v>7</v>
      </c>
      <c r="AL3803" t="n">
        <v>9</v>
      </c>
      <c r="AM3803" t="n">
        <v>10</v>
      </c>
      <c r="AN3803" t="n">
        <v>2</v>
      </c>
      <c r="AO3803" t="n">
        <v>2</v>
      </c>
      <c r="AP3803" t="n">
        <v>0</v>
      </c>
      <c r="AQ3803" t="n">
        <v>0</v>
      </c>
      <c r="AR3803" t="inlineStr">
        <is>
          <t>No</t>
        </is>
      </c>
      <c r="AS3803" t="inlineStr">
        <is>
          <t>Yes</t>
        </is>
      </c>
      <c r="AT3803">
        <f>HYPERLINK("http://catalog.hathitrust.org/Record/000901303","HathiTrust Record")</f>
        <v/>
      </c>
      <c r="AU3803">
        <f>HYPERLINK("https://creighton-primo.hosted.exlibrisgroup.com/primo-explore/search?tab=default_tab&amp;search_scope=EVERYTHING&amp;vid=01CRU&amp;lang=en_US&amp;offset=0&amp;query=any,contains,991005408649702656","Catalog Record")</f>
        <v/>
      </c>
      <c r="AV3803">
        <f>HYPERLINK("http://www.worldcat.org/oclc/17107984","WorldCat Record")</f>
        <v/>
      </c>
      <c r="AW3803" t="inlineStr">
        <is>
          <t>836619176:eng</t>
        </is>
      </c>
      <c r="AX3803" t="inlineStr">
        <is>
          <t>17107984</t>
        </is>
      </c>
      <c r="AY3803" t="inlineStr">
        <is>
          <t>991005408649702656</t>
        </is>
      </c>
      <c r="AZ3803" t="inlineStr">
        <is>
          <t>991005408649702656</t>
        </is>
      </c>
      <c r="BA3803" t="inlineStr">
        <is>
          <t>2257758740002656</t>
        </is>
      </c>
      <c r="BB3803" t="inlineStr">
        <is>
          <t>BOOK</t>
        </is>
      </c>
      <c r="BD3803" t="inlineStr">
        <is>
          <t>9780719019265</t>
        </is>
      </c>
      <c r="BE3803" t="inlineStr">
        <is>
          <t>32285001765519</t>
        </is>
      </c>
      <c r="BF3803" t="inlineStr">
        <is>
          <t>893320576</t>
        </is>
      </c>
    </row>
    <row r="3804">
      <c r="A3804" t="inlineStr">
        <is>
          <t>No</t>
        </is>
      </c>
      <c r="B3804" t="inlineStr">
        <is>
          <t>CURAL</t>
        </is>
      </c>
      <c r="C3804" t="inlineStr">
        <is>
          <t>SHELVES</t>
        </is>
      </c>
      <c r="D3804" t="inlineStr">
        <is>
          <t>PR8753 .L36 1988</t>
        </is>
      </c>
      <c r="E3804" t="inlineStr">
        <is>
          <t>0                      PR 8753000L  36          1988</t>
        </is>
      </c>
      <c r="F3804" t="inlineStr">
        <is>
          <t>Modern Irish literature / compiled and edited by Denis Lane and Carol McCrory Lane.</t>
        </is>
      </c>
      <c r="H3804" t="inlineStr">
        <is>
          <t>No</t>
        </is>
      </c>
      <c r="I3804" t="inlineStr">
        <is>
          <t>1</t>
        </is>
      </c>
      <c r="J3804" t="inlineStr">
        <is>
          <t>No</t>
        </is>
      </c>
      <c r="K3804" t="inlineStr">
        <is>
          <t>No</t>
        </is>
      </c>
      <c r="L3804" t="inlineStr">
        <is>
          <t>0</t>
        </is>
      </c>
      <c r="M3804" t="inlineStr">
        <is>
          <t>Lane, Denis.</t>
        </is>
      </c>
      <c r="N3804" t="inlineStr">
        <is>
          <t>New York : Ungar, 1988.</t>
        </is>
      </c>
      <c r="O3804" t="inlineStr">
        <is>
          <t>1988</t>
        </is>
      </c>
      <c r="Q3804" t="inlineStr">
        <is>
          <t>eng</t>
        </is>
      </c>
      <c r="R3804" t="inlineStr">
        <is>
          <t>nyu</t>
        </is>
      </c>
      <c r="S3804" t="inlineStr">
        <is>
          <t>A Library of literary criticism</t>
        </is>
      </c>
      <c r="T3804" t="inlineStr">
        <is>
          <t xml:space="preserve">PR </t>
        </is>
      </c>
      <c r="U3804" t="n">
        <v>12</v>
      </c>
      <c r="V3804" t="n">
        <v>12</v>
      </c>
      <c r="W3804" t="inlineStr">
        <is>
          <t>2008-12-15</t>
        </is>
      </c>
      <c r="X3804" t="inlineStr">
        <is>
          <t>2008-12-15</t>
        </is>
      </c>
      <c r="Y3804" t="inlineStr">
        <is>
          <t>1994-02-03</t>
        </is>
      </c>
      <c r="Z3804" t="inlineStr">
        <is>
          <t>1994-02-03</t>
        </is>
      </c>
      <c r="AA3804" t="n">
        <v>368</v>
      </c>
      <c r="AB3804" t="n">
        <v>311</v>
      </c>
      <c r="AC3804" t="n">
        <v>317</v>
      </c>
      <c r="AD3804" t="n">
        <v>3</v>
      </c>
      <c r="AE3804" t="n">
        <v>3</v>
      </c>
      <c r="AF3804" t="n">
        <v>17</v>
      </c>
      <c r="AG3804" t="n">
        <v>17</v>
      </c>
      <c r="AH3804" t="n">
        <v>5</v>
      </c>
      <c r="AI3804" t="n">
        <v>5</v>
      </c>
      <c r="AJ3804" t="n">
        <v>6</v>
      </c>
      <c r="AK3804" t="n">
        <v>6</v>
      </c>
      <c r="AL3804" t="n">
        <v>10</v>
      </c>
      <c r="AM3804" t="n">
        <v>10</v>
      </c>
      <c r="AN3804" t="n">
        <v>2</v>
      </c>
      <c r="AO3804" t="n">
        <v>2</v>
      </c>
      <c r="AP3804" t="n">
        <v>0</v>
      </c>
      <c r="AQ3804" t="n">
        <v>0</v>
      </c>
      <c r="AR3804" t="inlineStr">
        <is>
          <t>No</t>
        </is>
      </c>
      <c r="AS3804" t="inlineStr">
        <is>
          <t>No</t>
        </is>
      </c>
      <c r="AU3804">
        <f>HYPERLINK("https://creighton-primo.hosted.exlibrisgroup.com/primo-explore/search?tab=default_tab&amp;search_scope=EVERYTHING&amp;vid=01CRU&amp;lang=en_US&amp;offset=0&amp;query=any,contains,991001006819702656","Catalog Record")</f>
        <v/>
      </c>
      <c r="AV3804">
        <f>HYPERLINK("http://www.worldcat.org/oclc/15251734","WorldCat Record")</f>
        <v/>
      </c>
      <c r="AW3804" t="inlineStr">
        <is>
          <t>9788397:eng</t>
        </is>
      </c>
      <c r="AX3804" t="inlineStr">
        <is>
          <t>15251734</t>
        </is>
      </c>
      <c r="AY3804" t="inlineStr">
        <is>
          <t>991001006819702656</t>
        </is>
      </c>
      <c r="AZ3804" t="inlineStr">
        <is>
          <t>991001006819702656</t>
        </is>
      </c>
      <c r="BA3804" t="inlineStr">
        <is>
          <t>2255341320002656</t>
        </is>
      </c>
      <c r="BB3804" t="inlineStr">
        <is>
          <t>BOOK</t>
        </is>
      </c>
      <c r="BD3804" t="inlineStr">
        <is>
          <t>9780804431446</t>
        </is>
      </c>
      <c r="BE3804" t="inlineStr">
        <is>
          <t>32285001837136</t>
        </is>
      </c>
      <c r="BF3804" t="inlineStr">
        <is>
          <t>893702650</t>
        </is>
      </c>
    </row>
    <row r="3805">
      <c r="A3805" t="inlineStr">
        <is>
          <t>No</t>
        </is>
      </c>
      <c r="B3805" t="inlineStr">
        <is>
          <t>CURAL</t>
        </is>
      </c>
      <c r="C3805" t="inlineStr">
        <is>
          <t>SHELVES</t>
        </is>
      </c>
      <c r="D3805" t="inlineStr">
        <is>
          <t>PR8753 .M47 1994</t>
        </is>
      </c>
      <c r="E3805" t="inlineStr">
        <is>
          <t>0                      PR 8753000M  47          1994</t>
        </is>
      </c>
      <c r="F3805" t="inlineStr">
        <is>
          <t>Modern Irish literature : sources and founders / Vivian Mercier ; edited and presented by Eilís Dillon.</t>
        </is>
      </c>
      <c r="H3805" t="inlineStr">
        <is>
          <t>No</t>
        </is>
      </c>
      <c r="I3805" t="inlineStr">
        <is>
          <t>1</t>
        </is>
      </c>
      <c r="J3805" t="inlineStr">
        <is>
          <t>No</t>
        </is>
      </c>
      <c r="K3805" t="inlineStr">
        <is>
          <t>No</t>
        </is>
      </c>
      <c r="L3805" t="inlineStr">
        <is>
          <t>0</t>
        </is>
      </c>
      <c r="M3805" t="inlineStr">
        <is>
          <t>Mercier, Vivian, 1919-1989.</t>
        </is>
      </c>
      <c r="N3805" t="inlineStr">
        <is>
          <t>Oxford : Clarendon Press ; Oxford ; New York : Oxford University Press, 1994.</t>
        </is>
      </c>
      <c r="O3805" t="inlineStr">
        <is>
          <t>1994</t>
        </is>
      </c>
      <c r="Q3805" t="inlineStr">
        <is>
          <t>eng</t>
        </is>
      </c>
      <c r="R3805" t="inlineStr">
        <is>
          <t>enk</t>
        </is>
      </c>
      <c r="T3805" t="inlineStr">
        <is>
          <t xml:space="preserve">PR </t>
        </is>
      </c>
      <c r="U3805" t="n">
        <v>7</v>
      </c>
      <c r="V3805" t="n">
        <v>7</v>
      </c>
      <c r="W3805" t="inlineStr">
        <is>
          <t>2002-04-08</t>
        </is>
      </c>
      <c r="X3805" t="inlineStr">
        <is>
          <t>2002-04-08</t>
        </is>
      </c>
      <c r="Y3805" t="inlineStr">
        <is>
          <t>1994-11-08</t>
        </is>
      </c>
      <c r="Z3805" t="inlineStr">
        <is>
          <t>1994-11-08</t>
        </is>
      </c>
      <c r="AA3805" t="n">
        <v>401</v>
      </c>
      <c r="AB3805" t="n">
        <v>277</v>
      </c>
      <c r="AC3805" t="n">
        <v>283</v>
      </c>
      <c r="AD3805" t="n">
        <v>4</v>
      </c>
      <c r="AE3805" t="n">
        <v>4</v>
      </c>
      <c r="AF3805" t="n">
        <v>21</v>
      </c>
      <c r="AG3805" t="n">
        <v>21</v>
      </c>
      <c r="AH3805" t="n">
        <v>8</v>
      </c>
      <c r="AI3805" t="n">
        <v>8</v>
      </c>
      <c r="AJ3805" t="n">
        <v>5</v>
      </c>
      <c r="AK3805" t="n">
        <v>5</v>
      </c>
      <c r="AL3805" t="n">
        <v>10</v>
      </c>
      <c r="AM3805" t="n">
        <v>10</v>
      </c>
      <c r="AN3805" t="n">
        <v>3</v>
      </c>
      <c r="AO3805" t="n">
        <v>3</v>
      </c>
      <c r="AP3805" t="n">
        <v>0</v>
      </c>
      <c r="AQ3805" t="n">
        <v>0</v>
      </c>
      <c r="AR3805" t="inlineStr">
        <is>
          <t>No</t>
        </is>
      </c>
      <c r="AS3805" t="inlineStr">
        <is>
          <t>Yes</t>
        </is>
      </c>
      <c r="AT3805">
        <f>HYPERLINK("http://catalog.hathitrust.org/Record/002868784","HathiTrust Record")</f>
        <v/>
      </c>
      <c r="AU3805">
        <f>HYPERLINK("https://creighton-primo.hosted.exlibrisgroup.com/primo-explore/search?tab=default_tab&amp;search_scope=EVERYTHING&amp;vid=01CRU&amp;lang=en_US&amp;offset=0&amp;query=any,contains,991002213679702656","Catalog Record")</f>
        <v/>
      </c>
      <c r="AV3805">
        <f>HYPERLINK("http://www.worldcat.org/oclc/28504018","WorldCat Record")</f>
        <v/>
      </c>
      <c r="AW3805" t="inlineStr">
        <is>
          <t>807525541:eng</t>
        </is>
      </c>
      <c r="AX3805" t="inlineStr">
        <is>
          <t>28504018</t>
        </is>
      </c>
      <c r="AY3805" t="inlineStr">
        <is>
          <t>991002213679702656</t>
        </is>
      </c>
      <c r="AZ3805" t="inlineStr">
        <is>
          <t>991002213679702656</t>
        </is>
      </c>
      <c r="BA3805" t="inlineStr">
        <is>
          <t>2270190020002656</t>
        </is>
      </c>
      <c r="BB3805" t="inlineStr">
        <is>
          <t>BOOK</t>
        </is>
      </c>
      <c r="BD3805" t="inlineStr">
        <is>
          <t>9780198120742</t>
        </is>
      </c>
      <c r="BE3805" t="inlineStr">
        <is>
          <t>32285001956704</t>
        </is>
      </c>
      <c r="BF3805" t="inlineStr">
        <is>
          <t>893510449</t>
        </is>
      </c>
    </row>
    <row r="3806">
      <c r="A3806" t="inlineStr">
        <is>
          <t>No</t>
        </is>
      </c>
      <c r="B3806" t="inlineStr">
        <is>
          <t>CURAL</t>
        </is>
      </c>
      <c r="C3806" t="inlineStr">
        <is>
          <t>SHELVES</t>
        </is>
      </c>
      <c r="D3806" t="inlineStr">
        <is>
          <t>PR8753 .R43 2000</t>
        </is>
      </c>
      <c r="E3806" t="inlineStr">
        <is>
          <t>0                      PR 8753000R  43          2000</t>
        </is>
      </c>
      <c r="F3806" t="inlineStr">
        <is>
          <t>Reading the future : Irish writers in conversation with Mike Murphy / edited by Clíodhna Ní Anluain.</t>
        </is>
      </c>
      <c r="H3806" t="inlineStr">
        <is>
          <t>No</t>
        </is>
      </c>
      <c r="I3806" t="inlineStr">
        <is>
          <t>1</t>
        </is>
      </c>
      <c r="J3806" t="inlineStr">
        <is>
          <t>No</t>
        </is>
      </c>
      <c r="K3806" t="inlineStr">
        <is>
          <t>No</t>
        </is>
      </c>
      <c r="L3806" t="inlineStr">
        <is>
          <t>0</t>
        </is>
      </c>
      <c r="N3806" t="inlineStr">
        <is>
          <t>Dublin : Lilliput Press, 2000.</t>
        </is>
      </c>
      <c r="O3806" t="inlineStr">
        <is>
          <t>2000</t>
        </is>
      </c>
      <c r="Q3806" t="inlineStr">
        <is>
          <t>eng</t>
        </is>
      </c>
      <c r="R3806" t="inlineStr">
        <is>
          <t xml:space="preserve">ie </t>
        </is>
      </c>
      <c r="T3806" t="inlineStr">
        <is>
          <t xml:space="preserve">PR </t>
        </is>
      </c>
      <c r="U3806" t="n">
        <v>5</v>
      </c>
      <c r="V3806" t="n">
        <v>5</v>
      </c>
      <c r="W3806" t="inlineStr">
        <is>
          <t>2004-12-11</t>
        </is>
      </c>
      <c r="X3806" t="inlineStr">
        <is>
          <t>2004-12-11</t>
        </is>
      </c>
      <c r="Y3806" t="inlineStr">
        <is>
          <t>2002-04-29</t>
        </is>
      </c>
      <c r="Z3806" t="inlineStr">
        <is>
          <t>2002-04-29</t>
        </is>
      </c>
      <c r="AA3806" t="n">
        <v>141</v>
      </c>
      <c r="AB3806" t="n">
        <v>107</v>
      </c>
      <c r="AC3806" t="n">
        <v>114</v>
      </c>
      <c r="AD3806" t="n">
        <v>1</v>
      </c>
      <c r="AE3806" t="n">
        <v>1</v>
      </c>
      <c r="AF3806" t="n">
        <v>10</v>
      </c>
      <c r="AG3806" t="n">
        <v>10</v>
      </c>
      <c r="AH3806" t="n">
        <v>3</v>
      </c>
      <c r="AI3806" t="n">
        <v>3</v>
      </c>
      <c r="AJ3806" t="n">
        <v>5</v>
      </c>
      <c r="AK3806" t="n">
        <v>5</v>
      </c>
      <c r="AL3806" t="n">
        <v>7</v>
      </c>
      <c r="AM3806" t="n">
        <v>7</v>
      </c>
      <c r="AN3806" t="n">
        <v>0</v>
      </c>
      <c r="AO3806" t="n">
        <v>0</v>
      </c>
      <c r="AP3806" t="n">
        <v>0</v>
      </c>
      <c r="AQ3806" t="n">
        <v>0</v>
      </c>
      <c r="AR3806" t="inlineStr">
        <is>
          <t>No</t>
        </is>
      </c>
      <c r="AS3806" t="inlineStr">
        <is>
          <t>Yes</t>
        </is>
      </c>
      <c r="AT3806">
        <f>HYPERLINK("http://catalog.hathitrust.org/Record/004156186","HathiTrust Record")</f>
        <v/>
      </c>
      <c r="AU3806">
        <f>HYPERLINK("https://creighton-primo.hosted.exlibrisgroup.com/primo-explore/search?tab=default_tab&amp;search_scope=EVERYTHING&amp;vid=01CRU&amp;lang=en_US&amp;offset=0&amp;query=any,contains,991003777169702656","Catalog Record")</f>
        <v/>
      </c>
      <c r="AV3806">
        <f>HYPERLINK("http://www.worldcat.org/oclc/45486635","WorldCat Record")</f>
        <v/>
      </c>
      <c r="AW3806" t="inlineStr">
        <is>
          <t>836994553:eng</t>
        </is>
      </c>
      <c r="AX3806" t="inlineStr">
        <is>
          <t>45486635</t>
        </is>
      </c>
      <c r="AY3806" t="inlineStr">
        <is>
          <t>991003777169702656</t>
        </is>
      </c>
      <c r="AZ3806" t="inlineStr">
        <is>
          <t>991003777169702656</t>
        </is>
      </c>
      <c r="BA3806" t="inlineStr">
        <is>
          <t>2271289510002656</t>
        </is>
      </c>
      <c r="BB3806" t="inlineStr">
        <is>
          <t>BOOK</t>
        </is>
      </c>
      <c r="BD3806" t="inlineStr">
        <is>
          <t>9781901866575</t>
        </is>
      </c>
      <c r="BE3806" t="inlineStr">
        <is>
          <t>32285004484233</t>
        </is>
      </c>
      <c r="BF3806" t="inlineStr">
        <is>
          <t>893262926</t>
        </is>
      </c>
    </row>
    <row r="3807">
      <c r="A3807" t="inlineStr">
        <is>
          <t>No</t>
        </is>
      </c>
      <c r="B3807" t="inlineStr">
        <is>
          <t>CURAL</t>
        </is>
      </c>
      <c r="C3807" t="inlineStr">
        <is>
          <t>SHELVES</t>
        </is>
      </c>
      <c r="D3807" t="inlineStr">
        <is>
          <t>PR8753 .T3</t>
        </is>
      </c>
      <c r="E3807" t="inlineStr">
        <is>
          <t>0                      PR 8753000T  3</t>
        </is>
      </c>
      <c r="F3807" t="inlineStr">
        <is>
          <t>The modern Irish writers; cross currents of criticism.</t>
        </is>
      </c>
      <c r="H3807" t="inlineStr">
        <is>
          <t>No</t>
        </is>
      </c>
      <c r="I3807" t="inlineStr">
        <is>
          <t>1</t>
        </is>
      </c>
      <c r="J3807" t="inlineStr">
        <is>
          <t>No</t>
        </is>
      </c>
      <c r="K3807" t="inlineStr">
        <is>
          <t>No</t>
        </is>
      </c>
      <c r="L3807" t="inlineStr">
        <is>
          <t>0</t>
        </is>
      </c>
      <c r="M3807" t="inlineStr">
        <is>
          <t>Taylor, Estella Ruth.</t>
        </is>
      </c>
      <c r="N3807" t="inlineStr">
        <is>
          <t>Lawrence, University of Kansas Press, 1954.</t>
        </is>
      </c>
      <c r="O3807" t="inlineStr">
        <is>
          <t>1954</t>
        </is>
      </c>
      <c r="Q3807" t="inlineStr">
        <is>
          <t>eng</t>
        </is>
      </c>
      <c r="R3807" t="inlineStr">
        <is>
          <t>ksu</t>
        </is>
      </c>
      <c r="T3807" t="inlineStr">
        <is>
          <t xml:space="preserve">PR </t>
        </is>
      </c>
      <c r="U3807" t="n">
        <v>2</v>
      </c>
      <c r="V3807" t="n">
        <v>2</v>
      </c>
      <c r="W3807" t="inlineStr">
        <is>
          <t>1997-09-10</t>
        </is>
      </c>
      <c r="X3807" t="inlineStr">
        <is>
          <t>1997-09-10</t>
        </is>
      </c>
      <c r="Y3807" t="inlineStr">
        <is>
          <t>1997-04-25</t>
        </is>
      </c>
      <c r="Z3807" t="inlineStr">
        <is>
          <t>1997-04-25</t>
        </is>
      </c>
      <c r="AA3807" t="n">
        <v>283</v>
      </c>
      <c r="AB3807" t="n">
        <v>248</v>
      </c>
      <c r="AC3807" t="n">
        <v>482</v>
      </c>
      <c r="AD3807" t="n">
        <v>3</v>
      </c>
      <c r="AE3807" t="n">
        <v>5</v>
      </c>
      <c r="AF3807" t="n">
        <v>20</v>
      </c>
      <c r="AG3807" t="n">
        <v>32</v>
      </c>
      <c r="AH3807" t="n">
        <v>8</v>
      </c>
      <c r="AI3807" t="n">
        <v>10</v>
      </c>
      <c r="AJ3807" t="n">
        <v>6</v>
      </c>
      <c r="AK3807" t="n">
        <v>10</v>
      </c>
      <c r="AL3807" t="n">
        <v>10</v>
      </c>
      <c r="AM3807" t="n">
        <v>16</v>
      </c>
      <c r="AN3807" t="n">
        <v>2</v>
      </c>
      <c r="AO3807" t="n">
        <v>4</v>
      </c>
      <c r="AP3807" t="n">
        <v>0</v>
      </c>
      <c r="AQ3807" t="n">
        <v>0</v>
      </c>
      <c r="AR3807" t="inlineStr">
        <is>
          <t>No</t>
        </is>
      </c>
      <c r="AS3807" t="inlineStr">
        <is>
          <t>No</t>
        </is>
      </c>
      <c r="AT3807">
        <f>HYPERLINK("http://catalog.hathitrust.org/Record/001026165","HathiTrust Record")</f>
        <v/>
      </c>
      <c r="AU3807">
        <f>HYPERLINK("https://creighton-primo.hosted.exlibrisgroup.com/primo-explore/search?tab=default_tab&amp;search_scope=EVERYTHING&amp;vid=01CRU&amp;lang=en_US&amp;offset=0&amp;query=any,contains,991003789399702656","Catalog Record")</f>
        <v/>
      </c>
      <c r="AV3807">
        <f>HYPERLINK("http://www.worldcat.org/oclc/1507382","WorldCat Record")</f>
        <v/>
      </c>
      <c r="AW3807" t="inlineStr">
        <is>
          <t>1315043:eng</t>
        </is>
      </c>
      <c r="AX3807" t="inlineStr">
        <is>
          <t>1507382</t>
        </is>
      </c>
      <c r="AY3807" t="inlineStr">
        <is>
          <t>991003789399702656</t>
        </is>
      </c>
      <c r="AZ3807" t="inlineStr">
        <is>
          <t>991003789399702656</t>
        </is>
      </c>
      <c r="BA3807" t="inlineStr">
        <is>
          <t>2255291250002656</t>
        </is>
      </c>
      <c r="BB3807" t="inlineStr">
        <is>
          <t>BOOK</t>
        </is>
      </c>
      <c r="BE3807" t="inlineStr">
        <is>
          <t>32285002592243</t>
        </is>
      </c>
      <c r="BF3807" t="inlineStr">
        <is>
          <t>893699419</t>
        </is>
      </c>
    </row>
    <row r="3808">
      <c r="A3808" t="inlineStr">
        <is>
          <t>No</t>
        </is>
      </c>
      <c r="B3808" t="inlineStr">
        <is>
          <t>CURAL</t>
        </is>
      </c>
      <c r="C3808" t="inlineStr">
        <is>
          <t>SHELVES</t>
        </is>
      </c>
      <c r="D3808" t="inlineStr">
        <is>
          <t>PR8753 .W75 1999</t>
        </is>
      </c>
      <c r="E3808" t="inlineStr">
        <is>
          <t>0                      PR 8753000W  75          1999</t>
        </is>
      </c>
      <c r="F3808" t="inlineStr">
        <is>
          <t>Writing Irish : selected interviews with Irish writers from the Irish literary supplement / edited by James P. Myers, Jr.</t>
        </is>
      </c>
      <c r="H3808" t="inlineStr">
        <is>
          <t>No</t>
        </is>
      </c>
      <c r="I3808" t="inlineStr">
        <is>
          <t>1</t>
        </is>
      </c>
      <c r="J3808" t="inlineStr">
        <is>
          <t>No</t>
        </is>
      </c>
      <c r="K3808" t="inlineStr">
        <is>
          <t>No</t>
        </is>
      </c>
      <c r="L3808" t="inlineStr">
        <is>
          <t>0</t>
        </is>
      </c>
      <c r="N3808" t="inlineStr">
        <is>
          <t>Syracuse, N.Y. : Syracuse University Press, 1999.</t>
        </is>
      </c>
      <c r="O3808" t="inlineStr">
        <is>
          <t>1999</t>
        </is>
      </c>
      <c r="P3808" t="inlineStr">
        <is>
          <t>1st ed.</t>
        </is>
      </c>
      <c r="Q3808" t="inlineStr">
        <is>
          <t>eng</t>
        </is>
      </c>
      <c r="R3808" t="inlineStr">
        <is>
          <t>nyu</t>
        </is>
      </c>
      <c r="S3808" t="inlineStr">
        <is>
          <t>Irish studies</t>
        </is>
      </c>
      <c r="T3808" t="inlineStr">
        <is>
          <t xml:space="preserve">PR </t>
        </is>
      </c>
      <c r="U3808" t="n">
        <v>2</v>
      </c>
      <c r="V3808" t="n">
        <v>2</v>
      </c>
      <c r="W3808" t="inlineStr">
        <is>
          <t>2007-02-12</t>
        </is>
      </c>
      <c r="X3808" t="inlineStr">
        <is>
          <t>2007-02-12</t>
        </is>
      </c>
      <c r="Y3808" t="inlineStr">
        <is>
          <t>2007-02-12</t>
        </is>
      </c>
      <c r="Z3808" t="inlineStr">
        <is>
          <t>2007-02-12</t>
        </is>
      </c>
      <c r="AA3808" t="n">
        <v>173</v>
      </c>
      <c r="AB3808" t="n">
        <v>143</v>
      </c>
      <c r="AC3808" t="n">
        <v>963</v>
      </c>
      <c r="AD3808" t="n">
        <v>2</v>
      </c>
      <c r="AE3808" t="n">
        <v>41</v>
      </c>
      <c r="AF3808" t="n">
        <v>7</v>
      </c>
      <c r="AG3808" t="n">
        <v>29</v>
      </c>
      <c r="AH3808" t="n">
        <v>1</v>
      </c>
      <c r="AI3808" t="n">
        <v>11</v>
      </c>
      <c r="AJ3808" t="n">
        <v>1</v>
      </c>
      <c r="AK3808" t="n">
        <v>3</v>
      </c>
      <c r="AL3808" t="n">
        <v>5</v>
      </c>
      <c r="AM3808" t="n">
        <v>10</v>
      </c>
      <c r="AN3808" t="n">
        <v>1</v>
      </c>
      <c r="AO3808" t="n">
        <v>10</v>
      </c>
      <c r="AP3808" t="n">
        <v>0</v>
      </c>
      <c r="AQ3808" t="n">
        <v>0</v>
      </c>
      <c r="AR3808" t="inlineStr">
        <is>
          <t>No</t>
        </is>
      </c>
      <c r="AS3808" t="inlineStr">
        <is>
          <t>Yes</t>
        </is>
      </c>
      <c r="AT3808">
        <f>HYPERLINK("http://catalog.hathitrust.org/Record/004084793","HathiTrust Record")</f>
        <v/>
      </c>
      <c r="AU3808">
        <f>HYPERLINK("https://creighton-primo.hosted.exlibrisgroup.com/primo-explore/search?tab=default_tab&amp;search_scope=EVERYTHING&amp;vid=01CRU&amp;lang=en_US&amp;offset=0&amp;query=any,contains,991005034489702656","Catalog Record")</f>
        <v/>
      </c>
      <c r="AV3808">
        <f>HYPERLINK("http://www.worldcat.org/oclc/41017378","WorldCat Record")</f>
        <v/>
      </c>
      <c r="AW3808" t="inlineStr">
        <is>
          <t>864052897:eng</t>
        </is>
      </c>
      <c r="AX3808" t="inlineStr">
        <is>
          <t>41017378</t>
        </is>
      </c>
      <c r="AY3808" t="inlineStr">
        <is>
          <t>991005034489702656</t>
        </is>
      </c>
      <c r="AZ3808" t="inlineStr">
        <is>
          <t>991005034489702656</t>
        </is>
      </c>
      <c r="BA3808" t="inlineStr">
        <is>
          <t>2255415840002656</t>
        </is>
      </c>
      <c r="BB3808" t="inlineStr">
        <is>
          <t>BOOK</t>
        </is>
      </c>
      <c r="BD3808" t="inlineStr">
        <is>
          <t>9780815605980</t>
        </is>
      </c>
      <c r="BE3808" t="inlineStr">
        <is>
          <t>32285005276109</t>
        </is>
      </c>
      <c r="BF3808" t="inlineStr">
        <is>
          <t>893613033</t>
        </is>
      </c>
    </row>
    <row r="3809">
      <c r="A3809" t="inlineStr">
        <is>
          <t>No</t>
        </is>
      </c>
      <c r="B3809" t="inlineStr">
        <is>
          <t>CURAL</t>
        </is>
      </c>
      <c r="C3809" t="inlineStr">
        <is>
          <t>SHELVES</t>
        </is>
      </c>
      <c r="D3809" t="inlineStr">
        <is>
          <t>PR8754 .D66 1986</t>
        </is>
      </c>
      <c r="E3809" t="inlineStr">
        <is>
          <t>0                      PR 8754000D  66          1986</t>
        </is>
      </c>
      <c r="F3809" t="inlineStr">
        <is>
          <t>We Irish : essays on Irish literature and society / Denis Donoghue.</t>
        </is>
      </c>
      <c r="H3809" t="inlineStr">
        <is>
          <t>No</t>
        </is>
      </c>
      <c r="I3809" t="inlineStr">
        <is>
          <t>1</t>
        </is>
      </c>
      <c r="J3809" t="inlineStr">
        <is>
          <t>No</t>
        </is>
      </c>
      <c r="K3809" t="inlineStr">
        <is>
          <t>Yes</t>
        </is>
      </c>
      <c r="L3809" t="inlineStr">
        <is>
          <t>0</t>
        </is>
      </c>
      <c r="M3809" t="inlineStr">
        <is>
          <t>Donoghue, Denis.</t>
        </is>
      </c>
      <c r="N3809" t="inlineStr">
        <is>
          <t>New York : Knopf, 1986.</t>
        </is>
      </c>
      <c r="O3809" t="inlineStr">
        <is>
          <t>1986</t>
        </is>
      </c>
      <c r="P3809" t="inlineStr">
        <is>
          <t>1st ed.</t>
        </is>
      </c>
      <c r="Q3809" t="inlineStr">
        <is>
          <t>eng</t>
        </is>
      </c>
      <c r="R3809" t="inlineStr">
        <is>
          <t>nyu</t>
        </is>
      </c>
      <c r="T3809" t="inlineStr">
        <is>
          <t xml:space="preserve">PR </t>
        </is>
      </c>
      <c r="U3809" t="n">
        <v>5</v>
      </c>
      <c r="V3809" t="n">
        <v>5</v>
      </c>
      <c r="W3809" t="inlineStr">
        <is>
          <t>2007-07-03</t>
        </is>
      </c>
      <c r="X3809" t="inlineStr">
        <is>
          <t>2007-07-03</t>
        </is>
      </c>
      <c r="Y3809" t="inlineStr">
        <is>
          <t>1992-08-14</t>
        </is>
      </c>
      <c r="Z3809" t="inlineStr">
        <is>
          <t>1992-08-14</t>
        </is>
      </c>
      <c r="AA3809" t="n">
        <v>792</v>
      </c>
      <c r="AB3809" t="n">
        <v>728</v>
      </c>
      <c r="AC3809" t="n">
        <v>773</v>
      </c>
      <c r="AD3809" t="n">
        <v>5</v>
      </c>
      <c r="AE3809" t="n">
        <v>5</v>
      </c>
      <c r="AF3809" t="n">
        <v>35</v>
      </c>
      <c r="AG3809" t="n">
        <v>39</v>
      </c>
      <c r="AH3809" t="n">
        <v>17</v>
      </c>
      <c r="AI3809" t="n">
        <v>18</v>
      </c>
      <c r="AJ3809" t="n">
        <v>8</v>
      </c>
      <c r="AK3809" t="n">
        <v>10</v>
      </c>
      <c r="AL3809" t="n">
        <v>17</v>
      </c>
      <c r="AM3809" t="n">
        <v>19</v>
      </c>
      <c r="AN3809" t="n">
        <v>4</v>
      </c>
      <c r="AO3809" t="n">
        <v>4</v>
      </c>
      <c r="AP3809" t="n">
        <v>0</v>
      </c>
      <c r="AQ3809" t="n">
        <v>0</v>
      </c>
      <c r="AR3809" t="inlineStr">
        <is>
          <t>No</t>
        </is>
      </c>
      <c r="AS3809" t="inlineStr">
        <is>
          <t>Yes</t>
        </is>
      </c>
      <c r="AT3809">
        <f>HYPERLINK("http://catalog.hathitrust.org/Record/000402540","HathiTrust Record")</f>
        <v/>
      </c>
      <c r="AU3809">
        <f>HYPERLINK("https://creighton-primo.hosted.exlibrisgroup.com/primo-explore/search?tab=default_tab&amp;search_scope=EVERYTHING&amp;vid=01CRU&amp;lang=en_US&amp;offset=0&amp;query=any,contains,991000834109702656","Catalog Record")</f>
        <v/>
      </c>
      <c r="AV3809">
        <f>HYPERLINK("http://www.worldcat.org/oclc/13457142","WorldCat Record")</f>
        <v/>
      </c>
      <c r="AW3809" t="inlineStr">
        <is>
          <t>6885951:eng</t>
        </is>
      </c>
      <c r="AX3809" t="inlineStr">
        <is>
          <t>13457142</t>
        </is>
      </c>
      <c r="AY3809" t="inlineStr">
        <is>
          <t>991000834109702656</t>
        </is>
      </c>
      <c r="AZ3809" t="inlineStr">
        <is>
          <t>991000834109702656</t>
        </is>
      </c>
      <c r="BA3809" t="inlineStr">
        <is>
          <t>2255831090002656</t>
        </is>
      </c>
      <c r="BB3809" t="inlineStr">
        <is>
          <t>BOOK</t>
        </is>
      </c>
      <c r="BD3809" t="inlineStr">
        <is>
          <t>9780394554518</t>
        </is>
      </c>
      <c r="BE3809" t="inlineStr">
        <is>
          <t>32285001245215</t>
        </is>
      </c>
      <c r="BF3809" t="inlineStr">
        <is>
          <t>893496601</t>
        </is>
      </c>
    </row>
    <row r="3810">
      <c r="A3810" t="inlineStr">
        <is>
          <t>No</t>
        </is>
      </c>
      <c r="B3810" t="inlineStr">
        <is>
          <t>CURAL</t>
        </is>
      </c>
      <c r="C3810" t="inlineStr">
        <is>
          <t>SHELVES</t>
        </is>
      </c>
      <c r="D3810" t="inlineStr">
        <is>
          <t>PR8754 .N48 1989</t>
        </is>
      </c>
      <c r="E3810" t="inlineStr">
        <is>
          <t>0                      PR 8754000N  48          1989</t>
        </is>
      </c>
      <c r="F3810" t="inlineStr">
        <is>
          <t>New Irish writing : essays in memory of Raymond J. Porter / edited by James D. Brophy and Eamon Grennan.</t>
        </is>
      </c>
      <c r="H3810" t="inlineStr">
        <is>
          <t>No</t>
        </is>
      </c>
      <c r="I3810" t="inlineStr">
        <is>
          <t>1</t>
        </is>
      </c>
      <c r="J3810" t="inlineStr">
        <is>
          <t>No</t>
        </is>
      </c>
      <c r="K3810" t="inlineStr">
        <is>
          <t>No</t>
        </is>
      </c>
      <c r="L3810" t="inlineStr">
        <is>
          <t>0</t>
        </is>
      </c>
      <c r="N3810" t="inlineStr">
        <is>
          <t>Boston : Iona College Press, c1989.</t>
        </is>
      </c>
      <c r="O3810" t="inlineStr">
        <is>
          <t>1989</t>
        </is>
      </c>
      <c r="Q3810" t="inlineStr">
        <is>
          <t>eng</t>
        </is>
      </c>
      <c r="R3810" t="inlineStr">
        <is>
          <t>mau</t>
        </is>
      </c>
      <c r="S3810" t="inlineStr">
        <is>
          <t>The Library of Irish studies ; 3</t>
        </is>
      </c>
      <c r="T3810" t="inlineStr">
        <is>
          <t xml:space="preserve">PR </t>
        </is>
      </c>
      <c r="U3810" t="n">
        <v>8</v>
      </c>
      <c r="V3810" t="n">
        <v>8</v>
      </c>
      <c r="W3810" t="inlineStr">
        <is>
          <t>1997-09-10</t>
        </is>
      </c>
      <c r="X3810" t="inlineStr">
        <is>
          <t>1997-09-10</t>
        </is>
      </c>
      <c r="Y3810" t="inlineStr">
        <is>
          <t>1992-08-14</t>
        </is>
      </c>
      <c r="Z3810" t="inlineStr">
        <is>
          <t>1992-08-14</t>
        </is>
      </c>
      <c r="AA3810" t="n">
        <v>392</v>
      </c>
      <c r="AB3810" t="n">
        <v>337</v>
      </c>
      <c r="AC3810" t="n">
        <v>344</v>
      </c>
      <c r="AD3810" t="n">
        <v>5</v>
      </c>
      <c r="AE3810" t="n">
        <v>5</v>
      </c>
      <c r="AF3810" t="n">
        <v>26</v>
      </c>
      <c r="AG3810" t="n">
        <v>26</v>
      </c>
      <c r="AH3810" t="n">
        <v>10</v>
      </c>
      <c r="AI3810" t="n">
        <v>10</v>
      </c>
      <c r="AJ3810" t="n">
        <v>7</v>
      </c>
      <c r="AK3810" t="n">
        <v>7</v>
      </c>
      <c r="AL3810" t="n">
        <v>14</v>
      </c>
      <c r="AM3810" t="n">
        <v>14</v>
      </c>
      <c r="AN3810" t="n">
        <v>4</v>
      </c>
      <c r="AO3810" t="n">
        <v>4</v>
      </c>
      <c r="AP3810" t="n">
        <v>0</v>
      </c>
      <c r="AQ3810" t="n">
        <v>0</v>
      </c>
      <c r="AR3810" t="inlineStr">
        <is>
          <t>No</t>
        </is>
      </c>
      <c r="AS3810" t="inlineStr">
        <is>
          <t>No</t>
        </is>
      </c>
      <c r="AU3810">
        <f>HYPERLINK("https://creighton-primo.hosted.exlibrisgroup.com/primo-explore/search?tab=default_tab&amp;search_scope=EVERYTHING&amp;vid=01CRU&amp;lang=en_US&amp;offset=0&amp;query=any,contains,991001312109702656","Catalog Record")</f>
        <v/>
      </c>
      <c r="AV3810">
        <f>HYPERLINK("http://www.worldcat.org/oclc/18162356","WorldCat Record")</f>
        <v/>
      </c>
      <c r="AW3810" t="inlineStr">
        <is>
          <t>907713997:eng</t>
        </is>
      </c>
      <c r="AX3810" t="inlineStr">
        <is>
          <t>18162356</t>
        </is>
      </c>
      <c r="AY3810" t="inlineStr">
        <is>
          <t>991001312109702656</t>
        </is>
      </c>
      <c r="AZ3810" t="inlineStr">
        <is>
          <t>991001312109702656</t>
        </is>
      </c>
      <c r="BA3810" t="inlineStr">
        <is>
          <t>2260026730002656</t>
        </is>
      </c>
      <c r="BB3810" t="inlineStr">
        <is>
          <t>BOOK</t>
        </is>
      </c>
      <c r="BD3810" t="inlineStr">
        <is>
          <t>9780805790252</t>
        </is>
      </c>
      <c r="BE3810" t="inlineStr">
        <is>
          <t>32285001245231</t>
        </is>
      </c>
      <c r="BF3810" t="inlineStr">
        <is>
          <t>893522489</t>
        </is>
      </c>
    </row>
    <row r="3811">
      <c r="A3811" t="inlineStr">
        <is>
          <t>No</t>
        </is>
      </c>
      <c r="B3811" t="inlineStr">
        <is>
          <t>CURAL</t>
        </is>
      </c>
      <c r="C3811" t="inlineStr">
        <is>
          <t>SHELVES</t>
        </is>
      </c>
      <c r="D3811" t="inlineStr">
        <is>
          <t>PR8754 .R4 1992</t>
        </is>
      </c>
      <c r="E3811" t="inlineStr">
        <is>
          <t>0                      PR 8754000R  4           1992</t>
        </is>
      </c>
      <c r="F3811" t="inlineStr">
        <is>
          <t>Re: Joyce'n Beckett / edited by Phyllis Carey and Ed Jewinski.</t>
        </is>
      </c>
      <c r="H3811" t="inlineStr">
        <is>
          <t>No</t>
        </is>
      </c>
      <c r="I3811" t="inlineStr">
        <is>
          <t>1</t>
        </is>
      </c>
      <c r="J3811" t="inlineStr">
        <is>
          <t>No</t>
        </is>
      </c>
      <c r="K3811" t="inlineStr">
        <is>
          <t>No</t>
        </is>
      </c>
      <c r="L3811" t="inlineStr">
        <is>
          <t>0</t>
        </is>
      </c>
      <c r="N3811" t="inlineStr">
        <is>
          <t>New York : Fordham University Press, 1992.</t>
        </is>
      </c>
      <c r="O3811" t="inlineStr">
        <is>
          <t>1992</t>
        </is>
      </c>
      <c r="Q3811" t="inlineStr">
        <is>
          <t>eng</t>
        </is>
      </c>
      <c r="R3811" t="inlineStr">
        <is>
          <t>nyu</t>
        </is>
      </c>
      <c r="T3811" t="inlineStr">
        <is>
          <t xml:space="preserve">PR </t>
        </is>
      </c>
      <c r="U3811" t="n">
        <v>5</v>
      </c>
      <c r="V3811" t="n">
        <v>5</v>
      </c>
      <c r="W3811" t="inlineStr">
        <is>
          <t>2006-04-29</t>
        </is>
      </c>
      <c r="X3811" t="inlineStr">
        <is>
          <t>2006-04-29</t>
        </is>
      </c>
      <c r="Y3811" t="inlineStr">
        <is>
          <t>1992-05-29</t>
        </is>
      </c>
      <c r="Z3811" t="inlineStr">
        <is>
          <t>1992-05-29</t>
        </is>
      </c>
      <c r="AA3811" t="n">
        <v>356</v>
      </c>
      <c r="AB3811" t="n">
        <v>294</v>
      </c>
      <c r="AC3811" t="n">
        <v>814</v>
      </c>
      <c r="AD3811" t="n">
        <v>3</v>
      </c>
      <c r="AE3811" t="n">
        <v>6</v>
      </c>
      <c r="AF3811" t="n">
        <v>18</v>
      </c>
      <c r="AG3811" t="n">
        <v>32</v>
      </c>
      <c r="AH3811" t="n">
        <v>4</v>
      </c>
      <c r="AI3811" t="n">
        <v>13</v>
      </c>
      <c r="AJ3811" t="n">
        <v>5</v>
      </c>
      <c r="AK3811" t="n">
        <v>8</v>
      </c>
      <c r="AL3811" t="n">
        <v>11</v>
      </c>
      <c r="AM3811" t="n">
        <v>13</v>
      </c>
      <c r="AN3811" t="n">
        <v>2</v>
      </c>
      <c r="AO3811" t="n">
        <v>5</v>
      </c>
      <c r="AP3811" t="n">
        <v>0</v>
      </c>
      <c r="AQ3811" t="n">
        <v>0</v>
      </c>
      <c r="AR3811" t="inlineStr">
        <is>
          <t>No</t>
        </is>
      </c>
      <c r="AS3811" t="inlineStr">
        <is>
          <t>Yes</t>
        </is>
      </c>
      <c r="AT3811">
        <f>HYPERLINK("http://catalog.hathitrust.org/Record/002559724","HathiTrust Record")</f>
        <v/>
      </c>
      <c r="AU3811">
        <f>HYPERLINK("https://creighton-primo.hosted.exlibrisgroup.com/primo-explore/search?tab=default_tab&amp;search_scope=EVERYTHING&amp;vid=01CRU&amp;lang=en_US&amp;offset=0&amp;query=any,contains,991001925139702656","Catalog Record")</f>
        <v/>
      </c>
      <c r="AV3811">
        <f>HYPERLINK("http://www.worldcat.org/oclc/24318581","WorldCat Record")</f>
        <v/>
      </c>
      <c r="AW3811" t="inlineStr">
        <is>
          <t>365098857:eng</t>
        </is>
      </c>
      <c r="AX3811" t="inlineStr">
        <is>
          <t>24318581</t>
        </is>
      </c>
      <c r="AY3811" t="inlineStr">
        <is>
          <t>991001925139702656</t>
        </is>
      </c>
      <c r="AZ3811" t="inlineStr">
        <is>
          <t>991001925139702656</t>
        </is>
      </c>
      <c r="BA3811" t="inlineStr">
        <is>
          <t>2272724270002656</t>
        </is>
      </c>
      <c r="BB3811" t="inlineStr">
        <is>
          <t>BOOK</t>
        </is>
      </c>
      <c r="BD3811" t="inlineStr">
        <is>
          <t>9780823213405</t>
        </is>
      </c>
      <c r="BE3811" t="inlineStr">
        <is>
          <t>32285001119600</t>
        </is>
      </c>
      <c r="BF3811" t="inlineStr">
        <is>
          <t>893433258</t>
        </is>
      </c>
    </row>
    <row r="3812">
      <c r="A3812" t="inlineStr">
        <is>
          <t>No</t>
        </is>
      </c>
      <c r="B3812" t="inlineStr">
        <is>
          <t>CURAL</t>
        </is>
      </c>
      <c r="C3812" t="inlineStr">
        <is>
          <t>SHELVES</t>
        </is>
      </c>
      <c r="D3812" t="inlineStr">
        <is>
          <t>PR8755 .S47 2003</t>
        </is>
      </c>
      <c r="E3812" t="inlineStr">
        <is>
          <t>0                      PR 8755000S  47          2003</t>
        </is>
      </c>
      <c r="F3812" t="inlineStr">
        <is>
          <t>The Irish literary periodical, 1923-1958 / Frank Shovlin.</t>
        </is>
      </c>
      <c r="H3812" t="inlineStr">
        <is>
          <t>No</t>
        </is>
      </c>
      <c r="I3812" t="inlineStr">
        <is>
          <t>1</t>
        </is>
      </c>
      <c r="J3812" t="inlineStr">
        <is>
          <t>No</t>
        </is>
      </c>
      <c r="K3812" t="inlineStr">
        <is>
          <t>No</t>
        </is>
      </c>
      <c r="L3812" t="inlineStr">
        <is>
          <t>0</t>
        </is>
      </c>
      <c r="M3812" t="inlineStr">
        <is>
          <t>Shovlin, Frank.</t>
        </is>
      </c>
      <c r="N3812" t="inlineStr">
        <is>
          <t>Oxford, England : Clarendon Press, 2003.</t>
        </is>
      </c>
      <c r="O3812" t="inlineStr">
        <is>
          <t>2003</t>
        </is>
      </c>
      <c r="Q3812" t="inlineStr">
        <is>
          <t>eng</t>
        </is>
      </c>
      <c r="R3812" t="inlineStr">
        <is>
          <t>enk</t>
        </is>
      </c>
      <c r="S3812" t="inlineStr">
        <is>
          <t>Oxford English monographs</t>
        </is>
      </c>
      <c r="T3812" t="inlineStr">
        <is>
          <t xml:space="preserve">PR </t>
        </is>
      </c>
      <c r="U3812" t="n">
        <v>1</v>
      </c>
      <c r="V3812" t="n">
        <v>1</v>
      </c>
      <c r="W3812" t="inlineStr">
        <is>
          <t>2005-04-25</t>
        </is>
      </c>
      <c r="X3812" t="inlineStr">
        <is>
          <t>2005-04-25</t>
        </is>
      </c>
      <c r="Y3812" t="inlineStr">
        <is>
          <t>2005-04-25</t>
        </is>
      </c>
      <c r="Z3812" t="inlineStr">
        <is>
          <t>2005-04-25</t>
        </is>
      </c>
      <c r="AA3812" t="n">
        <v>192</v>
      </c>
      <c r="AB3812" t="n">
        <v>143</v>
      </c>
      <c r="AC3812" t="n">
        <v>143</v>
      </c>
      <c r="AD3812" t="n">
        <v>1</v>
      </c>
      <c r="AE3812" t="n">
        <v>1</v>
      </c>
      <c r="AF3812" t="n">
        <v>6</v>
      </c>
      <c r="AG3812" t="n">
        <v>6</v>
      </c>
      <c r="AH3812" t="n">
        <v>1</v>
      </c>
      <c r="AI3812" t="n">
        <v>1</v>
      </c>
      <c r="AJ3812" t="n">
        <v>2</v>
      </c>
      <c r="AK3812" t="n">
        <v>2</v>
      </c>
      <c r="AL3812" t="n">
        <v>4</v>
      </c>
      <c r="AM3812" t="n">
        <v>4</v>
      </c>
      <c r="AN3812" t="n">
        <v>0</v>
      </c>
      <c r="AO3812" t="n">
        <v>0</v>
      </c>
      <c r="AP3812" t="n">
        <v>0</v>
      </c>
      <c r="AQ3812" t="n">
        <v>0</v>
      </c>
      <c r="AR3812" t="inlineStr">
        <is>
          <t>No</t>
        </is>
      </c>
      <c r="AS3812" t="inlineStr">
        <is>
          <t>No</t>
        </is>
      </c>
      <c r="AU3812">
        <f>HYPERLINK("https://creighton-primo.hosted.exlibrisgroup.com/primo-explore/search?tab=default_tab&amp;search_scope=EVERYTHING&amp;vid=01CRU&amp;lang=en_US&amp;offset=0&amp;query=any,contains,991004497879702656","Catalog Record")</f>
        <v/>
      </c>
      <c r="AV3812">
        <f>HYPERLINK("http://www.worldcat.org/oclc/53940555","WorldCat Record")</f>
        <v/>
      </c>
      <c r="AW3812" t="inlineStr">
        <is>
          <t>13139751:eng</t>
        </is>
      </c>
      <c r="AX3812" t="inlineStr">
        <is>
          <t>53940555</t>
        </is>
      </c>
      <c r="AY3812" t="inlineStr">
        <is>
          <t>991004497879702656</t>
        </is>
      </c>
      <c r="AZ3812" t="inlineStr">
        <is>
          <t>991004497879702656</t>
        </is>
      </c>
      <c r="BA3812" t="inlineStr">
        <is>
          <t>2257865370002656</t>
        </is>
      </c>
      <c r="BB3812" t="inlineStr">
        <is>
          <t>BOOK</t>
        </is>
      </c>
      <c r="BD3812" t="inlineStr">
        <is>
          <t>9780199267392</t>
        </is>
      </c>
      <c r="BE3812" t="inlineStr">
        <is>
          <t>32285005032924</t>
        </is>
      </c>
      <c r="BF3812" t="inlineStr">
        <is>
          <t>893624794</t>
        </is>
      </c>
    </row>
    <row r="3813">
      <c r="A3813" t="inlineStr">
        <is>
          <t>No</t>
        </is>
      </c>
      <c r="B3813" t="inlineStr">
        <is>
          <t>CURAL</t>
        </is>
      </c>
      <c r="C3813" t="inlineStr">
        <is>
          <t>SHELVES</t>
        </is>
      </c>
      <c r="D3813" t="inlineStr">
        <is>
          <t>PR8755 .W44 1993</t>
        </is>
      </c>
      <c r="E3813" t="inlineStr">
        <is>
          <t>0                      PR 8755000W  44          1993</t>
        </is>
      </c>
      <c r="F3813" t="inlineStr">
        <is>
          <t>Changing states : transformations in modern Irish writing / Robert Welch.</t>
        </is>
      </c>
      <c r="H3813" t="inlineStr">
        <is>
          <t>No</t>
        </is>
      </c>
      <c r="I3813" t="inlineStr">
        <is>
          <t>1</t>
        </is>
      </c>
      <c r="J3813" t="inlineStr">
        <is>
          <t>No</t>
        </is>
      </c>
      <c r="K3813" t="inlineStr">
        <is>
          <t>No</t>
        </is>
      </c>
      <c r="L3813" t="inlineStr">
        <is>
          <t>0</t>
        </is>
      </c>
      <c r="M3813" t="inlineStr">
        <is>
          <t>Welch, Robert, 1947-2013.</t>
        </is>
      </c>
      <c r="N3813" t="inlineStr">
        <is>
          <t>London ; New York : Routledge, 1993.</t>
        </is>
      </c>
      <c r="O3813" t="inlineStr">
        <is>
          <t>1993</t>
        </is>
      </c>
      <c r="Q3813" t="inlineStr">
        <is>
          <t>eng</t>
        </is>
      </c>
      <c r="R3813" t="inlineStr">
        <is>
          <t>enk</t>
        </is>
      </c>
      <c r="T3813" t="inlineStr">
        <is>
          <t xml:space="preserve">PR </t>
        </is>
      </c>
      <c r="U3813" t="n">
        <v>8</v>
      </c>
      <c r="V3813" t="n">
        <v>8</v>
      </c>
      <c r="W3813" t="inlineStr">
        <is>
          <t>2005-04-19</t>
        </is>
      </c>
      <c r="X3813" t="inlineStr">
        <is>
          <t>2005-04-19</t>
        </is>
      </c>
      <c r="Y3813" t="inlineStr">
        <is>
          <t>1994-01-20</t>
        </is>
      </c>
      <c r="Z3813" t="inlineStr">
        <is>
          <t>1994-01-20</t>
        </is>
      </c>
      <c r="AA3813" t="n">
        <v>284</v>
      </c>
      <c r="AB3813" t="n">
        <v>181</v>
      </c>
      <c r="AC3813" t="n">
        <v>207</v>
      </c>
      <c r="AD3813" t="n">
        <v>2</v>
      </c>
      <c r="AE3813" t="n">
        <v>2</v>
      </c>
      <c r="AF3813" t="n">
        <v>13</v>
      </c>
      <c r="AG3813" t="n">
        <v>13</v>
      </c>
      <c r="AH3813" t="n">
        <v>5</v>
      </c>
      <c r="AI3813" t="n">
        <v>5</v>
      </c>
      <c r="AJ3813" t="n">
        <v>4</v>
      </c>
      <c r="AK3813" t="n">
        <v>4</v>
      </c>
      <c r="AL3813" t="n">
        <v>7</v>
      </c>
      <c r="AM3813" t="n">
        <v>7</v>
      </c>
      <c r="AN3813" t="n">
        <v>1</v>
      </c>
      <c r="AO3813" t="n">
        <v>1</v>
      </c>
      <c r="AP3813" t="n">
        <v>0</v>
      </c>
      <c r="AQ3813" t="n">
        <v>0</v>
      </c>
      <c r="AR3813" t="inlineStr">
        <is>
          <t>No</t>
        </is>
      </c>
      <c r="AS3813" t="inlineStr">
        <is>
          <t>No</t>
        </is>
      </c>
      <c r="AU3813">
        <f>HYPERLINK("https://creighton-primo.hosted.exlibrisgroup.com/primo-explore/search?tab=default_tab&amp;search_scope=EVERYTHING&amp;vid=01CRU&amp;lang=en_US&amp;offset=0&amp;query=any,contains,991002055469702656","Catalog Record")</f>
        <v/>
      </c>
      <c r="AV3813">
        <f>HYPERLINK("http://www.worldcat.org/oclc/26260642","WorldCat Record")</f>
        <v/>
      </c>
      <c r="AW3813" t="inlineStr">
        <is>
          <t>801945879:eng</t>
        </is>
      </c>
      <c r="AX3813" t="inlineStr">
        <is>
          <t>26260642</t>
        </is>
      </c>
      <c r="AY3813" t="inlineStr">
        <is>
          <t>991002055469702656</t>
        </is>
      </c>
      <c r="AZ3813" t="inlineStr">
        <is>
          <t>991002055469702656</t>
        </is>
      </c>
      <c r="BA3813" t="inlineStr">
        <is>
          <t>2265788050002656</t>
        </is>
      </c>
      <c r="BB3813" t="inlineStr">
        <is>
          <t>BOOK</t>
        </is>
      </c>
      <c r="BD3813" t="inlineStr">
        <is>
          <t>9780415086660</t>
        </is>
      </c>
      <c r="BE3813" t="inlineStr">
        <is>
          <t>32285001832442</t>
        </is>
      </c>
      <c r="BF3813" t="inlineStr">
        <is>
          <t>893352133</t>
        </is>
      </c>
    </row>
    <row r="3814">
      <c r="A3814" t="inlineStr">
        <is>
          <t>No</t>
        </is>
      </c>
      <c r="B3814" t="inlineStr">
        <is>
          <t>CURAL</t>
        </is>
      </c>
      <c r="C3814" t="inlineStr">
        <is>
          <t>SHELVES</t>
        </is>
      </c>
      <c r="D3814" t="inlineStr">
        <is>
          <t>PR8761 .K56 1995</t>
        </is>
      </c>
      <c r="E3814" t="inlineStr">
        <is>
          <t>0                      PR 8761000K  56          1995</t>
        </is>
      </c>
      <c r="F3814" t="inlineStr">
        <is>
          <t>The dual tradition : an essay on poetry and politics in Ireland / Thomas Kinsella.</t>
        </is>
      </c>
      <c r="H3814" t="inlineStr">
        <is>
          <t>No</t>
        </is>
      </c>
      <c r="I3814" t="inlineStr">
        <is>
          <t>1</t>
        </is>
      </c>
      <c r="J3814" t="inlineStr">
        <is>
          <t>No</t>
        </is>
      </c>
      <c r="K3814" t="inlineStr">
        <is>
          <t>No</t>
        </is>
      </c>
      <c r="L3814" t="inlineStr">
        <is>
          <t>0</t>
        </is>
      </c>
      <c r="M3814" t="inlineStr">
        <is>
          <t>Kinsella, Thomas.</t>
        </is>
      </c>
      <c r="N3814" t="inlineStr">
        <is>
          <t>Manchester : Carcanet Press, 1995.</t>
        </is>
      </c>
      <c r="O3814" t="inlineStr">
        <is>
          <t>1995</t>
        </is>
      </c>
      <c r="Q3814" t="inlineStr">
        <is>
          <t>eng</t>
        </is>
      </c>
      <c r="R3814" t="inlineStr">
        <is>
          <t>enk</t>
        </is>
      </c>
      <c r="T3814" t="inlineStr">
        <is>
          <t xml:space="preserve">PR </t>
        </is>
      </c>
      <c r="U3814" t="n">
        <v>9</v>
      </c>
      <c r="V3814" t="n">
        <v>9</v>
      </c>
      <c r="W3814" t="inlineStr">
        <is>
          <t>2001-04-16</t>
        </is>
      </c>
      <c r="X3814" t="inlineStr">
        <is>
          <t>2001-04-16</t>
        </is>
      </c>
      <c r="Y3814" t="inlineStr">
        <is>
          <t>1996-02-01</t>
        </is>
      </c>
      <c r="Z3814" t="inlineStr">
        <is>
          <t>1996-02-01</t>
        </is>
      </c>
      <c r="AA3814" t="n">
        <v>333</v>
      </c>
      <c r="AB3814" t="n">
        <v>244</v>
      </c>
      <c r="AC3814" t="n">
        <v>246</v>
      </c>
      <c r="AD3814" t="n">
        <v>2</v>
      </c>
      <c r="AE3814" t="n">
        <v>2</v>
      </c>
      <c r="AF3814" t="n">
        <v>17</v>
      </c>
      <c r="AG3814" t="n">
        <v>17</v>
      </c>
      <c r="AH3814" t="n">
        <v>6</v>
      </c>
      <c r="AI3814" t="n">
        <v>6</v>
      </c>
      <c r="AJ3814" t="n">
        <v>6</v>
      </c>
      <c r="AK3814" t="n">
        <v>6</v>
      </c>
      <c r="AL3814" t="n">
        <v>9</v>
      </c>
      <c r="AM3814" t="n">
        <v>9</v>
      </c>
      <c r="AN3814" t="n">
        <v>1</v>
      </c>
      <c r="AO3814" t="n">
        <v>1</v>
      </c>
      <c r="AP3814" t="n">
        <v>0</v>
      </c>
      <c r="AQ3814" t="n">
        <v>0</v>
      </c>
      <c r="AR3814" t="inlineStr">
        <is>
          <t>No</t>
        </is>
      </c>
      <c r="AS3814" t="inlineStr">
        <is>
          <t>Yes</t>
        </is>
      </c>
      <c r="AT3814">
        <f>HYPERLINK("http://catalog.hathitrust.org/Record/003010505","HathiTrust Record")</f>
        <v/>
      </c>
      <c r="AU3814">
        <f>HYPERLINK("https://creighton-primo.hosted.exlibrisgroup.com/primo-explore/search?tab=default_tab&amp;search_scope=EVERYTHING&amp;vid=01CRU&amp;lang=en_US&amp;offset=0&amp;query=any,contains,991002534569702656","Catalog Record")</f>
        <v/>
      </c>
      <c r="AV3814">
        <f>HYPERLINK("http://www.worldcat.org/oclc/32925639","WorldCat Record")</f>
        <v/>
      </c>
      <c r="AW3814" t="inlineStr">
        <is>
          <t>37706811:eng</t>
        </is>
      </c>
      <c r="AX3814" t="inlineStr">
        <is>
          <t>32925639</t>
        </is>
      </c>
      <c r="AY3814" t="inlineStr">
        <is>
          <t>991002534569702656</t>
        </is>
      </c>
      <c r="AZ3814" t="inlineStr">
        <is>
          <t>991002534569702656</t>
        </is>
      </c>
      <c r="BA3814" t="inlineStr">
        <is>
          <t>2263167540002656</t>
        </is>
      </c>
      <c r="BB3814" t="inlineStr">
        <is>
          <t>BOOK</t>
        </is>
      </c>
      <c r="BD3814" t="inlineStr">
        <is>
          <t>9781857541823</t>
        </is>
      </c>
      <c r="BE3814" t="inlineStr">
        <is>
          <t>32285002127404</t>
        </is>
      </c>
      <c r="BF3814" t="inlineStr">
        <is>
          <t>893697924</t>
        </is>
      </c>
    </row>
    <row r="3815">
      <c r="A3815" t="inlineStr">
        <is>
          <t>No</t>
        </is>
      </c>
      <c r="B3815" t="inlineStr">
        <is>
          <t>CURAL</t>
        </is>
      </c>
      <c r="C3815" t="inlineStr">
        <is>
          <t>SHELVES</t>
        </is>
      </c>
      <c r="D3815" t="inlineStr">
        <is>
          <t>PR8767 .P64 1988</t>
        </is>
      </c>
      <c r="E3815" t="inlineStr">
        <is>
          <t>0                      PR 8767000P  64          1988</t>
        </is>
      </c>
      <c r="F3815" t="inlineStr">
        <is>
          <t>Poetry and Ireland since 1800 : a source book / edited by Mark Storey.</t>
        </is>
      </c>
      <c r="H3815" t="inlineStr">
        <is>
          <t>No</t>
        </is>
      </c>
      <c r="I3815" t="inlineStr">
        <is>
          <t>1</t>
        </is>
      </c>
      <c r="J3815" t="inlineStr">
        <is>
          <t>No</t>
        </is>
      </c>
      <c r="K3815" t="inlineStr">
        <is>
          <t>No</t>
        </is>
      </c>
      <c r="L3815" t="inlineStr">
        <is>
          <t>0</t>
        </is>
      </c>
      <c r="N3815" t="inlineStr">
        <is>
          <t>London : Routledge, 1988.</t>
        </is>
      </c>
      <c r="O3815" t="inlineStr">
        <is>
          <t>1988</t>
        </is>
      </c>
      <c r="Q3815" t="inlineStr">
        <is>
          <t>eng</t>
        </is>
      </c>
      <c r="R3815" t="inlineStr">
        <is>
          <t>enk</t>
        </is>
      </c>
      <c r="S3815" t="inlineStr">
        <is>
          <t>World and word series</t>
        </is>
      </c>
      <c r="T3815" t="inlineStr">
        <is>
          <t xml:space="preserve">PR </t>
        </is>
      </c>
      <c r="U3815" t="n">
        <v>9</v>
      </c>
      <c r="V3815" t="n">
        <v>9</v>
      </c>
      <c r="W3815" t="inlineStr">
        <is>
          <t>1999-02-28</t>
        </is>
      </c>
      <c r="X3815" t="inlineStr">
        <is>
          <t>1999-02-28</t>
        </is>
      </c>
      <c r="Y3815" t="inlineStr">
        <is>
          <t>1992-03-12</t>
        </is>
      </c>
      <c r="Z3815" t="inlineStr">
        <is>
          <t>1992-03-12</t>
        </is>
      </c>
      <c r="AA3815" t="n">
        <v>250</v>
      </c>
      <c r="AB3815" t="n">
        <v>142</v>
      </c>
      <c r="AC3815" t="n">
        <v>143</v>
      </c>
      <c r="AD3815" t="n">
        <v>2</v>
      </c>
      <c r="AE3815" t="n">
        <v>2</v>
      </c>
      <c r="AF3815" t="n">
        <v>7</v>
      </c>
      <c r="AG3815" t="n">
        <v>7</v>
      </c>
      <c r="AH3815" t="n">
        <v>2</v>
      </c>
      <c r="AI3815" t="n">
        <v>2</v>
      </c>
      <c r="AJ3815" t="n">
        <v>1</v>
      </c>
      <c r="AK3815" t="n">
        <v>1</v>
      </c>
      <c r="AL3815" t="n">
        <v>5</v>
      </c>
      <c r="AM3815" t="n">
        <v>5</v>
      </c>
      <c r="AN3815" t="n">
        <v>1</v>
      </c>
      <c r="AO3815" t="n">
        <v>1</v>
      </c>
      <c r="AP3815" t="n">
        <v>0</v>
      </c>
      <c r="AQ3815" t="n">
        <v>0</v>
      </c>
      <c r="AR3815" t="inlineStr">
        <is>
          <t>No</t>
        </is>
      </c>
      <c r="AS3815" t="inlineStr">
        <is>
          <t>Yes</t>
        </is>
      </c>
      <c r="AT3815">
        <f>HYPERLINK("http://catalog.hathitrust.org/Record/000942729","HathiTrust Record")</f>
        <v/>
      </c>
      <c r="AU3815">
        <f>HYPERLINK("https://creighton-primo.hosted.exlibrisgroup.com/primo-explore/search?tab=default_tab&amp;search_scope=EVERYTHING&amp;vid=01CRU&amp;lang=en_US&amp;offset=0&amp;query=any,contains,991001193729702656","Catalog Record")</f>
        <v/>
      </c>
      <c r="AV3815">
        <f>HYPERLINK("http://www.worldcat.org/oclc/19552909","WorldCat Record")</f>
        <v/>
      </c>
      <c r="AW3815" t="inlineStr">
        <is>
          <t>138663229:eng</t>
        </is>
      </c>
      <c r="AX3815" t="inlineStr">
        <is>
          <t>19552909</t>
        </is>
      </c>
      <c r="AY3815" t="inlineStr">
        <is>
          <t>991001193729702656</t>
        </is>
      </c>
      <c r="AZ3815" t="inlineStr">
        <is>
          <t>991001193729702656</t>
        </is>
      </c>
      <c r="BA3815" t="inlineStr">
        <is>
          <t>2266533830002656</t>
        </is>
      </c>
      <c r="BB3815" t="inlineStr">
        <is>
          <t>BOOK</t>
        </is>
      </c>
      <c r="BD3815" t="inlineStr">
        <is>
          <t>9780415003322</t>
        </is>
      </c>
      <c r="BE3815" t="inlineStr">
        <is>
          <t>32285000998327</t>
        </is>
      </c>
      <c r="BF3815" t="inlineStr">
        <is>
          <t>893321723</t>
        </is>
      </c>
    </row>
    <row r="3816">
      <c r="A3816" t="inlineStr">
        <is>
          <t>No</t>
        </is>
      </c>
      <c r="B3816" t="inlineStr">
        <is>
          <t>CURAL</t>
        </is>
      </c>
      <c r="C3816" t="inlineStr">
        <is>
          <t>SHELVES</t>
        </is>
      </c>
      <c r="D3816" t="inlineStr">
        <is>
          <t>PR8769 .D3 1970</t>
        </is>
      </c>
      <c r="E3816" t="inlineStr">
        <is>
          <t>0                      PR 8769000D  3           1970</t>
        </is>
      </c>
      <c r="F3816" t="inlineStr">
        <is>
          <t>Davis, Mangan, Ferguson? : tradition &amp; the Irish writer / writings by W. B. Yeats and by Thomas Kinsella.</t>
        </is>
      </c>
      <c r="H3816" t="inlineStr">
        <is>
          <t>No</t>
        </is>
      </c>
      <c r="I3816" t="inlineStr">
        <is>
          <t>1</t>
        </is>
      </c>
      <c r="J3816" t="inlineStr">
        <is>
          <t>No</t>
        </is>
      </c>
      <c r="K3816" t="inlineStr">
        <is>
          <t>No</t>
        </is>
      </c>
      <c r="L3816" t="inlineStr">
        <is>
          <t>0</t>
        </is>
      </c>
      <c r="N3816" t="inlineStr">
        <is>
          <t>Dublin : Dolmen Press ; Chester Springs, PA : dist. by Dufour Editions, Inc., 1970.</t>
        </is>
      </c>
      <c r="O3816" t="inlineStr">
        <is>
          <t>1970</t>
        </is>
      </c>
      <c r="Q3816" t="inlineStr">
        <is>
          <t>eng</t>
        </is>
      </c>
      <c r="R3816" t="inlineStr">
        <is>
          <t xml:space="preserve">ie </t>
        </is>
      </c>
      <c r="S3816" t="inlineStr">
        <is>
          <t>The Tower series of Anglo-Irish studies, 2</t>
        </is>
      </c>
      <c r="T3816" t="inlineStr">
        <is>
          <t xml:space="preserve">PR </t>
        </is>
      </c>
      <c r="U3816" t="n">
        <v>4</v>
      </c>
      <c r="V3816" t="n">
        <v>4</v>
      </c>
      <c r="W3816" t="inlineStr">
        <is>
          <t>2001-04-16</t>
        </is>
      </c>
      <c r="X3816" t="inlineStr">
        <is>
          <t>2001-04-16</t>
        </is>
      </c>
      <c r="Y3816" t="inlineStr">
        <is>
          <t>1992-01-21</t>
        </is>
      </c>
      <c r="Z3816" t="inlineStr">
        <is>
          <t>1992-01-21</t>
        </is>
      </c>
      <c r="AA3816" t="n">
        <v>138</v>
      </c>
      <c r="AB3816" t="n">
        <v>82</v>
      </c>
      <c r="AC3816" t="n">
        <v>242</v>
      </c>
      <c r="AD3816" t="n">
        <v>2</v>
      </c>
      <c r="AE3816" t="n">
        <v>3</v>
      </c>
      <c r="AF3816" t="n">
        <v>8</v>
      </c>
      <c r="AG3816" t="n">
        <v>20</v>
      </c>
      <c r="AH3816" t="n">
        <v>3</v>
      </c>
      <c r="AI3816" t="n">
        <v>6</v>
      </c>
      <c r="AJ3816" t="n">
        <v>2</v>
      </c>
      <c r="AK3816" t="n">
        <v>6</v>
      </c>
      <c r="AL3816" t="n">
        <v>5</v>
      </c>
      <c r="AM3816" t="n">
        <v>12</v>
      </c>
      <c r="AN3816" t="n">
        <v>1</v>
      </c>
      <c r="AO3816" t="n">
        <v>2</v>
      </c>
      <c r="AP3816" t="n">
        <v>0</v>
      </c>
      <c r="AQ3816" t="n">
        <v>0</v>
      </c>
      <c r="AR3816" t="inlineStr">
        <is>
          <t>No</t>
        </is>
      </c>
      <c r="AS3816" t="inlineStr">
        <is>
          <t>Yes</t>
        </is>
      </c>
      <c r="AT3816">
        <f>HYPERLINK("http://catalog.hathitrust.org/Record/001907565","HathiTrust Record")</f>
        <v/>
      </c>
      <c r="AU3816">
        <f>HYPERLINK("https://creighton-primo.hosted.exlibrisgroup.com/primo-explore/search?tab=default_tab&amp;search_scope=EVERYTHING&amp;vid=01CRU&amp;lang=en_US&amp;offset=0&amp;query=any,contains,991001009529702656","Catalog Record")</f>
        <v/>
      </c>
      <c r="AV3816">
        <f>HYPERLINK("http://www.worldcat.org/oclc/173263","WorldCat Record")</f>
        <v/>
      </c>
      <c r="AW3816" t="inlineStr">
        <is>
          <t>836675595:eng</t>
        </is>
      </c>
      <c r="AX3816" t="inlineStr">
        <is>
          <t>173263</t>
        </is>
      </c>
      <c r="AY3816" t="inlineStr">
        <is>
          <t>991001009529702656</t>
        </is>
      </c>
      <c r="AZ3816" t="inlineStr">
        <is>
          <t>991001009529702656</t>
        </is>
      </c>
      <c r="BA3816" t="inlineStr">
        <is>
          <t>2268418150002656</t>
        </is>
      </c>
      <c r="BB3816" t="inlineStr">
        <is>
          <t>BOOK</t>
        </is>
      </c>
      <c r="BD3816" t="inlineStr">
        <is>
          <t>9780196475332</t>
        </is>
      </c>
      <c r="BE3816" t="inlineStr">
        <is>
          <t>32285000916899</t>
        </is>
      </c>
      <c r="BF3816" t="inlineStr">
        <is>
          <t>893503019</t>
        </is>
      </c>
    </row>
    <row r="3817">
      <c r="A3817" t="inlineStr">
        <is>
          <t>No</t>
        </is>
      </c>
      <c r="B3817" t="inlineStr">
        <is>
          <t>CURAL</t>
        </is>
      </c>
      <c r="C3817" t="inlineStr">
        <is>
          <t>SHELVES</t>
        </is>
      </c>
      <c r="D3817" t="inlineStr">
        <is>
          <t>PR8771 .G37 2001</t>
        </is>
      </c>
      <c r="E3817" t="inlineStr">
        <is>
          <t>0                      PR 8771000G  37          2001</t>
        </is>
      </c>
      <c r="F3817" t="inlineStr">
        <is>
          <t>Befitting emblems of adversity : a modern Irish view of Edmund Spenser from W.B. Yeats to the present / by David Gardiner.</t>
        </is>
      </c>
      <c r="H3817" t="inlineStr">
        <is>
          <t>No</t>
        </is>
      </c>
      <c r="I3817" t="inlineStr">
        <is>
          <t>1</t>
        </is>
      </c>
      <c r="J3817" t="inlineStr">
        <is>
          <t>No</t>
        </is>
      </c>
      <c r="K3817" t="inlineStr">
        <is>
          <t>No</t>
        </is>
      </c>
      <c r="L3817" t="inlineStr">
        <is>
          <t>0</t>
        </is>
      </c>
      <c r="M3817" t="inlineStr">
        <is>
          <t>Gardiner, David, 1967-</t>
        </is>
      </c>
      <c r="N3817" t="inlineStr">
        <is>
          <t>Omaha, Neb. : Creighton University Press, c2001.</t>
        </is>
      </c>
      <c r="O3817" t="inlineStr">
        <is>
          <t>2001</t>
        </is>
      </c>
      <c r="Q3817" t="inlineStr">
        <is>
          <t>eng</t>
        </is>
      </c>
      <c r="R3817" t="inlineStr">
        <is>
          <t>nbu</t>
        </is>
      </c>
      <c r="T3817" t="inlineStr">
        <is>
          <t xml:space="preserve">PR </t>
        </is>
      </c>
      <c r="U3817" t="n">
        <v>9</v>
      </c>
      <c r="V3817" t="n">
        <v>9</v>
      </c>
      <c r="W3817" t="inlineStr">
        <is>
          <t>2008-10-16</t>
        </is>
      </c>
      <c r="X3817" t="inlineStr">
        <is>
          <t>2008-10-16</t>
        </is>
      </c>
      <c r="Y3817" t="inlineStr">
        <is>
          <t>2003-10-06</t>
        </is>
      </c>
      <c r="Z3817" t="inlineStr">
        <is>
          <t>2003-10-06</t>
        </is>
      </c>
      <c r="AA3817" t="n">
        <v>257</v>
      </c>
      <c r="AB3817" t="n">
        <v>217</v>
      </c>
      <c r="AC3817" t="n">
        <v>220</v>
      </c>
      <c r="AD3817" t="n">
        <v>4</v>
      </c>
      <c r="AE3817" t="n">
        <v>4</v>
      </c>
      <c r="AF3817" t="n">
        <v>16</v>
      </c>
      <c r="AG3817" t="n">
        <v>16</v>
      </c>
      <c r="AH3817" t="n">
        <v>3</v>
      </c>
      <c r="AI3817" t="n">
        <v>3</v>
      </c>
      <c r="AJ3817" t="n">
        <v>5</v>
      </c>
      <c r="AK3817" t="n">
        <v>5</v>
      </c>
      <c r="AL3817" t="n">
        <v>8</v>
      </c>
      <c r="AM3817" t="n">
        <v>8</v>
      </c>
      <c r="AN3817" t="n">
        <v>3</v>
      </c>
      <c r="AO3817" t="n">
        <v>3</v>
      </c>
      <c r="AP3817" t="n">
        <v>0</v>
      </c>
      <c r="AQ3817" t="n">
        <v>0</v>
      </c>
      <c r="AR3817" t="inlineStr">
        <is>
          <t>No</t>
        </is>
      </c>
      <c r="AS3817" t="inlineStr">
        <is>
          <t>Yes</t>
        </is>
      </c>
      <c r="AT3817">
        <f>HYPERLINK("http://catalog.hathitrust.org/Record/004172945","HathiTrust Record")</f>
        <v/>
      </c>
      <c r="AU3817">
        <f>HYPERLINK("https://creighton-primo.hosted.exlibrisgroup.com/primo-explore/search?tab=default_tab&amp;search_scope=EVERYTHING&amp;vid=01CRU&amp;lang=en_US&amp;offset=0&amp;query=any,contains,991004136579702656","Catalog Record")</f>
        <v/>
      </c>
      <c r="AV3817">
        <f>HYPERLINK("http://www.worldcat.org/oclc/43323712","WorldCat Record")</f>
        <v/>
      </c>
      <c r="AW3817" t="inlineStr">
        <is>
          <t>328008585:eng</t>
        </is>
      </c>
      <c r="AX3817" t="inlineStr">
        <is>
          <t>43323712</t>
        </is>
      </c>
      <c r="AY3817" t="inlineStr">
        <is>
          <t>991004136579702656</t>
        </is>
      </c>
      <c r="AZ3817" t="inlineStr">
        <is>
          <t>991004136579702656</t>
        </is>
      </c>
      <c r="BA3817" t="inlineStr">
        <is>
          <t>2272173840002656</t>
        </is>
      </c>
      <c r="BB3817" t="inlineStr">
        <is>
          <t>BOOK</t>
        </is>
      </c>
      <c r="BD3817" t="inlineStr">
        <is>
          <t>9781881871385</t>
        </is>
      </c>
      <c r="BE3817" t="inlineStr">
        <is>
          <t>32285004786579</t>
        </is>
      </c>
      <c r="BF3817" t="inlineStr">
        <is>
          <t>893882104</t>
        </is>
      </c>
    </row>
    <row r="3818">
      <c r="A3818" t="inlineStr">
        <is>
          <t>No</t>
        </is>
      </c>
      <c r="B3818" t="inlineStr">
        <is>
          <t>CURAL</t>
        </is>
      </c>
      <c r="C3818" t="inlineStr">
        <is>
          <t>SHELVES</t>
        </is>
      </c>
      <c r="D3818" t="inlineStr">
        <is>
          <t>PR8771 .G55 2005</t>
        </is>
      </c>
      <c r="E3818" t="inlineStr">
        <is>
          <t>0                      PR 8771000G  55          2005</t>
        </is>
      </c>
      <c r="F3818" t="inlineStr">
        <is>
          <t>Irish poetry of the 1930s / Alan Gillis.</t>
        </is>
      </c>
      <c r="H3818" t="inlineStr">
        <is>
          <t>No</t>
        </is>
      </c>
      <c r="I3818" t="inlineStr">
        <is>
          <t>1</t>
        </is>
      </c>
      <c r="J3818" t="inlineStr">
        <is>
          <t>No</t>
        </is>
      </c>
      <c r="K3818" t="inlineStr">
        <is>
          <t>No</t>
        </is>
      </c>
      <c r="L3818" t="inlineStr">
        <is>
          <t>0</t>
        </is>
      </c>
      <c r="M3818" t="inlineStr">
        <is>
          <t>Gillis, Alan A.</t>
        </is>
      </c>
      <c r="N3818" t="inlineStr">
        <is>
          <t>Oxford ; New York : Oxford University Press, 2005.</t>
        </is>
      </c>
      <c r="O3818" t="inlineStr">
        <is>
          <t>2005</t>
        </is>
      </c>
      <c r="Q3818" t="inlineStr">
        <is>
          <t>eng</t>
        </is>
      </c>
      <c r="R3818" t="inlineStr">
        <is>
          <t>enk</t>
        </is>
      </c>
      <c r="T3818" t="inlineStr">
        <is>
          <t xml:space="preserve">PR </t>
        </is>
      </c>
      <c r="U3818" t="n">
        <v>1</v>
      </c>
      <c r="V3818" t="n">
        <v>1</v>
      </c>
      <c r="W3818" t="inlineStr">
        <is>
          <t>2006-05-04</t>
        </is>
      </c>
      <c r="X3818" t="inlineStr">
        <is>
          <t>2006-05-04</t>
        </is>
      </c>
      <c r="Y3818" t="inlineStr">
        <is>
          <t>2006-05-04</t>
        </is>
      </c>
      <c r="Z3818" t="inlineStr">
        <is>
          <t>2006-05-04</t>
        </is>
      </c>
      <c r="AA3818" t="n">
        <v>251</v>
      </c>
      <c r="AB3818" t="n">
        <v>182</v>
      </c>
      <c r="AC3818" t="n">
        <v>282</v>
      </c>
      <c r="AD3818" t="n">
        <v>2</v>
      </c>
      <c r="AE3818" t="n">
        <v>2</v>
      </c>
      <c r="AF3818" t="n">
        <v>11</v>
      </c>
      <c r="AG3818" t="n">
        <v>15</v>
      </c>
      <c r="AH3818" t="n">
        <v>4</v>
      </c>
      <c r="AI3818" t="n">
        <v>4</v>
      </c>
      <c r="AJ3818" t="n">
        <v>3</v>
      </c>
      <c r="AK3818" t="n">
        <v>7</v>
      </c>
      <c r="AL3818" t="n">
        <v>5</v>
      </c>
      <c r="AM3818" t="n">
        <v>7</v>
      </c>
      <c r="AN3818" t="n">
        <v>1</v>
      </c>
      <c r="AO3818" t="n">
        <v>1</v>
      </c>
      <c r="AP3818" t="n">
        <v>0</v>
      </c>
      <c r="AQ3818" t="n">
        <v>0</v>
      </c>
      <c r="AR3818" t="inlineStr">
        <is>
          <t>No</t>
        </is>
      </c>
      <c r="AS3818" t="inlineStr">
        <is>
          <t>No</t>
        </is>
      </c>
      <c r="AU3818">
        <f>HYPERLINK("https://creighton-primo.hosted.exlibrisgroup.com/primo-explore/search?tab=default_tab&amp;search_scope=EVERYTHING&amp;vid=01CRU&amp;lang=en_US&amp;offset=0&amp;query=any,contains,991004778609702656","Catalog Record")</f>
        <v/>
      </c>
      <c r="AV3818">
        <f>HYPERLINK("http://www.worldcat.org/oclc/57281179","WorldCat Record")</f>
        <v/>
      </c>
      <c r="AW3818" t="inlineStr">
        <is>
          <t>19193:eng</t>
        </is>
      </c>
      <c r="AX3818" t="inlineStr">
        <is>
          <t>57281179</t>
        </is>
      </c>
      <c r="AY3818" t="inlineStr">
        <is>
          <t>991004778609702656</t>
        </is>
      </c>
      <c r="AZ3818" t="inlineStr">
        <is>
          <t>991004778609702656</t>
        </is>
      </c>
      <c r="BA3818" t="inlineStr">
        <is>
          <t>2263457810002656</t>
        </is>
      </c>
      <c r="BB3818" t="inlineStr">
        <is>
          <t>BOOK</t>
        </is>
      </c>
      <c r="BD3818" t="inlineStr">
        <is>
          <t>9780199277094</t>
        </is>
      </c>
      <c r="BE3818" t="inlineStr">
        <is>
          <t>32285005185490</t>
        </is>
      </c>
      <c r="BF3818" t="inlineStr">
        <is>
          <t>893513670</t>
        </is>
      </c>
    </row>
    <row r="3819">
      <c r="A3819" t="inlineStr">
        <is>
          <t>No</t>
        </is>
      </c>
      <c r="B3819" t="inlineStr">
        <is>
          <t>CURAL</t>
        </is>
      </c>
      <c r="C3819" t="inlineStr">
        <is>
          <t>SHELVES</t>
        </is>
      </c>
      <c r="D3819" t="inlineStr">
        <is>
          <t>PR8771 .G66 2000</t>
        </is>
      </c>
      <c r="E3819" t="inlineStr">
        <is>
          <t>0                      PR 8771000G  66          2000</t>
        </is>
      </c>
      <c r="F3819" t="inlineStr">
        <is>
          <t>Irish poetry since 1950 : from stillness into history / John Goodby.</t>
        </is>
      </c>
      <c r="H3819" t="inlineStr">
        <is>
          <t>No</t>
        </is>
      </c>
      <c r="I3819" t="inlineStr">
        <is>
          <t>1</t>
        </is>
      </c>
      <c r="J3819" t="inlineStr">
        <is>
          <t>No</t>
        </is>
      </c>
      <c r="K3819" t="inlineStr">
        <is>
          <t>No</t>
        </is>
      </c>
      <c r="L3819" t="inlineStr">
        <is>
          <t>0</t>
        </is>
      </c>
      <c r="M3819" t="inlineStr">
        <is>
          <t>Goodby, John, 1958-</t>
        </is>
      </c>
      <c r="N3819" t="inlineStr">
        <is>
          <t>Manchester, UK ; New York : Manchester University Press ; New York : Distributed exclusively in the USA by St. Martin's Press, 2000.</t>
        </is>
      </c>
      <c r="O3819" t="inlineStr">
        <is>
          <t>2000</t>
        </is>
      </c>
      <c r="Q3819" t="inlineStr">
        <is>
          <t>eng</t>
        </is>
      </c>
      <c r="R3819" t="inlineStr">
        <is>
          <t>enk</t>
        </is>
      </c>
      <c r="T3819" t="inlineStr">
        <is>
          <t xml:space="preserve">PR </t>
        </is>
      </c>
      <c r="U3819" t="n">
        <v>4</v>
      </c>
      <c r="V3819" t="n">
        <v>4</v>
      </c>
      <c r="W3819" t="inlineStr">
        <is>
          <t>2003-01-21</t>
        </is>
      </c>
      <c r="X3819" t="inlineStr">
        <is>
          <t>2003-01-21</t>
        </is>
      </c>
      <c r="Y3819" t="inlineStr">
        <is>
          <t>2001-10-22</t>
        </is>
      </c>
      <c r="Z3819" t="inlineStr">
        <is>
          <t>2001-10-22</t>
        </is>
      </c>
      <c r="AA3819" t="n">
        <v>387</v>
      </c>
      <c r="AB3819" t="n">
        <v>282</v>
      </c>
      <c r="AC3819" t="n">
        <v>289</v>
      </c>
      <c r="AD3819" t="n">
        <v>3</v>
      </c>
      <c r="AE3819" t="n">
        <v>3</v>
      </c>
      <c r="AF3819" t="n">
        <v>18</v>
      </c>
      <c r="AG3819" t="n">
        <v>18</v>
      </c>
      <c r="AH3819" t="n">
        <v>6</v>
      </c>
      <c r="AI3819" t="n">
        <v>6</v>
      </c>
      <c r="AJ3819" t="n">
        <v>8</v>
      </c>
      <c r="AK3819" t="n">
        <v>8</v>
      </c>
      <c r="AL3819" t="n">
        <v>9</v>
      </c>
      <c r="AM3819" t="n">
        <v>9</v>
      </c>
      <c r="AN3819" t="n">
        <v>1</v>
      </c>
      <c r="AO3819" t="n">
        <v>1</v>
      </c>
      <c r="AP3819" t="n">
        <v>0</v>
      </c>
      <c r="AQ3819" t="n">
        <v>0</v>
      </c>
      <c r="AR3819" t="inlineStr">
        <is>
          <t>No</t>
        </is>
      </c>
      <c r="AS3819" t="inlineStr">
        <is>
          <t>Yes</t>
        </is>
      </c>
      <c r="AT3819">
        <f>HYPERLINK("http://catalog.hathitrust.org/Record/004123732","HathiTrust Record")</f>
        <v/>
      </c>
      <c r="AU3819">
        <f>HYPERLINK("https://creighton-primo.hosted.exlibrisgroup.com/primo-explore/search?tab=default_tab&amp;search_scope=EVERYTHING&amp;vid=01CRU&amp;lang=en_US&amp;offset=0&amp;query=any,contains,991003642849702656","Catalog Record")</f>
        <v/>
      </c>
      <c r="AV3819">
        <f>HYPERLINK("http://www.worldcat.org/oclc/42798203","WorldCat Record")</f>
        <v/>
      </c>
      <c r="AW3819" t="inlineStr">
        <is>
          <t>197206384:eng</t>
        </is>
      </c>
      <c r="AX3819" t="inlineStr">
        <is>
          <t>42798203</t>
        </is>
      </c>
      <c r="AY3819" t="inlineStr">
        <is>
          <t>991003642849702656</t>
        </is>
      </c>
      <c r="AZ3819" t="inlineStr">
        <is>
          <t>991003642849702656</t>
        </is>
      </c>
      <c r="BA3819" t="inlineStr">
        <is>
          <t>2267375980002656</t>
        </is>
      </c>
      <c r="BB3819" t="inlineStr">
        <is>
          <t>BOOK</t>
        </is>
      </c>
      <c r="BD3819" t="inlineStr">
        <is>
          <t>9780719029967</t>
        </is>
      </c>
      <c r="BE3819" t="inlineStr">
        <is>
          <t>32285004398920</t>
        </is>
      </c>
      <c r="BF3819" t="inlineStr">
        <is>
          <t>893512178</t>
        </is>
      </c>
    </row>
    <row r="3820">
      <c r="A3820" t="inlineStr">
        <is>
          <t>No</t>
        </is>
      </c>
      <c r="B3820" t="inlineStr">
        <is>
          <t>CURAL</t>
        </is>
      </c>
      <c r="C3820" t="inlineStr">
        <is>
          <t>SHELVES</t>
        </is>
      </c>
      <c r="D3820" t="inlineStr">
        <is>
          <t>PR8771 .G74 1999</t>
        </is>
      </c>
      <c r="E3820" t="inlineStr">
        <is>
          <t>0                      PR 8771000G  74          1999</t>
        </is>
      </c>
      <c r="F3820" t="inlineStr">
        <is>
          <t>Facing the music : Irish poetry in the twentieth century / Eamon Grennan.</t>
        </is>
      </c>
      <c r="H3820" t="inlineStr">
        <is>
          <t>No</t>
        </is>
      </c>
      <c r="I3820" t="inlineStr">
        <is>
          <t>1</t>
        </is>
      </c>
      <c r="J3820" t="inlineStr">
        <is>
          <t>No</t>
        </is>
      </c>
      <c r="K3820" t="inlineStr">
        <is>
          <t>No</t>
        </is>
      </c>
      <c r="L3820" t="inlineStr">
        <is>
          <t>0</t>
        </is>
      </c>
      <c r="M3820" t="inlineStr">
        <is>
          <t>Grennan, Eamon, 1941-</t>
        </is>
      </c>
      <c r="N3820" t="inlineStr">
        <is>
          <t>Omaha, Neb. : Creighton University Press, c1999.</t>
        </is>
      </c>
      <c r="O3820" t="inlineStr">
        <is>
          <t>1999</t>
        </is>
      </c>
      <c r="Q3820" t="inlineStr">
        <is>
          <t>eng</t>
        </is>
      </c>
      <c r="R3820" t="inlineStr">
        <is>
          <t>nbu</t>
        </is>
      </c>
      <c r="T3820" t="inlineStr">
        <is>
          <t xml:space="preserve">PR </t>
        </is>
      </c>
      <c r="U3820" t="n">
        <v>1</v>
      </c>
      <c r="V3820" t="n">
        <v>1</v>
      </c>
      <c r="W3820" t="inlineStr">
        <is>
          <t>2007-11-15</t>
        </is>
      </c>
      <c r="X3820" t="inlineStr">
        <is>
          <t>2007-11-15</t>
        </is>
      </c>
      <c r="Y3820" t="inlineStr">
        <is>
          <t>2007-11-15</t>
        </is>
      </c>
      <c r="Z3820" t="inlineStr">
        <is>
          <t>2007-11-15</t>
        </is>
      </c>
      <c r="AA3820" t="n">
        <v>445</v>
      </c>
      <c r="AB3820" t="n">
        <v>390</v>
      </c>
      <c r="AC3820" t="n">
        <v>1229</v>
      </c>
      <c r="AD3820" t="n">
        <v>4</v>
      </c>
      <c r="AE3820" t="n">
        <v>44</v>
      </c>
      <c r="AF3820" t="n">
        <v>23</v>
      </c>
      <c r="AG3820" t="n">
        <v>47</v>
      </c>
      <c r="AH3820" t="n">
        <v>10</v>
      </c>
      <c r="AI3820" t="n">
        <v>21</v>
      </c>
      <c r="AJ3820" t="n">
        <v>8</v>
      </c>
      <c r="AK3820" t="n">
        <v>10</v>
      </c>
      <c r="AL3820" t="n">
        <v>9</v>
      </c>
      <c r="AM3820" t="n">
        <v>14</v>
      </c>
      <c r="AN3820" t="n">
        <v>3</v>
      </c>
      <c r="AO3820" t="n">
        <v>13</v>
      </c>
      <c r="AP3820" t="n">
        <v>0</v>
      </c>
      <c r="AQ3820" t="n">
        <v>0</v>
      </c>
      <c r="AR3820" t="inlineStr">
        <is>
          <t>No</t>
        </is>
      </c>
      <c r="AS3820" t="inlineStr">
        <is>
          <t>Yes</t>
        </is>
      </c>
      <c r="AT3820">
        <f>HYPERLINK("http://catalog.hathitrust.org/Record/004061984","HathiTrust Record")</f>
        <v/>
      </c>
      <c r="AU3820">
        <f>HYPERLINK("https://creighton-primo.hosted.exlibrisgroup.com/primo-explore/search?tab=default_tab&amp;search_scope=EVERYTHING&amp;vid=01CRU&amp;lang=en_US&amp;offset=0&amp;query=any,contains,991005150079702656","Catalog Record")</f>
        <v/>
      </c>
      <c r="AV3820">
        <f>HYPERLINK("http://www.worldcat.org/oclc/39615640","WorldCat Record")</f>
        <v/>
      </c>
      <c r="AW3820" t="inlineStr">
        <is>
          <t>799428700:eng</t>
        </is>
      </c>
      <c r="AX3820" t="inlineStr">
        <is>
          <t>39615640</t>
        </is>
      </c>
      <c r="AY3820" t="inlineStr">
        <is>
          <t>991005150079702656</t>
        </is>
      </c>
      <c r="AZ3820" t="inlineStr">
        <is>
          <t>991005150079702656</t>
        </is>
      </c>
      <c r="BA3820" t="inlineStr">
        <is>
          <t>2263720940002656</t>
        </is>
      </c>
      <c r="BB3820" t="inlineStr">
        <is>
          <t>BOOK</t>
        </is>
      </c>
      <c r="BD3820" t="inlineStr">
        <is>
          <t>9781881871286</t>
        </is>
      </c>
      <c r="BE3820" t="inlineStr">
        <is>
          <t>32285005367262</t>
        </is>
      </c>
      <c r="BF3820" t="inlineStr">
        <is>
          <t>893694819</t>
        </is>
      </c>
    </row>
    <row r="3821">
      <c r="A3821" t="inlineStr">
        <is>
          <t>No</t>
        </is>
      </c>
      <c r="B3821" t="inlineStr">
        <is>
          <t>CURAL</t>
        </is>
      </c>
      <c r="C3821" t="inlineStr">
        <is>
          <t>SHELVES</t>
        </is>
      </c>
      <c r="D3821" t="inlineStr">
        <is>
          <t>PR8771 .L6</t>
        </is>
      </c>
      <c r="E3821" t="inlineStr">
        <is>
          <t>0                      PR 8771000L  6</t>
        </is>
      </c>
      <c r="F3821" t="inlineStr">
        <is>
          <t>Nationalism in modern Anglo-Irish poetry [by] Richard J. Loftus.</t>
        </is>
      </c>
      <c r="H3821" t="inlineStr">
        <is>
          <t>No</t>
        </is>
      </c>
      <c r="I3821" t="inlineStr">
        <is>
          <t>1</t>
        </is>
      </c>
      <c r="J3821" t="inlineStr">
        <is>
          <t>No</t>
        </is>
      </c>
      <c r="K3821" t="inlineStr">
        <is>
          <t>No</t>
        </is>
      </c>
      <c r="L3821" t="inlineStr">
        <is>
          <t>0</t>
        </is>
      </c>
      <c r="M3821" t="inlineStr">
        <is>
          <t>Loftus, Richard J.</t>
        </is>
      </c>
      <c r="N3821" t="inlineStr">
        <is>
          <t>Madison, University of Wisconsin Press, 1964.</t>
        </is>
      </c>
      <c r="O3821" t="inlineStr">
        <is>
          <t>1964</t>
        </is>
      </c>
      <c r="Q3821" t="inlineStr">
        <is>
          <t>eng</t>
        </is>
      </c>
      <c r="R3821" t="inlineStr">
        <is>
          <t>wiu</t>
        </is>
      </c>
      <c r="T3821" t="inlineStr">
        <is>
          <t xml:space="preserve">PR </t>
        </is>
      </c>
      <c r="U3821" t="n">
        <v>3</v>
      </c>
      <c r="V3821" t="n">
        <v>3</v>
      </c>
      <c r="W3821" t="inlineStr">
        <is>
          <t>2007-11-27</t>
        </is>
      </c>
      <c r="X3821" t="inlineStr">
        <is>
          <t>2007-11-27</t>
        </is>
      </c>
      <c r="Y3821" t="inlineStr">
        <is>
          <t>1997-04-25</t>
        </is>
      </c>
      <c r="Z3821" t="inlineStr">
        <is>
          <t>1997-04-25</t>
        </is>
      </c>
      <c r="AA3821" t="n">
        <v>638</v>
      </c>
      <c r="AB3821" t="n">
        <v>528</v>
      </c>
      <c r="AC3821" t="n">
        <v>536</v>
      </c>
      <c r="AD3821" t="n">
        <v>3</v>
      </c>
      <c r="AE3821" t="n">
        <v>3</v>
      </c>
      <c r="AF3821" t="n">
        <v>33</v>
      </c>
      <c r="AG3821" t="n">
        <v>33</v>
      </c>
      <c r="AH3821" t="n">
        <v>13</v>
      </c>
      <c r="AI3821" t="n">
        <v>13</v>
      </c>
      <c r="AJ3821" t="n">
        <v>8</v>
      </c>
      <c r="AK3821" t="n">
        <v>8</v>
      </c>
      <c r="AL3821" t="n">
        <v>19</v>
      </c>
      <c r="AM3821" t="n">
        <v>19</v>
      </c>
      <c r="AN3821" t="n">
        <v>2</v>
      </c>
      <c r="AO3821" t="n">
        <v>2</v>
      </c>
      <c r="AP3821" t="n">
        <v>0</v>
      </c>
      <c r="AQ3821" t="n">
        <v>0</v>
      </c>
      <c r="AR3821" t="inlineStr">
        <is>
          <t>No</t>
        </is>
      </c>
      <c r="AS3821" t="inlineStr">
        <is>
          <t>Yes</t>
        </is>
      </c>
      <c r="AT3821">
        <f>HYPERLINK("http://catalog.hathitrust.org/Record/001371578","HathiTrust Record")</f>
        <v/>
      </c>
      <c r="AU3821">
        <f>HYPERLINK("https://creighton-primo.hosted.exlibrisgroup.com/primo-explore/search?tab=default_tab&amp;search_scope=EVERYTHING&amp;vid=01CRU&amp;lang=en_US&amp;offset=0&amp;query=any,contains,991002537079702656","Catalog Record")</f>
        <v/>
      </c>
      <c r="AV3821">
        <f>HYPERLINK("http://www.worldcat.org/oclc/367647","WorldCat Record")</f>
        <v/>
      </c>
      <c r="AW3821" t="inlineStr">
        <is>
          <t>1431923:eng</t>
        </is>
      </c>
      <c r="AX3821" t="inlineStr">
        <is>
          <t>367647</t>
        </is>
      </c>
      <c r="AY3821" t="inlineStr">
        <is>
          <t>991002537079702656</t>
        </is>
      </c>
      <c r="AZ3821" t="inlineStr">
        <is>
          <t>991002537079702656</t>
        </is>
      </c>
      <c r="BA3821" t="inlineStr">
        <is>
          <t>2264931000002656</t>
        </is>
      </c>
      <c r="BB3821" t="inlineStr">
        <is>
          <t>BOOK</t>
        </is>
      </c>
      <c r="BE3821" t="inlineStr">
        <is>
          <t>32285002592284</t>
        </is>
      </c>
      <c r="BF3821" t="inlineStr">
        <is>
          <t>893867360</t>
        </is>
      </c>
    </row>
    <row r="3822">
      <c r="A3822" t="inlineStr">
        <is>
          <t>No</t>
        </is>
      </c>
      <c r="B3822" t="inlineStr">
        <is>
          <t>CURAL</t>
        </is>
      </c>
      <c r="C3822" t="inlineStr">
        <is>
          <t>SHELVES</t>
        </is>
      </c>
      <c r="D3822" t="inlineStr">
        <is>
          <t>PR8771 .S65 2005</t>
        </is>
      </c>
      <c r="E3822" t="inlineStr">
        <is>
          <t>0                      PR 8771000S  65          2005</t>
        </is>
      </c>
      <c r="F3822" t="inlineStr">
        <is>
          <t>Irish poetry and the construction of modern identity : Ireland between fantasy and history / Stan Smith.</t>
        </is>
      </c>
      <c r="H3822" t="inlineStr">
        <is>
          <t>No</t>
        </is>
      </c>
      <c r="I3822" t="inlineStr">
        <is>
          <t>1</t>
        </is>
      </c>
      <c r="J3822" t="inlineStr">
        <is>
          <t>No</t>
        </is>
      </c>
      <c r="K3822" t="inlineStr">
        <is>
          <t>No</t>
        </is>
      </c>
      <c r="L3822" t="inlineStr">
        <is>
          <t>0</t>
        </is>
      </c>
      <c r="M3822" t="inlineStr">
        <is>
          <t>Smith, Stan, 1943-</t>
        </is>
      </c>
      <c r="N3822" t="inlineStr">
        <is>
          <t>Dublin ; Portland, OR : Irish Academic Press, 2005.</t>
        </is>
      </c>
      <c r="O3822" t="inlineStr">
        <is>
          <t>2005</t>
        </is>
      </c>
      <c r="Q3822" t="inlineStr">
        <is>
          <t>eng</t>
        </is>
      </c>
      <c r="R3822" t="inlineStr">
        <is>
          <t xml:space="preserve">ie </t>
        </is>
      </c>
      <c r="T3822" t="inlineStr">
        <is>
          <t xml:space="preserve">PR </t>
        </is>
      </c>
      <c r="U3822" t="n">
        <v>3</v>
      </c>
      <c r="V3822" t="n">
        <v>3</v>
      </c>
      <c r="W3822" t="inlineStr">
        <is>
          <t>2008-02-11</t>
        </is>
      </c>
      <c r="X3822" t="inlineStr">
        <is>
          <t>2008-02-11</t>
        </is>
      </c>
      <c r="Y3822" t="inlineStr">
        <is>
          <t>2006-03-09</t>
        </is>
      </c>
      <c r="Z3822" t="inlineStr">
        <is>
          <t>2006-03-09</t>
        </is>
      </c>
      <c r="AA3822" t="n">
        <v>265</v>
      </c>
      <c r="AB3822" t="n">
        <v>205</v>
      </c>
      <c r="AC3822" t="n">
        <v>207</v>
      </c>
      <c r="AD3822" t="n">
        <v>2</v>
      </c>
      <c r="AE3822" t="n">
        <v>2</v>
      </c>
      <c r="AF3822" t="n">
        <v>11</v>
      </c>
      <c r="AG3822" t="n">
        <v>11</v>
      </c>
      <c r="AH3822" t="n">
        <v>2</v>
      </c>
      <c r="AI3822" t="n">
        <v>2</v>
      </c>
      <c r="AJ3822" t="n">
        <v>5</v>
      </c>
      <c r="AK3822" t="n">
        <v>5</v>
      </c>
      <c r="AL3822" t="n">
        <v>6</v>
      </c>
      <c r="AM3822" t="n">
        <v>6</v>
      </c>
      <c r="AN3822" t="n">
        <v>1</v>
      </c>
      <c r="AO3822" t="n">
        <v>1</v>
      </c>
      <c r="AP3822" t="n">
        <v>0</v>
      </c>
      <c r="AQ3822" t="n">
        <v>0</v>
      </c>
      <c r="AR3822" t="inlineStr">
        <is>
          <t>No</t>
        </is>
      </c>
      <c r="AS3822" t="inlineStr">
        <is>
          <t>Yes</t>
        </is>
      </c>
      <c r="AT3822">
        <f>HYPERLINK("http://catalog.hathitrust.org/Record/005087165","HathiTrust Record")</f>
        <v/>
      </c>
      <c r="AU3822">
        <f>HYPERLINK("https://creighton-primo.hosted.exlibrisgroup.com/primo-explore/search?tab=default_tab&amp;search_scope=EVERYTHING&amp;vid=01CRU&amp;lang=en_US&amp;offset=0&amp;query=any,contains,991004719639702656","Catalog Record")</f>
        <v/>
      </c>
      <c r="AV3822">
        <f>HYPERLINK("http://www.worldcat.org/oclc/58953288","WorldCat Record")</f>
        <v/>
      </c>
      <c r="AW3822" t="inlineStr">
        <is>
          <t>1036675:eng</t>
        </is>
      </c>
      <c r="AX3822" t="inlineStr">
        <is>
          <t>58953288</t>
        </is>
      </c>
      <c r="AY3822" t="inlineStr">
        <is>
          <t>991004719639702656</t>
        </is>
      </c>
      <c r="AZ3822" t="inlineStr">
        <is>
          <t>991004719639702656</t>
        </is>
      </c>
      <c r="BA3822" t="inlineStr">
        <is>
          <t>2271186050002656</t>
        </is>
      </c>
      <c r="BB3822" t="inlineStr">
        <is>
          <t>BOOK</t>
        </is>
      </c>
      <c r="BD3822" t="inlineStr">
        <is>
          <t>9780716533290</t>
        </is>
      </c>
      <c r="BE3822" t="inlineStr">
        <is>
          <t>32285005164214</t>
        </is>
      </c>
      <c r="BF3822" t="inlineStr">
        <is>
          <t>893712942</t>
        </is>
      </c>
    </row>
    <row r="3823">
      <c r="A3823" t="inlineStr">
        <is>
          <t>No</t>
        </is>
      </c>
      <c r="B3823" t="inlineStr">
        <is>
          <t>CURAL</t>
        </is>
      </c>
      <c r="C3823" t="inlineStr">
        <is>
          <t>SHELVES</t>
        </is>
      </c>
      <c r="D3823" t="inlineStr">
        <is>
          <t>PR8771 .T7 1989</t>
        </is>
      </c>
      <c r="E3823" t="inlineStr">
        <is>
          <t>0                      PR 8771000T  7           1989</t>
        </is>
      </c>
      <c r="F3823" t="inlineStr">
        <is>
          <t>Tradition and influence in Anglo-Irish poetry / edited by Terence Brown and Nicholas Grene.</t>
        </is>
      </c>
      <c r="H3823" t="inlineStr">
        <is>
          <t>No</t>
        </is>
      </c>
      <c r="I3823" t="inlineStr">
        <is>
          <t>1</t>
        </is>
      </c>
      <c r="J3823" t="inlineStr">
        <is>
          <t>No</t>
        </is>
      </c>
      <c r="K3823" t="inlineStr">
        <is>
          <t>No</t>
        </is>
      </c>
      <c r="L3823" t="inlineStr">
        <is>
          <t>0</t>
        </is>
      </c>
      <c r="N3823" t="inlineStr">
        <is>
          <t>Totowa, N.J. : Barnes &amp; Noble, 1989.</t>
        </is>
      </c>
      <c r="O3823" t="inlineStr">
        <is>
          <t>1989</t>
        </is>
      </c>
      <c r="Q3823" t="inlineStr">
        <is>
          <t>eng</t>
        </is>
      </c>
      <c r="R3823" t="inlineStr">
        <is>
          <t>nju</t>
        </is>
      </c>
      <c r="T3823" t="inlineStr">
        <is>
          <t xml:space="preserve">PR </t>
        </is>
      </c>
      <c r="U3823" t="n">
        <v>6</v>
      </c>
      <c r="V3823" t="n">
        <v>6</v>
      </c>
      <c r="W3823" t="inlineStr">
        <is>
          <t>2000-11-06</t>
        </is>
      </c>
      <c r="X3823" t="inlineStr">
        <is>
          <t>2000-11-06</t>
        </is>
      </c>
      <c r="Y3823" t="inlineStr">
        <is>
          <t>1992-03-01</t>
        </is>
      </c>
      <c r="Z3823" t="inlineStr">
        <is>
          <t>1992-03-01</t>
        </is>
      </c>
      <c r="AA3823" t="n">
        <v>188</v>
      </c>
      <c r="AB3823" t="n">
        <v>165</v>
      </c>
      <c r="AC3823" t="n">
        <v>229</v>
      </c>
      <c r="AD3823" t="n">
        <v>1</v>
      </c>
      <c r="AE3823" t="n">
        <v>2</v>
      </c>
      <c r="AF3823" t="n">
        <v>10</v>
      </c>
      <c r="AG3823" t="n">
        <v>13</v>
      </c>
      <c r="AH3823" t="n">
        <v>4</v>
      </c>
      <c r="AI3823" t="n">
        <v>5</v>
      </c>
      <c r="AJ3823" t="n">
        <v>3</v>
      </c>
      <c r="AK3823" t="n">
        <v>4</v>
      </c>
      <c r="AL3823" t="n">
        <v>6</v>
      </c>
      <c r="AM3823" t="n">
        <v>8</v>
      </c>
      <c r="AN3823" t="n">
        <v>0</v>
      </c>
      <c r="AO3823" t="n">
        <v>1</v>
      </c>
      <c r="AP3823" t="n">
        <v>0</v>
      </c>
      <c r="AQ3823" t="n">
        <v>0</v>
      </c>
      <c r="AR3823" t="inlineStr">
        <is>
          <t>No</t>
        </is>
      </c>
      <c r="AS3823" t="inlineStr">
        <is>
          <t>No</t>
        </is>
      </c>
      <c r="AU3823">
        <f>HYPERLINK("https://creighton-primo.hosted.exlibrisgroup.com/primo-explore/search?tab=default_tab&amp;search_scope=EVERYTHING&amp;vid=01CRU&amp;lang=en_US&amp;offset=0&amp;query=any,contains,991001360669702656","Catalog Record")</f>
        <v/>
      </c>
      <c r="AV3823">
        <f>HYPERLINK("http://www.worldcat.org/oclc/18521050","WorldCat Record")</f>
        <v/>
      </c>
      <c r="AW3823" t="inlineStr">
        <is>
          <t>346096498:eng</t>
        </is>
      </c>
      <c r="AX3823" t="inlineStr">
        <is>
          <t>18521050</t>
        </is>
      </c>
      <c r="AY3823" t="inlineStr">
        <is>
          <t>991001360669702656</t>
        </is>
      </c>
      <c r="AZ3823" t="inlineStr">
        <is>
          <t>991001360669702656</t>
        </is>
      </c>
      <c r="BA3823" t="inlineStr">
        <is>
          <t>2268128430002656</t>
        </is>
      </c>
      <c r="BB3823" t="inlineStr">
        <is>
          <t>BOOK</t>
        </is>
      </c>
      <c r="BD3823" t="inlineStr">
        <is>
          <t>9780389208174</t>
        </is>
      </c>
      <c r="BE3823" t="inlineStr">
        <is>
          <t>32285000937267</t>
        </is>
      </c>
      <c r="BF3823" t="inlineStr">
        <is>
          <t>893256199</t>
        </is>
      </c>
    </row>
    <row r="3824">
      <c r="A3824" t="inlineStr">
        <is>
          <t>No</t>
        </is>
      </c>
      <c r="B3824" t="inlineStr">
        <is>
          <t>CURAL</t>
        </is>
      </c>
      <c r="C3824" t="inlineStr">
        <is>
          <t>SHELVES</t>
        </is>
      </c>
      <c r="D3824" t="inlineStr">
        <is>
          <t>PR878.A4 K5</t>
        </is>
      </c>
      <c r="E3824" t="inlineStr">
        <is>
          <t>0                      PR 0878000A  4                  K  5</t>
        </is>
      </c>
      <c r="F3824" t="inlineStr">
        <is>
          <t>Africa in English fiction, 1874-1939 / by G. D. Killam.</t>
        </is>
      </c>
      <c r="H3824" t="inlineStr">
        <is>
          <t>No</t>
        </is>
      </c>
      <c r="I3824" t="inlineStr">
        <is>
          <t>1</t>
        </is>
      </c>
      <c r="J3824" t="inlineStr">
        <is>
          <t>No</t>
        </is>
      </c>
      <c r="K3824" t="inlineStr">
        <is>
          <t>No</t>
        </is>
      </c>
      <c r="L3824" t="inlineStr">
        <is>
          <t>0</t>
        </is>
      </c>
      <c r="M3824" t="inlineStr">
        <is>
          <t>Killam, G. D.</t>
        </is>
      </c>
      <c r="N3824" t="inlineStr">
        <is>
          <t>[Ibadan, Nigeria] : Ibadan University Press, 1968.</t>
        </is>
      </c>
      <c r="O3824" t="inlineStr">
        <is>
          <t>1968</t>
        </is>
      </c>
      <c r="Q3824" t="inlineStr">
        <is>
          <t>eng</t>
        </is>
      </c>
      <c r="R3824" t="inlineStr">
        <is>
          <t xml:space="preserve">nr </t>
        </is>
      </c>
      <c r="T3824" t="inlineStr">
        <is>
          <t xml:space="preserve">PR </t>
        </is>
      </c>
      <c r="U3824" t="n">
        <v>4</v>
      </c>
      <c r="V3824" t="n">
        <v>4</v>
      </c>
      <c r="W3824" t="inlineStr">
        <is>
          <t>2003-10-28</t>
        </is>
      </c>
      <c r="X3824" t="inlineStr">
        <is>
          <t>2003-10-28</t>
        </is>
      </c>
      <c r="Y3824" t="inlineStr">
        <is>
          <t>1994-02-17</t>
        </is>
      </c>
      <c r="Z3824" t="inlineStr">
        <is>
          <t>1994-02-17</t>
        </is>
      </c>
      <c r="AA3824" t="n">
        <v>250</v>
      </c>
      <c r="AB3824" t="n">
        <v>167</v>
      </c>
      <c r="AC3824" t="n">
        <v>169</v>
      </c>
      <c r="AD3824" t="n">
        <v>2</v>
      </c>
      <c r="AE3824" t="n">
        <v>2</v>
      </c>
      <c r="AF3824" t="n">
        <v>8</v>
      </c>
      <c r="AG3824" t="n">
        <v>8</v>
      </c>
      <c r="AH3824" t="n">
        <v>1</v>
      </c>
      <c r="AI3824" t="n">
        <v>1</v>
      </c>
      <c r="AJ3824" t="n">
        <v>3</v>
      </c>
      <c r="AK3824" t="n">
        <v>3</v>
      </c>
      <c r="AL3824" t="n">
        <v>5</v>
      </c>
      <c r="AM3824" t="n">
        <v>5</v>
      </c>
      <c r="AN3824" t="n">
        <v>1</v>
      </c>
      <c r="AO3824" t="n">
        <v>1</v>
      </c>
      <c r="AP3824" t="n">
        <v>0</v>
      </c>
      <c r="AQ3824" t="n">
        <v>0</v>
      </c>
      <c r="AR3824" t="inlineStr">
        <is>
          <t>No</t>
        </is>
      </c>
      <c r="AS3824" t="inlineStr">
        <is>
          <t>Yes</t>
        </is>
      </c>
      <c r="AT3824">
        <f>HYPERLINK("http://catalog.hathitrust.org/Record/001398431","HathiTrust Record")</f>
        <v/>
      </c>
      <c r="AU3824">
        <f>HYPERLINK("https://creighton-primo.hosted.exlibrisgroup.com/primo-explore/search?tab=default_tab&amp;search_scope=EVERYTHING&amp;vid=01CRU&amp;lang=en_US&amp;offset=0&amp;query=any,contains,991000679729702656","Catalog Record")</f>
        <v/>
      </c>
      <c r="AV3824">
        <f>HYPERLINK("http://www.worldcat.org/oclc/121356","WorldCat Record")</f>
        <v/>
      </c>
      <c r="AW3824" t="inlineStr">
        <is>
          <t>1243007:eng</t>
        </is>
      </c>
      <c r="AX3824" t="inlineStr">
        <is>
          <t>121356</t>
        </is>
      </c>
      <c r="AY3824" t="inlineStr">
        <is>
          <t>991000679729702656</t>
        </is>
      </c>
      <c r="AZ3824" t="inlineStr">
        <is>
          <t>991000679729702656</t>
        </is>
      </c>
      <c r="BA3824" t="inlineStr">
        <is>
          <t>2262398320002656</t>
        </is>
      </c>
      <c r="BB3824" t="inlineStr">
        <is>
          <t>BOOK</t>
        </is>
      </c>
      <c r="BE3824" t="inlineStr">
        <is>
          <t>32285001838910</t>
        </is>
      </c>
      <c r="BF3824" t="inlineStr">
        <is>
          <t>893620697</t>
        </is>
      </c>
    </row>
    <row r="3825">
      <c r="A3825" t="inlineStr">
        <is>
          <t>No</t>
        </is>
      </c>
      <c r="B3825" t="inlineStr">
        <is>
          <t>CURAL</t>
        </is>
      </c>
      <c r="C3825" t="inlineStr">
        <is>
          <t>SHELVES</t>
        </is>
      </c>
      <c r="D3825" t="inlineStr">
        <is>
          <t>PR878.A79 S74 1996</t>
        </is>
      </c>
      <c r="E3825" t="inlineStr">
        <is>
          <t>0                      PR 0878000A  79                 S  74          1996</t>
        </is>
      </c>
      <c r="F3825" t="inlineStr">
        <is>
          <t>Dear reader : the conscripted audience in nineteenth-century British fiction / Garrett Stewart.</t>
        </is>
      </c>
      <c r="H3825" t="inlineStr">
        <is>
          <t>No</t>
        </is>
      </c>
      <c r="I3825" t="inlineStr">
        <is>
          <t>1</t>
        </is>
      </c>
      <c r="J3825" t="inlineStr">
        <is>
          <t>No</t>
        </is>
      </c>
      <c r="K3825" t="inlineStr">
        <is>
          <t>No</t>
        </is>
      </c>
      <c r="L3825" t="inlineStr">
        <is>
          <t>0</t>
        </is>
      </c>
      <c r="M3825" t="inlineStr">
        <is>
          <t>Stewart, Garrett.</t>
        </is>
      </c>
      <c r="N3825" t="inlineStr">
        <is>
          <t>Baltimore : Johns Hopkins University Press, 1996.</t>
        </is>
      </c>
      <c r="O3825" t="inlineStr">
        <is>
          <t>1996</t>
        </is>
      </c>
      <c r="Q3825" t="inlineStr">
        <is>
          <t>eng</t>
        </is>
      </c>
      <c r="R3825" t="inlineStr">
        <is>
          <t>mdu</t>
        </is>
      </c>
      <c r="T3825" t="inlineStr">
        <is>
          <t xml:space="preserve">PR </t>
        </is>
      </c>
      <c r="U3825" t="n">
        <v>1</v>
      </c>
      <c r="V3825" t="n">
        <v>1</v>
      </c>
      <c r="W3825" t="inlineStr">
        <is>
          <t>2006-11-28</t>
        </is>
      </c>
      <c r="X3825" t="inlineStr">
        <is>
          <t>2006-11-28</t>
        </is>
      </c>
      <c r="Y3825" t="inlineStr">
        <is>
          <t>2006-11-28</t>
        </is>
      </c>
      <c r="Z3825" t="inlineStr">
        <is>
          <t>2006-11-28</t>
        </is>
      </c>
      <c r="AA3825" t="n">
        <v>482</v>
      </c>
      <c r="AB3825" t="n">
        <v>365</v>
      </c>
      <c r="AC3825" t="n">
        <v>366</v>
      </c>
      <c r="AD3825" t="n">
        <v>3</v>
      </c>
      <c r="AE3825" t="n">
        <v>3</v>
      </c>
      <c r="AF3825" t="n">
        <v>24</v>
      </c>
      <c r="AG3825" t="n">
        <v>24</v>
      </c>
      <c r="AH3825" t="n">
        <v>8</v>
      </c>
      <c r="AI3825" t="n">
        <v>8</v>
      </c>
      <c r="AJ3825" t="n">
        <v>7</v>
      </c>
      <c r="AK3825" t="n">
        <v>7</v>
      </c>
      <c r="AL3825" t="n">
        <v>15</v>
      </c>
      <c r="AM3825" t="n">
        <v>15</v>
      </c>
      <c r="AN3825" t="n">
        <v>2</v>
      </c>
      <c r="AO3825" t="n">
        <v>2</v>
      </c>
      <c r="AP3825" t="n">
        <v>0</v>
      </c>
      <c r="AQ3825" t="n">
        <v>0</v>
      </c>
      <c r="AR3825" t="inlineStr">
        <is>
          <t>No</t>
        </is>
      </c>
      <c r="AS3825" t="inlineStr">
        <is>
          <t>Yes</t>
        </is>
      </c>
      <c r="AT3825">
        <f>HYPERLINK("http://catalog.hathitrust.org/Record/003122464","HathiTrust Record")</f>
        <v/>
      </c>
      <c r="AU3825">
        <f>HYPERLINK("https://creighton-primo.hosted.exlibrisgroup.com/primo-explore/search?tab=default_tab&amp;search_scope=EVERYTHING&amp;vid=01CRU&amp;lang=en_US&amp;offset=0&amp;query=any,contains,991004987699702656","Catalog Record")</f>
        <v/>
      </c>
      <c r="AV3825">
        <f>HYPERLINK("http://www.worldcat.org/oclc/33948234","WorldCat Record")</f>
        <v/>
      </c>
      <c r="AW3825" t="inlineStr">
        <is>
          <t>806876871:eng</t>
        </is>
      </c>
      <c r="AX3825" t="inlineStr">
        <is>
          <t>33948234</t>
        </is>
      </c>
      <c r="AY3825" t="inlineStr">
        <is>
          <t>991004987699702656</t>
        </is>
      </c>
      <c r="AZ3825" t="inlineStr">
        <is>
          <t>991004987699702656</t>
        </is>
      </c>
      <c r="BA3825" t="inlineStr">
        <is>
          <t>2263012400002656</t>
        </is>
      </c>
      <c r="BB3825" t="inlineStr">
        <is>
          <t>BOOK</t>
        </is>
      </c>
      <c r="BD3825" t="inlineStr">
        <is>
          <t>9780801852824</t>
        </is>
      </c>
      <c r="BE3825" t="inlineStr">
        <is>
          <t>32285005262778</t>
        </is>
      </c>
      <c r="BF3825" t="inlineStr">
        <is>
          <t>893446495</t>
        </is>
      </c>
    </row>
    <row r="3826">
      <c r="A3826" t="inlineStr">
        <is>
          <t>No</t>
        </is>
      </c>
      <c r="B3826" t="inlineStr">
        <is>
          <t>CURAL</t>
        </is>
      </c>
      <c r="C3826" t="inlineStr">
        <is>
          <t>SHELVES</t>
        </is>
      </c>
      <c r="D3826" t="inlineStr">
        <is>
          <t>PR878.D4 F73 2003</t>
        </is>
      </c>
      <c r="E3826" t="inlineStr">
        <is>
          <t>0                      PR 0878000D  4                  F  73          2003</t>
        </is>
      </c>
      <c r="F3826" t="inlineStr">
        <is>
          <t>Victorian detective fiction and the nature of evidence : the scientific investigations of Poe, Dickens, and Doyle / Lawrence Frank.</t>
        </is>
      </c>
      <c r="H3826" t="inlineStr">
        <is>
          <t>No</t>
        </is>
      </c>
      <c r="I3826" t="inlineStr">
        <is>
          <t>1</t>
        </is>
      </c>
      <c r="J3826" t="inlineStr">
        <is>
          <t>No</t>
        </is>
      </c>
      <c r="K3826" t="inlineStr">
        <is>
          <t>No</t>
        </is>
      </c>
      <c r="L3826" t="inlineStr">
        <is>
          <t>0</t>
        </is>
      </c>
      <c r="M3826" t="inlineStr">
        <is>
          <t>Frank, Lawrence, 1933-</t>
        </is>
      </c>
      <c r="N3826" t="inlineStr">
        <is>
          <t>Houndmills, Basingstoke, Hampshire ; New York : Palgrave Macmillan, 2003.</t>
        </is>
      </c>
      <c r="O3826" t="inlineStr">
        <is>
          <t>2003</t>
        </is>
      </c>
      <c r="Q3826" t="inlineStr">
        <is>
          <t>eng</t>
        </is>
      </c>
      <c r="R3826" t="inlineStr">
        <is>
          <t>enk</t>
        </is>
      </c>
      <c r="S3826" t="inlineStr">
        <is>
          <t>Palgrave studies in nineteenth-century writing and culture</t>
        </is>
      </c>
      <c r="T3826" t="inlineStr">
        <is>
          <t xml:space="preserve">PR </t>
        </is>
      </c>
      <c r="U3826" t="n">
        <v>2</v>
      </c>
      <c r="V3826" t="n">
        <v>2</v>
      </c>
      <c r="W3826" t="inlineStr">
        <is>
          <t>2008-10-09</t>
        </is>
      </c>
      <c r="X3826" t="inlineStr">
        <is>
          <t>2008-10-09</t>
        </is>
      </c>
      <c r="Y3826" t="inlineStr">
        <is>
          <t>2005-01-17</t>
        </is>
      </c>
      <c r="Z3826" t="inlineStr">
        <is>
          <t>2005-01-17</t>
        </is>
      </c>
      <c r="AA3826" t="n">
        <v>413</v>
      </c>
      <c r="AB3826" t="n">
        <v>302</v>
      </c>
      <c r="AC3826" t="n">
        <v>752</v>
      </c>
      <c r="AD3826" t="n">
        <v>3</v>
      </c>
      <c r="AE3826" t="n">
        <v>7</v>
      </c>
      <c r="AF3826" t="n">
        <v>17</v>
      </c>
      <c r="AG3826" t="n">
        <v>35</v>
      </c>
      <c r="AH3826" t="n">
        <v>8</v>
      </c>
      <c r="AI3826" t="n">
        <v>13</v>
      </c>
      <c r="AJ3826" t="n">
        <v>3</v>
      </c>
      <c r="AK3826" t="n">
        <v>8</v>
      </c>
      <c r="AL3826" t="n">
        <v>9</v>
      </c>
      <c r="AM3826" t="n">
        <v>15</v>
      </c>
      <c r="AN3826" t="n">
        <v>2</v>
      </c>
      <c r="AO3826" t="n">
        <v>6</v>
      </c>
      <c r="AP3826" t="n">
        <v>0</v>
      </c>
      <c r="AQ3826" t="n">
        <v>1</v>
      </c>
      <c r="AR3826" t="inlineStr">
        <is>
          <t>No</t>
        </is>
      </c>
      <c r="AS3826" t="inlineStr">
        <is>
          <t>No</t>
        </is>
      </c>
      <c r="AU3826">
        <f>HYPERLINK("https://creighton-primo.hosted.exlibrisgroup.com/primo-explore/search?tab=default_tab&amp;search_scope=EVERYTHING&amp;vid=01CRU&amp;lang=en_US&amp;offset=0&amp;query=any,contains,991004412169702656","Catalog Record")</f>
        <v/>
      </c>
      <c r="AV3826">
        <f>HYPERLINK("http://www.worldcat.org/oclc/51290106","WorldCat Record")</f>
        <v/>
      </c>
      <c r="AW3826" t="inlineStr">
        <is>
          <t>793939958:eng</t>
        </is>
      </c>
      <c r="AX3826" t="inlineStr">
        <is>
          <t>51290106</t>
        </is>
      </c>
      <c r="AY3826" t="inlineStr">
        <is>
          <t>991004412169702656</t>
        </is>
      </c>
      <c r="AZ3826" t="inlineStr">
        <is>
          <t>991004412169702656</t>
        </is>
      </c>
      <c r="BA3826" t="inlineStr">
        <is>
          <t>2265349170002656</t>
        </is>
      </c>
      <c r="BB3826" t="inlineStr">
        <is>
          <t>BOOK</t>
        </is>
      </c>
      <c r="BD3826" t="inlineStr">
        <is>
          <t>9781403911391</t>
        </is>
      </c>
      <c r="BE3826" t="inlineStr">
        <is>
          <t>32285005021273</t>
        </is>
      </c>
      <c r="BF3826" t="inlineStr">
        <is>
          <t>893901208</t>
        </is>
      </c>
    </row>
    <row r="3827">
      <c r="A3827" t="inlineStr">
        <is>
          <t>No</t>
        </is>
      </c>
      <c r="B3827" t="inlineStr">
        <is>
          <t>CURAL</t>
        </is>
      </c>
      <c r="C3827" t="inlineStr">
        <is>
          <t>SHELVES</t>
        </is>
      </c>
      <c r="D3827" t="inlineStr">
        <is>
          <t>PR878.D4 P4 1984</t>
        </is>
      </c>
      <c r="E3827" t="inlineStr">
        <is>
          <t>0                      PR 0878000D  4                  P  4           1984</t>
        </is>
      </c>
      <c r="F3827" t="inlineStr">
        <is>
          <t>Victorian masters of mystery : from Wilkie Collins to Conan Doyle / Audrey Peterson.</t>
        </is>
      </c>
      <c r="H3827" t="inlineStr">
        <is>
          <t>No</t>
        </is>
      </c>
      <c r="I3827" t="inlineStr">
        <is>
          <t>1</t>
        </is>
      </c>
      <c r="J3827" t="inlineStr">
        <is>
          <t>No</t>
        </is>
      </c>
      <c r="K3827" t="inlineStr">
        <is>
          <t>No</t>
        </is>
      </c>
      <c r="L3827" t="inlineStr">
        <is>
          <t>0</t>
        </is>
      </c>
      <c r="M3827" t="inlineStr">
        <is>
          <t>Peterson, Audrey.</t>
        </is>
      </c>
      <c r="N3827" t="inlineStr">
        <is>
          <t>New York : F. Ungar Pub. Co., c1984.</t>
        </is>
      </c>
      <c r="O3827" t="inlineStr">
        <is>
          <t>1984</t>
        </is>
      </c>
      <c r="Q3827" t="inlineStr">
        <is>
          <t>eng</t>
        </is>
      </c>
      <c r="R3827" t="inlineStr">
        <is>
          <t>nyu</t>
        </is>
      </c>
      <c r="T3827" t="inlineStr">
        <is>
          <t xml:space="preserve">PR </t>
        </is>
      </c>
      <c r="U3827" t="n">
        <v>5</v>
      </c>
      <c r="V3827" t="n">
        <v>5</v>
      </c>
      <c r="W3827" t="inlineStr">
        <is>
          <t>2008-09-27</t>
        </is>
      </c>
      <c r="X3827" t="inlineStr">
        <is>
          <t>2008-09-27</t>
        </is>
      </c>
      <c r="Y3827" t="inlineStr">
        <is>
          <t>1991-09-12</t>
        </is>
      </c>
      <c r="Z3827" t="inlineStr">
        <is>
          <t>1991-09-12</t>
        </is>
      </c>
      <c r="AA3827" t="n">
        <v>669</v>
      </c>
      <c r="AB3827" t="n">
        <v>593</v>
      </c>
      <c r="AC3827" t="n">
        <v>599</v>
      </c>
      <c r="AD3827" t="n">
        <v>7</v>
      </c>
      <c r="AE3827" t="n">
        <v>7</v>
      </c>
      <c r="AF3827" t="n">
        <v>26</v>
      </c>
      <c r="AG3827" t="n">
        <v>26</v>
      </c>
      <c r="AH3827" t="n">
        <v>9</v>
      </c>
      <c r="AI3827" t="n">
        <v>9</v>
      </c>
      <c r="AJ3827" t="n">
        <v>5</v>
      </c>
      <c r="AK3827" t="n">
        <v>5</v>
      </c>
      <c r="AL3827" t="n">
        <v>11</v>
      </c>
      <c r="AM3827" t="n">
        <v>11</v>
      </c>
      <c r="AN3827" t="n">
        <v>6</v>
      </c>
      <c r="AO3827" t="n">
        <v>6</v>
      </c>
      <c r="AP3827" t="n">
        <v>0</v>
      </c>
      <c r="AQ3827" t="n">
        <v>0</v>
      </c>
      <c r="AR3827" t="inlineStr">
        <is>
          <t>No</t>
        </is>
      </c>
      <c r="AS3827" t="inlineStr">
        <is>
          <t>Yes</t>
        </is>
      </c>
      <c r="AT3827">
        <f>HYPERLINK("http://catalog.hathitrust.org/Record/004437347","HathiTrust Record")</f>
        <v/>
      </c>
      <c r="AU3827">
        <f>HYPERLINK("https://creighton-primo.hosted.exlibrisgroup.com/primo-explore/search?tab=default_tab&amp;search_scope=EVERYTHING&amp;vid=01CRU&amp;lang=en_US&amp;offset=0&amp;query=any,contains,991000294039702656","Catalog Record")</f>
        <v/>
      </c>
      <c r="AV3827">
        <f>HYPERLINK("http://www.worldcat.org/oclc/9971436","WorldCat Record")</f>
        <v/>
      </c>
      <c r="AW3827" t="inlineStr">
        <is>
          <t>196788465:eng</t>
        </is>
      </c>
      <c r="AX3827" t="inlineStr">
        <is>
          <t>9971436</t>
        </is>
      </c>
      <c r="AY3827" t="inlineStr">
        <is>
          <t>991000294039702656</t>
        </is>
      </c>
      <c r="AZ3827" t="inlineStr">
        <is>
          <t>991000294039702656</t>
        </is>
      </c>
      <c r="BA3827" t="inlineStr">
        <is>
          <t>2257819200002656</t>
        </is>
      </c>
      <c r="BB3827" t="inlineStr">
        <is>
          <t>BOOK</t>
        </is>
      </c>
      <c r="BD3827" t="inlineStr">
        <is>
          <t>9780804466516</t>
        </is>
      </c>
      <c r="BE3827" t="inlineStr">
        <is>
          <t>32285000757400</t>
        </is>
      </c>
      <c r="BF3827" t="inlineStr">
        <is>
          <t>893620358</t>
        </is>
      </c>
    </row>
    <row r="3828">
      <c r="A3828" t="inlineStr">
        <is>
          <t>No</t>
        </is>
      </c>
      <c r="B3828" t="inlineStr">
        <is>
          <t>CURAL</t>
        </is>
      </c>
      <c r="C3828" t="inlineStr">
        <is>
          <t>SHELVES</t>
        </is>
      </c>
      <c r="D3828" t="inlineStr">
        <is>
          <t>PR878.I62 G35 1985</t>
        </is>
      </c>
      <c r="E3828" t="inlineStr">
        <is>
          <t>0                      PR 0878000I  62                 G  35          1985</t>
        </is>
      </c>
      <c r="F3828" t="inlineStr">
        <is>
          <t>The industrial reformation of English fiction : social discourse and narrative form, 1832-1867 / Catherine Gallagher.</t>
        </is>
      </c>
      <c r="H3828" t="inlineStr">
        <is>
          <t>No</t>
        </is>
      </c>
      <c r="I3828" t="inlineStr">
        <is>
          <t>1</t>
        </is>
      </c>
      <c r="J3828" t="inlineStr">
        <is>
          <t>No</t>
        </is>
      </c>
      <c r="K3828" t="inlineStr">
        <is>
          <t>No</t>
        </is>
      </c>
      <c r="L3828" t="inlineStr">
        <is>
          <t>0</t>
        </is>
      </c>
      <c r="M3828" t="inlineStr">
        <is>
          <t>Gallagher, Catherine.</t>
        </is>
      </c>
      <c r="N3828" t="inlineStr">
        <is>
          <t>Chicago : University of Chicago Press, 1985.</t>
        </is>
      </c>
      <c r="O3828" t="inlineStr">
        <is>
          <t>1985</t>
        </is>
      </c>
      <c r="Q3828" t="inlineStr">
        <is>
          <t>eng</t>
        </is>
      </c>
      <c r="R3828" t="inlineStr">
        <is>
          <t>ilu</t>
        </is>
      </c>
      <c r="T3828" t="inlineStr">
        <is>
          <t xml:space="preserve">PR </t>
        </is>
      </c>
      <c r="U3828" t="n">
        <v>5</v>
      </c>
      <c r="V3828" t="n">
        <v>5</v>
      </c>
      <c r="W3828" t="inlineStr">
        <is>
          <t>1995-10-30</t>
        </is>
      </c>
      <c r="X3828" t="inlineStr">
        <is>
          <t>1995-10-30</t>
        </is>
      </c>
      <c r="Y3828" t="inlineStr">
        <is>
          <t>1991-09-12</t>
        </is>
      </c>
      <c r="Z3828" t="inlineStr">
        <is>
          <t>1991-09-12</t>
        </is>
      </c>
      <c r="AA3828" t="n">
        <v>671</v>
      </c>
      <c r="AB3828" t="n">
        <v>508</v>
      </c>
      <c r="AC3828" t="n">
        <v>531</v>
      </c>
      <c r="AD3828" t="n">
        <v>6</v>
      </c>
      <c r="AE3828" t="n">
        <v>6</v>
      </c>
      <c r="AF3828" t="n">
        <v>30</v>
      </c>
      <c r="AG3828" t="n">
        <v>32</v>
      </c>
      <c r="AH3828" t="n">
        <v>11</v>
      </c>
      <c r="AI3828" t="n">
        <v>13</v>
      </c>
      <c r="AJ3828" t="n">
        <v>7</v>
      </c>
      <c r="AK3828" t="n">
        <v>7</v>
      </c>
      <c r="AL3828" t="n">
        <v>14</v>
      </c>
      <c r="AM3828" t="n">
        <v>14</v>
      </c>
      <c r="AN3828" t="n">
        <v>5</v>
      </c>
      <c r="AO3828" t="n">
        <v>5</v>
      </c>
      <c r="AP3828" t="n">
        <v>0</v>
      </c>
      <c r="AQ3828" t="n">
        <v>0</v>
      </c>
      <c r="AR3828" t="inlineStr">
        <is>
          <t>No</t>
        </is>
      </c>
      <c r="AS3828" t="inlineStr">
        <is>
          <t>No</t>
        </is>
      </c>
      <c r="AU3828">
        <f>HYPERLINK("https://creighton-primo.hosted.exlibrisgroup.com/primo-explore/search?tab=default_tab&amp;search_scope=EVERYTHING&amp;vid=01CRU&amp;lang=en_US&amp;offset=0&amp;query=any,contains,991000506319702656","Catalog Record")</f>
        <v/>
      </c>
      <c r="AV3828">
        <f>HYPERLINK("http://www.worldcat.org/oclc/11211384","WorldCat Record")</f>
        <v/>
      </c>
      <c r="AW3828" t="inlineStr">
        <is>
          <t>3825316:eng</t>
        </is>
      </c>
      <c r="AX3828" t="inlineStr">
        <is>
          <t>11211384</t>
        </is>
      </c>
      <c r="AY3828" t="inlineStr">
        <is>
          <t>991000506319702656</t>
        </is>
      </c>
      <c r="AZ3828" t="inlineStr">
        <is>
          <t>991000506319702656</t>
        </is>
      </c>
      <c r="BA3828" t="inlineStr">
        <is>
          <t>2255420500002656</t>
        </is>
      </c>
      <c r="BB3828" t="inlineStr">
        <is>
          <t>BOOK</t>
        </is>
      </c>
      <c r="BD3828" t="inlineStr">
        <is>
          <t>9780226279329</t>
        </is>
      </c>
      <c r="BE3828" t="inlineStr">
        <is>
          <t>32285000757467</t>
        </is>
      </c>
      <c r="BF3828" t="inlineStr">
        <is>
          <t>893425783</t>
        </is>
      </c>
    </row>
    <row r="3829">
      <c r="A3829" t="inlineStr">
        <is>
          <t>No</t>
        </is>
      </c>
      <c r="B3829" t="inlineStr">
        <is>
          <t>CURAL</t>
        </is>
      </c>
      <c r="C3829" t="inlineStr">
        <is>
          <t>SHELVES</t>
        </is>
      </c>
      <c r="D3829" t="inlineStr">
        <is>
          <t>PR878.J4 N3</t>
        </is>
      </c>
      <c r="E3829" t="inlineStr">
        <is>
          <t>0                      PR 0878000J  4                  N  3</t>
        </is>
      </c>
      <c r="F3829" t="inlineStr">
        <is>
          <t>The Jew in the Victorian novel : some relationships between prejudice and art / by Anne Aresty Naman.</t>
        </is>
      </c>
      <c r="H3829" t="inlineStr">
        <is>
          <t>No</t>
        </is>
      </c>
      <c r="I3829" t="inlineStr">
        <is>
          <t>1</t>
        </is>
      </c>
      <c r="J3829" t="inlineStr">
        <is>
          <t>No</t>
        </is>
      </c>
      <c r="K3829" t="inlineStr">
        <is>
          <t>No</t>
        </is>
      </c>
      <c r="L3829" t="inlineStr">
        <is>
          <t>0</t>
        </is>
      </c>
      <c r="M3829" t="inlineStr">
        <is>
          <t>Naman, Anne Aresty.</t>
        </is>
      </c>
      <c r="N3829" t="inlineStr">
        <is>
          <t>New York, N.Y. : AMS Press, 1980.</t>
        </is>
      </c>
      <c r="O3829" t="inlineStr">
        <is>
          <t>1980</t>
        </is>
      </c>
      <c r="Q3829" t="inlineStr">
        <is>
          <t>eng</t>
        </is>
      </c>
      <c r="R3829" t="inlineStr">
        <is>
          <t>nyu</t>
        </is>
      </c>
      <c r="S3829" t="inlineStr">
        <is>
          <t>AMS studies in the nineteenth century ; no. 1</t>
        </is>
      </c>
      <c r="T3829" t="inlineStr">
        <is>
          <t xml:space="preserve">PR </t>
        </is>
      </c>
      <c r="U3829" t="n">
        <v>0</v>
      </c>
      <c r="V3829" t="n">
        <v>0</v>
      </c>
      <c r="W3829" t="inlineStr">
        <is>
          <t>2002-06-14</t>
        </is>
      </c>
      <c r="X3829" t="inlineStr">
        <is>
          <t>2002-06-14</t>
        </is>
      </c>
      <c r="Y3829" t="inlineStr">
        <is>
          <t>1991-09-12</t>
        </is>
      </c>
      <c r="Z3829" t="inlineStr">
        <is>
          <t>1991-09-12</t>
        </is>
      </c>
      <c r="AA3829" t="n">
        <v>416</v>
      </c>
      <c r="AB3829" t="n">
        <v>313</v>
      </c>
      <c r="AC3829" t="n">
        <v>315</v>
      </c>
      <c r="AD3829" t="n">
        <v>3</v>
      </c>
      <c r="AE3829" t="n">
        <v>3</v>
      </c>
      <c r="AF3829" t="n">
        <v>14</v>
      </c>
      <c r="AG3829" t="n">
        <v>14</v>
      </c>
      <c r="AH3829" t="n">
        <v>4</v>
      </c>
      <c r="AI3829" t="n">
        <v>4</v>
      </c>
      <c r="AJ3829" t="n">
        <v>4</v>
      </c>
      <c r="AK3829" t="n">
        <v>4</v>
      </c>
      <c r="AL3829" t="n">
        <v>7</v>
      </c>
      <c r="AM3829" t="n">
        <v>7</v>
      </c>
      <c r="AN3829" t="n">
        <v>2</v>
      </c>
      <c r="AO3829" t="n">
        <v>2</v>
      </c>
      <c r="AP3829" t="n">
        <v>0</v>
      </c>
      <c r="AQ3829" t="n">
        <v>0</v>
      </c>
      <c r="AR3829" t="inlineStr">
        <is>
          <t>No</t>
        </is>
      </c>
      <c r="AS3829" t="inlineStr">
        <is>
          <t>Yes</t>
        </is>
      </c>
      <c r="AT3829">
        <f>HYPERLINK("http://catalog.hathitrust.org/Record/000727893","HathiTrust Record")</f>
        <v/>
      </c>
      <c r="AU3829">
        <f>HYPERLINK("https://creighton-primo.hosted.exlibrisgroup.com/primo-explore/search?tab=default_tab&amp;search_scope=EVERYTHING&amp;vid=01CRU&amp;lang=en_US&amp;offset=0&amp;query=any,contains,991004928649702656","Catalog Record")</f>
        <v/>
      </c>
      <c r="AV3829">
        <f>HYPERLINK("http://www.worldcat.org/oclc/6088090","WorldCat Record")</f>
        <v/>
      </c>
      <c r="AW3829" t="inlineStr">
        <is>
          <t>865769503:eng</t>
        </is>
      </c>
      <c r="AX3829" t="inlineStr">
        <is>
          <t>6088090</t>
        </is>
      </c>
      <c r="AY3829" t="inlineStr">
        <is>
          <t>991004928649702656</t>
        </is>
      </c>
      <c r="AZ3829" t="inlineStr">
        <is>
          <t>991004928649702656</t>
        </is>
      </c>
      <c r="BA3829" t="inlineStr">
        <is>
          <t>2257491160002656</t>
        </is>
      </c>
      <c r="BB3829" t="inlineStr">
        <is>
          <t>BOOK</t>
        </is>
      </c>
      <c r="BD3829" t="inlineStr">
        <is>
          <t>9780404180232</t>
        </is>
      </c>
      <c r="BE3829" t="inlineStr">
        <is>
          <t>32285000757475</t>
        </is>
      </c>
      <c r="BF3829" t="inlineStr">
        <is>
          <t>893795418</t>
        </is>
      </c>
    </row>
    <row r="3830">
      <c r="A3830" t="inlineStr">
        <is>
          <t>No</t>
        </is>
      </c>
      <c r="B3830" t="inlineStr">
        <is>
          <t>CURAL</t>
        </is>
      </c>
      <c r="C3830" t="inlineStr">
        <is>
          <t>SHELVES</t>
        </is>
      </c>
      <c r="D3830" t="inlineStr">
        <is>
          <t>PR878.L3 K4 1971</t>
        </is>
      </c>
      <c r="E3830" t="inlineStr">
        <is>
          <t>0                      PR 0878000L  3                  K  4           1971</t>
        </is>
      </c>
      <c r="F3830" t="inlineStr">
        <is>
          <t>The working classes in Victorian fiction [by] P. J. Keating.</t>
        </is>
      </c>
      <c r="H3830" t="inlineStr">
        <is>
          <t>No</t>
        </is>
      </c>
      <c r="I3830" t="inlineStr">
        <is>
          <t>1</t>
        </is>
      </c>
      <c r="J3830" t="inlineStr">
        <is>
          <t>No</t>
        </is>
      </c>
      <c r="K3830" t="inlineStr">
        <is>
          <t>No</t>
        </is>
      </c>
      <c r="L3830" t="inlineStr">
        <is>
          <t>0</t>
        </is>
      </c>
      <c r="M3830" t="inlineStr">
        <is>
          <t>Keating, P. J.</t>
        </is>
      </c>
      <c r="N3830" t="inlineStr">
        <is>
          <t>New York, Barnes &amp; Noble [1971]</t>
        </is>
      </c>
      <c r="O3830" t="inlineStr">
        <is>
          <t>1971</t>
        </is>
      </c>
      <c r="Q3830" t="inlineStr">
        <is>
          <t>eng</t>
        </is>
      </c>
      <c r="R3830" t="inlineStr">
        <is>
          <t>nyu</t>
        </is>
      </c>
      <c r="T3830" t="inlineStr">
        <is>
          <t xml:space="preserve">PR </t>
        </is>
      </c>
      <c r="U3830" t="n">
        <v>2</v>
      </c>
      <c r="V3830" t="n">
        <v>2</v>
      </c>
      <c r="W3830" t="inlineStr">
        <is>
          <t>1992-07-02</t>
        </is>
      </c>
      <c r="X3830" t="inlineStr">
        <is>
          <t>1992-07-02</t>
        </is>
      </c>
      <c r="Y3830" t="inlineStr">
        <is>
          <t>1992-07-02</t>
        </is>
      </c>
      <c r="Z3830" t="inlineStr">
        <is>
          <t>1992-07-02</t>
        </is>
      </c>
      <c r="AA3830" t="n">
        <v>548</v>
      </c>
      <c r="AB3830" t="n">
        <v>521</v>
      </c>
      <c r="AC3830" t="n">
        <v>538</v>
      </c>
      <c r="AD3830" t="n">
        <v>7</v>
      </c>
      <c r="AE3830" t="n">
        <v>7</v>
      </c>
      <c r="AF3830" t="n">
        <v>27</v>
      </c>
      <c r="AG3830" t="n">
        <v>27</v>
      </c>
      <c r="AH3830" t="n">
        <v>8</v>
      </c>
      <c r="AI3830" t="n">
        <v>8</v>
      </c>
      <c r="AJ3830" t="n">
        <v>8</v>
      </c>
      <c r="AK3830" t="n">
        <v>8</v>
      </c>
      <c r="AL3830" t="n">
        <v>14</v>
      </c>
      <c r="AM3830" t="n">
        <v>14</v>
      </c>
      <c r="AN3830" t="n">
        <v>5</v>
      </c>
      <c r="AO3830" t="n">
        <v>5</v>
      </c>
      <c r="AP3830" t="n">
        <v>0</v>
      </c>
      <c r="AQ3830" t="n">
        <v>0</v>
      </c>
      <c r="AR3830" t="inlineStr">
        <is>
          <t>No</t>
        </is>
      </c>
      <c r="AS3830" t="inlineStr">
        <is>
          <t>No</t>
        </is>
      </c>
      <c r="AU3830">
        <f>HYPERLINK("https://creighton-primo.hosted.exlibrisgroup.com/primo-explore/search?tab=default_tab&amp;search_scope=EVERYTHING&amp;vid=01CRU&amp;lang=en_US&amp;offset=0&amp;query=any,contains,991002071379702656","Catalog Record")</f>
        <v/>
      </c>
      <c r="AV3830">
        <f>HYPERLINK("http://www.worldcat.org/oclc/263533","WorldCat Record")</f>
        <v/>
      </c>
      <c r="AW3830" t="inlineStr">
        <is>
          <t>133920453:eng</t>
        </is>
      </c>
      <c r="AX3830" t="inlineStr">
        <is>
          <t>263533</t>
        </is>
      </c>
      <c r="AY3830" t="inlineStr">
        <is>
          <t>991002071379702656</t>
        </is>
      </c>
      <c r="AZ3830" t="inlineStr">
        <is>
          <t>991002071379702656</t>
        </is>
      </c>
      <c r="BA3830" t="inlineStr">
        <is>
          <t>2268716710002656</t>
        </is>
      </c>
      <c r="BB3830" t="inlineStr">
        <is>
          <t>BOOK</t>
        </is>
      </c>
      <c r="BE3830" t="inlineStr">
        <is>
          <t>32285001099695</t>
        </is>
      </c>
      <c r="BF3830" t="inlineStr">
        <is>
          <t>893503990</t>
        </is>
      </c>
    </row>
    <row r="3831">
      <c r="A3831" t="inlineStr">
        <is>
          <t>No</t>
        </is>
      </c>
      <c r="B3831" t="inlineStr">
        <is>
          <t>CURAL</t>
        </is>
      </c>
      <c r="C3831" t="inlineStr">
        <is>
          <t>SHELVES</t>
        </is>
      </c>
      <c r="D3831" t="inlineStr">
        <is>
          <t>PR878.M3 B57 1970</t>
        </is>
      </c>
      <c r="E3831" t="inlineStr">
        <is>
          <t>0                      PR 0878000M  3                  B  57          1970</t>
        </is>
      </c>
      <c r="F3831" t="inlineStr">
        <is>
          <t>Marriage as pattern and metaphor in the Victorian novel / by Wilbur J. Birky.</t>
        </is>
      </c>
      <c r="H3831" t="inlineStr">
        <is>
          <t>No</t>
        </is>
      </c>
      <c r="I3831" t="inlineStr">
        <is>
          <t>1</t>
        </is>
      </c>
      <c r="J3831" t="inlineStr">
        <is>
          <t>No</t>
        </is>
      </c>
      <c r="K3831" t="inlineStr">
        <is>
          <t>No</t>
        </is>
      </c>
      <c r="L3831" t="inlineStr">
        <is>
          <t>0</t>
        </is>
      </c>
      <c r="M3831" t="inlineStr">
        <is>
          <t>Birky, Wilbur Joseph, 1935-</t>
        </is>
      </c>
      <c r="O3831" t="inlineStr">
        <is>
          <t>1971</t>
        </is>
      </c>
      <c r="Q3831" t="inlineStr">
        <is>
          <t>eng</t>
        </is>
      </c>
      <c r="R3831" t="inlineStr">
        <is>
          <t>miu</t>
        </is>
      </c>
      <c r="T3831" t="inlineStr">
        <is>
          <t xml:space="preserve">PR </t>
        </is>
      </c>
      <c r="U3831" t="n">
        <v>4</v>
      </c>
      <c r="V3831" t="n">
        <v>4</v>
      </c>
      <c r="W3831" t="inlineStr">
        <is>
          <t>2003-11-18</t>
        </is>
      </c>
      <c r="X3831" t="inlineStr">
        <is>
          <t>2003-11-18</t>
        </is>
      </c>
      <c r="Y3831" t="inlineStr">
        <is>
          <t>1990-04-24</t>
        </is>
      </c>
      <c r="Z3831" t="inlineStr">
        <is>
          <t>1990-04-24</t>
        </is>
      </c>
      <c r="AA3831" t="n">
        <v>3</v>
      </c>
      <c r="AB3831" t="n">
        <v>3</v>
      </c>
      <c r="AC3831" t="n">
        <v>8</v>
      </c>
      <c r="AD3831" t="n">
        <v>1</v>
      </c>
      <c r="AE3831" t="n">
        <v>1</v>
      </c>
      <c r="AF3831" t="n">
        <v>0</v>
      </c>
      <c r="AG3831" t="n">
        <v>1</v>
      </c>
      <c r="AH3831" t="n">
        <v>0</v>
      </c>
      <c r="AI3831" t="n">
        <v>0</v>
      </c>
      <c r="AJ3831" t="n">
        <v>0</v>
      </c>
      <c r="AK3831" t="n">
        <v>1</v>
      </c>
      <c r="AL3831" t="n">
        <v>0</v>
      </c>
      <c r="AM3831" t="n">
        <v>1</v>
      </c>
      <c r="AN3831" t="n">
        <v>0</v>
      </c>
      <c r="AO3831" t="n">
        <v>0</v>
      </c>
      <c r="AP3831" t="n">
        <v>0</v>
      </c>
      <c r="AQ3831" t="n">
        <v>0</v>
      </c>
      <c r="AR3831" t="inlineStr">
        <is>
          <t>No</t>
        </is>
      </c>
      <c r="AS3831" t="inlineStr">
        <is>
          <t>No</t>
        </is>
      </c>
      <c r="AU3831">
        <f>HYPERLINK("https://creighton-primo.hosted.exlibrisgroup.com/primo-explore/search?tab=default_tab&amp;search_scope=EVERYTHING&amp;vid=01CRU&amp;lang=en_US&amp;offset=0&amp;query=any,contains,991001684799702656","Catalog Record")</f>
        <v/>
      </c>
      <c r="AV3831">
        <f>HYPERLINK("http://www.worldcat.org/oclc/21380651","WorldCat Record")</f>
        <v/>
      </c>
      <c r="AW3831" t="inlineStr">
        <is>
          <t>23336347:eng</t>
        </is>
      </c>
      <c r="AX3831" t="inlineStr">
        <is>
          <t>21380651</t>
        </is>
      </c>
      <c r="AY3831" t="inlineStr">
        <is>
          <t>991001684799702656</t>
        </is>
      </c>
      <c r="AZ3831" t="inlineStr">
        <is>
          <t>991001684799702656</t>
        </is>
      </c>
      <c r="BA3831" t="inlineStr">
        <is>
          <t>2271955960002656</t>
        </is>
      </c>
      <c r="BB3831" t="inlineStr">
        <is>
          <t>BOOK</t>
        </is>
      </c>
      <c r="BE3831" t="inlineStr">
        <is>
          <t>32285000066216</t>
        </is>
      </c>
      <c r="BF3831" t="inlineStr">
        <is>
          <t>893250394</t>
        </is>
      </c>
    </row>
    <row r="3832">
      <c r="A3832" t="inlineStr">
        <is>
          <t>No</t>
        </is>
      </c>
      <c r="B3832" t="inlineStr">
        <is>
          <t>CURAL</t>
        </is>
      </c>
      <c r="C3832" t="inlineStr">
        <is>
          <t>SHELVES</t>
        </is>
      </c>
      <c r="D3832" t="inlineStr">
        <is>
          <t>PR878.M36 T76 2000</t>
        </is>
      </c>
      <c r="E3832" t="inlineStr">
        <is>
          <t>0                      PR 0878000M  36                 T  76          2000</t>
        </is>
      </c>
      <c r="F3832" t="inlineStr">
        <is>
          <t>The private rod : marital violence, sensation, and the law in Victorian Britain / Marlene Tromp.</t>
        </is>
      </c>
      <c r="H3832" t="inlineStr">
        <is>
          <t>No</t>
        </is>
      </c>
      <c r="I3832" t="inlineStr">
        <is>
          <t>1</t>
        </is>
      </c>
      <c r="J3832" t="inlineStr">
        <is>
          <t>No</t>
        </is>
      </c>
      <c r="K3832" t="inlineStr">
        <is>
          <t>No</t>
        </is>
      </c>
      <c r="L3832" t="inlineStr">
        <is>
          <t>0</t>
        </is>
      </c>
      <c r="M3832" t="inlineStr">
        <is>
          <t>Tromp, Marlene, 1966-</t>
        </is>
      </c>
      <c r="N3832" t="inlineStr">
        <is>
          <t>Charlottesville : University Press of Virginia, 2000.</t>
        </is>
      </c>
      <c r="O3832" t="inlineStr">
        <is>
          <t>2000</t>
        </is>
      </c>
      <c r="Q3832" t="inlineStr">
        <is>
          <t>eng</t>
        </is>
      </c>
      <c r="R3832" t="inlineStr">
        <is>
          <t>vau</t>
        </is>
      </c>
      <c r="S3832" t="inlineStr">
        <is>
          <t>Victorian literature and culture series</t>
        </is>
      </c>
      <c r="T3832" t="inlineStr">
        <is>
          <t xml:space="preserve">PR </t>
        </is>
      </c>
      <c r="U3832" t="n">
        <v>1</v>
      </c>
      <c r="V3832" t="n">
        <v>1</v>
      </c>
      <c r="W3832" t="inlineStr">
        <is>
          <t>2001-10-23</t>
        </is>
      </c>
      <c r="X3832" t="inlineStr">
        <is>
          <t>2001-10-23</t>
        </is>
      </c>
      <c r="Y3832" t="inlineStr">
        <is>
          <t>2001-10-23</t>
        </is>
      </c>
      <c r="Z3832" t="inlineStr">
        <is>
          <t>2001-10-23</t>
        </is>
      </c>
      <c r="AA3832" t="n">
        <v>396</v>
      </c>
      <c r="AB3832" t="n">
        <v>316</v>
      </c>
      <c r="AC3832" t="n">
        <v>316</v>
      </c>
      <c r="AD3832" t="n">
        <v>3</v>
      </c>
      <c r="AE3832" t="n">
        <v>3</v>
      </c>
      <c r="AF3832" t="n">
        <v>20</v>
      </c>
      <c r="AG3832" t="n">
        <v>20</v>
      </c>
      <c r="AH3832" t="n">
        <v>6</v>
      </c>
      <c r="AI3832" t="n">
        <v>6</v>
      </c>
      <c r="AJ3832" t="n">
        <v>6</v>
      </c>
      <c r="AK3832" t="n">
        <v>6</v>
      </c>
      <c r="AL3832" t="n">
        <v>10</v>
      </c>
      <c r="AM3832" t="n">
        <v>10</v>
      </c>
      <c r="AN3832" t="n">
        <v>2</v>
      </c>
      <c r="AO3832" t="n">
        <v>2</v>
      </c>
      <c r="AP3832" t="n">
        <v>2</v>
      </c>
      <c r="AQ3832" t="n">
        <v>2</v>
      </c>
      <c r="AR3832" t="inlineStr">
        <is>
          <t>No</t>
        </is>
      </c>
      <c r="AS3832" t="inlineStr">
        <is>
          <t>No</t>
        </is>
      </c>
      <c r="AU3832">
        <f>HYPERLINK("https://creighton-primo.hosted.exlibrisgroup.com/primo-explore/search?tab=default_tab&amp;search_scope=EVERYTHING&amp;vid=01CRU&amp;lang=en_US&amp;offset=0&amp;query=any,contains,991003636789702656","Catalog Record")</f>
        <v/>
      </c>
      <c r="AV3832">
        <f>HYPERLINK("http://www.worldcat.org/oclc/43567397","WorldCat Record")</f>
        <v/>
      </c>
      <c r="AW3832" t="inlineStr">
        <is>
          <t>837079939:eng</t>
        </is>
      </c>
      <c r="AX3832" t="inlineStr">
        <is>
          <t>43567397</t>
        </is>
      </c>
      <c r="AY3832" t="inlineStr">
        <is>
          <t>991003636789702656</t>
        </is>
      </c>
      <c r="AZ3832" t="inlineStr">
        <is>
          <t>991003636789702656</t>
        </is>
      </c>
      <c r="BA3832" t="inlineStr">
        <is>
          <t>2261961290002656</t>
        </is>
      </c>
      <c r="BB3832" t="inlineStr">
        <is>
          <t>BOOK</t>
        </is>
      </c>
      <c r="BD3832" t="inlineStr">
        <is>
          <t>9780813919492</t>
        </is>
      </c>
      <c r="BE3832" t="inlineStr">
        <is>
          <t>32285004399449</t>
        </is>
      </c>
      <c r="BF3832" t="inlineStr">
        <is>
          <t>893352963</t>
        </is>
      </c>
    </row>
    <row r="3833">
      <c r="A3833" t="inlineStr">
        <is>
          <t>No</t>
        </is>
      </c>
      <c r="B3833" t="inlineStr">
        <is>
          <t>CURAL</t>
        </is>
      </c>
      <c r="C3833" t="inlineStr">
        <is>
          <t>SHELVES</t>
        </is>
      </c>
      <c r="D3833" t="inlineStr">
        <is>
          <t>PR878.M67 C37 1981</t>
        </is>
      </c>
      <c r="E3833" t="inlineStr">
        <is>
          <t>0                      PR 0878000M  67                 C  37          1981</t>
        </is>
      </c>
      <c r="F3833" t="inlineStr">
        <is>
          <t>The sense of an audience : Dickens, Thackeray, and George Eliot at mid-century / Janice Carlisle.</t>
        </is>
      </c>
      <c r="H3833" t="inlineStr">
        <is>
          <t>No</t>
        </is>
      </c>
      <c r="I3833" t="inlineStr">
        <is>
          <t>1</t>
        </is>
      </c>
      <c r="J3833" t="inlineStr">
        <is>
          <t>No</t>
        </is>
      </c>
      <c r="K3833" t="inlineStr">
        <is>
          <t>No</t>
        </is>
      </c>
      <c r="L3833" t="inlineStr">
        <is>
          <t>0</t>
        </is>
      </c>
      <c r="M3833" t="inlineStr">
        <is>
          <t>Carlisle, Janice.</t>
        </is>
      </c>
      <c r="N3833" t="inlineStr">
        <is>
          <t>Athens : University of Georgia Press, c1981.</t>
        </is>
      </c>
      <c r="O3833" t="inlineStr">
        <is>
          <t>1981</t>
        </is>
      </c>
      <c r="Q3833" t="inlineStr">
        <is>
          <t>eng</t>
        </is>
      </c>
      <c r="R3833" t="inlineStr">
        <is>
          <t>gau</t>
        </is>
      </c>
      <c r="T3833" t="inlineStr">
        <is>
          <t xml:space="preserve">PR </t>
        </is>
      </c>
      <c r="U3833" t="n">
        <v>4</v>
      </c>
      <c r="V3833" t="n">
        <v>4</v>
      </c>
      <c r="W3833" t="inlineStr">
        <is>
          <t>1997-12-10</t>
        </is>
      </c>
      <c r="X3833" t="inlineStr">
        <is>
          <t>1997-12-10</t>
        </is>
      </c>
      <c r="Y3833" t="inlineStr">
        <is>
          <t>1991-09-12</t>
        </is>
      </c>
      <c r="Z3833" t="inlineStr">
        <is>
          <t>1991-09-12</t>
        </is>
      </c>
      <c r="AA3833" t="n">
        <v>548</v>
      </c>
      <c r="AB3833" t="n">
        <v>471</v>
      </c>
      <c r="AC3833" t="n">
        <v>492</v>
      </c>
      <c r="AD3833" t="n">
        <v>4</v>
      </c>
      <c r="AE3833" t="n">
        <v>4</v>
      </c>
      <c r="AF3833" t="n">
        <v>28</v>
      </c>
      <c r="AG3833" t="n">
        <v>29</v>
      </c>
      <c r="AH3833" t="n">
        <v>11</v>
      </c>
      <c r="AI3833" t="n">
        <v>11</v>
      </c>
      <c r="AJ3833" t="n">
        <v>7</v>
      </c>
      <c r="AK3833" t="n">
        <v>7</v>
      </c>
      <c r="AL3833" t="n">
        <v>15</v>
      </c>
      <c r="AM3833" t="n">
        <v>16</v>
      </c>
      <c r="AN3833" t="n">
        <v>3</v>
      </c>
      <c r="AO3833" t="n">
        <v>3</v>
      </c>
      <c r="AP3833" t="n">
        <v>0</v>
      </c>
      <c r="AQ3833" t="n">
        <v>0</v>
      </c>
      <c r="AR3833" t="inlineStr">
        <is>
          <t>No</t>
        </is>
      </c>
      <c r="AS3833" t="inlineStr">
        <is>
          <t>No</t>
        </is>
      </c>
      <c r="AU3833">
        <f>HYPERLINK("https://creighton-primo.hosted.exlibrisgroup.com/primo-explore/search?tab=default_tab&amp;search_scope=EVERYTHING&amp;vid=01CRU&amp;lang=en_US&amp;offset=0&amp;query=any,contains,991005088019702656","Catalog Record")</f>
        <v/>
      </c>
      <c r="AV3833">
        <f>HYPERLINK("http://www.worldcat.org/oclc/7197768","WorldCat Record")</f>
        <v/>
      </c>
      <c r="AW3833" t="inlineStr">
        <is>
          <t>484895:eng</t>
        </is>
      </c>
      <c r="AX3833" t="inlineStr">
        <is>
          <t>7197768</t>
        </is>
      </c>
      <c r="AY3833" t="inlineStr">
        <is>
          <t>991005088019702656</t>
        </is>
      </c>
      <c r="AZ3833" t="inlineStr">
        <is>
          <t>991005088019702656</t>
        </is>
      </c>
      <c r="BA3833" t="inlineStr">
        <is>
          <t>2256829620002656</t>
        </is>
      </c>
      <c r="BB3833" t="inlineStr">
        <is>
          <t>BOOK</t>
        </is>
      </c>
      <c r="BE3833" t="inlineStr">
        <is>
          <t>32285000757491</t>
        </is>
      </c>
      <c r="BF3833" t="inlineStr">
        <is>
          <t>893606807</t>
        </is>
      </c>
    </row>
    <row r="3834">
      <c r="A3834" t="inlineStr">
        <is>
          <t>No</t>
        </is>
      </c>
      <c r="B3834" t="inlineStr">
        <is>
          <t>CURAL</t>
        </is>
      </c>
      <c r="C3834" t="inlineStr">
        <is>
          <t>SHELVES</t>
        </is>
      </c>
      <c r="D3834" t="inlineStr">
        <is>
          <t>PR878.M69 M35 1997</t>
        </is>
      </c>
      <c r="E3834" t="inlineStr">
        <is>
          <t>0                      PR 0878000M  69                 M  35          1997</t>
        </is>
      </c>
      <c r="F3834" t="inlineStr">
        <is>
          <t>Suffering mothers in mid-Victorian novels / by Natalie J. McKnight.</t>
        </is>
      </c>
      <c r="H3834" t="inlineStr">
        <is>
          <t>No</t>
        </is>
      </c>
      <c r="I3834" t="inlineStr">
        <is>
          <t>1</t>
        </is>
      </c>
      <c r="J3834" t="inlineStr">
        <is>
          <t>No</t>
        </is>
      </c>
      <c r="K3834" t="inlineStr">
        <is>
          <t>No</t>
        </is>
      </c>
      <c r="L3834" t="inlineStr">
        <is>
          <t>0</t>
        </is>
      </c>
      <c r="M3834" t="inlineStr">
        <is>
          <t>McKnight, Natalie.</t>
        </is>
      </c>
      <c r="N3834" t="inlineStr">
        <is>
          <t>New York : St. Martin's Press, 1997.</t>
        </is>
      </c>
      <c r="O3834" t="inlineStr">
        <is>
          <t>1997</t>
        </is>
      </c>
      <c r="P3834" t="inlineStr">
        <is>
          <t>1st ed.</t>
        </is>
      </c>
      <c r="Q3834" t="inlineStr">
        <is>
          <t>eng</t>
        </is>
      </c>
      <c r="R3834" t="inlineStr">
        <is>
          <t>nyu</t>
        </is>
      </c>
      <c r="T3834" t="inlineStr">
        <is>
          <t xml:space="preserve">PR </t>
        </is>
      </c>
      <c r="U3834" t="n">
        <v>3</v>
      </c>
      <c r="V3834" t="n">
        <v>3</v>
      </c>
      <c r="W3834" t="inlineStr">
        <is>
          <t>2007-06-12</t>
        </is>
      </c>
      <c r="X3834" t="inlineStr">
        <is>
          <t>2007-06-12</t>
        </is>
      </c>
      <c r="Y3834" t="inlineStr">
        <is>
          <t>2000-11-30</t>
        </is>
      </c>
      <c r="Z3834" t="inlineStr">
        <is>
          <t>2000-11-30</t>
        </is>
      </c>
      <c r="AA3834" t="n">
        <v>316</v>
      </c>
      <c r="AB3834" t="n">
        <v>276</v>
      </c>
      <c r="AC3834" t="n">
        <v>283</v>
      </c>
      <c r="AD3834" t="n">
        <v>3</v>
      </c>
      <c r="AE3834" t="n">
        <v>3</v>
      </c>
      <c r="AF3834" t="n">
        <v>15</v>
      </c>
      <c r="AG3834" t="n">
        <v>15</v>
      </c>
      <c r="AH3834" t="n">
        <v>2</v>
      </c>
      <c r="AI3834" t="n">
        <v>2</v>
      </c>
      <c r="AJ3834" t="n">
        <v>5</v>
      </c>
      <c r="AK3834" t="n">
        <v>5</v>
      </c>
      <c r="AL3834" t="n">
        <v>10</v>
      </c>
      <c r="AM3834" t="n">
        <v>10</v>
      </c>
      <c r="AN3834" t="n">
        <v>2</v>
      </c>
      <c r="AO3834" t="n">
        <v>2</v>
      </c>
      <c r="AP3834" t="n">
        <v>0</v>
      </c>
      <c r="AQ3834" t="n">
        <v>0</v>
      </c>
      <c r="AR3834" t="inlineStr">
        <is>
          <t>No</t>
        </is>
      </c>
      <c r="AS3834" t="inlineStr">
        <is>
          <t>No</t>
        </is>
      </c>
      <c r="AU3834">
        <f>HYPERLINK("https://creighton-primo.hosted.exlibrisgroup.com/primo-explore/search?tab=default_tab&amp;search_scope=EVERYTHING&amp;vid=01CRU&amp;lang=en_US&amp;offset=0&amp;query=any,contains,991003306429702656","Catalog Record")</f>
        <v/>
      </c>
      <c r="AV3834">
        <f>HYPERLINK("http://www.worldcat.org/oclc/35249488","WorldCat Record")</f>
        <v/>
      </c>
      <c r="AW3834" t="inlineStr">
        <is>
          <t>1001644:eng</t>
        </is>
      </c>
      <c r="AX3834" t="inlineStr">
        <is>
          <t>35249488</t>
        </is>
      </c>
      <c r="AY3834" t="inlineStr">
        <is>
          <t>991003306429702656</t>
        </is>
      </c>
      <c r="AZ3834" t="inlineStr">
        <is>
          <t>991003306429702656</t>
        </is>
      </c>
      <c r="BA3834" t="inlineStr">
        <is>
          <t>2256911040002656</t>
        </is>
      </c>
      <c r="BB3834" t="inlineStr">
        <is>
          <t>BOOK</t>
        </is>
      </c>
      <c r="BD3834" t="inlineStr">
        <is>
          <t>9780312122959</t>
        </is>
      </c>
      <c r="BE3834" t="inlineStr">
        <is>
          <t>32285004268396</t>
        </is>
      </c>
      <c r="BF3834" t="inlineStr">
        <is>
          <t>893422427</t>
        </is>
      </c>
    </row>
    <row r="3835">
      <c r="A3835" t="inlineStr">
        <is>
          <t>No</t>
        </is>
      </c>
      <c r="B3835" t="inlineStr">
        <is>
          <t>CURAL</t>
        </is>
      </c>
      <c r="C3835" t="inlineStr">
        <is>
          <t>SHELVES</t>
        </is>
      </c>
      <c r="D3835" t="inlineStr">
        <is>
          <t>PR878.M69 T49 1997</t>
        </is>
      </c>
      <c r="E3835" t="inlineStr">
        <is>
          <t>0                      PR 0878000M  69                 T  49          1997</t>
        </is>
      </c>
      <c r="F3835" t="inlineStr">
        <is>
          <t>The maternal voice in Victorian fiction : rewriting the patriarchal family / by Barbara Z. Thaden.</t>
        </is>
      </c>
      <c r="H3835" t="inlineStr">
        <is>
          <t>No</t>
        </is>
      </c>
      <c r="I3835" t="inlineStr">
        <is>
          <t>1</t>
        </is>
      </c>
      <c r="J3835" t="inlineStr">
        <is>
          <t>No</t>
        </is>
      </c>
      <c r="K3835" t="inlineStr">
        <is>
          <t>No</t>
        </is>
      </c>
      <c r="L3835" t="inlineStr">
        <is>
          <t>0</t>
        </is>
      </c>
      <c r="M3835" t="inlineStr">
        <is>
          <t>Thaden, Barbara, 1955-</t>
        </is>
      </c>
      <c r="N3835" t="inlineStr">
        <is>
          <t>New York : Garland Pub., 1997.</t>
        </is>
      </c>
      <c r="O3835" t="inlineStr">
        <is>
          <t>1997</t>
        </is>
      </c>
      <c r="Q3835" t="inlineStr">
        <is>
          <t>eng</t>
        </is>
      </c>
      <c r="R3835" t="inlineStr">
        <is>
          <t>nyu</t>
        </is>
      </c>
      <c r="S3835" t="inlineStr">
        <is>
          <t>Garland reference library of the humanities ; v. 2053</t>
        </is>
      </c>
      <c r="T3835" t="inlineStr">
        <is>
          <t xml:space="preserve">PR </t>
        </is>
      </c>
      <c r="U3835" t="n">
        <v>7</v>
      </c>
      <c r="V3835" t="n">
        <v>7</v>
      </c>
      <c r="W3835" t="inlineStr">
        <is>
          <t>2007-06-12</t>
        </is>
      </c>
      <c r="X3835" t="inlineStr">
        <is>
          <t>2007-06-12</t>
        </is>
      </c>
      <c r="Y3835" t="inlineStr">
        <is>
          <t>1999-03-24</t>
        </is>
      </c>
      <c r="Z3835" t="inlineStr">
        <is>
          <t>1999-03-24</t>
        </is>
      </c>
      <c r="AA3835" t="n">
        <v>269</v>
      </c>
      <c r="AB3835" t="n">
        <v>200</v>
      </c>
      <c r="AC3835" t="n">
        <v>221</v>
      </c>
      <c r="AD3835" t="n">
        <v>3</v>
      </c>
      <c r="AE3835" t="n">
        <v>3</v>
      </c>
      <c r="AF3835" t="n">
        <v>16</v>
      </c>
      <c r="AG3835" t="n">
        <v>16</v>
      </c>
      <c r="AH3835" t="n">
        <v>4</v>
      </c>
      <c r="AI3835" t="n">
        <v>4</v>
      </c>
      <c r="AJ3835" t="n">
        <v>6</v>
      </c>
      <c r="AK3835" t="n">
        <v>6</v>
      </c>
      <c r="AL3835" t="n">
        <v>7</v>
      </c>
      <c r="AM3835" t="n">
        <v>7</v>
      </c>
      <c r="AN3835" t="n">
        <v>2</v>
      </c>
      <c r="AO3835" t="n">
        <v>2</v>
      </c>
      <c r="AP3835" t="n">
        <v>0</v>
      </c>
      <c r="AQ3835" t="n">
        <v>0</v>
      </c>
      <c r="AR3835" t="inlineStr">
        <is>
          <t>No</t>
        </is>
      </c>
      <c r="AS3835" t="inlineStr">
        <is>
          <t>No</t>
        </is>
      </c>
      <c r="AU3835">
        <f>HYPERLINK("https://creighton-primo.hosted.exlibrisgroup.com/primo-explore/search?tab=default_tab&amp;search_scope=EVERYTHING&amp;vid=01CRU&amp;lang=en_US&amp;offset=0&amp;query=any,contains,991002789889702656","Catalog Record")</f>
        <v/>
      </c>
      <c r="AV3835">
        <f>HYPERLINK("http://www.worldcat.org/oclc/36647904","WorldCat Record")</f>
        <v/>
      </c>
      <c r="AW3835" t="inlineStr">
        <is>
          <t>623799:eng</t>
        </is>
      </c>
      <c r="AX3835" t="inlineStr">
        <is>
          <t>36647904</t>
        </is>
      </c>
      <c r="AY3835" t="inlineStr">
        <is>
          <t>991002789889702656</t>
        </is>
      </c>
      <c r="AZ3835" t="inlineStr">
        <is>
          <t>991002789889702656</t>
        </is>
      </c>
      <c r="BA3835" t="inlineStr">
        <is>
          <t>2264412480002656</t>
        </is>
      </c>
      <c r="BB3835" t="inlineStr">
        <is>
          <t>BOOK</t>
        </is>
      </c>
      <c r="BD3835" t="inlineStr">
        <is>
          <t>9780815327776</t>
        </is>
      </c>
      <c r="BE3835" t="inlineStr">
        <is>
          <t>32285003545828</t>
        </is>
      </c>
      <c r="BF3835" t="inlineStr">
        <is>
          <t>893428018</t>
        </is>
      </c>
    </row>
    <row r="3836">
      <c r="A3836" t="inlineStr">
        <is>
          <t>No</t>
        </is>
      </c>
      <c r="B3836" t="inlineStr">
        <is>
          <t>CURAL</t>
        </is>
      </c>
      <c r="C3836" t="inlineStr">
        <is>
          <t>SHELVES</t>
        </is>
      </c>
      <c r="D3836" t="inlineStr">
        <is>
          <t>PR878.O46 C37 2004</t>
        </is>
      </c>
      <c r="E3836" t="inlineStr">
        <is>
          <t>0                      PR 0878000O  46                 C  37          2004</t>
        </is>
      </c>
      <c r="F3836" t="inlineStr">
        <is>
          <t>Common scents : comparative encounters in high-Victorian fiction / Janice Carlisle.</t>
        </is>
      </c>
      <c r="H3836" t="inlineStr">
        <is>
          <t>No</t>
        </is>
      </c>
      <c r="I3836" t="inlineStr">
        <is>
          <t>1</t>
        </is>
      </c>
      <c r="J3836" t="inlineStr">
        <is>
          <t>No</t>
        </is>
      </c>
      <c r="K3836" t="inlineStr">
        <is>
          <t>No</t>
        </is>
      </c>
      <c r="L3836" t="inlineStr">
        <is>
          <t>0</t>
        </is>
      </c>
      <c r="M3836" t="inlineStr">
        <is>
          <t>Carlisle, Janice.</t>
        </is>
      </c>
      <c r="N3836" t="inlineStr">
        <is>
          <t>Oxford ; New York : Oxford University Press, 2004.</t>
        </is>
      </c>
      <c r="O3836" t="inlineStr">
        <is>
          <t>2004</t>
        </is>
      </c>
      <c r="Q3836" t="inlineStr">
        <is>
          <t>eng</t>
        </is>
      </c>
      <c r="R3836" t="inlineStr">
        <is>
          <t>enk</t>
        </is>
      </c>
      <c r="T3836" t="inlineStr">
        <is>
          <t xml:space="preserve">PR </t>
        </is>
      </c>
      <c r="U3836" t="n">
        <v>1</v>
      </c>
      <c r="V3836" t="n">
        <v>1</v>
      </c>
      <c r="W3836" t="inlineStr">
        <is>
          <t>2005-04-21</t>
        </is>
      </c>
      <c r="X3836" t="inlineStr">
        <is>
          <t>2005-04-21</t>
        </is>
      </c>
      <c r="Y3836" t="inlineStr">
        <is>
          <t>2005-04-21</t>
        </is>
      </c>
      <c r="Z3836" t="inlineStr">
        <is>
          <t>2005-04-21</t>
        </is>
      </c>
      <c r="AA3836" t="n">
        <v>339</v>
      </c>
      <c r="AB3836" t="n">
        <v>269</v>
      </c>
      <c r="AC3836" t="n">
        <v>992</v>
      </c>
      <c r="AD3836" t="n">
        <v>4</v>
      </c>
      <c r="AE3836" t="n">
        <v>32</v>
      </c>
      <c r="AF3836" t="n">
        <v>16</v>
      </c>
      <c r="AG3836" t="n">
        <v>44</v>
      </c>
      <c r="AH3836" t="n">
        <v>6</v>
      </c>
      <c r="AI3836" t="n">
        <v>15</v>
      </c>
      <c r="AJ3836" t="n">
        <v>4</v>
      </c>
      <c r="AK3836" t="n">
        <v>10</v>
      </c>
      <c r="AL3836" t="n">
        <v>8</v>
      </c>
      <c r="AM3836" t="n">
        <v>13</v>
      </c>
      <c r="AN3836" t="n">
        <v>3</v>
      </c>
      <c r="AO3836" t="n">
        <v>13</v>
      </c>
      <c r="AP3836" t="n">
        <v>0</v>
      </c>
      <c r="AQ3836" t="n">
        <v>1</v>
      </c>
      <c r="AR3836" t="inlineStr">
        <is>
          <t>No</t>
        </is>
      </c>
      <c r="AS3836" t="inlineStr">
        <is>
          <t>No</t>
        </is>
      </c>
      <c r="AU3836">
        <f>HYPERLINK("https://creighton-primo.hosted.exlibrisgroup.com/primo-explore/search?tab=default_tab&amp;search_scope=EVERYTHING&amp;vid=01CRU&amp;lang=en_US&amp;offset=0&amp;query=any,contains,991004515549702656","Catalog Record")</f>
        <v/>
      </c>
      <c r="AV3836">
        <f>HYPERLINK("http://www.worldcat.org/oclc/51855395","WorldCat Record")</f>
        <v/>
      </c>
      <c r="AW3836" t="inlineStr">
        <is>
          <t>4925222979:eng</t>
        </is>
      </c>
      <c r="AX3836" t="inlineStr">
        <is>
          <t>51855395</t>
        </is>
      </c>
      <c r="AY3836" t="inlineStr">
        <is>
          <t>991004515549702656</t>
        </is>
      </c>
      <c r="AZ3836" t="inlineStr">
        <is>
          <t>991004515549702656</t>
        </is>
      </c>
      <c r="BA3836" t="inlineStr">
        <is>
          <t>2272748180002656</t>
        </is>
      </c>
      <c r="BB3836" t="inlineStr">
        <is>
          <t>BOOK</t>
        </is>
      </c>
      <c r="BD3836" t="inlineStr">
        <is>
          <t>9780195165098</t>
        </is>
      </c>
      <c r="BE3836" t="inlineStr">
        <is>
          <t>32285005032692</t>
        </is>
      </c>
      <c r="BF3836" t="inlineStr">
        <is>
          <t>893532476</t>
        </is>
      </c>
    </row>
    <row r="3837">
      <c r="A3837" t="inlineStr">
        <is>
          <t>No</t>
        </is>
      </c>
      <c r="B3837" t="inlineStr">
        <is>
          <t>CURAL</t>
        </is>
      </c>
      <c r="C3837" t="inlineStr">
        <is>
          <t>SHELVES</t>
        </is>
      </c>
      <c r="D3837" t="inlineStr">
        <is>
          <t>PR878.P75 C46 1984</t>
        </is>
      </c>
      <c r="E3837" t="inlineStr">
        <is>
          <t>0                      PR 0878000P  75                 C  46          1984</t>
        </is>
      </c>
      <c r="F3837" t="inlineStr">
        <is>
          <t>Eros &amp; psyche : the representation of personality in Charlotte Brontë, Charles Dickens, and George Eliot / Karen Chase.</t>
        </is>
      </c>
      <c r="H3837" t="inlineStr">
        <is>
          <t>No</t>
        </is>
      </c>
      <c r="I3837" t="inlineStr">
        <is>
          <t>1</t>
        </is>
      </c>
      <c r="J3837" t="inlineStr">
        <is>
          <t>No</t>
        </is>
      </c>
      <c r="K3837" t="inlineStr">
        <is>
          <t>No</t>
        </is>
      </c>
      <c r="L3837" t="inlineStr">
        <is>
          <t>0</t>
        </is>
      </c>
      <c r="M3837" t="inlineStr">
        <is>
          <t>Chase, Karen, 1952-</t>
        </is>
      </c>
      <c r="N3837" t="inlineStr">
        <is>
          <t>New York : Methuen, 1984.</t>
        </is>
      </c>
      <c r="O3837" t="inlineStr">
        <is>
          <t>1984</t>
        </is>
      </c>
      <c r="Q3837" t="inlineStr">
        <is>
          <t>eng</t>
        </is>
      </c>
      <c r="R3837" t="inlineStr">
        <is>
          <t>nyu</t>
        </is>
      </c>
      <c r="T3837" t="inlineStr">
        <is>
          <t xml:space="preserve">PR </t>
        </is>
      </c>
      <c r="U3837" t="n">
        <v>7</v>
      </c>
      <c r="V3837" t="n">
        <v>7</v>
      </c>
      <c r="W3837" t="inlineStr">
        <is>
          <t>2003-11-03</t>
        </is>
      </c>
      <c r="X3837" t="inlineStr">
        <is>
          <t>2003-11-03</t>
        </is>
      </c>
      <c r="Y3837" t="inlineStr">
        <is>
          <t>1991-09-12</t>
        </is>
      </c>
      <c r="Z3837" t="inlineStr">
        <is>
          <t>1991-09-12</t>
        </is>
      </c>
      <c r="AA3837" t="n">
        <v>526</v>
      </c>
      <c r="AB3837" t="n">
        <v>384</v>
      </c>
      <c r="AC3837" t="n">
        <v>427</v>
      </c>
      <c r="AD3837" t="n">
        <v>3</v>
      </c>
      <c r="AE3837" t="n">
        <v>3</v>
      </c>
      <c r="AF3837" t="n">
        <v>21</v>
      </c>
      <c r="AG3837" t="n">
        <v>21</v>
      </c>
      <c r="AH3837" t="n">
        <v>7</v>
      </c>
      <c r="AI3837" t="n">
        <v>7</v>
      </c>
      <c r="AJ3837" t="n">
        <v>5</v>
      </c>
      <c r="AK3837" t="n">
        <v>5</v>
      </c>
      <c r="AL3837" t="n">
        <v>13</v>
      </c>
      <c r="AM3837" t="n">
        <v>13</v>
      </c>
      <c r="AN3837" t="n">
        <v>2</v>
      </c>
      <c r="AO3837" t="n">
        <v>2</v>
      </c>
      <c r="AP3837" t="n">
        <v>0</v>
      </c>
      <c r="AQ3837" t="n">
        <v>0</v>
      </c>
      <c r="AR3837" t="inlineStr">
        <is>
          <t>No</t>
        </is>
      </c>
      <c r="AS3837" t="inlineStr">
        <is>
          <t>No</t>
        </is>
      </c>
      <c r="AU3837">
        <f>HYPERLINK("https://creighton-primo.hosted.exlibrisgroup.com/primo-explore/search?tab=default_tab&amp;search_scope=EVERYTHING&amp;vid=01CRU&amp;lang=en_US&amp;offset=0&amp;query=any,contains,991000365489702656","Catalog Record")</f>
        <v/>
      </c>
      <c r="AV3837">
        <f>HYPERLINK("http://www.worldcat.org/oclc/10402661","WorldCat Record")</f>
        <v/>
      </c>
      <c r="AW3837" t="inlineStr">
        <is>
          <t>836654665:eng</t>
        </is>
      </c>
      <c r="AX3837" t="inlineStr">
        <is>
          <t>10402661</t>
        </is>
      </c>
      <c r="AY3837" t="inlineStr">
        <is>
          <t>991000365489702656</t>
        </is>
      </c>
      <c r="AZ3837" t="inlineStr">
        <is>
          <t>991000365489702656</t>
        </is>
      </c>
      <c r="BA3837" t="inlineStr">
        <is>
          <t>2269355890002656</t>
        </is>
      </c>
      <c r="BB3837" t="inlineStr">
        <is>
          <t>BOOK</t>
        </is>
      </c>
      <c r="BD3837" t="inlineStr">
        <is>
          <t>9780416365207</t>
        </is>
      </c>
      <c r="BE3837" t="inlineStr">
        <is>
          <t>32285000757533</t>
        </is>
      </c>
      <c r="BF3837" t="inlineStr">
        <is>
          <t>893327228</t>
        </is>
      </c>
    </row>
    <row r="3838">
      <c r="A3838" t="inlineStr">
        <is>
          <t>No</t>
        </is>
      </c>
      <c r="B3838" t="inlineStr">
        <is>
          <t>CURAL</t>
        </is>
      </c>
      <c r="C3838" t="inlineStr">
        <is>
          <t>SHELVES</t>
        </is>
      </c>
      <c r="D3838" t="inlineStr">
        <is>
          <t>PR878.P78 L39 2000</t>
        </is>
      </c>
      <c r="E3838" t="inlineStr">
        <is>
          <t>0                      PR 0878000P  78                 L  39          2000</t>
        </is>
      </c>
      <c r="F3838" t="inlineStr">
        <is>
          <t>Serializing fiction in the Victorian press / Graham Law.</t>
        </is>
      </c>
      <c r="H3838" t="inlineStr">
        <is>
          <t>No</t>
        </is>
      </c>
      <c r="I3838" t="inlineStr">
        <is>
          <t>1</t>
        </is>
      </c>
      <c r="J3838" t="inlineStr">
        <is>
          <t>No</t>
        </is>
      </c>
      <c r="K3838" t="inlineStr">
        <is>
          <t>No</t>
        </is>
      </c>
      <c r="L3838" t="inlineStr">
        <is>
          <t>0</t>
        </is>
      </c>
      <c r="M3838" t="inlineStr">
        <is>
          <t>Law, Graham.</t>
        </is>
      </c>
      <c r="N3838" t="inlineStr">
        <is>
          <t>Houndsmill, Basingstoke, Hampshire ; New York : Palgrave, 2000.</t>
        </is>
      </c>
      <c r="O3838" t="inlineStr">
        <is>
          <t>2000</t>
        </is>
      </c>
      <c r="Q3838" t="inlineStr">
        <is>
          <t>eng</t>
        </is>
      </c>
      <c r="R3838" t="inlineStr">
        <is>
          <t>enk</t>
        </is>
      </c>
      <c r="T3838" t="inlineStr">
        <is>
          <t xml:space="preserve">PR </t>
        </is>
      </c>
      <c r="U3838" t="n">
        <v>1</v>
      </c>
      <c r="V3838" t="n">
        <v>1</v>
      </c>
      <c r="W3838" t="inlineStr">
        <is>
          <t>2002-11-11</t>
        </is>
      </c>
      <c r="X3838" t="inlineStr">
        <is>
          <t>2002-11-11</t>
        </is>
      </c>
      <c r="Y3838" t="inlineStr">
        <is>
          <t>2002-11-11</t>
        </is>
      </c>
      <c r="Z3838" t="inlineStr">
        <is>
          <t>2002-11-11</t>
        </is>
      </c>
      <c r="AA3838" t="n">
        <v>402</v>
      </c>
      <c r="AB3838" t="n">
        <v>309</v>
      </c>
      <c r="AC3838" t="n">
        <v>340</v>
      </c>
      <c r="AD3838" t="n">
        <v>3</v>
      </c>
      <c r="AE3838" t="n">
        <v>3</v>
      </c>
      <c r="AF3838" t="n">
        <v>17</v>
      </c>
      <c r="AG3838" t="n">
        <v>17</v>
      </c>
      <c r="AH3838" t="n">
        <v>3</v>
      </c>
      <c r="AI3838" t="n">
        <v>3</v>
      </c>
      <c r="AJ3838" t="n">
        <v>7</v>
      </c>
      <c r="AK3838" t="n">
        <v>7</v>
      </c>
      <c r="AL3838" t="n">
        <v>9</v>
      </c>
      <c r="AM3838" t="n">
        <v>9</v>
      </c>
      <c r="AN3838" t="n">
        <v>2</v>
      </c>
      <c r="AO3838" t="n">
        <v>2</v>
      </c>
      <c r="AP3838" t="n">
        <v>0</v>
      </c>
      <c r="AQ3838" t="n">
        <v>0</v>
      </c>
      <c r="AR3838" t="inlineStr">
        <is>
          <t>No</t>
        </is>
      </c>
      <c r="AS3838" t="inlineStr">
        <is>
          <t>No</t>
        </is>
      </c>
      <c r="AU3838">
        <f>HYPERLINK("https://creighton-primo.hosted.exlibrisgroup.com/primo-explore/search?tab=default_tab&amp;search_scope=EVERYTHING&amp;vid=01CRU&amp;lang=en_US&amp;offset=0&amp;query=any,contains,991003920669702656","Catalog Record")</f>
        <v/>
      </c>
      <c r="AV3838">
        <f>HYPERLINK("http://www.worldcat.org/oclc/44026360","WorldCat Record")</f>
        <v/>
      </c>
      <c r="AW3838" t="inlineStr">
        <is>
          <t>44062:eng</t>
        </is>
      </c>
      <c r="AX3838" t="inlineStr">
        <is>
          <t>44026360</t>
        </is>
      </c>
      <c r="AY3838" t="inlineStr">
        <is>
          <t>991003920669702656</t>
        </is>
      </c>
      <c r="AZ3838" t="inlineStr">
        <is>
          <t>991003920669702656</t>
        </is>
      </c>
      <c r="BA3838" t="inlineStr">
        <is>
          <t>2266963180002656</t>
        </is>
      </c>
      <c r="BB3838" t="inlineStr">
        <is>
          <t>BOOK</t>
        </is>
      </c>
      <c r="BD3838" t="inlineStr">
        <is>
          <t>9780312235741</t>
        </is>
      </c>
      <c r="BE3838" t="inlineStr">
        <is>
          <t>32285004662705</t>
        </is>
      </c>
      <c r="BF3838" t="inlineStr">
        <is>
          <t>893794264</t>
        </is>
      </c>
    </row>
    <row r="3839">
      <c r="A3839" t="inlineStr">
        <is>
          <t>No</t>
        </is>
      </c>
      <c r="B3839" t="inlineStr">
        <is>
          <t>CURAL</t>
        </is>
      </c>
      <c r="C3839" t="inlineStr">
        <is>
          <t>SHELVES</t>
        </is>
      </c>
      <c r="D3839" t="inlineStr">
        <is>
          <t>PR878.P78 S9</t>
        </is>
      </c>
      <c r="E3839" t="inlineStr">
        <is>
          <t>0                      PR 0878000P  78                 S  9</t>
        </is>
      </c>
      <c r="F3839" t="inlineStr">
        <is>
          <t>Victorian novelists and publishers / J. A. Sutherland.</t>
        </is>
      </c>
      <c r="H3839" t="inlineStr">
        <is>
          <t>No</t>
        </is>
      </c>
      <c r="I3839" t="inlineStr">
        <is>
          <t>1</t>
        </is>
      </c>
      <c r="J3839" t="inlineStr">
        <is>
          <t>No</t>
        </is>
      </c>
      <c r="K3839" t="inlineStr">
        <is>
          <t>No</t>
        </is>
      </c>
      <c r="L3839" t="inlineStr">
        <is>
          <t>0</t>
        </is>
      </c>
      <c r="M3839" t="inlineStr">
        <is>
          <t>Sutherland, John, 1938-</t>
        </is>
      </c>
      <c r="N3839" t="inlineStr">
        <is>
          <t>Chicago : University of Chicago Press, 1976.</t>
        </is>
      </c>
      <c r="O3839" t="inlineStr">
        <is>
          <t>1976</t>
        </is>
      </c>
      <c r="Q3839" t="inlineStr">
        <is>
          <t>eng</t>
        </is>
      </c>
      <c r="R3839" t="inlineStr">
        <is>
          <t>ilu</t>
        </is>
      </c>
      <c r="T3839" t="inlineStr">
        <is>
          <t xml:space="preserve">PR </t>
        </is>
      </c>
      <c r="U3839" t="n">
        <v>3</v>
      </c>
      <c r="V3839" t="n">
        <v>3</v>
      </c>
      <c r="W3839" t="inlineStr">
        <is>
          <t>1999-12-04</t>
        </is>
      </c>
      <c r="X3839" t="inlineStr">
        <is>
          <t>1999-12-04</t>
        </is>
      </c>
      <c r="Y3839" t="inlineStr">
        <is>
          <t>1997-09-16</t>
        </is>
      </c>
      <c r="Z3839" t="inlineStr">
        <is>
          <t>1997-09-16</t>
        </is>
      </c>
      <c r="AA3839" t="n">
        <v>765</v>
      </c>
      <c r="AB3839" t="n">
        <v>689</v>
      </c>
      <c r="AC3839" t="n">
        <v>816</v>
      </c>
      <c r="AD3839" t="n">
        <v>6</v>
      </c>
      <c r="AE3839" t="n">
        <v>6</v>
      </c>
      <c r="AF3839" t="n">
        <v>40</v>
      </c>
      <c r="AG3839" t="n">
        <v>44</v>
      </c>
      <c r="AH3839" t="n">
        <v>17</v>
      </c>
      <c r="AI3839" t="n">
        <v>20</v>
      </c>
      <c r="AJ3839" t="n">
        <v>9</v>
      </c>
      <c r="AK3839" t="n">
        <v>9</v>
      </c>
      <c r="AL3839" t="n">
        <v>19</v>
      </c>
      <c r="AM3839" t="n">
        <v>20</v>
      </c>
      <c r="AN3839" t="n">
        <v>5</v>
      </c>
      <c r="AO3839" t="n">
        <v>5</v>
      </c>
      <c r="AP3839" t="n">
        <v>0</v>
      </c>
      <c r="AQ3839" t="n">
        <v>1</v>
      </c>
      <c r="AR3839" t="inlineStr">
        <is>
          <t>No</t>
        </is>
      </c>
      <c r="AS3839" t="inlineStr">
        <is>
          <t>No</t>
        </is>
      </c>
      <c r="AU3839">
        <f>HYPERLINK("https://creighton-primo.hosted.exlibrisgroup.com/primo-explore/search?tab=default_tab&amp;search_scope=EVERYTHING&amp;vid=01CRU&amp;lang=en_US&amp;offset=0&amp;query=any,contains,991004011779702656","Catalog Record")</f>
        <v/>
      </c>
      <c r="AV3839">
        <f>HYPERLINK("http://www.worldcat.org/oclc/2091652","WorldCat Record")</f>
        <v/>
      </c>
      <c r="AW3839" t="inlineStr">
        <is>
          <t>4188014:eng</t>
        </is>
      </c>
      <c r="AX3839" t="inlineStr">
        <is>
          <t>2091652</t>
        </is>
      </c>
      <c r="AY3839" t="inlineStr">
        <is>
          <t>991004011779702656</t>
        </is>
      </c>
      <c r="AZ3839" t="inlineStr">
        <is>
          <t>991004011779702656</t>
        </is>
      </c>
      <c r="BA3839" t="inlineStr">
        <is>
          <t>2269303690002656</t>
        </is>
      </c>
      <c r="BB3839" t="inlineStr">
        <is>
          <t>BOOK</t>
        </is>
      </c>
      <c r="BD3839" t="inlineStr">
        <is>
          <t>9780226780610</t>
        </is>
      </c>
      <c r="BE3839" t="inlineStr">
        <is>
          <t>32285003216867</t>
        </is>
      </c>
      <c r="BF3839" t="inlineStr">
        <is>
          <t>893417116</t>
        </is>
      </c>
    </row>
    <row r="3840">
      <c r="A3840" t="inlineStr">
        <is>
          <t>No</t>
        </is>
      </c>
      <c r="B3840" t="inlineStr">
        <is>
          <t>CURAL</t>
        </is>
      </c>
      <c r="C3840" t="inlineStr">
        <is>
          <t>SHELVES</t>
        </is>
      </c>
      <c r="D3840" t="inlineStr">
        <is>
          <t>PR878.R4 A76 1999</t>
        </is>
      </c>
      <c r="E3840" t="inlineStr">
        <is>
          <t>0                      PR 0878000R  4                  A  76          1999</t>
        </is>
      </c>
      <c r="F3840" t="inlineStr">
        <is>
          <t>Fiction in the age of photography : the legacy of British realism / Nancy Armstrong.</t>
        </is>
      </c>
      <c r="H3840" t="inlineStr">
        <is>
          <t>No</t>
        </is>
      </c>
      <c r="I3840" t="inlineStr">
        <is>
          <t>1</t>
        </is>
      </c>
      <c r="J3840" t="inlineStr">
        <is>
          <t>No</t>
        </is>
      </c>
      <c r="K3840" t="inlineStr">
        <is>
          <t>No</t>
        </is>
      </c>
      <c r="L3840" t="inlineStr">
        <is>
          <t>0</t>
        </is>
      </c>
      <c r="M3840" t="inlineStr">
        <is>
          <t>Armstrong, Nancy.</t>
        </is>
      </c>
      <c r="N3840" t="inlineStr">
        <is>
          <t>Cambridge, Mass. : Harvard University Press, 1999.</t>
        </is>
      </c>
      <c r="O3840" t="inlineStr">
        <is>
          <t>1999</t>
        </is>
      </c>
      <c r="Q3840" t="inlineStr">
        <is>
          <t>eng</t>
        </is>
      </c>
      <c r="R3840" t="inlineStr">
        <is>
          <t>mau</t>
        </is>
      </c>
      <c r="T3840" t="inlineStr">
        <is>
          <t xml:space="preserve">PR </t>
        </is>
      </c>
      <c r="U3840" t="n">
        <v>1</v>
      </c>
      <c r="V3840" t="n">
        <v>1</v>
      </c>
      <c r="W3840" t="inlineStr">
        <is>
          <t>2001-01-08</t>
        </is>
      </c>
      <c r="X3840" t="inlineStr">
        <is>
          <t>2001-01-08</t>
        </is>
      </c>
      <c r="Y3840" t="inlineStr">
        <is>
          <t>2001-01-08</t>
        </is>
      </c>
      <c r="Z3840" t="inlineStr">
        <is>
          <t>2001-01-08</t>
        </is>
      </c>
      <c r="AA3840" t="n">
        <v>683</v>
      </c>
      <c r="AB3840" t="n">
        <v>533</v>
      </c>
      <c r="AC3840" t="n">
        <v>557</v>
      </c>
      <c r="AD3840" t="n">
        <v>5</v>
      </c>
      <c r="AE3840" t="n">
        <v>5</v>
      </c>
      <c r="AF3840" t="n">
        <v>33</v>
      </c>
      <c r="AG3840" t="n">
        <v>35</v>
      </c>
      <c r="AH3840" t="n">
        <v>13</v>
      </c>
      <c r="AI3840" t="n">
        <v>14</v>
      </c>
      <c r="AJ3840" t="n">
        <v>8</v>
      </c>
      <c r="AK3840" t="n">
        <v>8</v>
      </c>
      <c r="AL3840" t="n">
        <v>15</v>
      </c>
      <c r="AM3840" t="n">
        <v>16</v>
      </c>
      <c r="AN3840" t="n">
        <v>4</v>
      </c>
      <c r="AO3840" t="n">
        <v>4</v>
      </c>
      <c r="AP3840" t="n">
        <v>0</v>
      </c>
      <c r="AQ3840" t="n">
        <v>0</v>
      </c>
      <c r="AR3840" t="inlineStr">
        <is>
          <t>No</t>
        </is>
      </c>
      <c r="AS3840" t="inlineStr">
        <is>
          <t>Yes</t>
        </is>
      </c>
      <c r="AT3840">
        <f>HYPERLINK("http://catalog.hathitrust.org/Record/004073143","HathiTrust Record")</f>
        <v/>
      </c>
      <c r="AU3840">
        <f>HYPERLINK("https://creighton-primo.hosted.exlibrisgroup.com/primo-explore/search?tab=default_tab&amp;search_scope=EVERYTHING&amp;vid=01CRU&amp;lang=en_US&amp;offset=0&amp;query=any,contains,991003323779702656","Catalog Record")</f>
        <v/>
      </c>
      <c r="AV3840">
        <f>HYPERLINK("http://www.worldcat.org/oclc/41565217","WorldCat Record")</f>
        <v/>
      </c>
      <c r="AW3840" t="inlineStr">
        <is>
          <t>836987456:eng</t>
        </is>
      </c>
      <c r="AX3840" t="inlineStr">
        <is>
          <t>41565217</t>
        </is>
      </c>
      <c r="AY3840" t="inlineStr">
        <is>
          <t>991003323779702656</t>
        </is>
      </c>
      <c r="AZ3840" t="inlineStr">
        <is>
          <t>991003323779702656</t>
        </is>
      </c>
      <c r="BA3840" t="inlineStr">
        <is>
          <t>2269467740002656</t>
        </is>
      </c>
      <c r="BB3840" t="inlineStr">
        <is>
          <t>BOOK</t>
        </is>
      </c>
      <c r="BD3840" t="inlineStr">
        <is>
          <t>9780674299306</t>
        </is>
      </c>
      <c r="BE3840" t="inlineStr">
        <is>
          <t>32285004280870</t>
        </is>
      </c>
      <c r="BF3840" t="inlineStr">
        <is>
          <t>893874658</t>
        </is>
      </c>
    </row>
    <row r="3841">
      <c r="A3841" t="inlineStr">
        <is>
          <t>No</t>
        </is>
      </c>
      <c r="B3841" t="inlineStr">
        <is>
          <t>CURAL</t>
        </is>
      </c>
      <c r="C3841" t="inlineStr">
        <is>
          <t>SHELVES</t>
        </is>
      </c>
      <c r="D3841" t="inlineStr">
        <is>
          <t>PR878.R73 S7</t>
        </is>
      </c>
      <c r="E3841" t="inlineStr">
        <is>
          <t>0                      PR 0878000R  73                 S  7</t>
        </is>
      </c>
      <c r="F3841" t="inlineStr">
        <is>
          <t>The romantic impulse in Victorian fiction / Donald D. Stone.</t>
        </is>
      </c>
      <c r="H3841" t="inlineStr">
        <is>
          <t>No</t>
        </is>
      </c>
      <c r="I3841" t="inlineStr">
        <is>
          <t>1</t>
        </is>
      </c>
      <c r="J3841" t="inlineStr">
        <is>
          <t>No</t>
        </is>
      </c>
      <c r="K3841" t="inlineStr">
        <is>
          <t>No</t>
        </is>
      </c>
      <c r="L3841" t="inlineStr">
        <is>
          <t>0</t>
        </is>
      </c>
      <c r="M3841" t="inlineStr">
        <is>
          <t>Stone, Donald David.</t>
        </is>
      </c>
      <c r="N3841" t="inlineStr">
        <is>
          <t>Cambridge : Harvard University Press, 1980.</t>
        </is>
      </c>
      <c r="O3841" t="inlineStr">
        <is>
          <t>1980</t>
        </is>
      </c>
      <c r="Q3841" t="inlineStr">
        <is>
          <t>eng</t>
        </is>
      </c>
      <c r="R3841" t="inlineStr">
        <is>
          <t>mau</t>
        </is>
      </c>
      <c r="T3841" t="inlineStr">
        <is>
          <t xml:space="preserve">PR </t>
        </is>
      </c>
      <c r="U3841" t="n">
        <v>2</v>
      </c>
      <c r="V3841" t="n">
        <v>2</v>
      </c>
      <c r="W3841" t="inlineStr">
        <is>
          <t>1993-08-19</t>
        </is>
      </c>
      <c r="X3841" t="inlineStr">
        <is>
          <t>1993-08-19</t>
        </is>
      </c>
      <c r="Y3841" t="inlineStr">
        <is>
          <t>1991-09-12</t>
        </is>
      </c>
      <c r="Z3841" t="inlineStr">
        <is>
          <t>1991-09-12</t>
        </is>
      </c>
      <c r="AA3841" t="n">
        <v>799</v>
      </c>
      <c r="AB3841" t="n">
        <v>635</v>
      </c>
      <c r="AC3841" t="n">
        <v>646</v>
      </c>
      <c r="AD3841" t="n">
        <v>6</v>
      </c>
      <c r="AE3841" t="n">
        <v>6</v>
      </c>
      <c r="AF3841" t="n">
        <v>30</v>
      </c>
      <c r="AG3841" t="n">
        <v>30</v>
      </c>
      <c r="AH3841" t="n">
        <v>9</v>
      </c>
      <c r="AI3841" t="n">
        <v>9</v>
      </c>
      <c r="AJ3841" t="n">
        <v>8</v>
      </c>
      <c r="AK3841" t="n">
        <v>8</v>
      </c>
      <c r="AL3841" t="n">
        <v>14</v>
      </c>
      <c r="AM3841" t="n">
        <v>14</v>
      </c>
      <c r="AN3841" t="n">
        <v>5</v>
      </c>
      <c r="AO3841" t="n">
        <v>5</v>
      </c>
      <c r="AP3841" t="n">
        <v>0</v>
      </c>
      <c r="AQ3841" t="n">
        <v>0</v>
      </c>
      <c r="AR3841" t="inlineStr">
        <is>
          <t>No</t>
        </is>
      </c>
      <c r="AS3841" t="inlineStr">
        <is>
          <t>Yes</t>
        </is>
      </c>
      <c r="AT3841">
        <f>HYPERLINK("http://catalog.hathitrust.org/Record/000744852","HathiTrust Record")</f>
        <v/>
      </c>
      <c r="AU3841">
        <f>HYPERLINK("https://creighton-primo.hosted.exlibrisgroup.com/primo-explore/search?tab=default_tab&amp;search_scope=EVERYTHING&amp;vid=01CRU&amp;lang=en_US&amp;offset=0&amp;query=any,contains,991004902689702656","Catalog Record")</f>
        <v/>
      </c>
      <c r="AV3841">
        <f>HYPERLINK("http://www.worldcat.org/oclc/5941822","WorldCat Record")</f>
        <v/>
      </c>
      <c r="AW3841" t="inlineStr">
        <is>
          <t>430435:eng</t>
        </is>
      </c>
      <c r="AX3841" t="inlineStr">
        <is>
          <t>5941822</t>
        </is>
      </c>
      <c r="AY3841" t="inlineStr">
        <is>
          <t>991004902689702656</t>
        </is>
      </c>
      <c r="AZ3841" t="inlineStr">
        <is>
          <t>991004902689702656</t>
        </is>
      </c>
      <c r="BA3841" t="inlineStr">
        <is>
          <t>2270278230002656</t>
        </is>
      </c>
      <c r="BB3841" t="inlineStr">
        <is>
          <t>BOOK</t>
        </is>
      </c>
      <c r="BD3841" t="inlineStr">
        <is>
          <t>9780674779327</t>
        </is>
      </c>
      <c r="BE3841" t="inlineStr">
        <is>
          <t>32285000757558</t>
        </is>
      </c>
      <c r="BF3841" t="inlineStr">
        <is>
          <t>893526633</t>
        </is>
      </c>
    </row>
    <row r="3842">
      <c r="A3842" t="inlineStr">
        <is>
          <t>No</t>
        </is>
      </c>
      <c r="B3842" t="inlineStr">
        <is>
          <t>CURAL</t>
        </is>
      </c>
      <c r="C3842" t="inlineStr">
        <is>
          <t>SHELVES</t>
        </is>
      </c>
      <c r="D3842" t="inlineStr">
        <is>
          <t>PR878.S34 L4 1988</t>
        </is>
      </c>
      <c r="E3842" t="inlineStr">
        <is>
          <t>0                      PR 0878000S  34                 L  4           1988</t>
        </is>
      </c>
      <c r="F3842" t="inlineStr">
        <is>
          <t>Darwin and the novelists : patterns of science in Victorian fiction / George Levine.</t>
        </is>
      </c>
      <c r="H3842" t="inlineStr">
        <is>
          <t>No</t>
        </is>
      </c>
      <c r="I3842" t="inlineStr">
        <is>
          <t>1</t>
        </is>
      </c>
      <c r="J3842" t="inlineStr">
        <is>
          <t>No</t>
        </is>
      </c>
      <c r="K3842" t="inlineStr">
        <is>
          <t>No</t>
        </is>
      </c>
      <c r="L3842" t="inlineStr">
        <is>
          <t>0</t>
        </is>
      </c>
      <c r="M3842" t="inlineStr">
        <is>
          <t>Levine, George, 1931-</t>
        </is>
      </c>
      <c r="N3842" t="inlineStr">
        <is>
          <t>Cambridge, Mass. : Harvard University Press, 1988.</t>
        </is>
      </c>
      <c r="O3842" t="inlineStr">
        <is>
          <t>1988</t>
        </is>
      </c>
      <c r="Q3842" t="inlineStr">
        <is>
          <t>eng</t>
        </is>
      </c>
      <c r="R3842" t="inlineStr">
        <is>
          <t>mau</t>
        </is>
      </c>
      <c r="T3842" t="inlineStr">
        <is>
          <t xml:space="preserve">PR </t>
        </is>
      </c>
      <c r="U3842" t="n">
        <v>3</v>
      </c>
      <c r="V3842" t="n">
        <v>3</v>
      </c>
      <c r="W3842" t="inlineStr">
        <is>
          <t>2004-04-02</t>
        </is>
      </c>
      <c r="X3842" t="inlineStr">
        <is>
          <t>2004-04-02</t>
        </is>
      </c>
      <c r="Y3842" t="inlineStr">
        <is>
          <t>1991-09-12</t>
        </is>
      </c>
      <c r="Z3842" t="inlineStr">
        <is>
          <t>1991-09-12</t>
        </is>
      </c>
      <c r="AA3842" t="n">
        <v>900</v>
      </c>
      <c r="AB3842" t="n">
        <v>749</v>
      </c>
      <c r="AC3842" t="n">
        <v>938</v>
      </c>
      <c r="AD3842" t="n">
        <v>9</v>
      </c>
      <c r="AE3842" t="n">
        <v>9</v>
      </c>
      <c r="AF3842" t="n">
        <v>39</v>
      </c>
      <c r="AG3842" t="n">
        <v>48</v>
      </c>
      <c r="AH3842" t="n">
        <v>13</v>
      </c>
      <c r="AI3842" t="n">
        <v>20</v>
      </c>
      <c r="AJ3842" t="n">
        <v>8</v>
      </c>
      <c r="AK3842" t="n">
        <v>10</v>
      </c>
      <c r="AL3842" t="n">
        <v>18</v>
      </c>
      <c r="AM3842" t="n">
        <v>20</v>
      </c>
      <c r="AN3842" t="n">
        <v>8</v>
      </c>
      <c r="AO3842" t="n">
        <v>8</v>
      </c>
      <c r="AP3842" t="n">
        <v>0</v>
      </c>
      <c r="AQ3842" t="n">
        <v>0</v>
      </c>
      <c r="AR3842" t="inlineStr">
        <is>
          <t>No</t>
        </is>
      </c>
      <c r="AS3842" t="inlineStr">
        <is>
          <t>No</t>
        </is>
      </c>
      <c r="AU3842">
        <f>HYPERLINK("https://creighton-primo.hosted.exlibrisgroup.com/primo-explore/search?tab=default_tab&amp;search_scope=EVERYTHING&amp;vid=01CRU&amp;lang=en_US&amp;offset=0&amp;query=any,contains,991001220229702656","Catalog Record")</f>
        <v/>
      </c>
      <c r="AV3842">
        <f>HYPERLINK("http://www.worldcat.org/oclc/17443669","WorldCat Record")</f>
        <v/>
      </c>
      <c r="AW3842" t="inlineStr">
        <is>
          <t>2679214:eng</t>
        </is>
      </c>
      <c r="AX3842" t="inlineStr">
        <is>
          <t>17443669</t>
        </is>
      </c>
      <c r="AY3842" t="inlineStr">
        <is>
          <t>991001220229702656</t>
        </is>
      </c>
      <c r="AZ3842" t="inlineStr">
        <is>
          <t>991001220229702656</t>
        </is>
      </c>
      <c r="BA3842" t="inlineStr">
        <is>
          <t>2261293520002656</t>
        </is>
      </c>
      <c r="BB3842" t="inlineStr">
        <is>
          <t>BOOK</t>
        </is>
      </c>
      <c r="BD3842" t="inlineStr">
        <is>
          <t>9780674192850</t>
        </is>
      </c>
      <c r="BE3842" t="inlineStr">
        <is>
          <t>32285000757566</t>
        </is>
      </c>
      <c r="BF3842" t="inlineStr">
        <is>
          <t>893621166</t>
        </is>
      </c>
    </row>
    <row r="3843">
      <c r="A3843" t="inlineStr">
        <is>
          <t>No</t>
        </is>
      </c>
      <c r="B3843" t="inlineStr">
        <is>
          <t>CURAL</t>
        </is>
      </c>
      <c r="C3843" t="inlineStr">
        <is>
          <t>SHELVES</t>
        </is>
      </c>
      <c r="D3843" t="inlineStr">
        <is>
          <t>PR878.S44 W96 2001</t>
        </is>
      </c>
      <c r="E3843" t="inlineStr">
        <is>
          <t>0                      PR 0878000S  44                 W  96          2001</t>
        </is>
      </c>
      <c r="F3843" t="inlineStr">
        <is>
          <t>The sensation novel and the Victorian family magazine / Deborah Wynne.</t>
        </is>
      </c>
      <c r="H3843" t="inlineStr">
        <is>
          <t>No</t>
        </is>
      </c>
      <c r="I3843" t="inlineStr">
        <is>
          <t>1</t>
        </is>
      </c>
      <c r="J3843" t="inlineStr">
        <is>
          <t>No</t>
        </is>
      </c>
      <c r="K3843" t="inlineStr">
        <is>
          <t>No</t>
        </is>
      </c>
      <c r="L3843" t="inlineStr">
        <is>
          <t>0</t>
        </is>
      </c>
      <c r="M3843" t="inlineStr">
        <is>
          <t>Wynne, Deborah, 1963-</t>
        </is>
      </c>
      <c r="N3843" t="inlineStr">
        <is>
          <t>Houndsmill, Hampshire ; New York : Palgrave, 2001.</t>
        </is>
      </c>
      <c r="O3843" t="inlineStr">
        <is>
          <t>2001</t>
        </is>
      </c>
      <c r="Q3843" t="inlineStr">
        <is>
          <t>eng</t>
        </is>
      </c>
      <c r="R3843" t="inlineStr">
        <is>
          <t>enk</t>
        </is>
      </c>
      <c r="T3843" t="inlineStr">
        <is>
          <t xml:space="preserve">PR </t>
        </is>
      </c>
      <c r="U3843" t="n">
        <v>2</v>
      </c>
      <c r="V3843" t="n">
        <v>2</v>
      </c>
      <c r="W3843" t="inlineStr">
        <is>
          <t>2006-05-22</t>
        </is>
      </c>
      <c r="X3843" t="inlineStr">
        <is>
          <t>2006-05-22</t>
        </is>
      </c>
      <c r="Y3843" t="inlineStr">
        <is>
          <t>2002-03-19</t>
        </is>
      </c>
      <c r="Z3843" t="inlineStr">
        <is>
          <t>2002-03-19</t>
        </is>
      </c>
      <c r="AA3843" t="n">
        <v>384</v>
      </c>
      <c r="AB3843" t="n">
        <v>269</v>
      </c>
      <c r="AC3843" t="n">
        <v>290</v>
      </c>
      <c r="AD3843" t="n">
        <v>1</v>
      </c>
      <c r="AE3843" t="n">
        <v>1</v>
      </c>
      <c r="AF3843" t="n">
        <v>16</v>
      </c>
      <c r="AG3843" t="n">
        <v>16</v>
      </c>
      <c r="AH3843" t="n">
        <v>5</v>
      </c>
      <c r="AI3843" t="n">
        <v>5</v>
      </c>
      <c r="AJ3843" t="n">
        <v>7</v>
      </c>
      <c r="AK3843" t="n">
        <v>7</v>
      </c>
      <c r="AL3843" t="n">
        <v>8</v>
      </c>
      <c r="AM3843" t="n">
        <v>8</v>
      </c>
      <c r="AN3843" t="n">
        <v>0</v>
      </c>
      <c r="AO3843" t="n">
        <v>0</v>
      </c>
      <c r="AP3843" t="n">
        <v>0</v>
      </c>
      <c r="AQ3843" t="n">
        <v>0</v>
      </c>
      <c r="AR3843" t="inlineStr">
        <is>
          <t>No</t>
        </is>
      </c>
      <c r="AS3843" t="inlineStr">
        <is>
          <t>No</t>
        </is>
      </c>
      <c r="AU3843">
        <f>HYPERLINK("https://creighton-primo.hosted.exlibrisgroup.com/primo-explore/search?tab=default_tab&amp;search_scope=EVERYTHING&amp;vid=01CRU&amp;lang=en_US&amp;offset=0&amp;query=any,contains,991003733649702656","Catalog Record")</f>
        <v/>
      </c>
      <c r="AV3843">
        <f>HYPERLINK("http://www.worldcat.org/oclc/45661709","WorldCat Record")</f>
        <v/>
      </c>
      <c r="AW3843" t="inlineStr">
        <is>
          <t>35274210:eng</t>
        </is>
      </c>
      <c r="AX3843" t="inlineStr">
        <is>
          <t>45661709</t>
        </is>
      </c>
      <c r="AY3843" t="inlineStr">
        <is>
          <t>991003733649702656</t>
        </is>
      </c>
      <c r="AZ3843" t="inlineStr">
        <is>
          <t>991003733649702656</t>
        </is>
      </c>
      <c r="BA3843" t="inlineStr">
        <is>
          <t>2267853490002656</t>
        </is>
      </c>
      <c r="BB3843" t="inlineStr">
        <is>
          <t>BOOK</t>
        </is>
      </c>
      <c r="BD3843" t="inlineStr">
        <is>
          <t>9780333776667</t>
        </is>
      </c>
      <c r="BE3843" t="inlineStr">
        <is>
          <t>32285004462312</t>
        </is>
      </c>
      <c r="BF3843" t="inlineStr">
        <is>
          <t>893262893</t>
        </is>
      </c>
    </row>
    <row r="3844">
      <c r="A3844" t="inlineStr">
        <is>
          <t>No</t>
        </is>
      </c>
      <c r="B3844" t="inlineStr">
        <is>
          <t>CURAL</t>
        </is>
      </c>
      <c r="C3844" t="inlineStr">
        <is>
          <t>SHELVES</t>
        </is>
      </c>
      <c r="D3844" t="inlineStr">
        <is>
          <t>PR878.S6 D3</t>
        </is>
      </c>
      <c r="E3844" t="inlineStr">
        <is>
          <t>0                      PR 0878000S  6                  D  3</t>
        </is>
      </c>
      <c r="F3844" t="inlineStr">
        <is>
          <t>Fictions of resolution in three Victorian novels : North and South, Our mutual friend, Daniel Deronda / Deirdre David.</t>
        </is>
      </c>
      <c r="H3844" t="inlineStr">
        <is>
          <t>No</t>
        </is>
      </c>
      <c r="I3844" t="inlineStr">
        <is>
          <t>1</t>
        </is>
      </c>
      <c r="J3844" t="inlineStr">
        <is>
          <t>No</t>
        </is>
      </c>
      <c r="K3844" t="inlineStr">
        <is>
          <t>No</t>
        </is>
      </c>
      <c r="L3844" t="inlineStr">
        <is>
          <t>0</t>
        </is>
      </c>
      <c r="M3844" t="inlineStr">
        <is>
          <t>David, Deirdre, 1934-</t>
        </is>
      </c>
      <c r="N3844" t="inlineStr">
        <is>
          <t>New York : Columbia University Press, 1981.</t>
        </is>
      </c>
      <c r="O3844" t="inlineStr">
        <is>
          <t>1981</t>
        </is>
      </c>
      <c r="Q3844" t="inlineStr">
        <is>
          <t>eng</t>
        </is>
      </c>
      <c r="R3844" t="inlineStr">
        <is>
          <t>nyu</t>
        </is>
      </c>
      <c r="T3844" t="inlineStr">
        <is>
          <t xml:space="preserve">PR </t>
        </is>
      </c>
      <c r="U3844" t="n">
        <v>2</v>
      </c>
      <c r="V3844" t="n">
        <v>2</v>
      </c>
      <c r="W3844" t="inlineStr">
        <is>
          <t>1992-06-23</t>
        </is>
      </c>
      <c r="X3844" t="inlineStr">
        <is>
          <t>1992-06-23</t>
        </is>
      </c>
      <c r="Y3844" t="inlineStr">
        <is>
          <t>1992-06-23</t>
        </is>
      </c>
      <c r="Z3844" t="inlineStr">
        <is>
          <t>1992-06-23</t>
        </is>
      </c>
      <c r="AA3844" t="n">
        <v>391</v>
      </c>
      <c r="AB3844" t="n">
        <v>324</v>
      </c>
      <c r="AC3844" t="n">
        <v>356</v>
      </c>
      <c r="AD3844" t="n">
        <v>2</v>
      </c>
      <c r="AE3844" t="n">
        <v>3</v>
      </c>
      <c r="AF3844" t="n">
        <v>16</v>
      </c>
      <c r="AG3844" t="n">
        <v>17</v>
      </c>
      <c r="AH3844" t="n">
        <v>5</v>
      </c>
      <c r="AI3844" t="n">
        <v>5</v>
      </c>
      <c r="AJ3844" t="n">
        <v>4</v>
      </c>
      <c r="AK3844" t="n">
        <v>4</v>
      </c>
      <c r="AL3844" t="n">
        <v>10</v>
      </c>
      <c r="AM3844" t="n">
        <v>10</v>
      </c>
      <c r="AN3844" t="n">
        <v>1</v>
      </c>
      <c r="AO3844" t="n">
        <v>2</v>
      </c>
      <c r="AP3844" t="n">
        <v>0</v>
      </c>
      <c r="AQ3844" t="n">
        <v>0</v>
      </c>
      <c r="AR3844" t="inlineStr">
        <is>
          <t>No</t>
        </is>
      </c>
      <c r="AS3844" t="inlineStr">
        <is>
          <t>No</t>
        </is>
      </c>
      <c r="AU3844">
        <f>HYPERLINK("https://creighton-primo.hosted.exlibrisgroup.com/primo-explore/search?tab=default_tab&amp;search_scope=EVERYTHING&amp;vid=01CRU&amp;lang=en_US&amp;offset=0&amp;query=any,contains,991004960799702656","Catalog Record")</f>
        <v/>
      </c>
      <c r="AV3844">
        <f>HYPERLINK("http://www.worldcat.org/oclc/6304852","WorldCat Record")</f>
        <v/>
      </c>
      <c r="AW3844" t="inlineStr">
        <is>
          <t>35618179:eng</t>
        </is>
      </c>
      <c r="AX3844" t="inlineStr">
        <is>
          <t>6304852</t>
        </is>
      </c>
      <c r="AY3844" t="inlineStr">
        <is>
          <t>991004960799702656</t>
        </is>
      </c>
      <c r="AZ3844" t="inlineStr">
        <is>
          <t>991004960799702656</t>
        </is>
      </c>
      <c r="BA3844" t="inlineStr">
        <is>
          <t>2259276240002656</t>
        </is>
      </c>
      <c r="BB3844" t="inlineStr">
        <is>
          <t>BOOK</t>
        </is>
      </c>
      <c r="BD3844" t="inlineStr">
        <is>
          <t>9780231049801</t>
        </is>
      </c>
      <c r="BE3844" t="inlineStr">
        <is>
          <t>32285001133700</t>
        </is>
      </c>
      <c r="BF3844" t="inlineStr">
        <is>
          <t>893526708</t>
        </is>
      </c>
    </row>
    <row r="3845">
      <c r="A3845" t="inlineStr">
        <is>
          <t>No</t>
        </is>
      </c>
      <c r="B3845" t="inlineStr">
        <is>
          <t>CURAL</t>
        </is>
      </c>
      <c r="C3845" t="inlineStr">
        <is>
          <t>SHELVES</t>
        </is>
      </c>
      <c r="D3845" t="inlineStr">
        <is>
          <t>PR878.S6 F3</t>
        </is>
      </c>
      <c r="E3845" t="inlineStr">
        <is>
          <t>0                      PR 0878000S  6                  F  3</t>
        </is>
      </c>
      <c r="F3845" t="inlineStr">
        <is>
          <t>Proper stations : class in Victorian fiction.</t>
        </is>
      </c>
      <c r="H3845" t="inlineStr">
        <is>
          <t>No</t>
        </is>
      </c>
      <c r="I3845" t="inlineStr">
        <is>
          <t>1</t>
        </is>
      </c>
      <c r="J3845" t="inlineStr">
        <is>
          <t>No</t>
        </is>
      </c>
      <c r="K3845" t="inlineStr">
        <is>
          <t>No</t>
        </is>
      </c>
      <c r="L3845" t="inlineStr">
        <is>
          <t>0</t>
        </is>
      </c>
      <c r="M3845" t="inlineStr">
        <is>
          <t>Faber, Richard, 1924-2007.</t>
        </is>
      </c>
      <c r="N3845" t="inlineStr">
        <is>
          <t>London : Faber and Faber Ltd., 1971.</t>
        </is>
      </c>
      <c r="O3845" t="inlineStr">
        <is>
          <t>1971</t>
        </is>
      </c>
      <c r="Q3845" t="inlineStr">
        <is>
          <t>eng</t>
        </is>
      </c>
      <c r="R3845" t="inlineStr">
        <is>
          <t>enk</t>
        </is>
      </c>
      <c r="T3845" t="inlineStr">
        <is>
          <t xml:space="preserve">PR </t>
        </is>
      </c>
      <c r="U3845" t="n">
        <v>1</v>
      </c>
      <c r="V3845" t="n">
        <v>1</v>
      </c>
      <c r="W3845" t="inlineStr">
        <is>
          <t>1996-12-02</t>
        </is>
      </c>
      <c r="X3845" t="inlineStr">
        <is>
          <t>1996-12-02</t>
        </is>
      </c>
      <c r="Y3845" t="inlineStr">
        <is>
          <t>1992-07-03</t>
        </is>
      </c>
      <c r="Z3845" t="inlineStr">
        <is>
          <t>1992-07-03</t>
        </is>
      </c>
      <c r="AA3845" t="n">
        <v>415</v>
      </c>
      <c r="AB3845" t="n">
        <v>224</v>
      </c>
      <c r="AC3845" t="n">
        <v>229</v>
      </c>
      <c r="AD3845" t="n">
        <v>2</v>
      </c>
      <c r="AE3845" t="n">
        <v>2</v>
      </c>
      <c r="AF3845" t="n">
        <v>13</v>
      </c>
      <c r="AG3845" t="n">
        <v>13</v>
      </c>
      <c r="AH3845" t="n">
        <v>2</v>
      </c>
      <c r="AI3845" t="n">
        <v>2</v>
      </c>
      <c r="AJ3845" t="n">
        <v>3</v>
      </c>
      <c r="AK3845" t="n">
        <v>3</v>
      </c>
      <c r="AL3845" t="n">
        <v>11</v>
      </c>
      <c r="AM3845" t="n">
        <v>11</v>
      </c>
      <c r="AN3845" t="n">
        <v>1</v>
      </c>
      <c r="AO3845" t="n">
        <v>1</v>
      </c>
      <c r="AP3845" t="n">
        <v>0</v>
      </c>
      <c r="AQ3845" t="n">
        <v>0</v>
      </c>
      <c r="AR3845" t="inlineStr">
        <is>
          <t>No</t>
        </is>
      </c>
      <c r="AS3845" t="inlineStr">
        <is>
          <t>No</t>
        </is>
      </c>
      <c r="AU3845">
        <f>HYPERLINK("https://creighton-primo.hosted.exlibrisgroup.com/primo-explore/search?tab=default_tab&amp;search_scope=EVERYTHING&amp;vid=01CRU&amp;lang=en_US&amp;offset=0&amp;query=any,contains,991000923749702656","Catalog Record")</f>
        <v/>
      </c>
      <c r="AV3845">
        <f>HYPERLINK("http://www.worldcat.org/oclc/162518","WorldCat Record")</f>
        <v/>
      </c>
      <c r="AW3845" t="inlineStr">
        <is>
          <t>146742004:eng</t>
        </is>
      </c>
      <c r="AX3845" t="inlineStr">
        <is>
          <t>162518</t>
        </is>
      </c>
      <c r="AY3845" t="inlineStr">
        <is>
          <t>991000923749702656</t>
        </is>
      </c>
      <c r="AZ3845" t="inlineStr">
        <is>
          <t>991000923749702656</t>
        </is>
      </c>
      <c r="BA3845" t="inlineStr">
        <is>
          <t>2268956150002656</t>
        </is>
      </c>
      <c r="BB3845" t="inlineStr">
        <is>
          <t>BOOK</t>
        </is>
      </c>
      <c r="BD3845" t="inlineStr">
        <is>
          <t>9780571095667</t>
        </is>
      </c>
      <c r="BE3845" t="inlineStr">
        <is>
          <t>32285001148617</t>
        </is>
      </c>
      <c r="BF3845" t="inlineStr">
        <is>
          <t>893702563</t>
        </is>
      </c>
    </row>
    <row r="3846">
      <c r="A3846" t="inlineStr">
        <is>
          <t>No</t>
        </is>
      </c>
      <c r="B3846" t="inlineStr">
        <is>
          <t>CURAL</t>
        </is>
      </c>
      <c r="C3846" t="inlineStr">
        <is>
          <t>SHELVES</t>
        </is>
      </c>
      <c r="D3846" t="inlineStr">
        <is>
          <t>PR878.S62 L8 1977</t>
        </is>
      </c>
      <c r="E3846" t="inlineStr">
        <is>
          <t>0                      PR 0878000S  62                 L  8           1977</t>
        </is>
      </c>
      <c r="F3846" t="inlineStr">
        <is>
          <t>The literature of change : studies in the nineteenth-century provincial novel / John Lucas.</t>
        </is>
      </c>
      <c r="H3846" t="inlineStr">
        <is>
          <t>No</t>
        </is>
      </c>
      <c r="I3846" t="inlineStr">
        <is>
          <t>1</t>
        </is>
      </c>
      <c r="J3846" t="inlineStr">
        <is>
          <t>No</t>
        </is>
      </c>
      <c r="K3846" t="inlineStr">
        <is>
          <t>No</t>
        </is>
      </c>
      <c r="L3846" t="inlineStr">
        <is>
          <t>0</t>
        </is>
      </c>
      <c r="M3846" t="inlineStr">
        <is>
          <t>Lucas, John, 1937-</t>
        </is>
      </c>
      <c r="N3846" t="inlineStr">
        <is>
          <t>Hassocks, Eng. : Harvester Press ; New York : Barnes &amp; Noble, 1977.</t>
        </is>
      </c>
      <c r="O3846" t="inlineStr">
        <is>
          <t>1977</t>
        </is>
      </c>
      <c r="Q3846" t="inlineStr">
        <is>
          <t>eng</t>
        </is>
      </c>
      <c r="R3846" t="inlineStr">
        <is>
          <t>enk</t>
        </is>
      </c>
      <c r="T3846" t="inlineStr">
        <is>
          <t xml:space="preserve">PR </t>
        </is>
      </c>
      <c r="U3846" t="n">
        <v>3</v>
      </c>
      <c r="V3846" t="n">
        <v>3</v>
      </c>
      <c r="W3846" t="inlineStr">
        <is>
          <t>1995-10-30</t>
        </is>
      </c>
      <c r="X3846" t="inlineStr">
        <is>
          <t>1995-10-30</t>
        </is>
      </c>
      <c r="Y3846" t="inlineStr">
        <is>
          <t>1991-09-12</t>
        </is>
      </c>
      <c r="Z3846" t="inlineStr">
        <is>
          <t>1991-09-12</t>
        </is>
      </c>
      <c r="AA3846" t="n">
        <v>718</v>
      </c>
      <c r="AB3846" t="n">
        <v>541</v>
      </c>
      <c r="AC3846" t="n">
        <v>685</v>
      </c>
      <c r="AD3846" t="n">
        <v>8</v>
      </c>
      <c r="AE3846" t="n">
        <v>8</v>
      </c>
      <c r="AF3846" t="n">
        <v>34</v>
      </c>
      <c r="AG3846" t="n">
        <v>40</v>
      </c>
      <c r="AH3846" t="n">
        <v>10</v>
      </c>
      <c r="AI3846" t="n">
        <v>14</v>
      </c>
      <c r="AJ3846" t="n">
        <v>7</v>
      </c>
      <c r="AK3846" t="n">
        <v>10</v>
      </c>
      <c r="AL3846" t="n">
        <v>16</v>
      </c>
      <c r="AM3846" t="n">
        <v>19</v>
      </c>
      <c r="AN3846" t="n">
        <v>7</v>
      </c>
      <c r="AO3846" t="n">
        <v>7</v>
      </c>
      <c r="AP3846" t="n">
        <v>0</v>
      </c>
      <c r="AQ3846" t="n">
        <v>0</v>
      </c>
      <c r="AR3846" t="inlineStr">
        <is>
          <t>No</t>
        </is>
      </c>
      <c r="AS3846" t="inlineStr">
        <is>
          <t>Yes</t>
        </is>
      </c>
      <c r="AT3846">
        <f>HYPERLINK("http://catalog.hathitrust.org/Record/000132851","HathiTrust Record")</f>
        <v/>
      </c>
      <c r="AU3846">
        <f>HYPERLINK("https://creighton-primo.hosted.exlibrisgroup.com/primo-explore/search?tab=default_tab&amp;search_scope=EVERYTHING&amp;vid=01CRU&amp;lang=en_US&amp;offset=0&amp;query=any,contains,991004508349702656","Catalog Record")</f>
        <v/>
      </c>
      <c r="AV3846">
        <f>HYPERLINK("http://www.worldcat.org/oclc/3750371","WorldCat Record")</f>
        <v/>
      </c>
      <c r="AW3846" t="inlineStr">
        <is>
          <t>458516:eng</t>
        </is>
      </c>
      <c r="AX3846" t="inlineStr">
        <is>
          <t>3750371</t>
        </is>
      </c>
      <c r="AY3846" t="inlineStr">
        <is>
          <t>991004508349702656</t>
        </is>
      </c>
      <c r="AZ3846" t="inlineStr">
        <is>
          <t>991004508349702656</t>
        </is>
      </c>
      <c r="BA3846" t="inlineStr">
        <is>
          <t>2256641190002656</t>
        </is>
      </c>
      <c r="BB3846" t="inlineStr">
        <is>
          <t>BOOK</t>
        </is>
      </c>
      <c r="BD3846" t="inlineStr">
        <is>
          <t>9780064943987</t>
        </is>
      </c>
      <c r="BE3846" t="inlineStr">
        <is>
          <t>32285000757608</t>
        </is>
      </c>
      <c r="BF3846" t="inlineStr">
        <is>
          <t>893417709</t>
        </is>
      </c>
    </row>
    <row r="3847">
      <c r="A3847" t="inlineStr">
        <is>
          <t>No</t>
        </is>
      </c>
      <c r="B3847" t="inlineStr">
        <is>
          <t>CURAL</t>
        </is>
      </c>
      <c r="C3847" t="inlineStr">
        <is>
          <t>SHELVES</t>
        </is>
      </c>
      <c r="D3847" t="inlineStr">
        <is>
          <t>PR878.T7 K5</t>
        </is>
      </c>
      <c r="E3847" t="inlineStr">
        <is>
          <t>0                      PR 0878000T  7                  K  5</t>
        </is>
      </c>
      <c r="F3847" t="inlineStr">
        <is>
          <t>Tragedy in the Victorian novel : theory and practice in the novels of George Eliot, Thomas Hardy, and Henry James / Jeannette King.</t>
        </is>
      </c>
      <c r="H3847" t="inlineStr">
        <is>
          <t>No</t>
        </is>
      </c>
      <c r="I3847" t="inlineStr">
        <is>
          <t>1</t>
        </is>
      </c>
      <c r="J3847" t="inlineStr">
        <is>
          <t>No</t>
        </is>
      </c>
      <c r="K3847" t="inlineStr">
        <is>
          <t>No</t>
        </is>
      </c>
      <c r="L3847" t="inlineStr">
        <is>
          <t>0</t>
        </is>
      </c>
      <c r="M3847" t="inlineStr">
        <is>
          <t>King, Jeannette.</t>
        </is>
      </c>
      <c r="N3847" t="inlineStr">
        <is>
          <t>Cambridge ; New York : Cambridge University Press, 1978.</t>
        </is>
      </c>
      <c r="O3847" t="inlineStr">
        <is>
          <t>1978</t>
        </is>
      </c>
      <c r="Q3847" t="inlineStr">
        <is>
          <t>eng</t>
        </is>
      </c>
      <c r="R3847" t="inlineStr">
        <is>
          <t>mau</t>
        </is>
      </c>
      <c r="T3847" t="inlineStr">
        <is>
          <t xml:space="preserve">PR </t>
        </is>
      </c>
      <c r="U3847" t="n">
        <v>2</v>
      </c>
      <c r="V3847" t="n">
        <v>2</v>
      </c>
      <c r="W3847" t="inlineStr">
        <is>
          <t>2004-09-27</t>
        </is>
      </c>
      <c r="X3847" t="inlineStr">
        <is>
          <t>2004-09-27</t>
        </is>
      </c>
      <c r="Y3847" t="inlineStr">
        <is>
          <t>1991-09-16</t>
        </is>
      </c>
      <c r="Z3847" t="inlineStr">
        <is>
          <t>1991-09-16</t>
        </is>
      </c>
      <c r="AA3847" t="n">
        <v>809</v>
      </c>
      <c r="AB3847" t="n">
        <v>553</v>
      </c>
      <c r="AC3847" t="n">
        <v>564</v>
      </c>
      <c r="AD3847" t="n">
        <v>7</v>
      </c>
      <c r="AE3847" t="n">
        <v>7</v>
      </c>
      <c r="AF3847" t="n">
        <v>33</v>
      </c>
      <c r="AG3847" t="n">
        <v>34</v>
      </c>
      <c r="AH3847" t="n">
        <v>10</v>
      </c>
      <c r="AI3847" t="n">
        <v>11</v>
      </c>
      <c r="AJ3847" t="n">
        <v>6</v>
      </c>
      <c r="AK3847" t="n">
        <v>6</v>
      </c>
      <c r="AL3847" t="n">
        <v>18</v>
      </c>
      <c r="AM3847" t="n">
        <v>18</v>
      </c>
      <c r="AN3847" t="n">
        <v>6</v>
      </c>
      <c r="AO3847" t="n">
        <v>6</v>
      </c>
      <c r="AP3847" t="n">
        <v>0</v>
      </c>
      <c r="AQ3847" t="n">
        <v>0</v>
      </c>
      <c r="AR3847" t="inlineStr">
        <is>
          <t>No</t>
        </is>
      </c>
      <c r="AS3847" t="inlineStr">
        <is>
          <t>Yes</t>
        </is>
      </c>
      <c r="AT3847">
        <f>HYPERLINK("http://catalog.hathitrust.org/Record/000254131","HathiTrust Record")</f>
        <v/>
      </c>
      <c r="AU3847">
        <f>HYPERLINK("https://creighton-primo.hosted.exlibrisgroup.com/primo-explore/search?tab=default_tab&amp;search_scope=EVERYTHING&amp;vid=01CRU&amp;lang=en_US&amp;offset=0&amp;query=any,contains,991004340759702656","Catalog Record")</f>
        <v/>
      </c>
      <c r="AV3847">
        <f>HYPERLINK("http://www.worldcat.org/oclc/3089129","WorldCat Record")</f>
        <v/>
      </c>
      <c r="AW3847" t="inlineStr">
        <is>
          <t>809203565:eng</t>
        </is>
      </c>
      <c r="AX3847" t="inlineStr">
        <is>
          <t>3089129</t>
        </is>
      </c>
      <c r="AY3847" t="inlineStr">
        <is>
          <t>991004340759702656</t>
        </is>
      </c>
      <c r="AZ3847" t="inlineStr">
        <is>
          <t>991004340759702656</t>
        </is>
      </c>
      <c r="BA3847" t="inlineStr">
        <is>
          <t>2262855120002656</t>
        </is>
      </c>
      <c r="BB3847" t="inlineStr">
        <is>
          <t>BOOK</t>
        </is>
      </c>
      <c r="BD3847" t="inlineStr">
        <is>
          <t>9780521216708</t>
        </is>
      </c>
      <c r="BE3847" t="inlineStr">
        <is>
          <t>32285000757624</t>
        </is>
      </c>
      <c r="BF3847" t="inlineStr">
        <is>
          <t>893794749</t>
        </is>
      </c>
    </row>
    <row r="3848">
      <c r="A3848" t="inlineStr">
        <is>
          <t>No</t>
        </is>
      </c>
      <c r="B3848" t="inlineStr">
        <is>
          <t>CURAL</t>
        </is>
      </c>
      <c r="C3848" t="inlineStr">
        <is>
          <t>SHELVES</t>
        </is>
      </c>
      <c r="D3848" t="inlineStr">
        <is>
          <t>PR878.W6 C6 1978</t>
        </is>
      </c>
      <c r="E3848" t="inlineStr">
        <is>
          <t>0                      PR 0878000W  6                  C  6           1978</t>
        </is>
      </c>
      <c r="F3848" t="inlineStr">
        <is>
          <t>The new woman and the Victorian novel / Gail Cunningham.</t>
        </is>
      </c>
      <c r="H3848" t="inlineStr">
        <is>
          <t>No</t>
        </is>
      </c>
      <c r="I3848" t="inlineStr">
        <is>
          <t>1</t>
        </is>
      </c>
      <c r="J3848" t="inlineStr">
        <is>
          <t>No</t>
        </is>
      </c>
      <c r="K3848" t="inlineStr">
        <is>
          <t>No</t>
        </is>
      </c>
      <c r="L3848" t="inlineStr">
        <is>
          <t>0</t>
        </is>
      </c>
      <c r="M3848" t="inlineStr">
        <is>
          <t>Cunningham, Gail.</t>
        </is>
      </c>
      <c r="N3848" t="inlineStr">
        <is>
          <t>New York : Barnes &amp; Noble Books, 1978.</t>
        </is>
      </c>
      <c r="O3848" t="inlineStr">
        <is>
          <t>1978</t>
        </is>
      </c>
      <c r="Q3848" t="inlineStr">
        <is>
          <t>eng</t>
        </is>
      </c>
      <c r="R3848" t="inlineStr">
        <is>
          <t>nyu</t>
        </is>
      </c>
      <c r="T3848" t="inlineStr">
        <is>
          <t xml:space="preserve">PR </t>
        </is>
      </c>
      <c r="U3848" t="n">
        <v>2</v>
      </c>
      <c r="V3848" t="n">
        <v>2</v>
      </c>
      <c r="W3848" t="inlineStr">
        <is>
          <t>2008-09-02</t>
        </is>
      </c>
      <c r="X3848" t="inlineStr">
        <is>
          <t>2008-09-02</t>
        </is>
      </c>
      <c r="Y3848" t="inlineStr">
        <is>
          <t>1991-09-12</t>
        </is>
      </c>
      <c r="Z3848" t="inlineStr">
        <is>
          <t>1991-09-12</t>
        </is>
      </c>
      <c r="AA3848" t="n">
        <v>621</v>
      </c>
      <c r="AB3848" t="n">
        <v>559</v>
      </c>
      <c r="AC3848" t="n">
        <v>618</v>
      </c>
      <c r="AD3848" t="n">
        <v>1</v>
      </c>
      <c r="AE3848" t="n">
        <v>3</v>
      </c>
      <c r="AF3848" t="n">
        <v>27</v>
      </c>
      <c r="AG3848" t="n">
        <v>31</v>
      </c>
      <c r="AH3848" t="n">
        <v>13</v>
      </c>
      <c r="AI3848" t="n">
        <v>13</v>
      </c>
      <c r="AJ3848" t="n">
        <v>6</v>
      </c>
      <c r="AK3848" t="n">
        <v>6</v>
      </c>
      <c r="AL3848" t="n">
        <v>17</v>
      </c>
      <c r="AM3848" t="n">
        <v>19</v>
      </c>
      <c r="AN3848" t="n">
        <v>0</v>
      </c>
      <c r="AO3848" t="n">
        <v>2</v>
      </c>
      <c r="AP3848" t="n">
        <v>0</v>
      </c>
      <c r="AQ3848" t="n">
        <v>0</v>
      </c>
      <c r="AR3848" t="inlineStr">
        <is>
          <t>No</t>
        </is>
      </c>
      <c r="AS3848" t="inlineStr">
        <is>
          <t>No</t>
        </is>
      </c>
      <c r="AU3848">
        <f>HYPERLINK("https://creighton-primo.hosted.exlibrisgroup.com/primo-explore/search?tab=default_tab&amp;search_scope=EVERYTHING&amp;vid=01CRU&amp;lang=en_US&amp;offset=0&amp;query=any,contains,991004525069702656","Catalog Record")</f>
        <v/>
      </c>
      <c r="AV3848">
        <f>HYPERLINK("http://www.worldcat.org/oclc/3843111","WorldCat Record")</f>
        <v/>
      </c>
      <c r="AW3848" t="inlineStr">
        <is>
          <t>404509:eng</t>
        </is>
      </c>
      <c r="AX3848" t="inlineStr">
        <is>
          <t>3843111</t>
        </is>
      </c>
      <c r="AY3848" t="inlineStr">
        <is>
          <t>991004525069702656</t>
        </is>
      </c>
      <c r="AZ3848" t="inlineStr">
        <is>
          <t>991004525069702656</t>
        </is>
      </c>
      <c r="BA3848" t="inlineStr">
        <is>
          <t>2266334660002656</t>
        </is>
      </c>
      <c r="BB3848" t="inlineStr">
        <is>
          <t>BOOK</t>
        </is>
      </c>
      <c r="BD3848" t="inlineStr">
        <is>
          <t>9780064913478</t>
        </is>
      </c>
      <c r="BE3848" t="inlineStr">
        <is>
          <t>32285000757657</t>
        </is>
      </c>
      <c r="BF3848" t="inlineStr">
        <is>
          <t>893593770</t>
        </is>
      </c>
    </row>
    <row r="3849">
      <c r="A3849" t="inlineStr">
        <is>
          <t>No</t>
        </is>
      </c>
      <c r="B3849" t="inlineStr">
        <is>
          <t>CURAL</t>
        </is>
      </c>
      <c r="C3849" t="inlineStr">
        <is>
          <t>SHELVES</t>
        </is>
      </c>
      <c r="D3849" t="inlineStr">
        <is>
          <t>PR878.W6 N47 1985</t>
        </is>
      </c>
      <c r="E3849" t="inlineStr">
        <is>
          <t>0                      PR 0878000W  6                  N  47          1985</t>
        </is>
      </c>
      <c r="F3849" t="inlineStr">
        <is>
          <t>Female friendships and communities : Charlotte Brontë, George Eliot, Elizabeth Gaskell / Pauline Nestor.</t>
        </is>
      </c>
      <c r="H3849" t="inlineStr">
        <is>
          <t>No</t>
        </is>
      </c>
      <c r="I3849" t="inlineStr">
        <is>
          <t>1</t>
        </is>
      </c>
      <c r="J3849" t="inlineStr">
        <is>
          <t>No</t>
        </is>
      </c>
      <c r="K3849" t="inlineStr">
        <is>
          <t>No</t>
        </is>
      </c>
      <c r="L3849" t="inlineStr">
        <is>
          <t>0</t>
        </is>
      </c>
      <c r="M3849" t="inlineStr">
        <is>
          <t>Nestor, Pauline.</t>
        </is>
      </c>
      <c r="N3849" t="inlineStr">
        <is>
          <t>Oxford : Clarendon Press ; New York : Oxford University Press, 1985.</t>
        </is>
      </c>
      <c r="O3849" t="inlineStr">
        <is>
          <t>1985</t>
        </is>
      </c>
      <c r="Q3849" t="inlineStr">
        <is>
          <t>eng</t>
        </is>
      </c>
      <c r="R3849" t="inlineStr">
        <is>
          <t>enk</t>
        </is>
      </c>
      <c r="T3849" t="inlineStr">
        <is>
          <t xml:space="preserve">PR </t>
        </is>
      </c>
      <c r="U3849" t="n">
        <v>7</v>
      </c>
      <c r="V3849" t="n">
        <v>7</v>
      </c>
      <c r="W3849" t="inlineStr">
        <is>
          <t>2008-09-02</t>
        </is>
      </c>
      <c r="X3849" t="inlineStr">
        <is>
          <t>2008-09-02</t>
        </is>
      </c>
      <c r="Y3849" t="inlineStr">
        <is>
          <t>1992-07-02</t>
        </is>
      </c>
      <c r="Z3849" t="inlineStr">
        <is>
          <t>1992-07-02</t>
        </is>
      </c>
      <c r="AA3849" t="n">
        <v>535</v>
      </c>
      <c r="AB3849" t="n">
        <v>381</v>
      </c>
      <c r="AC3849" t="n">
        <v>389</v>
      </c>
      <c r="AD3849" t="n">
        <v>4</v>
      </c>
      <c r="AE3849" t="n">
        <v>4</v>
      </c>
      <c r="AF3849" t="n">
        <v>15</v>
      </c>
      <c r="AG3849" t="n">
        <v>15</v>
      </c>
      <c r="AH3849" t="n">
        <v>2</v>
      </c>
      <c r="AI3849" t="n">
        <v>2</v>
      </c>
      <c r="AJ3849" t="n">
        <v>5</v>
      </c>
      <c r="AK3849" t="n">
        <v>5</v>
      </c>
      <c r="AL3849" t="n">
        <v>9</v>
      </c>
      <c r="AM3849" t="n">
        <v>9</v>
      </c>
      <c r="AN3849" t="n">
        <v>3</v>
      </c>
      <c r="AO3849" t="n">
        <v>3</v>
      </c>
      <c r="AP3849" t="n">
        <v>0</v>
      </c>
      <c r="AQ3849" t="n">
        <v>0</v>
      </c>
      <c r="AR3849" t="inlineStr">
        <is>
          <t>No</t>
        </is>
      </c>
      <c r="AS3849" t="inlineStr">
        <is>
          <t>Yes</t>
        </is>
      </c>
      <c r="AT3849">
        <f>HYPERLINK("http://catalog.hathitrust.org/Record/000422046","HathiTrust Record")</f>
        <v/>
      </c>
      <c r="AU3849">
        <f>HYPERLINK("https://creighton-primo.hosted.exlibrisgroup.com/primo-explore/search?tab=default_tab&amp;search_scope=EVERYTHING&amp;vid=01CRU&amp;lang=en_US&amp;offset=0&amp;query=any,contains,991000637419702656","Catalog Record")</f>
        <v/>
      </c>
      <c r="AV3849">
        <f>HYPERLINK("http://www.worldcat.org/oclc/12082444","WorldCat Record")</f>
        <v/>
      </c>
      <c r="AW3849" t="inlineStr">
        <is>
          <t>365470709:eng</t>
        </is>
      </c>
      <c r="AX3849" t="inlineStr">
        <is>
          <t>12082444</t>
        </is>
      </c>
      <c r="AY3849" t="inlineStr">
        <is>
          <t>991000637419702656</t>
        </is>
      </c>
      <c r="AZ3849" t="inlineStr">
        <is>
          <t>991000637419702656</t>
        </is>
      </c>
      <c r="BA3849" t="inlineStr">
        <is>
          <t>2264552590002656</t>
        </is>
      </c>
      <c r="BB3849" t="inlineStr">
        <is>
          <t>BOOK</t>
        </is>
      </c>
      <c r="BD3849" t="inlineStr">
        <is>
          <t>9780198128380</t>
        </is>
      </c>
      <c r="BE3849" t="inlineStr">
        <is>
          <t>32285001099703</t>
        </is>
      </c>
      <c r="BF3849" t="inlineStr">
        <is>
          <t>893689891</t>
        </is>
      </c>
    </row>
    <row r="3850">
      <c r="A3850" t="inlineStr">
        <is>
          <t>No</t>
        </is>
      </c>
      <c r="B3850" t="inlineStr">
        <is>
          <t>CURAL</t>
        </is>
      </c>
      <c r="C3850" t="inlineStr">
        <is>
          <t>SHELVES</t>
        </is>
      </c>
      <c r="D3850" t="inlineStr">
        <is>
          <t>PR878.W6 S55 2003</t>
        </is>
      </c>
      <c r="E3850" t="inlineStr">
        <is>
          <t>0                      PR 0878000W  6                  S  55          2003</t>
        </is>
      </c>
      <c r="F3850" t="inlineStr">
        <is>
          <t>Silent voices : forgotten novels by Victorian women writers / edited by Brenda Ayres.</t>
        </is>
      </c>
      <c r="H3850" t="inlineStr">
        <is>
          <t>No</t>
        </is>
      </c>
      <c r="I3850" t="inlineStr">
        <is>
          <t>1</t>
        </is>
      </c>
      <c r="J3850" t="inlineStr">
        <is>
          <t>No</t>
        </is>
      </c>
      <c r="K3850" t="inlineStr">
        <is>
          <t>No</t>
        </is>
      </c>
      <c r="L3850" t="inlineStr">
        <is>
          <t>0</t>
        </is>
      </c>
      <c r="N3850" t="inlineStr">
        <is>
          <t>Westport, CT : Praeger, 2003.</t>
        </is>
      </c>
      <c r="O3850" t="inlineStr">
        <is>
          <t>2003</t>
        </is>
      </c>
      <c r="Q3850" t="inlineStr">
        <is>
          <t>eng</t>
        </is>
      </c>
      <c r="R3850" t="inlineStr">
        <is>
          <t>ctu</t>
        </is>
      </c>
      <c r="S3850" t="inlineStr">
        <is>
          <t>Contributions in women's studies, 0147-104X ; no. 200</t>
        </is>
      </c>
      <c r="T3850" t="inlineStr">
        <is>
          <t xml:space="preserve">PR </t>
        </is>
      </c>
      <c r="U3850" t="n">
        <v>1</v>
      </c>
      <c r="V3850" t="n">
        <v>1</v>
      </c>
      <c r="W3850" t="inlineStr">
        <is>
          <t>2005-10-24</t>
        </is>
      </c>
      <c r="X3850" t="inlineStr">
        <is>
          <t>2005-10-24</t>
        </is>
      </c>
      <c r="Y3850" t="inlineStr">
        <is>
          <t>2005-10-24</t>
        </is>
      </c>
      <c r="Z3850" t="inlineStr">
        <is>
          <t>2005-10-24</t>
        </is>
      </c>
      <c r="AA3850" t="n">
        <v>352</v>
      </c>
      <c r="AB3850" t="n">
        <v>298</v>
      </c>
      <c r="AC3850" t="n">
        <v>1098</v>
      </c>
      <c r="AD3850" t="n">
        <v>3</v>
      </c>
      <c r="AE3850" t="n">
        <v>8</v>
      </c>
      <c r="AF3850" t="n">
        <v>18</v>
      </c>
      <c r="AG3850" t="n">
        <v>35</v>
      </c>
      <c r="AH3850" t="n">
        <v>7</v>
      </c>
      <c r="AI3850" t="n">
        <v>14</v>
      </c>
      <c r="AJ3850" t="n">
        <v>6</v>
      </c>
      <c r="AK3850" t="n">
        <v>7</v>
      </c>
      <c r="AL3850" t="n">
        <v>10</v>
      </c>
      <c r="AM3850" t="n">
        <v>14</v>
      </c>
      <c r="AN3850" t="n">
        <v>2</v>
      </c>
      <c r="AO3850" t="n">
        <v>7</v>
      </c>
      <c r="AP3850" t="n">
        <v>0</v>
      </c>
      <c r="AQ3850" t="n">
        <v>1</v>
      </c>
      <c r="AR3850" t="inlineStr">
        <is>
          <t>No</t>
        </is>
      </c>
      <c r="AS3850" t="inlineStr">
        <is>
          <t>Yes</t>
        </is>
      </c>
      <c r="AT3850">
        <f>HYPERLINK("http://catalog.hathitrust.org/Record/004321880","HathiTrust Record")</f>
        <v/>
      </c>
      <c r="AU3850">
        <f>HYPERLINK("https://creighton-primo.hosted.exlibrisgroup.com/primo-explore/search?tab=default_tab&amp;search_scope=EVERYTHING&amp;vid=01CRU&amp;lang=en_US&amp;offset=0&amp;query=any,contains,991004674189702656","Catalog Record")</f>
        <v/>
      </c>
      <c r="AV3850">
        <f>HYPERLINK("http://www.worldcat.org/oclc/49991515","WorldCat Record")</f>
        <v/>
      </c>
      <c r="AW3850" t="inlineStr">
        <is>
          <t>9021258379:eng</t>
        </is>
      </c>
      <c r="AX3850" t="inlineStr">
        <is>
          <t>49991515</t>
        </is>
      </c>
      <c r="AY3850" t="inlineStr">
        <is>
          <t>991004674189702656</t>
        </is>
      </c>
      <c r="AZ3850" t="inlineStr">
        <is>
          <t>991004674189702656</t>
        </is>
      </c>
      <c r="BA3850" t="inlineStr">
        <is>
          <t>2271749400002656</t>
        </is>
      </c>
      <c r="BB3850" t="inlineStr">
        <is>
          <t>BOOK</t>
        </is>
      </c>
      <c r="BD3850" t="inlineStr">
        <is>
          <t>9780313324628</t>
        </is>
      </c>
      <c r="BE3850" t="inlineStr">
        <is>
          <t>32285005141386</t>
        </is>
      </c>
      <c r="BF3850" t="inlineStr">
        <is>
          <t>893606324</t>
        </is>
      </c>
    </row>
    <row r="3851">
      <c r="A3851" t="inlineStr">
        <is>
          <t>No</t>
        </is>
      </c>
      <c r="B3851" t="inlineStr">
        <is>
          <t>CURAL</t>
        </is>
      </c>
      <c r="C3851" t="inlineStr">
        <is>
          <t>SHELVES</t>
        </is>
      </c>
      <c r="D3851" t="inlineStr">
        <is>
          <t>PR8781.P64 M38 1997</t>
        </is>
      </c>
      <c r="E3851" t="inlineStr">
        <is>
          <t>0                      PR 8781000P  64                 M  38          1997</t>
        </is>
      </c>
      <c r="F3851" t="inlineStr">
        <is>
          <t>Irish poetry : politics, history, negotiation : the evolving debate, 1969 to the present / Steven Matthews.</t>
        </is>
      </c>
      <c r="H3851" t="inlineStr">
        <is>
          <t>No</t>
        </is>
      </c>
      <c r="I3851" t="inlineStr">
        <is>
          <t>1</t>
        </is>
      </c>
      <c r="J3851" t="inlineStr">
        <is>
          <t>No</t>
        </is>
      </c>
      <c r="K3851" t="inlineStr">
        <is>
          <t>No</t>
        </is>
      </c>
      <c r="L3851" t="inlineStr">
        <is>
          <t>0</t>
        </is>
      </c>
      <c r="M3851" t="inlineStr">
        <is>
          <t>Matthews, Steven.</t>
        </is>
      </c>
      <c r="N3851" t="inlineStr">
        <is>
          <t>Basingstoke, Hampshire : Macmillan Press ; New York : St. Martin's Press, 1997.</t>
        </is>
      </c>
      <c r="O3851" t="inlineStr">
        <is>
          <t>1997</t>
        </is>
      </c>
      <c r="Q3851" t="inlineStr">
        <is>
          <t>eng</t>
        </is>
      </c>
      <c r="R3851" t="inlineStr">
        <is>
          <t>enk</t>
        </is>
      </c>
      <c r="T3851" t="inlineStr">
        <is>
          <t xml:space="preserve">PR </t>
        </is>
      </c>
      <c r="U3851" t="n">
        <v>6</v>
      </c>
      <c r="V3851" t="n">
        <v>6</v>
      </c>
      <c r="W3851" t="inlineStr">
        <is>
          <t>2008-02-11</t>
        </is>
      </c>
      <c r="X3851" t="inlineStr">
        <is>
          <t>2008-02-11</t>
        </is>
      </c>
      <c r="Y3851" t="inlineStr">
        <is>
          <t>1997-12-11</t>
        </is>
      </c>
      <c r="Z3851" t="inlineStr">
        <is>
          <t>1997-12-11</t>
        </is>
      </c>
      <c r="AA3851" t="n">
        <v>344</v>
      </c>
      <c r="AB3851" t="n">
        <v>239</v>
      </c>
      <c r="AC3851" t="n">
        <v>248</v>
      </c>
      <c r="AD3851" t="n">
        <v>2</v>
      </c>
      <c r="AE3851" t="n">
        <v>2</v>
      </c>
      <c r="AF3851" t="n">
        <v>17</v>
      </c>
      <c r="AG3851" t="n">
        <v>17</v>
      </c>
      <c r="AH3851" t="n">
        <v>5</v>
      </c>
      <c r="AI3851" t="n">
        <v>5</v>
      </c>
      <c r="AJ3851" t="n">
        <v>7</v>
      </c>
      <c r="AK3851" t="n">
        <v>7</v>
      </c>
      <c r="AL3851" t="n">
        <v>10</v>
      </c>
      <c r="AM3851" t="n">
        <v>10</v>
      </c>
      <c r="AN3851" t="n">
        <v>1</v>
      </c>
      <c r="AO3851" t="n">
        <v>1</v>
      </c>
      <c r="AP3851" t="n">
        <v>0</v>
      </c>
      <c r="AQ3851" t="n">
        <v>0</v>
      </c>
      <c r="AR3851" t="inlineStr">
        <is>
          <t>No</t>
        </is>
      </c>
      <c r="AS3851" t="inlineStr">
        <is>
          <t>No</t>
        </is>
      </c>
      <c r="AU3851">
        <f>HYPERLINK("https://creighton-primo.hosted.exlibrisgroup.com/primo-explore/search?tab=default_tab&amp;search_scope=EVERYTHING&amp;vid=01CRU&amp;lang=en_US&amp;offset=0&amp;query=any,contains,991002679159702656","Catalog Record")</f>
        <v/>
      </c>
      <c r="AV3851">
        <f>HYPERLINK("http://www.worldcat.org/oclc/35018101","WorldCat Record")</f>
        <v/>
      </c>
      <c r="AW3851" t="inlineStr">
        <is>
          <t>613030:eng</t>
        </is>
      </c>
      <c r="AX3851" t="inlineStr">
        <is>
          <t>35018101</t>
        </is>
      </c>
      <c r="AY3851" t="inlineStr">
        <is>
          <t>991002679159702656</t>
        </is>
      </c>
      <c r="AZ3851" t="inlineStr">
        <is>
          <t>991002679159702656</t>
        </is>
      </c>
      <c r="BA3851" t="inlineStr">
        <is>
          <t>2267563290002656</t>
        </is>
      </c>
      <c r="BB3851" t="inlineStr">
        <is>
          <t>BOOK</t>
        </is>
      </c>
      <c r="BD3851" t="inlineStr">
        <is>
          <t>9780312164362</t>
        </is>
      </c>
      <c r="BE3851" t="inlineStr">
        <is>
          <t>32285003282760</t>
        </is>
      </c>
      <c r="BF3851" t="inlineStr">
        <is>
          <t>893409405</t>
        </is>
      </c>
    </row>
    <row r="3852">
      <c r="A3852" t="inlineStr">
        <is>
          <t>No</t>
        </is>
      </c>
      <c r="B3852" t="inlineStr">
        <is>
          <t>CURAL</t>
        </is>
      </c>
      <c r="C3852" t="inlineStr">
        <is>
          <t>SHELVES</t>
        </is>
      </c>
      <c r="D3852" t="inlineStr">
        <is>
          <t>PR8789 .E6 1954</t>
        </is>
      </c>
      <c r="E3852" t="inlineStr">
        <is>
          <t>0                      PR 8789000E  6           1954</t>
        </is>
      </c>
      <c r="F3852" t="inlineStr">
        <is>
          <t>The Irish dramatic movement.</t>
        </is>
      </c>
      <c r="H3852" t="inlineStr">
        <is>
          <t>No</t>
        </is>
      </c>
      <c r="I3852" t="inlineStr">
        <is>
          <t>1</t>
        </is>
      </c>
      <c r="J3852" t="inlineStr">
        <is>
          <t>No</t>
        </is>
      </c>
      <c r="K3852" t="inlineStr">
        <is>
          <t>No</t>
        </is>
      </c>
      <c r="L3852" t="inlineStr">
        <is>
          <t>0</t>
        </is>
      </c>
      <c r="M3852" t="inlineStr">
        <is>
          <t>Ellis-Fermor, Una Mary, 1894-1958.</t>
        </is>
      </c>
      <c r="N3852" t="inlineStr">
        <is>
          <t>London : Methuen, [1954]</t>
        </is>
      </c>
      <c r="O3852" t="inlineStr">
        <is>
          <t>1954</t>
        </is>
      </c>
      <c r="P3852" t="inlineStr">
        <is>
          <t>[2d ed.]</t>
        </is>
      </c>
      <c r="Q3852" t="inlineStr">
        <is>
          <t>eng</t>
        </is>
      </c>
      <c r="R3852" t="inlineStr">
        <is>
          <t xml:space="preserve">xx </t>
        </is>
      </c>
      <c r="T3852" t="inlineStr">
        <is>
          <t xml:space="preserve">PR </t>
        </is>
      </c>
      <c r="U3852" t="n">
        <v>6</v>
      </c>
      <c r="V3852" t="n">
        <v>6</v>
      </c>
      <c r="W3852" t="inlineStr">
        <is>
          <t>2006-04-13</t>
        </is>
      </c>
      <c r="X3852" t="inlineStr">
        <is>
          <t>2006-04-13</t>
        </is>
      </c>
      <c r="Y3852" t="inlineStr">
        <is>
          <t>1992-09-30</t>
        </is>
      </c>
      <c r="Z3852" t="inlineStr">
        <is>
          <t>1992-09-30</t>
        </is>
      </c>
      <c r="AA3852" t="n">
        <v>475</v>
      </c>
      <c r="AB3852" t="n">
        <v>369</v>
      </c>
      <c r="AC3852" t="n">
        <v>758</v>
      </c>
      <c r="AD3852" t="n">
        <v>6</v>
      </c>
      <c r="AE3852" t="n">
        <v>6</v>
      </c>
      <c r="AF3852" t="n">
        <v>26</v>
      </c>
      <c r="AG3852" t="n">
        <v>44</v>
      </c>
      <c r="AH3852" t="n">
        <v>9</v>
      </c>
      <c r="AI3852" t="n">
        <v>19</v>
      </c>
      <c r="AJ3852" t="n">
        <v>4</v>
      </c>
      <c r="AK3852" t="n">
        <v>10</v>
      </c>
      <c r="AL3852" t="n">
        <v>13</v>
      </c>
      <c r="AM3852" t="n">
        <v>21</v>
      </c>
      <c r="AN3852" t="n">
        <v>5</v>
      </c>
      <c r="AO3852" t="n">
        <v>5</v>
      </c>
      <c r="AP3852" t="n">
        <v>0</v>
      </c>
      <c r="AQ3852" t="n">
        <v>0</v>
      </c>
      <c r="AR3852" t="inlineStr">
        <is>
          <t>No</t>
        </is>
      </c>
      <c r="AS3852" t="inlineStr">
        <is>
          <t>Yes</t>
        </is>
      </c>
      <c r="AT3852">
        <f>HYPERLINK("http://catalog.hathitrust.org/Record/001026169","HathiTrust Record")</f>
        <v/>
      </c>
      <c r="AU3852">
        <f>HYPERLINK("https://creighton-primo.hosted.exlibrisgroup.com/primo-explore/search?tab=default_tab&amp;search_scope=EVERYTHING&amp;vid=01CRU&amp;lang=en_US&amp;offset=0&amp;query=any,contains,991002537049702656","Catalog Record")</f>
        <v/>
      </c>
      <c r="AV3852">
        <f>HYPERLINK("http://www.worldcat.org/oclc/367646","WorldCat Record")</f>
        <v/>
      </c>
      <c r="AW3852" t="inlineStr">
        <is>
          <t>1431918:eng</t>
        </is>
      </c>
      <c r="AX3852" t="inlineStr">
        <is>
          <t>367646</t>
        </is>
      </c>
      <c r="AY3852" t="inlineStr">
        <is>
          <t>991002537049702656</t>
        </is>
      </c>
      <c r="AZ3852" t="inlineStr">
        <is>
          <t>991002537049702656</t>
        </is>
      </c>
      <c r="BA3852" t="inlineStr">
        <is>
          <t>2264932060002656</t>
        </is>
      </c>
      <c r="BB3852" t="inlineStr">
        <is>
          <t>BOOK</t>
        </is>
      </c>
      <c r="BE3852" t="inlineStr">
        <is>
          <t>32285001323145</t>
        </is>
      </c>
      <c r="BF3852" t="inlineStr">
        <is>
          <t>893421500</t>
        </is>
      </c>
    </row>
    <row r="3853">
      <c r="A3853" t="inlineStr">
        <is>
          <t>No</t>
        </is>
      </c>
      <c r="B3853" t="inlineStr">
        <is>
          <t>CURAL</t>
        </is>
      </c>
      <c r="C3853" t="inlineStr">
        <is>
          <t>SHELVES</t>
        </is>
      </c>
      <c r="D3853" t="inlineStr">
        <is>
          <t>PR8789 .L48 2002</t>
        </is>
      </c>
      <c r="E3853" t="inlineStr">
        <is>
          <t>0                      PR 8789000L  48          2002</t>
        </is>
      </c>
      <c r="F3853" t="inlineStr">
        <is>
          <t>The theatre of nation : Irish drama and cultural nationalism, 1890-1916 / Ben Levitas.</t>
        </is>
      </c>
      <c r="H3853" t="inlineStr">
        <is>
          <t>No</t>
        </is>
      </c>
      <c r="I3853" t="inlineStr">
        <is>
          <t>1</t>
        </is>
      </c>
      <c r="J3853" t="inlineStr">
        <is>
          <t>No</t>
        </is>
      </c>
      <c r="K3853" t="inlineStr">
        <is>
          <t>No</t>
        </is>
      </c>
      <c r="L3853" t="inlineStr">
        <is>
          <t>0</t>
        </is>
      </c>
      <c r="M3853" t="inlineStr">
        <is>
          <t>Levitas, Ben (Lecturer in drama)</t>
        </is>
      </c>
      <c r="N3853" t="inlineStr">
        <is>
          <t>Oxford ; New York : Oxford University Press, 2002.</t>
        </is>
      </c>
      <c r="O3853" t="inlineStr">
        <is>
          <t>2002</t>
        </is>
      </c>
      <c r="Q3853" t="inlineStr">
        <is>
          <t>eng</t>
        </is>
      </c>
      <c r="R3853" t="inlineStr">
        <is>
          <t>enk</t>
        </is>
      </c>
      <c r="S3853" t="inlineStr">
        <is>
          <t>Oxford historical monographs</t>
        </is>
      </c>
      <c r="T3853" t="inlineStr">
        <is>
          <t xml:space="preserve">PR </t>
        </is>
      </c>
      <c r="U3853" t="n">
        <v>4</v>
      </c>
      <c r="V3853" t="n">
        <v>4</v>
      </c>
      <c r="W3853" t="inlineStr">
        <is>
          <t>2006-04-12</t>
        </is>
      </c>
      <c r="X3853" t="inlineStr">
        <is>
          <t>2006-04-12</t>
        </is>
      </c>
      <c r="Y3853" t="inlineStr">
        <is>
          <t>2005-02-08</t>
        </is>
      </c>
      <c r="Z3853" t="inlineStr">
        <is>
          <t>2005-02-08</t>
        </is>
      </c>
      <c r="AA3853" t="n">
        <v>274</v>
      </c>
      <c r="AB3853" t="n">
        <v>207</v>
      </c>
      <c r="AC3853" t="n">
        <v>251</v>
      </c>
      <c r="AD3853" t="n">
        <v>3</v>
      </c>
      <c r="AE3853" t="n">
        <v>3</v>
      </c>
      <c r="AF3853" t="n">
        <v>20</v>
      </c>
      <c r="AG3853" t="n">
        <v>21</v>
      </c>
      <c r="AH3853" t="n">
        <v>5</v>
      </c>
      <c r="AI3853" t="n">
        <v>5</v>
      </c>
      <c r="AJ3853" t="n">
        <v>7</v>
      </c>
      <c r="AK3853" t="n">
        <v>8</v>
      </c>
      <c r="AL3853" t="n">
        <v>13</v>
      </c>
      <c r="AM3853" t="n">
        <v>13</v>
      </c>
      <c r="AN3853" t="n">
        <v>2</v>
      </c>
      <c r="AO3853" t="n">
        <v>2</v>
      </c>
      <c r="AP3853" t="n">
        <v>0</v>
      </c>
      <c r="AQ3853" t="n">
        <v>0</v>
      </c>
      <c r="AR3853" t="inlineStr">
        <is>
          <t>No</t>
        </is>
      </c>
      <c r="AS3853" t="inlineStr">
        <is>
          <t>No</t>
        </is>
      </c>
      <c r="AU3853">
        <f>HYPERLINK("https://creighton-primo.hosted.exlibrisgroup.com/primo-explore/search?tab=default_tab&amp;search_scope=EVERYTHING&amp;vid=01CRU&amp;lang=en_US&amp;offset=0&amp;query=any,contains,991004416159702656","Catalog Record")</f>
        <v/>
      </c>
      <c r="AV3853">
        <f>HYPERLINK("http://www.worldcat.org/oclc/50101484","WorldCat Record")</f>
        <v/>
      </c>
      <c r="AW3853" t="inlineStr">
        <is>
          <t>320097960:eng</t>
        </is>
      </c>
      <c r="AX3853" t="inlineStr">
        <is>
          <t>50101484</t>
        </is>
      </c>
      <c r="AY3853" t="inlineStr">
        <is>
          <t>991004416159702656</t>
        </is>
      </c>
      <c r="AZ3853" t="inlineStr">
        <is>
          <t>991004416159702656</t>
        </is>
      </c>
      <c r="BA3853" t="inlineStr">
        <is>
          <t>2266762190002656</t>
        </is>
      </c>
      <c r="BB3853" t="inlineStr">
        <is>
          <t>BOOK</t>
        </is>
      </c>
      <c r="BD3853" t="inlineStr">
        <is>
          <t>9780199253432</t>
        </is>
      </c>
      <c r="BE3853" t="inlineStr">
        <is>
          <t>32285005025233</t>
        </is>
      </c>
      <c r="BF3853" t="inlineStr">
        <is>
          <t>893423767</t>
        </is>
      </c>
    </row>
    <row r="3854">
      <c r="A3854" t="inlineStr">
        <is>
          <t>No</t>
        </is>
      </c>
      <c r="B3854" t="inlineStr">
        <is>
          <t>CURAL</t>
        </is>
      </c>
      <c r="C3854" t="inlineStr">
        <is>
          <t>SHELVES</t>
        </is>
      </c>
      <c r="D3854" t="inlineStr">
        <is>
          <t>PR8789 .M39 1984</t>
        </is>
      </c>
      <c r="E3854" t="inlineStr">
        <is>
          <t>0                      PR 8789000M  39          1984</t>
        </is>
      </c>
      <c r="F3854" t="inlineStr">
        <is>
          <t>A critical history of modern Irish drama, 1891-1980 / D.E.S. Maxwell.</t>
        </is>
      </c>
      <c r="H3854" t="inlineStr">
        <is>
          <t>No</t>
        </is>
      </c>
      <c r="I3854" t="inlineStr">
        <is>
          <t>1</t>
        </is>
      </c>
      <c r="J3854" t="inlineStr">
        <is>
          <t>No</t>
        </is>
      </c>
      <c r="K3854" t="inlineStr">
        <is>
          <t>No</t>
        </is>
      </c>
      <c r="L3854" t="inlineStr">
        <is>
          <t>0</t>
        </is>
      </c>
      <c r="M3854" t="inlineStr">
        <is>
          <t>Maxwell, D. E. S. (Desmond Ernest Stewart), 1925-</t>
        </is>
      </c>
      <c r="N3854" t="inlineStr">
        <is>
          <t>Cambridge [Cambridgeshire] ; New York : Cambridge University Press, 1984.</t>
        </is>
      </c>
      <c r="O3854" t="inlineStr">
        <is>
          <t>1985</t>
        </is>
      </c>
      <c r="Q3854" t="inlineStr">
        <is>
          <t>eng</t>
        </is>
      </c>
      <c r="R3854" t="inlineStr">
        <is>
          <t>enk</t>
        </is>
      </c>
      <c r="T3854" t="inlineStr">
        <is>
          <t xml:space="preserve">PR </t>
        </is>
      </c>
      <c r="U3854" t="n">
        <v>8</v>
      </c>
      <c r="V3854" t="n">
        <v>8</v>
      </c>
      <c r="W3854" t="inlineStr">
        <is>
          <t>2006-12-03</t>
        </is>
      </c>
      <c r="X3854" t="inlineStr">
        <is>
          <t>2006-12-03</t>
        </is>
      </c>
      <c r="Y3854" t="inlineStr">
        <is>
          <t>1992-04-15</t>
        </is>
      </c>
      <c r="Z3854" t="inlineStr">
        <is>
          <t>1992-04-15</t>
        </is>
      </c>
      <c r="AA3854" t="n">
        <v>689</v>
      </c>
      <c r="AB3854" t="n">
        <v>502</v>
      </c>
      <c r="AC3854" t="n">
        <v>517</v>
      </c>
      <c r="AD3854" t="n">
        <v>6</v>
      </c>
      <c r="AE3854" t="n">
        <v>6</v>
      </c>
      <c r="AF3854" t="n">
        <v>31</v>
      </c>
      <c r="AG3854" t="n">
        <v>31</v>
      </c>
      <c r="AH3854" t="n">
        <v>12</v>
      </c>
      <c r="AI3854" t="n">
        <v>12</v>
      </c>
      <c r="AJ3854" t="n">
        <v>9</v>
      </c>
      <c r="AK3854" t="n">
        <v>9</v>
      </c>
      <c r="AL3854" t="n">
        <v>13</v>
      </c>
      <c r="AM3854" t="n">
        <v>13</v>
      </c>
      <c r="AN3854" t="n">
        <v>5</v>
      </c>
      <c r="AO3854" t="n">
        <v>5</v>
      </c>
      <c r="AP3854" t="n">
        <v>0</v>
      </c>
      <c r="AQ3854" t="n">
        <v>0</v>
      </c>
      <c r="AR3854" t="inlineStr">
        <is>
          <t>No</t>
        </is>
      </c>
      <c r="AS3854" t="inlineStr">
        <is>
          <t>No</t>
        </is>
      </c>
      <c r="AU3854">
        <f>HYPERLINK("https://creighton-primo.hosted.exlibrisgroup.com/primo-explore/search?tab=default_tab&amp;search_scope=EVERYTHING&amp;vid=01CRU&amp;lang=en_US&amp;offset=0&amp;query=any,contains,991000392579702656","Catalog Record")</f>
        <v/>
      </c>
      <c r="AV3854">
        <f>HYPERLINK("http://www.worldcat.org/oclc/10558700","WorldCat Record")</f>
        <v/>
      </c>
      <c r="AW3854" t="inlineStr">
        <is>
          <t>2898654:eng</t>
        </is>
      </c>
      <c r="AX3854" t="inlineStr">
        <is>
          <t>10558700</t>
        </is>
      </c>
      <c r="AY3854" t="inlineStr">
        <is>
          <t>991000392579702656</t>
        </is>
      </c>
      <c r="AZ3854" t="inlineStr">
        <is>
          <t>991000392579702656</t>
        </is>
      </c>
      <c r="BA3854" t="inlineStr">
        <is>
          <t>2272744200002656</t>
        </is>
      </c>
      <c r="BB3854" t="inlineStr">
        <is>
          <t>BOOK</t>
        </is>
      </c>
      <c r="BD3854" t="inlineStr">
        <is>
          <t>9780521295390</t>
        </is>
      </c>
      <c r="BE3854" t="inlineStr">
        <is>
          <t>32285001060739</t>
        </is>
      </c>
      <c r="BF3854" t="inlineStr">
        <is>
          <t>893896837</t>
        </is>
      </c>
    </row>
    <row r="3855">
      <c r="A3855" t="inlineStr">
        <is>
          <t>No</t>
        </is>
      </c>
      <c r="B3855" t="inlineStr">
        <is>
          <t>CURAL</t>
        </is>
      </c>
      <c r="C3855" t="inlineStr">
        <is>
          <t>SHELVES</t>
        </is>
      </c>
      <c r="D3855" t="inlineStr">
        <is>
          <t>PR8789 .M55</t>
        </is>
      </c>
      <c r="E3855" t="inlineStr">
        <is>
          <t>0                      PR 8789000M  55</t>
        </is>
      </c>
      <c r="F3855" t="inlineStr">
        <is>
          <t>A research guide to modern Irish dramatists / by E. H. Mikhail.</t>
        </is>
      </c>
      <c r="H3855" t="inlineStr">
        <is>
          <t>No</t>
        </is>
      </c>
      <c r="I3855" t="inlineStr">
        <is>
          <t>1</t>
        </is>
      </c>
      <c r="J3855" t="inlineStr">
        <is>
          <t>No</t>
        </is>
      </c>
      <c r="K3855" t="inlineStr">
        <is>
          <t>No</t>
        </is>
      </c>
      <c r="L3855" t="inlineStr">
        <is>
          <t>0</t>
        </is>
      </c>
      <c r="M3855" t="inlineStr">
        <is>
          <t>Mikhail, E. H.</t>
        </is>
      </c>
      <c r="N3855" t="inlineStr">
        <is>
          <t>Troy, N.Y. : Whitston Pub. Co., c1979.</t>
        </is>
      </c>
      <c r="O3855" t="inlineStr">
        <is>
          <t>1979</t>
        </is>
      </c>
      <c r="Q3855" t="inlineStr">
        <is>
          <t>eng</t>
        </is>
      </c>
      <c r="R3855" t="inlineStr">
        <is>
          <t>nyu</t>
        </is>
      </c>
      <c r="T3855" t="inlineStr">
        <is>
          <t xml:space="preserve">PR </t>
        </is>
      </c>
      <c r="U3855" t="n">
        <v>2</v>
      </c>
      <c r="V3855" t="n">
        <v>2</v>
      </c>
      <c r="W3855" t="inlineStr">
        <is>
          <t>2001-03-10</t>
        </is>
      </c>
      <c r="X3855" t="inlineStr">
        <is>
          <t>2001-03-10</t>
        </is>
      </c>
      <c r="Y3855" t="inlineStr">
        <is>
          <t>1992-08-14</t>
        </is>
      </c>
      <c r="Z3855" t="inlineStr">
        <is>
          <t>1992-08-14</t>
        </is>
      </c>
      <c r="AA3855" t="n">
        <v>250</v>
      </c>
      <c r="AB3855" t="n">
        <v>204</v>
      </c>
      <c r="AC3855" t="n">
        <v>295</v>
      </c>
      <c r="AD3855" t="n">
        <v>3</v>
      </c>
      <c r="AE3855" t="n">
        <v>3</v>
      </c>
      <c r="AF3855" t="n">
        <v>11</v>
      </c>
      <c r="AG3855" t="n">
        <v>18</v>
      </c>
      <c r="AH3855" t="n">
        <v>3</v>
      </c>
      <c r="AI3855" t="n">
        <v>9</v>
      </c>
      <c r="AJ3855" t="n">
        <v>4</v>
      </c>
      <c r="AK3855" t="n">
        <v>6</v>
      </c>
      <c r="AL3855" t="n">
        <v>5</v>
      </c>
      <c r="AM3855" t="n">
        <v>6</v>
      </c>
      <c r="AN3855" t="n">
        <v>2</v>
      </c>
      <c r="AO3855" t="n">
        <v>2</v>
      </c>
      <c r="AP3855" t="n">
        <v>0</v>
      </c>
      <c r="AQ3855" t="n">
        <v>0</v>
      </c>
      <c r="AR3855" t="inlineStr">
        <is>
          <t>No</t>
        </is>
      </c>
      <c r="AS3855" t="inlineStr">
        <is>
          <t>Yes</t>
        </is>
      </c>
      <c r="AT3855">
        <f>HYPERLINK("http://catalog.hathitrust.org/Record/002964307","HathiTrust Record")</f>
        <v/>
      </c>
      <c r="AU3855">
        <f>HYPERLINK("https://creighton-primo.hosted.exlibrisgroup.com/primo-explore/search?tab=default_tab&amp;search_scope=EVERYTHING&amp;vid=01CRU&amp;lang=en_US&amp;offset=0&amp;query=any,contains,991004761179702656","Catalog Record")</f>
        <v/>
      </c>
      <c r="AV3855">
        <f>HYPERLINK("http://www.worldcat.org/oclc/5003769","WorldCat Record")</f>
        <v/>
      </c>
      <c r="AW3855" t="inlineStr">
        <is>
          <t>15132111:eng</t>
        </is>
      </c>
      <c r="AX3855" t="inlineStr">
        <is>
          <t>5003769</t>
        </is>
      </c>
      <c r="AY3855" t="inlineStr">
        <is>
          <t>991004761179702656</t>
        </is>
      </c>
      <c r="AZ3855" t="inlineStr">
        <is>
          <t>991004761179702656</t>
        </is>
      </c>
      <c r="BA3855" t="inlineStr">
        <is>
          <t>2262898640002656</t>
        </is>
      </c>
      <c r="BB3855" t="inlineStr">
        <is>
          <t>BOOK</t>
        </is>
      </c>
      <c r="BD3855" t="inlineStr">
        <is>
          <t>9780878751662</t>
        </is>
      </c>
      <c r="BE3855" t="inlineStr">
        <is>
          <t>32285001245280</t>
        </is>
      </c>
      <c r="BF3855" t="inlineStr">
        <is>
          <t>893536195</t>
        </is>
      </c>
    </row>
    <row r="3856">
      <c r="A3856" t="inlineStr">
        <is>
          <t>No</t>
        </is>
      </c>
      <c r="B3856" t="inlineStr">
        <is>
          <t>CURAL</t>
        </is>
      </c>
      <c r="C3856" t="inlineStr">
        <is>
          <t>SHELVES</t>
        </is>
      </c>
      <c r="D3856" t="inlineStr">
        <is>
          <t>PR8789 .R6</t>
        </is>
      </c>
      <c r="E3856" t="inlineStr">
        <is>
          <t>0                      PR 8789000R  6</t>
        </is>
      </c>
      <c r="F3856" t="inlineStr">
        <is>
          <t>The Irish theatre; lectures delivered during the Abbey Theatre festival held in Dublin in August 1938, edited by Lennox Robinson.</t>
        </is>
      </c>
      <c r="H3856" t="inlineStr">
        <is>
          <t>No</t>
        </is>
      </c>
      <c r="I3856" t="inlineStr">
        <is>
          <t>1</t>
        </is>
      </c>
      <c r="J3856" t="inlineStr">
        <is>
          <t>No</t>
        </is>
      </c>
      <c r="K3856" t="inlineStr">
        <is>
          <t>No</t>
        </is>
      </c>
      <c r="L3856" t="inlineStr">
        <is>
          <t>0</t>
        </is>
      </c>
      <c r="M3856" t="inlineStr">
        <is>
          <t>Robinson, Lennox, 1886-1958, editor.</t>
        </is>
      </c>
      <c r="N3856" t="inlineStr">
        <is>
          <t>London, Macmillan, 1939.</t>
        </is>
      </c>
      <c r="O3856" t="inlineStr">
        <is>
          <t>1939</t>
        </is>
      </c>
      <c r="Q3856" t="inlineStr">
        <is>
          <t>eng</t>
        </is>
      </c>
      <c r="R3856" t="inlineStr">
        <is>
          <t>enk</t>
        </is>
      </c>
      <c r="T3856" t="inlineStr">
        <is>
          <t xml:space="preserve">PR </t>
        </is>
      </c>
      <c r="U3856" t="n">
        <v>3</v>
      </c>
      <c r="V3856" t="n">
        <v>3</v>
      </c>
      <c r="W3856" t="inlineStr">
        <is>
          <t>2004-12-12</t>
        </is>
      </c>
      <c r="X3856" t="inlineStr">
        <is>
          <t>2004-12-12</t>
        </is>
      </c>
      <c r="Y3856" t="inlineStr">
        <is>
          <t>1997-04-25</t>
        </is>
      </c>
      <c r="Z3856" t="inlineStr">
        <is>
          <t>1997-04-25</t>
        </is>
      </c>
      <c r="AA3856" t="n">
        <v>309</v>
      </c>
      <c r="AB3856" t="n">
        <v>238</v>
      </c>
      <c r="AC3856" t="n">
        <v>414</v>
      </c>
      <c r="AD3856" t="n">
        <v>2</v>
      </c>
      <c r="AE3856" t="n">
        <v>2</v>
      </c>
      <c r="AF3856" t="n">
        <v>12</v>
      </c>
      <c r="AG3856" t="n">
        <v>19</v>
      </c>
      <c r="AH3856" t="n">
        <v>3</v>
      </c>
      <c r="AI3856" t="n">
        <v>8</v>
      </c>
      <c r="AJ3856" t="n">
        <v>5</v>
      </c>
      <c r="AK3856" t="n">
        <v>8</v>
      </c>
      <c r="AL3856" t="n">
        <v>6</v>
      </c>
      <c r="AM3856" t="n">
        <v>8</v>
      </c>
      <c r="AN3856" t="n">
        <v>1</v>
      </c>
      <c r="AO3856" t="n">
        <v>1</v>
      </c>
      <c r="AP3856" t="n">
        <v>0</v>
      </c>
      <c r="AQ3856" t="n">
        <v>0</v>
      </c>
      <c r="AR3856" t="inlineStr">
        <is>
          <t>No</t>
        </is>
      </c>
      <c r="AS3856" t="inlineStr">
        <is>
          <t>No</t>
        </is>
      </c>
      <c r="AT3856">
        <f>HYPERLINK("http://catalog.hathitrust.org/Record/001026170","HathiTrust Record")</f>
        <v/>
      </c>
      <c r="AU3856">
        <f>HYPERLINK("https://creighton-primo.hosted.exlibrisgroup.com/primo-explore/search?tab=default_tab&amp;search_scope=EVERYTHING&amp;vid=01CRU&amp;lang=en_US&amp;offset=0&amp;query=any,contains,991004705449702656","Catalog Record")</f>
        <v/>
      </c>
      <c r="AV3856">
        <f>HYPERLINK("http://www.worldcat.org/oclc/4708557","WorldCat Record")</f>
        <v/>
      </c>
      <c r="AW3856" t="inlineStr">
        <is>
          <t>502790:eng</t>
        </is>
      </c>
      <c r="AX3856" t="inlineStr">
        <is>
          <t>4708557</t>
        </is>
      </c>
      <c r="AY3856" t="inlineStr">
        <is>
          <t>991004705449702656</t>
        </is>
      </c>
      <c r="AZ3856" t="inlineStr">
        <is>
          <t>991004705449702656</t>
        </is>
      </c>
      <c r="BA3856" t="inlineStr">
        <is>
          <t>2269094840002656</t>
        </is>
      </c>
      <c r="BB3856" t="inlineStr">
        <is>
          <t>BOOK</t>
        </is>
      </c>
      <c r="BE3856" t="inlineStr">
        <is>
          <t>32285002592318</t>
        </is>
      </c>
      <c r="BF3856" t="inlineStr">
        <is>
          <t>893507137</t>
        </is>
      </c>
    </row>
    <row r="3857">
      <c r="A3857" t="inlineStr">
        <is>
          <t>No</t>
        </is>
      </c>
      <c r="B3857" t="inlineStr">
        <is>
          <t>CURAL</t>
        </is>
      </c>
      <c r="C3857" t="inlineStr">
        <is>
          <t>SHELVES</t>
        </is>
      </c>
      <c r="D3857" t="inlineStr">
        <is>
          <t>PR8789 .R65 1985</t>
        </is>
      </c>
      <c r="E3857" t="inlineStr">
        <is>
          <t>0                      PR 8789000R  65          1985</t>
        </is>
      </c>
      <c r="F3857" t="inlineStr">
        <is>
          <t>Divided Ireland : bifocal vision in modern Irish drama / Ronald Gene Rollins.</t>
        </is>
      </c>
      <c r="H3857" t="inlineStr">
        <is>
          <t>No</t>
        </is>
      </c>
      <c r="I3857" t="inlineStr">
        <is>
          <t>1</t>
        </is>
      </c>
      <c r="J3857" t="inlineStr">
        <is>
          <t>No</t>
        </is>
      </c>
      <c r="K3857" t="inlineStr">
        <is>
          <t>No</t>
        </is>
      </c>
      <c r="L3857" t="inlineStr">
        <is>
          <t>0</t>
        </is>
      </c>
      <c r="M3857" t="inlineStr">
        <is>
          <t>Rollins, Ronald Gene.</t>
        </is>
      </c>
      <c r="N3857" t="inlineStr">
        <is>
          <t>Lanham, MD : University Press of America, c1985.</t>
        </is>
      </c>
      <c r="O3857" t="inlineStr">
        <is>
          <t>1985</t>
        </is>
      </c>
      <c r="Q3857" t="inlineStr">
        <is>
          <t>eng</t>
        </is>
      </c>
      <c r="R3857" t="inlineStr">
        <is>
          <t>mdu</t>
        </is>
      </c>
      <c r="T3857" t="inlineStr">
        <is>
          <t xml:space="preserve">PR </t>
        </is>
      </c>
      <c r="U3857" t="n">
        <v>2</v>
      </c>
      <c r="V3857" t="n">
        <v>2</v>
      </c>
      <c r="W3857" t="inlineStr">
        <is>
          <t>2004-03-22</t>
        </is>
      </c>
      <c r="X3857" t="inlineStr">
        <is>
          <t>2004-03-22</t>
        </is>
      </c>
      <c r="Y3857" t="inlineStr">
        <is>
          <t>1992-08-19</t>
        </is>
      </c>
      <c r="Z3857" t="inlineStr">
        <is>
          <t>1992-08-19</t>
        </is>
      </c>
      <c r="AA3857" t="n">
        <v>266</v>
      </c>
      <c r="AB3857" t="n">
        <v>205</v>
      </c>
      <c r="AC3857" t="n">
        <v>213</v>
      </c>
      <c r="AD3857" t="n">
        <v>2</v>
      </c>
      <c r="AE3857" t="n">
        <v>2</v>
      </c>
      <c r="AF3857" t="n">
        <v>11</v>
      </c>
      <c r="AG3857" t="n">
        <v>11</v>
      </c>
      <c r="AH3857" t="n">
        <v>3</v>
      </c>
      <c r="AI3857" t="n">
        <v>3</v>
      </c>
      <c r="AJ3857" t="n">
        <v>4</v>
      </c>
      <c r="AK3857" t="n">
        <v>4</v>
      </c>
      <c r="AL3857" t="n">
        <v>6</v>
      </c>
      <c r="AM3857" t="n">
        <v>6</v>
      </c>
      <c r="AN3857" t="n">
        <v>1</v>
      </c>
      <c r="AO3857" t="n">
        <v>1</v>
      </c>
      <c r="AP3857" t="n">
        <v>0</v>
      </c>
      <c r="AQ3857" t="n">
        <v>0</v>
      </c>
      <c r="AR3857" t="inlineStr">
        <is>
          <t>No</t>
        </is>
      </c>
      <c r="AS3857" t="inlineStr">
        <is>
          <t>Yes</t>
        </is>
      </c>
      <c r="AT3857">
        <f>HYPERLINK("http://catalog.hathitrust.org/Record/000378182","HathiTrust Record")</f>
        <v/>
      </c>
      <c r="AU3857">
        <f>HYPERLINK("https://creighton-primo.hosted.exlibrisgroup.com/primo-explore/search?tab=default_tab&amp;search_scope=EVERYTHING&amp;vid=01CRU&amp;lang=en_US&amp;offset=0&amp;query=any,contains,991000678089702656","Catalog Record")</f>
        <v/>
      </c>
      <c r="AV3857">
        <f>HYPERLINK("http://www.worldcat.org/oclc/12370795","WorldCat Record")</f>
        <v/>
      </c>
      <c r="AW3857" t="inlineStr">
        <is>
          <t>836619604:eng</t>
        </is>
      </c>
      <c r="AX3857" t="inlineStr">
        <is>
          <t>12370795</t>
        </is>
      </c>
      <c r="AY3857" t="inlineStr">
        <is>
          <t>991000678089702656</t>
        </is>
      </c>
      <c r="AZ3857" t="inlineStr">
        <is>
          <t>991000678089702656</t>
        </is>
      </c>
      <c r="BA3857" t="inlineStr">
        <is>
          <t>2261401500002656</t>
        </is>
      </c>
      <c r="BB3857" t="inlineStr">
        <is>
          <t>BOOK</t>
        </is>
      </c>
      <c r="BD3857" t="inlineStr">
        <is>
          <t>9780819149404</t>
        </is>
      </c>
      <c r="BE3857" t="inlineStr">
        <is>
          <t>32285001246858</t>
        </is>
      </c>
      <c r="BF3857" t="inlineStr">
        <is>
          <t>893413584</t>
        </is>
      </c>
    </row>
    <row r="3858">
      <c r="A3858" t="inlineStr">
        <is>
          <t>No</t>
        </is>
      </c>
      <c r="B3858" t="inlineStr">
        <is>
          <t>CURAL</t>
        </is>
      </c>
      <c r="C3858" t="inlineStr">
        <is>
          <t>SHELVES</t>
        </is>
      </c>
      <c r="D3858" t="inlineStr">
        <is>
          <t>PR8789 .S7</t>
        </is>
      </c>
      <c r="E3858" t="inlineStr">
        <is>
          <t>0                      PR 8789000S  7</t>
        </is>
      </c>
      <c r="F3858" t="inlineStr">
        <is>
          <t>Anglo-Irish peasant drama : the motifs of land and emigration / Hans-Georg Stalder.</t>
        </is>
      </c>
      <c r="H3858" t="inlineStr">
        <is>
          <t>No</t>
        </is>
      </c>
      <c r="I3858" t="inlineStr">
        <is>
          <t>1</t>
        </is>
      </c>
      <c r="J3858" t="inlineStr">
        <is>
          <t>No</t>
        </is>
      </c>
      <c r="K3858" t="inlineStr">
        <is>
          <t>No</t>
        </is>
      </c>
      <c r="L3858" t="inlineStr">
        <is>
          <t>0</t>
        </is>
      </c>
      <c r="M3858" t="inlineStr">
        <is>
          <t>Stalder, Hans-Georg.</t>
        </is>
      </c>
      <c r="N3858" t="inlineStr">
        <is>
          <t>Bern ; Las Vegas : P. Lang, c1978.</t>
        </is>
      </c>
      <c r="O3858" t="inlineStr">
        <is>
          <t>1978</t>
        </is>
      </c>
      <c r="Q3858" t="inlineStr">
        <is>
          <t>eng</t>
        </is>
      </c>
      <c r="R3858" t="inlineStr">
        <is>
          <t xml:space="preserve">sz </t>
        </is>
      </c>
      <c r="S3858" t="inlineStr">
        <is>
          <t>European university papers : Series 14, Anglo-Saxon language and literature ; v. 27</t>
        </is>
      </c>
      <c r="T3858" t="inlineStr">
        <is>
          <t xml:space="preserve">PR </t>
        </is>
      </c>
      <c r="U3858" t="n">
        <v>4</v>
      </c>
      <c r="V3858" t="n">
        <v>4</v>
      </c>
      <c r="W3858" t="inlineStr">
        <is>
          <t>2004-02-16</t>
        </is>
      </c>
      <c r="X3858" t="inlineStr">
        <is>
          <t>2004-02-16</t>
        </is>
      </c>
      <c r="Y3858" t="inlineStr">
        <is>
          <t>1992-08-19</t>
        </is>
      </c>
      <c r="Z3858" t="inlineStr">
        <is>
          <t>1992-08-19</t>
        </is>
      </c>
      <c r="AA3858" t="n">
        <v>94</v>
      </c>
      <c r="AB3858" t="n">
        <v>45</v>
      </c>
      <c r="AC3858" t="n">
        <v>47</v>
      </c>
      <c r="AD3858" t="n">
        <v>1</v>
      </c>
      <c r="AE3858" t="n">
        <v>1</v>
      </c>
      <c r="AF3858" t="n">
        <v>1</v>
      </c>
      <c r="AG3858" t="n">
        <v>1</v>
      </c>
      <c r="AH3858" t="n">
        <v>1</v>
      </c>
      <c r="AI3858" t="n">
        <v>1</v>
      </c>
      <c r="AJ3858" t="n">
        <v>1</v>
      </c>
      <c r="AK3858" t="n">
        <v>1</v>
      </c>
      <c r="AL3858" t="n">
        <v>0</v>
      </c>
      <c r="AM3858" t="n">
        <v>0</v>
      </c>
      <c r="AN3858" t="n">
        <v>0</v>
      </c>
      <c r="AO3858" t="n">
        <v>0</v>
      </c>
      <c r="AP3858" t="n">
        <v>0</v>
      </c>
      <c r="AQ3858" t="n">
        <v>0</v>
      </c>
      <c r="AR3858" t="inlineStr">
        <is>
          <t>No</t>
        </is>
      </c>
      <c r="AS3858" t="inlineStr">
        <is>
          <t>Yes</t>
        </is>
      </c>
      <c r="AT3858">
        <f>HYPERLINK("http://catalog.hathitrust.org/Record/000214812","HathiTrust Record")</f>
        <v/>
      </c>
      <c r="AU3858">
        <f>HYPERLINK("https://creighton-primo.hosted.exlibrisgroup.com/primo-explore/search?tab=default_tab&amp;search_scope=EVERYTHING&amp;vid=01CRU&amp;lang=en_US&amp;offset=0&amp;query=any,contains,991004596469702656","Catalog Record")</f>
        <v/>
      </c>
      <c r="AV3858">
        <f>HYPERLINK("http://www.worldcat.org/oclc/4141117","WorldCat Record")</f>
        <v/>
      </c>
      <c r="AW3858" t="inlineStr">
        <is>
          <t>303305867:eng</t>
        </is>
      </c>
      <c r="AX3858" t="inlineStr">
        <is>
          <t>4141117</t>
        </is>
      </c>
      <c r="AY3858" t="inlineStr">
        <is>
          <t>991004596469702656</t>
        </is>
      </c>
      <c r="AZ3858" t="inlineStr">
        <is>
          <t>991004596469702656</t>
        </is>
      </c>
      <c r="BA3858" t="inlineStr">
        <is>
          <t>2260166990002656</t>
        </is>
      </c>
      <c r="BB3858" t="inlineStr">
        <is>
          <t>BOOK</t>
        </is>
      </c>
      <c r="BD3858" t="inlineStr">
        <is>
          <t>9783261030399</t>
        </is>
      </c>
      <c r="BE3858" t="inlineStr">
        <is>
          <t>32285001246874</t>
        </is>
      </c>
      <c r="BF3858" t="inlineStr">
        <is>
          <t>893788897</t>
        </is>
      </c>
    </row>
    <row r="3859">
      <c r="A3859" t="inlineStr">
        <is>
          <t>No</t>
        </is>
      </c>
      <c r="B3859" t="inlineStr">
        <is>
          <t>CURAL</t>
        </is>
      </c>
      <c r="C3859" t="inlineStr">
        <is>
          <t>SHELVES</t>
        </is>
      </c>
      <c r="D3859" t="inlineStr">
        <is>
          <t>PR8789 .W4 1966</t>
        </is>
      </c>
      <c r="E3859" t="inlineStr">
        <is>
          <t>0                      PR 8789000W  4           1966</t>
        </is>
      </c>
      <c r="F3859" t="inlineStr">
        <is>
          <t>Irish plays and playwrights.</t>
        </is>
      </c>
      <c r="H3859" t="inlineStr">
        <is>
          <t>No</t>
        </is>
      </c>
      <c r="I3859" t="inlineStr">
        <is>
          <t>1</t>
        </is>
      </c>
      <c r="J3859" t="inlineStr">
        <is>
          <t>No</t>
        </is>
      </c>
      <c r="K3859" t="inlineStr">
        <is>
          <t>Yes</t>
        </is>
      </c>
      <c r="L3859" t="inlineStr">
        <is>
          <t>0</t>
        </is>
      </c>
      <c r="M3859" t="inlineStr">
        <is>
          <t>Weygandt, Cornelius, 1871-1957.</t>
        </is>
      </c>
      <c r="N3859" t="inlineStr">
        <is>
          <t>Port Washington, N.Y. : Kennikat Press, [1966, c1913]</t>
        </is>
      </c>
      <c r="O3859" t="inlineStr">
        <is>
          <t>1966</t>
        </is>
      </c>
      <c r="Q3859" t="inlineStr">
        <is>
          <t>eng</t>
        </is>
      </c>
      <c r="R3859" t="inlineStr">
        <is>
          <t>nyu</t>
        </is>
      </c>
      <c r="T3859" t="inlineStr">
        <is>
          <t xml:space="preserve">PR </t>
        </is>
      </c>
      <c r="U3859" t="n">
        <v>1</v>
      </c>
      <c r="V3859" t="n">
        <v>1</v>
      </c>
      <c r="W3859" t="inlineStr">
        <is>
          <t>2004-04-25</t>
        </is>
      </c>
      <c r="X3859" t="inlineStr">
        <is>
          <t>2004-04-25</t>
        </is>
      </c>
      <c r="Y3859" t="inlineStr">
        <is>
          <t>1992-08-19</t>
        </is>
      </c>
      <c r="Z3859" t="inlineStr">
        <is>
          <t>1992-08-19</t>
        </is>
      </c>
      <c r="AA3859" t="n">
        <v>368</v>
      </c>
      <c r="AB3859" t="n">
        <v>334</v>
      </c>
      <c r="AC3859" t="n">
        <v>855</v>
      </c>
      <c r="AD3859" t="n">
        <v>3</v>
      </c>
      <c r="AE3859" t="n">
        <v>7</v>
      </c>
      <c r="AF3859" t="n">
        <v>17</v>
      </c>
      <c r="AG3859" t="n">
        <v>41</v>
      </c>
      <c r="AH3859" t="n">
        <v>10</v>
      </c>
      <c r="AI3859" t="n">
        <v>15</v>
      </c>
      <c r="AJ3859" t="n">
        <v>4</v>
      </c>
      <c r="AK3859" t="n">
        <v>11</v>
      </c>
      <c r="AL3859" t="n">
        <v>6</v>
      </c>
      <c r="AM3859" t="n">
        <v>19</v>
      </c>
      <c r="AN3859" t="n">
        <v>2</v>
      </c>
      <c r="AO3859" t="n">
        <v>6</v>
      </c>
      <c r="AP3859" t="n">
        <v>0</v>
      </c>
      <c r="AQ3859" t="n">
        <v>0</v>
      </c>
      <c r="AR3859" t="inlineStr">
        <is>
          <t>No</t>
        </is>
      </c>
      <c r="AS3859" t="inlineStr">
        <is>
          <t>Yes</t>
        </is>
      </c>
      <c r="AT3859">
        <f>HYPERLINK("http://catalog.hathitrust.org/Record/001026172","HathiTrust Record")</f>
        <v/>
      </c>
      <c r="AU3859">
        <f>HYPERLINK("https://creighton-primo.hosted.exlibrisgroup.com/primo-explore/search?tab=default_tab&amp;search_scope=EVERYTHING&amp;vid=01CRU&amp;lang=en_US&amp;offset=0&amp;query=any,contains,991004180879702656","Catalog Record")</f>
        <v/>
      </c>
      <c r="AV3859">
        <f>HYPERLINK("http://www.worldcat.org/oclc/2604114","WorldCat Record")</f>
        <v/>
      </c>
      <c r="AW3859" t="inlineStr">
        <is>
          <t>1368700:eng</t>
        </is>
      </c>
      <c r="AX3859" t="inlineStr">
        <is>
          <t>2604114</t>
        </is>
      </c>
      <c r="AY3859" t="inlineStr">
        <is>
          <t>991004180879702656</t>
        </is>
      </c>
      <c r="AZ3859" t="inlineStr">
        <is>
          <t>991004180879702656</t>
        </is>
      </c>
      <c r="BA3859" t="inlineStr">
        <is>
          <t>2270549780002656</t>
        </is>
      </c>
      <c r="BB3859" t="inlineStr">
        <is>
          <t>BOOK</t>
        </is>
      </c>
      <c r="BE3859" t="inlineStr">
        <is>
          <t>32285001246908</t>
        </is>
      </c>
      <c r="BF3859" t="inlineStr">
        <is>
          <t>893593368</t>
        </is>
      </c>
    </row>
    <row r="3860">
      <c r="A3860" t="inlineStr">
        <is>
          <t>No</t>
        </is>
      </c>
      <c r="B3860" t="inlineStr">
        <is>
          <t>CURAL</t>
        </is>
      </c>
      <c r="C3860" t="inlineStr">
        <is>
          <t>SHELVES</t>
        </is>
      </c>
      <c r="D3860" t="inlineStr">
        <is>
          <t>PR8789 .W6</t>
        </is>
      </c>
      <c r="E3860" t="inlineStr">
        <is>
          <t>0                      PR 8789000W  6</t>
        </is>
      </c>
      <c r="F3860" t="inlineStr">
        <is>
          <t>The Irish drama of Europe from Yeats to Beckett / Katharine Worth. --</t>
        </is>
      </c>
      <c r="H3860" t="inlineStr">
        <is>
          <t>No</t>
        </is>
      </c>
      <c r="I3860" t="inlineStr">
        <is>
          <t>1</t>
        </is>
      </c>
      <c r="J3860" t="inlineStr">
        <is>
          <t>No</t>
        </is>
      </c>
      <c r="K3860" t="inlineStr">
        <is>
          <t>No</t>
        </is>
      </c>
      <c r="L3860" t="inlineStr">
        <is>
          <t>0</t>
        </is>
      </c>
      <c r="M3860" t="inlineStr">
        <is>
          <t>Worth, Katharine, 1922-</t>
        </is>
      </c>
      <c r="N3860" t="inlineStr">
        <is>
          <t>Atlantic Highlands, N.J. : Humanities Press, c1978.</t>
        </is>
      </c>
      <c r="O3860" t="inlineStr">
        <is>
          <t>1978</t>
        </is>
      </c>
      <c r="Q3860" t="inlineStr">
        <is>
          <t>eng</t>
        </is>
      </c>
      <c r="R3860" t="inlineStr">
        <is>
          <t>nju</t>
        </is>
      </c>
      <c r="T3860" t="inlineStr">
        <is>
          <t xml:space="preserve">PR </t>
        </is>
      </c>
      <c r="U3860" t="n">
        <v>3</v>
      </c>
      <c r="V3860" t="n">
        <v>3</v>
      </c>
      <c r="W3860" t="inlineStr">
        <is>
          <t>2006-04-13</t>
        </is>
      </c>
      <c r="X3860" t="inlineStr">
        <is>
          <t>2006-04-13</t>
        </is>
      </c>
      <c r="Y3860" t="inlineStr">
        <is>
          <t>1992-08-19</t>
        </is>
      </c>
      <c r="Z3860" t="inlineStr">
        <is>
          <t>1992-08-19</t>
        </is>
      </c>
      <c r="AA3860" t="n">
        <v>547</v>
      </c>
      <c r="AB3860" t="n">
        <v>518</v>
      </c>
      <c r="AC3860" t="n">
        <v>662</v>
      </c>
      <c r="AD3860" t="n">
        <v>4</v>
      </c>
      <c r="AE3860" t="n">
        <v>6</v>
      </c>
      <c r="AF3860" t="n">
        <v>21</v>
      </c>
      <c r="AG3860" t="n">
        <v>32</v>
      </c>
      <c r="AH3860" t="n">
        <v>8</v>
      </c>
      <c r="AI3860" t="n">
        <v>12</v>
      </c>
      <c r="AJ3860" t="n">
        <v>7</v>
      </c>
      <c r="AK3860" t="n">
        <v>9</v>
      </c>
      <c r="AL3860" t="n">
        <v>8</v>
      </c>
      <c r="AM3860" t="n">
        <v>14</v>
      </c>
      <c r="AN3860" t="n">
        <v>3</v>
      </c>
      <c r="AO3860" t="n">
        <v>5</v>
      </c>
      <c r="AP3860" t="n">
        <v>0</v>
      </c>
      <c r="AQ3860" t="n">
        <v>0</v>
      </c>
      <c r="AR3860" t="inlineStr">
        <is>
          <t>No</t>
        </is>
      </c>
      <c r="AS3860" t="inlineStr">
        <is>
          <t>Yes</t>
        </is>
      </c>
      <c r="AT3860">
        <f>HYPERLINK("http://catalog.hathitrust.org/Record/000174575","HathiTrust Record")</f>
        <v/>
      </c>
      <c r="AU3860">
        <f>HYPERLINK("https://creighton-primo.hosted.exlibrisgroup.com/primo-explore/search?tab=default_tab&amp;search_scope=EVERYTHING&amp;vid=01CRU&amp;lang=en_US&amp;offset=0&amp;query=any,contains,991004549849702656","Catalog Record")</f>
        <v/>
      </c>
      <c r="AV3860">
        <f>HYPERLINK("http://www.worldcat.org/oclc/3933077","WorldCat Record")</f>
        <v/>
      </c>
      <c r="AW3860" t="inlineStr">
        <is>
          <t>458965:eng</t>
        </is>
      </c>
      <c r="AX3860" t="inlineStr">
        <is>
          <t>3933077</t>
        </is>
      </c>
      <c r="AY3860" t="inlineStr">
        <is>
          <t>991004549849702656</t>
        </is>
      </c>
      <c r="AZ3860" t="inlineStr">
        <is>
          <t>991004549849702656</t>
        </is>
      </c>
      <c r="BA3860" t="inlineStr">
        <is>
          <t>2266525190002656</t>
        </is>
      </c>
      <c r="BB3860" t="inlineStr">
        <is>
          <t>BOOK</t>
        </is>
      </c>
      <c r="BD3860" t="inlineStr">
        <is>
          <t>9780391008915</t>
        </is>
      </c>
      <c r="BE3860" t="inlineStr">
        <is>
          <t>32285001246916</t>
        </is>
      </c>
      <c r="BF3860" t="inlineStr">
        <is>
          <t>893776149</t>
        </is>
      </c>
    </row>
    <row r="3861">
      <c r="A3861" t="inlineStr">
        <is>
          <t>No</t>
        </is>
      </c>
      <c r="B3861" t="inlineStr">
        <is>
          <t>CURAL</t>
        </is>
      </c>
      <c r="C3861" t="inlineStr">
        <is>
          <t>SHELVES</t>
        </is>
      </c>
      <c r="D3861" t="inlineStr">
        <is>
          <t>PR8795.C57 W5 1977</t>
        </is>
      </c>
      <c r="E3861" t="inlineStr">
        <is>
          <t>0                      PR 8795000C  57                 W  5           1977</t>
        </is>
      </c>
      <c r="F3861" t="inlineStr">
        <is>
          <t>The clown in modern Anglo-Irish drama / Elizabeth Hale Winkler.</t>
        </is>
      </c>
      <c r="H3861" t="inlineStr">
        <is>
          <t>No</t>
        </is>
      </c>
      <c r="I3861" t="inlineStr">
        <is>
          <t>1</t>
        </is>
      </c>
      <c r="J3861" t="inlineStr">
        <is>
          <t>No</t>
        </is>
      </c>
      <c r="K3861" t="inlineStr">
        <is>
          <t>No</t>
        </is>
      </c>
      <c r="L3861" t="inlineStr">
        <is>
          <t>0</t>
        </is>
      </c>
      <c r="M3861" t="inlineStr">
        <is>
          <t>Winkler, Elizabeth Hale.</t>
        </is>
      </c>
      <c r="N3861" t="inlineStr">
        <is>
          <t>Frankfurt/M. : P. Lang, 1977.</t>
        </is>
      </c>
      <c r="O3861" t="inlineStr">
        <is>
          <t>1977</t>
        </is>
      </c>
      <c r="Q3861" t="inlineStr">
        <is>
          <t>eng</t>
        </is>
      </c>
      <c r="R3861" t="inlineStr">
        <is>
          <t xml:space="preserve">gw </t>
        </is>
      </c>
      <c r="S3861" t="inlineStr">
        <is>
          <t>European university papers : Series 14, Anglo-Saxon language and literature ; v. 50</t>
        </is>
      </c>
      <c r="T3861" t="inlineStr">
        <is>
          <t xml:space="preserve">PR </t>
        </is>
      </c>
      <c r="U3861" t="n">
        <v>4</v>
      </c>
      <c r="V3861" t="n">
        <v>4</v>
      </c>
      <c r="W3861" t="inlineStr">
        <is>
          <t>2006-04-13</t>
        </is>
      </c>
      <c r="X3861" t="inlineStr">
        <is>
          <t>2006-04-13</t>
        </is>
      </c>
      <c r="Y3861" t="inlineStr">
        <is>
          <t>1992-01-08</t>
        </is>
      </c>
      <c r="Z3861" t="inlineStr">
        <is>
          <t>1992-01-08</t>
        </is>
      </c>
      <c r="AA3861" t="n">
        <v>90</v>
      </c>
      <c r="AB3861" t="n">
        <v>50</v>
      </c>
      <c r="AC3861" t="n">
        <v>52</v>
      </c>
      <c r="AD3861" t="n">
        <v>1</v>
      </c>
      <c r="AE3861" t="n">
        <v>1</v>
      </c>
      <c r="AF3861" t="n">
        <v>4</v>
      </c>
      <c r="AG3861" t="n">
        <v>4</v>
      </c>
      <c r="AH3861" t="n">
        <v>2</v>
      </c>
      <c r="AI3861" t="n">
        <v>2</v>
      </c>
      <c r="AJ3861" t="n">
        <v>2</v>
      </c>
      <c r="AK3861" t="n">
        <v>2</v>
      </c>
      <c r="AL3861" t="n">
        <v>2</v>
      </c>
      <c r="AM3861" t="n">
        <v>2</v>
      </c>
      <c r="AN3861" t="n">
        <v>0</v>
      </c>
      <c r="AO3861" t="n">
        <v>0</v>
      </c>
      <c r="AP3861" t="n">
        <v>0</v>
      </c>
      <c r="AQ3861" t="n">
        <v>0</v>
      </c>
      <c r="AR3861" t="inlineStr">
        <is>
          <t>No</t>
        </is>
      </c>
      <c r="AS3861" t="inlineStr">
        <is>
          <t>Yes</t>
        </is>
      </c>
      <c r="AT3861">
        <f>HYPERLINK("http://catalog.hathitrust.org/Record/000178180","HathiTrust Record")</f>
        <v/>
      </c>
      <c r="AU3861">
        <f>HYPERLINK("https://creighton-primo.hosted.exlibrisgroup.com/primo-explore/search?tab=default_tab&amp;search_scope=EVERYTHING&amp;vid=01CRU&amp;lang=en_US&amp;offset=0&amp;query=any,contains,991004577189702656","Catalog Record")</f>
        <v/>
      </c>
      <c r="AV3861">
        <f>HYPERLINK("http://www.worldcat.org/oclc/4047063","WorldCat Record")</f>
        <v/>
      </c>
      <c r="AW3861" t="inlineStr">
        <is>
          <t>9020917851:eng</t>
        </is>
      </c>
      <c r="AX3861" t="inlineStr">
        <is>
          <t>4047063</t>
        </is>
      </c>
      <c r="AY3861" t="inlineStr">
        <is>
          <t>991004577189702656</t>
        </is>
      </c>
      <c r="AZ3861" t="inlineStr">
        <is>
          <t>991004577189702656</t>
        </is>
      </c>
      <c r="BA3861" t="inlineStr">
        <is>
          <t>2269172840002656</t>
        </is>
      </c>
      <c r="BB3861" t="inlineStr">
        <is>
          <t>BOOK</t>
        </is>
      </c>
      <c r="BD3861" t="inlineStr">
        <is>
          <t>9783261029034</t>
        </is>
      </c>
      <c r="BE3861" t="inlineStr">
        <is>
          <t>32285000884261</t>
        </is>
      </c>
      <c r="BF3861" t="inlineStr">
        <is>
          <t>893353456</t>
        </is>
      </c>
    </row>
    <row r="3862">
      <c r="A3862" t="inlineStr">
        <is>
          <t>No</t>
        </is>
      </c>
      <c r="B3862" t="inlineStr">
        <is>
          <t>CURAL</t>
        </is>
      </c>
      <c r="C3862" t="inlineStr">
        <is>
          <t>SHELVES</t>
        </is>
      </c>
      <c r="D3862" t="inlineStr">
        <is>
          <t>PR8795.P4 C57 1982</t>
        </is>
      </c>
      <c r="E3862" t="inlineStr">
        <is>
          <t>0                      PR 8795000P  4                  C  57          1982</t>
        </is>
      </c>
      <c r="F3862" t="inlineStr">
        <is>
          <t>The emergence of the Irish peasant play at the Abbey Theatre / by Brenna Katz Clarke.</t>
        </is>
      </c>
      <c r="H3862" t="inlineStr">
        <is>
          <t>No</t>
        </is>
      </c>
      <c r="I3862" t="inlineStr">
        <is>
          <t>1</t>
        </is>
      </c>
      <c r="J3862" t="inlineStr">
        <is>
          <t>No</t>
        </is>
      </c>
      <c r="K3862" t="inlineStr">
        <is>
          <t>No</t>
        </is>
      </c>
      <c r="L3862" t="inlineStr">
        <is>
          <t>0</t>
        </is>
      </c>
      <c r="M3862" t="inlineStr">
        <is>
          <t>Clarke, Brenna Katz.</t>
        </is>
      </c>
      <c r="N3862" t="inlineStr">
        <is>
          <t>Ann Arbor, Mich. : UMI Research Press, c1982.</t>
        </is>
      </c>
      <c r="O3862" t="inlineStr">
        <is>
          <t>1982</t>
        </is>
      </c>
      <c r="Q3862" t="inlineStr">
        <is>
          <t>eng</t>
        </is>
      </c>
      <c r="R3862" t="inlineStr">
        <is>
          <t>miu</t>
        </is>
      </c>
      <c r="S3862" t="inlineStr">
        <is>
          <t>Theater and dramatic studies ; no. 12</t>
        </is>
      </c>
      <c r="T3862" t="inlineStr">
        <is>
          <t xml:space="preserve">PR </t>
        </is>
      </c>
      <c r="U3862" t="n">
        <v>10</v>
      </c>
      <c r="V3862" t="n">
        <v>10</v>
      </c>
      <c r="W3862" t="inlineStr">
        <is>
          <t>2006-03-01</t>
        </is>
      </c>
      <c r="X3862" t="inlineStr">
        <is>
          <t>2006-03-01</t>
        </is>
      </c>
      <c r="Y3862" t="inlineStr">
        <is>
          <t>1991-12-13</t>
        </is>
      </c>
      <c r="Z3862" t="inlineStr">
        <is>
          <t>1991-12-13</t>
        </is>
      </c>
      <c r="AA3862" t="n">
        <v>293</v>
      </c>
      <c r="AB3862" t="n">
        <v>232</v>
      </c>
      <c r="AC3862" t="n">
        <v>235</v>
      </c>
      <c r="AD3862" t="n">
        <v>3</v>
      </c>
      <c r="AE3862" t="n">
        <v>3</v>
      </c>
      <c r="AF3862" t="n">
        <v>9</v>
      </c>
      <c r="AG3862" t="n">
        <v>9</v>
      </c>
      <c r="AH3862" t="n">
        <v>2</v>
      </c>
      <c r="AI3862" t="n">
        <v>2</v>
      </c>
      <c r="AJ3862" t="n">
        <v>2</v>
      </c>
      <c r="AK3862" t="n">
        <v>2</v>
      </c>
      <c r="AL3862" t="n">
        <v>7</v>
      </c>
      <c r="AM3862" t="n">
        <v>7</v>
      </c>
      <c r="AN3862" t="n">
        <v>2</v>
      </c>
      <c r="AO3862" t="n">
        <v>2</v>
      </c>
      <c r="AP3862" t="n">
        <v>0</v>
      </c>
      <c r="AQ3862" t="n">
        <v>0</v>
      </c>
      <c r="AR3862" t="inlineStr">
        <is>
          <t>No</t>
        </is>
      </c>
      <c r="AS3862" t="inlineStr">
        <is>
          <t>Yes</t>
        </is>
      </c>
      <c r="AT3862">
        <f>HYPERLINK("http://catalog.hathitrust.org/Record/000780435","HathiTrust Record")</f>
        <v/>
      </c>
      <c r="AU3862">
        <f>HYPERLINK("https://creighton-primo.hosted.exlibrisgroup.com/primo-explore/search?tab=default_tab&amp;search_scope=EVERYTHING&amp;vid=01CRU&amp;lang=en_US&amp;offset=0&amp;query=any,contains,991005229219702656","Catalog Record")</f>
        <v/>
      </c>
      <c r="AV3862">
        <f>HYPERLINK("http://www.worldcat.org/oclc/8306418","WorldCat Record")</f>
        <v/>
      </c>
      <c r="AW3862" t="inlineStr">
        <is>
          <t>21001455:eng</t>
        </is>
      </c>
      <c r="AX3862" t="inlineStr">
        <is>
          <t>8306418</t>
        </is>
      </c>
      <c r="AY3862" t="inlineStr">
        <is>
          <t>991005229219702656</t>
        </is>
      </c>
      <c r="AZ3862" t="inlineStr">
        <is>
          <t>991005229219702656</t>
        </is>
      </c>
      <c r="BA3862" t="inlineStr">
        <is>
          <t>2269229010002656</t>
        </is>
      </c>
      <c r="BB3862" t="inlineStr">
        <is>
          <t>BOOK</t>
        </is>
      </c>
      <c r="BD3862" t="inlineStr">
        <is>
          <t>9780835712934</t>
        </is>
      </c>
      <c r="BE3862" t="inlineStr">
        <is>
          <t>32285000905835</t>
        </is>
      </c>
      <c r="BF3862" t="inlineStr">
        <is>
          <t>893777065</t>
        </is>
      </c>
    </row>
    <row r="3863">
      <c r="A3863" t="inlineStr">
        <is>
          <t>No</t>
        </is>
      </c>
      <c r="B3863" t="inlineStr">
        <is>
          <t>CURAL</t>
        </is>
      </c>
      <c r="C3863" t="inlineStr">
        <is>
          <t>SHELVES</t>
        </is>
      </c>
      <c r="D3863" t="inlineStr">
        <is>
          <t>PR8795.P64 F67 1991</t>
        </is>
      </c>
      <c r="E3863" t="inlineStr">
        <is>
          <t>0                      PR 8795000P  64                 F  67          1991</t>
        </is>
      </c>
      <c r="F3863" t="inlineStr">
        <is>
          <t>For the land they loved : Irish political melodramas, 1890-1925 / edited and with a critical and historical essay by Cheryl Herr.</t>
        </is>
      </c>
      <c r="H3863" t="inlineStr">
        <is>
          <t>No</t>
        </is>
      </c>
      <c r="I3863" t="inlineStr">
        <is>
          <t>1</t>
        </is>
      </c>
      <c r="J3863" t="inlineStr">
        <is>
          <t>No</t>
        </is>
      </c>
      <c r="K3863" t="inlineStr">
        <is>
          <t>No</t>
        </is>
      </c>
      <c r="L3863" t="inlineStr">
        <is>
          <t>0</t>
        </is>
      </c>
      <c r="N3863" t="inlineStr">
        <is>
          <t>Syracuse, N.Y. : Syracuse University Press, 1991.</t>
        </is>
      </c>
      <c r="O3863" t="inlineStr">
        <is>
          <t>1991</t>
        </is>
      </c>
      <c r="P3863" t="inlineStr">
        <is>
          <t>1st ed.</t>
        </is>
      </c>
      <c r="Q3863" t="inlineStr">
        <is>
          <t>eng</t>
        </is>
      </c>
      <c r="R3863" t="inlineStr">
        <is>
          <t>nyu</t>
        </is>
      </c>
      <c r="S3863" t="inlineStr">
        <is>
          <t>Irish studies</t>
        </is>
      </c>
      <c r="T3863" t="inlineStr">
        <is>
          <t xml:space="preserve">PR </t>
        </is>
      </c>
      <c r="U3863" t="n">
        <v>4</v>
      </c>
      <c r="V3863" t="n">
        <v>4</v>
      </c>
      <c r="W3863" t="inlineStr">
        <is>
          <t>2004-12-06</t>
        </is>
      </c>
      <c r="X3863" t="inlineStr">
        <is>
          <t>2004-12-06</t>
        </is>
      </c>
      <c r="Y3863" t="inlineStr">
        <is>
          <t>1991-03-11</t>
        </is>
      </c>
      <c r="Z3863" t="inlineStr">
        <is>
          <t>1991-03-11</t>
        </is>
      </c>
      <c r="AA3863" t="n">
        <v>279</v>
      </c>
      <c r="AB3863" t="n">
        <v>223</v>
      </c>
      <c r="AC3863" t="n">
        <v>230</v>
      </c>
      <c r="AD3863" t="n">
        <v>1</v>
      </c>
      <c r="AE3863" t="n">
        <v>1</v>
      </c>
      <c r="AF3863" t="n">
        <v>16</v>
      </c>
      <c r="AG3863" t="n">
        <v>16</v>
      </c>
      <c r="AH3863" t="n">
        <v>4</v>
      </c>
      <c r="AI3863" t="n">
        <v>4</v>
      </c>
      <c r="AJ3863" t="n">
        <v>6</v>
      </c>
      <c r="AK3863" t="n">
        <v>6</v>
      </c>
      <c r="AL3863" t="n">
        <v>11</v>
      </c>
      <c r="AM3863" t="n">
        <v>11</v>
      </c>
      <c r="AN3863" t="n">
        <v>0</v>
      </c>
      <c r="AO3863" t="n">
        <v>0</v>
      </c>
      <c r="AP3863" t="n">
        <v>0</v>
      </c>
      <c r="AQ3863" t="n">
        <v>0</v>
      </c>
      <c r="AR3863" t="inlineStr">
        <is>
          <t>No</t>
        </is>
      </c>
      <c r="AS3863" t="inlineStr">
        <is>
          <t>Yes</t>
        </is>
      </c>
      <c r="AT3863">
        <f>HYPERLINK("http://catalog.hathitrust.org/Record/002439221","HathiTrust Record")</f>
        <v/>
      </c>
      <c r="AU3863">
        <f>HYPERLINK("https://creighton-primo.hosted.exlibrisgroup.com/primo-explore/search?tab=default_tab&amp;search_scope=EVERYTHING&amp;vid=01CRU&amp;lang=en_US&amp;offset=0&amp;query=any,contains,991001650409702656","Catalog Record")</f>
        <v/>
      </c>
      <c r="AV3863">
        <f>HYPERLINK("http://www.worldcat.org/oclc/21080308","WorldCat Record")</f>
        <v/>
      </c>
      <c r="AW3863" t="inlineStr">
        <is>
          <t>22527263:eng</t>
        </is>
      </c>
      <c r="AX3863" t="inlineStr">
        <is>
          <t>21080308</t>
        </is>
      </c>
      <c r="AY3863" t="inlineStr">
        <is>
          <t>991001650409702656</t>
        </is>
      </c>
      <c r="AZ3863" t="inlineStr">
        <is>
          <t>991001650409702656</t>
        </is>
      </c>
      <c r="BA3863" t="inlineStr">
        <is>
          <t>2257025460002656</t>
        </is>
      </c>
      <c r="BB3863" t="inlineStr">
        <is>
          <t>BOOK</t>
        </is>
      </c>
      <c r="BD3863" t="inlineStr">
        <is>
          <t>9780815624813</t>
        </is>
      </c>
      <c r="BE3863" t="inlineStr">
        <is>
          <t>32285000494053</t>
        </is>
      </c>
      <c r="BF3863" t="inlineStr">
        <is>
          <t>893426734</t>
        </is>
      </c>
    </row>
    <row r="3864">
      <c r="A3864" t="inlineStr">
        <is>
          <t>No</t>
        </is>
      </c>
      <c r="B3864" t="inlineStr">
        <is>
          <t>CURAL</t>
        </is>
      </c>
      <c r="C3864" t="inlineStr">
        <is>
          <t>SHELVES</t>
        </is>
      </c>
      <c r="D3864" t="inlineStr">
        <is>
          <t>PR8797 .C34 1988</t>
        </is>
      </c>
      <c r="E3864" t="inlineStr">
        <is>
          <t>0                      PR 8797000C  34          1988</t>
        </is>
      </c>
      <c r="F3864" t="inlineStr">
        <is>
          <t>The Irish novel : a critical history / James M. Cahalan.</t>
        </is>
      </c>
      <c r="H3864" t="inlineStr">
        <is>
          <t>No</t>
        </is>
      </c>
      <c r="I3864" t="inlineStr">
        <is>
          <t>1</t>
        </is>
      </c>
      <c r="J3864" t="inlineStr">
        <is>
          <t>No</t>
        </is>
      </c>
      <c r="K3864" t="inlineStr">
        <is>
          <t>No</t>
        </is>
      </c>
      <c r="L3864" t="inlineStr">
        <is>
          <t>0</t>
        </is>
      </c>
      <c r="M3864" t="inlineStr">
        <is>
          <t>Cahalan, James M.</t>
        </is>
      </c>
      <c r="N3864" t="inlineStr">
        <is>
          <t>Boston, MA : Twayne, c1988.</t>
        </is>
      </c>
      <c r="O3864" t="inlineStr">
        <is>
          <t>1988</t>
        </is>
      </c>
      <c r="Q3864" t="inlineStr">
        <is>
          <t>eng</t>
        </is>
      </c>
      <c r="R3864" t="inlineStr">
        <is>
          <t>mau</t>
        </is>
      </c>
      <c r="S3864" t="inlineStr">
        <is>
          <t>Twayne's critical history of the novel</t>
        </is>
      </c>
      <c r="T3864" t="inlineStr">
        <is>
          <t xml:space="preserve">PR </t>
        </is>
      </c>
      <c r="U3864" t="n">
        <v>7</v>
      </c>
      <c r="V3864" t="n">
        <v>7</v>
      </c>
      <c r="W3864" t="inlineStr">
        <is>
          <t>2004-08-12</t>
        </is>
      </c>
      <c r="X3864" t="inlineStr">
        <is>
          <t>2004-08-12</t>
        </is>
      </c>
      <c r="Y3864" t="inlineStr">
        <is>
          <t>1991-12-13</t>
        </is>
      </c>
      <c r="Z3864" t="inlineStr">
        <is>
          <t>1991-12-13</t>
        </is>
      </c>
      <c r="AA3864" t="n">
        <v>700</v>
      </c>
      <c r="AB3864" t="n">
        <v>615</v>
      </c>
      <c r="AC3864" t="n">
        <v>632</v>
      </c>
      <c r="AD3864" t="n">
        <v>4</v>
      </c>
      <c r="AE3864" t="n">
        <v>4</v>
      </c>
      <c r="AF3864" t="n">
        <v>31</v>
      </c>
      <c r="AG3864" t="n">
        <v>31</v>
      </c>
      <c r="AH3864" t="n">
        <v>11</v>
      </c>
      <c r="AI3864" t="n">
        <v>11</v>
      </c>
      <c r="AJ3864" t="n">
        <v>8</v>
      </c>
      <c r="AK3864" t="n">
        <v>8</v>
      </c>
      <c r="AL3864" t="n">
        <v>19</v>
      </c>
      <c r="AM3864" t="n">
        <v>19</v>
      </c>
      <c r="AN3864" t="n">
        <v>3</v>
      </c>
      <c r="AO3864" t="n">
        <v>3</v>
      </c>
      <c r="AP3864" t="n">
        <v>0</v>
      </c>
      <c r="AQ3864" t="n">
        <v>0</v>
      </c>
      <c r="AR3864" t="inlineStr">
        <is>
          <t>No</t>
        </is>
      </c>
      <c r="AS3864" t="inlineStr">
        <is>
          <t>Yes</t>
        </is>
      </c>
      <c r="AT3864">
        <f>HYPERLINK("http://catalog.hathitrust.org/Record/004414997","HathiTrust Record")</f>
        <v/>
      </c>
      <c r="AU3864">
        <f>HYPERLINK("https://creighton-primo.hosted.exlibrisgroup.com/primo-explore/search?tab=default_tab&amp;search_scope=EVERYTHING&amp;vid=01CRU&amp;lang=en_US&amp;offset=0&amp;query=any,contains,991001253919702656","Catalog Record")</f>
        <v/>
      </c>
      <c r="AV3864">
        <f>HYPERLINK("http://www.worldcat.org/oclc/17726778","WorldCat Record")</f>
        <v/>
      </c>
      <c r="AW3864" t="inlineStr">
        <is>
          <t>16649400:eng</t>
        </is>
      </c>
      <c r="AX3864" t="inlineStr">
        <is>
          <t>17726778</t>
        </is>
      </c>
      <c r="AY3864" t="inlineStr">
        <is>
          <t>991001253919702656</t>
        </is>
      </c>
      <c r="AZ3864" t="inlineStr">
        <is>
          <t>991001253919702656</t>
        </is>
      </c>
      <c r="BA3864" t="inlineStr">
        <is>
          <t>2258882910002656</t>
        </is>
      </c>
      <c r="BB3864" t="inlineStr">
        <is>
          <t>BOOK</t>
        </is>
      </c>
      <c r="BD3864" t="inlineStr">
        <is>
          <t>9780805778502</t>
        </is>
      </c>
      <c r="BE3864" t="inlineStr">
        <is>
          <t>32285000890904</t>
        </is>
      </c>
      <c r="BF3864" t="inlineStr">
        <is>
          <t>893444638</t>
        </is>
      </c>
    </row>
    <row r="3865">
      <c r="A3865" t="inlineStr">
        <is>
          <t>No</t>
        </is>
      </c>
      <c r="B3865" t="inlineStr">
        <is>
          <t>CURAL</t>
        </is>
      </c>
      <c r="C3865" t="inlineStr">
        <is>
          <t>SHELVES</t>
        </is>
      </c>
      <c r="D3865" t="inlineStr">
        <is>
          <t>PR8797 .C7 1980</t>
        </is>
      </c>
      <c r="E3865" t="inlineStr">
        <is>
          <t>0                      PR 8797000C  7           1980</t>
        </is>
      </c>
      <c r="F3865" t="inlineStr">
        <is>
          <t>The Anglo-Irish novel / John Cronin.</t>
        </is>
      </c>
      <c r="G3865" t="inlineStr">
        <is>
          <t>V. 2</t>
        </is>
      </c>
      <c r="H3865" t="inlineStr">
        <is>
          <t>Yes</t>
        </is>
      </c>
      <c r="I3865" t="inlineStr">
        <is>
          <t>1</t>
        </is>
      </c>
      <c r="J3865" t="inlineStr">
        <is>
          <t>No</t>
        </is>
      </c>
      <c r="K3865" t="inlineStr">
        <is>
          <t>No</t>
        </is>
      </c>
      <c r="L3865" t="inlineStr">
        <is>
          <t>0</t>
        </is>
      </c>
      <c r="M3865" t="inlineStr">
        <is>
          <t>Cronin, John, 1928-</t>
        </is>
      </c>
      <c r="N3865" t="inlineStr">
        <is>
          <t>Totowa, N.J. : Barnes &amp; Noble Books, 1980-</t>
        </is>
      </c>
      <c r="O3865" t="inlineStr">
        <is>
          <t>1980</t>
        </is>
      </c>
      <c r="Q3865" t="inlineStr">
        <is>
          <t>eng</t>
        </is>
      </c>
      <c r="R3865" t="inlineStr">
        <is>
          <t>nju</t>
        </is>
      </c>
      <c r="T3865" t="inlineStr">
        <is>
          <t xml:space="preserve">PR </t>
        </is>
      </c>
      <c r="U3865" t="n">
        <v>1</v>
      </c>
      <c r="V3865" t="n">
        <v>7</v>
      </c>
      <c r="W3865" t="inlineStr">
        <is>
          <t>2010-02-17</t>
        </is>
      </c>
      <c r="X3865" t="inlineStr">
        <is>
          <t>2010-02-17</t>
        </is>
      </c>
      <c r="Y3865" t="inlineStr">
        <is>
          <t>2010-02-17</t>
        </is>
      </c>
      <c r="Z3865" t="inlineStr">
        <is>
          <t>2010-02-17</t>
        </is>
      </c>
      <c r="AA3865" t="n">
        <v>518</v>
      </c>
      <c r="AB3865" t="n">
        <v>461</v>
      </c>
      <c r="AC3865" t="n">
        <v>467</v>
      </c>
      <c r="AD3865" t="n">
        <v>4</v>
      </c>
      <c r="AE3865" t="n">
        <v>4</v>
      </c>
      <c r="AF3865" t="n">
        <v>24</v>
      </c>
      <c r="AG3865" t="n">
        <v>24</v>
      </c>
      <c r="AH3865" t="n">
        <v>9</v>
      </c>
      <c r="AI3865" t="n">
        <v>9</v>
      </c>
      <c r="AJ3865" t="n">
        <v>7</v>
      </c>
      <c r="AK3865" t="n">
        <v>7</v>
      </c>
      <c r="AL3865" t="n">
        <v>12</v>
      </c>
      <c r="AM3865" t="n">
        <v>12</v>
      </c>
      <c r="AN3865" t="n">
        <v>3</v>
      </c>
      <c r="AO3865" t="n">
        <v>3</v>
      </c>
      <c r="AP3865" t="n">
        <v>0</v>
      </c>
      <c r="AQ3865" t="n">
        <v>0</v>
      </c>
      <c r="AR3865" t="inlineStr">
        <is>
          <t>No</t>
        </is>
      </c>
      <c r="AS3865" t="inlineStr">
        <is>
          <t>Yes</t>
        </is>
      </c>
      <c r="AT3865">
        <f>HYPERLINK("http://catalog.hathitrust.org/Record/000738699","HathiTrust Record")</f>
        <v/>
      </c>
      <c r="AU3865">
        <f>HYPERLINK("https://creighton-primo.hosted.exlibrisgroup.com/primo-explore/search?tab=default_tab&amp;search_scope=EVERYTHING&amp;vid=01CRU&amp;lang=en_US&amp;offset=0&amp;query=any,contains,991005016749702656","Catalog Record")</f>
        <v/>
      </c>
      <c r="AV3865">
        <f>HYPERLINK("http://www.worldcat.org/oclc/6627056","WorldCat Record")</f>
        <v/>
      </c>
      <c r="AW3865" t="inlineStr">
        <is>
          <t>2864638063:eng</t>
        </is>
      </c>
      <c r="AX3865" t="inlineStr">
        <is>
          <t>6627056</t>
        </is>
      </c>
      <c r="AY3865" t="inlineStr">
        <is>
          <t>991005016749702656</t>
        </is>
      </c>
      <c r="AZ3865" t="inlineStr">
        <is>
          <t>991005016749702656</t>
        </is>
      </c>
      <c r="BA3865" t="inlineStr">
        <is>
          <t>2254791630002656</t>
        </is>
      </c>
      <c r="BB3865" t="inlineStr">
        <is>
          <t>BOOK</t>
        </is>
      </c>
      <c r="BD3865" t="inlineStr">
        <is>
          <t>9780389200147</t>
        </is>
      </c>
      <c r="BE3865" t="inlineStr">
        <is>
          <t>32285005574446</t>
        </is>
      </c>
      <c r="BF3865" t="inlineStr">
        <is>
          <t>893332274</t>
        </is>
      </c>
    </row>
    <row r="3866">
      <c r="A3866" t="inlineStr">
        <is>
          <t>No</t>
        </is>
      </c>
      <c r="B3866" t="inlineStr">
        <is>
          <t>CURAL</t>
        </is>
      </c>
      <c r="C3866" t="inlineStr">
        <is>
          <t>SHELVES</t>
        </is>
      </c>
      <c r="D3866" t="inlineStr">
        <is>
          <t>PR8797 .C7 1980</t>
        </is>
      </c>
      <c r="E3866" t="inlineStr">
        <is>
          <t>0                      PR 8797000C  7           1980</t>
        </is>
      </c>
      <c r="F3866" t="inlineStr">
        <is>
          <t>The Anglo-Irish novel / John Cronin.</t>
        </is>
      </c>
      <c r="G3866" t="inlineStr">
        <is>
          <t>V. 1</t>
        </is>
      </c>
      <c r="H3866" t="inlineStr">
        <is>
          <t>Yes</t>
        </is>
      </c>
      <c r="I3866" t="inlineStr">
        <is>
          <t>1</t>
        </is>
      </c>
      <c r="J3866" t="inlineStr">
        <is>
          <t>No</t>
        </is>
      </c>
      <c r="K3866" t="inlineStr">
        <is>
          <t>No</t>
        </is>
      </c>
      <c r="L3866" t="inlineStr">
        <is>
          <t>0</t>
        </is>
      </c>
      <c r="M3866" t="inlineStr">
        <is>
          <t>Cronin, John, 1928-</t>
        </is>
      </c>
      <c r="N3866" t="inlineStr">
        <is>
          <t>Totowa, N.J. : Barnes &amp; Noble Books, 1980-</t>
        </is>
      </c>
      <c r="O3866" t="inlineStr">
        <is>
          <t>1980</t>
        </is>
      </c>
      <c r="Q3866" t="inlineStr">
        <is>
          <t>eng</t>
        </is>
      </c>
      <c r="R3866" t="inlineStr">
        <is>
          <t>nju</t>
        </is>
      </c>
      <c r="T3866" t="inlineStr">
        <is>
          <t xml:space="preserve">PR </t>
        </is>
      </c>
      <c r="U3866" t="n">
        <v>6</v>
      </c>
      <c r="V3866" t="n">
        <v>7</v>
      </c>
      <c r="W3866" t="inlineStr">
        <is>
          <t>2003-11-18</t>
        </is>
      </c>
      <c r="X3866" t="inlineStr">
        <is>
          <t>2010-02-17</t>
        </is>
      </c>
      <c r="Y3866" t="inlineStr">
        <is>
          <t>1992-08-19</t>
        </is>
      </c>
      <c r="Z3866" t="inlineStr">
        <is>
          <t>2010-02-17</t>
        </is>
      </c>
      <c r="AA3866" t="n">
        <v>518</v>
      </c>
      <c r="AB3866" t="n">
        <v>461</v>
      </c>
      <c r="AC3866" t="n">
        <v>467</v>
      </c>
      <c r="AD3866" t="n">
        <v>4</v>
      </c>
      <c r="AE3866" t="n">
        <v>4</v>
      </c>
      <c r="AF3866" t="n">
        <v>24</v>
      </c>
      <c r="AG3866" t="n">
        <v>24</v>
      </c>
      <c r="AH3866" t="n">
        <v>9</v>
      </c>
      <c r="AI3866" t="n">
        <v>9</v>
      </c>
      <c r="AJ3866" t="n">
        <v>7</v>
      </c>
      <c r="AK3866" t="n">
        <v>7</v>
      </c>
      <c r="AL3866" t="n">
        <v>12</v>
      </c>
      <c r="AM3866" t="n">
        <v>12</v>
      </c>
      <c r="AN3866" t="n">
        <v>3</v>
      </c>
      <c r="AO3866" t="n">
        <v>3</v>
      </c>
      <c r="AP3866" t="n">
        <v>0</v>
      </c>
      <c r="AQ3866" t="n">
        <v>0</v>
      </c>
      <c r="AR3866" t="inlineStr">
        <is>
          <t>No</t>
        </is>
      </c>
      <c r="AS3866" t="inlineStr">
        <is>
          <t>Yes</t>
        </is>
      </c>
      <c r="AT3866">
        <f>HYPERLINK("http://catalog.hathitrust.org/Record/000738699","HathiTrust Record")</f>
        <v/>
      </c>
      <c r="AU3866">
        <f>HYPERLINK("https://creighton-primo.hosted.exlibrisgroup.com/primo-explore/search?tab=default_tab&amp;search_scope=EVERYTHING&amp;vid=01CRU&amp;lang=en_US&amp;offset=0&amp;query=any,contains,991005016749702656","Catalog Record")</f>
        <v/>
      </c>
      <c r="AV3866">
        <f>HYPERLINK("http://www.worldcat.org/oclc/6627056","WorldCat Record")</f>
        <v/>
      </c>
      <c r="AW3866" t="inlineStr">
        <is>
          <t>2864638063:eng</t>
        </is>
      </c>
      <c r="AX3866" t="inlineStr">
        <is>
          <t>6627056</t>
        </is>
      </c>
      <c r="AY3866" t="inlineStr">
        <is>
          <t>991005016749702656</t>
        </is>
      </c>
      <c r="AZ3866" t="inlineStr">
        <is>
          <t>991005016749702656</t>
        </is>
      </c>
      <c r="BA3866" t="inlineStr">
        <is>
          <t>2254791630002656</t>
        </is>
      </c>
      <c r="BB3866" t="inlineStr">
        <is>
          <t>BOOK</t>
        </is>
      </c>
      <c r="BD3866" t="inlineStr">
        <is>
          <t>9780389200147</t>
        </is>
      </c>
      <c r="BE3866" t="inlineStr">
        <is>
          <t>32285001246932</t>
        </is>
      </c>
      <c r="BF3866" t="inlineStr">
        <is>
          <t>893319890</t>
        </is>
      </c>
    </row>
    <row r="3867">
      <c r="A3867" t="inlineStr">
        <is>
          <t>No</t>
        </is>
      </c>
      <c r="B3867" t="inlineStr">
        <is>
          <t>CURAL</t>
        </is>
      </c>
      <c r="C3867" t="inlineStr">
        <is>
          <t>SHELVES</t>
        </is>
      </c>
      <c r="D3867" t="inlineStr">
        <is>
          <t>PR8797 .F37 1982</t>
        </is>
      </c>
      <c r="E3867" t="inlineStr">
        <is>
          <t>0                      PR 8797000F  37          1982</t>
        </is>
      </c>
      <c r="F3867" t="inlineStr">
        <is>
          <t>On Irish themes / by James T. Farrell ; edited with an introduction by Dennis Flynn.</t>
        </is>
      </c>
      <c r="H3867" t="inlineStr">
        <is>
          <t>No</t>
        </is>
      </c>
      <c r="I3867" t="inlineStr">
        <is>
          <t>1</t>
        </is>
      </c>
      <c r="J3867" t="inlineStr">
        <is>
          <t>No</t>
        </is>
      </c>
      <c r="K3867" t="inlineStr">
        <is>
          <t>No</t>
        </is>
      </c>
      <c r="L3867" t="inlineStr">
        <is>
          <t>0</t>
        </is>
      </c>
      <c r="M3867" t="inlineStr">
        <is>
          <t>Farrell, James T. (James Thomas), 1904-1979.</t>
        </is>
      </c>
      <c r="N3867" t="inlineStr">
        <is>
          <t>Philadelphia : University of Pennsylvania Press, 1982.</t>
        </is>
      </c>
      <c r="O3867" t="inlineStr">
        <is>
          <t>1982</t>
        </is>
      </c>
      <c r="Q3867" t="inlineStr">
        <is>
          <t>eng</t>
        </is>
      </c>
      <c r="R3867" t="inlineStr">
        <is>
          <t>pau</t>
        </is>
      </c>
      <c r="T3867" t="inlineStr">
        <is>
          <t xml:space="preserve">PR </t>
        </is>
      </c>
      <c r="U3867" t="n">
        <v>7</v>
      </c>
      <c r="V3867" t="n">
        <v>7</v>
      </c>
      <c r="W3867" t="inlineStr">
        <is>
          <t>1995-10-09</t>
        </is>
      </c>
      <c r="X3867" t="inlineStr">
        <is>
          <t>1995-10-09</t>
        </is>
      </c>
      <c r="Y3867" t="inlineStr">
        <is>
          <t>1992-08-19</t>
        </is>
      </c>
      <c r="Z3867" t="inlineStr">
        <is>
          <t>1992-08-19</t>
        </is>
      </c>
      <c r="AA3867" t="n">
        <v>414</v>
      </c>
      <c r="AB3867" t="n">
        <v>359</v>
      </c>
      <c r="AC3867" t="n">
        <v>543</v>
      </c>
      <c r="AD3867" t="n">
        <v>4</v>
      </c>
      <c r="AE3867" t="n">
        <v>4</v>
      </c>
      <c r="AF3867" t="n">
        <v>28</v>
      </c>
      <c r="AG3867" t="n">
        <v>34</v>
      </c>
      <c r="AH3867" t="n">
        <v>12</v>
      </c>
      <c r="AI3867" t="n">
        <v>17</v>
      </c>
      <c r="AJ3867" t="n">
        <v>8</v>
      </c>
      <c r="AK3867" t="n">
        <v>9</v>
      </c>
      <c r="AL3867" t="n">
        <v>11</v>
      </c>
      <c r="AM3867" t="n">
        <v>14</v>
      </c>
      <c r="AN3867" t="n">
        <v>3</v>
      </c>
      <c r="AO3867" t="n">
        <v>3</v>
      </c>
      <c r="AP3867" t="n">
        <v>0</v>
      </c>
      <c r="AQ3867" t="n">
        <v>0</v>
      </c>
      <c r="AR3867" t="inlineStr">
        <is>
          <t>No</t>
        </is>
      </c>
      <c r="AS3867" t="inlineStr">
        <is>
          <t>Yes</t>
        </is>
      </c>
      <c r="AT3867">
        <f>HYPERLINK("http://catalog.hathitrust.org/Record/000272859","HathiTrust Record")</f>
        <v/>
      </c>
      <c r="AU3867">
        <f>HYPERLINK("https://creighton-primo.hosted.exlibrisgroup.com/primo-explore/search?tab=default_tab&amp;search_scope=EVERYTHING&amp;vid=01CRU&amp;lang=en_US&amp;offset=0&amp;query=any,contains,991000050679702656","Catalog Record")</f>
        <v/>
      </c>
      <c r="AV3867">
        <f>HYPERLINK("http://www.worldcat.org/oclc/8688200","WorldCat Record")</f>
        <v/>
      </c>
      <c r="AW3867" t="inlineStr">
        <is>
          <t>24623848:eng</t>
        </is>
      </c>
      <c r="AX3867" t="inlineStr">
        <is>
          <t>8688200</t>
        </is>
      </c>
      <c r="AY3867" t="inlineStr">
        <is>
          <t>991000050679702656</t>
        </is>
      </c>
      <c r="AZ3867" t="inlineStr">
        <is>
          <t>991000050679702656</t>
        </is>
      </c>
      <c r="BA3867" t="inlineStr">
        <is>
          <t>2272574860002656</t>
        </is>
      </c>
      <c r="BB3867" t="inlineStr">
        <is>
          <t>BOOK</t>
        </is>
      </c>
      <c r="BD3867" t="inlineStr">
        <is>
          <t>9780812278613</t>
        </is>
      </c>
      <c r="BE3867" t="inlineStr">
        <is>
          <t>32285001246940</t>
        </is>
      </c>
      <c r="BF3867" t="inlineStr">
        <is>
          <t>893326958</t>
        </is>
      </c>
    </row>
    <row r="3868">
      <c r="A3868" t="inlineStr">
        <is>
          <t>No</t>
        </is>
      </c>
      <c r="B3868" t="inlineStr">
        <is>
          <t>CURAL</t>
        </is>
      </c>
      <c r="C3868" t="inlineStr">
        <is>
          <t>SHELVES</t>
        </is>
      </c>
      <c r="D3868" t="inlineStr">
        <is>
          <t>PR8797 .K5</t>
        </is>
      </c>
      <c r="E3868" t="inlineStr">
        <is>
          <t>0                      PR 8797000K  5</t>
        </is>
      </c>
      <c r="F3868" t="inlineStr">
        <is>
          <t>Modern Irish fiction : a critique / by Benedict Kiely.</t>
        </is>
      </c>
      <c r="H3868" t="inlineStr">
        <is>
          <t>No</t>
        </is>
      </c>
      <c r="I3868" t="inlineStr">
        <is>
          <t>1</t>
        </is>
      </c>
      <c r="J3868" t="inlineStr">
        <is>
          <t>No</t>
        </is>
      </c>
      <c r="K3868" t="inlineStr">
        <is>
          <t>No</t>
        </is>
      </c>
      <c r="L3868" t="inlineStr">
        <is>
          <t>0</t>
        </is>
      </c>
      <c r="M3868" t="inlineStr">
        <is>
          <t>Kiely, Benedict.</t>
        </is>
      </c>
      <c r="N3868" t="inlineStr">
        <is>
          <t>Dublin [Ireland] : Golden Eagle Books, 1950.</t>
        </is>
      </c>
      <c r="O3868" t="inlineStr">
        <is>
          <t>1950</t>
        </is>
      </c>
      <c r="Q3868" t="inlineStr">
        <is>
          <t>eng</t>
        </is>
      </c>
      <c r="R3868" t="inlineStr">
        <is>
          <t xml:space="preserve">xx </t>
        </is>
      </c>
      <c r="T3868" t="inlineStr">
        <is>
          <t xml:space="preserve">PR </t>
        </is>
      </c>
      <c r="U3868" t="n">
        <v>2</v>
      </c>
      <c r="V3868" t="n">
        <v>2</v>
      </c>
      <c r="W3868" t="inlineStr">
        <is>
          <t>2000-11-20</t>
        </is>
      </c>
      <c r="X3868" t="inlineStr">
        <is>
          <t>2000-11-20</t>
        </is>
      </c>
      <c r="Y3868" t="inlineStr">
        <is>
          <t>1992-08-19</t>
        </is>
      </c>
      <c r="Z3868" t="inlineStr">
        <is>
          <t>1992-08-19</t>
        </is>
      </c>
      <c r="AA3868" t="n">
        <v>177</v>
      </c>
      <c r="AB3868" t="n">
        <v>139</v>
      </c>
      <c r="AC3868" t="n">
        <v>141</v>
      </c>
      <c r="AD3868" t="n">
        <v>1</v>
      </c>
      <c r="AE3868" t="n">
        <v>1</v>
      </c>
      <c r="AF3868" t="n">
        <v>17</v>
      </c>
      <c r="AG3868" t="n">
        <v>17</v>
      </c>
      <c r="AH3868" t="n">
        <v>7</v>
      </c>
      <c r="AI3868" t="n">
        <v>7</v>
      </c>
      <c r="AJ3868" t="n">
        <v>6</v>
      </c>
      <c r="AK3868" t="n">
        <v>6</v>
      </c>
      <c r="AL3868" t="n">
        <v>12</v>
      </c>
      <c r="AM3868" t="n">
        <v>12</v>
      </c>
      <c r="AN3868" t="n">
        <v>0</v>
      </c>
      <c r="AO3868" t="n">
        <v>0</v>
      </c>
      <c r="AP3868" t="n">
        <v>0</v>
      </c>
      <c r="AQ3868" t="n">
        <v>0</v>
      </c>
      <c r="AR3868" t="inlineStr">
        <is>
          <t>No</t>
        </is>
      </c>
      <c r="AS3868" t="inlineStr">
        <is>
          <t>Yes</t>
        </is>
      </c>
      <c r="AT3868">
        <f>HYPERLINK("http://catalog.hathitrust.org/Record/001370945","HathiTrust Record")</f>
        <v/>
      </c>
      <c r="AU3868">
        <f>HYPERLINK("https://creighton-primo.hosted.exlibrisgroup.com/primo-explore/search?tab=default_tab&amp;search_scope=EVERYTHING&amp;vid=01CRU&amp;lang=en_US&amp;offset=0&amp;query=any,contains,991003699349702656","Catalog Record")</f>
        <v/>
      </c>
      <c r="AV3868">
        <f>HYPERLINK("http://www.worldcat.org/oclc/1334477","WorldCat Record")</f>
        <v/>
      </c>
      <c r="AW3868" t="inlineStr">
        <is>
          <t>328994148:eng</t>
        </is>
      </c>
      <c r="AX3868" t="inlineStr">
        <is>
          <t>1334477</t>
        </is>
      </c>
      <c r="AY3868" t="inlineStr">
        <is>
          <t>991003699349702656</t>
        </is>
      </c>
      <c r="AZ3868" t="inlineStr">
        <is>
          <t>991003699349702656</t>
        </is>
      </c>
      <c r="BA3868" t="inlineStr">
        <is>
          <t>2258646830002656</t>
        </is>
      </c>
      <c r="BB3868" t="inlineStr">
        <is>
          <t>BOOK</t>
        </is>
      </c>
      <c r="BE3868" t="inlineStr">
        <is>
          <t>32285001246957</t>
        </is>
      </c>
      <c r="BF3868" t="inlineStr">
        <is>
          <t>893234469</t>
        </is>
      </c>
    </row>
    <row r="3869">
      <c r="A3869" t="inlineStr">
        <is>
          <t>No</t>
        </is>
      </c>
      <c r="B3869" t="inlineStr">
        <is>
          <t>CURAL</t>
        </is>
      </c>
      <c r="C3869" t="inlineStr">
        <is>
          <t>SHELVES</t>
        </is>
      </c>
      <c r="D3869" t="inlineStr">
        <is>
          <t>PR8797 .P69 2004</t>
        </is>
      </c>
      <c r="E3869" t="inlineStr">
        <is>
          <t>0                      PR 8797000P  69          2004</t>
        </is>
      </c>
      <c r="F3869" t="inlineStr">
        <is>
          <t>Irish fiction : an introduction / Kersti Tarien Powell.</t>
        </is>
      </c>
      <c r="H3869" t="inlineStr">
        <is>
          <t>No</t>
        </is>
      </c>
      <c r="I3869" t="inlineStr">
        <is>
          <t>1</t>
        </is>
      </c>
      <c r="J3869" t="inlineStr">
        <is>
          <t>No</t>
        </is>
      </c>
      <c r="K3869" t="inlineStr">
        <is>
          <t>No</t>
        </is>
      </c>
      <c r="L3869" t="inlineStr">
        <is>
          <t>0</t>
        </is>
      </c>
      <c r="M3869" t="inlineStr">
        <is>
          <t>Powell, Kersti Tarien.</t>
        </is>
      </c>
      <c r="N3869" t="inlineStr">
        <is>
          <t>New York : Continuum, 2004.</t>
        </is>
      </c>
      <c r="O3869" t="inlineStr">
        <is>
          <t>2004</t>
        </is>
      </c>
      <c r="Q3869" t="inlineStr">
        <is>
          <t>eng</t>
        </is>
      </c>
      <c r="R3869" t="inlineStr">
        <is>
          <t>nyu</t>
        </is>
      </c>
      <c r="S3869" t="inlineStr">
        <is>
          <t>Continuum studies in literary genre</t>
        </is>
      </c>
      <c r="T3869" t="inlineStr">
        <is>
          <t xml:space="preserve">PR </t>
        </is>
      </c>
      <c r="U3869" t="n">
        <v>5</v>
      </c>
      <c r="V3869" t="n">
        <v>5</v>
      </c>
      <c r="W3869" t="inlineStr">
        <is>
          <t>2005-10-25</t>
        </is>
      </c>
      <c r="X3869" t="inlineStr">
        <is>
          <t>2005-10-25</t>
        </is>
      </c>
      <c r="Y3869" t="inlineStr">
        <is>
          <t>2005-01-17</t>
        </is>
      </c>
      <c r="Z3869" t="inlineStr">
        <is>
          <t>2005-01-17</t>
        </is>
      </c>
      <c r="AA3869" t="n">
        <v>347</v>
      </c>
      <c r="AB3869" t="n">
        <v>289</v>
      </c>
      <c r="AC3869" t="n">
        <v>297</v>
      </c>
      <c r="AD3869" t="n">
        <v>2</v>
      </c>
      <c r="AE3869" t="n">
        <v>2</v>
      </c>
      <c r="AF3869" t="n">
        <v>15</v>
      </c>
      <c r="AG3869" t="n">
        <v>15</v>
      </c>
      <c r="AH3869" t="n">
        <v>5</v>
      </c>
      <c r="AI3869" t="n">
        <v>5</v>
      </c>
      <c r="AJ3869" t="n">
        <v>5</v>
      </c>
      <c r="AK3869" t="n">
        <v>5</v>
      </c>
      <c r="AL3869" t="n">
        <v>9</v>
      </c>
      <c r="AM3869" t="n">
        <v>9</v>
      </c>
      <c r="AN3869" t="n">
        <v>1</v>
      </c>
      <c r="AO3869" t="n">
        <v>1</v>
      </c>
      <c r="AP3869" t="n">
        <v>0</v>
      </c>
      <c r="AQ3869" t="n">
        <v>0</v>
      </c>
      <c r="AR3869" t="inlineStr">
        <is>
          <t>No</t>
        </is>
      </c>
      <c r="AS3869" t="inlineStr">
        <is>
          <t>Yes</t>
        </is>
      </c>
      <c r="AT3869">
        <f>HYPERLINK("http://catalog.hathitrust.org/Record/005118683","HathiTrust Record")</f>
        <v/>
      </c>
      <c r="AU3869">
        <f>HYPERLINK("https://creighton-primo.hosted.exlibrisgroup.com/primo-explore/search?tab=default_tab&amp;search_scope=EVERYTHING&amp;vid=01CRU&amp;lang=en_US&amp;offset=0&amp;query=any,contains,991004433589702656","Catalog Record")</f>
        <v/>
      </c>
      <c r="AV3869">
        <f>HYPERLINK("http://www.worldcat.org/oclc/55672091","WorldCat Record")</f>
        <v/>
      </c>
      <c r="AW3869" t="inlineStr">
        <is>
          <t>968735:eng</t>
        </is>
      </c>
      <c r="AX3869" t="inlineStr">
        <is>
          <t>55672091</t>
        </is>
      </c>
      <c r="AY3869" t="inlineStr">
        <is>
          <t>991004433589702656</t>
        </is>
      </c>
      <c r="AZ3869" t="inlineStr">
        <is>
          <t>991004433589702656</t>
        </is>
      </c>
      <c r="BA3869" t="inlineStr">
        <is>
          <t>2263826550002656</t>
        </is>
      </c>
      <c r="BB3869" t="inlineStr">
        <is>
          <t>BOOK</t>
        </is>
      </c>
      <c r="BD3869" t="inlineStr">
        <is>
          <t>9780826415967</t>
        </is>
      </c>
      <c r="BE3869" t="inlineStr">
        <is>
          <t>32285005021349</t>
        </is>
      </c>
      <c r="BF3869" t="inlineStr">
        <is>
          <t>893722427</t>
        </is>
      </c>
    </row>
    <row r="3870">
      <c r="A3870" t="inlineStr">
        <is>
          <t>No</t>
        </is>
      </c>
      <c r="B3870" t="inlineStr">
        <is>
          <t>CURAL</t>
        </is>
      </c>
      <c r="C3870" t="inlineStr">
        <is>
          <t>SHELVES</t>
        </is>
      </c>
      <c r="D3870" t="inlineStr">
        <is>
          <t>PR8801 .F55 1959</t>
        </is>
      </c>
      <c r="E3870" t="inlineStr">
        <is>
          <t>0                      PR 8801000F  55          1959</t>
        </is>
      </c>
      <c r="F3870" t="inlineStr">
        <is>
          <t>The Irish novelists, 1800-1850.</t>
        </is>
      </c>
      <c r="H3870" t="inlineStr">
        <is>
          <t>No</t>
        </is>
      </c>
      <c r="I3870" t="inlineStr">
        <is>
          <t>1</t>
        </is>
      </c>
      <c r="J3870" t="inlineStr">
        <is>
          <t>No</t>
        </is>
      </c>
      <c r="K3870" t="inlineStr">
        <is>
          <t>No</t>
        </is>
      </c>
      <c r="L3870" t="inlineStr">
        <is>
          <t>0</t>
        </is>
      </c>
      <c r="M3870" t="inlineStr">
        <is>
          <t>Flanagan, Thomas, 1923-2002.</t>
        </is>
      </c>
      <c r="N3870" t="inlineStr">
        <is>
          <t>New York : Columbia University Press, 1959, [c1958]</t>
        </is>
      </c>
      <c r="O3870" t="inlineStr">
        <is>
          <t>1959</t>
        </is>
      </c>
      <c r="Q3870" t="inlineStr">
        <is>
          <t>eng</t>
        </is>
      </c>
      <c r="R3870" t="inlineStr">
        <is>
          <t>nyu</t>
        </is>
      </c>
      <c r="T3870" t="inlineStr">
        <is>
          <t xml:space="preserve">PR </t>
        </is>
      </c>
      <c r="U3870" t="n">
        <v>10</v>
      </c>
      <c r="V3870" t="n">
        <v>10</v>
      </c>
      <c r="W3870" t="inlineStr">
        <is>
          <t>2000-01-10</t>
        </is>
      </c>
      <c r="X3870" t="inlineStr">
        <is>
          <t>2000-01-10</t>
        </is>
      </c>
      <c r="Y3870" t="inlineStr">
        <is>
          <t>1992-08-19</t>
        </is>
      </c>
      <c r="Z3870" t="inlineStr">
        <is>
          <t>1992-08-19</t>
        </is>
      </c>
      <c r="AA3870" t="n">
        <v>802</v>
      </c>
      <c r="AB3870" t="n">
        <v>704</v>
      </c>
      <c r="AC3870" t="n">
        <v>817</v>
      </c>
      <c r="AD3870" t="n">
        <v>6</v>
      </c>
      <c r="AE3870" t="n">
        <v>8</v>
      </c>
      <c r="AF3870" t="n">
        <v>41</v>
      </c>
      <c r="AG3870" t="n">
        <v>45</v>
      </c>
      <c r="AH3870" t="n">
        <v>16</v>
      </c>
      <c r="AI3870" t="n">
        <v>16</v>
      </c>
      <c r="AJ3870" t="n">
        <v>9</v>
      </c>
      <c r="AK3870" t="n">
        <v>10</v>
      </c>
      <c r="AL3870" t="n">
        <v>19</v>
      </c>
      <c r="AM3870" t="n">
        <v>21</v>
      </c>
      <c r="AN3870" t="n">
        <v>5</v>
      </c>
      <c r="AO3870" t="n">
        <v>7</v>
      </c>
      <c r="AP3870" t="n">
        <v>0</v>
      </c>
      <c r="AQ3870" t="n">
        <v>0</v>
      </c>
      <c r="AR3870" t="inlineStr">
        <is>
          <t>No</t>
        </is>
      </c>
      <c r="AS3870" t="inlineStr">
        <is>
          <t>Yes</t>
        </is>
      </c>
      <c r="AT3870">
        <f>HYPERLINK("http://catalog.hathitrust.org/Record/001026173","HathiTrust Record")</f>
        <v/>
      </c>
      <c r="AU3870">
        <f>HYPERLINK("https://creighton-primo.hosted.exlibrisgroup.com/primo-explore/search?tab=default_tab&amp;search_scope=EVERYTHING&amp;vid=01CRU&amp;lang=en_US&amp;offset=0&amp;query=any,contains,991002536989702656","Catalog Record")</f>
        <v/>
      </c>
      <c r="AV3870">
        <f>HYPERLINK("http://www.worldcat.org/oclc/367642","WorldCat Record")</f>
        <v/>
      </c>
      <c r="AW3870" t="inlineStr">
        <is>
          <t>57573913:eng</t>
        </is>
      </c>
      <c r="AX3870" t="inlineStr">
        <is>
          <t>367642</t>
        </is>
      </c>
      <c r="AY3870" t="inlineStr">
        <is>
          <t>991002536989702656</t>
        </is>
      </c>
      <c r="AZ3870" t="inlineStr">
        <is>
          <t>991002536989702656</t>
        </is>
      </c>
      <c r="BA3870" t="inlineStr">
        <is>
          <t>2264931360002656</t>
        </is>
      </c>
      <c r="BB3870" t="inlineStr">
        <is>
          <t>BOOK</t>
        </is>
      </c>
      <c r="BE3870" t="inlineStr">
        <is>
          <t>32285001246965</t>
        </is>
      </c>
      <c r="BF3870" t="inlineStr">
        <is>
          <t>893433991</t>
        </is>
      </c>
    </row>
    <row r="3871">
      <c r="A3871" t="inlineStr">
        <is>
          <t>No</t>
        </is>
      </c>
      <c r="B3871" t="inlineStr">
        <is>
          <t>CURAL</t>
        </is>
      </c>
      <c r="C3871" t="inlineStr">
        <is>
          <t>SHELVES</t>
        </is>
      </c>
      <c r="D3871" t="inlineStr">
        <is>
          <t>PR8801 .F6 1987</t>
        </is>
      </c>
      <c r="E3871" t="inlineStr">
        <is>
          <t>0                      PR 8801000F  6           1987</t>
        </is>
      </c>
      <c r="F3871" t="inlineStr">
        <is>
          <t>Fictions of the Irish literary revival : a changeling art / John Wilson Foster.</t>
        </is>
      </c>
      <c r="H3871" t="inlineStr">
        <is>
          <t>No</t>
        </is>
      </c>
      <c r="I3871" t="inlineStr">
        <is>
          <t>1</t>
        </is>
      </c>
      <c r="J3871" t="inlineStr">
        <is>
          <t>No</t>
        </is>
      </c>
      <c r="K3871" t="inlineStr">
        <is>
          <t>Yes</t>
        </is>
      </c>
      <c r="L3871" t="inlineStr">
        <is>
          <t>0</t>
        </is>
      </c>
      <c r="M3871" t="inlineStr">
        <is>
          <t>Foster, John Wilson.</t>
        </is>
      </c>
      <c r="N3871" t="inlineStr">
        <is>
          <t>Syracuse, NY : Syracuse University Press, c1987.</t>
        </is>
      </c>
      <c r="O3871" t="inlineStr">
        <is>
          <t>1987</t>
        </is>
      </c>
      <c r="P3871" t="inlineStr">
        <is>
          <t>1st ed.</t>
        </is>
      </c>
      <c r="Q3871" t="inlineStr">
        <is>
          <t>eng</t>
        </is>
      </c>
      <c r="R3871" t="inlineStr">
        <is>
          <t>nyu</t>
        </is>
      </c>
      <c r="S3871" t="inlineStr">
        <is>
          <t>Irish studies</t>
        </is>
      </c>
      <c r="T3871" t="inlineStr">
        <is>
          <t xml:space="preserve">PR </t>
        </is>
      </c>
      <c r="U3871" t="n">
        <v>4</v>
      </c>
      <c r="V3871" t="n">
        <v>4</v>
      </c>
      <c r="W3871" t="inlineStr">
        <is>
          <t>1996-10-31</t>
        </is>
      </c>
      <c r="X3871" t="inlineStr">
        <is>
          <t>1996-10-31</t>
        </is>
      </c>
      <c r="Y3871" t="inlineStr">
        <is>
          <t>1992-08-19</t>
        </is>
      </c>
      <c r="Z3871" t="inlineStr">
        <is>
          <t>1992-08-19</t>
        </is>
      </c>
      <c r="AA3871" t="n">
        <v>600</v>
      </c>
      <c r="AB3871" t="n">
        <v>487</v>
      </c>
      <c r="AC3871" t="n">
        <v>504</v>
      </c>
      <c r="AD3871" t="n">
        <v>4</v>
      </c>
      <c r="AE3871" t="n">
        <v>4</v>
      </c>
      <c r="AF3871" t="n">
        <v>25</v>
      </c>
      <c r="AG3871" t="n">
        <v>25</v>
      </c>
      <c r="AH3871" t="n">
        <v>11</v>
      </c>
      <c r="AI3871" t="n">
        <v>11</v>
      </c>
      <c r="AJ3871" t="n">
        <v>7</v>
      </c>
      <c r="AK3871" t="n">
        <v>7</v>
      </c>
      <c r="AL3871" t="n">
        <v>13</v>
      </c>
      <c r="AM3871" t="n">
        <v>13</v>
      </c>
      <c r="AN3871" t="n">
        <v>3</v>
      </c>
      <c r="AO3871" t="n">
        <v>3</v>
      </c>
      <c r="AP3871" t="n">
        <v>0</v>
      </c>
      <c r="AQ3871" t="n">
        <v>0</v>
      </c>
      <c r="AR3871" t="inlineStr">
        <is>
          <t>No</t>
        </is>
      </c>
      <c r="AS3871" t="inlineStr">
        <is>
          <t>Yes</t>
        </is>
      </c>
      <c r="AT3871">
        <f>HYPERLINK("http://catalog.hathitrust.org/Record/000852123","HathiTrust Record")</f>
        <v/>
      </c>
      <c r="AU3871">
        <f>HYPERLINK("https://creighton-primo.hosted.exlibrisgroup.com/primo-explore/search?tab=default_tab&amp;search_scope=EVERYTHING&amp;vid=01CRU&amp;lang=en_US&amp;offset=0&amp;query=any,contains,991001000619702656","Catalog Record")</f>
        <v/>
      </c>
      <c r="AV3871">
        <f>HYPERLINK("http://www.worldcat.org/oclc/15198116","WorldCat Record")</f>
        <v/>
      </c>
      <c r="AW3871" t="inlineStr">
        <is>
          <t>354673:eng</t>
        </is>
      </c>
      <c r="AX3871" t="inlineStr">
        <is>
          <t>15198116</t>
        </is>
      </c>
      <c r="AY3871" t="inlineStr">
        <is>
          <t>991001000619702656</t>
        </is>
      </c>
      <c r="AZ3871" t="inlineStr">
        <is>
          <t>991001000619702656</t>
        </is>
      </c>
      <c r="BA3871" t="inlineStr">
        <is>
          <t>2260444590002656</t>
        </is>
      </c>
      <c r="BB3871" t="inlineStr">
        <is>
          <t>BOOK</t>
        </is>
      </c>
      <c r="BD3871" t="inlineStr">
        <is>
          <t>9780815623748</t>
        </is>
      </c>
      <c r="BE3871" t="inlineStr">
        <is>
          <t>32285001246973</t>
        </is>
      </c>
      <c r="BF3871" t="inlineStr">
        <is>
          <t>893407732</t>
        </is>
      </c>
    </row>
    <row r="3872">
      <c r="A3872" t="inlineStr">
        <is>
          <t>No</t>
        </is>
      </c>
      <c r="B3872" t="inlineStr">
        <is>
          <t>CURAL</t>
        </is>
      </c>
      <c r="C3872" t="inlineStr">
        <is>
          <t>SHELVES</t>
        </is>
      </c>
      <c r="D3872" t="inlineStr">
        <is>
          <t>PR8801 .F6 1993a</t>
        </is>
      </c>
      <c r="E3872" t="inlineStr">
        <is>
          <t>0                      PR 8801000F  6           1993a</t>
        </is>
      </c>
      <c r="F3872" t="inlineStr">
        <is>
          <t>Fictions of the Irish literary revival : a changeling art / John Wilson Foster.</t>
        </is>
      </c>
      <c r="H3872" t="inlineStr">
        <is>
          <t>No</t>
        </is>
      </c>
      <c r="I3872" t="inlineStr">
        <is>
          <t>1</t>
        </is>
      </c>
      <c r="J3872" t="inlineStr">
        <is>
          <t>No</t>
        </is>
      </c>
      <c r="K3872" t="inlineStr">
        <is>
          <t>Yes</t>
        </is>
      </c>
      <c r="L3872" t="inlineStr">
        <is>
          <t>0</t>
        </is>
      </c>
      <c r="M3872" t="inlineStr">
        <is>
          <t>Foster, John Wilson.</t>
        </is>
      </c>
      <c r="N3872" t="inlineStr">
        <is>
          <t>Syracuse, NY : Syracuse University Press, 1993.</t>
        </is>
      </c>
      <c r="O3872" t="inlineStr">
        <is>
          <t>1993</t>
        </is>
      </c>
      <c r="P3872" t="inlineStr">
        <is>
          <t>1st pbk. ed.</t>
        </is>
      </c>
      <c r="Q3872" t="inlineStr">
        <is>
          <t>eng</t>
        </is>
      </c>
      <c r="R3872" t="inlineStr">
        <is>
          <t>nyu</t>
        </is>
      </c>
      <c r="S3872" t="inlineStr">
        <is>
          <t>Irish studies</t>
        </is>
      </c>
      <c r="T3872" t="inlineStr">
        <is>
          <t xml:space="preserve">PR </t>
        </is>
      </c>
      <c r="U3872" t="n">
        <v>7</v>
      </c>
      <c r="V3872" t="n">
        <v>7</v>
      </c>
      <c r="W3872" t="inlineStr">
        <is>
          <t>2006-04-13</t>
        </is>
      </c>
      <c r="X3872" t="inlineStr">
        <is>
          <t>2006-04-13</t>
        </is>
      </c>
      <c r="Y3872" t="inlineStr">
        <is>
          <t>1995-01-09</t>
        </is>
      </c>
      <c r="Z3872" t="inlineStr">
        <is>
          <t>1995-01-09</t>
        </is>
      </c>
      <c r="AA3872" t="n">
        <v>26</v>
      </c>
      <c r="AB3872" t="n">
        <v>16</v>
      </c>
      <c r="AC3872" t="n">
        <v>504</v>
      </c>
      <c r="AD3872" t="n">
        <v>1</v>
      </c>
      <c r="AE3872" t="n">
        <v>4</v>
      </c>
      <c r="AF3872" t="n">
        <v>0</v>
      </c>
      <c r="AG3872" t="n">
        <v>25</v>
      </c>
      <c r="AH3872" t="n">
        <v>0</v>
      </c>
      <c r="AI3872" t="n">
        <v>11</v>
      </c>
      <c r="AJ3872" t="n">
        <v>0</v>
      </c>
      <c r="AK3872" t="n">
        <v>7</v>
      </c>
      <c r="AL3872" t="n">
        <v>0</v>
      </c>
      <c r="AM3872" t="n">
        <v>13</v>
      </c>
      <c r="AN3872" t="n">
        <v>0</v>
      </c>
      <c r="AO3872" t="n">
        <v>3</v>
      </c>
      <c r="AP3872" t="n">
        <v>0</v>
      </c>
      <c r="AQ3872" t="n">
        <v>0</v>
      </c>
      <c r="AR3872" t="inlineStr">
        <is>
          <t>No</t>
        </is>
      </c>
      <c r="AS3872" t="inlineStr">
        <is>
          <t>No</t>
        </is>
      </c>
      <c r="AU3872">
        <f>HYPERLINK("https://creighton-primo.hosted.exlibrisgroup.com/primo-explore/search?tab=default_tab&amp;search_scope=EVERYTHING&amp;vid=01CRU&amp;lang=en_US&amp;offset=0&amp;query=any,contains,991002359139702656","Catalog Record")</f>
        <v/>
      </c>
      <c r="AV3872">
        <f>HYPERLINK("http://www.worldcat.org/oclc/30685413","WorldCat Record")</f>
        <v/>
      </c>
      <c r="AW3872" t="inlineStr">
        <is>
          <t>354673:eng</t>
        </is>
      </c>
      <c r="AX3872" t="inlineStr">
        <is>
          <t>30685413</t>
        </is>
      </c>
      <c r="AY3872" t="inlineStr">
        <is>
          <t>991002359139702656</t>
        </is>
      </c>
      <c r="AZ3872" t="inlineStr">
        <is>
          <t>991002359139702656</t>
        </is>
      </c>
      <c r="BA3872" t="inlineStr">
        <is>
          <t>2272074730002656</t>
        </is>
      </c>
      <c r="BB3872" t="inlineStr">
        <is>
          <t>BOOK</t>
        </is>
      </c>
      <c r="BD3872" t="inlineStr">
        <is>
          <t>9780815625889</t>
        </is>
      </c>
      <c r="BE3872" t="inlineStr">
        <is>
          <t>32285001991578</t>
        </is>
      </c>
      <c r="BF3872" t="inlineStr">
        <is>
          <t>893257199</t>
        </is>
      </c>
    </row>
    <row r="3873">
      <c r="A3873" t="inlineStr">
        <is>
          <t>No</t>
        </is>
      </c>
      <c r="B3873" t="inlineStr">
        <is>
          <t>CURAL</t>
        </is>
      </c>
      <c r="C3873" t="inlineStr">
        <is>
          <t>SHELVES</t>
        </is>
      </c>
      <c r="D3873" t="inlineStr">
        <is>
          <t>PR8803 .B36 1990</t>
        </is>
      </c>
      <c r="E3873" t="inlineStr">
        <is>
          <t>0                      PR 8803000B  36          1990</t>
        </is>
      </c>
      <c r="F3873" t="inlineStr">
        <is>
          <t>Banned in Ireland : censorship &amp; the Irish writer / edited for Article 19 by Julia Carlson.</t>
        </is>
      </c>
      <c r="H3873" t="inlineStr">
        <is>
          <t>No</t>
        </is>
      </c>
      <c r="I3873" t="inlineStr">
        <is>
          <t>1</t>
        </is>
      </c>
      <c r="J3873" t="inlineStr">
        <is>
          <t>No</t>
        </is>
      </c>
      <c r="K3873" t="inlineStr">
        <is>
          <t>No</t>
        </is>
      </c>
      <c r="L3873" t="inlineStr">
        <is>
          <t>0</t>
        </is>
      </c>
      <c r="N3873" t="inlineStr">
        <is>
          <t>London : Routledge, 1990.</t>
        </is>
      </c>
      <c r="O3873" t="inlineStr">
        <is>
          <t>1990</t>
        </is>
      </c>
      <c r="Q3873" t="inlineStr">
        <is>
          <t>eng</t>
        </is>
      </c>
      <c r="R3873" t="inlineStr">
        <is>
          <t>enk</t>
        </is>
      </c>
      <c r="T3873" t="inlineStr">
        <is>
          <t xml:space="preserve">PR </t>
        </is>
      </c>
      <c r="U3873" t="n">
        <v>22</v>
      </c>
      <c r="V3873" t="n">
        <v>22</v>
      </c>
      <c r="W3873" t="inlineStr">
        <is>
          <t>2007-01-12</t>
        </is>
      </c>
      <c r="X3873" t="inlineStr">
        <is>
          <t>2007-01-12</t>
        </is>
      </c>
      <c r="Y3873" t="inlineStr">
        <is>
          <t>1991-04-16</t>
        </is>
      </c>
      <c r="Z3873" t="inlineStr">
        <is>
          <t>1991-04-16</t>
        </is>
      </c>
      <c r="AA3873" t="n">
        <v>87</v>
      </c>
      <c r="AB3873" t="n">
        <v>26</v>
      </c>
      <c r="AC3873" t="n">
        <v>378</v>
      </c>
      <c r="AD3873" t="n">
        <v>1</v>
      </c>
      <c r="AE3873" t="n">
        <v>4</v>
      </c>
      <c r="AF3873" t="n">
        <v>0</v>
      </c>
      <c r="AG3873" t="n">
        <v>23</v>
      </c>
      <c r="AH3873" t="n">
        <v>0</v>
      </c>
      <c r="AI3873" t="n">
        <v>4</v>
      </c>
      <c r="AJ3873" t="n">
        <v>0</v>
      </c>
      <c r="AK3873" t="n">
        <v>7</v>
      </c>
      <c r="AL3873" t="n">
        <v>0</v>
      </c>
      <c r="AM3873" t="n">
        <v>9</v>
      </c>
      <c r="AN3873" t="n">
        <v>0</v>
      </c>
      <c r="AO3873" t="n">
        <v>3</v>
      </c>
      <c r="AP3873" t="n">
        <v>0</v>
      </c>
      <c r="AQ3873" t="n">
        <v>3</v>
      </c>
      <c r="AR3873" t="inlineStr">
        <is>
          <t>No</t>
        </is>
      </c>
      <c r="AS3873" t="inlineStr">
        <is>
          <t>No</t>
        </is>
      </c>
      <c r="AU3873">
        <f>HYPERLINK("https://creighton-primo.hosted.exlibrisgroup.com/primo-explore/search?tab=default_tab&amp;search_scope=EVERYTHING&amp;vid=01CRU&amp;lang=en_US&amp;offset=0&amp;query=any,contains,991001835709702656","Catalog Record")</f>
        <v/>
      </c>
      <c r="AV3873">
        <f>HYPERLINK("http://www.worldcat.org/oclc/21226135","WorldCat Record")</f>
        <v/>
      </c>
      <c r="AW3873" t="inlineStr">
        <is>
          <t>889804032:eng</t>
        </is>
      </c>
      <c r="AX3873" t="inlineStr">
        <is>
          <t>21226135</t>
        </is>
      </c>
      <c r="AY3873" t="inlineStr">
        <is>
          <t>991001835709702656</t>
        </is>
      </c>
      <c r="AZ3873" t="inlineStr">
        <is>
          <t>991001835709702656</t>
        </is>
      </c>
      <c r="BA3873" t="inlineStr">
        <is>
          <t>2258394540002656</t>
        </is>
      </c>
      <c r="BB3873" t="inlineStr">
        <is>
          <t>BOOK</t>
        </is>
      </c>
      <c r="BD3873" t="inlineStr">
        <is>
          <t>9780415054140</t>
        </is>
      </c>
      <c r="BE3873" t="inlineStr">
        <is>
          <t>32285000567510</t>
        </is>
      </c>
      <c r="BF3873" t="inlineStr">
        <is>
          <t>893891874</t>
        </is>
      </c>
    </row>
    <row r="3874">
      <c r="A3874" t="inlineStr">
        <is>
          <t>No</t>
        </is>
      </c>
      <c r="B3874" t="inlineStr">
        <is>
          <t>CURAL</t>
        </is>
      </c>
      <c r="C3874" t="inlineStr">
        <is>
          <t>SHELVES</t>
        </is>
      </c>
      <c r="D3874" t="inlineStr">
        <is>
          <t>PR8803 .J44 2002</t>
        </is>
      </c>
      <c r="E3874" t="inlineStr">
        <is>
          <t>0                      PR 8803000J  44          2002</t>
        </is>
      </c>
      <c r="F3874" t="inlineStr">
        <is>
          <t>The Irish novel at the end of the twentieth century : gender, bodies, and power / Jennifer M. Jeffers.</t>
        </is>
      </c>
      <c r="H3874" t="inlineStr">
        <is>
          <t>No</t>
        </is>
      </c>
      <c r="I3874" t="inlineStr">
        <is>
          <t>1</t>
        </is>
      </c>
      <c r="J3874" t="inlineStr">
        <is>
          <t>No</t>
        </is>
      </c>
      <c r="K3874" t="inlineStr">
        <is>
          <t>No</t>
        </is>
      </c>
      <c r="L3874" t="inlineStr">
        <is>
          <t>0</t>
        </is>
      </c>
      <c r="M3874" t="inlineStr">
        <is>
          <t>Jeffers, Jennifer M.</t>
        </is>
      </c>
      <c r="N3874" t="inlineStr">
        <is>
          <t>New York : Palgrave, 2002.</t>
        </is>
      </c>
      <c r="O3874" t="inlineStr">
        <is>
          <t>2002</t>
        </is>
      </c>
      <c r="P3874" t="inlineStr">
        <is>
          <t>1st ed.</t>
        </is>
      </c>
      <c r="Q3874" t="inlineStr">
        <is>
          <t>eng</t>
        </is>
      </c>
      <c r="R3874" t="inlineStr">
        <is>
          <t>nyu</t>
        </is>
      </c>
      <c r="T3874" t="inlineStr">
        <is>
          <t xml:space="preserve">PR </t>
        </is>
      </c>
      <c r="U3874" t="n">
        <v>2</v>
      </c>
      <c r="V3874" t="n">
        <v>2</v>
      </c>
      <c r="W3874" t="inlineStr">
        <is>
          <t>2004-10-04</t>
        </is>
      </c>
      <c r="X3874" t="inlineStr">
        <is>
          <t>2004-10-04</t>
        </is>
      </c>
      <c r="Y3874" t="inlineStr">
        <is>
          <t>2004-03-16</t>
        </is>
      </c>
      <c r="Z3874" t="inlineStr">
        <is>
          <t>2004-03-16</t>
        </is>
      </c>
      <c r="AA3874" t="n">
        <v>333</v>
      </c>
      <c r="AB3874" t="n">
        <v>258</v>
      </c>
      <c r="AC3874" t="n">
        <v>269</v>
      </c>
      <c r="AD3874" t="n">
        <v>3</v>
      </c>
      <c r="AE3874" t="n">
        <v>3</v>
      </c>
      <c r="AF3874" t="n">
        <v>19</v>
      </c>
      <c r="AG3874" t="n">
        <v>19</v>
      </c>
      <c r="AH3874" t="n">
        <v>3</v>
      </c>
      <c r="AI3874" t="n">
        <v>3</v>
      </c>
      <c r="AJ3874" t="n">
        <v>8</v>
      </c>
      <c r="AK3874" t="n">
        <v>8</v>
      </c>
      <c r="AL3874" t="n">
        <v>11</v>
      </c>
      <c r="AM3874" t="n">
        <v>11</v>
      </c>
      <c r="AN3874" t="n">
        <v>2</v>
      </c>
      <c r="AO3874" t="n">
        <v>2</v>
      </c>
      <c r="AP3874" t="n">
        <v>0</v>
      </c>
      <c r="AQ3874" t="n">
        <v>0</v>
      </c>
      <c r="AR3874" t="inlineStr">
        <is>
          <t>No</t>
        </is>
      </c>
      <c r="AS3874" t="inlineStr">
        <is>
          <t>No</t>
        </is>
      </c>
      <c r="AU3874">
        <f>HYPERLINK("https://creighton-primo.hosted.exlibrisgroup.com/primo-explore/search?tab=default_tab&amp;search_scope=EVERYTHING&amp;vid=01CRU&amp;lang=en_US&amp;offset=0&amp;query=any,contains,991004252429702656","Catalog Record")</f>
        <v/>
      </c>
      <c r="AV3874">
        <f>HYPERLINK("http://www.worldcat.org/oclc/47973389","WorldCat Record")</f>
        <v/>
      </c>
      <c r="AW3874" t="inlineStr">
        <is>
          <t>20677223:eng</t>
        </is>
      </c>
      <c r="AX3874" t="inlineStr">
        <is>
          <t>47973389</t>
        </is>
      </c>
      <c r="AY3874" t="inlineStr">
        <is>
          <t>991004252429702656</t>
        </is>
      </c>
      <c r="AZ3874" t="inlineStr">
        <is>
          <t>991004252429702656</t>
        </is>
      </c>
      <c r="BA3874" t="inlineStr">
        <is>
          <t>2271533160002656</t>
        </is>
      </c>
      <c r="BB3874" t="inlineStr">
        <is>
          <t>BOOK</t>
        </is>
      </c>
      <c r="BD3874" t="inlineStr">
        <is>
          <t>9780312238391</t>
        </is>
      </c>
      <c r="BE3874" t="inlineStr">
        <is>
          <t>32285004894522</t>
        </is>
      </c>
      <c r="BF3874" t="inlineStr">
        <is>
          <t>893519423</t>
        </is>
      </c>
    </row>
    <row r="3875">
      <c r="A3875" t="inlineStr">
        <is>
          <t>No</t>
        </is>
      </c>
      <c r="B3875" t="inlineStr">
        <is>
          <t>CURAL</t>
        </is>
      </c>
      <c r="C3875" t="inlineStr">
        <is>
          <t>SHELVES</t>
        </is>
      </c>
      <c r="D3875" t="inlineStr">
        <is>
          <t>PR8803 .S69 1997</t>
        </is>
      </c>
      <c r="E3875" t="inlineStr">
        <is>
          <t>0                      PR 8803000S  69          1997</t>
        </is>
      </c>
      <c r="F3875" t="inlineStr">
        <is>
          <t>The novel &amp; the nation : studies in the new Irish fiction / Gerry Smyth.</t>
        </is>
      </c>
      <c r="H3875" t="inlineStr">
        <is>
          <t>No</t>
        </is>
      </c>
      <c r="I3875" t="inlineStr">
        <is>
          <t>1</t>
        </is>
      </c>
      <c r="J3875" t="inlineStr">
        <is>
          <t>No</t>
        </is>
      </c>
      <c r="K3875" t="inlineStr">
        <is>
          <t>No</t>
        </is>
      </c>
      <c r="L3875" t="inlineStr">
        <is>
          <t>0</t>
        </is>
      </c>
      <c r="M3875" t="inlineStr">
        <is>
          <t>Smyth, Gerry, 1961-</t>
        </is>
      </c>
      <c r="N3875" t="inlineStr">
        <is>
          <t>London ; Chicago : Pluto Press, 1997.</t>
        </is>
      </c>
      <c r="O3875" t="inlineStr">
        <is>
          <t>1997</t>
        </is>
      </c>
      <c r="Q3875" t="inlineStr">
        <is>
          <t>eng</t>
        </is>
      </c>
      <c r="R3875" t="inlineStr">
        <is>
          <t>enk</t>
        </is>
      </c>
      <c r="S3875" t="inlineStr">
        <is>
          <t>Contemporary Irish studies</t>
        </is>
      </c>
      <c r="T3875" t="inlineStr">
        <is>
          <t xml:space="preserve">PR </t>
        </is>
      </c>
      <c r="U3875" t="n">
        <v>7</v>
      </c>
      <c r="V3875" t="n">
        <v>7</v>
      </c>
      <c r="W3875" t="inlineStr">
        <is>
          <t>2004-10-04</t>
        </is>
      </c>
      <c r="X3875" t="inlineStr">
        <is>
          <t>2004-10-04</t>
        </is>
      </c>
      <c r="Y3875" t="inlineStr">
        <is>
          <t>2001-04-25</t>
        </is>
      </c>
      <c r="Z3875" t="inlineStr">
        <is>
          <t>2001-04-25</t>
        </is>
      </c>
      <c r="AA3875" t="n">
        <v>227</v>
      </c>
      <c r="AB3875" t="n">
        <v>137</v>
      </c>
      <c r="AC3875" t="n">
        <v>159</v>
      </c>
      <c r="AD3875" t="n">
        <v>1</v>
      </c>
      <c r="AE3875" t="n">
        <v>1</v>
      </c>
      <c r="AF3875" t="n">
        <v>12</v>
      </c>
      <c r="AG3875" t="n">
        <v>13</v>
      </c>
      <c r="AH3875" t="n">
        <v>4</v>
      </c>
      <c r="AI3875" t="n">
        <v>4</v>
      </c>
      <c r="AJ3875" t="n">
        <v>6</v>
      </c>
      <c r="AK3875" t="n">
        <v>6</v>
      </c>
      <c r="AL3875" t="n">
        <v>7</v>
      </c>
      <c r="AM3875" t="n">
        <v>8</v>
      </c>
      <c r="AN3875" t="n">
        <v>0</v>
      </c>
      <c r="AO3875" t="n">
        <v>0</v>
      </c>
      <c r="AP3875" t="n">
        <v>0</v>
      </c>
      <c r="AQ3875" t="n">
        <v>0</v>
      </c>
      <c r="AR3875" t="inlineStr">
        <is>
          <t>No</t>
        </is>
      </c>
      <c r="AS3875" t="inlineStr">
        <is>
          <t>Yes</t>
        </is>
      </c>
      <c r="AT3875">
        <f>HYPERLINK("http://catalog.hathitrust.org/Record/003946034","HathiTrust Record")</f>
        <v/>
      </c>
      <c r="AU3875">
        <f>HYPERLINK("https://creighton-primo.hosted.exlibrisgroup.com/primo-explore/search?tab=default_tab&amp;search_scope=EVERYTHING&amp;vid=01CRU&amp;lang=en_US&amp;offset=0&amp;query=any,contains,991003529449702656","Catalog Record")</f>
        <v/>
      </c>
      <c r="AV3875">
        <f>HYPERLINK("http://www.worldcat.org/oclc/36446769","WorldCat Record")</f>
        <v/>
      </c>
      <c r="AW3875" t="inlineStr">
        <is>
          <t>364594904:eng</t>
        </is>
      </c>
      <c r="AX3875" t="inlineStr">
        <is>
          <t>36446769</t>
        </is>
      </c>
      <c r="AY3875" t="inlineStr">
        <is>
          <t>991003529449702656</t>
        </is>
      </c>
      <c r="AZ3875" t="inlineStr">
        <is>
          <t>991003529449702656</t>
        </is>
      </c>
      <c r="BA3875" t="inlineStr">
        <is>
          <t>2269695330002656</t>
        </is>
      </c>
      <c r="BB3875" t="inlineStr">
        <is>
          <t>BOOK</t>
        </is>
      </c>
      <c r="BD3875" t="inlineStr">
        <is>
          <t>9780745312200</t>
        </is>
      </c>
      <c r="BE3875" t="inlineStr">
        <is>
          <t>32285004315080</t>
        </is>
      </c>
      <c r="BF3875" t="inlineStr">
        <is>
          <t>893893816</t>
        </is>
      </c>
    </row>
    <row r="3876">
      <c r="A3876" t="inlineStr">
        <is>
          <t>No</t>
        </is>
      </c>
      <c r="B3876" t="inlineStr">
        <is>
          <t>CURAL</t>
        </is>
      </c>
      <c r="C3876" t="inlineStr">
        <is>
          <t>SHELVES</t>
        </is>
      </c>
      <c r="D3876" t="inlineStr">
        <is>
          <t>PR8804 .T56 1989</t>
        </is>
      </c>
      <c r="E3876" t="inlineStr">
        <is>
          <t>0                      PR 8804000T  56          1989</t>
        </is>
      </c>
      <c r="F3876" t="inlineStr">
        <is>
          <t>Everlasting voices : aspects of the modern Irish short story / by Richard J. Thompson.</t>
        </is>
      </c>
      <c r="H3876" t="inlineStr">
        <is>
          <t>No</t>
        </is>
      </c>
      <c r="I3876" t="inlineStr">
        <is>
          <t>1</t>
        </is>
      </c>
      <c r="J3876" t="inlineStr">
        <is>
          <t>No</t>
        </is>
      </c>
      <c r="K3876" t="inlineStr">
        <is>
          <t>No</t>
        </is>
      </c>
      <c r="L3876" t="inlineStr">
        <is>
          <t>0</t>
        </is>
      </c>
      <c r="M3876" t="inlineStr">
        <is>
          <t>Thompson, Richard J.</t>
        </is>
      </c>
      <c r="N3876" t="inlineStr">
        <is>
          <t>Troy, N.Y. : Whitston Pub. Co., 1989.</t>
        </is>
      </c>
      <c r="O3876" t="inlineStr">
        <is>
          <t>1989</t>
        </is>
      </c>
      <c r="Q3876" t="inlineStr">
        <is>
          <t>eng</t>
        </is>
      </c>
      <c r="R3876" t="inlineStr">
        <is>
          <t>nyu</t>
        </is>
      </c>
      <c r="T3876" t="inlineStr">
        <is>
          <t xml:space="preserve">PR </t>
        </is>
      </c>
      <c r="U3876" t="n">
        <v>2</v>
      </c>
      <c r="V3876" t="n">
        <v>2</v>
      </c>
      <c r="W3876" t="inlineStr">
        <is>
          <t>2004-01-05</t>
        </is>
      </c>
      <c r="X3876" t="inlineStr">
        <is>
          <t>2004-01-05</t>
        </is>
      </c>
      <c r="Y3876" t="inlineStr">
        <is>
          <t>1990-03-12</t>
        </is>
      </c>
      <c r="Z3876" t="inlineStr">
        <is>
          <t>1990-03-12</t>
        </is>
      </c>
      <c r="AA3876" t="n">
        <v>254</v>
      </c>
      <c r="AB3876" t="n">
        <v>210</v>
      </c>
      <c r="AC3876" t="n">
        <v>298</v>
      </c>
      <c r="AD3876" t="n">
        <v>4</v>
      </c>
      <c r="AE3876" t="n">
        <v>4</v>
      </c>
      <c r="AF3876" t="n">
        <v>18</v>
      </c>
      <c r="AG3876" t="n">
        <v>24</v>
      </c>
      <c r="AH3876" t="n">
        <v>10</v>
      </c>
      <c r="AI3876" t="n">
        <v>15</v>
      </c>
      <c r="AJ3876" t="n">
        <v>3</v>
      </c>
      <c r="AK3876" t="n">
        <v>5</v>
      </c>
      <c r="AL3876" t="n">
        <v>10</v>
      </c>
      <c r="AM3876" t="n">
        <v>11</v>
      </c>
      <c r="AN3876" t="n">
        <v>3</v>
      </c>
      <c r="AO3876" t="n">
        <v>3</v>
      </c>
      <c r="AP3876" t="n">
        <v>0</v>
      </c>
      <c r="AQ3876" t="n">
        <v>0</v>
      </c>
      <c r="AR3876" t="inlineStr">
        <is>
          <t>No</t>
        </is>
      </c>
      <c r="AS3876" t="inlineStr">
        <is>
          <t>Yes</t>
        </is>
      </c>
      <c r="AT3876">
        <f>HYPERLINK("http://catalog.hathitrust.org/Record/002959402","HathiTrust Record")</f>
        <v/>
      </c>
      <c r="AU3876">
        <f>HYPERLINK("https://creighton-primo.hosted.exlibrisgroup.com/primo-explore/search?tab=default_tab&amp;search_scope=EVERYTHING&amp;vid=01CRU&amp;lang=en_US&amp;offset=0&amp;query=any,contains,991001615879702656","Catalog Record")</f>
        <v/>
      </c>
      <c r="AV3876">
        <f>HYPERLINK("http://www.worldcat.org/oclc/20770740","WorldCat Record")</f>
        <v/>
      </c>
      <c r="AW3876" t="inlineStr">
        <is>
          <t>321775965:eng</t>
        </is>
      </c>
      <c r="AX3876" t="inlineStr">
        <is>
          <t>20770740</t>
        </is>
      </c>
      <c r="AY3876" t="inlineStr">
        <is>
          <t>991001615879702656</t>
        </is>
      </c>
      <c r="AZ3876" t="inlineStr">
        <is>
          <t>991001615879702656</t>
        </is>
      </c>
      <c r="BA3876" t="inlineStr">
        <is>
          <t>2258472580002656</t>
        </is>
      </c>
      <c r="BB3876" t="inlineStr">
        <is>
          <t>BOOK</t>
        </is>
      </c>
      <c r="BD3876" t="inlineStr">
        <is>
          <t>9780878753659</t>
        </is>
      </c>
      <c r="BE3876" t="inlineStr">
        <is>
          <t>32285000044767</t>
        </is>
      </c>
      <c r="BF3876" t="inlineStr">
        <is>
          <t>893891675</t>
        </is>
      </c>
    </row>
    <row r="3877">
      <c r="A3877" t="inlineStr">
        <is>
          <t>No</t>
        </is>
      </c>
      <c r="B3877" t="inlineStr">
        <is>
          <t>CURAL</t>
        </is>
      </c>
      <c r="C3877" t="inlineStr">
        <is>
          <t>SHELVES</t>
        </is>
      </c>
      <c r="D3877" t="inlineStr">
        <is>
          <t>PR8807.C68 K45 2003</t>
        </is>
      </c>
      <c r="E3877" t="inlineStr">
        <is>
          <t>0                      PR 8807000C  68                 K  45          2003</t>
        </is>
      </c>
      <c r="F3877" t="inlineStr">
        <is>
          <t>Literary representations of the Irish country house : civilisation and savagery under the union / Malcolm Kelsall.</t>
        </is>
      </c>
      <c r="H3877" t="inlineStr">
        <is>
          <t>No</t>
        </is>
      </c>
      <c r="I3877" t="inlineStr">
        <is>
          <t>1</t>
        </is>
      </c>
      <c r="J3877" t="inlineStr">
        <is>
          <t>No</t>
        </is>
      </c>
      <c r="K3877" t="inlineStr">
        <is>
          <t>No</t>
        </is>
      </c>
      <c r="L3877" t="inlineStr">
        <is>
          <t>0</t>
        </is>
      </c>
      <c r="M3877" t="inlineStr">
        <is>
          <t>Kelsall, M. M. (Malcolm Miles), 1938-</t>
        </is>
      </c>
      <c r="N3877" t="inlineStr">
        <is>
          <t>Houndmills, Basingstoke, Hampshire ; New York : Palgrave Macmillan, 2003.</t>
        </is>
      </c>
      <c r="O3877" t="inlineStr">
        <is>
          <t>2003</t>
        </is>
      </c>
      <c r="Q3877" t="inlineStr">
        <is>
          <t>eng</t>
        </is>
      </c>
      <c r="R3877" t="inlineStr">
        <is>
          <t>nyu</t>
        </is>
      </c>
      <c r="T3877" t="inlineStr">
        <is>
          <t xml:space="preserve">PR </t>
        </is>
      </c>
      <c r="U3877" t="n">
        <v>2</v>
      </c>
      <c r="V3877" t="n">
        <v>2</v>
      </c>
      <c r="W3877" t="inlineStr">
        <is>
          <t>2006-04-06</t>
        </is>
      </c>
      <c r="X3877" t="inlineStr">
        <is>
          <t>2006-04-06</t>
        </is>
      </c>
      <c r="Y3877" t="inlineStr">
        <is>
          <t>2004-04-15</t>
        </is>
      </c>
      <c r="Z3877" t="inlineStr">
        <is>
          <t>2004-04-15</t>
        </is>
      </c>
      <c r="AA3877" t="n">
        <v>208</v>
      </c>
      <c r="AB3877" t="n">
        <v>169</v>
      </c>
      <c r="AC3877" t="n">
        <v>213</v>
      </c>
      <c r="AD3877" t="n">
        <v>2</v>
      </c>
      <c r="AE3877" t="n">
        <v>2</v>
      </c>
      <c r="AF3877" t="n">
        <v>11</v>
      </c>
      <c r="AG3877" t="n">
        <v>11</v>
      </c>
      <c r="AH3877" t="n">
        <v>3</v>
      </c>
      <c r="AI3877" t="n">
        <v>3</v>
      </c>
      <c r="AJ3877" t="n">
        <v>5</v>
      </c>
      <c r="AK3877" t="n">
        <v>5</v>
      </c>
      <c r="AL3877" t="n">
        <v>4</v>
      </c>
      <c r="AM3877" t="n">
        <v>4</v>
      </c>
      <c r="AN3877" t="n">
        <v>1</v>
      </c>
      <c r="AO3877" t="n">
        <v>1</v>
      </c>
      <c r="AP3877" t="n">
        <v>0</v>
      </c>
      <c r="AQ3877" t="n">
        <v>0</v>
      </c>
      <c r="AR3877" t="inlineStr">
        <is>
          <t>No</t>
        </is>
      </c>
      <c r="AS3877" t="inlineStr">
        <is>
          <t>No</t>
        </is>
      </c>
      <c r="AU3877">
        <f>HYPERLINK("https://creighton-primo.hosted.exlibrisgroup.com/primo-explore/search?tab=default_tab&amp;search_scope=EVERYTHING&amp;vid=01CRU&amp;lang=en_US&amp;offset=0&amp;query=any,contains,991004252749702656","Catalog Record")</f>
        <v/>
      </c>
      <c r="AV3877">
        <f>HYPERLINK("http://www.worldcat.org/oclc/50091757","WorldCat Record")</f>
        <v/>
      </c>
      <c r="AW3877" t="inlineStr">
        <is>
          <t>793939766:eng</t>
        </is>
      </c>
      <c r="AX3877" t="inlineStr">
        <is>
          <t>50091757</t>
        </is>
      </c>
      <c r="AY3877" t="inlineStr">
        <is>
          <t>991004252749702656</t>
        </is>
      </c>
      <c r="AZ3877" t="inlineStr">
        <is>
          <t>991004252749702656</t>
        </is>
      </c>
      <c r="BA3877" t="inlineStr">
        <is>
          <t>2263358650002656</t>
        </is>
      </c>
      <c r="BB3877" t="inlineStr">
        <is>
          <t>BOOK</t>
        </is>
      </c>
      <c r="BD3877" t="inlineStr">
        <is>
          <t>9780333779361</t>
        </is>
      </c>
      <c r="BE3877" t="inlineStr">
        <is>
          <t>32285004899844</t>
        </is>
      </c>
      <c r="BF3877" t="inlineStr">
        <is>
          <t>893513011</t>
        </is>
      </c>
    </row>
    <row r="3878">
      <c r="A3878" t="inlineStr">
        <is>
          <t>No</t>
        </is>
      </c>
      <c r="B3878" t="inlineStr">
        <is>
          <t>CURAL</t>
        </is>
      </c>
      <c r="C3878" t="inlineStr">
        <is>
          <t>SHELVES</t>
        </is>
      </c>
      <c r="D3878" t="inlineStr">
        <is>
          <t>PR8807.F27 Q56 1997</t>
        </is>
      </c>
      <c r="E3878" t="inlineStr">
        <is>
          <t>0                      PR 8807000F  27                 Q  56          1997</t>
        </is>
      </c>
      <c r="F3878" t="inlineStr">
        <is>
          <t>Folklore and the fantastic in twelve modern Irish novels / Marguerite Quintelli-Neary.</t>
        </is>
      </c>
      <c r="H3878" t="inlineStr">
        <is>
          <t>No</t>
        </is>
      </c>
      <c r="I3878" t="inlineStr">
        <is>
          <t>1</t>
        </is>
      </c>
      <c r="J3878" t="inlineStr">
        <is>
          <t>No</t>
        </is>
      </c>
      <c r="K3878" t="inlineStr">
        <is>
          <t>No</t>
        </is>
      </c>
      <c r="L3878" t="inlineStr">
        <is>
          <t>0</t>
        </is>
      </c>
      <c r="M3878" t="inlineStr">
        <is>
          <t>Quintelli-Neary, Marguerite, 1953-</t>
        </is>
      </c>
      <c r="N3878" t="inlineStr">
        <is>
          <t>Westport, Conn. : Greenwood Press, 1997.</t>
        </is>
      </c>
      <c r="O3878" t="inlineStr">
        <is>
          <t>1997</t>
        </is>
      </c>
      <c r="Q3878" t="inlineStr">
        <is>
          <t>eng</t>
        </is>
      </c>
      <c r="R3878" t="inlineStr">
        <is>
          <t>ctu</t>
        </is>
      </c>
      <c r="S3878" t="inlineStr">
        <is>
          <t>Contributions to the study of science fiction and fantasy, 0193-6875 ; no. 76</t>
        </is>
      </c>
      <c r="T3878" t="inlineStr">
        <is>
          <t xml:space="preserve">PR </t>
        </is>
      </c>
      <c r="U3878" t="n">
        <v>11</v>
      </c>
      <c r="V3878" t="n">
        <v>11</v>
      </c>
      <c r="W3878" t="inlineStr">
        <is>
          <t>2006-04-13</t>
        </is>
      </c>
      <c r="X3878" t="inlineStr">
        <is>
          <t>2006-04-13</t>
        </is>
      </c>
      <c r="Y3878" t="inlineStr">
        <is>
          <t>1999-03-23</t>
        </is>
      </c>
      <c r="Z3878" t="inlineStr">
        <is>
          <t>1999-03-23</t>
        </is>
      </c>
      <c r="AA3878" t="n">
        <v>322</v>
      </c>
      <c r="AB3878" t="n">
        <v>266</v>
      </c>
      <c r="AC3878" t="n">
        <v>268</v>
      </c>
      <c r="AD3878" t="n">
        <v>2</v>
      </c>
      <c r="AE3878" t="n">
        <v>2</v>
      </c>
      <c r="AF3878" t="n">
        <v>11</v>
      </c>
      <c r="AG3878" t="n">
        <v>11</v>
      </c>
      <c r="AH3878" t="n">
        <v>2</v>
      </c>
      <c r="AI3878" t="n">
        <v>2</v>
      </c>
      <c r="AJ3878" t="n">
        <v>3</v>
      </c>
      <c r="AK3878" t="n">
        <v>3</v>
      </c>
      <c r="AL3878" t="n">
        <v>8</v>
      </c>
      <c r="AM3878" t="n">
        <v>8</v>
      </c>
      <c r="AN3878" t="n">
        <v>1</v>
      </c>
      <c r="AO3878" t="n">
        <v>1</v>
      </c>
      <c r="AP3878" t="n">
        <v>0</v>
      </c>
      <c r="AQ3878" t="n">
        <v>0</v>
      </c>
      <c r="AR3878" t="inlineStr">
        <is>
          <t>No</t>
        </is>
      </c>
      <c r="AS3878" t="inlineStr">
        <is>
          <t>Yes</t>
        </is>
      </c>
      <c r="AT3878">
        <f>HYPERLINK("http://catalog.hathitrust.org/Record/003968328","HathiTrust Record")</f>
        <v/>
      </c>
      <c r="AU3878">
        <f>HYPERLINK("https://creighton-primo.hosted.exlibrisgroup.com/primo-explore/search?tab=default_tab&amp;search_scope=EVERYTHING&amp;vid=01CRU&amp;lang=en_US&amp;offset=0&amp;query=any,contains,991002799659702656","Catalog Record")</f>
        <v/>
      </c>
      <c r="AV3878">
        <f>HYPERLINK("http://www.worldcat.org/oclc/36768064","WorldCat Record")</f>
        <v/>
      </c>
      <c r="AW3878" t="inlineStr">
        <is>
          <t>612081:eng</t>
        </is>
      </c>
      <c r="AX3878" t="inlineStr">
        <is>
          <t>36768064</t>
        </is>
      </c>
      <c r="AY3878" t="inlineStr">
        <is>
          <t>991002799659702656</t>
        </is>
      </c>
      <c r="AZ3878" t="inlineStr">
        <is>
          <t>991002799659702656</t>
        </is>
      </c>
      <c r="BA3878" t="inlineStr">
        <is>
          <t>2261678220002656</t>
        </is>
      </c>
      <c r="BB3878" t="inlineStr">
        <is>
          <t>BOOK</t>
        </is>
      </c>
      <c r="BD3878" t="inlineStr">
        <is>
          <t>9780313304903</t>
        </is>
      </c>
      <c r="BE3878" t="inlineStr">
        <is>
          <t>32285003534988</t>
        </is>
      </c>
      <c r="BF3878" t="inlineStr">
        <is>
          <t>893698286</t>
        </is>
      </c>
    </row>
    <row r="3879">
      <c r="A3879" t="inlineStr">
        <is>
          <t>No</t>
        </is>
      </c>
      <c r="B3879" t="inlineStr">
        <is>
          <t>CURAL</t>
        </is>
      </c>
      <c r="C3879" t="inlineStr">
        <is>
          <t>SHELVES</t>
        </is>
      </c>
      <c r="D3879" t="inlineStr">
        <is>
          <t>PR8807.H5 C3 1983</t>
        </is>
      </c>
      <c r="E3879" t="inlineStr">
        <is>
          <t>0                      PR 8807000H  5                  C  3           1983</t>
        </is>
      </c>
      <c r="F3879" t="inlineStr">
        <is>
          <t>Great hatred, little room : the Irish historical novel / James M. Cahalan.</t>
        </is>
      </c>
      <c r="H3879" t="inlineStr">
        <is>
          <t>No</t>
        </is>
      </c>
      <c r="I3879" t="inlineStr">
        <is>
          <t>1</t>
        </is>
      </c>
      <c r="J3879" t="inlineStr">
        <is>
          <t>No</t>
        </is>
      </c>
      <c r="K3879" t="inlineStr">
        <is>
          <t>No</t>
        </is>
      </c>
      <c r="L3879" t="inlineStr">
        <is>
          <t>0</t>
        </is>
      </c>
      <c r="M3879" t="inlineStr">
        <is>
          <t>Cahalan, James M.</t>
        </is>
      </c>
      <c r="N3879" t="inlineStr">
        <is>
          <t>Syracuse, N.Y. : Syracuse University Press, 1983.</t>
        </is>
      </c>
      <c r="O3879" t="inlineStr">
        <is>
          <t>1983</t>
        </is>
      </c>
      <c r="P3879" t="inlineStr">
        <is>
          <t>1st ed.</t>
        </is>
      </c>
      <c r="Q3879" t="inlineStr">
        <is>
          <t>eng</t>
        </is>
      </c>
      <c r="R3879" t="inlineStr">
        <is>
          <t>nyu</t>
        </is>
      </c>
      <c r="S3879" t="inlineStr">
        <is>
          <t>Irish studies</t>
        </is>
      </c>
      <c r="T3879" t="inlineStr">
        <is>
          <t xml:space="preserve">PR </t>
        </is>
      </c>
      <c r="U3879" t="n">
        <v>4</v>
      </c>
      <c r="V3879" t="n">
        <v>4</v>
      </c>
      <c r="W3879" t="inlineStr">
        <is>
          <t>2008-10-01</t>
        </is>
      </c>
      <c r="X3879" t="inlineStr">
        <is>
          <t>2008-10-01</t>
        </is>
      </c>
      <c r="Y3879" t="inlineStr">
        <is>
          <t>1992-08-19</t>
        </is>
      </c>
      <c r="Z3879" t="inlineStr">
        <is>
          <t>1992-08-19</t>
        </is>
      </c>
      <c r="AA3879" t="n">
        <v>621</v>
      </c>
      <c r="AB3879" t="n">
        <v>535</v>
      </c>
      <c r="AC3879" t="n">
        <v>543</v>
      </c>
      <c r="AD3879" t="n">
        <v>6</v>
      </c>
      <c r="AE3879" t="n">
        <v>6</v>
      </c>
      <c r="AF3879" t="n">
        <v>35</v>
      </c>
      <c r="AG3879" t="n">
        <v>35</v>
      </c>
      <c r="AH3879" t="n">
        <v>14</v>
      </c>
      <c r="AI3879" t="n">
        <v>14</v>
      </c>
      <c r="AJ3879" t="n">
        <v>9</v>
      </c>
      <c r="AK3879" t="n">
        <v>9</v>
      </c>
      <c r="AL3879" t="n">
        <v>18</v>
      </c>
      <c r="AM3879" t="n">
        <v>18</v>
      </c>
      <c r="AN3879" t="n">
        <v>5</v>
      </c>
      <c r="AO3879" t="n">
        <v>5</v>
      </c>
      <c r="AP3879" t="n">
        <v>0</v>
      </c>
      <c r="AQ3879" t="n">
        <v>0</v>
      </c>
      <c r="AR3879" t="inlineStr">
        <is>
          <t>No</t>
        </is>
      </c>
      <c r="AS3879" t="inlineStr">
        <is>
          <t>Yes</t>
        </is>
      </c>
      <c r="AT3879">
        <f>HYPERLINK("http://catalog.hathitrust.org/Record/000778184","HathiTrust Record")</f>
        <v/>
      </c>
      <c r="AU3879">
        <f>HYPERLINK("https://creighton-primo.hosted.exlibrisgroup.com/primo-explore/search?tab=default_tab&amp;search_scope=EVERYTHING&amp;vid=01CRU&amp;lang=en_US&amp;offset=0&amp;query=any,contains,991005403159702656","Catalog Record")</f>
        <v/>
      </c>
      <c r="AV3879">
        <f>HYPERLINK("http://www.worldcat.org/oclc/9646636","WorldCat Record")</f>
        <v/>
      </c>
      <c r="AW3879" t="inlineStr">
        <is>
          <t>30644934:eng</t>
        </is>
      </c>
      <c r="AX3879" t="inlineStr">
        <is>
          <t>9646636</t>
        </is>
      </c>
      <c r="AY3879" t="inlineStr">
        <is>
          <t>991005403159702656</t>
        </is>
      </c>
      <c r="AZ3879" t="inlineStr">
        <is>
          <t>991005403159702656</t>
        </is>
      </c>
      <c r="BA3879" t="inlineStr">
        <is>
          <t>2268917730002656</t>
        </is>
      </c>
      <c r="BB3879" t="inlineStr">
        <is>
          <t>BOOK</t>
        </is>
      </c>
      <c r="BD3879" t="inlineStr">
        <is>
          <t>9780815622970</t>
        </is>
      </c>
      <c r="BE3879" t="inlineStr">
        <is>
          <t>32285001246981</t>
        </is>
      </c>
      <c r="BF3879" t="inlineStr">
        <is>
          <t>893783626</t>
        </is>
      </c>
    </row>
    <row r="3880">
      <c r="A3880" t="inlineStr">
        <is>
          <t>No</t>
        </is>
      </c>
      <c r="B3880" t="inlineStr">
        <is>
          <t>CURAL</t>
        </is>
      </c>
      <c r="C3880" t="inlineStr">
        <is>
          <t>SHELVES</t>
        </is>
      </c>
      <c r="D3880" t="inlineStr">
        <is>
          <t>PR8807.S5 A9 1982</t>
        </is>
      </c>
      <c r="E3880" t="inlineStr">
        <is>
          <t>0                      PR 8807000S  5                  A  9           1982</t>
        </is>
      </c>
      <c r="F3880" t="inlineStr">
        <is>
          <t>The Irish short story from George Moore to Frank O'Connor / Deborah M. Averill.</t>
        </is>
      </c>
      <c r="H3880" t="inlineStr">
        <is>
          <t>No</t>
        </is>
      </c>
      <c r="I3880" t="inlineStr">
        <is>
          <t>1</t>
        </is>
      </c>
      <c r="J3880" t="inlineStr">
        <is>
          <t>No</t>
        </is>
      </c>
      <c r="K3880" t="inlineStr">
        <is>
          <t>No</t>
        </is>
      </c>
      <c r="L3880" t="inlineStr">
        <is>
          <t>0</t>
        </is>
      </c>
      <c r="M3880" t="inlineStr">
        <is>
          <t>Averill, Deborah M.</t>
        </is>
      </c>
      <c r="N3880" t="inlineStr">
        <is>
          <t>Washington, D.C. : University Press of America, c1982.</t>
        </is>
      </c>
      <c r="O3880" t="inlineStr">
        <is>
          <t>1982</t>
        </is>
      </c>
      <c r="Q3880" t="inlineStr">
        <is>
          <t>eng</t>
        </is>
      </c>
      <c r="R3880" t="inlineStr">
        <is>
          <t>dcu</t>
        </is>
      </c>
      <c r="T3880" t="inlineStr">
        <is>
          <t xml:space="preserve">PR </t>
        </is>
      </c>
      <c r="U3880" t="n">
        <v>3</v>
      </c>
      <c r="V3880" t="n">
        <v>3</v>
      </c>
      <c r="W3880" t="inlineStr">
        <is>
          <t>2000-11-20</t>
        </is>
      </c>
      <c r="X3880" t="inlineStr">
        <is>
          <t>2000-11-20</t>
        </is>
      </c>
      <c r="Y3880" t="inlineStr">
        <is>
          <t>1992-08-19</t>
        </is>
      </c>
      <c r="Z3880" t="inlineStr">
        <is>
          <t>1992-08-19</t>
        </is>
      </c>
      <c r="AA3880" t="n">
        <v>529</v>
      </c>
      <c r="AB3880" t="n">
        <v>450</v>
      </c>
      <c r="AC3880" t="n">
        <v>457</v>
      </c>
      <c r="AD3880" t="n">
        <v>5</v>
      </c>
      <c r="AE3880" t="n">
        <v>5</v>
      </c>
      <c r="AF3880" t="n">
        <v>24</v>
      </c>
      <c r="AG3880" t="n">
        <v>24</v>
      </c>
      <c r="AH3880" t="n">
        <v>9</v>
      </c>
      <c r="AI3880" t="n">
        <v>9</v>
      </c>
      <c r="AJ3880" t="n">
        <v>8</v>
      </c>
      <c r="AK3880" t="n">
        <v>8</v>
      </c>
      <c r="AL3880" t="n">
        <v>10</v>
      </c>
      <c r="AM3880" t="n">
        <v>10</v>
      </c>
      <c r="AN3880" t="n">
        <v>4</v>
      </c>
      <c r="AO3880" t="n">
        <v>4</v>
      </c>
      <c r="AP3880" t="n">
        <v>0</v>
      </c>
      <c r="AQ3880" t="n">
        <v>0</v>
      </c>
      <c r="AR3880" t="inlineStr">
        <is>
          <t>No</t>
        </is>
      </c>
      <c r="AS3880" t="inlineStr">
        <is>
          <t>Yes</t>
        </is>
      </c>
      <c r="AT3880">
        <f>HYPERLINK("http://catalog.hathitrust.org/Record/009491976","HathiTrust Record")</f>
        <v/>
      </c>
      <c r="AU3880">
        <f>HYPERLINK("https://creighton-primo.hosted.exlibrisgroup.com/primo-explore/search?tab=default_tab&amp;search_scope=EVERYTHING&amp;vid=01CRU&amp;lang=en_US&amp;offset=0&amp;query=any,contains,991005190149702656","Catalog Record")</f>
        <v/>
      </c>
      <c r="AV3880">
        <f>HYPERLINK("http://www.worldcat.org/oclc/7998203","WorldCat Record")</f>
        <v/>
      </c>
      <c r="AW3880" t="inlineStr">
        <is>
          <t>483418:eng</t>
        </is>
      </c>
      <c r="AX3880" t="inlineStr">
        <is>
          <t>7998203</t>
        </is>
      </c>
      <c r="AY3880" t="inlineStr">
        <is>
          <t>991005190149702656</t>
        </is>
      </c>
      <c r="AZ3880" t="inlineStr">
        <is>
          <t>991005190149702656</t>
        </is>
      </c>
      <c r="BA3880" t="inlineStr">
        <is>
          <t>2258579480002656</t>
        </is>
      </c>
      <c r="BB3880" t="inlineStr">
        <is>
          <t>BOOK</t>
        </is>
      </c>
      <c r="BD3880" t="inlineStr">
        <is>
          <t>9780819121332</t>
        </is>
      </c>
      <c r="BE3880" t="inlineStr">
        <is>
          <t>32285001247005</t>
        </is>
      </c>
      <c r="BF3880" t="inlineStr">
        <is>
          <t>893713604</t>
        </is>
      </c>
    </row>
    <row r="3881">
      <c r="A3881" t="inlineStr">
        <is>
          <t>No</t>
        </is>
      </c>
      <c r="B3881" t="inlineStr">
        <is>
          <t>CURAL</t>
        </is>
      </c>
      <c r="C3881" t="inlineStr">
        <is>
          <t>SHELVES</t>
        </is>
      </c>
      <c r="D3881" t="inlineStr">
        <is>
          <t>PR8807.S5 I7 1979b</t>
        </is>
      </c>
      <c r="E3881" t="inlineStr">
        <is>
          <t>0                      PR 8807000S  5                  I  7           1979b</t>
        </is>
      </c>
      <c r="F3881" t="inlineStr">
        <is>
          <t>The Irish short story / Declan Kiberd ... [et al.] ; Patrick Rafroidi, Terence Brown, editors.</t>
        </is>
      </c>
      <c r="H3881" t="inlineStr">
        <is>
          <t>No</t>
        </is>
      </c>
      <c r="I3881" t="inlineStr">
        <is>
          <t>1</t>
        </is>
      </c>
      <c r="J3881" t="inlineStr">
        <is>
          <t>No</t>
        </is>
      </c>
      <c r="K3881" t="inlineStr">
        <is>
          <t>No</t>
        </is>
      </c>
      <c r="L3881" t="inlineStr">
        <is>
          <t>0</t>
        </is>
      </c>
      <c r="N3881" t="inlineStr">
        <is>
          <t>Buckinghamshire, [Eng.] : Colin Smythe Ltd. ; Atlantic Highlands, N. J. ; Humanities Press, Inc., c1979.</t>
        </is>
      </c>
      <c r="O3881" t="inlineStr">
        <is>
          <t>1979</t>
        </is>
      </c>
      <c r="Q3881" t="inlineStr">
        <is>
          <t>eng</t>
        </is>
      </c>
      <c r="R3881" t="inlineStr">
        <is>
          <t>enk</t>
        </is>
      </c>
      <c r="T3881" t="inlineStr">
        <is>
          <t xml:space="preserve">PR </t>
        </is>
      </c>
      <c r="U3881" t="n">
        <v>6</v>
      </c>
      <c r="V3881" t="n">
        <v>6</v>
      </c>
      <c r="W3881" t="inlineStr">
        <is>
          <t>2004-03-24</t>
        </is>
      </c>
      <c r="X3881" t="inlineStr">
        <is>
          <t>2004-03-24</t>
        </is>
      </c>
      <c r="Y3881" t="inlineStr">
        <is>
          <t>1992-08-19</t>
        </is>
      </c>
      <c r="Z3881" t="inlineStr">
        <is>
          <t>1992-08-19</t>
        </is>
      </c>
      <c r="AA3881" t="n">
        <v>451</v>
      </c>
      <c r="AB3881" t="n">
        <v>346</v>
      </c>
      <c r="AC3881" t="n">
        <v>353</v>
      </c>
      <c r="AD3881" t="n">
        <v>5</v>
      </c>
      <c r="AE3881" t="n">
        <v>5</v>
      </c>
      <c r="AF3881" t="n">
        <v>19</v>
      </c>
      <c r="AG3881" t="n">
        <v>19</v>
      </c>
      <c r="AH3881" t="n">
        <v>6</v>
      </c>
      <c r="AI3881" t="n">
        <v>6</v>
      </c>
      <c r="AJ3881" t="n">
        <v>7</v>
      </c>
      <c r="AK3881" t="n">
        <v>7</v>
      </c>
      <c r="AL3881" t="n">
        <v>9</v>
      </c>
      <c r="AM3881" t="n">
        <v>9</v>
      </c>
      <c r="AN3881" t="n">
        <v>4</v>
      </c>
      <c r="AO3881" t="n">
        <v>4</v>
      </c>
      <c r="AP3881" t="n">
        <v>0</v>
      </c>
      <c r="AQ3881" t="n">
        <v>0</v>
      </c>
      <c r="AR3881" t="inlineStr">
        <is>
          <t>No</t>
        </is>
      </c>
      <c r="AS3881" t="inlineStr">
        <is>
          <t>Yes</t>
        </is>
      </c>
      <c r="AT3881">
        <f>HYPERLINK("http://catalog.hathitrust.org/Record/000684513","HathiTrust Record")</f>
        <v/>
      </c>
      <c r="AU3881">
        <f>HYPERLINK("https://creighton-primo.hosted.exlibrisgroup.com/primo-explore/search?tab=default_tab&amp;search_scope=EVERYTHING&amp;vid=01CRU&amp;lang=en_US&amp;offset=0&amp;query=any,contains,991004986969702656","Catalog Record")</f>
        <v/>
      </c>
      <c r="AV3881">
        <f>HYPERLINK("http://www.worldcat.org/oclc/5675078","WorldCat Record")</f>
        <v/>
      </c>
      <c r="AW3881" t="inlineStr">
        <is>
          <t>304533258:eng</t>
        </is>
      </c>
      <c r="AX3881" t="inlineStr">
        <is>
          <t>5675078</t>
        </is>
      </c>
      <c r="AY3881" t="inlineStr">
        <is>
          <t>991004986969702656</t>
        </is>
      </c>
      <c r="AZ3881" t="inlineStr">
        <is>
          <t>991004986969702656</t>
        </is>
      </c>
      <c r="BA3881" t="inlineStr">
        <is>
          <t>2256537280002656</t>
        </is>
      </c>
      <c r="BB3881" t="inlineStr">
        <is>
          <t>BOOK</t>
        </is>
      </c>
      <c r="BD3881" t="inlineStr">
        <is>
          <t>9780861400225</t>
        </is>
      </c>
      <c r="BE3881" t="inlineStr">
        <is>
          <t>32285001247013</t>
        </is>
      </c>
      <c r="BF3881" t="inlineStr">
        <is>
          <t>893242051</t>
        </is>
      </c>
    </row>
    <row r="3882">
      <c r="A3882" t="inlineStr">
        <is>
          <t>No</t>
        </is>
      </c>
      <c r="B3882" t="inlineStr">
        <is>
          <t>CURAL</t>
        </is>
      </c>
      <c r="C3882" t="inlineStr">
        <is>
          <t>SHELVES</t>
        </is>
      </c>
      <c r="D3882" t="inlineStr">
        <is>
          <t>PR8807.W6 K45 1997</t>
        </is>
      </c>
      <c r="E3882" t="inlineStr">
        <is>
          <t>0                      PR 8807000W  6                  K  45          1997</t>
        </is>
      </c>
      <c r="F3882" t="inlineStr">
        <is>
          <t>The feminization of famine : expressions of the inexpressible? / Margaret Kelleher.</t>
        </is>
      </c>
      <c r="H3882" t="inlineStr">
        <is>
          <t>No</t>
        </is>
      </c>
      <c r="I3882" t="inlineStr">
        <is>
          <t>1</t>
        </is>
      </c>
      <c r="J3882" t="inlineStr">
        <is>
          <t>No</t>
        </is>
      </c>
      <c r="K3882" t="inlineStr">
        <is>
          <t>No</t>
        </is>
      </c>
      <c r="L3882" t="inlineStr">
        <is>
          <t>0</t>
        </is>
      </c>
      <c r="M3882" t="inlineStr">
        <is>
          <t>Kelleher, Margaret.</t>
        </is>
      </c>
      <c r="N3882" t="inlineStr">
        <is>
          <t>Durham, NC : Duke University Press, 1997.</t>
        </is>
      </c>
      <c r="O3882" t="inlineStr">
        <is>
          <t>1997</t>
        </is>
      </c>
      <c r="Q3882" t="inlineStr">
        <is>
          <t>eng</t>
        </is>
      </c>
      <c r="R3882" t="inlineStr">
        <is>
          <t>ncu</t>
        </is>
      </c>
      <c r="T3882" t="inlineStr">
        <is>
          <t xml:space="preserve">PR </t>
        </is>
      </c>
      <c r="U3882" t="n">
        <v>6</v>
      </c>
      <c r="V3882" t="n">
        <v>6</v>
      </c>
      <c r="W3882" t="inlineStr">
        <is>
          <t>2003-01-30</t>
        </is>
      </c>
      <c r="X3882" t="inlineStr">
        <is>
          <t>2003-01-30</t>
        </is>
      </c>
      <c r="Y3882" t="inlineStr">
        <is>
          <t>1997-10-07</t>
        </is>
      </c>
      <c r="Z3882" t="inlineStr">
        <is>
          <t>1997-10-07</t>
        </is>
      </c>
      <c r="AA3882" t="n">
        <v>244</v>
      </c>
      <c r="AB3882" t="n">
        <v>212</v>
      </c>
      <c r="AC3882" t="n">
        <v>259</v>
      </c>
      <c r="AD3882" t="n">
        <v>4</v>
      </c>
      <c r="AE3882" t="n">
        <v>4</v>
      </c>
      <c r="AF3882" t="n">
        <v>17</v>
      </c>
      <c r="AG3882" t="n">
        <v>21</v>
      </c>
      <c r="AH3882" t="n">
        <v>3</v>
      </c>
      <c r="AI3882" t="n">
        <v>4</v>
      </c>
      <c r="AJ3882" t="n">
        <v>4</v>
      </c>
      <c r="AK3882" t="n">
        <v>6</v>
      </c>
      <c r="AL3882" t="n">
        <v>9</v>
      </c>
      <c r="AM3882" t="n">
        <v>11</v>
      </c>
      <c r="AN3882" t="n">
        <v>3</v>
      </c>
      <c r="AO3882" t="n">
        <v>3</v>
      </c>
      <c r="AP3882" t="n">
        <v>0</v>
      </c>
      <c r="AQ3882" t="n">
        <v>0</v>
      </c>
      <c r="AR3882" t="inlineStr">
        <is>
          <t>No</t>
        </is>
      </c>
      <c r="AS3882" t="inlineStr">
        <is>
          <t>No</t>
        </is>
      </c>
      <c r="AU3882">
        <f>HYPERLINK("https://creighton-primo.hosted.exlibrisgroup.com/primo-explore/search?tab=default_tab&amp;search_scope=EVERYTHING&amp;vid=01CRU&amp;lang=en_US&amp;offset=0&amp;query=any,contains,991002754189702656","Catalog Record")</f>
        <v/>
      </c>
      <c r="AV3882">
        <f>HYPERLINK("http://www.worldcat.org/oclc/36130779","WorldCat Record")</f>
        <v/>
      </c>
      <c r="AW3882" t="inlineStr">
        <is>
          <t>626436:eng</t>
        </is>
      </c>
      <c r="AX3882" t="inlineStr">
        <is>
          <t>36130779</t>
        </is>
      </c>
      <c r="AY3882" t="inlineStr">
        <is>
          <t>991002754189702656</t>
        </is>
      </c>
      <c r="AZ3882" t="inlineStr">
        <is>
          <t>991002754189702656</t>
        </is>
      </c>
      <c r="BA3882" t="inlineStr">
        <is>
          <t>2254970130002656</t>
        </is>
      </c>
      <c r="BB3882" t="inlineStr">
        <is>
          <t>BOOK</t>
        </is>
      </c>
      <c r="BD3882" t="inlineStr">
        <is>
          <t>9780822320326</t>
        </is>
      </c>
      <c r="BE3882" t="inlineStr">
        <is>
          <t>32285003253316</t>
        </is>
      </c>
      <c r="BF3882" t="inlineStr">
        <is>
          <t>893341807</t>
        </is>
      </c>
    </row>
    <row r="3883">
      <c r="A3883" t="inlineStr">
        <is>
          <t>No</t>
        </is>
      </c>
      <c r="B3883" t="inlineStr">
        <is>
          <t>CURAL</t>
        </is>
      </c>
      <c r="C3883" t="inlineStr">
        <is>
          <t>SHELVES</t>
        </is>
      </c>
      <c r="D3883" t="inlineStr">
        <is>
          <t>PR8807.W6 S44 2001</t>
        </is>
      </c>
      <c r="E3883" t="inlineStr">
        <is>
          <t>0                      PR 8807000W  6                  S  44          2001</t>
        </is>
      </c>
      <c r="F3883" t="inlineStr">
        <is>
          <t>Seeking a country : literary autobiographies of twentieth-century Irishwomen / [compiled by] Taura S. Napier ; illustrations by Louise S. Napier.</t>
        </is>
      </c>
      <c r="H3883" t="inlineStr">
        <is>
          <t>No</t>
        </is>
      </c>
      <c r="I3883" t="inlineStr">
        <is>
          <t>1</t>
        </is>
      </c>
      <c r="J3883" t="inlineStr">
        <is>
          <t>No</t>
        </is>
      </c>
      <c r="K3883" t="inlineStr">
        <is>
          <t>No</t>
        </is>
      </c>
      <c r="L3883" t="inlineStr">
        <is>
          <t>0</t>
        </is>
      </c>
      <c r="N3883" t="inlineStr">
        <is>
          <t>Lanham, Md. : University Press of America, c2001.</t>
        </is>
      </c>
      <c r="O3883" t="inlineStr">
        <is>
          <t>2001</t>
        </is>
      </c>
      <c r="Q3883" t="inlineStr">
        <is>
          <t>eng</t>
        </is>
      </c>
      <c r="R3883" t="inlineStr">
        <is>
          <t>mdu</t>
        </is>
      </c>
      <c r="T3883" t="inlineStr">
        <is>
          <t xml:space="preserve">PR </t>
        </is>
      </c>
      <c r="U3883" t="n">
        <v>9</v>
      </c>
      <c r="V3883" t="n">
        <v>9</v>
      </c>
      <c r="W3883" t="inlineStr">
        <is>
          <t>2006-11-09</t>
        </is>
      </c>
      <c r="X3883" t="inlineStr">
        <is>
          <t>2006-11-09</t>
        </is>
      </c>
      <c r="Y3883" t="inlineStr">
        <is>
          <t>2003-03-17</t>
        </is>
      </c>
      <c r="Z3883" t="inlineStr">
        <is>
          <t>2003-03-17</t>
        </is>
      </c>
      <c r="AA3883" t="n">
        <v>198</v>
      </c>
      <c r="AB3883" t="n">
        <v>176</v>
      </c>
      <c r="AC3883" t="n">
        <v>179</v>
      </c>
      <c r="AD3883" t="n">
        <v>3</v>
      </c>
      <c r="AE3883" t="n">
        <v>3</v>
      </c>
      <c r="AF3883" t="n">
        <v>13</v>
      </c>
      <c r="AG3883" t="n">
        <v>13</v>
      </c>
      <c r="AH3883" t="n">
        <v>3</v>
      </c>
      <c r="AI3883" t="n">
        <v>3</v>
      </c>
      <c r="AJ3883" t="n">
        <v>3</v>
      </c>
      <c r="AK3883" t="n">
        <v>3</v>
      </c>
      <c r="AL3883" t="n">
        <v>7</v>
      </c>
      <c r="AM3883" t="n">
        <v>7</v>
      </c>
      <c r="AN3883" t="n">
        <v>2</v>
      </c>
      <c r="AO3883" t="n">
        <v>2</v>
      </c>
      <c r="AP3883" t="n">
        <v>0</v>
      </c>
      <c r="AQ3883" t="n">
        <v>0</v>
      </c>
      <c r="AR3883" t="inlineStr">
        <is>
          <t>No</t>
        </is>
      </c>
      <c r="AS3883" t="inlineStr">
        <is>
          <t>Yes</t>
        </is>
      </c>
      <c r="AT3883">
        <f>HYPERLINK("http://catalog.hathitrust.org/Record/004145012","HathiTrust Record")</f>
        <v/>
      </c>
      <c r="AU3883">
        <f>HYPERLINK("https://creighton-primo.hosted.exlibrisgroup.com/primo-explore/search?tab=default_tab&amp;search_scope=EVERYTHING&amp;vid=01CRU&amp;lang=en_US&amp;offset=0&amp;query=any,contains,991003970579702656","Catalog Record")</f>
        <v/>
      </c>
      <c r="AV3883">
        <f>HYPERLINK("http://www.worldcat.org/oclc/45413512","WorldCat Record")</f>
        <v/>
      </c>
      <c r="AW3883" t="inlineStr">
        <is>
          <t>34621770:eng</t>
        </is>
      </c>
      <c r="AX3883" t="inlineStr">
        <is>
          <t>45413512</t>
        </is>
      </c>
      <c r="AY3883" t="inlineStr">
        <is>
          <t>991003970579702656</t>
        </is>
      </c>
      <c r="AZ3883" t="inlineStr">
        <is>
          <t>991003970579702656</t>
        </is>
      </c>
      <c r="BA3883" t="inlineStr">
        <is>
          <t>2272203130002656</t>
        </is>
      </c>
      <c r="BB3883" t="inlineStr">
        <is>
          <t>BOOK</t>
        </is>
      </c>
      <c r="BD3883" t="inlineStr">
        <is>
          <t>9780761819349</t>
        </is>
      </c>
      <c r="BE3883" t="inlineStr">
        <is>
          <t>32285004684147</t>
        </is>
      </c>
      <c r="BF3883" t="inlineStr">
        <is>
          <t>893246992</t>
        </is>
      </c>
    </row>
    <row r="3884">
      <c r="A3884" t="inlineStr">
        <is>
          <t>No</t>
        </is>
      </c>
      <c r="B3884" t="inlineStr">
        <is>
          <t>CURAL</t>
        </is>
      </c>
      <c r="C3884" t="inlineStr">
        <is>
          <t>SHELVES</t>
        </is>
      </c>
      <c r="D3884" t="inlineStr">
        <is>
          <t>PR881 .B33 1982</t>
        </is>
      </c>
      <c r="E3884" t="inlineStr">
        <is>
          <t>0                      PR 0881000B  33          1982</t>
        </is>
      </c>
      <c r="F3884" t="inlineStr">
        <is>
          <t>The Edwardian novelists / John Batchelor.</t>
        </is>
      </c>
      <c r="H3884" t="inlineStr">
        <is>
          <t>No</t>
        </is>
      </c>
      <c r="I3884" t="inlineStr">
        <is>
          <t>1</t>
        </is>
      </c>
      <c r="J3884" t="inlineStr">
        <is>
          <t>No</t>
        </is>
      </c>
      <c r="K3884" t="inlineStr">
        <is>
          <t>No</t>
        </is>
      </c>
      <c r="L3884" t="inlineStr">
        <is>
          <t>0</t>
        </is>
      </c>
      <c r="M3884" t="inlineStr">
        <is>
          <t>Batchelor, John.</t>
        </is>
      </c>
      <c r="N3884" t="inlineStr">
        <is>
          <t>New York : St. Martin's Press, 1982.</t>
        </is>
      </c>
      <c r="O3884" t="inlineStr">
        <is>
          <t>1982</t>
        </is>
      </c>
      <c r="Q3884" t="inlineStr">
        <is>
          <t>eng</t>
        </is>
      </c>
      <c r="R3884" t="inlineStr">
        <is>
          <t>nyu</t>
        </is>
      </c>
      <c r="T3884" t="inlineStr">
        <is>
          <t xml:space="preserve">PR </t>
        </is>
      </c>
      <c r="U3884" t="n">
        <v>1</v>
      </c>
      <c r="V3884" t="n">
        <v>1</v>
      </c>
      <c r="W3884" t="inlineStr">
        <is>
          <t>1996-07-30</t>
        </is>
      </c>
      <c r="X3884" t="inlineStr">
        <is>
          <t>1996-07-30</t>
        </is>
      </c>
      <c r="Y3884" t="inlineStr">
        <is>
          <t>1991-09-12</t>
        </is>
      </c>
      <c r="Z3884" t="inlineStr">
        <is>
          <t>1991-09-12</t>
        </is>
      </c>
      <c r="AA3884" t="n">
        <v>491</v>
      </c>
      <c r="AB3884" t="n">
        <v>466</v>
      </c>
      <c r="AC3884" t="n">
        <v>468</v>
      </c>
      <c r="AD3884" t="n">
        <v>4</v>
      </c>
      <c r="AE3884" t="n">
        <v>4</v>
      </c>
      <c r="AF3884" t="n">
        <v>20</v>
      </c>
      <c r="AG3884" t="n">
        <v>20</v>
      </c>
      <c r="AH3884" t="n">
        <v>11</v>
      </c>
      <c r="AI3884" t="n">
        <v>11</v>
      </c>
      <c r="AJ3884" t="n">
        <v>4</v>
      </c>
      <c r="AK3884" t="n">
        <v>4</v>
      </c>
      <c r="AL3884" t="n">
        <v>9</v>
      </c>
      <c r="AM3884" t="n">
        <v>9</v>
      </c>
      <c r="AN3884" t="n">
        <v>3</v>
      </c>
      <c r="AO3884" t="n">
        <v>3</v>
      </c>
      <c r="AP3884" t="n">
        <v>0</v>
      </c>
      <c r="AQ3884" t="n">
        <v>0</v>
      </c>
      <c r="AR3884" t="inlineStr">
        <is>
          <t>No</t>
        </is>
      </c>
      <c r="AS3884" t="inlineStr">
        <is>
          <t>No</t>
        </is>
      </c>
      <c r="AU3884">
        <f>HYPERLINK("https://creighton-primo.hosted.exlibrisgroup.com/primo-explore/search?tab=default_tab&amp;search_scope=EVERYTHING&amp;vid=01CRU&amp;lang=en_US&amp;offset=0&amp;query=any,contains,991005204539702656","Catalog Record")</f>
        <v/>
      </c>
      <c r="AV3884">
        <f>HYPERLINK("http://www.worldcat.org/oclc/8111765","WorldCat Record")</f>
        <v/>
      </c>
      <c r="AW3884" t="inlineStr">
        <is>
          <t>138431659:eng</t>
        </is>
      </c>
      <c r="AX3884" t="inlineStr">
        <is>
          <t>8111765</t>
        </is>
      </c>
      <c r="AY3884" t="inlineStr">
        <is>
          <t>991005204539702656</t>
        </is>
      </c>
      <c r="AZ3884" t="inlineStr">
        <is>
          <t>991005204539702656</t>
        </is>
      </c>
      <c r="BA3884" t="inlineStr">
        <is>
          <t>2257049540002656</t>
        </is>
      </c>
      <c r="BB3884" t="inlineStr">
        <is>
          <t>BOOK</t>
        </is>
      </c>
      <c r="BD3884" t="inlineStr">
        <is>
          <t>9780312239077</t>
        </is>
      </c>
      <c r="BE3884" t="inlineStr">
        <is>
          <t>32285000757715</t>
        </is>
      </c>
      <c r="BF3884" t="inlineStr">
        <is>
          <t>893613301</t>
        </is>
      </c>
    </row>
    <row r="3885">
      <c r="A3885" t="inlineStr">
        <is>
          <t>No</t>
        </is>
      </c>
      <c r="B3885" t="inlineStr">
        <is>
          <t>CURAL</t>
        </is>
      </c>
      <c r="C3885" t="inlineStr">
        <is>
          <t>SHELVES</t>
        </is>
      </c>
      <c r="D3885" t="inlineStr">
        <is>
          <t>PR881 .B684 2007</t>
        </is>
      </c>
      <c r="E3885" t="inlineStr">
        <is>
          <t>0                      PR 0881000B  684         2007</t>
        </is>
      </c>
      <c r="F3885" t="inlineStr">
        <is>
          <t>The novel now : contemporary British fiction / Richard Bradford.</t>
        </is>
      </c>
      <c r="H3885" t="inlineStr">
        <is>
          <t>No</t>
        </is>
      </c>
      <c r="I3885" t="inlineStr">
        <is>
          <t>1</t>
        </is>
      </c>
      <c r="J3885" t="inlineStr">
        <is>
          <t>No</t>
        </is>
      </c>
      <c r="K3885" t="inlineStr">
        <is>
          <t>No</t>
        </is>
      </c>
      <c r="L3885" t="inlineStr">
        <is>
          <t>0</t>
        </is>
      </c>
      <c r="M3885" t="inlineStr">
        <is>
          <t>Bradford, Richard, 1957-</t>
        </is>
      </c>
      <c r="N3885" t="inlineStr">
        <is>
          <t>Malden, MA : Blackwell Pub., 2007.</t>
        </is>
      </c>
      <c r="O3885" t="inlineStr">
        <is>
          <t>2007</t>
        </is>
      </c>
      <c r="Q3885" t="inlineStr">
        <is>
          <t>eng</t>
        </is>
      </c>
      <c r="R3885" t="inlineStr">
        <is>
          <t>mau</t>
        </is>
      </c>
      <c r="T3885" t="inlineStr">
        <is>
          <t xml:space="preserve">PR </t>
        </is>
      </c>
      <c r="U3885" t="n">
        <v>1</v>
      </c>
      <c r="V3885" t="n">
        <v>1</v>
      </c>
      <c r="W3885" t="inlineStr">
        <is>
          <t>2008-05-12</t>
        </is>
      </c>
      <c r="X3885" t="inlineStr">
        <is>
          <t>2008-05-12</t>
        </is>
      </c>
      <c r="Y3885" t="inlineStr">
        <is>
          <t>2008-05-12</t>
        </is>
      </c>
      <c r="Z3885" t="inlineStr">
        <is>
          <t>2008-05-12</t>
        </is>
      </c>
      <c r="AA3885" t="n">
        <v>641</v>
      </c>
      <c r="AB3885" t="n">
        <v>509</v>
      </c>
      <c r="AC3885" t="n">
        <v>535</v>
      </c>
      <c r="AD3885" t="n">
        <v>5</v>
      </c>
      <c r="AE3885" t="n">
        <v>5</v>
      </c>
      <c r="AF3885" t="n">
        <v>28</v>
      </c>
      <c r="AG3885" t="n">
        <v>28</v>
      </c>
      <c r="AH3885" t="n">
        <v>12</v>
      </c>
      <c r="AI3885" t="n">
        <v>12</v>
      </c>
      <c r="AJ3885" t="n">
        <v>6</v>
      </c>
      <c r="AK3885" t="n">
        <v>6</v>
      </c>
      <c r="AL3885" t="n">
        <v>14</v>
      </c>
      <c r="AM3885" t="n">
        <v>14</v>
      </c>
      <c r="AN3885" t="n">
        <v>4</v>
      </c>
      <c r="AO3885" t="n">
        <v>4</v>
      </c>
      <c r="AP3885" t="n">
        <v>0</v>
      </c>
      <c r="AQ3885" t="n">
        <v>0</v>
      </c>
      <c r="AR3885" t="inlineStr">
        <is>
          <t>No</t>
        </is>
      </c>
      <c r="AS3885" t="inlineStr">
        <is>
          <t>No</t>
        </is>
      </c>
      <c r="AU3885">
        <f>HYPERLINK("https://creighton-primo.hosted.exlibrisgroup.com/primo-explore/search?tab=default_tab&amp;search_scope=EVERYTHING&amp;vid=01CRU&amp;lang=en_US&amp;offset=0&amp;query=any,contains,991005208749702656","Catalog Record")</f>
        <v/>
      </c>
      <c r="AV3885">
        <f>HYPERLINK("http://www.worldcat.org/oclc/70114563","WorldCat Record")</f>
        <v/>
      </c>
      <c r="AW3885" t="inlineStr">
        <is>
          <t>796549725:eng</t>
        </is>
      </c>
      <c r="AX3885" t="inlineStr">
        <is>
          <t>70114563</t>
        </is>
      </c>
      <c r="AY3885" t="inlineStr">
        <is>
          <t>991005208749702656</t>
        </is>
      </c>
      <c r="AZ3885" t="inlineStr">
        <is>
          <t>991005208749702656</t>
        </is>
      </c>
      <c r="BA3885" t="inlineStr">
        <is>
          <t>2269695760002656</t>
        </is>
      </c>
      <c r="BB3885" t="inlineStr">
        <is>
          <t>BOOK</t>
        </is>
      </c>
      <c r="BD3885" t="inlineStr">
        <is>
          <t>9781405113854</t>
        </is>
      </c>
      <c r="BE3885" t="inlineStr">
        <is>
          <t>32285005406920</t>
        </is>
      </c>
      <c r="BF3885" t="inlineStr">
        <is>
          <t>893625625</t>
        </is>
      </c>
    </row>
    <row r="3886">
      <c r="A3886" t="inlineStr">
        <is>
          <t>No</t>
        </is>
      </c>
      <c r="B3886" t="inlineStr">
        <is>
          <t>CURAL</t>
        </is>
      </c>
      <c r="C3886" t="inlineStr">
        <is>
          <t>SHELVES</t>
        </is>
      </c>
      <c r="D3886" t="inlineStr">
        <is>
          <t>PR881 .B723 1991</t>
        </is>
      </c>
      <c r="E3886" t="inlineStr">
        <is>
          <t>0                      PR 0881000B  723         1991</t>
        </is>
      </c>
      <c r="F3886" t="inlineStr">
        <is>
          <t>The British and Irish novel since 1960 / edited by James Acheson.</t>
        </is>
      </c>
      <c r="H3886" t="inlineStr">
        <is>
          <t>No</t>
        </is>
      </c>
      <c r="I3886" t="inlineStr">
        <is>
          <t>1</t>
        </is>
      </c>
      <c r="J3886" t="inlineStr">
        <is>
          <t>No</t>
        </is>
      </c>
      <c r="K3886" t="inlineStr">
        <is>
          <t>No</t>
        </is>
      </c>
      <c r="L3886" t="inlineStr">
        <is>
          <t>0</t>
        </is>
      </c>
      <c r="N3886" t="inlineStr">
        <is>
          <t>New York : St. Martin's Press, 1991.</t>
        </is>
      </c>
      <c r="O3886" t="inlineStr">
        <is>
          <t>1991</t>
        </is>
      </c>
      <c r="Q3886" t="inlineStr">
        <is>
          <t>eng</t>
        </is>
      </c>
      <c r="R3886" t="inlineStr">
        <is>
          <t>nyu</t>
        </is>
      </c>
      <c r="T3886" t="inlineStr">
        <is>
          <t xml:space="preserve">PR </t>
        </is>
      </c>
      <c r="U3886" t="n">
        <v>7</v>
      </c>
      <c r="V3886" t="n">
        <v>7</v>
      </c>
      <c r="W3886" t="inlineStr">
        <is>
          <t>2001-10-02</t>
        </is>
      </c>
      <c r="X3886" t="inlineStr">
        <is>
          <t>2001-10-02</t>
        </is>
      </c>
      <c r="Y3886" t="inlineStr">
        <is>
          <t>1992-03-25</t>
        </is>
      </c>
      <c r="Z3886" t="inlineStr">
        <is>
          <t>1992-03-25</t>
        </is>
      </c>
      <c r="AA3886" t="n">
        <v>228</v>
      </c>
      <c r="AB3886" t="n">
        <v>174</v>
      </c>
      <c r="AC3886" t="n">
        <v>204</v>
      </c>
      <c r="AD3886" t="n">
        <v>2</v>
      </c>
      <c r="AE3886" t="n">
        <v>2</v>
      </c>
      <c r="AF3886" t="n">
        <v>14</v>
      </c>
      <c r="AG3886" t="n">
        <v>14</v>
      </c>
      <c r="AH3886" t="n">
        <v>4</v>
      </c>
      <c r="AI3886" t="n">
        <v>4</v>
      </c>
      <c r="AJ3886" t="n">
        <v>5</v>
      </c>
      <c r="AK3886" t="n">
        <v>5</v>
      </c>
      <c r="AL3886" t="n">
        <v>10</v>
      </c>
      <c r="AM3886" t="n">
        <v>10</v>
      </c>
      <c r="AN3886" t="n">
        <v>1</v>
      </c>
      <c r="AO3886" t="n">
        <v>1</v>
      </c>
      <c r="AP3886" t="n">
        <v>0</v>
      </c>
      <c r="AQ3886" t="n">
        <v>0</v>
      </c>
      <c r="AR3886" t="inlineStr">
        <is>
          <t>No</t>
        </is>
      </c>
      <c r="AS3886" t="inlineStr">
        <is>
          <t>No</t>
        </is>
      </c>
      <c r="AU3886">
        <f>HYPERLINK("https://creighton-primo.hosted.exlibrisgroup.com/primo-explore/search?tab=default_tab&amp;search_scope=EVERYTHING&amp;vid=01CRU&amp;lang=en_US&amp;offset=0&amp;query=any,contains,991001803139702656","Catalog Record")</f>
        <v/>
      </c>
      <c r="AV3886">
        <f>HYPERLINK("http://www.worldcat.org/oclc/22664204","WorldCat Record")</f>
        <v/>
      </c>
      <c r="AW3886" t="inlineStr">
        <is>
          <t>138702688:eng</t>
        </is>
      </c>
      <c r="AX3886" t="inlineStr">
        <is>
          <t>22664204</t>
        </is>
      </c>
      <c r="AY3886" t="inlineStr">
        <is>
          <t>991001803139702656</t>
        </is>
      </c>
      <c r="AZ3886" t="inlineStr">
        <is>
          <t>991001803139702656</t>
        </is>
      </c>
      <c r="BA3886" t="inlineStr">
        <is>
          <t>2257357970002656</t>
        </is>
      </c>
      <c r="BB3886" t="inlineStr">
        <is>
          <t>BOOK</t>
        </is>
      </c>
      <c r="BD3886" t="inlineStr">
        <is>
          <t>9780312057787</t>
        </is>
      </c>
      <c r="BE3886" t="inlineStr">
        <is>
          <t>32285001005650</t>
        </is>
      </c>
      <c r="BF3886" t="inlineStr">
        <is>
          <t>893334617</t>
        </is>
      </c>
    </row>
    <row r="3887">
      <c r="A3887" t="inlineStr">
        <is>
          <t>No</t>
        </is>
      </c>
      <c r="B3887" t="inlineStr">
        <is>
          <t>CURAL</t>
        </is>
      </c>
      <c r="C3887" t="inlineStr">
        <is>
          <t>SHELVES</t>
        </is>
      </c>
      <c r="D3887" t="inlineStr">
        <is>
          <t>PR881 .D68 1985</t>
        </is>
      </c>
      <c r="E3887" t="inlineStr">
        <is>
          <t>0                      PR 0881000D  68          1985</t>
        </is>
      </c>
      <c r="F3887" t="inlineStr">
        <is>
          <t>Bloomsbury aesthetics and the novels of Forster and Woolf / David Dowling.</t>
        </is>
      </c>
      <c r="H3887" t="inlineStr">
        <is>
          <t>No</t>
        </is>
      </c>
      <c r="I3887" t="inlineStr">
        <is>
          <t>1</t>
        </is>
      </c>
      <c r="J3887" t="inlineStr">
        <is>
          <t>No</t>
        </is>
      </c>
      <c r="K3887" t="inlineStr">
        <is>
          <t>No</t>
        </is>
      </c>
      <c r="L3887" t="inlineStr">
        <is>
          <t>0</t>
        </is>
      </c>
      <c r="M3887" t="inlineStr">
        <is>
          <t>Dowling, David.</t>
        </is>
      </c>
      <c r="N3887" t="inlineStr">
        <is>
          <t>New York : St. Martin's Press, 1985.</t>
        </is>
      </c>
      <c r="O3887" t="inlineStr">
        <is>
          <t>1985</t>
        </is>
      </c>
      <c r="Q3887" t="inlineStr">
        <is>
          <t>eng</t>
        </is>
      </c>
      <c r="R3887" t="inlineStr">
        <is>
          <t>nyu</t>
        </is>
      </c>
      <c r="T3887" t="inlineStr">
        <is>
          <t xml:space="preserve">PR </t>
        </is>
      </c>
      <c r="U3887" t="n">
        <v>5</v>
      </c>
      <c r="V3887" t="n">
        <v>5</v>
      </c>
      <c r="W3887" t="inlineStr">
        <is>
          <t>2000-03-15</t>
        </is>
      </c>
      <c r="X3887" t="inlineStr">
        <is>
          <t>2000-03-15</t>
        </is>
      </c>
      <c r="Y3887" t="inlineStr">
        <is>
          <t>1991-09-12</t>
        </is>
      </c>
      <c r="Z3887" t="inlineStr">
        <is>
          <t>1991-09-12</t>
        </is>
      </c>
      <c r="AA3887" t="n">
        <v>393</v>
      </c>
      <c r="AB3887" t="n">
        <v>350</v>
      </c>
      <c r="AC3887" t="n">
        <v>418</v>
      </c>
      <c r="AD3887" t="n">
        <v>2</v>
      </c>
      <c r="AE3887" t="n">
        <v>4</v>
      </c>
      <c r="AF3887" t="n">
        <v>21</v>
      </c>
      <c r="AG3887" t="n">
        <v>23</v>
      </c>
      <c r="AH3887" t="n">
        <v>10</v>
      </c>
      <c r="AI3887" t="n">
        <v>10</v>
      </c>
      <c r="AJ3887" t="n">
        <v>5</v>
      </c>
      <c r="AK3887" t="n">
        <v>5</v>
      </c>
      <c r="AL3887" t="n">
        <v>11</v>
      </c>
      <c r="AM3887" t="n">
        <v>11</v>
      </c>
      <c r="AN3887" t="n">
        <v>1</v>
      </c>
      <c r="AO3887" t="n">
        <v>3</v>
      </c>
      <c r="AP3887" t="n">
        <v>0</v>
      </c>
      <c r="AQ3887" t="n">
        <v>0</v>
      </c>
      <c r="AR3887" t="inlineStr">
        <is>
          <t>No</t>
        </is>
      </c>
      <c r="AS3887" t="inlineStr">
        <is>
          <t>No</t>
        </is>
      </c>
      <c r="AU3887">
        <f>HYPERLINK("https://creighton-primo.hosted.exlibrisgroup.com/primo-explore/search?tab=default_tab&amp;search_scope=EVERYTHING&amp;vid=01CRU&amp;lang=en_US&amp;offset=0&amp;query=any,contains,991000335489702656","Catalog Record")</f>
        <v/>
      </c>
      <c r="AV3887">
        <f>HYPERLINK("http://www.worldcat.org/oclc/10229608","WorldCat Record")</f>
        <v/>
      </c>
      <c r="AW3887" t="inlineStr">
        <is>
          <t>3291895:eng</t>
        </is>
      </c>
      <c r="AX3887" t="inlineStr">
        <is>
          <t>10229608</t>
        </is>
      </c>
      <c r="AY3887" t="inlineStr">
        <is>
          <t>991000335489702656</t>
        </is>
      </c>
      <c r="AZ3887" t="inlineStr">
        <is>
          <t>991000335489702656</t>
        </is>
      </c>
      <c r="BA3887" t="inlineStr">
        <is>
          <t>2264169550002656</t>
        </is>
      </c>
      <c r="BB3887" t="inlineStr">
        <is>
          <t>BOOK</t>
        </is>
      </c>
      <c r="BD3887" t="inlineStr">
        <is>
          <t>9780312085179</t>
        </is>
      </c>
      <c r="BE3887" t="inlineStr">
        <is>
          <t>32285000757731</t>
        </is>
      </c>
      <c r="BF3887" t="inlineStr">
        <is>
          <t>893601664</t>
        </is>
      </c>
    </row>
    <row r="3888">
      <c r="A3888" t="inlineStr">
        <is>
          <t>No</t>
        </is>
      </c>
      <c r="B3888" t="inlineStr">
        <is>
          <t>CURAL</t>
        </is>
      </c>
      <c r="C3888" t="inlineStr">
        <is>
          <t>SHELVES</t>
        </is>
      </c>
      <c r="D3888" t="inlineStr">
        <is>
          <t>PR881 .F8 1965</t>
        </is>
      </c>
      <c r="E3888" t="inlineStr">
        <is>
          <t>0                      PR 0881000F  8           1965</t>
        </is>
      </c>
      <c r="F3888" t="inlineStr">
        <is>
          <t>The English novel in transition 1885-1940, by William C. Frierson.</t>
        </is>
      </c>
      <c r="H3888" t="inlineStr">
        <is>
          <t>No</t>
        </is>
      </c>
      <c r="I3888" t="inlineStr">
        <is>
          <t>1</t>
        </is>
      </c>
      <c r="J3888" t="inlineStr">
        <is>
          <t>No</t>
        </is>
      </c>
      <c r="K3888" t="inlineStr">
        <is>
          <t>No</t>
        </is>
      </c>
      <c r="L3888" t="inlineStr">
        <is>
          <t>0</t>
        </is>
      </c>
      <c r="M3888" t="inlineStr">
        <is>
          <t>Frierson, William Coleman, 1897-</t>
        </is>
      </c>
      <c r="N3888" t="inlineStr">
        <is>
          <t>New York, Cooper Square Publishers, 1965 [c1942]</t>
        </is>
      </c>
      <c r="O3888" t="inlineStr">
        <is>
          <t>1965</t>
        </is>
      </c>
      <c r="Q3888" t="inlineStr">
        <is>
          <t>eng</t>
        </is>
      </c>
      <c r="R3888" t="inlineStr">
        <is>
          <t>nyu</t>
        </is>
      </c>
      <c r="T3888" t="inlineStr">
        <is>
          <t xml:space="preserve">PR </t>
        </is>
      </c>
      <c r="U3888" t="n">
        <v>1</v>
      </c>
      <c r="V3888" t="n">
        <v>1</v>
      </c>
      <c r="W3888" t="inlineStr">
        <is>
          <t>2004-06-16</t>
        </is>
      </c>
      <c r="X3888" t="inlineStr">
        <is>
          <t>2004-06-16</t>
        </is>
      </c>
      <c r="Y3888" t="inlineStr">
        <is>
          <t>1997-09-15</t>
        </is>
      </c>
      <c r="Z3888" t="inlineStr">
        <is>
          <t>1997-09-15</t>
        </is>
      </c>
      <c r="AA3888" t="n">
        <v>576</v>
      </c>
      <c r="AB3888" t="n">
        <v>486</v>
      </c>
      <c r="AC3888" t="n">
        <v>805</v>
      </c>
      <c r="AD3888" t="n">
        <v>6</v>
      </c>
      <c r="AE3888" t="n">
        <v>7</v>
      </c>
      <c r="AF3888" t="n">
        <v>20</v>
      </c>
      <c r="AG3888" t="n">
        <v>37</v>
      </c>
      <c r="AH3888" t="n">
        <v>6</v>
      </c>
      <c r="AI3888" t="n">
        <v>14</v>
      </c>
      <c r="AJ3888" t="n">
        <v>4</v>
      </c>
      <c r="AK3888" t="n">
        <v>9</v>
      </c>
      <c r="AL3888" t="n">
        <v>8</v>
      </c>
      <c r="AM3888" t="n">
        <v>18</v>
      </c>
      <c r="AN3888" t="n">
        <v>5</v>
      </c>
      <c r="AO3888" t="n">
        <v>6</v>
      </c>
      <c r="AP3888" t="n">
        <v>0</v>
      </c>
      <c r="AQ3888" t="n">
        <v>0</v>
      </c>
      <c r="AR3888" t="inlineStr">
        <is>
          <t>No</t>
        </is>
      </c>
      <c r="AS3888" t="inlineStr">
        <is>
          <t>Yes</t>
        </is>
      </c>
      <c r="AT3888">
        <f>HYPERLINK("http://catalog.hathitrust.org/Record/001004208","HathiTrust Record")</f>
        <v/>
      </c>
      <c r="AU3888">
        <f>HYPERLINK("https://creighton-primo.hosted.exlibrisgroup.com/primo-explore/search?tab=default_tab&amp;search_scope=EVERYTHING&amp;vid=01CRU&amp;lang=en_US&amp;offset=0&amp;query=any,contains,991002440819702656","Catalog Record")</f>
        <v/>
      </c>
      <c r="AV3888">
        <f>HYPERLINK("http://www.worldcat.org/oclc/350067","WorldCat Record")</f>
        <v/>
      </c>
      <c r="AW3888" t="inlineStr">
        <is>
          <t>62571643:eng</t>
        </is>
      </c>
      <c r="AX3888" t="inlineStr">
        <is>
          <t>350067</t>
        </is>
      </c>
      <c r="AY3888" t="inlineStr">
        <is>
          <t>991002440819702656</t>
        </is>
      </c>
      <c r="AZ3888" t="inlineStr">
        <is>
          <t>991002440819702656</t>
        </is>
      </c>
      <c r="BA3888" t="inlineStr">
        <is>
          <t>2268305480002656</t>
        </is>
      </c>
      <c r="BB3888" t="inlineStr">
        <is>
          <t>BOOK</t>
        </is>
      </c>
      <c r="BE3888" t="inlineStr">
        <is>
          <t>32285003216933</t>
        </is>
      </c>
      <c r="BF3888" t="inlineStr">
        <is>
          <t>893415202</t>
        </is>
      </c>
    </row>
    <row r="3889">
      <c r="A3889" t="inlineStr">
        <is>
          <t>No</t>
        </is>
      </c>
      <c r="B3889" t="inlineStr">
        <is>
          <t>CURAL</t>
        </is>
      </c>
      <c r="C3889" t="inlineStr">
        <is>
          <t>SHELVES</t>
        </is>
      </c>
      <c r="D3889" t="inlineStr">
        <is>
          <t>PR881 .K46 2003</t>
        </is>
      </c>
      <c r="E3889" t="inlineStr">
        <is>
          <t>0                      PR 0881000K  46          2003</t>
        </is>
      </c>
      <c r="F3889" t="inlineStr">
        <is>
          <t>Fiction and the Northern Ireland troubles since 1969 : (de-)constructing the north / Elmer Kennedy-Andrews.</t>
        </is>
      </c>
      <c r="H3889" t="inlineStr">
        <is>
          <t>No</t>
        </is>
      </c>
      <c r="I3889" t="inlineStr">
        <is>
          <t>1</t>
        </is>
      </c>
      <c r="J3889" t="inlineStr">
        <is>
          <t>No</t>
        </is>
      </c>
      <c r="K3889" t="inlineStr">
        <is>
          <t>No</t>
        </is>
      </c>
      <c r="L3889" t="inlineStr">
        <is>
          <t>0</t>
        </is>
      </c>
      <c r="M3889" t="inlineStr">
        <is>
          <t>Kennedy-Andrews, Elmer, 1948-</t>
        </is>
      </c>
      <c r="N3889" t="inlineStr">
        <is>
          <t>Dublin ; Portland, OR : Four Courts, c2003.</t>
        </is>
      </c>
      <c r="O3889" t="inlineStr">
        <is>
          <t>2003</t>
        </is>
      </c>
      <c r="Q3889" t="inlineStr">
        <is>
          <t>eng</t>
        </is>
      </c>
      <c r="R3889" t="inlineStr">
        <is>
          <t xml:space="preserve">ie </t>
        </is>
      </c>
      <c r="T3889" t="inlineStr">
        <is>
          <t xml:space="preserve">PR </t>
        </is>
      </c>
      <c r="U3889" t="n">
        <v>1</v>
      </c>
      <c r="V3889" t="n">
        <v>1</v>
      </c>
      <c r="W3889" t="inlineStr">
        <is>
          <t>2005-04-11</t>
        </is>
      </c>
      <c r="X3889" t="inlineStr">
        <is>
          <t>2005-04-11</t>
        </is>
      </c>
      <c r="Y3889" t="inlineStr">
        <is>
          <t>2005-04-11</t>
        </is>
      </c>
      <c r="Z3889" t="inlineStr">
        <is>
          <t>2005-04-11</t>
        </is>
      </c>
      <c r="AA3889" t="n">
        <v>262</v>
      </c>
      <c r="AB3889" t="n">
        <v>191</v>
      </c>
      <c r="AC3889" t="n">
        <v>193</v>
      </c>
      <c r="AD3889" t="n">
        <v>2</v>
      </c>
      <c r="AE3889" t="n">
        <v>2</v>
      </c>
      <c r="AF3889" t="n">
        <v>18</v>
      </c>
      <c r="AG3889" t="n">
        <v>18</v>
      </c>
      <c r="AH3889" t="n">
        <v>5</v>
      </c>
      <c r="AI3889" t="n">
        <v>5</v>
      </c>
      <c r="AJ3889" t="n">
        <v>8</v>
      </c>
      <c r="AK3889" t="n">
        <v>8</v>
      </c>
      <c r="AL3889" t="n">
        <v>13</v>
      </c>
      <c r="AM3889" t="n">
        <v>13</v>
      </c>
      <c r="AN3889" t="n">
        <v>1</v>
      </c>
      <c r="AO3889" t="n">
        <v>1</v>
      </c>
      <c r="AP3889" t="n">
        <v>0</v>
      </c>
      <c r="AQ3889" t="n">
        <v>0</v>
      </c>
      <c r="AR3889" t="inlineStr">
        <is>
          <t>No</t>
        </is>
      </c>
      <c r="AS3889" t="inlineStr">
        <is>
          <t>Yes</t>
        </is>
      </c>
      <c r="AT3889">
        <f>HYPERLINK("http://catalog.hathitrust.org/Record/004318562","HathiTrust Record")</f>
        <v/>
      </c>
      <c r="AU3889">
        <f>HYPERLINK("https://creighton-primo.hosted.exlibrisgroup.com/primo-explore/search?tab=default_tab&amp;search_scope=EVERYTHING&amp;vid=01CRU&amp;lang=en_US&amp;offset=0&amp;query=any,contains,991004415929702656","Catalog Record")</f>
        <v/>
      </c>
      <c r="AV3889">
        <f>HYPERLINK("http://www.worldcat.org/oclc/50494994","WorldCat Record")</f>
        <v/>
      </c>
      <c r="AW3889" t="inlineStr">
        <is>
          <t>873977:eng</t>
        </is>
      </c>
      <c r="AX3889" t="inlineStr">
        <is>
          <t>50494994</t>
        </is>
      </c>
      <c r="AY3889" t="inlineStr">
        <is>
          <t>991004415929702656</t>
        </is>
      </c>
      <c r="AZ3889" t="inlineStr">
        <is>
          <t>991004415929702656</t>
        </is>
      </c>
      <c r="BA3889" t="inlineStr">
        <is>
          <t>2271788450002656</t>
        </is>
      </c>
      <c r="BB3889" t="inlineStr">
        <is>
          <t>BOOK</t>
        </is>
      </c>
      <c r="BD3889" t="inlineStr">
        <is>
          <t>9781851827138</t>
        </is>
      </c>
      <c r="BE3889" t="inlineStr">
        <is>
          <t>32285005049431</t>
        </is>
      </c>
      <c r="BF3889" t="inlineStr">
        <is>
          <t>893500529</t>
        </is>
      </c>
    </row>
    <row r="3890">
      <c r="A3890" t="inlineStr">
        <is>
          <t>No</t>
        </is>
      </c>
      <c r="B3890" t="inlineStr">
        <is>
          <t>CURAL</t>
        </is>
      </c>
      <c r="C3890" t="inlineStr">
        <is>
          <t>SHELVES</t>
        </is>
      </c>
      <c r="D3890" t="inlineStr">
        <is>
          <t>PR881 .K5</t>
        </is>
      </c>
      <c r="E3890" t="inlineStr">
        <is>
          <t>0                      PR 0881000K  5</t>
        </is>
      </c>
      <c r="F3890" t="inlineStr">
        <is>
          <t>Beyond egotism : the fiction of James Joyce, Virginia Woolf, and D. H. Lawrence / Robert Kiely.</t>
        </is>
      </c>
      <c r="H3890" t="inlineStr">
        <is>
          <t>No</t>
        </is>
      </c>
      <c r="I3890" t="inlineStr">
        <is>
          <t>1</t>
        </is>
      </c>
      <c r="J3890" t="inlineStr">
        <is>
          <t>No</t>
        </is>
      </c>
      <c r="K3890" t="inlineStr">
        <is>
          <t>No</t>
        </is>
      </c>
      <c r="L3890" t="inlineStr">
        <is>
          <t>0</t>
        </is>
      </c>
      <c r="M3890" t="inlineStr">
        <is>
          <t>Kiely, Robert.</t>
        </is>
      </c>
      <c r="N3890" t="inlineStr">
        <is>
          <t>Cambridge, Mass. : Harvard University Press, 1980.</t>
        </is>
      </c>
      <c r="O3890" t="inlineStr">
        <is>
          <t>1980</t>
        </is>
      </c>
      <c r="Q3890" t="inlineStr">
        <is>
          <t>eng</t>
        </is>
      </c>
      <c r="R3890" t="inlineStr">
        <is>
          <t>mau</t>
        </is>
      </c>
      <c r="T3890" t="inlineStr">
        <is>
          <t xml:space="preserve">PR </t>
        </is>
      </c>
      <c r="U3890" t="n">
        <v>1</v>
      </c>
      <c r="V3890" t="n">
        <v>1</v>
      </c>
      <c r="W3890" t="inlineStr">
        <is>
          <t>2005-04-22</t>
        </is>
      </c>
      <c r="X3890" t="inlineStr">
        <is>
          <t>2005-04-22</t>
        </is>
      </c>
      <c r="Y3890" t="inlineStr">
        <is>
          <t>1991-09-12</t>
        </is>
      </c>
      <c r="Z3890" t="inlineStr">
        <is>
          <t>1991-09-12</t>
        </is>
      </c>
      <c r="AA3890" t="n">
        <v>778</v>
      </c>
      <c r="AB3890" t="n">
        <v>614</v>
      </c>
      <c r="AC3890" t="n">
        <v>625</v>
      </c>
      <c r="AD3890" t="n">
        <v>5</v>
      </c>
      <c r="AE3890" t="n">
        <v>5</v>
      </c>
      <c r="AF3890" t="n">
        <v>24</v>
      </c>
      <c r="AG3890" t="n">
        <v>24</v>
      </c>
      <c r="AH3890" t="n">
        <v>7</v>
      </c>
      <c r="AI3890" t="n">
        <v>7</v>
      </c>
      <c r="AJ3890" t="n">
        <v>6</v>
      </c>
      <c r="AK3890" t="n">
        <v>6</v>
      </c>
      <c r="AL3890" t="n">
        <v>15</v>
      </c>
      <c r="AM3890" t="n">
        <v>15</v>
      </c>
      <c r="AN3890" t="n">
        <v>4</v>
      </c>
      <c r="AO3890" t="n">
        <v>4</v>
      </c>
      <c r="AP3890" t="n">
        <v>0</v>
      </c>
      <c r="AQ3890" t="n">
        <v>0</v>
      </c>
      <c r="AR3890" t="inlineStr">
        <is>
          <t>No</t>
        </is>
      </c>
      <c r="AS3890" t="inlineStr">
        <is>
          <t>Yes</t>
        </is>
      </c>
      <c r="AT3890">
        <f>HYPERLINK("http://catalog.hathitrust.org/Record/000126958","HathiTrust Record")</f>
        <v/>
      </c>
      <c r="AU3890">
        <f>HYPERLINK("https://creighton-primo.hosted.exlibrisgroup.com/primo-explore/search?tab=default_tab&amp;search_scope=EVERYTHING&amp;vid=01CRU&amp;lang=en_US&amp;offset=0&amp;query=any,contains,991004948999702656","Catalog Record")</f>
        <v/>
      </c>
      <c r="AV3890">
        <f>HYPERLINK("http://www.worldcat.org/oclc/6223582","WorldCat Record")</f>
        <v/>
      </c>
      <c r="AW3890" t="inlineStr">
        <is>
          <t>836655451:eng</t>
        </is>
      </c>
      <c r="AX3890" t="inlineStr">
        <is>
          <t>6223582</t>
        </is>
      </c>
      <c r="AY3890" t="inlineStr">
        <is>
          <t>991004948999702656</t>
        </is>
      </c>
      <c r="AZ3890" t="inlineStr">
        <is>
          <t>991004948999702656</t>
        </is>
      </c>
      <c r="BA3890" t="inlineStr">
        <is>
          <t>2268424980002656</t>
        </is>
      </c>
      <c r="BB3890" t="inlineStr">
        <is>
          <t>BOOK</t>
        </is>
      </c>
      <c r="BD3890" t="inlineStr">
        <is>
          <t>9780674068964</t>
        </is>
      </c>
      <c r="BE3890" t="inlineStr">
        <is>
          <t>32285000757806</t>
        </is>
      </c>
      <c r="BF3890" t="inlineStr">
        <is>
          <t>893532965</t>
        </is>
      </c>
    </row>
    <row r="3891">
      <c r="A3891" t="inlineStr">
        <is>
          <t>No</t>
        </is>
      </c>
      <c r="B3891" t="inlineStr">
        <is>
          <t>CURAL</t>
        </is>
      </c>
      <c r="C3891" t="inlineStr">
        <is>
          <t>SHELVES</t>
        </is>
      </c>
      <c r="D3891" t="inlineStr">
        <is>
          <t>PR881 .M387 1990</t>
        </is>
      </c>
      <c r="E3891" t="inlineStr">
        <is>
          <t>0                      PR 0881000M  387         1990</t>
        </is>
      </c>
      <c r="F3891" t="inlineStr">
        <is>
          <t>The novel today : a critical guide to the British novel, 1970-1989 / Allan Massie.</t>
        </is>
      </c>
      <c r="H3891" t="inlineStr">
        <is>
          <t>No</t>
        </is>
      </c>
      <c r="I3891" t="inlineStr">
        <is>
          <t>1</t>
        </is>
      </c>
      <c r="J3891" t="inlineStr">
        <is>
          <t>No</t>
        </is>
      </c>
      <c r="K3891" t="inlineStr">
        <is>
          <t>No</t>
        </is>
      </c>
      <c r="L3891" t="inlineStr">
        <is>
          <t>0</t>
        </is>
      </c>
      <c r="M3891" t="inlineStr">
        <is>
          <t>Massie, Allan, 1938-</t>
        </is>
      </c>
      <c r="N3891" t="inlineStr">
        <is>
          <t>London ; New York : Longman, in association with the British Council, 1990.</t>
        </is>
      </c>
      <c r="O3891" t="inlineStr">
        <is>
          <t>1990</t>
        </is>
      </c>
      <c r="Q3891" t="inlineStr">
        <is>
          <t>eng</t>
        </is>
      </c>
      <c r="R3891" t="inlineStr">
        <is>
          <t>enk</t>
        </is>
      </c>
      <c r="T3891" t="inlineStr">
        <is>
          <t xml:space="preserve">PR </t>
        </is>
      </c>
      <c r="U3891" t="n">
        <v>1</v>
      </c>
      <c r="V3891" t="n">
        <v>1</v>
      </c>
      <c r="W3891" t="inlineStr">
        <is>
          <t>1993-03-31</t>
        </is>
      </c>
      <c r="X3891" t="inlineStr">
        <is>
          <t>1993-03-31</t>
        </is>
      </c>
      <c r="Y3891" t="inlineStr">
        <is>
          <t>1991-04-16</t>
        </is>
      </c>
      <c r="Z3891" t="inlineStr">
        <is>
          <t>1991-04-16</t>
        </is>
      </c>
      <c r="AA3891" t="n">
        <v>399</v>
      </c>
      <c r="AB3891" t="n">
        <v>213</v>
      </c>
      <c r="AC3891" t="n">
        <v>236</v>
      </c>
      <c r="AD3891" t="n">
        <v>2</v>
      </c>
      <c r="AE3891" t="n">
        <v>2</v>
      </c>
      <c r="AF3891" t="n">
        <v>15</v>
      </c>
      <c r="AG3891" t="n">
        <v>15</v>
      </c>
      <c r="AH3891" t="n">
        <v>4</v>
      </c>
      <c r="AI3891" t="n">
        <v>4</v>
      </c>
      <c r="AJ3891" t="n">
        <v>6</v>
      </c>
      <c r="AK3891" t="n">
        <v>6</v>
      </c>
      <c r="AL3891" t="n">
        <v>8</v>
      </c>
      <c r="AM3891" t="n">
        <v>8</v>
      </c>
      <c r="AN3891" t="n">
        <v>1</v>
      </c>
      <c r="AO3891" t="n">
        <v>1</v>
      </c>
      <c r="AP3891" t="n">
        <v>0</v>
      </c>
      <c r="AQ3891" t="n">
        <v>0</v>
      </c>
      <c r="AR3891" t="inlineStr">
        <is>
          <t>No</t>
        </is>
      </c>
      <c r="AS3891" t="inlineStr">
        <is>
          <t>No</t>
        </is>
      </c>
      <c r="AU3891">
        <f>HYPERLINK("https://creighton-primo.hosted.exlibrisgroup.com/primo-explore/search?tab=default_tab&amp;search_scope=EVERYTHING&amp;vid=01CRU&amp;lang=en_US&amp;offset=0&amp;query=any,contains,991001631349702656","Catalog Record")</f>
        <v/>
      </c>
      <c r="AV3891">
        <f>HYPERLINK("http://www.worldcat.org/oclc/20930483","WorldCat Record")</f>
        <v/>
      </c>
      <c r="AW3891" t="inlineStr">
        <is>
          <t>836795573:eng</t>
        </is>
      </c>
      <c r="AX3891" t="inlineStr">
        <is>
          <t>20930483</t>
        </is>
      </c>
      <c r="AY3891" t="inlineStr">
        <is>
          <t>991001631349702656</t>
        </is>
      </c>
      <c r="AZ3891" t="inlineStr">
        <is>
          <t>991001631349702656</t>
        </is>
      </c>
      <c r="BA3891" t="inlineStr">
        <is>
          <t>2272427380002656</t>
        </is>
      </c>
      <c r="BB3891" t="inlineStr">
        <is>
          <t>BOOK</t>
        </is>
      </c>
      <c r="BD3891" t="inlineStr">
        <is>
          <t>9780582004078</t>
        </is>
      </c>
      <c r="BE3891" t="inlineStr">
        <is>
          <t>32285000568278</t>
        </is>
      </c>
      <c r="BF3891" t="inlineStr">
        <is>
          <t>893426716</t>
        </is>
      </c>
    </row>
    <row r="3892">
      <c r="A3892" t="inlineStr">
        <is>
          <t>No</t>
        </is>
      </c>
      <c r="B3892" t="inlineStr">
        <is>
          <t>CURAL</t>
        </is>
      </c>
      <c r="C3892" t="inlineStr">
        <is>
          <t>SHELVES</t>
        </is>
      </c>
      <c r="D3892" t="inlineStr">
        <is>
          <t>PR881 .P28</t>
        </is>
      </c>
      <c r="E3892" t="inlineStr">
        <is>
          <t>0                      PR 0881000P  28</t>
        </is>
      </c>
      <c r="F3892" t="inlineStr">
        <is>
          <t>The novel as faith : the gospel according to James, Hardy, Conrad, Joyce, Lawrence and Virginia Woolf.</t>
        </is>
      </c>
      <c r="H3892" t="inlineStr">
        <is>
          <t>No</t>
        </is>
      </c>
      <c r="I3892" t="inlineStr">
        <is>
          <t>1</t>
        </is>
      </c>
      <c r="J3892" t="inlineStr">
        <is>
          <t>No</t>
        </is>
      </c>
      <c r="K3892" t="inlineStr">
        <is>
          <t>No</t>
        </is>
      </c>
      <c r="L3892" t="inlineStr">
        <is>
          <t>0</t>
        </is>
      </c>
      <c r="M3892" t="inlineStr">
        <is>
          <t>Paterson, John, 1923-2002.</t>
        </is>
      </c>
      <c r="N3892" t="inlineStr">
        <is>
          <t>Boston : Gambit, 1973.</t>
        </is>
      </c>
      <c r="O3892" t="inlineStr">
        <is>
          <t>1973</t>
        </is>
      </c>
      <c r="Q3892" t="inlineStr">
        <is>
          <t>eng</t>
        </is>
      </c>
      <c r="R3892" t="inlineStr">
        <is>
          <t xml:space="preserve">xx </t>
        </is>
      </c>
      <c r="T3892" t="inlineStr">
        <is>
          <t xml:space="preserve">PR </t>
        </is>
      </c>
      <c r="U3892" t="n">
        <v>2</v>
      </c>
      <c r="V3892" t="n">
        <v>2</v>
      </c>
      <c r="W3892" t="inlineStr">
        <is>
          <t>2004-07-06</t>
        </is>
      </c>
      <c r="X3892" t="inlineStr">
        <is>
          <t>2004-07-06</t>
        </is>
      </c>
      <c r="Y3892" t="inlineStr">
        <is>
          <t>1991-09-16</t>
        </is>
      </c>
      <c r="Z3892" t="inlineStr">
        <is>
          <t>1991-09-16</t>
        </is>
      </c>
      <c r="AA3892" t="n">
        <v>597</v>
      </c>
      <c r="AB3892" t="n">
        <v>528</v>
      </c>
      <c r="AC3892" t="n">
        <v>538</v>
      </c>
      <c r="AD3892" t="n">
        <v>3</v>
      </c>
      <c r="AE3892" t="n">
        <v>3</v>
      </c>
      <c r="AF3892" t="n">
        <v>21</v>
      </c>
      <c r="AG3892" t="n">
        <v>21</v>
      </c>
      <c r="AH3892" t="n">
        <v>8</v>
      </c>
      <c r="AI3892" t="n">
        <v>8</v>
      </c>
      <c r="AJ3892" t="n">
        <v>6</v>
      </c>
      <c r="AK3892" t="n">
        <v>6</v>
      </c>
      <c r="AL3892" t="n">
        <v>10</v>
      </c>
      <c r="AM3892" t="n">
        <v>10</v>
      </c>
      <c r="AN3892" t="n">
        <v>2</v>
      </c>
      <c r="AO3892" t="n">
        <v>2</v>
      </c>
      <c r="AP3892" t="n">
        <v>0</v>
      </c>
      <c r="AQ3892" t="n">
        <v>0</v>
      </c>
      <c r="AR3892" t="inlineStr">
        <is>
          <t>No</t>
        </is>
      </c>
      <c r="AS3892" t="inlineStr">
        <is>
          <t>Yes</t>
        </is>
      </c>
      <c r="AT3892">
        <f>HYPERLINK("http://catalog.hathitrust.org/Record/001375013","HathiTrust Record")</f>
        <v/>
      </c>
      <c r="AU3892">
        <f>HYPERLINK("https://creighton-primo.hosted.exlibrisgroup.com/primo-explore/search?tab=default_tab&amp;search_scope=EVERYTHING&amp;vid=01CRU&amp;lang=en_US&amp;offset=0&amp;query=any,contains,991003294939702656","Catalog Record")</f>
        <v/>
      </c>
      <c r="AV3892">
        <f>HYPERLINK("http://www.worldcat.org/oclc/817273","WorldCat Record")</f>
        <v/>
      </c>
      <c r="AW3892" t="inlineStr">
        <is>
          <t>422822124:eng</t>
        </is>
      </c>
      <c r="AX3892" t="inlineStr">
        <is>
          <t>817273</t>
        </is>
      </c>
      <c r="AY3892" t="inlineStr">
        <is>
          <t>991003294939702656</t>
        </is>
      </c>
      <c r="AZ3892" t="inlineStr">
        <is>
          <t>991003294939702656</t>
        </is>
      </c>
      <c r="BA3892" t="inlineStr">
        <is>
          <t>2269727830002656</t>
        </is>
      </c>
      <c r="BB3892" t="inlineStr">
        <is>
          <t>BOOK</t>
        </is>
      </c>
      <c r="BD3892" t="inlineStr">
        <is>
          <t>9780876450758</t>
        </is>
      </c>
      <c r="BE3892" t="inlineStr">
        <is>
          <t>32285000757830</t>
        </is>
      </c>
      <c r="BF3892" t="inlineStr">
        <is>
          <t>893604643</t>
        </is>
      </c>
    </row>
    <row r="3893">
      <c r="A3893" t="inlineStr">
        <is>
          <t>No</t>
        </is>
      </c>
      <c r="B3893" t="inlineStr">
        <is>
          <t>CURAL</t>
        </is>
      </c>
      <c r="C3893" t="inlineStr">
        <is>
          <t>SHELVES</t>
        </is>
      </c>
      <c r="D3893" t="inlineStr">
        <is>
          <t>PR8815 .L36 2000</t>
        </is>
      </c>
      <c r="E3893" t="inlineStr">
        <is>
          <t>0                      PR 8815000L  36          2000</t>
        </is>
      </c>
      <c r="F3893" t="inlineStr">
        <is>
          <t>Unauthorized versions : Irish Menippean satire, 1919-1952 / José Lanters.</t>
        </is>
      </c>
      <c r="H3893" t="inlineStr">
        <is>
          <t>No</t>
        </is>
      </c>
      <c r="I3893" t="inlineStr">
        <is>
          <t>1</t>
        </is>
      </c>
      <c r="J3893" t="inlineStr">
        <is>
          <t>No</t>
        </is>
      </c>
      <c r="K3893" t="inlineStr">
        <is>
          <t>No</t>
        </is>
      </c>
      <c r="L3893" t="inlineStr">
        <is>
          <t>0</t>
        </is>
      </c>
      <c r="M3893" t="inlineStr">
        <is>
          <t>Lanters, José.</t>
        </is>
      </c>
      <c r="N3893" t="inlineStr">
        <is>
          <t>Washington, D.C. : Catholic University of American Press, c2000.</t>
        </is>
      </c>
      <c r="O3893" t="inlineStr">
        <is>
          <t>2000</t>
        </is>
      </c>
      <c r="Q3893" t="inlineStr">
        <is>
          <t>eng</t>
        </is>
      </c>
      <c r="R3893" t="inlineStr">
        <is>
          <t>dcu</t>
        </is>
      </c>
      <c r="T3893" t="inlineStr">
        <is>
          <t xml:space="preserve">PR </t>
        </is>
      </c>
      <c r="U3893" t="n">
        <v>1</v>
      </c>
      <c r="V3893" t="n">
        <v>1</v>
      </c>
      <c r="W3893" t="inlineStr">
        <is>
          <t>2001-10-30</t>
        </is>
      </c>
      <c r="X3893" t="inlineStr">
        <is>
          <t>2001-10-30</t>
        </is>
      </c>
      <c r="Y3893" t="inlineStr">
        <is>
          <t>2001-10-29</t>
        </is>
      </c>
      <c r="Z3893" t="inlineStr">
        <is>
          <t>2001-10-29</t>
        </is>
      </c>
      <c r="AA3893" t="n">
        <v>245</v>
      </c>
      <c r="AB3893" t="n">
        <v>203</v>
      </c>
      <c r="AC3893" t="n">
        <v>205</v>
      </c>
      <c r="AD3893" t="n">
        <v>3</v>
      </c>
      <c r="AE3893" t="n">
        <v>3</v>
      </c>
      <c r="AF3893" t="n">
        <v>16</v>
      </c>
      <c r="AG3893" t="n">
        <v>16</v>
      </c>
      <c r="AH3893" t="n">
        <v>3</v>
      </c>
      <c r="AI3893" t="n">
        <v>3</v>
      </c>
      <c r="AJ3893" t="n">
        <v>7</v>
      </c>
      <c r="AK3893" t="n">
        <v>7</v>
      </c>
      <c r="AL3893" t="n">
        <v>9</v>
      </c>
      <c r="AM3893" t="n">
        <v>9</v>
      </c>
      <c r="AN3893" t="n">
        <v>2</v>
      </c>
      <c r="AO3893" t="n">
        <v>2</v>
      </c>
      <c r="AP3893" t="n">
        <v>0</v>
      </c>
      <c r="AQ3893" t="n">
        <v>0</v>
      </c>
      <c r="AR3893" t="inlineStr">
        <is>
          <t>No</t>
        </is>
      </c>
      <c r="AS3893" t="inlineStr">
        <is>
          <t>Yes</t>
        </is>
      </c>
      <c r="AT3893">
        <f>HYPERLINK("http://catalog.hathitrust.org/Record/004124842","HathiTrust Record")</f>
        <v/>
      </c>
      <c r="AU3893">
        <f>HYPERLINK("https://creighton-primo.hosted.exlibrisgroup.com/primo-explore/search?tab=default_tab&amp;search_scope=EVERYTHING&amp;vid=01CRU&amp;lang=en_US&amp;offset=0&amp;query=any,contains,991003643849702656","Catalog Record")</f>
        <v/>
      </c>
      <c r="AV3893">
        <f>HYPERLINK("http://www.worldcat.org/oclc/43063295","WorldCat Record")</f>
        <v/>
      </c>
      <c r="AW3893" t="inlineStr">
        <is>
          <t>340992081:eng</t>
        </is>
      </c>
      <c r="AX3893" t="inlineStr">
        <is>
          <t>43063295</t>
        </is>
      </c>
      <c r="AY3893" t="inlineStr">
        <is>
          <t>991003643849702656</t>
        </is>
      </c>
      <c r="AZ3893" t="inlineStr">
        <is>
          <t>991003643849702656</t>
        </is>
      </c>
      <c r="BA3893" t="inlineStr">
        <is>
          <t>2261224350002656</t>
        </is>
      </c>
      <c r="BB3893" t="inlineStr">
        <is>
          <t>BOOK</t>
        </is>
      </c>
      <c r="BD3893" t="inlineStr">
        <is>
          <t>9780813209869</t>
        </is>
      </c>
      <c r="BE3893" t="inlineStr">
        <is>
          <t>32285004415971</t>
        </is>
      </c>
      <c r="BF3893" t="inlineStr">
        <is>
          <t>893717929</t>
        </is>
      </c>
    </row>
    <row r="3894">
      <c r="A3894" t="inlineStr">
        <is>
          <t>No</t>
        </is>
      </c>
      <c r="B3894" t="inlineStr">
        <is>
          <t>CURAL</t>
        </is>
      </c>
      <c r="C3894" t="inlineStr">
        <is>
          <t>SHELVES</t>
        </is>
      </c>
      <c r="D3894" t="inlineStr">
        <is>
          <t>PR8815 .N55 1996</t>
        </is>
      </c>
      <c r="E3894" t="inlineStr">
        <is>
          <t>0                      PR 8815000N  55          1996</t>
        </is>
      </c>
      <c r="F3894" t="inlineStr">
        <is>
          <t>Humor in Irish literature : a reference guide / Don L.F. Nilsen.</t>
        </is>
      </c>
      <c r="H3894" t="inlineStr">
        <is>
          <t>No</t>
        </is>
      </c>
      <c r="I3894" t="inlineStr">
        <is>
          <t>1</t>
        </is>
      </c>
      <c r="J3894" t="inlineStr">
        <is>
          <t>No</t>
        </is>
      </c>
      <c r="K3894" t="inlineStr">
        <is>
          <t>No</t>
        </is>
      </c>
      <c r="L3894" t="inlineStr">
        <is>
          <t>0</t>
        </is>
      </c>
      <c r="M3894" t="inlineStr">
        <is>
          <t>Nilsen, Don Lee Fred.</t>
        </is>
      </c>
      <c r="N3894" t="inlineStr">
        <is>
          <t>Westport, Conn. : Greenwood Press, 1996.</t>
        </is>
      </c>
      <c r="O3894" t="inlineStr">
        <is>
          <t>1996</t>
        </is>
      </c>
      <c r="Q3894" t="inlineStr">
        <is>
          <t>eng</t>
        </is>
      </c>
      <c r="R3894" t="inlineStr">
        <is>
          <t>ctu</t>
        </is>
      </c>
      <c r="T3894" t="inlineStr">
        <is>
          <t xml:space="preserve">PR </t>
        </is>
      </c>
      <c r="U3894" t="n">
        <v>3</v>
      </c>
      <c r="V3894" t="n">
        <v>3</v>
      </c>
      <c r="W3894" t="inlineStr">
        <is>
          <t>2001-04-23</t>
        </is>
      </c>
      <c r="X3894" t="inlineStr">
        <is>
          <t>2001-04-23</t>
        </is>
      </c>
      <c r="Y3894" t="inlineStr">
        <is>
          <t>1996-12-16</t>
        </is>
      </c>
      <c r="Z3894" t="inlineStr">
        <is>
          <t>1996-12-16</t>
        </is>
      </c>
      <c r="AA3894" t="n">
        <v>292</v>
      </c>
      <c r="AB3894" t="n">
        <v>228</v>
      </c>
      <c r="AC3894" t="n">
        <v>228</v>
      </c>
      <c r="AD3894" t="n">
        <v>3</v>
      </c>
      <c r="AE3894" t="n">
        <v>3</v>
      </c>
      <c r="AF3894" t="n">
        <v>11</v>
      </c>
      <c r="AG3894" t="n">
        <v>11</v>
      </c>
      <c r="AH3894" t="n">
        <v>1</v>
      </c>
      <c r="AI3894" t="n">
        <v>1</v>
      </c>
      <c r="AJ3894" t="n">
        <v>3</v>
      </c>
      <c r="AK3894" t="n">
        <v>3</v>
      </c>
      <c r="AL3894" t="n">
        <v>8</v>
      </c>
      <c r="AM3894" t="n">
        <v>8</v>
      </c>
      <c r="AN3894" t="n">
        <v>2</v>
      </c>
      <c r="AO3894" t="n">
        <v>2</v>
      </c>
      <c r="AP3894" t="n">
        <v>0</v>
      </c>
      <c r="AQ3894" t="n">
        <v>0</v>
      </c>
      <c r="AR3894" t="inlineStr">
        <is>
          <t>No</t>
        </is>
      </c>
      <c r="AS3894" t="inlineStr">
        <is>
          <t>No</t>
        </is>
      </c>
      <c r="AU3894">
        <f>HYPERLINK("https://creighton-primo.hosted.exlibrisgroup.com/primo-explore/search?tab=default_tab&amp;search_scope=EVERYTHING&amp;vid=01CRU&amp;lang=en_US&amp;offset=0&amp;query=any,contains,991002573209702656","Catalog Record")</f>
        <v/>
      </c>
      <c r="AV3894">
        <f>HYPERLINK("http://www.worldcat.org/oclc/33440487","WorldCat Record")</f>
        <v/>
      </c>
      <c r="AW3894" t="inlineStr">
        <is>
          <t>837018729:eng</t>
        </is>
      </c>
      <c r="AX3894" t="inlineStr">
        <is>
          <t>33440487</t>
        </is>
      </c>
      <c r="AY3894" t="inlineStr">
        <is>
          <t>991002573209702656</t>
        </is>
      </c>
      <c r="AZ3894" t="inlineStr">
        <is>
          <t>991002573209702656</t>
        </is>
      </c>
      <c r="BA3894" t="inlineStr">
        <is>
          <t>2266082920002656</t>
        </is>
      </c>
      <c r="BB3894" t="inlineStr">
        <is>
          <t>BOOK</t>
        </is>
      </c>
      <c r="BD3894" t="inlineStr">
        <is>
          <t>9780313295515</t>
        </is>
      </c>
      <c r="BE3894" t="inlineStr">
        <is>
          <t>32285002393782</t>
        </is>
      </c>
      <c r="BF3894" t="inlineStr">
        <is>
          <t>893434036</t>
        </is>
      </c>
    </row>
    <row r="3895">
      <c r="A3895" t="inlineStr">
        <is>
          <t>No</t>
        </is>
      </c>
      <c r="B3895" t="inlineStr">
        <is>
          <t>CURAL</t>
        </is>
      </c>
      <c r="C3895" t="inlineStr">
        <is>
          <t>SHELVES</t>
        </is>
      </c>
      <c r="D3895" t="inlineStr">
        <is>
          <t>PR882 .N68 1985</t>
        </is>
      </c>
      <c r="E3895" t="inlineStr">
        <is>
          <t>0                      PR 0882000N  68          1985</t>
        </is>
      </c>
      <c r="F3895" t="inlineStr">
        <is>
          <t>Novelists in interview / [edited by] John Haffenden.</t>
        </is>
      </c>
      <c r="H3895" t="inlineStr">
        <is>
          <t>No</t>
        </is>
      </c>
      <c r="I3895" t="inlineStr">
        <is>
          <t>1</t>
        </is>
      </c>
      <c r="J3895" t="inlineStr">
        <is>
          <t>No</t>
        </is>
      </c>
      <c r="K3895" t="inlineStr">
        <is>
          <t>No</t>
        </is>
      </c>
      <c r="L3895" t="inlineStr">
        <is>
          <t>0</t>
        </is>
      </c>
      <c r="N3895" t="inlineStr">
        <is>
          <t>London ; New York : Methuen, 1985.</t>
        </is>
      </c>
      <c r="O3895" t="inlineStr">
        <is>
          <t>1985</t>
        </is>
      </c>
      <c r="Q3895" t="inlineStr">
        <is>
          <t>eng</t>
        </is>
      </c>
      <c r="R3895" t="inlineStr">
        <is>
          <t>enk</t>
        </is>
      </c>
      <c r="T3895" t="inlineStr">
        <is>
          <t xml:space="preserve">PR </t>
        </is>
      </c>
      <c r="U3895" t="n">
        <v>5</v>
      </c>
      <c r="V3895" t="n">
        <v>5</v>
      </c>
      <c r="W3895" t="inlineStr">
        <is>
          <t>2007-03-18</t>
        </is>
      </c>
      <c r="X3895" t="inlineStr">
        <is>
          <t>2007-03-18</t>
        </is>
      </c>
      <c r="Y3895" t="inlineStr">
        <is>
          <t>1991-09-12</t>
        </is>
      </c>
      <c r="Z3895" t="inlineStr">
        <is>
          <t>1991-09-12</t>
        </is>
      </c>
      <c r="AA3895" t="n">
        <v>535</v>
      </c>
      <c r="AB3895" t="n">
        <v>358</v>
      </c>
      <c r="AC3895" t="n">
        <v>386</v>
      </c>
      <c r="AD3895" t="n">
        <v>2</v>
      </c>
      <c r="AE3895" t="n">
        <v>2</v>
      </c>
      <c r="AF3895" t="n">
        <v>12</v>
      </c>
      <c r="AG3895" t="n">
        <v>12</v>
      </c>
      <c r="AH3895" t="n">
        <v>3</v>
      </c>
      <c r="AI3895" t="n">
        <v>3</v>
      </c>
      <c r="AJ3895" t="n">
        <v>4</v>
      </c>
      <c r="AK3895" t="n">
        <v>4</v>
      </c>
      <c r="AL3895" t="n">
        <v>8</v>
      </c>
      <c r="AM3895" t="n">
        <v>8</v>
      </c>
      <c r="AN3895" t="n">
        <v>1</v>
      </c>
      <c r="AO3895" t="n">
        <v>1</v>
      </c>
      <c r="AP3895" t="n">
        <v>0</v>
      </c>
      <c r="AQ3895" t="n">
        <v>0</v>
      </c>
      <c r="AR3895" t="inlineStr">
        <is>
          <t>No</t>
        </is>
      </c>
      <c r="AS3895" t="inlineStr">
        <is>
          <t>No</t>
        </is>
      </c>
      <c r="AU3895">
        <f>HYPERLINK("https://creighton-primo.hosted.exlibrisgroup.com/primo-explore/search?tab=default_tab&amp;search_scope=EVERYTHING&amp;vid=01CRU&amp;lang=en_US&amp;offset=0&amp;query=any,contains,991000640159702656","Catalog Record")</f>
        <v/>
      </c>
      <c r="AV3895">
        <f>HYPERLINK("http://www.worldcat.org/oclc/12103892","WorldCat Record")</f>
        <v/>
      </c>
      <c r="AW3895" t="inlineStr">
        <is>
          <t>158002838:eng</t>
        </is>
      </c>
      <c r="AX3895" t="inlineStr">
        <is>
          <t>12103892</t>
        </is>
      </c>
      <c r="AY3895" t="inlineStr">
        <is>
          <t>991000640159702656</t>
        </is>
      </c>
      <c r="AZ3895" t="inlineStr">
        <is>
          <t>991000640159702656</t>
        </is>
      </c>
      <c r="BA3895" t="inlineStr">
        <is>
          <t>2260576990002656</t>
        </is>
      </c>
      <c r="BB3895" t="inlineStr">
        <is>
          <t>BOOK</t>
        </is>
      </c>
      <c r="BD3895" t="inlineStr">
        <is>
          <t>9780416376005</t>
        </is>
      </c>
      <c r="BE3895" t="inlineStr">
        <is>
          <t>32285000757871</t>
        </is>
      </c>
      <c r="BF3895" t="inlineStr">
        <is>
          <t>893871853</t>
        </is>
      </c>
    </row>
    <row r="3896">
      <c r="A3896" t="inlineStr">
        <is>
          <t>No</t>
        </is>
      </c>
      <c r="B3896" t="inlineStr">
        <is>
          <t>CURAL</t>
        </is>
      </c>
      <c r="C3896" t="inlineStr">
        <is>
          <t>SHELVES</t>
        </is>
      </c>
      <c r="D3896" t="inlineStr">
        <is>
          <t>PR883 .L5 1987</t>
        </is>
      </c>
      <c r="E3896" t="inlineStr">
        <is>
          <t>0                      PR 0883000L  5           1987</t>
        </is>
      </c>
      <c r="F3896" t="inlineStr">
        <is>
          <t>Literary theory at work : three texts / edited by Douglas Tallack.</t>
        </is>
      </c>
      <c r="H3896" t="inlineStr">
        <is>
          <t>No</t>
        </is>
      </c>
      <c r="I3896" t="inlineStr">
        <is>
          <t>1</t>
        </is>
      </c>
      <c r="J3896" t="inlineStr">
        <is>
          <t>No</t>
        </is>
      </c>
      <c r="K3896" t="inlineStr">
        <is>
          <t>No</t>
        </is>
      </c>
      <c r="L3896" t="inlineStr">
        <is>
          <t>0</t>
        </is>
      </c>
      <c r="N3896" t="inlineStr">
        <is>
          <t>Totowa, N.J. : Barnes &amp; Noble, 1987.</t>
        </is>
      </c>
      <c r="O3896" t="inlineStr">
        <is>
          <t>1987</t>
        </is>
      </c>
      <c r="Q3896" t="inlineStr">
        <is>
          <t>eng</t>
        </is>
      </c>
      <c r="R3896" t="inlineStr">
        <is>
          <t>nju</t>
        </is>
      </c>
      <c r="T3896" t="inlineStr">
        <is>
          <t xml:space="preserve">PR </t>
        </is>
      </c>
      <c r="U3896" t="n">
        <v>5</v>
      </c>
      <c r="V3896" t="n">
        <v>5</v>
      </c>
      <c r="W3896" t="inlineStr">
        <is>
          <t>1993-10-13</t>
        </is>
      </c>
      <c r="X3896" t="inlineStr">
        <is>
          <t>1993-10-13</t>
        </is>
      </c>
      <c r="Y3896" t="inlineStr">
        <is>
          <t>1991-09-12</t>
        </is>
      </c>
      <c r="Z3896" t="inlineStr">
        <is>
          <t>1991-09-12</t>
        </is>
      </c>
      <c r="AA3896" t="n">
        <v>333</v>
      </c>
      <c r="AB3896" t="n">
        <v>298</v>
      </c>
      <c r="AC3896" t="n">
        <v>369</v>
      </c>
      <c r="AD3896" t="n">
        <v>2</v>
      </c>
      <c r="AE3896" t="n">
        <v>4</v>
      </c>
      <c r="AF3896" t="n">
        <v>19</v>
      </c>
      <c r="AG3896" t="n">
        <v>22</v>
      </c>
      <c r="AH3896" t="n">
        <v>9</v>
      </c>
      <c r="AI3896" t="n">
        <v>9</v>
      </c>
      <c r="AJ3896" t="n">
        <v>4</v>
      </c>
      <c r="AK3896" t="n">
        <v>5</v>
      </c>
      <c r="AL3896" t="n">
        <v>10</v>
      </c>
      <c r="AM3896" t="n">
        <v>11</v>
      </c>
      <c r="AN3896" t="n">
        <v>1</v>
      </c>
      <c r="AO3896" t="n">
        <v>3</v>
      </c>
      <c r="AP3896" t="n">
        <v>0</v>
      </c>
      <c r="AQ3896" t="n">
        <v>0</v>
      </c>
      <c r="AR3896" t="inlineStr">
        <is>
          <t>No</t>
        </is>
      </c>
      <c r="AS3896" t="inlineStr">
        <is>
          <t>Yes</t>
        </is>
      </c>
      <c r="AT3896">
        <f>HYPERLINK("http://catalog.hathitrust.org/Record/000815665","HathiTrust Record")</f>
        <v/>
      </c>
      <c r="AU3896">
        <f>HYPERLINK("https://creighton-primo.hosted.exlibrisgroup.com/primo-explore/search?tab=default_tab&amp;search_scope=EVERYTHING&amp;vid=01CRU&amp;lang=en_US&amp;offset=0&amp;query=any,contains,991000883889702656","Catalog Record")</f>
        <v/>
      </c>
      <c r="AV3896">
        <f>HYPERLINK("http://www.worldcat.org/oclc/13859949","WorldCat Record")</f>
        <v/>
      </c>
      <c r="AW3896" t="inlineStr">
        <is>
          <t>836681784:eng</t>
        </is>
      </c>
      <c r="AX3896" t="inlineStr">
        <is>
          <t>13859949</t>
        </is>
      </c>
      <c r="AY3896" t="inlineStr">
        <is>
          <t>991000883889702656</t>
        </is>
      </c>
      <c r="AZ3896" t="inlineStr">
        <is>
          <t>991000883889702656</t>
        </is>
      </c>
      <c r="BA3896" t="inlineStr">
        <is>
          <t>2268282670002656</t>
        </is>
      </c>
      <c r="BB3896" t="inlineStr">
        <is>
          <t>BOOK</t>
        </is>
      </c>
      <c r="BD3896" t="inlineStr">
        <is>
          <t>9780389206668</t>
        </is>
      </c>
      <c r="BE3896" t="inlineStr">
        <is>
          <t>32285000758036</t>
        </is>
      </c>
      <c r="BF3896" t="inlineStr">
        <is>
          <t>893872092</t>
        </is>
      </c>
    </row>
    <row r="3897">
      <c r="A3897" t="inlineStr">
        <is>
          <t>No</t>
        </is>
      </c>
      <c r="B3897" t="inlineStr">
        <is>
          <t>CURAL</t>
        </is>
      </c>
      <c r="C3897" t="inlineStr">
        <is>
          <t>SHELVES</t>
        </is>
      </c>
      <c r="D3897" t="inlineStr">
        <is>
          <t>PR883 .S53 1976</t>
        </is>
      </c>
      <c r="E3897" t="inlineStr">
        <is>
          <t>0                      PR 0883000S  53          1976</t>
        </is>
      </c>
      <c r="F3897" t="inlineStr">
        <is>
          <t>Six contemporary British novelists / edited with an introd. by George Stade.</t>
        </is>
      </c>
      <c r="H3897" t="inlineStr">
        <is>
          <t>No</t>
        </is>
      </c>
      <c r="I3897" t="inlineStr">
        <is>
          <t>1</t>
        </is>
      </c>
      <c r="J3897" t="inlineStr">
        <is>
          <t>No</t>
        </is>
      </c>
      <c r="K3897" t="inlineStr">
        <is>
          <t>No</t>
        </is>
      </c>
      <c r="L3897" t="inlineStr">
        <is>
          <t>0</t>
        </is>
      </c>
      <c r="N3897" t="inlineStr">
        <is>
          <t>New York : Columbia University Press, 1976.</t>
        </is>
      </c>
      <c r="O3897" t="inlineStr">
        <is>
          <t>1976</t>
        </is>
      </c>
      <c r="Q3897" t="inlineStr">
        <is>
          <t>eng</t>
        </is>
      </c>
      <c r="R3897" t="inlineStr">
        <is>
          <t>nyu</t>
        </is>
      </c>
      <c r="T3897" t="inlineStr">
        <is>
          <t xml:space="preserve">PR </t>
        </is>
      </c>
      <c r="U3897" t="n">
        <v>1</v>
      </c>
      <c r="V3897" t="n">
        <v>1</v>
      </c>
      <c r="W3897" t="inlineStr">
        <is>
          <t>1992-02-27</t>
        </is>
      </c>
      <c r="X3897" t="inlineStr">
        <is>
          <t>1992-02-27</t>
        </is>
      </c>
      <c r="Y3897" t="inlineStr">
        <is>
          <t>1991-09-12</t>
        </is>
      </c>
      <c r="Z3897" t="inlineStr">
        <is>
          <t>1991-09-12</t>
        </is>
      </c>
      <c r="AA3897" t="n">
        <v>1126</v>
      </c>
      <c r="AB3897" t="n">
        <v>984</v>
      </c>
      <c r="AC3897" t="n">
        <v>991</v>
      </c>
      <c r="AD3897" t="n">
        <v>7</v>
      </c>
      <c r="AE3897" t="n">
        <v>7</v>
      </c>
      <c r="AF3897" t="n">
        <v>35</v>
      </c>
      <c r="AG3897" t="n">
        <v>35</v>
      </c>
      <c r="AH3897" t="n">
        <v>13</v>
      </c>
      <c r="AI3897" t="n">
        <v>13</v>
      </c>
      <c r="AJ3897" t="n">
        <v>8</v>
      </c>
      <c r="AK3897" t="n">
        <v>8</v>
      </c>
      <c r="AL3897" t="n">
        <v>16</v>
      </c>
      <c r="AM3897" t="n">
        <v>16</v>
      </c>
      <c r="AN3897" t="n">
        <v>6</v>
      </c>
      <c r="AO3897" t="n">
        <v>6</v>
      </c>
      <c r="AP3897" t="n">
        <v>0</v>
      </c>
      <c r="AQ3897" t="n">
        <v>0</v>
      </c>
      <c r="AR3897" t="inlineStr">
        <is>
          <t>No</t>
        </is>
      </c>
      <c r="AS3897" t="inlineStr">
        <is>
          <t>No</t>
        </is>
      </c>
      <c r="AU3897">
        <f>HYPERLINK("https://creighton-primo.hosted.exlibrisgroup.com/primo-explore/search?tab=default_tab&amp;search_scope=EVERYTHING&amp;vid=01CRU&amp;lang=en_US&amp;offset=0&amp;query=any,contains,991003988169702656","Catalog Record")</f>
        <v/>
      </c>
      <c r="AV3897">
        <f>HYPERLINK("http://www.worldcat.org/oclc/2035192","WorldCat Record")</f>
        <v/>
      </c>
      <c r="AW3897" t="inlineStr">
        <is>
          <t>2909016:eng</t>
        </is>
      </c>
      <c r="AX3897" t="inlineStr">
        <is>
          <t>2035192</t>
        </is>
      </c>
      <c r="AY3897" t="inlineStr">
        <is>
          <t>991003988169702656</t>
        </is>
      </c>
      <c r="AZ3897" t="inlineStr">
        <is>
          <t>991003988169702656</t>
        </is>
      </c>
      <c r="BA3897" t="inlineStr">
        <is>
          <t>2268789220002656</t>
        </is>
      </c>
      <c r="BB3897" t="inlineStr">
        <is>
          <t>BOOK</t>
        </is>
      </c>
      <c r="BD3897" t="inlineStr">
        <is>
          <t>9780231040549</t>
        </is>
      </c>
      <c r="BE3897" t="inlineStr">
        <is>
          <t>32285000758044</t>
        </is>
      </c>
      <c r="BF3897" t="inlineStr">
        <is>
          <t>893417081</t>
        </is>
      </c>
    </row>
    <row r="3898">
      <c r="A3898" t="inlineStr">
        <is>
          <t>No</t>
        </is>
      </c>
      <c r="B3898" t="inlineStr">
        <is>
          <t>CURAL</t>
        </is>
      </c>
      <c r="C3898" t="inlineStr">
        <is>
          <t>SHELVES</t>
        </is>
      </c>
      <c r="D3898" t="inlineStr">
        <is>
          <t>PR8833 .M3 1904a</t>
        </is>
      </c>
      <c r="E3898" t="inlineStr">
        <is>
          <t>0                      PR 8833000M  3           1904a</t>
        </is>
      </c>
      <c r="F3898" t="inlineStr">
        <is>
          <t>Irish literature / Justin McCarthy, editor in chief. Maurice F. Egan [and] Douglas Hyde, associate editors. Charles Welsh, managing editor.</t>
        </is>
      </c>
      <c r="G3898" t="inlineStr">
        <is>
          <t>V.5-6</t>
        </is>
      </c>
      <c r="H3898" t="inlineStr">
        <is>
          <t>Yes</t>
        </is>
      </c>
      <c r="I3898" t="inlineStr">
        <is>
          <t>1</t>
        </is>
      </c>
      <c r="J3898" t="inlineStr">
        <is>
          <t>No</t>
        </is>
      </c>
      <c r="K3898" t="inlineStr">
        <is>
          <t>Yes</t>
        </is>
      </c>
      <c r="L3898" t="inlineStr">
        <is>
          <t>0</t>
        </is>
      </c>
      <c r="N3898" t="inlineStr">
        <is>
          <t>New York : Bigelow, Smith, [1904]</t>
        </is>
      </c>
      <c r="O3898" t="inlineStr">
        <is>
          <t>1904</t>
        </is>
      </c>
      <c r="P3898" t="inlineStr">
        <is>
          <t>Edition De Luxe.</t>
        </is>
      </c>
      <c r="Q3898" t="inlineStr">
        <is>
          <t>eng</t>
        </is>
      </c>
      <c r="R3898" t="inlineStr">
        <is>
          <t>nyu</t>
        </is>
      </c>
      <c r="T3898" t="inlineStr">
        <is>
          <t xml:space="preserve">PR </t>
        </is>
      </c>
      <c r="U3898" t="n">
        <v>1</v>
      </c>
      <c r="V3898" t="n">
        <v>6</v>
      </c>
      <c r="X3898" t="inlineStr">
        <is>
          <t>1997-04-29</t>
        </is>
      </c>
      <c r="Y3898" t="inlineStr">
        <is>
          <t>1992-08-19</t>
        </is>
      </c>
      <c r="Z3898" t="inlineStr">
        <is>
          <t>1992-08-19</t>
        </is>
      </c>
      <c r="AA3898" t="n">
        <v>56</v>
      </c>
      <c r="AB3898" t="n">
        <v>52</v>
      </c>
      <c r="AC3898" t="n">
        <v>495</v>
      </c>
      <c r="AD3898" t="n">
        <v>2</v>
      </c>
      <c r="AE3898" t="n">
        <v>4</v>
      </c>
      <c r="AF3898" t="n">
        <v>3</v>
      </c>
      <c r="AG3898" t="n">
        <v>39</v>
      </c>
      <c r="AH3898" t="n">
        <v>1</v>
      </c>
      <c r="AI3898" t="n">
        <v>13</v>
      </c>
      <c r="AJ3898" t="n">
        <v>0</v>
      </c>
      <c r="AK3898" t="n">
        <v>9</v>
      </c>
      <c r="AL3898" t="n">
        <v>1</v>
      </c>
      <c r="AM3898" t="n">
        <v>23</v>
      </c>
      <c r="AN3898" t="n">
        <v>1</v>
      </c>
      <c r="AO3898" t="n">
        <v>3</v>
      </c>
      <c r="AP3898" t="n">
        <v>0</v>
      </c>
      <c r="AQ3898" t="n">
        <v>0</v>
      </c>
      <c r="AR3898" t="inlineStr">
        <is>
          <t>Yes</t>
        </is>
      </c>
      <c r="AS3898" t="inlineStr">
        <is>
          <t>No</t>
        </is>
      </c>
      <c r="AT3898">
        <f>HYPERLINK("http://catalog.hathitrust.org/Record/011985095","HathiTrust Record")</f>
        <v/>
      </c>
      <c r="AU3898">
        <f>HYPERLINK("https://creighton-primo.hosted.exlibrisgroup.com/primo-explore/search?tab=default_tab&amp;search_scope=EVERYTHING&amp;vid=01CRU&amp;lang=en_US&amp;offset=0&amp;query=any,contains,991003880029702656","Catalog Record")</f>
        <v/>
      </c>
      <c r="AV3898">
        <f>HYPERLINK("http://www.worldcat.org/oclc/1722010","WorldCat Record")</f>
        <v/>
      </c>
      <c r="AW3898" t="inlineStr">
        <is>
          <t>348466178:eng</t>
        </is>
      </c>
      <c r="AX3898" t="inlineStr">
        <is>
          <t>1722010</t>
        </is>
      </c>
      <c r="AY3898" t="inlineStr">
        <is>
          <t>991003880029702656</t>
        </is>
      </c>
      <c r="AZ3898" t="inlineStr">
        <is>
          <t>991003880029702656</t>
        </is>
      </c>
      <c r="BA3898" t="inlineStr">
        <is>
          <t>2271326080002656</t>
        </is>
      </c>
      <c r="BB3898" t="inlineStr">
        <is>
          <t>BOOK</t>
        </is>
      </c>
      <c r="BE3898" t="inlineStr">
        <is>
          <t>32285001247252</t>
        </is>
      </c>
      <c r="BF3898" t="inlineStr">
        <is>
          <t>893349311</t>
        </is>
      </c>
    </row>
    <row r="3899">
      <c r="A3899" t="inlineStr">
        <is>
          <t>No</t>
        </is>
      </c>
      <c r="B3899" t="inlineStr">
        <is>
          <t>CURAL</t>
        </is>
      </c>
      <c r="C3899" t="inlineStr">
        <is>
          <t>SHELVES</t>
        </is>
      </c>
      <c r="D3899" t="inlineStr">
        <is>
          <t>PR8833 .M3 1904a</t>
        </is>
      </c>
      <c r="E3899" t="inlineStr">
        <is>
          <t>0                      PR 8833000M  3           1904a</t>
        </is>
      </c>
      <c r="F3899" t="inlineStr">
        <is>
          <t>Irish literature / Justin McCarthy, editor in chief. Maurice F. Egan [and] Douglas Hyde, associate editors. Charles Welsh, managing editor.</t>
        </is>
      </c>
      <c r="G3899" t="inlineStr">
        <is>
          <t>V.9-10</t>
        </is>
      </c>
      <c r="H3899" t="inlineStr">
        <is>
          <t>Yes</t>
        </is>
      </c>
      <c r="I3899" t="inlineStr">
        <is>
          <t>1</t>
        </is>
      </c>
      <c r="J3899" t="inlineStr">
        <is>
          <t>No</t>
        </is>
      </c>
      <c r="K3899" t="inlineStr">
        <is>
          <t>Yes</t>
        </is>
      </c>
      <c r="L3899" t="inlineStr">
        <is>
          <t>0</t>
        </is>
      </c>
      <c r="N3899" t="inlineStr">
        <is>
          <t>New York : Bigelow, Smith, [1904]</t>
        </is>
      </c>
      <c r="O3899" t="inlineStr">
        <is>
          <t>1904</t>
        </is>
      </c>
      <c r="P3899" t="inlineStr">
        <is>
          <t>Edition De Luxe.</t>
        </is>
      </c>
      <c r="Q3899" t="inlineStr">
        <is>
          <t>eng</t>
        </is>
      </c>
      <c r="R3899" t="inlineStr">
        <is>
          <t>nyu</t>
        </is>
      </c>
      <c r="T3899" t="inlineStr">
        <is>
          <t xml:space="preserve">PR </t>
        </is>
      </c>
      <c r="U3899" t="n">
        <v>0</v>
      </c>
      <c r="V3899" t="n">
        <v>6</v>
      </c>
      <c r="X3899" t="inlineStr">
        <is>
          <t>1997-04-29</t>
        </is>
      </c>
      <c r="Y3899" t="inlineStr">
        <is>
          <t>1992-08-19</t>
        </is>
      </c>
      <c r="Z3899" t="inlineStr">
        <is>
          <t>1992-08-19</t>
        </is>
      </c>
      <c r="AA3899" t="n">
        <v>56</v>
      </c>
      <c r="AB3899" t="n">
        <v>52</v>
      </c>
      <c r="AC3899" t="n">
        <v>495</v>
      </c>
      <c r="AD3899" t="n">
        <v>2</v>
      </c>
      <c r="AE3899" t="n">
        <v>4</v>
      </c>
      <c r="AF3899" t="n">
        <v>3</v>
      </c>
      <c r="AG3899" t="n">
        <v>39</v>
      </c>
      <c r="AH3899" t="n">
        <v>1</v>
      </c>
      <c r="AI3899" t="n">
        <v>13</v>
      </c>
      <c r="AJ3899" t="n">
        <v>0</v>
      </c>
      <c r="AK3899" t="n">
        <v>9</v>
      </c>
      <c r="AL3899" t="n">
        <v>1</v>
      </c>
      <c r="AM3899" t="n">
        <v>23</v>
      </c>
      <c r="AN3899" t="n">
        <v>1</v>
      </c>
      <c r="AO3899" t="n">
        <v>3</v>
      </c>
      <c r="AP3899" t="n">
        <v>0</v>
      </c>
      <c r="AQ3899" t="n">
        <v>0</v>
      </c>
      <c r="AR3899" t="inlineStr">
        <is>
          <t>Yes</t>
        </is>
      </c>
      <c r="AS3899" t="inlineStr">
        <is>
          <t>No</t>
        </is>
      </c>
      <c r="AT3899">
        <f>HYPERLINK("http://catalog.hathitrust.org/Record/011985095","HathiTrust Record")</f>
        <v/>
      </c>
      <c r="AU3899">
        <f>HYPERLINK("https://creighton-primo.hosted.exlibrisgroup.com/primo-explore/search?tab=default_tab&amp;search_scope=EVERYTHING&amp;vid=01CRU&amp;lang=en_US&amp;offset=0&amp;query=any,contains,991003880029702656","Catalog Record")</f>
        <v/>
      </c>
      <c r="AV3899">
        <f>HYPERLINK("http://www.worldcat.org/oclc/1722010","WorldCat Record")</f>
        <v/>
      </c>
      <c r="AW3899" t="inlineStr">
        <is>
          <t>348466178:eng</t>
        </is>
      </c>
      <c r="AX3899" t="inlineStr">
        <is>
          <t>1722010</t>
        </is>
      </c>
      <c r="AY3899" t="inlineStr">
        <is>
          <t>991003880029702656</t>
        </is>
      </c>
      <c r="AZ3899" t="inlineStr">
        <is>
          <t>991003880029702656</t>
        </is>
      </c>
      <c r="BA3899" t="inlineStr">
        <is>
          <t>2271326080002656</t>
        </is>
      </c>
      <c r="BB3899" t="inlineStr">
        <is>
          <t>BOOK</t>
        </is>
      </c>
      <c r="BE3899" t="inlineStr">
        <is>
          <t>32285001247278</t>
        </is>
      </c>
      <c r="BF3899" t="inlineStr">
        <is>
          <t>893337083</t>
        </is>
      </c>
    </row>
    <row r="3900">
      <c r="A3900" t="inlineStr">
        <is>
          <t>No</t>
        </is>
      </c>
      <c r="B3900" t="inlineStr">
        <is>
          <t>CURAL</t>
        </is>
      </c>
      <c r="C3900" t="inlineStr">
        <is>
          <t>SHELVES</t>
        </is>
      </c>
      <c r="D3900" t="inlineStr">
        <is>
          <t>PR8833 .M3 1904a</t>
        </is>
      </c>
      <c r="E3900" t="inlineStr">
        <is>
          <t>0                      PR 8833000M  3           1904a</t>
        </is>
      </c>
      <c r="F3900" t="inlineStr">
        <is>
          <t>Irish literature / Justin McCarthy, editor in chief. Maurice F. Egan [and] Douglas Hyde, associate editors. Charles Welsh, managing editor.</t>
        </is>
      </c>
      <c r="G3900" t="inlineStr">
        <is>
          <t>V.7-8</t>
        </is>
      </c>
      <c r="H3900" t="inlineStr">
        <is>
          <t>Yes</t>
        </is>
      </c>
      <c r="I3900" t="inlineStr">
        <is>
          <t>1</t>
        </is>
      </c>
      <c r="J3900" t="inlineStr">
        <is>
          <t>No</t>
        </is>
      </c>
      <c r="K3900" t="inlineStr">
        <is>
          <t>Yes</t>
        </is>
      </c>
      <c r="L3900" t="inlineStr">
        <is>
          <t>0</t>
        </is>
      </c>
      <c r="N3900" t="inlineStr">
        <is>
          <t>New York : Bigelow, Smith, [1904]</t>
        </is>
      </c>
      <c r="O3900" t="inlineStr">
        <is>
          <t>1904</t>
        </is>
      </c>
      <c r="P3900" t="inlineStr">
        <is>
          <t>Edition De Luxe.</t>
        </is>
      </c>
      <c r="Q3900" t="inlineStr">
        <is>
          <t>eng</t>
        </is>
      </c>
      <c r="R3900" t="inlineStr">
        <is>
          <t>nyu</t>
        </is>
      </c>
      <c r="T3900" t="inlineStr">
        <is>
          <t xml:space="preserve">PR </t>
        </is>
      </c>
      <c r="U3900" t="n">
        <v>0</v>
      </c>
      <c r="V3900" t="n">
        <v>6</v>
      </c>
      <c r="X3900" t="inlineStr">
        <is>
          <t>1997-04-29</t>
        </is>
      </c>
      <c r="Y3900" t="inlineStr">
        <is>
          <t>1992-08-19</t>
        </is>
      </c>
      <c r="Z3900" t="inlineStr">
        <is>
          <t>1992-08-19</t>
        </is>
      </c>
      <c r="AA3900" t="n">
        <v>56</v>
      </c>
      <c r="AB3900" t="n">
        <v>52</v>
      </c>
      <c r="AC3900" t="n">
        <v>495</v>
      </c>
      <c r="AD3900" t="n">
        <v>2</v>
      </c>
      <c r="AE3900" t="n">
        <v>4</v>
      </c>
      <c r="AF3900" t="n">
        <v>3</v>
      </c>
      <c r="AG3900" t="n">
        <v>39</v>
      </c>
      <c r="AH3900" t="n">
        <v>1</v>
      </c>
      <c r="AI3900" t="n">
        <v>13</v>
      </c>
      <c r="AJ3900" t="n">
        <v>0</v>
      </c>
      <c r="AK3900" t="n">
        <v>9</v>
      </c>
      <c r="AL3900" t="n">
        <v>1</v>
      </c>
      <c r="AM3900" t="n">
        <v>23</v>
      </c>
      <c r="AN3900" t="n">
        <v>1</v>
      </c>
      <c r="AO3900" t="n">
        <v>3</v>
      </c>
      <c r="AP3900" t="n">
        <v>0</v>
      </c>
      <c r="AQ3900" t="n">
        <v>0</v>
      </c>
      <c r="AR3900" t="inlineStr">
        <is>
          <t>Yes</t>
        </is>
      </c>
      <c r="AS3900" t="inlineStr">
        <is>
          <t>No</t>
        </is>
      </c>
      <c r="AT3900">
        <f>HYPERLINK("http://catalog.hathitrust.org/Record/011985095","HathiTrust Record")</f>
        <v/>
      </c>
      <c r="AU3900">
        <f>HYPERLINK("https://creighton-primo.hosted.exlibrisgroup.com/primo-explore/search?tab=default_tab&amp;search_scope=EVERYTHING&amp;vid=01CRU&amp;lang=en_US&amp;offset=0&amp;query=any,contains,991003880029702656","Catalog Record")</f>
        <v/>
      </c>
      <c r="AV3900">
        <f>HYPERLINK("http://www.worldcat.org/oclc/1722010","WorldCat Record")</f>
        <v/>
      </c>
      <c r="AW3900" t="inlineStr">
        <is>
          <t>348466178:eng</t>
        </is>
      </c>
      <c r="AX3900" t="inlineStr">
        <is>
          <t>1722010</t>
        </is>
      </c>
      <c r="AY3900" t="inlineStr">
        <is>
          <t>991003880029702656</t>
        </is>
      </c>
      <c r="AZ3900" t="inlineStr">
        <is>
          <t>991003880029702656</t>
        </is>
      </c>
      <c r="BA3900" t="inlineStr">
        <is>
          <t>2271326080002656</t>
        </is>
      </c>
      <c r="BB3900" t="inlineStr">
        <is>
          <t>BOOK</t>
        </is>
      </c>
      <c r="BE3900" t="inlineStr">
        <is>
          <t>32285001247260</t>
        </is>
      </c>
      <c r="BF3900" t="inlineStr">
        <is>
          <t>893330929</t>
        </is>
      </c>
    </row>
    <row r="3901">
      <c r="A3901" t="inlineStr">
        <is>
          <t>No</t>
        </is>
      </c>
      <c r="B3901" t="inlineStr">
        <is>
          <t>CURAL</t>
        </is>
      </c>
      <c r="C3901" t="inlineStr">
        <is>
          <t>SHELVES</t>
        </is>
      </c>
      <c r="D3901" t="inlineStr">
        <is>
          <t>PR8833 .M3 1904a</t>
        </is>
      </c>
      <c r="E3901" t="inlineStr">
        <is>
          <t>0                      PR 8833000M  3           1904a</t>
        </is>
      </c>
      <c r="F3901" t="inlineStr">
        <is>
          <t>Irish literature / Justin McCarthy, editor in chief. Maurice F. Egan [and] Douglas Hyde, associate editors. Charles Welsh, managing editor.</t>
        </is>
      </c>
      <c r="G3901" t="inlineStr">
        <is>
          <t>V.3-4</t>
        </is>
      </c>
      <c r="H3901" t="inlineStr">
        <is>
          <t>Yes</t>
        </is>
      </c>
      <c r="I3901" t="inlineStr">
        <is>
          <t>1</t>
        </is>
      </c>
      <c r="J3901" t="inlineStr">
        <is>
          <t>No</t>
        </is>
      </c>
      <c r="K3901" t="inlineStr">
        <is>
          <t>Yes</t>
        </is>
      </c>
      <c r="L3901" t="inlineStr">
        <is>
          <t>0</t>
        </is>
      </c>
      <c r="N3901" t="inlineStr">
        <is>
          <t>New York : Bigelow, Smith, [1904]</t>
        </is>
      </c>
      <c r="O3901" t="inlineStr">
        <is>
          <t>1904</t>
        </is>
      </c>
      <c r="P3901" t="inlineStr">
        <is>
          <t>Edition De Luxe.</t>
        </is>
      </c>
      <c r="Q3901" t="inlineStr">
        <is>
          <t>eng</t>
        </is>
      </c>
      <c r="R3901" t="inlineStr">
        <is>
          <t>nyu</t>
        </is>
      </c>
      <c r="T3901" t="inlineStr">
        <is>
          <t xml:space="preserve">PR </t>
        </is>
      </c>
      <c r="U3901" t="n">
        <v>5</v>
      </c>
      <c r="V3901" t="n">
        <v>6</v>
      </c>
      <c r="W3901" t="inlineStr">
        <is>
          <t>1997-04-29</t>
        </is>
      </c>
      <c r="X3901" t="inlineStr">
        <is>
          <t>1997-04-29</t>
        </is>
      </c>
      <c r="Y3901" t="inlineStr">
        <is>
          <t>1992-08-19</t>
        </is>
      </c>
      <c r="Z3901" t="inlineStr">
        <is>
          <t>1992-08-19</t>
        </is>
      </c>
      <c r="AA3901" t="n">
        <v>56</v>
      </c>
      <c r="AB3901" t="n">
        <v>52</v>
      </c>
      <c r="AC3901" t="n">
        <v>495</v>
      </c>
      <c r="AD3901" t="n">
        <v>2</v>
      </c>
      <c r="AE3901" t="n">
        <v>4</v>
      </c>
      <c r="AF3901" t="n">
        <v>3</v>
      </c>
      <c r="AG3901" t="n">
        <v>39</v>
      </c>
      <c r="AH3901" t="n">
        <v>1</v>
      </c>
      <c r="AI3901" t="n">
        <v>13</v>
      </c>
      <c r="AJ3901" t="n">
        <v>0</v>
      </c>
      <c r="AK3901" t="n">
        <v>9</v>
      </c>
      <c r="AL3901" t="n">
        <v>1</v>
      </c>
      <c r="AM3901" t="n">
        <v>23</v>
      </c>
      <c r="AN3901" t="n">
        <v>1</v>
      </c>
      <c r="AO3901" t="n">
        <v>3</v>
      </c>
      <c r="AP3901" t="n">
        <v>0</v>
      </c>
      <c r="AQ3901" t="n">
        <v>0</v>
      </c>
      <c r="AR3901" t="inlineStr">
        <is>
          <t>Yes</t>
        </is>
      </c>
      <c r="AS3901" t="inlineStr">
        <is>
          <t>No</t>
        </is>
      </c>
      <c r="AT3901">
        <f>HYPERLINK("http://catalog.hathitrust.org/Record/011985095","HathiTrust Record")</f>
        <v/>
      </c>
      <c r="AU3901">
        <f>HYPERLINK("https://creighton-primo.hosted.exlibrisgroup.com/primo-explore/search?tab=default_tab&amp;search_scope=EVERYTHING&amp;vid=01CRU&amp;lang=en_US&amp;offset=0&amp;query=any,contains,991003880029702656","Catalog Record")</f>
        <v/>
      </c>
      <c r="AV3901">
        <f>HYPERLINK("http://www.worldcat.org/oclc/1722010","WorldCat Record")</f>
        <v/>
      </c>
      <c r="AW3901" t="inlineStr">
        <is>
          <t>348466178:eng</t>
        </is>
      </c>
      <c r="AX3901" t="inlineStr">
        <is>
          <t>1722010</t>
        </is>
      </c>
      <c r="AY3901" t="inlineStr">
        <is>
          <t>991003880029702656</t>
        </is>
      </c>
      <c r="AZ3901" t="inlineStr">
        <is>
          <t>991003880029702656</t>
        </is>
      </c>
      <c r="BA3901" t="inlineStr">
        <is>
          <t>2271326080002656</t>
        </is>
      </c>
      <c r="BB3901" t="inlineStr">
        <is>
          <t>BOOK</t>
        </is>
      </c>
      <c r="BE3901" t="inlineStr">
        <is>
          <t>32285001247245</t>
        </is>
      </c>
      <c r="BF3901" t="inlineStr">
        <is>
          <t>893343152</t>
        </is>
      </c>
    </row>
    <row r="3902">
      <c r="A3902" t="inlineStr">
        <is>
          <t>No</t>
        </is>
      </c>
      <c r="B3902" t="inlineStr">
        <is>
          <t>CURAL</t>
        </is>
      </c>
      <c r="C3902" t="inlineStr">
        <is>
          <t>SHELVES</t>
        </is>
      </c>
      <c r="D3902" t="inlineStr">
        <is>
          <t>PR8833 .M3 1904a</t>
        </is>
      </c>
      <c r="E3902" t="inlineStr">
        <is>
          <t>0                      PR 8833000M  3           1904a</t>
        </is>
      </c>
      <c r="F3902" t="inlineStr">
        <is>
          <t>Irish literature / Justin McCarthy, editor in chief. Maurice F. Egan [and] Douglas Hyde, associate editors. Charles Welsh, managing editor.</t>
        </is>
      </c>
      <c r="G3902" t="inlineStr">
        <is>
          <t>V.1-2</t>
        </is>
      </c>
      <c r="H3902" t="inlineStr">
        <is>
          <t>Yes</t>
        </is>
      </c>
      <c r="I3902" t="inlineStr">
        <is>
          <t>1</t>
        </is>
      </c>
      <c r="J3902" t="inlineStr">
        <is>
          <t>No</t>
        </is>
      </c>
      <c r="K3902" t="inlineStr">
        <is>
          <t>Yes</t>
        </is>
      </c>
      <c r="L3902" t="inlineStr">
        <is>
          <t>0</t>
        </is>
      </c>
      <c r="N3902" t="inlineStr">
        <is>
          <t>New York : Bigelow, Smith, [1904]</t>
        </is>
      </c>
      <c r="O3902" t="inlineStr">
        <is>
          <t>1904</t>
        </is>
      </c>
      <c r="P3902" t="inlineStr">
        <is>
          <t>Edition De Luxe.</t>
        </is>
      </c>
      <c r="Q3902" t="inlineStr">
        <is>
          <t>eng</t>
        </is>
      </c>
      <c r="R3902" t="inlineStr">
        <is>
          <t>nyu</t>
        </is>
      </c>
      <c r="T3902" t="inlineStr">
        <is>
          <t xml:space="preserve">PR </t>
        </is>
      </c>
      <c r="U3902" t="n">
        <v>0</v>
      </c>
      <c r="V3902" t="n">
        <v>6</v>
      </c>
      <c r="X3902" t="inlineStr">
        <is>
          <t>1997-04-29</t>
        </is>
      </c>
      <c r="Y3902" t="inlineStr">
        <is>
          <t>1992-08-19</t>
        </is>
      </c>
      <c r="Z3902" t="inlineStr">
        <is>
          <t>1992-08-19</t>
        </is>
      </c>
      <c r="AA3902" t="n">
        <v>56</v>
      </c>
      <c r="AB3902" t="n">
        <v>52</v>
      </c>
      <c r="AC3902" t="n">
        <v>495</v>
      </c>
      <c r="AD3902" t="n">
        <v>2</v>
      </c>
      <c r="AE3902" t="n">
        <v>4</v>
      </c>
      <c r="AF3902" t="n">
        <v>3</v>
      </c>
      <c r="AG3902" t="n">
        <v>39</v>
      </c>
      <c r="AH3902" t="n">
        <v>1</v>
      </c>
      <c r="AI3902" t="n">
        <v>13</v>
      </c>
      <c r="AJ3902" t="n">
        <v>0</v>
      </c>
      <c r="AK3902" t="n">
        <v>9</v>
      </c>
      <c r="AL3902" t="n">
        <v>1</v>
      </c>
      <c r="AM3902" t="n">
        <v>23</v>
      </c>
      <c r="AN3902" t="n">
        <v>1</v>
      </c>
      <c r="AO3902" t="n">
        <v>3</v>
      </c>
      <c r="AP3902" t="n">
        <v>0</v>
      </c>
      <c r="AQ3902" t="n">
        <v>0</v>
      </c>
      <c r="AR3902" t="inlineStr">
        <is>
          <t>Yes</t>
        </is>
      </c>
      <c r="AS3902" t="inlineStr">
        <is>
          <t>No</t>
        </is>
      </c>
      <c r="AT3902">
        <f>HYPERLINK("http://catalog.hathitrust.org/Record/011985095","HathiTrust Record")</f>
        <v/>
      </c>
      <c r="AU3902">
        <f>HYPERLINK("https://creighton-primo.hosted.exlibrisgroup.com/primo-explore/search?tab=default_tab&amp;search_scope=EVERYTHING&amp;vid=01CRU&amp;lang=en_US&amp;offset=0&amp;query=any,contains,991003880029702656","Catalog Record")</f>
        <v/>
      </c>
      <c r="AV3902">
        <f>HYPERLINK("http://www.worldcat.org/oclc/1722010","WorldCat Record")</f>
        <v/>
      </c>
      <c r="AW3902" t="inlineStr">
        <is>
          <t>348466178:eng</t>
        </is>
      </c>
      <c r="AX3902" t="inlineStr">
        <is>
          <t>1722010</t>
        </is>
      </c>
      <c r="AY3902" t="inlineStr">
        <is>
          <t>991003880029702656</t>
        </is>
      </c>
      <c r="AZ3902" t="inlineStr">
        <is>
          <t>991003880029702656</t>
        </is>
      </c>
      <c r="BA3902" t="inlineStr">
        <is>
          <t>2271326080002656</t>
        </is>
      </c>
      <c r="BB3902" t="inlineStr">
        <is>
          <t>BOOK</t>
        </is>
      </c>
      <c r="BE3902" t="inlineStr">
        <is>
          <t>32285001247237</t>
        </is>
      </c>
      <c r="BF3902" t="inlineStr">
        <is>
          <t>893337082</t>
        </is>
      </c>
    </row>
    <row r="3903">
      <c r="A3903" t="inlineStr">
        <is>
          <t>No</t>
        </is>
      </c>
      <c r="B3903" t="inlineStr">
        <is>
          <t>CURAL</t>
        </is>
      </c>
      <c r="C3903" t="inlineStr">
        <is>
          <t>SHELVES</t>
        </is>
      </c>
      <c r="D3903" t="inlineStr">
        <is>
          <t>PR8835 .I75 2000</t>
        </is>
      </c>
      <c r="E3903" t="inlineStr">
        <is>
          <t>0                      PR 8835000I  75          2000</t>
        </is>
      </c>
      <c r="F3903" t="inlineStr">
        <is>
          <t>Ireland in mind : an anthology / edited and with an introduction by Alice Leccese Powers.</t>
        </is>
      </c>
      <c r="H3903" t="inlineStr">
        <is>
          <t>No</t>
        </is>
      </c>
      <c r="I3903" t="inlineStr">
        <is>
          <t>1</t>
        </is>
      </c>
      <c r="J3903" t="inlineStr">
        <is>
          <t>No</t>
        </is>
      </c>
      <c r="K3903" t="inlineStr">
        <is>
          <t>No</t>
        </is>
      </c>
      <c r="L3903" t="inlineStr">
        <is>
          <t>0</t>
        </is>
      </c>
      <c r="N3903" t="inlineStr">
        <is>
          <t>New York : Vintage Books, 2000.</t>
        </is>
      </c>
      <c r="O3903" t="inlineStr">
        <is>
          <t>2000</t>
        </is>
      </c>
      <c r="P3903" t="inlineStr">
        <is>
          <t>1st ed.</t>
        </is>
      </c>
      <c r="Q3903" t="inlineStr">
        <is>
          <t>eng</t>
        </is>
      </c>
      <c r="R3903" t="inlineStr">
        <is>
          <t>nyu</t>
        </is>
      </c>
      <c r="S3903" t="inlineStr">
        <is>
          <t>Vintage departures</t>
        </is>
      </c>
      <c r="T3903" t="inlineStr">
        <is>
          <t xml:space="preserve">PR </t>
        </is>
      </c>
      <c r="U3903" t="n">
        <v>1</v>
      </c>
      <c r="V3903" t="n">
        <v>1</v>
      </c>
      <c r="W3903" t="inlineStr">
        <is>
          <t>2006-03-02</t>
        </is>
      </c>
      <c r="X3903" t="inlineStr">
        <is>
          <t>2006-03-02</t>
        </is>
      </c>
      <c r="Y3903" t="inlineStr">
        <is>
          <t>2006-03-02</t>
        </is>
      </c>
      <c r="Z3903" t="inlineStr">
        <is>
          <t>2006-03-02</t>
        </is>
      </c>
      <c r="AA3903" t="n">
        <v>282</v>
      </c>
      <c r="AB3903" t="n">
        <v>265</v>
      </c>
      <c r="AC3903" t="n">
        <v>269</v>
      </c>
      <c r="AD3903" t="n">
        <v>2</v>
      </c>
      <c r="AE3903" t="n">
        <v>2</v>
      </c>
      <c r="AF3903" t="n">
        <v>11</v>
      </c>
      <c r="AG3903" t="n">
        <v>11</v>
      </c>
      <c r="AH3903" t="n">
        <v>3</v>
      </c>
      <c r="AI3903" t="n">
        <v>3</v>
      </c>
      <c r="AJ3903" t="n">
        <v>3</v>
      </c>
      <c r="AK3903" t="n">
        <v>3</v>
      </c>
      <c r="AL3903" t="n">
        <v>8</v>
      </c>
      <c r="AM3903" t="n">
        <v>8</v>
      </c>
      <c r="AN3903" t="n">
        <v>1</v>
      </c>
      <c r="AO3903" t="n">
        <v>1</v>
      </c>
      <c r="AP3903" t="n">
        <v>0</v>
      </c>
      <c r="AQ3903" t="n">
        <v>0</v>
      </c>
      <c r="AR3903" t="inlineStr">
        <is>
          <t>No</t>
        </is>
      </c>
      <c r="AS3903" t="inlineStr">
        <is>
          <t>No</t>
        </is>
      </c>
      <c r="AU3903">
        <f>HYPERLINK("https://creighton-primo.hosted.exlibrisgroup.com/primo-explore/search?tab=default_tab&amp;search_scope=EVERYTHING&amp;vid=01CRU&amp;lang=en_US&amp;offset=0&amp;query=any,contains,991004745749702656","Catalog Record")</f>
        <v/>
      </c>
      <c r="AV3903">
        <f>HYPERLINK("http://www.worldcat.org/oclc/41967102","WorldCat Record")</f>
        <v/>
      </c>
      <c r="AW3903" t="inlineStr">
        <is>
          <t>891496004:eng</t>
        </is>
      </c>
      <c r="AX3903" t="inlineStr">
        <is>
          <t>41967102</t>
        </is>
      </c>
      <c r="AY3903" t="inlineStr">
        <is>
          <t>991004745749702656</t>
        </is>
      </c>
      <c r="AZ3903" t="inlineStr">
        <is>
          <t>991004745749702656</t>
        </is>
      </c>
      <c r="BA3903" t="inlineStr">
        <is>
          <t>2269286520002656</t>
        </is>
      </c>
      <c r="BB3903" t="inlineStr">
        <is>
          <t>BOOK</t>
        </is>
      </c>
      <c r="BD3903" t="inlineStr">
        <is>
          <t>9780375703447</t>
        </is>
      </c>
      <c r="BE3903" t="inlineStr">
        <is>
          <t>32285005162291</t>
        </is>
      </c>
      <c r="BF3903" t="inlineStr">
        <is>
          <t>893619046</t>
        </is>
      </c>
    </row>
    <row r="3904">
      <c r="A3904" t="inlineStr">
        <is>
          <t>No</t>
        </is>
      </c>
      <c r="B3904" t="inlineStr">
        <is>
          <t>CURAL</t>
        </is>
      </c>
      <c r="C3904" t="inlineStr">
        <is>
          <t>SHELVES</t>
        </is>
      </c>
      <c r="D3904" t="inlineStr">
        <is>
          <t>PR8835 .O26</t>
        </is>
      </c>
      <c r="E3904" t="inlineStr">
        <is>
          <t>0                      PR 8835000O  26</t>
        </is>
      </c>
      <c r="F3904" t="inlineStr">
        <is>
          <t>The Ireland reader / decorated by Ann O'Clery.</t>
        </is>
      </c>
      <c r="H3904" t="inlineStr">
        <is>
          <t>No</t>
        </is>
      </c>
      <c r="I3904" t="inlineStr">
        <is>
          <t>1</t>
        </is>
      </c>
      <c r="J3904" t="inlineStr">
        <is>
          <t>No</t>
        </is>
      </c>
      <c r="K3904" t="inlineStr">
        <is>
          <t>No</t>
        </is>
      </c>
      <c r="L3904" t="inlineStr">
        <is>
          <t>0</t>
        </is>
      </c>
      <c r="M3904" t="inlineStr">
        <is>
          <t>O'Clery, Helen, compiler.</t>
        </is>
      </c>
      <c r="N3904" t="inlineStr">
        <is>
          <t>New York : F. Watts, [c1963]</t>
        </is>
      </c>
      <c r="O3904" t="inlineStr">
        <is>
          <t>1963</t>
        </is>
      </c>
      <c r="Q3904" t="inlineStr">
        <is>
          <t>eng</t>
        </is>
      </c>
      <c r="R3904" t="inlineStr">
        <is>
          <t>nyu</t>
        </is>
      </c>
      <c r="T3904" t="inlineStr">
        <is>
          <t xml:space="preserve">PR </t>
        </is>
      </c>
      <c r="U3904" t="n">
        <v>1</v>
      </c>
      <c r="V3904" t="n">
        <v>1</v>
      </c>
      <c r="W3904" t="inlineStr">
        <is>
          <t>2008-10-01</t>
        </is>
      </c>
      <c r="X3904" t="inlineStr">
        <is>
          <t>2008-10-01</t>
        </is>
      </c>
      <c r="Y3904" t="inlineStr">
        <is>
          <t>1992-08-19</t>
        </is>
      </c>
      <c r="Z3904" t="inlineStr">
        <is>
          <t>1992-08-19</t>
        </is>
      </c>
      <c r="AA3904" t="n">
        <v>238</v>
      </c>
      <c r="AB3904" t="n">
        <v>228</v>
      </c>
      <c r="AC3904" t="n">
        <v>234</v>
      </c>
      <c r="AD3904" t="n">
        <v>1</v>
      </c>
      <c r="AE3904" t="n">
        <v>1</v>
      </c>
      <c r="AF3904" t="n">
        <v>8</v>
      </c>
      <c r="AG3904" t="n">
        <v>8</v>
      </c>
      <c r="AH3904" t="n">
        <v>5</v>
      </c>
      <c r="AI3904" t="n">
        <v>5</v>
      </c>
      <c r="AJ3904" t="n">
        <v>1</v>
      </c>
      <c r="AK3904" t="n">
        <v>1</v>
      </c>
      <c r="AL3904" t="n">
        <v>5</v>
      </c>
      <c r="AM3904" t="n">
        <v>5</v>
      </c>
      <c r="AN3904" t="n">
        <v>0</v>
      </c>
      <c r="AO3904" t="n">
        <v>0</v>
      </c>
      <c r="AP3904" t="n">
        <v>0</v>
      </c>
      <c r="AQ3904" t="n">
        <v>0</v>
      </c>
      <c r="AR3904" t="inlineStr">
        <is>
          <t>No</t>
        </is>
      </c>
      <c r="AS3904" t="inlineStr">
        <is>
          <t>No</t>
        </is>
      </c>
      <c r="AT3904">
        <f>HYPERLINK("http://catalog.hathitrust.org/Record/006671092","HathiTrust Record")</f>
        <v/>
      </c>
      <c r="AU3904">
        <f>HYPERLINK("https://creighton-primo.hosted.exlibrisgroup.com/primo-explore/search?tab=default_tab&amp;search_scope=EVERYTHING&amp;vid=01CRU&amp;lang=en_US&amp;offset=0&amp;query=any,contains,991003730479702656","Catalog Record")</f>
        <v/>
      </c>
      <c r="AV3904">
        <f>HYPERLINK("http://www.worldcat.org/oclc/1381554","WorldCat Record")</f>
        <v/>
      </c>
      <c r="AW3904" t="inlineStr">
        <is>
          <t>10248612241:eng</t>
        </is>
      </c>
      <c r="AX3904" t="inlineStr">
        <is>
          <t>1381554</t>
        </is>
      </c>
      <c r="AY3904" t="inlineStr">
        <is>
          <t>991003730479702656</t>
        </is>
      </c>
      <c r="AZ3904" t="inlineStr">
        <is>
          <t>991003730479702656</t>
        </is>
      </c>
      <c r="BA3904" t="inlineStr">
        <is>
          <t>2261069400002656</t>
        </is>
      </c>
      <c r="BB3904" t="inlineStr">
        <is>
          <t>BOOK</t>
        </is>
      </c>
      <c r="BE3904" t="inlineStr">
        <is>
          <t>32285001247286</t>
        </is>
      </c>
      <c r="BF3904" t="inlineStr">
        <is>
          <t>893252694</t>
        </is>
      </c>
    </row>
    <row r="3905">
      <c r="A3905" t="inlineStr">
        <is>
          <t>No</t>
        </is>
      </c>
      <c r="B3905" t="inlineStr">
        <is>
          <t>CURAL</t>
        </is>
      </c>
      <c r="C3905" t="inlineStr">
        <is>
          <t>SHELVES</t>
        </is>
      </c>
      <c r="D3905" t="inlineStr">
        <is>
          <t>PR8835 .O3 1959</t>
        </is>
      </c>
      <c r="E3905" t="inlineStr">
        <is>
          <t>0                      PR 8835000O  3           1959</t>
        </is>
      </c>
      <c r="F3905" t="inlineStr">
        <is>
          <t>A book of Ireland / edited by Frank O'Connor [pseud.].</t>
        </is>
      </c>
      <c r="H3905" t="inlineStr">
        <is>
          <t>No</t>
        </is>
      </c>
      <c r="I3905" t="inlineStr">
        <is>
          <t>1</t>
        </is>
      </c>
      <c r="J3905" t="inlineStr">
        <is>
          <t>No</t>
        </is>
      </c>
      <c r="K3905" t="inlineStr">
        <is>
          <t>No</t>
        </is>
      </c>
      <c r="L3905" t="inlineStr">
        <is>
          <t>0</t>
        </is>
      </c>
      <c r="M3905" t="inlineStr">
        <is>
          <t>O'Connor, Frank, 1903-1966.</t>
        </is>
      </c>
      <c r="N3905" t="inlineStr">
        <is>
          <t>London : Collins, c1959.</t>
        </is>
      </c>
      <c r="O3905" t="inlineStr">
        <is>
          <t>1959</t>
        </is>
      </c>
      <c r="Q3905" t="inlineStr">
        <is>
          <t>eng</t>
        </is>
      </c>
      <c r="R3905" t="inlineStr">
        <is>
          <t>enk</t>
        </is>
      </c>
      <c r="S3905" t="inlineStr">
        <is>
          <t>Collins national anthologies</t>
        </is>
      </c>
      <c r="T3905" t="inlineStr">
        <is>
          <t xml:space="preserve">PR </t>
        </is>
      </c>
      <c r="U3905" t="n">
        <v>5</v>
      </c>
      <c r="V3905" t="n">
        <v>5</v>
      </c>
      <c r="W3905" t="inlineStr">
        <is>
          <t>2009-03-21</t>
        </is>
      </c>
      <c r="X3905" t="inlineStr">
        <is>
          <t>2009-03-21</t>
        </is>
      </c>
      <c r="Y3905" t="inlineStr">
        <is>
          <t>1992-08-19</t>
        </is>
      </c>
      <c r="Z3905" t="inlineStr">
        <is>
          <t>1992-08-19</t>
        </is>
      </c>
      <c r="AA3905" t="n">
        <v>315</v>
      </c>
      <c r="AB3905" t="n">
        <v>257</v>
      </c>
      <c r="AC3905" t="n">
        <v>332</v>
      </c>
      <c r="AD3905" t="n">
        <v>2</v>
      </c>
      <c r="AE3905" t="n">
        <v>3</v>
      </c>
      <c r="AF3905" t="n">
        <v>21</v>
      </c>
      <c r="AG3905" t="n">
        <v>25</v>
      </c>
      <c r="AH3905" t="n">
        <v>7</v>
      </c>
      <c r="AI3905" t="n">
        <v>9</v>
      </c>
      <c r="AJ3905" t="n">
        <v>6</v>
      </c>
      <c r="AK3905" t="n">
        <v>8</v>
      </c>
      <c r="AL3905" t="n">
        <v>14</v>
      </c>
      <c r="AM3905" t="n">
        <v>14</v>
      </c>
      <c r="AN3905" t="n">
        <v>1</v>
      </c>
      <c r="AO3905" t="n">
        <v>2</v>
      </c>
      <c r="AP3905" t="n">
        <v>0</v>
      </c>
      <c r="AQ3905" t="n">
        <v>0</v>
      </c>
      <c r="AR3905" t="inlineStr">
        <is>
          <t>No</t>
        </is>
      </c>
      <c r="AS3905" t="inlineStr">
        <is>
          <t>Yes</t>
        </is>
      </c>
      <c r="AT3905">
        <f>HYPERLINK("http://catalog.hathitrust.org/Record/006501022","HathiTrust Record")</f>
        <v/>
      </c>
      <c r="AU3905">
        <f>HYPERLINK("https://creighton-primo.hosted.exlibrisgroup.com/primo-explore/search?tab=default_tab&amp;search_scope=EVERYTHING&amp;vid=01CRU&amp;lang=en_US&amp;offset=0&amp;query=any,contains,991004744749702656","Catalog Record")</f>
        <v/>
      </c>
      <c r="AV3905">
        <f>HYPERLINK("http://www.worldcat.org/oclc/4904681","WorldCat Record")</f>
        <v/>
      </c>
      <c r="AW3905" t="inlineStr">
        <is>
          <t>55520512:eng</t>
        </is>
      </c>
      <c r="AX3905" t="inlineStr">
        <is>
          <t>4904681</t>
        </is>
      </c>
      <c r="AY3905" t="inlineStr">
        <is>
          <t>991004744749702656</t>
        </is>
      </c>
      <c r="AZ3905" t="inlineStr">
        <is>
          <t>991004744749702656</t>
        </is>
      </c>
      <c r="BA3905" t="inlineStr">
        <is>
          <t>2256844860002656</t>
        </is>
      </c>
      <c r="BB3905" t="inlineStr">
        <is>
          <t>BOOK</t>
        </is>
      </c>
      <c r="BE3905" t="inlineStr">
        <is>
          <t>32285001247294</t>
        </is>
      </c>
      <c r="BF3905" t="inlineStr">
        <is>
          <t>893801289</t>
        </is>
      </c>
    </row>
    <row r="3906">
      <c r="A3906" t="inlineStr">
        <is>
          <t>No</t>
        </is>
      </c>
      <c r="B3906" t="inlineStr">
        <is>
          <t>CURAL</t>
        </is>
      </c>
      <c r="C3906" t="inlineStr">
        <is>
          <t>SHELVES</t>
        </is>
      </c>
      <c r="D3906" t="inlineStr">
        <is>
          <t>PR8844 .K75 1996</t>
        </is>
      </c>
      <c r="E3906" t="inlineStr">
        <is>
          <t>0                      PR 8844000K  75          1996</t>
        </is>
      </c>
      <c r="F3906" t="inlineStr">
        <is>
          <t>Krino, 1986-1996 : an anthology of modern Irish writing / Gerald Dawe and Jonathan Williams, editors.</t>
        </is>
      </c>
      <c r="H3906" t="inlineStr">
        <is>
          <t>No</t>
        </is>
      </c>
      <c r="I3906" t="inlineStr">
        <is>
          <t>1</t>
        </is>
      </c>
      <c r="J3906" t="inlineStr">
        <is>
          <t>No</t>
        </is>
      </c>
      <c r="K3906" t="inlineStr">
        <is>
          <t>No</t>
        </is>
      </c>
      <c r="L3906" t="inlineStr">
        <is>
          <t>0</t>
        </is>
      </c>
      <c r="N3906" t="inlineStr">
        <is>
          <t>Dublin : Gill &amp; Macmillan, c1996.</t>
        </is>
      </c>
      <c r="O3906" t="inlineStr">
        <is>
          <t>1996</t>
        </is>
      </c>
      <c r="Q3906" t="inlineStr">
        <is>
          <t>eng</t>
        </is>
      </c>
      <c r="R3906" t="inlineStr">
        <is>
          <t xml:space="preserve">ie </t>
        </is>
      </c>
      <c r="T3906" t="inlineStr">
        <is>
          <t xml:space="preserve">PR </t>
        </is>
      </c>
      <c r="U3906" t="n">
        <v>9</v>
      </c>
      <c r="V3906" t="n">
        <v>9</v>
      </c>
      <c r="W3906" t="inlineStr">
        <is>
          <t>2005-10-25</t>
        </is>
      </c>
      <c r="X3906" t="inlineStr">
        <is>
          <t>2005-10-25</t>
        </is>
      </c>
      <c r="Y3906" t="inlineStr">
        <is>
          <t>1997-02-24</t>
        </is>
      </c>
      <c r="Z3906" t="inlineStr">
        <is>
          <t>1997-02-24</t>
        </is>
      </c>
      <c r="AA3906" t="n">
        <v>106</v>
      </c>
      <c r="AB3906" t="n">
        <v>59</v>
      </c>
      <c r="AC3906" t="n">
        <v>61</v>
      </c>
      <c r="AD3906" t="n">
        <v>1</v>
      </c>
      <c r="AE3906" t="n">
        <v>1</v>
      </c>
      <c r="AF3906" t="n">
        <v>5</v>
      </c>
      <c r="AG3906" t="n">
        <v>5</v>
      </c>
      <c r="AH3906" t="n">
        <v>0</v>
      </c>
      <c r="AI3906" t="n">
        <v>0</v>
      </c>
      <c r="AJ3906" t="n">
        <v>3</v>
      </c>
      <c r="AK3906" t="n">
        <v>3</v>
      </c>
      <c r="AL3906" t="n">
        <v>4</v>
      </c>
      <c r="AM3906" t="n">
        <v>4</v>
      </c>
      <c r="AN3906" t="n">
        <v>0</v>
      </c>
      <c r="AO3906" t="n">
        <v>0</v>
      </c>
      <c r="AP3906" t="n">
        <v>0</v>
      </c>
      <c r="AQ3906" t="n">
        <v>0</v>
      </c>
      <c r="AR3906" t="inlineStr">
        <is>
          <t>No</t>
        </is>
      </c>
      <c r="AS3906" t="inlineStr">
        <is>
          <t>Yes</t>
        </is>
      </c>
      <c r="AT3906">
        <f>HYPERLINK("http://catalog.hathitrust.org/Record/003140726","HathiTrust Record")</f>
        <v/>
      </c>
      <c r="AU3906">
        <f>HYPERLINK("https://creighton-primo.hosted.exlibrisgroup.com/primo-explore/search?tab=default_tab&amp;search_scope=EVERYTHING&amp;vid=01CRU&amp;lang=en_US&amp;offset=0&amp;query=any,contains,991002763299702656","Catalog Record")</f>
        <v/>
      </c>
      <c r="AV3906">
        <f>HYPERLINK("http://www.worldcat.org/oclc/36720515","WorldCat Record")</f>
        <v/>
      </c>
      <c r="AW3906" t="inlineStr">
        <is>
          <t>836931309:eng</t>
        </is>
      </c>
      <c r="AX3906" t="inlineStr">
        <is>
          <t>36720515</t>
        </is>
      </c>
      <c r="AY3906" t="inlineStr">
        <is>
          <t>991002763299702656</t>
        </is>
      </c>
      <c r="AZ3906" t="inlineStr">
        <is>
          <t>991002763299702656</t>
        </is>
      </c>
      <c r="BA3906" t="inlineStr">
        <is>
          <t>2265755770002656</t>
        </is>
      </c>
      <c r="BB3906" t="inlineStr">
        <is>
          <t>BOOK</t>
        </is>
      </c>
      <c r="BD3906" t="inlineStr">
        <is>
          <t>9780717124572</t>
        </is>
      </c>
      <c r="BE3906" t="inlineStr">
        <is>
          <t>32285002432663</t>
        </is>
      </c>
      <c r="BF3906" t="inlineStr">
        <is>
          <t>893716885</t>
        </is>
      </c>
    </row>
    <row r="3907">
      <c r="A3907" t="inlineStr">
        <is>
          <t>No</t>
        </is>
      </c>
      <c r="B3907" t="inlineStr">
        <is>
          <t>CURAL</t>
        </is>
      </c>
      <c r="C3907" t="inlineStr">
        <is>
          <t>SHELVES</t>
        </is>
      </c>
      <c r="D3907" t="inlineStr">
        <is>
          <t>PR8851 .C45</t>
        </is>
      </c>
      <c r="E3907" t="inlineStr">
        <is>
          <t>0                      PR 8851000C  45</t>
        </is>
      </c>
      <c r="F3907" t="inlineStr">
        <is>
          <t>Poems from Ireland / drawings by William Stobbs.</t>
        </is>
      </c>
      <c r="H3907" t="inlineStr">
        <is>
          <t>No</t>
        </is>
      </c>
      <c r="I3907" t="inlineStr">
        <is>
          <t>1</t>
        </is>
      </c>
      <c r="J3907" t="inlineStr">
        <is>
          <t>No</t>
        </is>
      </c>
      <c r="K3907" t="inlineStr">
        <is>
          <t>No</t>
        </is>
      </c>
      <c r="L3907" t="inlineStr">
        <is>
          <t>0</t>
        </is>
      </c>
      <c r="M3907" t="inlineStr">
        <is>
          <t>Cole, William, 1919-2000 compiler.</t>
        </is>
      </c>
      <c r="N3907" t="inlineStr">
        <is>
          <t>New York : Crowell, [1972]</t>
        </is>
      </c>
      <c r="O3907" t="inlineStr">
        <is>
          <t>1972</t>
        </is>
      </c>
      <c r="Q3907" t="inlineStr">
        <is>
          <t>eng</t>
        </is>
      </c>
      <c r="R3907" t="inlineStr">
        <is>
          <t>nyu</t>
        </is>
      </c>
      <c r="S3907" t="inlineStr">
        <is>
          <t>Poems of the world</t>
        </is>
      </c>
      <c r="T3907" t="inlineStr">
        <is>
          <t xml:space="preserve">PR </t>
        </is>
      </c>
      <c r="U3907" t="n">
        <v>5</v>
      </c>
      <c r="V3907" t="n">
        <v>5</v>
      </c>
      <c r="W3907" t="inlineStr">
        <is>
          <t>2007-11-20</t>
        </is>
      </c>
      <c r="X3907" t="inlineStr">
        <is>
          <t>2007-11-20</t>
        </is>
      </c>
      <c r="Y3907" t="inlineStr">
        <is>
          <t>1992-09-09</t>
        </is>
      </c>
      <c r="Z3907" t="inlineStr">
        <is>
          <t>1992-09-09</t>
        </is>
      </c>
      <c r="AA3907" t="n">
        <v>717</v>
      </c>
      <c r="AB3907" t="n">
        <v>676</v>
      </c>
      <c r="AC3907" t="n">
        <v>682</v>
      </c>
      <c r="AD3907" t="n">
        <v>6</v>
      </c>
      <c r="AE3907" t="n">
        <v>6</v>
      </c>
      <c r="AF3907" t="n">
        <v>16</v>
      </c>
      <c r="AG3907" t="n">
        <v>16</v>
      </c>
      <c r="AH3907" t="n">
        <v>8</v>
      </c>
      <c r="AI3907" t="n">
        <v>8</v>
      </c>
      <c r="AJ3907" t="n">
        <v>2</v>
      </c>
      <c r="AK3907" t="n">
        <v>2</v>
      </c>
      <c r="AL3907" t="n">
        <v>7</v>
      </c>
      <c r="AM3907" t="n">
        <v>7</v>
      </c>
      <c r="AN3907" t="n">
        <v>2</v>
      </c>
      <c r="AO3907" t="n">
        <v>2</v>
      </c>
      <c r="AP3907" t="n">
        <v>0</v>
      </c>
      <c r="AQ3907" t="n">
        <v>0</v>
      </c>
      <c r="AR3907" t="inlineStr">
        <is>
          <t>No</t>
        </is>
      </c>
      <c r="AS3907" t="inlineStr">
        <is>
          <t>No</t>
        </is>
      </c>
      <c r="AU3907">
        <f>HYPERLINK("https://creighton-primo.hosted.exlibrisgroup.com/primo-explore/search?tab=default_tab&amp;search_scope=EVERYTHING&amp;vid=01CRU&amp;lang=en_US&amp;offset=0&amp;query=any,contains,991002228839702656","Catalog Record")</f>
        <v/>
      </c>
      <c r="AV3907">
        <f>HYPERLINK("http://www.worldcat.org/oclc/293132","WorldCat Record")</f>
        <v/>
      </c>
      <c r="AW3907" t="inlineStr">
        <is>
          <t>440377:eng</t>
        </is>
      </c>
      <c r="AX3907" t="inlineStr">
        <is>
          <t>293132</t>
        </is>
      </c>
      <c r="AY3907" t="inlineStr">
        <is>
          <t>991002228839702656</t>
        </is>
      </c>
      <c r="AZ3907" t="inlineStr">
        <is>
          <t>991002228839702656</t>
        </is>
      </c>
      <c r="BA3907" t="inlineStr">
        <is>
          <t>2266550160002656</t>
        </is>
      </c>
      <c r="BB3907" t="inlineStr">
        <is>
          <t>BOOK</t>
        </is>
      </c>
      <c r="BD3907" t="inlineStr">
        <is>
          <t>9780690638981</t>
        </is>
      </c>
      <c r="BE3907" t="inlineStr">
        <is>
          <t>32285001296986</t>
        </is>
      </c>
      <c r="BF3907" t="inlineStr">
        <is>
          <t>893697508</t>
        </is>
      </c>
    </row>
    <row r="3908">
      <c r="A3908" t="inlineStr">
        <is>
          <t>No</t>
        </is>
      </c>
      <c r="B3908" t="inlineStr">
        <is>
          <t>CURAL</t>
        </is>
      </c>
      <c r="C3908" t="inlineStr">
        <is>
          <t>SHELVES</t>
        </is>
      </c>
      <c r="D3908" t="inlineStr">
        <is>
          <t>PR8851 .F47 2000</t>
        </is>
      </c>
      <c r="E3908" t="inlineStr">
        <is>
          <t>0                      PR 8851000F  47          2000</t>
        </is>
      </c>
      <c r="F3908" t="inlineStr">
        <is>
          <t>Irish poetry : an interpretive anthology from before Swift to Yeats and after / W.J. McCormack.</t>
        </is>
      </c>
      <c r="H3908" t="inlineStr">
        <is>
          <t>No</t>
        </is>
      </c>
      <c r="I3908" t="inlineStr">
        <is>
          <t>1</t>
        </is>
      </c>
      <c r="J3908" t="inlineStr">
        <is>
          <t>No</t>
        </is>
      </c>
      <c r="K3908" t="inlineStr">
        <is>
          <t>No</t>
        </is>
      </c>
      <c r="L3908" t="inlineStr">
        <is>
          <t>0</t>
        </is>
      </c>
      <c r="M3908" t="inlineStr">
        <is>
          <t>Ferocious humanism.</t>
        </is>
      </c>
      <c r="N3908" t="inlineStr">
        <is>
          <t>New York, NY : New York University Press, 2000.</t>
        </is>
      </c>
      <c r="O3908" t="inlineStr">
        <is>
          <t>2000</t>
        </is>
      </c>
      <c r="Q3908" t="inlineStr">
        <is>
          <t>eng</t>
        </is>
      </c>
      <c r="R3908" t="inlineStr">
        <is>
          <t>nyu</t>
        </is>
      </c>
      <c r="T3908" t="inlineStr">
        <is>
          <t xml:space="preserve">PR </t>
        </is>
      </c>
      <c r="U3908" t="n">
        <v>3</v>
      </c>
      <c r="V3908" t="n">
        <v>3</v>
      </c>
      <c r="W3908" t="inlineStr">
        <is>
          <t>2005-04-22</t>
        </is>
      </c>
      <c r="X3908" t="inlineStr">
        <is>
          <t>2005-04-22</t>
        </is>
      </c>
      <c r="Y3908" t="inlineStr">
        <is>
          <t>2002-04-25</t>
        </is>
      </c>
      <c r="Z3908" t="inlineStr">
        <is>
          <t>2002-04-25</t>
        </is>
      </c>
      <c r="AA3908" t="n">
        <v>333</v>
      </c>
      <c r="AB3908" t="n">
        <v>301</v>
      </c>
      <c r="AC3908" t="n">
        <v>309</v>
      </c>
      <c r="AD3908" t="n">
        <v>4</v>
      </c>
      <c r="AE3908" t="n">
        <v>5</v>
      </c>
      <c r="AF3908" t="n">
        <v>13</v>
      </c>
      <c r="AG3908" t="n">
        <v>14</v>
      </c>
      <c r="AH3908" t="n">
        <v>3</v>
      </c>
      <c r="AI3908" t="n">
        <v>3</v>
      </c>
      <c r="AJ3908" t="n">
        <v>3</v>
      </c>
      <c r="AK3908" t="n">
        <v>3</v>
      </c>
      <c r="AL3908" t="n">
        <v>5</v>
      </c>
      <c r="AM3908" t="n">
        <v>6</v>
      </c>
      <c r="AN3908" t="n">
        <v>3</v>
      </c>
      <c r="AO3908" t="n">
        <v>3</v>
      </c>
      <c r="AP3908" t="n">
        <v>0</v>
      </c>
      <c r="AQ3908" t="n">
        <v>0</v>
      </c>
      <c r="AR3908" t="inlineStr">
        <is>
          <t>No</t>
        </is>
      </c>
      <c r="AS3908" t="inlineStr">
        <is>
          <t>No</t>
        </is>
      </c>
      <c r="AU3908">
        <f>HYPERLINK("https://creighton-primo.hosted.exlibrisgroup.com/primo-explore/search?tab=default_tab&amp;search_scope=EVERYTHING&amp;vid=01CRU&amp;lang=en_US&amp;offset=0&amp;query=any,contains,991003788609702656","Catalog Record")</f>
        <v/>
      </c>
      <c r="AV3908">
        <f>HYPERLINK("http://www.worldcat.org/oclc/41621702","WorldCat Record")</f>
        <v/>
      </c>
      <c r="AW3908" t="inlineStr">
        <is>
          <t>27827969:eng</t>
        </is>
      </c>
      <c r="AX3908" t="inlineStr">
        <is>
          <t>41621702</t>
        </is>
      </c>
      <c r="AY3908" t="inlineStr">
        <is>
          <t>991003788609702656</t>
        </is>
      </c>
      <c r="AZ3908" t="inlineStr">
        <is>
          <t>991003788609702656</t>
        </is>
      </c>
      <c r="BA3908" t="inlineStr">
        <is>
          <t>2268064000002656</t>
        </is>
      </c>
      <c r="BB3908" t="inlineStr">
        <is>
          <t>BOOK</t>
        </is>
      </c>
      <c r="BD3908" t="inlineStr">
        <is>
          <t>9780814756287</t>
        </is>
      </c>
      <c r="BE3908" t="inlineStr">
        <is>
          <t>32285004482682</t>
        </is>
      </c>
      <c r="BF3908" t="inlineStr">
        <is>
          <t>893518865</t>
        </is>
      </c>
    </row>
    <row r="3909">
      <c r="A3909" t="inlineStr">
        <is>
          <t>No</t>
        </is>
      </c>
      <c r="B3909" t="inlineStr">
        <is>
          <t>CURAL</t>
        </is>
      </c>
      <c r="C3909" t="inlineStr">
        <is>
          <t>SHELVES</t>
        </is>
      </c>
      <c r="D3909" t="inlineStr">
        <is>
          <t>PR8851 .G36 2004</t>
        </is>
      </c>
      <c r="E3909" t="inlineStr">
        <is>
          <t>0                      PR 8851000G  36          2004</t>
        </is>
      </c>
      <c r="F3909" t="inlineStr">
        <is>
          <t>Gather round me : the best of Irish popular poetry / edited by Christopher Cahill.</t>
        </is>
      </c>
      <c r="H3909" t="inlineStr">
        <is>
          <t>No</t>
        </is>
      </c>
      <c r="I3909" t="inlineStr">
        <is>
          <t>1</t>
        </is>
      </c>
      <c r="J3909" t="inlineStr">
        <is>
          <t>No</t>
        </is>
      </c>
      <c r="K3909" t="inlineStr">
        <is>
          <t>No</t>
        </is>
      </c>
      <c r="L3909" t="inlineStr">
        <is>
          <t>0</t>
        </is>
      </c>
      <c r="N3909" t="inlineStr">
        <is>
          <t>Boston : Beacon Press, c2004.</t>
        </is>
      </c>
      <c r="O3909" t="inlineStr">
        <is>
          <t>2004</t>
        </is>
      </c>
      <c r="Q3909" t="inlineStr">
        <is>
          <t>eng</t>
        </is>
      </c>
      <c r="R3909" t="inlineStr">
        <is>
          <t>mau</t>
        </is>
      </c>
      <c r="T3909" t="inlineStr">
        <is>
          <t xml:space="preserve">PR </t>
        </is>
      </c>
      <c r="U3909" t="n">
        <v>1</v>
      </c>
      <c r="V3909" t="n">
        <v>1</v>
      </c>
      <c r="W3909" t="inlineStr">
        <is>
          <t>2004-03-22</t>
        </is>
      </c>
      <c r="X3909" t="inlineStr">
        <is>
          <t>2004-03-22</t>
        </is>
      </c>
      <c r="Y3909" t="inlineStr">
        <is>
          <t>2004-03-22</t>
        </is>
      </c>
      <c r="Z3909" t="inlineStr">
        <is>
          <t>2004-03-22</t>
        </is>
      </c>
      <c r="AA3909" t="n">
        <v>178</v>
      </c>
      <c r="AB3909" t="n">
        <v>167</v>
      </c>
      <c r="AC3909" t="n">
        <v>170</v>
      </c>
      <c r="AD3909" t="n">
        <v>3</v>
      </c>
      <c r="AE3909" t="n">
        <v>3</v>
      </c>
      <c r="AF3909" t="n">
        <v>8</v>
      </c>
      <c r="AG3909" t="n">
        <v>8</v>
      </c>
      <c r="AH3909" t="n">
        <v>4</v>
      </c>
      <c r="AI3909" t="n">
        <v>4</v>
      </c>
      <c r="AJ3909" t="n">
        <v>2</v>
      </c>
      <c r="AK3909" t="n">
        <v>2</v>
      </c>
      <c r="AL3909" t="n">
        <v>4</v>
      </c>
      <c r="AM3909" t="n">
        <v>4</v>
      </c>
      <c r="AN3909" t="n">
        <v>1</v>
      </c>
      <c r="AO3909" t="n">
        <v>1</v>
      </c>
      <c r="AP3909" t="n">
        <v>0</v>
      </c>
      <c r="AQ3909" t="n">
        <v>0</v>
      </c>
      <c r="AR3909" t="inlineStr">
        <is>
          <t>No</t>
        </is>
      </c>
      <c r="AS3909" t="inlineStr">
        <is>
          <t>Yes</t>
        </is>
      </c>
      <c r="AT3909">
        <f>HYPERLINK("http://catalog.hathitrust.org/Record/004377564","HathiTrust Record")</f>
        <v/>
      </c>
      <c r="AU3909">
        <f>HYPERLINK("https://creighton-primo.hosted.exlibrisgroup.com/primo-explore/search?tab=default_tab&amp;search_scope=EVERYTHING&amp;vid=01CRU&amp;lang=en_US&amp;offset=0&amp;query=any,contains,991004246089702656","Catalog Record")</f>
        <v/>
      </c>
      <c r="AV3909">
        <f>HYPERLINK("http://www.worldcat.org/oclc/53138799","WorldCat Record")</f>
        <v/>
      </c>
      <c r="AW3909" t="inlineStr">
        <is>
          <t>785884:eng</t>
        </is>
      </c>
      <c r="AX3909" t="inlineStr">
        <is>
          <t>53138799</t>
        </is>
      </c>
      <c r="AY3909" t="inlineStr">
        <is>
          <t>991004246089702656</t>
        </is>
      </c>
      <c r="AZ3909" t="inlineStr">
        <is>
          <t>991004246089702656</t>
        </is>
      </c>
      <c r="BA3909" t="inlineStr">
        <is>
          <t>2266206380002656</t>
        </is>
      </c>
      <c r="BB3909" t="inlineStr">
        <is>
          <t>BOOK</t>
        </is>
      </c>
      <c r="BD3909" t="inlineStr">
        <is>
          <t>9780807068700</t>
        </is>
      </c>
      <c r="BE3909" t="inlineStr">
        <is>
          <t>32285004895990</t>
        </is>
      </c>
      <c r="BF3909" t="inlineStr">
        <is>
          <t>893411289</t>
        </is>
      </c>
    </row>
    <row r="3910">
      <c r="A3910" t="inlineStr">
        <is>
          <t>No</t>
        </is>
      </c>
      <c r="B3910" t="inlineStr">
        <is>
          <t>CURAL</t>
        </is>
      </c>
      <c r="C3910" t="inlineStr">
        <is>
          <t>SHELVES</t>
        </is>
      </c>
      <c r="D3910" t="inlineStr">
        <is>
          <t>PR8857 .T3 1951</t>
        </is>
      </c>
      <c r="E3910" t="inlineStr">
        <is>
          <t>0                      PR 8857000T  3           1951</t>
        </is>
      </c>
      <c r="F3910" t="inlineStr">
        <is>
          <t>Irish poets of the nineteenth century.</t>
        </is>
      </c>
      <c r="H3910" t="inlineStr">
        <is>
          <t>No</t>
        </is>
      </c>
      <c r="I3910" t="inlineStr">
        <is>
          <t>1</t>
        </is>
      </c>
      <c r="J3910" t="inlineStr">
        <is>
          <t>No</t>
        </is>
      </c>
      <c r="K3910" t="inlineStr">
        <is>
          <t>No</t>
        </is>
      </c>
      <c r="L3910" t="inlineStr">
        <is>
          <t>0</t>
        </is>
      </c>
      <c r="M3910" t="inlineStr">
        <is>
          <t>Taylor, Geoffrey, 1900-1956, editor.</t>
        </is>
      </c>
      <c r="N3910" t="inlineStr">
        <is>
          <t>Cambridge, Mass. : Harvard University Press, [1951]</t>
        </is>
      </c>
      <c r="O3910" t="inlineStr">
        <is>
          <t>1951</t>
        </is>
      </c>
      <c r="Q3910" t="inlineStr">
        <is>
          <t>eng</t>
        </is>
      </c>
      <c r="R3910" t="inlineStr">
        <is>
          <t xml:space="preserve">xx </t>
        </is>
      </c>
      <c r="S3910" t="inlineStr">
        <is>
          <t>The Muses' library</t>
        </is>
      </c>
      <c r="T3910" t="inlineStr">
        <is>
          <t xml:space="preserve">PR </t>
        </is>
      </c>
      <c r="U3910" t="n">
        <v>6</v>
      </c>
      <c r="V3910" t="n">
        <v>6</v>
      </c>
      <c r="W3910" t="inlineStr">
        <is>
          <t>1996-04-28</t>
        </is>
      </c>
      <c r="X3910" t="inlineStr">
        <is>
          <t>1996-04-28</t>
        </is>
      </c>
      <c r="Y3910" t="inlineStr">
        <is>
          <t>1992-03-23</t>
        </is>
      </c>
      <c r="Z3910" t="inlineStr">
        <is>
          <t>1992-03-23</t>
        </is>
      </c>
      <c r="AA3910" t="n">
        <v>211</v>
      </c>
      <c r="AB3910" t="n">
        <v>204</v>
      </c>
      <c r="AC3910" t="n">
        <v>565</v>
      </c>
      <c r="AD3910" t="n">
        <v>3</v>
      </c>
      <c r="AE3910" t="n">
        <v>6</v>
      </c>
      <c r="AF3910" t="n">
        <v>11</v>
      </c>
      <c r="AG3910" t="n">
        <v>34</v>
      </c>
      <c r="AH3910" t="n">
        <v>5</v>
      </c>
      <c r="AI3910" t="n">
        <v>13</v>
      </c>
      <c r="AJ3910" t="n">
        <v>2</v>
      </c>
      <c r="AK3910" t="n">
        <v>7</v>
      </c>
      <c r="AL3910" t="n">
        <v>5</v>
      </c>
      <c r="AM3910" t="n">
        <v>17</v>
      </c>
      <c r="AN3910" t="n">
        <v>2</v>
      </c>
      <c r="AO3910" t="n">
        <v>5</v>
      </c>
      <c r="AP3910" t="n">
        <v>0</v>
      </c>
      <c r="AQ3910" t="n">
        <v>0</v>
      </c>
      <c r="AR3910" t="inlineStr">
        <is>
          <t>No</t>
        </is>
      </c>
      <c r="AS3910" t="inlineStr">
        <is>
          <t>No</t>
        </is>
      </c>
      <c r="AU3910">
        <f>HYPERLINK("https://creighton-primo.hosted.exlibrisgroup.com/primo-explore/search?tab=default_tab&amp;search_scope=EVERYTHING&amp;vid=01CRU&amp;lang=en_US&amp;offset=0&amp;query=any,contains,991003446289702656","Catalog Record")</f>
        <v/>
      </c>
      <c r="AV3910">
        <f>HYPERLINK("http://www.worldcat.org/oclc/981780","WorldCat Record")</f>
        <v/>
      </c>
      <c r="AW3910" t="inlineStr">
        <is>
          <t>143598600:eng</t>
        </is>
      </c>
      <c r="AX3910" t="inlineStr">
        <is>
          <t>981780</t>
        </is>
      </c>
      <c r="AY3910" t="inlineStr">
        <is>
          <t>991003446289702656</t>
        </is>
      </c>
      <c r="AZ3910" t="inlineStr">
        <is>
          <t>991003446289702656</t>
        </is>
      </c>
      <c r="BA3910" t="inlineStr">
        <is>
          <t>2269550800002656</t>
        </is>
      </c>
      <c r="BB3910" t="inlineStr">
        <is>
          <t>BOOK</t>
        </is>
      </c>
      <c r="BE3910" t="inlineStr">
        <is>
          <t>32285001026029</t>
        </is>
      </c>
      <c r="BF3910" t="inlineStr">
        <is>
          <t>893246345</t>
        </is>
      </c>
    </row>
    <row r="3911">
      <c r="A3911" t="inlineStr">
        <is>
          <t>No</t>
        </is>
      </c>
      <c r="B3911" t="inlineStr">
        <is>
          <t>CURAL</t>
        </is>
      </c>
      <c r="C3911" t="inlineStr">
        <is>
          <t>SHELVES</t>
        </is>
      </c>
      <c r="D3911" t="inlineStr">
        <is>
          <t>PR8858 .C6 1916a</t>
        </is>
      </c>
      <c r="E3911" t="inlineStr">
        <is>
          <t>0                      PR 8858000C  6           1916a</t>
        </is>
      </c>
      <c r="F3911" t="inlineStr">
        <is>
          <t>Poems of the Irish revolutionary brotherhood, Thomas MacDonagh, P.H. Pearse (Padraic MacPiarais), Joseph Mary Plunkett, Sir Roger Casement; ed. by Padraic Colum and Edward J. O'Brien.</t>
        </is>
      </c>
      <c r="H3911" t="inlineStr">
        <is>
          <t>No</t>
        </is>
      </c>
      <c r="I3911" t="inlineStr">
        <is>
          <t>1</t>
        </is>
      </c>
      <c r="J3911" t="inlineStr">
        <is>
          <t>No</t>
        </is>
      </c>
      <c r="K3911" t="inlineStr">
        <is>
          <t>No</t>
        </is>
      </c>
      <c r="L3911" t="inlineStr">
        <is>
          <t>0</t>
        </is>
      </c>
      <c r="M3911" t="inlineStr">
        <is>
          <t>Colum, Padraic, 1881-1972 editor.</t>
        </is>
      </c>
      <c r="N3911" t="inlineStr">
        <is>
          <t>Boston, Small, Maynard &amp; company, 1916.</t>
        </is>
      </c>
      <c r="O3911" t="inlineStr">
        <is>
          <t>1916</t>
        </is>
      </c>
      <c r="P3911" t="inlineStr">
        <is>
          <t>(New and enl. ed.)</t>
        </is>
      </c>
      <c r="Q3911" t="inlineStr">
        <is>
          <t>eng</t>
        </is>
      </c>
      <c r="R3911" t="inlineStr">
        <is>
          <t xml:space="preserve">xx </t>
        </is>
      </c>
      <c r="T3911" t="inlineStr">
        <is>
          <t xml:space="preserve">PR </t>
        </is>
      </c>
      <c r="U3911" t="n">
        <v>6</v>
      </c>
      <c r="V3911" t="n">
        <v>6</v>
      </c>
      <c r="W3911" t="inlineStr">
        <is>
          <t>2006-03-26</t>
        </is>
      </c>
      <c r="X3911" t="inlineStr">
        <is>
          <t>2006-03-26</t>
        </is>
      </c>
      <c r="Y3911" t="inlineStr">
        <is>
          <t>1997-04-25</t>
        </is>
      </c>
      <c r="Z3911" t="inlineStr">
        <is>
          <t>1997-04-25</t>
        </is>
      </c>
      <c r="AA3911" t="n">
        <v>117</v>
      </c>
      <c r="AB3911" t="n">
        <v>107</v>
      </c>
      <c r="AC3911" t="n">
        <v>232</v>
      </c>
      <c r="AD3911" t="n">
        <v>0</v>
      </c>
      <c r="AE3911" t="n">
        <v>0</v>
      </c>
      <c r="AF3911" t="n">
        <v>12</v>
      </c>
      <c r="AG3911" t="n">
        <v>18</v>
      </c>
      <c r="AH3911" t="n">
        <v>1</v>
      </c>
      <c r="AI3911" t="n">
        <v>3</v>
      </c>
      <c r="AJ3911" t="n">
        <v>2</v>
      </c>
      <c r="AK3911" t="n">
        <v>5</v>
      </c>
      <c r="AL3911" t="n">
        <v>11</v>
      </c>
      <c r="AM3911" t="n">
        <v>14</v>
      </c>
      <c r="AN3911" t="n">
        <v>0</v>
      </c>
      <c r="AO3911" t="n">
        <v>0</v>
      </c>
      <c r="AP3911" t="n">
        <v>0</v>
      </c>
      <c r="AQ3911" t="n">
        <v>0</v>
      </c>
      <c r="AR3911" t="inlineStr">
        <is>
          <t>Yes</t>
        </is>
      </c>
      <c r="AS3911" t="inlineStr">
        <is>
          <t>No</t>
        </is>
      </c>
      <c r="AT3911">
        <f>HYPERLINK("http://catalog.hathitrust.org/Record/011210342","HathiTrust Record")</f>
        <v/>
      </c>
      <c r="AU3911">
        <f>HYPERLINK("https://creighton-primo.hosted.exlibrisgroup.com/primo-explore/search?tab=default_tab&amp;search_scope=EVERYTHING&amp;vid=01CRU&amp;lang=en_US&amp;offset=0&amp;query=any,contains,991004027269702656","Catalog Record")</f>
        <v/>
      </c>
      <c r="AV3911">
        <f>HYPERLINK("http://www.worldcat.org/oclc/2139740","WorldCat Record")</f>
        <v/>
      </c>
      <c r="AW3911" t="inlineStr">
        <is>
          <t>348485829:eng</t>
        </is>
      </c>
      <c r="AX3911" t="inlineStr">
        <is>
          <t>2139740</t>
        </is>
      </c>
      <c r="AY3911" t="inlineStr">
        <is>
          <t>991004027269702656</t>
        </is>
      </c>
      <c r="AZ3911" t="inlineStr">
        <is>
          <t>991004027269702656</t>
        </is>
      </c>
      <c r="BA3911" t="inlineStr">
        <is>
          <t>2268911520002656</t>
        </is>
      </c>
      <c r="BB3911" t="inlineStr">
        <is>
          <t>BOOK</t>
        </is>
      </c>
      <c r="BE3911" t="inlineStr">
        <is>
          <t>32285002592391</t>
        </is>
      </c>
      <c r="BF3911" t="inlineStr">
        <is>
          <t>893500010</t>
        </is>
      </c>
    </row>
    <row r="3912">
      <c r="A3912" t="inlineStr">
        <is>
          <t>No</t>
        </is>
      </c>
      <c r="B3912" t="inlineStr">
        <is>
          <t>CURAL</t>
        </is>
      </c>
      <c r="C3912" t="inlineStr">
        <is>
          <t>SHELVES</t>
        </is>
      </c>
      <c r="D3912" t="inlineStr">
        <is>
          <t>PR8858 .I69 1979</t>
        </is>
      </c>
      <c r="E3912" t="inlineStr">
        <is>
          <t>0                      PR 8858000I  69          1979</t>
        </is>
      </c>
      <c r="F3912" t="inlineStr">
        <is>
          <t>Irish poetry after Yeats : seven poets / Austin Clarke ... [et al.] ; edited by Maurice Harmon.</t>
        </is>
      </c>
      <c r="H3912" t="inlineStr">
        <is>
          <t>No</t>
        </is>
      </c>
      <c r="I3912" t="inlineStr">
        <is>
          <t>1</t>
        </is>
      </c>
      <c r="J3912" t="inlineStr">
        <is>
          <t>No</t>
        </is>
      </c>
      <c r="K3912" t="inlineStr">
        <is>
          <t>No</t>
        </is>
      </c>
      <c r="L3912" t="inlineStr">
        <is>
          <t>0</t>
        </is>
      </c>
      <c r="N3912" t="inlineStr">
        <is>
          <t>Boston : Little, Brown and Company, 1979.</t>
        </is>
      </c>
      <c r="O3912" t="inlineStr">
        <is>
          <t>1979</t>
        </is>
      </c>
      <c r="Q3912" t="inlineStr">
        <is>
          <t>eng</t>
        </is>
      </c>
      <c r="R3912" t="inlineStr">
        <is>
          <t xml:space="preserve">ie </t>
        </is>
      </c>
      <c r="T3912" t="inlineStr">
        <is>
          <t xml:space="preserve">PR </t>
        </is>
      </c>
      <c r="U3912" t="n">
        <v>12</v>
      </c>
      <c r="V3912" t="n">
        <v>12</v>
      </c>
      <c r="W3912" t="inlineStr">
        <is>
          <t>2001-02-12</t>
        </is>
      </c>
      <c r="X3912" t="inlineStr">
        <is>
          <t>2001-02-12</t>
        </is>
      </c>
      <c r="Y3912" t="inlineStr">
        <is>
          <t>1992-08-19</t>
        </is>
      </c>
      <c r="Z3912" t="inlineStr">
        <is>
          <t>1992-08-19</t>
        </is>
      </c>
      <c r="AA3912" t="n">
        <v>231</v>
      </c>
      <c r="AB3912" t="n">
        <v>150</v>
      </c>
      <c r="AC3912" t="n">
        <v>534</v>
      </c>
      <c r="AD3912" t="n">
        <v>3</v>
      </c>
      <c r="AE3912" t="n">
        <v>5</v>
      </c>
      <c r="AF3912" t="n">
        <v>17</v>
      </c>
      <c r="AG3912" t="n">
        <v>28</v>
      </c>
      <c r="AH3912" t="n">
        <v>5</v>
      </c>
      <c r="AI3912" t="n">
        <v>10</v>
      </c>
      <c r="AJ3912" t="n">
        <v>5</v>
      </c>
      <c r="AK3912" t="n">
        <v>8</v>
      </c>
      <c r="AL3912" t="n">
        <v>10</v>
      </c>
      <c r="AM3912" t="n">
        <v>15</v>
      </c>
      <c r="AN3912" t="n">
        <v>2</v>
      </c>
      <c r="AO3912" t="n">
        <v>3</v>
      </c>
      <c r="AP3912" t="n">
        <v>0</v>
      </c>
      <c r="AQ3912" t="n">
        <v>0</v>
      </c>
      <c r="AR3912" t="inlineStr">
        <is>
          <t>No</t>
        </is>
      </c>
      <c r="AS3912" t="inlineStr">
        <is>
          <t>Yes</t>
        </is>
      </c>
      <c r="AT3912">
        <f>HYPERLINK("http://catalog.hathitrust.org/Record/000028925","HathiTrust Record")</f>
        <v/>
      </c>
      <c r="AU3912">
        <f>HYPERLINK("https://creighton-primo.hosted.exlibrisgroup.com/primo-explore/search?tab=default_tab&amp;search_scope=EVERYTHING&amp;vid=01CRU&amp;lang=en_US&amp;offset=0&amp;query=any,contains,991004813729702656","Catalog Record")</f>
        <v/>
      </c>
      <c r="AV3912">
        <f>HYPERLINK("http://www.worldcat.org/oclc/5288431","WorldCat Record")</f>
        <v/>
      </c>
      <c r="AW3912" t="inlineStr">
        <is>
          <t>889324854:eng</t>
        </is>
      </c>
      <c r="AX3912" t="inlineStr">
        <is>
          <t>5288431</t>
        </is>
      </c>
      <c r="AY3912" t="inlineStr">
        <is>
          <t>991004813729702656</t>
        </is>
      </c>
      <c r="AZ3912" t="inlineStr">
        <is>
          <t>991004813729702656</t>
        </is>
      </c>
      <c r="BA3912" t="inlineStr">
        <is>
          <t>2256450830002656</t>
        </is>
      </c>
      <c r="BB3912" t="inlineStr">
        <is>
          <t>BOOK</t>
        </is>
      </c>
      <c r="BD3912" t="inlineStr">
        <is>
          <t>9780905473239</t>
        </is>
      </c>
      <c r="BE3912" t="inlineStr">
        <is>
          <t>32285001247377</t>
        </is>
      </c>
      <c r="BF3912" t="inlineStr">
        <is>
          <t>893520078</t>
        </is>
      </c>
    </row>
    <row r="3913">
      <c r="A3913" t="inlineStr">
        <is>
          <t>No</t>
        </is>
      </c>
      <c r="B3913" t="inlineStr">
        <is>
          <t>CURAL</t>
        </is>
      </c>
      <c r="C3913" t="inlineStr">
        <is>
          <t>SHELVES</t>
        </is>
      </c>
      <c r="D3913" t="inlineStr">
        <is>
          <t>PR8858 .I693 1993</t>
        </is>
      </c>
      <c r="E3913" t="inlineStr">
        <is>
          <t>0                      PR 8858000I  693         1993</t>
        </is>
      </c>
      <c r="F3913" t="inlineStr">
        <is>
          <t>Irish poetry now : other voices / edited by Gabriel Fitzmaurice.</t>
        </is>
      </c>
      <c r="H3913" t="inlineStr">
        <is>
          <t>No</t>
        </is>
      </c>
      <c r="I3913" t="inlineStr">
        <is>
          <t>1</t>
        </is>
      </c>
      <c r="J3913" t="inlineStr">
        <is>
          <t>No</t>
        </is>
      </c>
      <c r="K3913" t="inlineStr">
        <is>
          <t>No</t>
        </is>
      </c>
      <c r="L3913" t="inlineStr">
        <is>
          <t>0</t>
        </is>
      </c>
      <c r="N3913" t="inlineStr">
        <is>
          <t>Dublin : Wolfhound Press, 1993.</t>
        </is>
      </c>
      <c r="O3913" t="inlineStr">
        <is>
          <t>1993</t>
        </is>
      </c>
      <c r="Q3913" t="inlineStr">
        <is>
          <t>eng</t>
        </is>
      </c>
      <c r="R3913" t="inlineStr">
        <is>
          <t xml:space="preserve">ie </t>
        </is>
      </c>
      <c r="T3913" t="inlineStr">
        <is>
          <t xml:space="preserve">PR </t>
        </is>
      </c>
      <c r="U3913" t="n">
        <v>8</v>
      </c>
      <c r="V3913" t="n">
        <v>8</v>
      </c>
      <c r="W3913" t="inlineStr">
        <is>
          <t>2003-04-07</t>
        </is>
      </c>
      <c r="X3913" t="inlineStr">
        <is>
          <t>2003-04-07</t>
        </is>
      </c>
      <c r="Y3913" t="inlineStr">
        <is>
          <t>1996-12-15</t>
        </is>
      </c>
      <c r="Z3913" t="inlineStr">
        <is>
          <t>1996-12-15</t>
        </is>
      </c>
      <c r="AA3913" t="n">
        <v>228</v>
      </c>
      <c r="AB3913" t="n">
        <v>171</v>
      </c>
      <c r="AC3913" t="n">
        <v>171</v>
      </c>
      <c r="AD3913" t="n">
        <v>2</v>
      </c>
      <c r="AE3913" t="n">
        <v>2</v>
      </c>
      <c r="AF3913" t="n">
        <v>8</v>
      </c>
      <c r="AG3913" t="n">
        <v>8</v>
      </c>
      <c r="AH3913" t="n">
        <v>1</v>
      </c>
      <c r="AI3913" t="n">
        <v>1</v>
      </c>
      <c r="AJ3913" t="n">
        <v>3</v>
      </c>
      <c r="AK3913" t="n">
        <v>3</v>
      </c>
      <c r="AL3913" t="n">
        <v>5</v>
      </c>
      <c r="AM3913" t="n">
        <v>5</v>
      </c>
      <c r="AN3913" t="n">
        <v>1</v>
      </c>
      <c r="AO3913" t="n">
        <v>1</v>
      </c>
      <c r="AP3913" t="n">
        <v>0</v>
      </c>
      <c r="AQ3913" t="n">
        <v>0</v>
      </c>
      <c r="AR3913" t="inlineStr">
        <is>
          <t>No</t>
        </is>
      </c>
      <c r="AS3913" t="inlineStr">
        <is>
          <t>No</t>
        </is>
      </c>
      <c r="AU3913">
        <f>HYPERLINK("https://creighton-primo.hosted.exlibrisgroup.com/primo-explore/search?tab=default_tab&amp;search_scope=EVERYTHING&amp;vid=01CRU&amp;lang=en_US&amp;offset=0&amp;query=any,contains,991002235439702656","Catalog Record")</f>
        <v/>
      </c>
      <c r="AV3913">
        <f>HYPERLINK("http://www.worldcat.org/oclc/28816734","WorldCat Record")</f>
        <v/>
      </c>
      <c r="AW3913" t="inlineStr">
        <is>
          <t>804475349:eng</t>
        </is>
      </c>
      <c r="AX3913" t="inlineStr">
        <is>
          <t>28816734</t>
        </is>
      </c>
      <c r="AY3913" t="inlineStr">
        <is>
          <t>991002235439702656</t>
        </is>
      </c>
      <c r="AZ3913" t="inlineStr">
        <is>
          <t>991002235439702656</t>
        </is>
      </c>
      <c r="BA3913" t="inlineStr">
        <is>
          <t>2258576120002656</t>
        </is>
      </c>
      <c r="BB3913" t="inlineStr">
        <is>
          <t>BOOK</t>
        </is>
      </c>
      <c r="BD3913" t="inlineStr">
        <is>
          <t>9780863273797</t>
        </is>
      </c>
      <c r="BE3913" t="inlineStr">
        <is>
          <t>32285002396926</t>
        </is>
      </c>
      <c r="BF3913" t="inlineStr">
        <is>
          <t>893697520</t>
        </is>
      </c>
    </row>
    <row r="3914">
      <c r="A3914" t="inlineStr">
        <is>
          <t>No</t>
        </is>
      </c>
      <c r="B3914" t="inlineStr">
        <is>
          <t>CURAL</t>
        </is>
      </c>
      <c r="C3914" t="inlineStr">
        <is>
          <t>SHELVES</t>
        </is>
      </c>
      <c r="D3914" t="inlineStr">
        <is>
          <t>PR8858 .R9 1979</t>
        </is>
      </c>
      <c r="E3914" t="inlineStr">
        <is>
          <t>0                      PR 8858000R  9           1979</t>
        </is>
      </c>
      <c r="F3914" t="inlineStr">
        <is>
          <t>The 1916 poets / edited with an introd. by Desmond Ryan.</t>
        </is>
      </c>
      <c r="H3914" t="inlineStr">
        <is>
          <t>No</t>
        </is>
      </c>
      <c r="I3914" t="inlineStr">
        <is>
          <t>1</t>
        </is>
      </c>
      <c r="J3914" t="inlineStr">
        <is>
          <t>No</t>
        </is>
      </c>
      <c r="K3914" t="inlineStr">
        <is>
          <t>No</t>
        </is>
      </c>
      <c r="L3914" t="inlineStr">
        <is>
          <t>0</t>
        </is>
      </c>
      <c r="M3914" t="inlineStr">
        <is>
          <t>Ryan, Desmond editor.</t>
        </is>
      </c>
      <c r="N3914" t="inlineStr">
        <is>
          <t>Westport, Conn. : Greenwood Press, 1979.</t>
        </is>
      </c>
      <c r="O3914" t="inlineStr">
        <is>
          <t>1979</t>
        </is>
      </c>
      <c r="Q3914" t="inlineStr">
        <is>
          <t>eng</t>
        </is>
      </c>
      <c r="R3914" t="inlineStr">
        <is>
          <t>ctu</t>
        </is>
      </c>
      <c r="T3914" t="inlineStr">
        <is>
          <t xml:space="preserve">PR </t>
        </is>
      </c>
      <c r="U3914" t="n">
        <v>7</v>
      </c>
      <c r="V3914" t="n">
        <v>7</v>
      </c>
      <c r="W3914" t="inlineStr">
        <is>
          <t>2006-03-26</t>
        </is>
      </c>
      <c r="X3914" t="inlineStr">
        <is>
          <t>2006-03-26</t>
        </is>
      </c>
      <c r="Y3914" t="inlineStr">
        <is>
          <t>1992-08-19</t>
        </is>
      </c>
      <c r="Z3914" t="inlineStr">
        <is>
          <t>1992-08-19</t>
        </is>
      </c>
      <c r="AA3914" t="n">
        <v>107</v>
      </c>
      <c r="AB3914" t="n">
        <v>82</v>
      </c>
      <c r="AC3914" t="n">
        <v>113</v>
      </c>
      <c r="AD3914" t="n">
        <v>1</v>
      </c>
      <c r="AE3914" t="n">
        <v>1</v>
      </c>
      <c r="AF3914" t="n">
        <v>7</v>
      </c>
      <c r="AG3914" t="n">
        <v>8</v>
      </c>
      <c r="AH3914" t="n">
        <v>1</v>
      </c>
      <c r="AI3914" t="n">
        <v>1</v>
      </c>
      <c r="AJ3914" t="n">
        <v>3</v>
      </c>
      <c r="AK3914" t="n">
        <v>3</v>
      </c>
      <c r="AL3914" t="n">
        <v>4</v>
      </c>
      <c r="AM3914" t="n">
        <v>5</v>
      </c>
      <c r="AN3914" t="n">
        <v>0</v>
      </c>
      <c r="AO3914" t="n">
        <v>0</v>
      </c>
      <c r="AP3914" t="n">
        <v>0</v>
      </c>
      <c r="AQ3914" t="n">
        <v>0</v>
      </c>
      <c r="AR3914" t="inlineStr">
        <is>
          <t>No</t>
        </is>
      </c>
      <c r="AS3914" t="inlineStr">
        <is>
          <t>No</t>
        </is>
      </c>
      <c r="AU3914">
        <f>HYPERLINK("https://creighton-primo.hosted.exlibrisgroup.com/primo-explore/search?tab=default_tab&amp;search_scope=EVERYTHING&amp;vid=01CRU&amp;lang=en_US&amp;offset=0&amp;query=any,contains,991004808179702656","Catalog Record")</f>
        <v/>
      </c>
      <c r="AV3914">
        <f>HYPERLINK("http://www.worldcat.org/oclc/5264314","WorldCat Record")</f>
        <v/>
      </c>
      <c r="AW3914" t="inlineStr">
        <is>
          <t>54104445:eng</t>
        </is>
      </c>
      <c r="AX3914" t="inlineStr">
        <is>
          <t>5264314</t>
        </is>
      </c>
      <c r="AY3914" t="inlineStr">
        <is>
          <t>991004808179702656</t>
        </is>
      </c>
      <c r="AZ3914" t="inlineStr">
        <is>
          <t>991004808179702656</t>
        </is>
      </c>
      <c r="BA3914" t="inlineStr">
        <is>
          <t>2258726150002656</t>
        </is>
      </c>
      <c r="BB3914" t="inlineStr">
        <is>
          <t>BOOK</t>
        </is>
      </c>
      <c r="BD3914" t="inlineStr">
        <is>
          <t>9780313221002</t>
        </is>
      </c>
      <c r="BE3914" t="inlineStr">
        <is>
          <t>32285001247393</t>
        </is>
      </c>
      <c r="BF3914" t="inlineStr">
        <is>
          <t>893424212</t>
        </is>
      </c>
    </row>
    <row r="3915">
      <c r="A3915" t="inlineStr">
        <is>
          <t>No</t>
        </is>
      </c>
      <c r="B3915" t="inlineStr">
        <is>
          <t>CURAL</t>
        </is>
      </c>
      <c r="C3915" t="inlineStr">
        <is>
          <t>SHELVES</t>
        </is>
      </c>
      <c r="D3915" t="inlineStr">
        <is>
          <t>PR8858 .Y68 1982</t>
        </is>
      </c>
      <c r="E3915" t="inlineStr">
        <is>
          <t>0                      PR 8858000Y  68          1982</t>
        </is>
      </c>
      <c r="F3915" t="inlineStr">
        <is>
          <t>The Younger Irish poets / edited by Gerald Dawe.</t>
        </is>
      </c>
      <c r="H3915" t="inlineStr">
        <is>
          <t>No</t>
        </is>
      </c>
      <c r="I3915" t="inlineStr">
        <is>
          <t>1</t>
        </is>
      </c>
      <c r="J3915" t="inlineStr">
        <is>
          <t>No</t>
        </is>
      </c>
      <c r="K3915" t="inlineStr">
        <is>
          <t>No</t>
        </is>
      </c>
      <c r="L3915" t="inlineStr">
        <is>
          <t>0</t>
        </is>
      </c>
      <c r="N3915" t="inlineStr">
        <is>
          <t>Belfast : Blackstaff Press, c1982, 1983 printing.</t>
        </is>
      </c>
      <c r="O3915" t="inlineStr">
        <is>
          <t>1982</t>
        </is>
      </c>
      <c r="Q3915" t="inlineStr">
        <is>
          <t>eng</t>
        </is>
      </c>
      <c r="R3915" t="inlineStr">
        <is>
          <t>nik</t>
        </is>
      </c>
      <c r="T3915" t="inlineStr">
        <is>
          <t xml:space="preserve">PR </t>
        </is>
      </c>
      <c r="U3915" t="n">
        <v>8</v>
      </c>
      <c r="V3915" t="n">
        <v>8</v>
      </c>
      <c r="W3915" t="inlineStr">
        <is>
          <t>1996-11-25</t>
        </is>
      </c>
      <c r="X3915" t="inlineStr">
        <is>
          <t>1996-11-25</t>
        </is>
      </c>
      <c r="Y3915" t="inlineStr">
        <is>
          <t>1992-08-19</t>
        </is>
      </c>
      <c r="Z3915" t="inlineStr">
        <is>
          <t>1992-08-19</t>
        </is>
      </c>
      <c r="AA3915" t="n">
        <v>205</v>
      </c>
      <c r="AB3915" t="n">
        <v>111</v>
      </c>
      <c r="AC3915" t="n">
        <v>112</v>
      </c>
      <c r="AD3915" t="n">
        <v>1</v>
      </c>
      <c r="AE3915" t="n">
        <v>1</v>
      </c>
      <c r="AF3915" t="n">
        <v>7</v>
      </c>
      <c r="AG3915" t="n">
        <v>7</v>
      </c>
      <c r="AH3915" t="n">
        <v>3</v>
      </c>
      <c r="AI3915" t="n">
        <v>3</v>
      </c>
      <c r="AJ3915" t="n">
        <v>3</v>
      </c>
      <c r="AK3915" t="n">
        <v>3</v>
      </c>
      <c r="AL3915" t="n">
        <v>4</v>
      </c>
      <c r="AM3915" t="n">
        <v>4</v>
      </c>
      <c r="AN3915" t="n">
        <v>0</v>
      </c>
      <c r="AO3915" t="n">
        <v>0</v>
      </c>
      <c r="AP3915" t="n">
        <v>0</v>
      </c>
      <c r="AQ3915" t="n">
        <v>0</v>
      </c>
      <c r="AR3915" t="inlineStr">
        <is>
          <t>No</t>
        </is>
      </c>
      <c r="AS3915" t="inlineStr">
        <is>
          <t>Yes</t>
        </is>
      </c>
      <c r="AT3915">
        <f>HYPERLINK("http://catalog.hathitrust.org/Record/000102664","HathiTrust Record")</f>
        <v/>
      </c>
      <c r="AU3915">
        <f>HYPERLINK("https://creighton-primo.hosted.exlibrisgroup.com/primo-explore/search?tab=default_tab&amp;search_scope=EVERYTHING&amp;vid=01CRU&amp;lang=en_US&amp;offset=0&amp;query=any,contains,991000142199702656","Catalog Record")</f>
        <v/>
      </c>
      <c r="AV3915">
        <f>HYPERLINK("http://www.worldcat.org/oclc/9163358","WorldCat Record")</f>
        <v/>
      </c>
      <c r="AW3915" t="inlineStr">
        <is>
          <t>3856616267:eng</t>
        </is>
      </c>
      <c r="AX3915" t="inlineStr">
        <is>
          <t>9163358</t>
        </is>
      </c>
      <c r="AY3915" t="inlineStr">
        <is>
          <t>991000142199702656</t>
        </is>
      </c>
      <c r="AZ3915" t="inlineStr">
        <is>
          <t>991000142199702656</t>
        </is>
      </c>
      <c r="BA3915" t="inlineStr">
        <is>
          <t>2263133650002656</t>
        </is>
      </c>
      <c r="BB3915" t="inlineStr">
        <is>
          <t>BOOK</t>
        </is>
      </c>
      <c r="BD3915" t="inlineStr">
        <is>
          <t>9780856402616</t>
        </is>
      </c>
      <c r="BE3915" t="inlineStr">
        <is>
          <t>32285001247401</t>
        </is>
      </c>
      <c r="BF3915" t="inlineStr">
        <is>
          <t>893351441</t>
        </is>
      </c>
    </row>
    <row r="3916">
      <c r="A3916" t="inlineStr">
        <is>
          <t>No</t>
        </is>
      </c>
      <c r="B3916" t="inlineStr">
        <is>
          <t>CURAL</t>
        </is>
      </c>
      <c r="C3916" t="inlineStr">
        <is>
          <t>SHELVES</t>
        </is>
      </c>
      <c r="D3916" t="inlineStr">
        <is>
          <t>PR8861.L8 W4</t>
        </is>
      </c>
      <c r="E3916" t="inlineStr">
        <is>
          <t>0                      PR 8861000L  8                  W  4</t>
        </is>
      </c>
      <c r="F3916" t="inlineStr">
        <is>
          <t>The golden treasury of Irish songs and lyrics / ed. by Charles Welsh.</t>
        </is>
      </c>
      <c r="G3916" t="inlineStr">
        <is>
          <t>V.2</t>
        </is>
      </c>
      <c r="H3916" t="inlineStr">
        <is>
          <t>Yes</t>
        </is>
      </c>
      <c r="I3916" t="inlineStr">
        <is>
          <t>1</t>
        </is>
      </c>
      <c r="J3916" t="inlineStr">
        <is>
          <t>No</t>
        </is>
      </c>
      <c r="K3916" t="inlineStr">
        <is>
          <t>No</t>
        </is>
      </c>
      <c r="L3916" t="inlineStr">
        <is>
          <t>0</t>
        </is>
      </c>
      <c r="M3916" t="inlineStr">
        <is>
          <t>Welsh, Charles, 1850-1914, editor.</t>
        </is>
      </c>
      <c r="N3916" t="inlineStr">
        <is>
          <t>New York : Dodge Publishing, [c1907]</t>
        </is>
      </c>
      <c r="O3916" t="inlineStr">
        <is>
          <t>1907</t>
        </is>
      </c>
      <c r="Q3916" t="inlineStr">
        <is>
          <t>eng</t>
        </is>
      </c>
      <c r="R3916" t="inlineStr">
        <is>
          <t xml:space="preserve">xx </t>
        </is>
      </c>
      <c r="T3916" t="inlineStr">
        <is>
          <t xml:space="preserve">PR </t>
        </is>
      </c>
      <c r="U3916" t="n">
        <v>4</v>
      </c>
      <c r="V3916" t="n">
        <v>6</v>
      </c>
      <c r="W3916" t="inlineStr">
        <is>
          <t>1996-02-14</t>
        </is>
      </c>
      <c r="X3916" t="inlineStr">
        <is>
          <t>1996-02-14</t>
        </is>
      </c>
      <c r="Y3916" t="inlineStr">
        <is>
          <t>1992-08-19</t>
        </is>
      </c>
      <c r="Z3916" t="inlineStr">
        <is>
          <t>1992-08-19</t>
        </is>
      </c>
      <c r="AA3916" t="n">
        <v>148</v>
      </c>
      <c r="AB3916" t="n">
        <v>135</v>
      </c>
      <c r="AC3916" t="n">
        <v>157</v>
      </c>
      <c r="AD3916" t="n">
        <v>2</v>
      </c>
      <c r="AE3916" t="n">
        <v>3</v>
      </c>
      <c r="AF3916" t="n">
        <v>15</v>
      </c>
      <c r="AG3916" t="n">
        <v>17</v>
      </c>
      <c r="AH3916" t="n">
        <v>3</v>
      </c>
      <c r="AI3916" t="n">
        <v>3</v>
      </c>
      <c r="AJ3916" t="n">
        <v>4</v>
      </c>
      <c r="AK3916" t="n">
        <v>5</v>
      </c>
      <c r="AL3916" t="n">
        <v>8</v>
      </c>
      <c r="AM3916" t="n">
        <v>8</v>
      </c>
      <c r="AN3916" t="n">
        <v>1</v>
      </c>
      <c r="AO3916" t="n">
        <v>2</v>
      </c>
      <c r="AP3916" t="n">
        <v>0</v>
      </c>
      <c r="AQ3916" t="n">
        <v>0</v>
      </c>
      <c r="AR3916" t="inlineStr">
        <is>
          <t>Yes</t>
        </is>
      </c>
      <c r="AS3916" t="inlineStr">
        <is>
          <t>No</t>
        </is>
      </c>
      <c r="AT3916">
        <f>HYPERLINK("http://catalog.hathitrust.org/Record/001372273","HathiTrust Record")</f>
        <v/>
      </c>
      <c r="AU3916">
        <f>HYPERLINK("https://creighton-primo.hosted.exlibrisgroup.com/primo-explore/search?tab=default_tab&amp;search_scope=EVERYTHING&amp;vid=01CRU&amp;lang=en_US&amp;offset=0&amp;query=any,contains,991004457329702656","Catalog Record")</f>
        <v/>
      </c>
      <c r="AV3916">
        <f>HYPERLINK("http://www.worldcat.org/oclc/3534730","WorldCat Record")</f>
        <v/>
      </c>
      <c r="AW3916" t="inlineStr">
        <is>
          <t>13088773:eng</t>
        </is>
      </c>
      <c r="AX3916" t="inlineStr">
        <is>
          <t>3534730</t>
        </is>
      </c>
      <c r="AY3916" t="inlineStr">
        <is>
          <t>991004457329702656</t>
        </is>
      </c>
      <c r="AZ3916" t="inlineStr">
        <is>
          <t>991004457329702656</t>
        </is>
      </c>
      <c r="BA3916" t="inlineStr">
        <is>
          <t>2262274590002656</t>
        </is>
      </c>
      <c r="BB3916" t="inlineStr">
        <is>
          <t>BOOK</t>
        </is>
      </c>
      <c r="BE3916" t="inlineStr">
        <is>
          <t>32285001247419</t>
        </is>
      </c>
      <c r="BF3916" t="inlineStr">
        <is>
          <t>893526113</t>
        </is>
      </c>
    </row>
    <row r="3917">
      <c r="A3917" t="inlineStr">
        <is>
          <t>No</t>
        </is>
      </c>
      <c r="B3917" t="inlineStr">
        <is>
          <t>CURAL</t>
        </is>
      </c>
      <c r="C3917" t="inlineStr">
        <is>
          <t>SHELVES</t>
        </is>
      </c>
      <c r="D3917" t="inlineStr">
        <is>
          <t>PR8861.L8 W4</t>
        </is>
      </c>
      <c r="E3917" t="inlineStr">
        <is>
          <t>0                      PR 8861000L  8                  W  4</t>
        </is>
      </c>
      <c r="F3917" t="inlineStr">
        <is>
          <t>The golden treasury of Irish songs and lyrics / ed. by Charles Welsh.</t>
        </is>
      </c>
      <c r="G3917" t="inlineStr">
        <is>
          <t>V.1</t>
        </is>
      </c>
      <c r="H3917" t="inlineStr">
        <is>
          <t>Yes</t>
        </is>
      </c>
      <c r="I3917" t="inlineStr">
        <is>
          <t>1</t>
        </is>
      </c>
      <c r="J3917" t="inlineStr">
        <is>
          <t>No</t>
        </is>
      </c>
      <c r="K3917" t="inlineStr">
        <is>
          <t>No</t>
        </is>
      </c>
      <c r="L3917" t="inlineStr">
        <is>
          <t>0</t>
        </is>
      </c>
      <c r="M3917" t="inlineStr">
        <is>
          <t>Welsh, Charles, 1850-1914, editor.</t>
        </is>
      </c>
      <c r="N3917" t="inlineStr">
        <is>
          <t>New York : Dodge Publishing, [c1907]</t>
        </is>
      </c>
      <c r="O3917" t="inlineStr">
        <is>
          <t>1907</t>
        </is>
      </c>
      <c r="Q3917" t="inlineStr">
        <is>
          <t>eng</t>
        </is>
      </c>
      <c r="R3917" t="inlineStr">
        <is>
          <t xml:space="preserve">xx </t>
        </is>
      </c>
      <c r="T3917" t="inlineStr">
        <is>
          <t xml:space="preserve">PR </t>
        </is>
      </c>
      <c r="U3917" t="n">
        <v>2</v>
      </c>
      <c r="V3917" t="n">
        <v>6</v>
      </c>
      <c r="X3917" t="inlineStr">
        <is>
          <t>1996-02-14</t>
        </is>
      </c>
      <c r="Y3917" t="inlineStr">
        <is>
          <t>1992-03-23</t>
        </is>
      </c>
      <c r="Z3917" t="inlineStr">
        <is>
          <t>1992-08-19</t>
        </is>
      </c>
      <c r="AA3917" t="n">
        <v>148</v>
      </c>
      <c r="AB3917" t="n">
        <v>135</v>
      </c>
      <c r="AC3917" t="n">
        <v>157</v>
      </c>
      <c r="AD3917" t="n">
        <v>2</v>
      </c>
      <c r="AE3917" t="n">
        <v>3</v>
      </c>
      <c r="AF3917" t="n">
        <v>15</v>
      </c>
      <c r="AG3917" t="n">
        <v>17</v>
      </c>
      <c r="AH3917" t="n">
        <v>3</v>
      </c>
      <c r="AI3917" t="n">
        <v>3</v>
      </c>
      <c r="AJ3917" t="n">
        <v>4</v>
      </c>
      <c r="AK3917" t="n">
        <v>5</v>
      </c>
      <c r="AL3917" t="n">
        <v>8</v>
      </c>
      <c r="AM3917" t="n">
        <v>8</v>
      </c>
      <c r="AN3917" t="n">
        <v>1</v>
      </c>
      <c r="AO3917" t="n">
        <v>2</v>
      </c>
      <c r="AP3917" t="n">
        <v>0</v>
      </c>
      <c r="AQ3917" t="n">
        <v>0</v>
      </c>
      <c r="AR3917" t="inlineStr">
        <is>
          <t>Yes</t>
        </is>
      </c>
      <c r="AS3917" t="inlineStr">
        <is>
          <t>No</t>
        </is>
      </c>
      <c r="AT3917">
        <f>HYPERLINK("http://catalog.hathitrust.org/Record/001372273","HathiTrust Record")</f>
        <v/>
      </c>
      <c r="AU3917">
        <f>HYPERLINK("https://creighton-primo.hosted.exlibrisgroup.com/primo-explore/search?tab=default_tab&amp;search_scope=EVERYTHING&amp;vid=01CRU&amp;lang=en_US&amp;offset=0&amp;query=any,contains,991004457329702656","Catalog Record")</f>
        <v/>
      </c>
      <c r="AV3917">
        <f>HYPERLINK("http://www.worldcat.org/oclc/3534730","WorldCat Record")</f>
        <v/>
      </c>
      <c r="AW3917" t="inlineStr">
        <is>
          <t>13088773:eng</t>
        </is>
      </c>
      <c r="AX3917" t="inlineStr">
        <is>
          <t>3534730</t>
        </is>
      </c>
      <c r="AY3917" t="inlineStr">
        <is>
          <t>991004457329702656</t>
        </is>
      </c>
      <c r="AZ3917" t="inlineStr">
        <is>
          <t>991004457329702656</t>
        </is>
      </c>
      <c r="BA3917" t="inlineStr">
        <is>
          <t>2262274590002656</t>
        </is>
      </c>
      <c r="BB3917" t="inlineStr">
        <is>
          <t>BOOK</t>
        </is>
      </c>
      <c r="BE3917" t="inlineStr">
        <is>
          <t>32285001026011</t>
        </is>
      </c>
      <c r="BF3917" t="inlineStr">
        <is>
          <t>893519671</t>
        </is>
      </c>
    </row>
    <row r="3918">
      <c r="A3918" t="inlineStr">
        <is>
          <t>No</t>
        </is>
      </c>
      <c r="B3918" t="inlineStr">
        <is>
          <t>CURAL</t>
        </is>
      </c>
      <c r="C3918" t="inlineStr">
        <is>
          <t>SHELVES</t>
        </is>
      </c>
      <c r="D3918" t="inlineStr">
        <is>
          <t>PR8868 .B3 1960</t>
        </is>
      </c>
      <c r="E3918" t="inlineStr">
        <is>
          <t>0                      PR 8868000B  3           1960</t>
        </is>
      </c>
      <c r="F3918" t="inlineStr">
        <is>
          <t>The genius of the Irish theater / edited by Sylvan Barnet, Morton Berman [and] William Burto.</t>
        </is>
      </c>
      <c r="H3918" t="inlineStr">
        <is>
          <t>No</t>
        </is>
      </c>
      <c r="I3918" t="inlineStr">
        <is>
          <t>1</t>
        </is>
      </c>
      <c r="J3918" t="inlineStr">
        <is>
          <t>No</t>
        </is>
      </c>
      <c r="K3918" t="inlineStr">
        <is>
          <t>No</t>
        </is>
      </c>
      <c r="L3918" t="inlineStr">
        <is>
          <t>0</t>
        </is>
      </c>
      <c r="M3918" t="inlineStr">
        <is>
          <t>Barnet, Sylvan editor.</t>
        </is>
      </c>
      <c r="N3918" t="inlineStr">
        <is>
          <t>[New York] : New American Library, [c1960]</t>
        </is>
      </c>
      <c r="O3918" t="inlineStr">
        <is>
          <t>1960</t>
        </is>
      </c>
      <c r="Q3918" t="inlineStr">
        <is>
          <t>eng</t>
        </is>
      </c>
      <c r="R3918" t="inlineStr">
        <is>
          <t>nyu</t>
        </is>
      </c>
      <c r="S3918" t="inlineStr">
        <is>
          <t>A Mentor book, MT315</t>
        </is>
      </c>
      <c r="T3918" t="inlineStr">
        <is>
          <t xml:space="preserve">PR </t>
        </is>
      </c>
      <c r="U3918" t="n">
        <v>6</v>
      </c>
      <c r="V3918" t="n">
        <v>6</v>
      </c>
      <c r="W3918" t="inlineStr">
        <is>
          <t>2009-02-23</t>
        </is>
      </c>
      <c r="X3918" t="inlineStr">
        <is>
          <t>2009-02-23</t>
        </is>
      </c>
      <c r="Y3918" t="inlineStr">
        <is>
          <t>1990-08-13</t>
        </is>
      </c>
      <c r="Z3918" t="inlineStr">
        <is>
          <t>1990-08-13</t>
        </is>
      </c>
      <c r="AA3918" t="n">
        <v>561</v>
      </c>
      <c r="AB3918" t="n">
        <v>486</v>
      </c>
      <c r="AC3918" t="n">
        <v>494</v>
      </c>
      <c r="AD3918" t="n">
        <v>4</v>
      </c>
      <c r="AE3918" t="n">
        <v>4</v>
      </c>
      <c r="AF3918" t="n">
        <v>27</v>
      </c>
      <c r="AG3918" t="n">
        <v>27</v>
      </c>
      <c r="AH3918" t="n">
        <v>10</v>
      </c>
      <c r="AI3918" t="n">
        <v>10</v>
      </c>
      <c r="AJ3918" t="n">
        <v>5</v>
      </c>
      <c r="AK3918" t="n">
        <v>5</v>
      </c>
      <c r="AL3918" t="n">
        <v>16</v>
      </c>
      <c r="AM3918" t="n">
        <v>16</v>
      </c>
      <c r="AN3918" t="n">
        <v>3</v>
      </c>
      <c r="AO3918" t="n">
        <v>3</v>
      </c>
      <c r="AP3918" t="n">
        <v>0</v>
      </c>
      <c r="AQ3918" t="n">
        <v>0</v>
      </c>
      <c r="AR3918" t="inlineStr">
        <is>
          <t>No</t>
        </is>
      </c>
      <c r="AS3918" t="inlineStr">
        <is>
          <t>No</t>
        </is>
      </c>
      <c r="AT3918">
        <f>HYPERLINK("http://catalog.hathitrust.org/Record/001026181","HathiTrust Record")</f>
        <v/>
      </c>
      <c r="AU3918">
        <f>HYPERLINK("https://creighton-primo.hosted.exlibrisgroup.com/primo-explore/search?tab=default_tab&amp;search_scope=EVERYTHING&amp;vid=01CRU&amp;lang=en_US&amp;offset=0&amp;query=any,contains,991001478719702656","Catalog Record")</f>
        <v/>
      </c>
      <c r="AV3918">
        <f>HYPERLINK("http://www.worldcat.org/oclc/231589","WorldCat Record")</f>
        <v/>
      </c>
      <c r="AW3918" t="inlineStr">
        <is>
          <t>365452483:eng</t>
        </is>
      </c>
      <c r="AX3918" t="inlineStr">
        <is>
          <t>231589</t>
        </is>
      </c>
      <c r="AY3918" t="inlineStr">
        <is>
          <t>991001478719702656</t>
        </is>
      </c>
      <c r="AZ3918" t="inlineStr">
        <is>
          <t>991001478719702656</t>
        </is>
      </c>
      <c r="BA3918" t="inlineStr">
        <is>
          <t>2270784220002656</t>
        </is>
      </c>
      <c r="BB3918" t="inlineStr">
        <is>
          <t>BOOK</t>
        </is>
      </c>
      <c r="BE3918" t="inlineStr">
        <is>
          <t>32285000024041</t>
        </is>
      </c>
      <c r="BF3918" t="inlineStr">
        <is>
          <t>893703057</t>
        </is>
      </c>
    </row>
    <row r="3919">
      <c r="A3919" t="inlineStr">
        <is>
          <t>No</t>
        </is>
      </c>
      <c r="B3919" t="inlineStr">
        <is>
          <t>CURAL</t>
        </is>
      </c>
      <c r="C3919" t="inlineStr">
        <is>
          <t>SHELVES</t>
        </is>
      </c>
      <c r="D3919" t="inlineStr">
        <is>
          <t>PR8869 .I7 1990</t>
        </is>
      </c>
      <c r="E3919" t="inlineStr">
        <is>
          <t>0                      PR 8869000I  7           1990</t>
        </is>
      </c>
      <c r="F3919" t="inlineStr">
        <is>
          <t>Irish drama, 1900-1980 / edited by Cóilín D. Owens and Joan N. Radner.</t>
        </is>
      </c>
      <c r="H3919" t="inlineStr">
        <is>
          <t>No</t>
        </is>
      </c>
      <c r="I3919" t="inlineStr">
        <is>
          <t>1</t>
        </is>
      </c>
      <c r="J3919" t="inlineStr">
        <is>
          <t>No</t>
        </is>
      </c>
      <c r="K3919" t="inlineStr">
        <is>
          <t>No</t>
        </is>
      </c>
      <c r="L3919" t="inlineStr">
        <is>
          <t>0</t>
        </is>
      </c>
      <c r="N3919" t="inlineStr">
        <is>
          <t>Washington, D.C. : Catholic University of America Press, c1990.</t>
        </is>
      </c>
      <c r="O3919" t="inlineStr">
        <is>
          <t>1990</t>
        </is>
      </c>
      <c r="Q3919" t="inlineStr">
        <is>
          <t>eng</t>
        </is>
      </c>
      <c r="R3919" t="inlineStr">
        <is>
          <t>dcu</t>
        </is>
      </c>
      <c r="T3919" t="inlineStr">
        <is>
          <t xml:space="preserve">PR </t>
        </is>
      </c>
      <c r="U3919" t="n">
        <v>9</v>
      </c>
      <c r="V3919" t="n">
        <v>9</v>
      </c>
      <c r="W3919" t="inlineStr">
        <is>
          <t>1995-01-09</t>
        </is>
      </c>
      <c r="X3919" t="inlineStr">
        <is>
          <t>1995-01-09</t>
        </is>
      </c>
      <c r="Y3919" t="inlineStr">
        <is>
          <t>1990-11-19</t>
        </is>
      </c>
      <c r="Z3919" t="inlineStr">
        <is>
          <t>1990-11-19</t>
        </is>
      </c>
      <c r="AA3919" t="n">
        <v>381</v>
      </c>
      <c r="AB3919" t="n">
        <v>329</v>
      </c>
      <c r="AC3919" t="n">
        <v>337</v>
      </c>
      <c r="AD3919" t="n">
        <v>3</v>
      </c>
      <c r="AE3919" t="n">
        <v>3</v>
      </c>
      <c r="AF3919" t="n">
        <v>20</v>
      </c>
      <c r="AG3919" t="n">
        <v>20</v>
      </c>
      <c r="AH3919" t="n">
        <v>7</v>
      </c>
      <c r="AI3919" t="n">
        <v>7</v>
      </c>
      <c r="AJ3919" t="n">
        <v>5</v>
      </c>
      <c r="AK3919" t="n">
        <v>5</v>
      </c>
      <c r="AL3919" t="n">
        <v>13</v>
      </c>
      <c r="AM3919" t="n">
        <v>13</v>
      </c>
      <c r="AN3919" t="n">
        <v>2</v>
      </c>
      <c r="AO3919" t="n">
        <v>2</v>
      </c>
      <c r="AP3919" t="n">
        <v>0</v>
      </c>
      <c r="AQ3919" t="n">
        <v>0</v>
      </c>
      <c r="AR3919" t="inlineStr">
        <is>
          <t>No</t>
        </is>
      </c>
      <c r="AS3919" t="inlineStr">
        <is>
          <t>Yes</t>
        </is>
      </c>
      <c r="AT3919">
        <f>HYPERLINK("http://catalog.hathitrust.org/Record/002227768","HathiTrust Record")</f>
        <v/>
      </c>
      <c r="AU3919">
        <f>HYPERLINK("https://creighton-primo.hosted.exlibrisgroup.com/primo-explore/search?tab=default_tab&amp;search_scope=EVERYTHING&amp;vid=01CRU&amp;lang=en_US&amp;offset=0&amp;query=any,contains,991001442069702656","Catalog Record")</f>
        <v/>
      </c>
      <c r="AV3919">
        <f>HYPERLINK("http://www.worldcat.org/oclc/19263363","WorldCat Record")</f>
        <v/>
      </c>
      <c r="AW3919" t="inlineStr">
        <is>
          <t>353570249:eng</t>
        </is>
      </c>
      <c r="AX3919" t="inlineStr">
        <is>
          <t>19263363</t>
        </is>
      </c>
      <c r="AY3919" t="inlineStr">
        <is>
          <t>991001442069702656</t>
        </is>
      </c>
      <c r="AZ3919" t="inlineStr">
        <is>
          <t>991001442069702656</t>
        </is>
      </c>
      <c r="BA3919" t="inlineStr">
        <is>
          <t>2265881520002656</t>
        </is>
      </c>
      <c r="BB3919" t="inlineStr">
        <is>
          <t>BOOK</t>
        </is>
      </c>
      <c r="BD3919" t="inlineStr">
        <is>
          <t>9780813207056</t>
        </is>
      </c>
      <c r="BE3919" t="inlineStr">
        <is>
          <t>32285000355874</t>
        </is>
      </c>
      <c r="BF3919" t="inlineStr">
        <is>
          <t>893778807</t>
        </is>
      </c>
    </row>
    <row r="3920">
      <c r="A3920" t="inlineStr">
        <is>
          <t>No</t>
        </is>
      </c>
      <c r="B3920" t="inlineStr">
        <is>
          <t>CURAL</t>
        </is>
      </c>
      <c r="C3920" t="inlineStr">
        <is>
          <t>SHELVES</t>
        </is>
      </c>
      <c r="D3920" t="inlineStr">
        <is>
          <t>PR888.D52 H37 1993</t>
        </is>
      </c>
      <c r="E3920" t="inlineStr">
        <is>
          <t>0                      PR 0888000D  52                 H  37          1993</t>
        </is>
      </c>
      <c r="F3920" t="inlineStr">
        <is>
          <t>Writing and reality : a study of modern British diary fiction / Andrew Hassam.</t>
        </is>
      </c>
      <c r="H3920" t="inlineStr">
        <is>
          <t>No</t>
        </is>
      </c>
      <c r="I3920" t="inlineStr">
        <is>
          <t>1</t>
        </is>
      </c>
      <c r="J3920" t="inlineStr">
        <is>
          <t>No</t>
        </is>
      </c>
      <c r="K3920" t="inlineStr">
        <is>
          <t>No</t>
        </is>
      </c>
      <c r="L3920" t="inlineStr">
        <is>
          <t>0</t>
        </is>
      </c>
      <c r="M3920" t="inlineStr">
        <is>
          <t>Hassam, Andrew.</t>
        </is>
      </c>
      <c r="N3920" t="inlineStr">
        <is>
          <t>Westport, Conn. : Greenwood Press, 1993.</t>
        </is>
      </c>
      <c r="O3920" t="inlineStr">
        <is>
          <t>1993</t>
        </is>
      </c>
      <c r="Q3920" t="inlineStr">
        <is>
          <t>eng</t>
        </is>
      </c>
      <c r="R3920" t="inlineStr">
        <is>
          <t>ctu</t>
        </is>
      </c>
      <c r="S3920" t="inlineStr">
        <is>
          <t>Contributions to the study of world literature, 0738-9345 ; no. 47</t>
        </is>
      </c>
      <c r="T3920" t="inlineStr">
        <is>
          <t xml:space="preserve">PR </t>
        </is>
      </c>
      <c r="U3920" t="n">
        <v>2</v>
      </c>
      <c r="V3920" t="n">
        <v>2</v>
      </c>
      <c r="W3920" t="inlineStr">
        <is>
          <t>2006-11-28</t>
        </is>
      </c>
      <c r="X3920" t="inlineStr">
        <is>
          <t>2006-11-28</t>
        </is>
      </c>
      <c r="Y3920" t="inlineStr">
        <is>
          <t>2006-11-28</t>
        </is>
      </c>
      <c r="Z3920" t="inlineStr">
        <is>
          <t>2006-11-28</t>
        </is>
      </c>
      <c r="AA3920" t="n">
        <v>234</v>
      </c>
      <c r="AB3920" t="n">
        <v>173</v>
      </c>
      <c r="AC3920" t="n">
        <v>175</v>
      </c>
      <c r="AD3920" t="n">
        <v>2</v>
      </c>
      <c r="AE3920" t="n">
        <v>2</v>
      </c>
      <c r="AF3920" t="n">
        <v>7</v>
      </c>
      <c r="AG3920" t="n">
        <v>7</v>
      </c>
      <c r="AH3920" t="n">
        <v>0</v>
      </c>
      <c r="AI3920" t="n">
        <v>0</v>
      </c>
      <c r="AJ3920" t="n">
        <v>3</v>
      </c>
      <c r="AK3920" t="n">
        <v>3</v>
      </c>
      <c r="AL3920" t="n">
        <v>5</v>
      </c>
      <c r="AM3920" t="n">
        <v>5</v>
      </c>
      <c r="AN3920" t="n">
        <v>1</v>
      </c>
      <c r="AO3920" t="n">
        <v>1</v>
      </c>
      <c r="AP3920" t="n">
        <v>0</v>
      </c>
      <c r="AQ3920" t="n">
        <v>0</v>
      </c>
      <c r="AR3920" t="inlineStr">
        <is>
          <t>No</t>
        </is>
      </c>
      <c r="AS3920" t="inlineStr">
        <is>
          <t>Yes</t>
        </is>
      </c>
      <c r="AT3920">
        <f>HYPERLINK("http://catalog.hathitrust.org/Record/002624996","HathiTrust Record")</f>
        <v/>
      </c>
      <c r="AU3920">
        <f>HYPERLINK("https://creighton-primo.hosted.exlibrisgroup.com/primo-explore/search?tab=default_tab&amp;search_scope=EVERYTHING&amp;vid=01CRU&amp;lang=en_US&amp;offset=0&amp;query=any,contains,991004988059702656","Catalog Record")</f>
        <v/>
      </c>
      <c r="AV3920">
        <f>HYPERLINK("http://www.worldcat.org/oclc/26303434","WorldCat Record")</f>
        <v/>
      </c>
      <c r="AW3920" t="inlineStr">
        <is>
          <t>365561000:eng</t>
        </is>
      </c>
      <c r="AX3920" t="inlineStr">
        <is>
          <t>26303434</t>
        </is>
      </c>
      <c r="AY3920" t="inlineStr">
        <is>
          <t>991004988059702656</t>
        </is>
      </c>
      <c r="AZ3920" t="inlineStr">
        <is>
          <t>991004988059702656</t>
        </is>
      </c>
      <c r="BA3920" t="inlineStr">
        <is>
          <t>2271630130002656</t>
        </is>
      </c>
      <c r="BB3920" t="inlineStr">
        <is>
          <t>BOOK</t>
        </is>
      </c>
      <c r="BD3920" t="inlineStr">
        <is>
          <t>9780313285400</t>
        </is>
      </c>
      <c r="BE3920" t="inlineStr">
        <is>
          <t>32285005262836</t>
        </is>
      </c>
      <c r="BF3920" t="inlineStr">
        <is>
          <t>893625313</t>
        </is>
      </c>
    </row>
    <row r="3921">
      <c r="A3921" t="inlineStr">
        <is>
          <t>No</t>
        </is>
      </c>
      <c r="B3921" t="inlineStr">
        <is>
          <t>CURAL</t>
        </is>
      </c>
      <c r="C3921" t="inlineStr">
        <is>
          <t>SHELVES</t>
        </is>
      </c>
      <c r="D3921" t="inlineStr">
        <is>
          <t>PR888.D96 A4 1984</t>
        </is>
      </c>
      <c r="E3921" t="inlineStr">
        <is>
          <t>0                      PR 0888000D  96                 A  4           1984</t>
        </is>
      </c>
      <c r="F3921" t="inlineStr">
        <is>
          <t>The scientific world view in dystopia / by Alexandra Aldridge.</t>
        </is>
      </c>
      <c r="H3921" t="inlineStr">
        <is>
          <t>No</t>
        </is>
      </c>
      <c r="I3921" t="inlineStr">
        <is>
          <t>1</t>
        </is>
      </c>
      <c r="J3921" t="inlineStr">
        <is>
          <t>No</t>
        </is>
      </c>
      <c r="K3921" t="inlineStr">
        <is>
          <t>No</t>
        </is>
      </c>
      <c r="L3921" t="inlineStr">
        <is>
          <t>0</t>
        </is>
      </c>
      <c r="M3921" t="inlineStr">
        <is>
          <t>Aldridge, Alexandra.</t>
        </is>
      </c>
      <c r="N3921" t="inlineStr">
        <is>
          <t>Ann Arbor, Mich. : UMI Research Press, c1984.</t>
        </is>
      </c>
      <c r="O3921" t="inlineStr">
        <is>
          <t>1984</t>
        </is>
      </c>
      <c r="Q3921" t="inlineStr">
        <is>
          <t>eng</t>
        </is>
      </c>
      <c r="R3921" t="inlineStr">
        <is>
          <t>miu</t>
        </is>
      </c>
      <c r="S3921" t="inlineStr">
        <is>
          <t>Studies in speculative fiction ; no. 3</t>
        </is>
      </c>
      <c r="T3921" t="inlineStr">
        <is>
          <t xml:space="preserve">PR </t>
        </is>
      </c>
      <c r="U3921" t="n">
        <v>8</v>
      </c>
      <c r="V3921" t="n">
        <v>8</v>
      </c>
      <c r="W3921" t="inlineStr">
        <is>
          <t>1995-08-01</t>
        </is>
      </c>
      <c r="X3921" t="inlineStr">
        <is>
          <t>1995-08-01</t>
        </is>
      </c>
      <c r="Y3921" t="inlineStr">
        <is>
          <t>1991-09-12</t>
        </is>
      </c>
      <c r="Z3921" t="inlineStr">
        <is>
          <t>1991-09-12</t>
        </is>
      </c>
      <c r="AA3921" t="n">
        <v>253</v>
      </c>
      <c r="AB3921" t="n">
        <v>196</v>
      </c>
      <c r="AC3921" t="n">
        <v>204</v>
      </c>
      <c r="AD3921" t="n">
        <v>3</v>
      </c>
      <c r="AE3921" t="n">
        <v>3</v>
      </c>
      <c r="AF3921" t="n">
        <v>8</v>
      </c>
      <c r="AG3921" t="n">
        <v>8</v>
      </c>
      <c r="AH3921" t="n">
        <v>2</v>
      </c>
      <c r="AI3921" t="n">
        <v>2</v>
      </c>
      <c r="AJ3921" t="n">
        <v>1</v>
      </c>
      <c r="AK3921" t="n">
        <v>1</v>
      </c>
      <c r="AL3921" t="n">
        <v>5</v>
      </c>
      <c r="AM3921" t="n">
        <v>5</v>
      </c>
      <c r="AN3921" t="n">
        <v>2</v>
      </c>
      <c r="AO3921" t="n">
        <v>2</v>
      </c>
      <c r="AP3921" t="n">
        <v>0</v>
      </c>
      <c r="AQ3921" t="n">
        <v>0</v>
      </c>
      <c r="AR3921" t="inlineStr">
        <is>
          <t>No</t>
        </is>
      </c>
      <c r="AS3921" t="inlineStr">
        <is>
          <t>Yes</t>
        </is>
      </c>
      <c r="AT3921">
        <f>HYPERLINK("http://catalog.hathitrust.org/Record/000616454","HathiTrust Record")</f>
        <v/>
      </c>
      <c r="AU3921">
        <f>HYPERLINK("https://creighton-primo.hosted.exlibrisgroup.com/primo-explore/search?tab=default_tab&amp;search_scope=EVERYTHING&amp;vid=01CRU&amp;lang=en_US&amp;offset=0&amp;query=any,contains,991000426709702656","Catalog Record")</f>
        <v/>
      </c>
      <c r="AV3921">
        <f>HYPERLINK("http://www.worldcat.org/oclc/10753920","WorldCat Record")</f>
        <v/>
      </c>
      <c r="AW3921" t="inlineStr">
        <is>
          <t>2955643:eng</t>
        </is>
      </c>
      <c r="AX3921" t="inlineStr">
        <is>
          <t>10753920</t>
        </is>
      </c>
      <c r="AY3921" t="inlineStr">
        <is>
          <t>991000426709702656</t>
        </is>
      </c>
      <c r="AZ3921" t="inlineStr">
        <is>
          <t>991000426709702656</t>
        </is>
      </c>
      <c r="BA3921" t="inlineStr">
        <is>
          <t>2265497570002656</t>
        </is>
      </c>
      <c r="BB3921" t="inlineStr">
        <is>
          <t>BOOK</t>
        </is>
      </c>
      <c r="BD3921" t="inlineStr">
        <is>
          <t>9780835715720</t>
        </is>
      </c>
      <c r="BE3921" t="inlineStr">
        <is>
          <t>32285000758150</t>
        </is>
      </c>
      <c r="BF3921" t="inlineStr">
        <is>
          <t>893327281</t>
        </is>
      </c>
    </row>
    <row r="3922">
      <c r="A3922" t="inlineStr">
        <is>
          <t>No</t>
        </is>
      </c>
      <c r="B3922" t="inlineStr">
        <is>
          <t>CURAL</t>
        </is>
      </c>
      <c r="C3922" t="inlineStr">
        <is>
          <t>SHELVES</t>
        </is>
      </c>
      <c r="D3922" t="inlineStr">
        <is>
          <t>PR888.D96 S57 1997</t>
        </is>
      </c>
      <c r="E3922" t="inlineStr">
        <is>
          <t>0                      PR 0888000D  96                 S  57          1997</t>
        </is>
      </c>
      <c r="F3922" t="inlineStr">
        <is>
          <t>Transformations of language in modern dystopias / David W. Sisk.</t>
        </is>
      </c>
      <c r="H3922" t="inlineStr">
        <is>
          <t>No</t>
        </is>
      </c>
      <c r="I3922" t="inlineStr">
        <is>
          <t>1</t>
        </is>
      </c>
      <c r="J3922" t="inlineStr">
        <is>
          <t>No</t>
        </is>
      </c>
      <c r="K3922" t="inlineStr">
        <is>
          <t>No</t>
        </is>
      </c>
      <c r="L3922" t="inlineStr">
        <is>
          <t>0</t>
        </is>
      </c>
      <c r="M3922" t="inlineStr">
        <is>
          <t>Sisk, David W., 1963-</t>
        </is>
      </c>
      <c r="N3922" t="inlineStr">
        <is>
          <t>Westport, Conn. : Greenwood Press, 1997.</t>
        </is>
      </c>
      <c r="O3922" t="inlineStr">
        <is>
          <t>1997</t>
        </is>
      </c>
      <c r="Q3922" t="inlineStr">
        <is>
          <t>eng</t>
        </is>
      </c>
      <c r="R3922" t="inlineStr">
        <is>
          <t>ctu</t>
        </is>
      </c>
      <c r="S3922" t="inlineStr">
        <is>
          <t>Contributions to the study of science fiction and fantasy, 0193-6875 ; no. 75</t>
        </is>
      </c>
      <c r="T3922" t="inlineStr">
        <is>
          <t xml:space="preserve">PR </t>
        </is>
      </c>
      <c r="U3922" t="n">
        <v>2</v>
      </c>
      <c r="V3922" t="n">
        <v>2</v>
      </c>
      <c r="W3922" t="inlineStr">
        <is>
          <t>2001-05-16</t>
        </is>
      </c>
      <c r="X3922" t="inlineStr">
        <is>
          <t>2001-05-16</t>
        </is>
      </c>
      <c r="Y3922" t="inlineStr">
        <is>
          <t>2001-04-23</t>
        </is>
      </c>
      <c r="Z3922" t="inlineStr">
        <is>
          <t>2001-04-23</t>
        </is>
      </c>
      <c r="AA3922" t="n">
        <v>236</v>
      </c>
      <c r="AB3922" t="n">
        <v>178</v>
      </c>
      <c r="AC3922" t="n">
        <v>180</v>
      </c>
      <c r="AD3922" t="n">
        <v>3</v>
      </c>
      <c r="AE3922" t="n">
        <v>3</v>
      </c>
      <c r="AF3922" t="n">
        <v>10</v>
      </c>
      <c r="AG3922" t="n">
        <v>10</v>
      </c>
      <c r="AH3922" t="n">
        <v>1</v>
      </c>
      <c r="AI3922" t="n">
        <v>1</v>
      </c>
      <c r="AJ3922" t="n">
        <v>3</v>
      </c>
      <c r="AK3922" t="n">
        <v>3</v>
      </c>
      <c r="AL3922" t="n">
        <v>6</v>
      </c>
      <c r="AM3922" t="n">
        <v>6</v>
      </c>
      <c r="AN3922" t="n">
        <v>2</v>
      </c>
      <c r="AO3922" t="n">
        <v>2</v>
      </c>
      <c r="AP3922" t="n">
        <v>0</v>
      </c>
      <c r="AQ3922" t="n">
        <v>0</v>
      </c>
      <c r="AR3922" t="inlineStr">
        <is>
          <t>No</t>
        </is>
      </c>
      <c r="AS3922" t="inlineStr">
        <is>
          <t>Yes</t>
        </is>
      </c>
      <c r="AT3922">
        <f>HYPERLINK("http://catalog.hathitrust.org/Record/003351024","HathiTrust Record")</f>
        <v/>
      </c>
      <c r="AU3922">
        <f>HYPERLINK("https://creighton-primo.hosted.exlibrisgroup.com/primo-explore/search?tab=default_tab&amp;search_scope=EVERYTHING&amp;vid=01CRU&amp;lang=en_US&amp;offset=0&amp;query=any,contains,991003505299702656","Catalog Record")</f>
        <v/>
      </c>
      <c r="AV3922">
        <f>HYPERLINK("http://www.worldcat.org/oclc/36629940","WorldCat Record")</f>
        <v/>
      </c>
      <c r="AW3922" t="inlineStr">
        <is>
          <t>612045:eng</t>
        </is>
      </c>
      <c r="AX3922" t="inlineStr">
        <is>
          <t>36629940</t>
        </is>
      </c>
      <c r="AY3922" t="inlineStr">
        <is>
          <t>991003505299702656</t>
        </is>
      </c>
      <c r="AZ3922" t="inlineStr">
        <is>
          <t>991003505299702656</t>
        </is>
      </c>
      <c r="BA3922" t="inlineStr">
        <is>
          <t>2263507480002656</t>
        </is>
      </c>
      <c r="BB3922" t="inlineStr">
        <is>
          <t>BOOK</t>
        </is>
      </c>
      <c r="BD3922" t="inlineStr">
        <is>
          <t>9780313304118</t>
        </is>
      </c>
      <c r="BE3922" t="inlineStr">
        <is>
          <t>32285004314406</t>
        </is>
      </c>
      <c r="BF3922" t="inlineStr">
        <is>
          <t>893336559</t>
        </is>
      </c>
    </row>
    <row r="3923">
      <c r="A3923" t="inlineStr">
        <is>
          <t>No</t>
        </is>
      </c>
      <c r="B3923" t="inlineStr">
        <is>
          <t>CURAL</t>
        </is>
      </c>
      <c r="C3923" t="inlineStr">
        <is>
          <t>SHELVES</t>
        </is>
      </c>
      <c r="D3923" t="inlineStr">
        <is>
          <t>PR888.F3 H5 1979</t>
        </is>
      </c>
      <c r="E3923" t="inlineStr">
        <is>
          <t>0                      PR 0888000F  3                  H  5           1979</t>
        </is>
      </c>
      <c r="F3923" t="inlineStr">
        <is>
          <t>Shadows of imagination : the fantasies of C. S. Lewis, J. R. R. Tolkien, and Charles Williams / edited by Mark R. Hillegas ; with an afterword on J. R. R. Tolkien's The silmarillion by Pete Kreeft.</t>
        </is>
      </c>
      <c r="H3923" t="inlineStr">
        <is>
          <t>No</t>
        </is>
      </c>
      <c r="I3923" t="inlineStr">
        <is>
          <t>1</t>
        </is>
      </c>
      <c r="J3923" t="inlineStr">
        <is>
          <t>No</t>
        </is>
      </c>
      <c r="K3923" t="inlineStr">
        <is>
          <t>No</t>
        </is>
      </c>
      <c r="L3923" t="inlineStr">
        <is>
          <t>0</t>
        </is>
      </c>
      <c r="M3923" t="inlineStr">
        <is>
          <t>Hillegas, Mark R. (Mark Robert), 1926-</t>
        </is>
      </c>
      <c r="N3923" t="inlineStr">
        <is>
          <t>Carbondale : Southern Illinois University Press, c1979.</t>
        </is>
      </c>
      <c r="O3923" t="inlineStr">
        <is>
          <t>1979</t>
        </is>
      </c>
      <c r="P3923" t="inlineStr">
        <is>
          <t>New ed.</t>
        </is>
      </c>
      <c r="Q3923" t="inlineStr">
        <is>
          <t>eng</t>
        </is>
      </c>
      <c r="R3923" t="inlineStr">
        <is>
          <t>ilu</t>
        </is>
      </c>
      <c r="S3923" t="inlineStr">
        <is>
          <t>Crosscurrents/modern critiques</t>
        </is>
      </c>
      <c r="T3923" t="inlineStr">
        <is>
          <t xml:space="preserve">PR </t>
        </is>
      </c>
      <c r="U3923" t="n">
        <v>1</v>
      </c>
      <c r="V3923" t="n">
        <v>1</v>
      </c>
      <c r="W3923" t="inlineStr">
        <is>
          <t>2009-02-25</t>
        </is>
      </c>
      <c r="X3923" t="inlineStr">
        <is>
          <t>2009-02-25</t>
        </is>
      </c>
      <c r="Y3923" t="inlineStr">
        <is>
          <t>1991-09-12</t>
        </is>
      </c>
      <c r="Z3923" t="inlineStr">
        <is>
          <t>1991-09-12</t>
        </is>
      </c>
      <c r="AA3923" t="n">
        <v>506</v>
      </c>
      <c r="AB3923" t="n">
        <v>447</v>
      </c>
      <c r="AC3923" t="n">
        <v>1299</v>
      </c>
      <c r="AD3923" t="n">
        <v>4</v>
      </c>
      <c r="AE3923" t="n">
        <v>12</v>
      </c>
      <c r="AF3923" t="n">
        <v>20</v>
      </c>
      <c r="AG3923" t="n">
        <v>56</v>
      </c>
      <c r="AH3923" t="n">
        <v>8</v>
      </c>
      <c r="AI3923" t="n">
        <v>24</v>
      </c>
      <c r="AJ3923" t="n">
        <v>5</v>
      </c>
      <c r="AK3923" t="n">
        <v>10</v>
      </c>
      <c r="AL3923" t="n">
        <v>12</v>
      </c>
      <c r="AM3923" t="n">
        <v>26</v>
      </c>
      <c r="AN3923" t="n">
        <v>2</v>
      </c>
      <c r="AO3923" t="n">
        <v>10</v>
      </c>
      <c r="AP3923" t="n">
        <v>0</v>
      </c>
      <c r="AQ3923" t="n">
        <v>0</v>
      </c>
      <c r="AR3923" t="inlineStr">
        <is>
          <t>No</t>
        </is>
      </c>
      <c r="AS3923" t="inlineStr">
        <is>
          <t>Yes</t>
        </is>
      </c>
      <c r="AT3923">
        <f>HYPERLINK("http://catalog.hathitrust.org/Record/000256094","HathiTrust Record")</f>
        <v/>
      </c>
      <c r="AU3923">
        <f>HYPERLINK("https://creighton-primo.hosted.exlibrisgroup.com/primo-explore/search?tab=default_tab&amp;search_scope=EVERYTHING&amp;vid=01CRU&amp;lang=en_US&amp;offset=0&amp;query=any,contains,991004654209702656","Catalog Record")</f>
        <v/>
      </c>
      <c r="AV3923">
        <f>HYPERLINK("http://www.worldcat.org/oclc/4494808","WorldCat Record")</f>
        <v/>
      </c>
      <c r="AW3923" t="inlineStr">
        <is>
          <t>151050562:eng</t>
        </is>
      </c>
      <c r="AX3923" t="inlineStr">
        <is>
          <t>4494808</t>
        </is>
      </c>
      <c r="AY3923" t="inlineStr">
        <is>
          <t>991004654209702656</t>
        </is>
      </c>
      <c r="AZ3923" t="inlineStr">
        <is>
          <t>991004654209702656</t>
        </is>
      </c>
      <c r="BA3923" t="inlineStr">
        <is>
          <t>2265291200002656</t>
        </is>
      </c>
      <c r="BB3923" t="inlineStr">
        <is>
          <t>BOOK</t>
        </is>
      </c>
      <c r="BD3923" t="inlineStr">
        <is>
          <t>9780809308972</t>
        </is>
      </c>
      <c r="BE3923" t="inlineStr">
        <is>
          <t>32285000758168</t>
        </is>
      </c>
      <c r="BF3923" t="inlineStr">
        <is>
          <t>893337962</t>
        </is>
      </c>
    </row>
    <row r="3924">
      <c r="A3924" t="inlineStr">
        <is>
          <t>No</t>
        </is>
      </c>
      <c r="B3924" t="inlineStr">
        <is>
          <t>CURAL</t>
        </is>
      </c>
      <c r="C3924" t="inlineStr">
        <is>
          <t>SHELVES</t>
        </is>
      </c>
      <c r="D3924" t="inlineStr">
        <is>
          <t>PR888.F3 R67 1984</t>
        </is>
      </c>
      <c r="E3924" t="inlineStr">
        <is>
          <t>0                      PR 0888000F  3                  R  67          1984</t>
        </is>
      </c>
      <c r="F3924" t="inlineStr">
        <is>
          <t>The politics of fantasy, C.S. Lewis and J.R.R. Tolkien / by Lee D. Rossi.</t>
        </is>
      </c>
      <c r="H3924" t="inlineStr">
        <is>
          <t>No</t>
        </is>
      </c>
      <c r="I3924" t="inlineStr">
        <is>
          <t>1</t>
        </is>
      </c>
      <c r="J3924" t="inlineStr">
        <is>
          <t>No</t>
        </is>
      </c>
      <c r="K3924" t="inlineStr">
        <is>
          <t>No</t>
        </is>
      </c>
      <c r="L3924" t="inlineStr">
        <is>
          <t>0</t>
        </is>
      </c>
      <c r="M3924" t="inlineStr">
        <is>
          <t>Rossi, Lee D.</t>
        </is>
      </c>
      <c r="N3924" t="inlineStr">
        <is>
          <t>Ann Arbor, Mich. : UMI Research Press, c1984.</t>
        </is>
      </c>
      <c r="O3924" t="inlineStr">
        <is>
          <t>1984</t>
        </is>
      </c>
      <c r="Q3924" t="inlineStr">
        <is>
          <t>eng</t>
        </is>
      </c>
      <c r="R3924" t="inlineStr">
        <is>
          <t>miu</t>
        </is>
      </c>
      <c r="S3924" t="inlineStr">
        <is>
          <t>Studies in speculative fiction ; no. 10</t>
        </is>
      </c>
      <c r="T3924" t="inlineStr">
        <is>
          <t xml:space="preserve">PR </t>
        </is>
      </c>
      <c r="U3924" t="n">
        <v>3</v>
      </c>
      <c r="V3924" t="n">
        <v>3</v>
      </c>
      <c r="W3924" t="inlineStr">
        <is>
          <t>2009-02-25</t>
        </is>
      </c>
      <c r="X3924" t="inlineStr">
        <is>
          <t>2009-02-25</t>
        </is>
      </c>
      <c r="Y3924" t="inlineStr">
        <is>
          <t>1991-09-12</t>
        </is>
      </c>
      <c r="Z3924" t="inlineStr">
        <is>
          <t>1991-09-12</t>
        </is>
      </c>
      <c r="AA3924" t="n">
        <v>374</v>
      </c>
      <c r="AB3924" t="n">
        <v>301</v>
      </c>
      <c r="AC3924" t="n">
        <v>309</v>
      </c>
      <c r="AD3924" t="n">
        <v>4</v>
      </c>
      <c r="AE3924" t="n">
        <v>4</v>
      </c>
      <c r="AF3924" t="n">
        <v>17</v>
      </c>
      <c r="AG3924" t="n">
        <v>17</v>
      </c>
      <c r="AH3924" t="n">
        <v>5</v>
      </c>
      <c r="AI3924" t="n">
        <v>5</v>
      </c>
      <c r="AJ3924" t="n">
        <v>3</v>
      </c>
      <c r="AK3924" t="n">
        <v>3</v>
      </c>
      <c r="AL3924" t="n">
        <v>11</v>
      </c>
      <c r="AM3924" t="n">
        <v>11</v>
      </c>
      <c r="AN3924" t="n">
        <v>3</v>
      </c>
      <c r="AO3924" t="n">
        <v>3</v>
      </c>
      <c r="AP3924" t="n">
        <v>0</v>
      </c>
      <c r="AQ3924" t="n">
        <v>0</v>
      </c>
      <c r="AR3924" t="inlineStr">
        <is>
          <t>No</t>
        </is>
      </c>
      <c r="AS3924" t="inlineStr">
        <is>
          <t>Yes</t>
        </is>
      </c>
      <c r="AT3924">
        <f>HYPERLINK("http://catalog.hathitrust.org/Record/000660371","HathiTrust Record")</f>
        <v/>
      </c>
      <c r="AU3924">
        <f>HYPERLINK("https://creighton-primo.hosted.exlibrisgroup.com/primo-explore/search?tab=default_tab&amp;search_scope=EVERYTHING&amp;vid=01CRU&amp;lang=en_US&amp;offset=0&amp;query=any,contains,991000483209702656","Catalog Record")</f>
        <v/>
      </c>
      <c r="AV3924">
        <f>HYPERLINK("http://www.worldcat.org/oclc/11067198","WorldCat Record")</f>
        <v/>
      </c>
      <c r="AW3924" t="inlineStr">
        <is>
          <t>2226028:eng</t>
        </is>
      </c>
      <c r="AX3924" t="inlineStr">
        <is>
          <t>11067198</t>
        </is>
      </c>
      <c r="AY3924" t="inlineStr">
        <is>
          <t>991000483209702656</t>
        </is>
      </c>
      <c r="AZ3924" t="inlineStr">
        <is>
          <t>991000483209702656</t>
        </is>
      </c>
      <c r="BA3924" t="inlineStr">
        <is>
          <t>2261002550002656</t>
        </is>
      </c>
      <c r="BB3924" t="inlineStr">
        <is>
          <t>BOOK</t>
        </is>
      </c>
      <c r="BD3924" t="inlineStr">
        <is>
          <t>9780835715973</t>
        </is>
      </c>
      <c r="BE3924" t="inlineStr">
        <is>
          <t>32285000758176</t>
        </is>
      </c>
      <c r="BF3924" t="inlineStr">
        <is>
          <t>893407224</t>
        </is>
      </c>
    </row>
    <row r="3925">
      <c r="A3925" t="inlineStr">
        <is>
          <t>No</t>
        </is>
      </c>
      <c r="B3925" t="inlineStr">
        <is>
          <t>CURAL</t>
        </is>
      </c>
      <c r="C3925" t="inlineStr">
        <is>
          <t>SHELVES</t>
        </is>
      </c>
      <c r="D3925" t="inlineStr">
        <is>
          <t>PR888.F45 K56 2005</t>
        </is>
      </c>
      <c r="E3925" t="inlineStr">
        <is>
          <t>0                      PR 0888000F  45                 K  56          2005</t>
        </is>
      </c>
      <c r="F3925" t="inlineStr">
        <is>
          <t>The Victorian woman question in contemporary feminist fiction / Jeannette King.</t>
        </is>
      </c>
      <c r="H3925" t="inlineStr">
        <is>
          <t>No</t>
        </is>
      </c>
      <c r="I3925" t="inlineStr">
        <is>
          <t>1</t>
        </is>
      </c>
      <c r="J3925" t="inlineStr">
        <is>
          <t>No</t>
        </is>
      </c>
      <c r="K3925" t="inlineStr">
        <is>
          <t>No</t>
        </is>
      </c>
      <c r="L3925" t="inlineStr">
        <is>
          <t>0</t>
        </is>
      </c>
      <c r="M3925" t="inlineStr">
        <is>
          <t>King, Jeannette.</t>
        </is>
      </c>
      <c r="N3925" t="inlineStr">
        <is>
          <t>Houndmills, Basingstoke, Hampshire ; New York, N.Y. : Palgrave Macmillan, 2005.</t>
        </is>
      </c>
      <c r="O3925" t="inlineStr">
        <is>
          <t>2005</t>
        </is>
      </c>
      <c r="Q3925" t="inlineStr">
        <is>
          <t>eng</t>
        </is>
      </c>
      <c r="R3925" t="inlineStr">
        <is>
          <t>enk</t>
        </is>
      </c>
      <c r="T3925" t="inlineStr">
        <is>
          <t xml:space="preserve">PR </t>
        </is>
      </c>
      <c r="U3925" t="n">
        <v>1</v>
      </c>
      <c r="V3925" t="n">
        <v>1</v>
      </c>
      <c r="W3925" t="inlineStr">
        <is>
          <t>2006-06-20</t>
        </is>
      </c>
      <c r="X3925" t="inlineStr">
        <is>
          <t>2006-06-20</t>
        </is>
      </c>
      <c r="Y3925" t="inlineStr">
        <is>
          <t>2006-06-20</t>
        </is>
      </c>
      <c r="Z3925" t="inlineStr">
        <is>
          <t>2006-06-20</t>
        </is>
      </c>
      <c r="AA3925" t="n">
        <v>471</v>
      </c>
      <c r="AB3925" t="n">
        <v>359</v>
      </c>
      <c r="AC3925" t="n">
        <v>385</v>
      </c>
      <c r="AD3925" t="n">
        <v>2</v>
      </c>
      <c r="AE3925" t="n">
        <v>3</v>
      </c>
      <c r="AF3925" t="n">
        <v>21</v>
      </c>
      <c r="AG3925" t="n">
        <v>24</v>
      </c>
      <c r="AH3925" t="n">
        <v>9</v>
      </c>
      <c r="AI3925" t="n">
        <v>11</v>
      </c>
      <c r="AJ3925" t="n">
        <v>5</v>
      </c>
      <c r="AK3925" t="n">
        <v>5</v>
      </c>
      <c r="AL3925" t="n">
        <v>13</v>
      </c>
      <c r="AM3925" t="n">
        <v>15</v>
      </c>
      <c r="AN3925" t="n">
        <v>1</v>
      </c>
      <c r="AO3925" t="n">
        <v>2</v>
      </c>
      <c r="AP3925" t="n">
        <v>0</v>
      </c>
      <c r="AQ3925" t="n">
        <v>0</v>
      </c>
      <c r="AR3925" t="inlineStr">
        <is>
          <t>No</t>
        </is>
      </c>
      <c r="AS3925" t="inlineStr">
        <is>
          <t>No</t>
        </is>
      </c>
      <c r="AU3925">
        <f>HYPERLINK("https://creighton-primo.hosted.exlibrisgroup.com/primo-explore/search?tab=default_tab&amp;search_scope=EVERYTHING&amp;vid=01CRU&amp;lang=en_US&amp;offset=0&amp;query=any,contains,991004778579702656","Catalog Record")</f>
        <v/>
      </c>
      <c r="AV3925">
        <f>HYPERLINK("http://www.worldcat.org/oclc/57235693","WorldCat Record")</f>
        <v/>
      </c>
      <c r="AW3925" t="inlineStr">
        <is>
          <t>1101906:eng</t>
        </is>
      </c>
      <c r="AX3925" t="inlineStr">
        <is>
          <t>57235693</t>
        </is>
      </c>
      <c r="AY3925" t="inlineStr">
        <is>
          <t>991004778579702656</t>
        </is>
      </c>
      <c r="AZ3925" t="inlineStr">
        <is>
          <t>991004778579702656</t>
        </is>
      </c>
      <c r="BA3925" t="inlineStr">
        <is>
          <t>2269433290002656</t>
        </is>
      </c>
      <c r="BB3925" t="inlineStr">
        <is>
          <t>BOOK</t>
        </is>
      </c>
      <c r="BD3925" t="inlineStr">
        <is>
          <t>9781403917270</t>
        </is>
      </c>
      <c r="BE3925" t="inlineStr">
        <is>
          <t>32285005191324</t>
        </is>
      </c>
      <c r="BF3925" t="inlineStr">
        <is>
          <t>893612766</t>
        </is>
      </c>
    </row>
    <row r="3926">
      <c r="A3926" t="inlineStr">
        <is>
          <t>No</t>
        </is>
      </c>
      <c r="B3926" t="inlineStr">
        <is>
          <t>CURAL</t>
        </is>
      </c>
      <c r="C3926" t="inlineStr">
        <is>
          <t>SHELVES</t>
        </is>
      </c>
      <c r="D3926" t="inlineStr">
        <is>
          <t>PR888.H4 O3</t>
        </is>
      </c>
      <c r="E3926" t="inlineStr">
        <is>
          <t>0                      PR 0888000H  4                  O  3</t>
        </is>
      </c>
      <c r="F3926" t="inlineStr">
        <is>
          <t>The vanishing hero; studies in novelists of the twenties.</t>
        </is>
      </c>
      <c r="H3926" t="inlineStr">
        <is>
          <t>No</t>
        </is>
      </c>
      <c r="I3926" t="inlineStr">
        <is>
          <t>1</t>
        </is>
      </c>
      <c r="J3926" t="inlineStr">
        <is>
          <t>No</t>
        </is>
      </c>
      <c r="K3926" t="inlineStr">
        <is>
          <t>No</t>
        </is>
      </c>
      <c r="L3926" t="inlineStr">
        <is>
          <t>0</t>
        </is>
      </c>
      <c r="M3926" t="inlineStr">
        <is>
          <t>O'Faoláin, Seán, 1900-1991</t>
        </is>
      </c>
      <c r="N3926" t="inlineStr">
        <is>
          <t>London, Eyre &amp; Spottiswoode, 1956.</t>
        </is>
      </c>
      <c r="O3926" t="inlineStr">
        <is>
          <t>1956</t>
        </is>
      </c>
      <c r="Q3926" t="inlineStr">
        <is>
          <t>eng</t>
        </is>
      </c>
      <c r="R3926" t="inlineStr">
        <is>
          <t>enk</t>
        </is>
      </c>
      <c r="T3926" t="inlineStr">
        <is>
          <t xml:space="preserve">PR </t>
        </is>
      </c>
      <c r="U3926" t="n">
        <v>3</v>
      </c>
      <c r="V3926" t="n">
        <v>3</v>
      </c>
      <c r="W3926" t="inlineStr">
        <is>
          <t>2000-04-27</t>
        </is>
      </c>
      <c r="X3926" t="inlineStr">
        <is>
          <t>2000-04-27</t>
        </is>
      </c>
      <c r="Y3926" t="inlineStr">
        <is>
          <t>1997-09-15</t>
        </is>
      </c>
      <c r="Z3926" t="inlineStr">
        <is>
          <t>1997-09-15</t>
        </is>
      </c>
      <c r="AA3926" t="n">
        <v>344</v>
      </c>
      <c r="AB3926" t="n">
        <v>211</v>
      </c>
      <c r="AC3926" t="n">
        <v>1098</v>
      </c>
      <c r="AD3926" t="n">
        <v>3</v>
      </c>
      <c r="AE3926" t="n">
        <v>11</v>
      </c>
      <c r="AF3926" t="n">
        <v>15</v>
      </c>
      <c r="AG3926" t="n">
        <v>45</v>
      </c>
      <c r="AH3926" t="n">
        <v>4</v>
      </c>
      <c r="AI3926" t="n">
        <v>15</v>
      </c>
      <c r="AJ3926" t="n">
        <v>3</v>
      </c>
      <c r="AK3926" t="n">
        <v>9</v>
      </c>
      <c r="AL3926" t="n">
        <v>10</v>
      </c>
      <c r="AM3926" t="n">
        <v>23</v>
      </c>
      <c r="AN3926" t="n">
        <v>2</v>
      </c>
      <c r="AO3926" t="n">
        <v>9</v>
      </c>
      <c r="AP3926" t="n">
        <v>0</v>
      </c>
      <c r="AQ3926" t="n">
        <v>0</v>
      </c>
      <c r="AR3926" t="inlineStr">
        <is>
          <t>No</t>
        </is>
      </c>
      <c r="AS3926" t="inlineStr">
        <is>
          <t>Yes</t>
        </is>
      </c>
      <c r="AT3926">
        <f>HYPERLINK("http://catalog.hathitrust.org/Record/001016744","HathiTrust Record")</f>
        <v/>
      </c>
      <c r="AU3926">
        <f>HYPERLINK("https://creighton-primo.hosted.exlibrisgroup.com/primo-explore/search?tab=default_tab&amp;search_scope=EVERYTHING&amp;vid=01CRU&amp;lang=en_US&amp;offset=0&amp;query=any,contains,991003499979702656","Catalog Record")</f>
        <v/>
      </c>
      <c r="AV3926">
        <f>HYPERLINK("http://www.worldcat.org/oclc/1052574","WorldCat Record")</f>
        <v/>
      </c>
      <c r="AW3926" t="inlineStr">
        <is>
          <t>196806095:eng</t>
        </is>
      </c>
      <c r="AX3926" t="inlineStr">
        <is>
          <t>1052574</t>
        </is>
      </c>
      <c r="AY3926" t="inlineStr">
        <is>
          <t>991003499979702656</t>
        </is>
      </c>
      <c r="AZ3926" t="inlineStr">
        <is>
          <t>991003499979702656</t>
        </is>
      </c>
      <c r="BA3926" t="inlineStr">
        <is>
          <t>2270195330002656</t>
        </is>
      </c>
      <c r="BB3926" t="inlineStr">
        <is>
          <t>BOOK</t>
        </is>
      </c>
      <c r="BE3926" t="inlineStr">
        <is>
          <t>32285003217055</t>
        </is>
      </c>
      <c r="BF3926" t="inlineStr">
        <is>
          <t>893330353</t>
        </is>
      </c>
    </row>
    <row r="3927">
      <c r="A3927" t="inlineStr">
        <is>
          <t>No</t>
        </is>
      </c>
      <c r="B3927" t="inlineStr">
        <is>
          <t>CURAL</t>
        </is>
      </c>
      <c r="C3927" t="inlineStr">
        <is>
          <t>SHELVES</t>
        </is>
      </c>
      <c r="D3927" t="inlineStr">
        <is>
          <t>PR888.H85 C65 2003</t>
        </is>
      </c>
      <c r="E3927" t="inlineStr">
        <is>
          <t>0                      PR 0888000H  85                 C  65          2003</t>
        </is>
      </c>
      <c r="F3927" t="inlineStr">
        <is>
          <t>Dark humor and social satire in the modern British novel / by Lisa Colletta.</t>
        </is>
      </c>
      <c r="H3927" t="inlineStr">
        <is>
          <t>No</t>
        </is>
      </c>
      <c r="I3927" t="inlineStr">
        <is>
          <t>1</t>
        </is>
      </c>
      <c r="J3927" t="inlineStr">
        <is>
          <t>No</t>
        </is>
      </c>
      <c r="K3927" t="inlineStr">
        <is>
          <t>No</t>
        </is>
      </c>
      <c r="L3927" t="inlineStr">
        <is>
          <t>0</t>
        </is>
      </c>
      <c r="M3927" t="inlineStr">
        <is>
          <t>Colletta, Lisa.</t>
        </is>
      </c>
      <c r="N3927" t="inlineStr">
        <is>
          <t>Houndmills, Basingstoke, Hampshire ; New York : Palgrave Macmillan, 2003.</t>
        </is>
      </c>
      <c r="O3927" t="inlineStr">
        <is>
          <t>2003</t>
        </is>
      </c>
      <c r="P3927" t="inlineStr">
        <is>
          <t>1st ed.</t>
        </is>
      </c>
      <c r="Q3927" t="inlineStr">
        <is>
          <t>eng</t>
        </is>
      </c>
      <c r="R3927" t="inlineStr">
        <is>
          <t>enk</t>
        </is>
      </c>
      <c r="T3927" t="inlineStr">
        <is>
          <t xml:space="preserve">PR </t>
        </is>
      </c>
      <c r="U3927" t="n">
        <v>1</v>
      </c>
      <c r="V3927" t="n">
        <v>1</v>
      </c>
      <c r="W3927" t="inlineStr">
        <is>
          <t>2005-01-25</t>
        </is>
      </c>
      <c r="X3927" t="inlineStr">
        <is>
          <t>2005-01-25</t>
        </is>
      </c>
      <c r="Y3927" t="inlineStr">
        <is>
          <t>2005-01-25</t>
        </is>
      </c>
      <c r="Z3927" t="inlineStr">
        <is>
          <t>2005-01-25</t>
        </is>
      </c>
      <c r="AA3927" t="n">
        <v>285</v>
      </c>
      <c r="AB3927" t="n">
        <v>239</v>
      </c>
      <c r="AC3927" t="n">
        <v>283</v>
      </c>
      <c r="AD3927" t="n">
        <v>3</v>
      </c>
      <c r="AE3927" t="n">
        <v>3</v>
      </c>
      <c r="AF3927" t="n">
        <v>14</v>
      </c>
      <c r="AG3927" t="n">
        <v>14</v>
      </c>
      <c r="AH3927" t="n">
        <v>3</v>
      </c>
      <c r="AI3927" t="n">
        <v>3</v>
      </c>
      <c r="AJ3927" t="n">
        <v>6</v>
      </c>
      <c r="AK3927" t="n">
        <v>6</v>
      </c>
      <c r="AL3927" t="n">
        <v>7</v>
      </c>
      <c r="AM3927" t="n">
        <v>7</v>
      </c>
      <c r="AN3927" t="n">
        <v>2</v>
      </c>
      <c r="AO3927" t="n">
        <v>2</v>
      </c>
      <c r="AP3927" t="n">
        <v>0</v>
      </c>
      <c r="AQ3927" t="n">
        <v>0</v>
      </c>
      <c r="AR3927" t="inlineStr">
        <is>
          <t>No</t>
        </is>
      </c>
      <c r="AS3927" t="inlineStr">
        <is>
          <t>No</t>
        </is>
      </c>
      <c r="AU3927">
        <f>HYPERLINK("https://creighton-primo.hosted.exlibrisgroup.com/primo-explore/search?tab=default_tab&amp;search_scope=EVERYTHING&amp;vid=01CRU&amp;lang=en_US&amp;offset=0&amp;query=any,contains,991004412249702656","Catalog Record")</f>
        <v/>
      </c>
      <c r="AV3927">
        <f>HYPERLINK("http://www.worldcat.org/oclc/52806057","WorldCat Record")</f>
        <v/>
      </c>
      <c r="AW3927" t="inlineStr">
        <is>
          <t>763417:eng</t>
        </is>
      </c>
      <c r="AX3927" t="inlineStr">
        <is>
          <t>52806057</t>
        </is>
      </c>
      <c r="AY3927" t="inlineStr">
        <is>
          <t>991004412249702656</t>
        </is>
      </c>
      <c r="AZ3927" t="inlineStr">
        <is>
          <t>991004412249702656</t>
        </is>
      </c>
      <c r="BA3927" t="inlineStr">
        <is>
          <t>2267587410002656</t>
        </is>
      </c>
      <c r="BB3927" t="inlineStr">
        <is>
          <t>BOOK</t>
        </is>
      </c>
      <c r="BD3927" t="inlineStr">
        <is>
          <t>9781403963659</t>
        </is>
      </c>
      <c r="BE3927" t="inlineStr">
        <is>
          <t>32285005022644</t>
        </is>
      </c>
      <c r="BF3927" t="inlineStr">
        <is>
          <t>893526067</t>
        </is>
      </c>
    </row>
    <row r="3928">
      <c r="A3928" t="inlineStr">
        <is>
          <t>No</t>
        </is>
      </c>
      <c r="B3928" t="inlineStr">
        <is>
          <t>CURAL</t>
        </is>
      </c>
      <c r="C3928" t="inlineStr">
        <is>
          <t>SHELVES</t>
        </is>
      </c>
      <c r="D3928" t="inlineStr">
        <is>
          <t>PR888.H85 S74 2001</t>
        </is>
      </c>
      <c r="E3928" t="inlineStr">
        <is>
          <t>0                      PR 0888000H  85                 S  74          2001</t>
        </is>
      </c>
      <c r="F3928" t="inlineStr">
        <is>
          <t>British women's comic fiction, 1890-1990 : not drowning, but laughing / Margaret D. Stetz.</t>
        </is>
      </c>
      <c r="H3928" t="inlineStr">
        <is>
          <t>No</t>
        </is>
      </c>
      <c r="I3928" t="inlineStr">
        <is>
          <t>1</t>
        </is>
      </c>
      <c r="J3928" t="inlineStr">
        <is>
          <t>No</t>
        </is>
      </c>
      <c r="K3928" t="inlineStr">
        <is>
          <t>No</t>
        </is>
      </c>
      <c r="L3928" t="inlineStr">
        <is>
          <t>0</t>
        </is>
      </c>
      <c r="M3928" t="inlineStr">
        <is>
          <t>Stetz, Margaret D. (Margaret Diane), 1953-</t>
        </is>
      </c>
      <c r="N3928" t="inlineStr">
        <is>
          <t>Aldershot, Hants, England ; Burlington, VT : Ashgate, c2001.</t>
        </is>
      </c>
      <c r="O3928" t="inlineStr">
        <is>
          <t>2001</t>
        </is>
      </c>
      <c r="Q3928" t="inlineStr">
        <is>
          <t>eng</t>
        </is>
      </c>
      <c r="R3928" t="inlineStr">
        <is>
          <t>enk</t>
        </is>
      </c>
      <c r="T3928" t="inlineStr">
        <is>
          <t xml:space="preserve">PR </t>
        </is>
      </c>
      <c r="U3928" t="n">
        <v>1</v>
      </c>
      <c r="V3928" t="n">
        <v>1</v>
      </c>
      <c r="W3928" t="inlineStr">
        <is>
          <t>2002-05-08</t>
        </is>
      </c>
      <c r="X3928" t="inlineStr">
        <is>
          <t>2002-05-08</t>
        </is>
      </c>
      <c r="Y3928" t="inlineStr">
        <is>
          <t>2002-04-30</t>
        </is>
      </c>
      <c r="Z3928" t="inlineStr">
        <is>
          <t>2002-04-30</t>
        </is>
      </c>
      <c r="AA3928" t="n">
        <v>269</v>
      </c>
      <c r="AB3928" t="n">
        <v>217</v>
      </c>
      <c r="AC3928" t="n">
        <v>224</v>
      </c>
      <c r="AD3928" t="n">
        <v>2</v>
      </c>
      <c r="AE3928" t="n">
        <v>2</v>
      </c>
      <c r="AF3928" t="n">
        <v>15</v>
      </c>
      <c r="AG3928" t="n">
        <v>15</v>
      </c>
      <c r="AH3928" t="n">
        <v>5</v>
      </c>
      <c r="AI3928" t="n">
        <v>5</v>
      </c>
      <c r="AJ3928" t="n">
        <v>6</v>
      </c>
      <c r="AK3928" t="n">
        <v>6</v>
      </c>
      <c r="AL3928" t="n">
        <v>9</v>
      </c>
      <c r="AM3928" t="n">
        <v>9</v>
      </c>
      <c r="AN3928" t="n">
        <v>1</v>
      </c>
      <c r="AO3928" t="n">
        <v>1</v>
      </c>
      <c r="AP3928" t="n">
        <v>0</v>
      </c>
      <c r="AQ3928" t="n">
        <v>0</v>
      </c>
      <c r="AR3928" t="inlineStr">
        <is>
          <t>No</t>
        </is>
      </c>
      <c r="AS3928" t="inlineStr">
        <is>
          <t>Yes</t>
        </is>
      </c>
      <c r="AT3928">
        <f>HYPERLINK("http://catalog.hathitrust.org/Record/004195161","HathiTrust Record")</f>
        <v/>
      </c>
      <c r="AU3928">
        <f>HYPERLINK("https://creighton-primo.hosted.exlibrisgroup.com/primo-explore/search?tab=default_tab&amp;search_scope=EVERYTHING&amp;vid=01CRU&amp;lang=en_US&amp;offset=0&amp;query=any,contains,991003776999702656","Catalog Record")</f>
        <v/>
      </c>
      <c r="AV3928">
        <f>HYPERLINK("http://www.worldcat.org/oclc/46507384","WorldCat Record")</f>
        <v/>
      </c>
      <c r="AW3928" t="inlineStr">
        <is>
          <t>35139808:eng</t>
        </is>
      </c>
      <c r="AX3928" t="inlineStr">
        <is>
          <t>46507384</t>
        </is>
      </c>
      <c r="AY3928" t="inlineStr">
        <is>
          <t>991003776999702656</t>
        </is>
      </c>
      <c r="AZ3928" t="inlineStr">
        <is>
          <t>991003776999702656</t>
        </is>
      </c>
      <c r="BA3928" t="inlineStr">
        <is>
          <t>2263273810002656</t>
        </is>
      </c>
      <c r="BB3928" t="inlineStr">
        <is>
          <t>BOOK</t>
        </is>
      </c>
      <c r="BD3928" t="inlineStr">
        <is>
          <t>9780754603900</t>
        </is>
      </c>
      <c r="BE3928" t="inlineStr">
        <is>
          <t>32285004484548</t>
        </is>
      </c>
      <c r="BF3928" t="inlineStr">
        <is>
          <t>893718067</t>
        </is>
      </c>
    </row>
    <row r="3929">
      <c r="A3929" t="inlineStr">
        <is>
          <t>No</t>
        </is>
      </c>
      <c r="B3929" t="inlineStr">
        <is>
          <t>CURAL</t>
        </is>
      </c>
      <c r="C3929" t="inlineStr">
        <is>
          <t>SHELVES</t>
        </is>
      </c>
      <c r="D3929" t="inlineStr">
        <is>
          <t>PR888.M63 G67 2001</t>
        </is>
      </c>
      <c r="E3929" t="inlineStr">
        <is>
          <t>0                      PR 0888000M  63                 G  67          2001</t>
        </is>
      </c>
      <c r="F3929" t="inlineStr">
        <is>
          <t>Gothic modernisms / edited by Andrew Smith and Jeff Wallace.</t>
        </is>
      </c>
      <c r="H3929" t="inlineStr">
        <is>
          <t>No</t>
        </is>
      </c>
      <c r="I3929" t="inlineStr">
        <is>
          <t>1</t>
        </is>
      </c>
      <c r="J3929" t="inlineStr">
        <is>
          <t>No</t>
        </is>
      </c>
      <c r="K3929" t="inlineStr">
        <is>
          <t>No</t>
        </is>
      </c>
      <c r="L3929" t="inlineStr">
        <is>
          <t>0</t>
        </is>
      </c>
      <c r="N3929" t="inlineStr">
        <is>
          <t>New York, N.Y. : Palgrave, 2001.</t>
        </is>
      </c>
      <c r="O3929" t="inlineStr">
        <is>
          <t>2001</t>
        </is>
      </c>
      <c r="Q3929" t="inlineStr">
        <is>
          <t>eng</t>
        </is>
      </c>
      <c r="R3929" t="inlineStr">
        <is>
          <t>nyu</t>
        </is>
      </c>
      <c r="T3929" t="inlineStr">
        <is>
          <t xml:space="preserve">PR </t>
        </is>
      </c>
      <c r="U3929" t="n">
        <v>4</v>
      </c>
      <c r="V3929" t="n">
        <v>4</v>
      </c>
      <c r="W3929" t="inlineStr">
        <is>
          <t>2007-12-01</t>
        </is>
      </c>
      <c r="X3929" t="inlineStr">
        <is>
          <t>2007-12-01</t>
        </is>
      </c>
      <c r="Y3929" t="inlineStr">
        <is>
          <t>2002-04-29</t>
        </is>
      </c>
      <c r="Z3929" t="inlineStr">
        <is>
          <t>2002-04-29</t>
        </is>
      </c>
      <c r="AA3929" t="n">
        <v>336</v>
      </c>
      <c r="AB3929" t="n">
        <v>237</v>
      </c>
      <c r="AC3929" t="n">
        <v>265</v>
      </c>
      <c r="AD3929" t="n">
        <v>2</v>
      </c>
      <c r="AE3929" t="n">
        <v>2</v>
      </c>
      <c r="AF3929" t="n">
        <v>14</v>
      </c>
      <c r="AG3929" t="n">
        <v>14</v>
      </c>
      <c r="AH3929" t="n">
        <v>4</v>
      </c>
      <c r="AI3929" t="n">
        <v>4</v>
      </c>
      <c r="AJ3929" t="n">
        <v>5</v>
      </c>
      <c r="AK3929" t="n">
        <v>5</v>
      </c>
      <c r="AL3929" t="n">
        <v>9</v>
      </c>
      <c r="AM3929" t="n">
        <v>9</v>
      </c>
      <c r="AN3929" t="n">
        <v>1</v>
      </c>
      <c r="AO3929" t="n">
        <v>1</v>
      </c>
      <c r="AP3929" t="n">
        <v>0</v>
      </c>
      <c r="AQ3929" t="n">
        <v>0</v>
      </c>
      <c r="AR3929" t="inlineStr">
        <is>
          <t>No</t>
        </is>
      </c>
      <c r="AS3929" t="inlineStr">
        <is>
          <t>No</t>
        </is>
      </c>
      <c r="AU3929">
        <f>HYPERLINK("https://creighton-primo.hosted.exlibrisgroup.com/primo-explore/search?tab=default_tab&amp;search_scope=EVERYTHING&amp;vid=01CRU&amp;lang=en_US&amp;offset=0&amp;query=any,contains,991003776919702656","Catalog Record")</f>
        <v/>
      </c>
      <c r="AV3929">
        <f>HYPERLINK("http://www.worldcat.org/oclc/45667680","WorldCat Record")</f>
        <v/>
      </c>
      <c r="AW3929" t="inlineStr">
        <is>
          <t>766235515:eng</t>
        </is>
      </c>
      <c r="AX3929" t="inlineStr">
        <is>
          <t>45667680</t>
        </is>
      </c>
      <c r="AY3929" t="inlineStr">
        <is>
          <t>991003776919702656</t>
        </is>
      </c>
      <c r="AZ3929" t="inlineStr">
        <is>
          <t>991003776919702656</t>
        </is>
      </c>
      <c r="BA3929" t="inlineStr">
        <is>
          <t>2262705930002656</t>
        </is>
      </c>
      <c r="BB3929" t="inlineStr">
        <is>
          <t>BOOK</t>
        </is>
      </c>
      <c r="BD3929" t="inlineStr">
        <is>
          <t>9780333918739</t>
        </is>
      </c>
      <c r="BE3929" t="inlineStr">
        <is>
          <t>32285004484217</t>
        </is>
      </c>
      <c r="BF3929" t="inlineStr">
        <is>
          <t>893535622</t>
        </is>
      </c>
    </row>
    <row r="3930">
      <c r="A3930" t="inlineStr">
        <is>
          <t>No</t>
        </is>
      </c>
      <c r="B3930" t="inlineStr">
        <is>
          <t>CURAL</t>
        </is>
      </c>
      <c r="C3930" t="inlineStr">
        <is>
          <t>SHELVES</t>
        </is>
      </c>
      <c r="D3930" t="inlineStr">
        <is>
          <t>PR888.P6 M37 2001</t>
        </is>
      </c>
      <c r="E3930" t="inlineStr">
        <is>
          <t>0                      PR 0888000P  6                  M  37          2001</t>
        </is>
      </c>
      <c r="F3930" t="inlineStr">
        <is>
          <t>Political and social issues in British women's fiction, 1928-1968 / Elizabeth Maslen.</t>
        </is>
      </c>
      <c r="H3930" t="inlineStr">
        <is>
          <t>No</t>
        </is>
      </c>
      <c r="I3930" t="inlineStr">
        <is>
          <t>1</t>
        </is>
      </c>
      <c r="J3930" t="inlineStr">
        <is>
          <t>No</t>
        </is>
      </c>
      <c r="K3930" t="inlineStr">
        <is>
          <t>No</t>
        </is>
      </c>
      <c r="L3930" t="inlineStr">
        <is>
          <t>0</t>
        </is>
      </c>
      <c r="M3930" t="inlineStr">
        <is>
          <t>Maslen, Elizabeth.</t>
        </is>
      </c>
      <c r="N3930" t="inlineStr">
        <is>
          <t>Houndmills, Basingstoke [England] ; New York : Palgrave, c2001.</t>
        </is>
      </c>
      <c r="O3930" t="inlineStr">
        <is>
          <t>2001</t>
        </is>
      </c>
      <c r="Q3930" t="inlineStr">
        <is>
          <t>eng</t>
        </is>
      </c>
      <c r="R3930" t="inlineStr">
        <is>
          <t>enk</t>
        </is>
      </c>
      <c r="T3930" t="inlineStr">
        <is>
          <t xml:space="preserve">PR </t>
        </is>
      </c>
      <c r="U3930" t="n">
        <v>1</v>
      </c>
      <c r="V3930" t="n">
        <v>1</v>
      </c>
      <c r="W3930" t="inlineStr">
        <is>
          <t>2002-12-03</t>
        </is>
      </c>
      <c r="X3930" t="inlineStr">
        <is>
          <t>2002-12-03</t>
        </is>
      </c>
      <c r="Y3930" t="inlineStr">
        <is>
          <t>2002-12-03</t>
        </is>
      </c>
      <c r="Z3930" t="inlineStr">
        <is>
          <t>2002-12-03</t>
        </is>
      </c>
      <c r="AA3930" t="n">
        <v>321</v>
      </c>
      <c r="AB3930" t="n">
        <v>238</v>
      </c>
      <c r="AC3930" t="n">
        <v>258</v>
      </c>
      <c r="AD3930" t="n">
        <v>2</v>
      </c>
      <c r="AE3930" t="n">
        <v>2</v>
      </c>
      <c r="AF3930" t="n">
        <v>13</v>
      </c>
      <c r="AG3930" t="n">
        <v>13</v>
      </c>
      <c r="AH3930" t="n">
        <v>5</v>
      </c>
      <c r="AI3930" t="n">
        <v>5</v>
      </c>
      <c r="AJ3930" t="n">
        <v>6</v>
      </c>
      <c r="AK3930" t="n">
        <v>6</v>
      </c>
      <c r="AL3930" t="n">
        <v>7</v>
      </c>
      <c r="AM3930" t="n">
        <v>7</v>
      </c>
      <c r="AN3930" t="n">
        <v>1</v>
      </c>
      <c r="AO3930" t="n">
        <v>1</v>
      </c>
      <c r="AP3930" t="n">
        <v>0</v>
      </c>
      <c r="AQ3930" t="n">
        <v>0</v>
      </c>
      <c r="AR3930" t="inlineStr">
        <is>
          <t>No</t>
        </is>
      </c>
      <c r="AS3930" t="inlineStr">
        <is>
          <t>No</t>
        </is>
      </c>
      <c r="AU3930">
        <f>HYPERLINK("https://creighton-primo.hosted.exlibrisgroup.com/primo-explore/search?tab=default_tab&amp;search_scope=EVERYTHING&amp;vid=01CRU&amp;lang=en_US&amp;offset=0&amp;query=any,contains,991003920609702656","Catalog Record")</f>
        <v/>
      </c>
      <c r="AV3930">
        <f>HYPERLINK("http://www.worldcat.org/oclc/45283009","WorldCat Record")</f>
        <v/>
      </c>
      <c r="AW3930" t="inlineStr">
        <is>
          <t>34778044:eng</t>
        </is>
      </c>
      <c r="AX3930" t="inlineStr">
        <is>
          <t>45283009</t>
        </is>
      </c>
      <c r="AY3930" t="inlineStr">
        <is>
          <t>991003920609702656</t>
        </is>
      </c>
      <c r="AZ3930" t="inlineStr">
        <is>
          <t>991003920609702656</t>
        </is>
      </c>
      <c r="BA3930" t="inlineStr">
        <is>
          <t>2271960500002656</t>
        </is>
      </c>
      <c r="BB3930" t="inlineStr">
        <is>
          <t>BOOK</t>
        </is>
      </c>
      <c r="BD3930" t="inlineStr">
        <is>
          <t>9780333729533</t>
        </is>
      </c>
      <c r="BE3930" t="inlineStr">
        <is>
          <t>32285004666805</t>
        </is>
      </c>
      <c r="BF3930" t="inlineStr">
        <is>
          <t>893423154</t>
        </is>
      </c>
    </row>
    <row r="3931">
      <c r="A3931" t="inlineStr">
        <is>
          <t>No</t>
        </is>
      </c>
      <c r="B3931" t="inlineStr">
        <is>
          <t>CURAL</t>
        </is>
      </c>
      <c r="C3931" t="inlineStr">
        <is>
          <t>SHELVES</t>
        </is>
      </c>
      <c r="D3931" t="inlineStr">
        <is>
          <t>PR888.P6 P43 1991</t>
        </is>
      </c>
      <c r="E3931" t="inlineStr">
        <is>
          <t>0                      PR 0888000P  6                  P  43          1991</t>
        </is>
      </c>
      <c r="F3931" t="inlineStr">
        <is>
          <t>The politics of narration : James Joyce, William Faulkner, and Virginia Woolf / Richard Pearce.</t>
        </is>
      </c>
      <c r="H3931" t="inlineStr">
        <is>
          <t>No</t>
        </is>
      </c>
      <c r="I3931" t="inlineStr">
        <is>
          <t>1</t>
        </is>
      </c>
      <c r="J3931" t="inlineStr">
        <is>
          <t>No</t>
        </is>
      </c>
      <c r="K3931" t="inlineStr">
        <is>
          <t>No</t>
        </is>
      </c>
      <c r="L3931" t="inlineStr">
        <is>
          <t>0</t>
        </is>
      </c>
      <c r="M3931" t="inlineStr">
        <is>
          <t>Pearce, Richard, 1932-</t>
        </is>
      </c>
      <c r="N3931" t="inlineStr">
        <is>
          <t>New Brunswick : Rutgers University Press, c1991.</t>
        </is>
      </c>
      <c r="O3931" t="inlineStr">
        <is>
          <t>1991</t>
        </is>
      </c>
      <c r="Q3931" t="inlineStr">
        <is>
          <t>eng</t>
        </is>
      </c>
      <c r="R3931" t="inlineStr">
        <is>
          <t>nju</t>
        </is>
      </c>
      <c r="T3931" t="inlineStr">
        <is>
          <t xml:space="preserve">PR </t>
        </is>
      </c>
      <c r="U3931" t="n">
        <v>3</v>
      </c>
      <c r="V3931" t="n">
        <v>3</v>
      </c>
      <c r="W3931" t="inlineStr">
        <is>
          <t>1998-11-01</t>
        </is>
      </c>
      <c r="X3931" t="inlineStr">
        <is>
          <t>1998-11-01</t>
        </is>
      </c>
      <c r="Y3931" t="inlineStr">
        <is>
          <t>1997-05-06</t>
        </is>
      </c>
      <c r="Z3931" t="inlineStr">
        <is>
          <t>1997-05-06</t>
        </is>
      </c>
      <c r="AA3931" t="n">
        <v>631</v>
      </c>
      <c r="AB3931" t="n">
        <v>536</v>
      </c>
      <c r="AC3931" t="n">
        <v>536</v>
      </c>
      <c r="AD3931" t="n">
        <v>5</v>
      </c>
      <c r="AE3931" t="n">
        <v>5</v>
      </c>
      <c r="AF3931" t="n">
        <v>30</v>
      </c>
      <c r="AG3931" t="n">
        <v>30</v>
      </c>
      <c r="AH3931" t="n">
        <v>13</v>
      </c>
      <c r="AI3931" t="n">
        <v>13</v>
      </c>
      <c r="AJ3931" t="n">
        <v>7</v>
      </c>
      <c r="AK3931" t="n">
        <v>7</v>
      </c>
      <c r="AL3931" t="n">
        <v>17</v>
      </c>
      <c r="AM3931" t="n">
        <v>17</v>
      </c>
      <c r="AN3931" t="n">
        <v>4</v>
      </c>
      <c r="AO3931" t="n">
        <v>4</v>
      </c>
      <c r="AP3931" t="n">
        <v>0</v>
      </c>
      <c r="AQ3931" t="n">
        <v>0</v>
      </c>
      <c r="AR3931" t="inlineStr">
        <is>
          <t>No</t>
        </is>
      </c>
      <c r="AS3931" t="inlineStr">
        <is>
          <t>No</t>
        </is>
      </c>
      <c r="AU3931">
        <f>HYPERLINK("https://creighton-primo.hosted.exlibrisgroup.com/primo-explore/search?tab=default_tab&amp;search_scope=EVERYTHING&amp;vid=01CRU&amp;lang=en_US&amp;offset=0&amp;query=any,contains,991001759619702656","Catalog Record")</f>
        <v/>
      </c>
      <c r="AV3931">
        <f>HYPERLINK("http://www.worldcat.org/oclc/22243273","WorldCat Record")</f>
        <v/>
      </c>
      <c r="AW3931" t="inlineStr">
        <is>
          <t>890222578:eng</t>
        </is>
      </c>
      <c r="AX3931" t="inlineStr">
        <is>
          <t>22243273</t>
        </is>
      </c>
      <c r="AY3931" t="inlineStr">
        <is>
          <t>991001759619702656</t>
        </is>
      </c>
      <c r="AZ3931" t="inlineStr">
        <is>
          <t>991001759619702656</t>
        </is>
      </c>
      <c r="BA3931" t="inlineStr">
        <is>
          <t>2272019410002656</t>
        </is>
      </c>
      <c r="BB3931" t="inlineStr">
        <is>
          <t>BOOK</t>
        </is>
      </c>
      <c r="BD3931" t="inlineStr">
        <is>
          <t>9780813516561</t>
        </is>
      </c>
      <c r="BE3931" t="inlineStr">
        <is>
          <t>32285002544780</t>
        </is>
      </c>
      <c r="BF3931" t="inlineStr">
        <is>
          <t>893250471</t>
        </is>
      </c>
    </row>
    <row r="3932">
      <c r="A3932" t="inlineStr">
        <is>
          <t>No</t>
        </is>
      </c>
      <c r="B3932" t="inlineStr">
        <is>
          <t>CURAL</t>
        </is>
      </c>
      <c r="C3932" t="inlineStr">
        <is>
          <t>SHELVES</t>
        </is>
      </c>
      <c r="D3932" t="inlineStr">
        <is>
          <t>PR888.P68 B58 2002</t>
        </is>
      </c>
      <c r="E3932" t="inlineStr">
        <is>
          <t>0                      PR 0888000P  68                 B  58          2002</t>
        </is>
      </c>
      <c r="F3932" t="inlineStr">
        <is>
          <t>Bestsellers : popular fiction since 1900 / Clive Bloom.</t>
        </is>
      </c>
      <c r="H3932" t="inlineStr">
        <is>
          <t>No</t>
        </is>
      </c>
      <c r="I3932" t="inlineStr">
        <is>
          <t>1</t>
        </is>
      </c>
      <c r="J3932" t="inlineStr">
        <is>
          <t>No</t>
        </is>
      </c>
      <c r="K3932" t="inlineStr">
        <is>
          <t>No</t>
        </is>
      </c>
      <c r="L3932" t="inlineStr">
        <is>
          <t>0</t>
        </is>
      </c>
      <c r="M3932" t="inlineStr">
        <is>
          <t>Bloom, Clive.</t>
        </is>
      </c>
      <c r="N3932" t="inlineStr">
        <is>
          <t>Houndmills, Basingstoke, Hampshire ; New York : Palgrave Macmillan, 2002.</t>
        </is>
      </c>
      <c r="O3932" t="inlineStr">
        <is>
          <t>2002</t>
        </is>
      </c>
      <c r="Q3932" t="inlineStr">
        <is>
          <t>eng</t>
        </is>
      </c>
      <c r="R3932" t="inlineStr">
        <is>
          <t>enk</t>
        </is>
      </c>
      <c r="T3932" t="inlineStr">
        <is>
          <t xml:space="preserve">PR </t>
        </is>
      </c>
      <c r="U3932" t="n">
        <v>2</v>
      </c>
      <c r="V3932" t="n">
        <v>2</v>
      </c>
      <c r="W3932" t="inlineStr">
        <is>
          <t>2005-01-06</t>
        </is>
      </c>
      <c r="X3932" t="inlineStr">
        <is>
          <t>2005-01-06</t>
        </is>
      </c>
      <c r="Y3932" t="inlineStr">
        <is>
          <t>2005-01-06</t>
        </is>
      </c>
      <c r="Z3932" t="inlineStr">
        <is>
          <t>2005-01-06</t>
        </is>
      </c>
      <c r="AA3932" t="n">
        <v>362</v>
      </c>
      <c r="AB3932" t="n">
        <v>211</v>
      </c>
      <c r="AC3932" t="n">
        <v>286</v>
      </c>
      <c r="AD3932" t="n">
        <v>3</v>
      </c>
      <c r="AE3932" t="n">
        <v>4</v>
      </c>
      <c r="AF3932" t="n">
        <v>10</v>
      </c>
      <c r="AG3932" t="n">
        <v>13</v>
      </c>
      <c r="AH3932" t="n">
        <v>1</v>
      </c>
      <c r="AI3932" t="n">
        <v>3</v>
      </c>
      <c r="AJ3932" t="n">
        <v>3</v>
      </c>
      <c r="AK3932" t="n">
        <v>3</v>
      </c>
      <c r="AL3932" t="n">
        <v>6</v>
      </c>
      <c r="AM3932" t="n">
        <v>8</v>
      </c>
      <c r="AN3932" t="n">
        <v>2</v>
      </c>
      <c r="AO3932" t="n">
        <v>3</v>
      </c>
      <c r="AP3932" t="n">
        <v>0</v>
      </c>
      <c r="AQ3932" t="n">
        <v>0</v>
      </c>
      <c r="AR3932" t="inlineStr">
        <is>
          <t>No</t>
        </is>
      </c>
      <c r="AS3932" t="inlineStr">
        <is>
          <t>No</t>
        </is>
      </c>
      <c r="AU3932">
        <f>HYPERLINK("https://creighton-primo.hosted.exlibrisgroup.com/primo-explore/search?tab=default_tab&amp;search_scope=EVERYTHING&amp;vid=01CRU&amp;lang=en_US&amp;offset=0&amp;query=any,contains,991004412669702656","Catalog Record")</f>
        <v/>
      </c>
      <c r="AV3932">
        <f>HYPERLINK("http://www.worldcat.org/oclc/49225573","WorldCat Record")</f>
        <v/>
      </c>
      <c r="AW3932" t="inlineStr">
        <is>
          <t>801719316:eng</t>
        </is>
      </c>
      <c r="AX3932" t="inlineStr">
        <is>
          <t>49225573</t>
        </is>
      </c>
      <c r="AY3932" t="inlineStr">
        <is>
          <t>991004412669702656</t>
        </is>
      </c>
      <c r="AZ3932" t="inlineStr">
        <is>
          <t>991004412669702656</t>
        </is>
      </c>
      <c r="BA3932" t="inlineStr">
        <is>
          <t>2265871160002656</t>
        </is>
      </c>
      <c r="BB3932" t="inlineStr">
        <is>
          <t>BOOK</t>
        </is>
      </c>
      <c r="BD3932" t="inlineStr">
        <is>
          <t>9780333687420</t>
        </is>
      </c>
      <c r="BE3932" t="inlineStr">
        <is>
          <t>32285005019087</t>
        </is>
      </c>
      <c r="BF3932" t="inlineStr">
        <is>
          <t>893532361</t>
        </is>
      </c>
    </row>
    <row r="3933">
      <c r="A3933" t="inlineStr">
        <is>
          <t>No</t>
        </is>
      </c>
      <c r="B3933" t="inlineStr">
        <is>
          <t>CURAL</t>
        </is>
      </c>
      <c r="C3933" t="inlineStr">
        <is>
          <t>SHELVES</t>
        </is>
      </c>
      <c r="D3933" t="inlineStr">
        <is>
          <t>PR888.R73 S3</t>
        </is>
      </c>
      <c r="E3933" t="inlineStr">
        <is>
          <t>0                      PR 0888000R  73                 S  3</t>
        </is>
      </c>
      <c r="F3933" t="inlineStr">
        <is>
          <t>The romantic genesis of the modern novel / Charles Schug.</t>
        </is>
      </c>
      <c r="H3933" t="inlineStr">
        <is>
          <t>No</t>
        </is>
      </c>
      <c r="I3933" t="inlineStr">
        <is>
          <t>1</t>
        </is>
      </c>
      <c r="J3933" t="inlineStr">
        <is>
          <t>No</t>
        </is>
      </c>
      <c r="K3933" t="inlineStr">
        <is>
          <t>No</t>
        </is>
      </c>
      <c r="L3933" t="inlineStr">
        <is>
          <t>0</t>
        </is>
      </c>
      <c r="M3933" t="inlineStr">
        <is>
          <t>Schug, Charles, 1945-</t>
        </is>
      </c>
      <c r="N3933" t="inlineStr">
        <is>
          <t>Pittsburgh : University of Pittsburgh Press, c1979.</t>
        </is>
      </c>
      <c r="O3933" t="inlineStr">
        <is>
          <t>1979</t>
        </is>
      </c>
      <c r="Q3933" t="inlineStr">
        <is>
          <t>eng</t>
        </is>
      </c>
      <c r="R3933" t="inlineStr">
        <is>
          <t>pau</t>
        </is>
      </c>
      <c r="S3933" t="inlineStr">
        <is>
          <t>Critical essays in modern literature</t>
        </is>
      </c>
      <c r="T3933" t="inlineStr">
        <is>
          <t xml:space="preserve">PR </t>
        </is>
      </c>
      <c r="U3933" t="n">
        <v>6</v>
      </c>
      <c r="V3933" t="n">
        <v>6</v>
      </c>
      <c r="W3933" t="inlineStr">
        <is>
          <t>2004-12-23</t>
        </is>
      </c>
      <c r="X3933" t="inlineStr">
        <is>
          <t>2004-12-23</t>
        </is>
      </c>
      <c r="Y3933" t="inlineStr">
        <is>
          <t>1991-09-18</t>
        </is>
      </c>
      <c r="Z3933" t="inlineStr">
        <is>
          <t>1991-09-18</t>
        </is>
      </c>
      <c r="AA3933" t="n">
        <v>599</v>
      </c>
      <c r="AB3933" t="n">
        <v>502</v>
      </c>
      <c r="AC3933" t="n">
        <v>506</v>
      </c>
      <c r="AD3933" t="n">
        <v>3</v>
      </c>
      <c r="AE3933" t="n">
        <v>3</v>
      </c>
      <c r="AF3933" t="n">
        <v>30</v>
      </c>
      <c r="AG3933" t="n">
        <v>30</v>
      </c>
      <c r="AH3933" t="n">
        <v>13</v>
      </c>
      <c r="AI3933" t="n">
        <v>13</v>
      </c>
      <c r="AJ3933" t="n">
        <v>7</v>
      </c>
      <c r="AK3933" t="n">
        <v>7</v>
      </c>
      <c r="AL3933" t="n">
        <v>13</v>
      </c>
      <c r="AM3933" t="n">
        <v>13</v>
      </c>
      <c r="AN3933" t="n">
        <v>2</v>
      </c>
      <c r="AO3933" t="n">
        <v>2</v>
      </c>
      <c r="AP3933" t="n">
        <v>0</v>
      </c>
      <c r="AQ3933" t="n">
        <v>0</v>
      </c>
      <c r="AR3933" t="inlineStr">
        <is>
          <t>No</t>
        </is>
      </c>
      <c r="AS3933" t="inlineStr">
        <is>
          <t>Yes</t>
        </is>
      </c>
      <c r="AT3933">
        <f>HYPERLINK("http://catalog.hathitrust.org/Record/000255729","HathiTrust Record")</f>
        <v/>
      </c>
      <c r="AU3933">
        <f>HYPERLINK("https://creighton-primo.hosted.exlibrisgroup.com/primo-explore/search?tab=default_tab&amp;search_scope=EVERYTHING&amp;vid=01CRU&amp;lang=en_US&amp;offset=0&amp;query=any,contains,991004649489702656","Catalog Record")</f>
        <v/>
      </c>
      <c r="AV3933">
        <f>HYPERLINK("http://www.worldcat.org/oclc/4493349","WorldCat Record")</f>
        <v/>
      </c>
      <c r="AW3933" t="inlineStr">
        <is>
          <t>487966:eng</t>
        </is>
      </c>
      <c r="AX3933" t="inlineStr">
        <is>
          <t>4493349</t>
        </is>
      </c>
      <c r="AY3933" t="inlineStr">
        <is>
          <t>991004649489702656</t>
        </is>
      </c>
      <c r="AZ3933" t="inlineStr">
        <is>
          <t>991004649489702656</t>
        </is>
      </c>
      <c r="BA3933" t="inlineStr">
        <is>
          <t>2260883430002656</t>
        </is>
      </c>
      <c r="BB3933" t="inlineStr">
        <is>
          <t>BOOK</t>
        </is>
      </c>
      <c r="BD3933" t="inlineStr">
        <is>
          <t>9780822933977</t>
        </is>
      </c>
      <c r="BE3933" t="inlineStr">
        <is>
          <t>32285000758929</t>
        </is>
      </c>
      <c r="BF3933" t="inlineStr">
        <is>
          <t>893241690</t>
        </is>
      </c>
    </row>
    <row r="3934">
      <c r="A3934" t="inlineStr">
        <is>
          <t>No</t>
        </is>
      </c>
      <c r="B3934" t="inlineStr">
        <is>
          <t>CURAL</t>
        </is>
      </c>
      <c r="C3934" t="inlineStr">
        <is>
          <t>SHELVES</t>
        </is>
      </c>
      <c r="D3934" t="inlineStr">
        <is>
          <t>PR888.S52 H57 1998</t>
        </is>
      </c>
      <c r="E3934" t="inlineStr">
        <is>
          <t>0                      PR 0888000S  52                 H  57          1998</t>
        </is>
      </c>
      <c r="F3934" t="inlineStr">
        <is>
          <t>Sisters in literature : female sexuality in Antigone, Middlemarch, Howards End, and Women in love / Masako Hirai.</t>
        </is>
      </c>
      <c r="H3934" t="inlineStr">
        <is>
          <t>No</t>
        </is>
      </c>
      <c r="I3934" t="inlineStr">
        <is>
          <t>1</t>
        </is>
      </c>
      <c r="J3934" t="inlineStr">
        <is>
          <t>No</t>
        </is>
      </c>
      <c r="K3934" t="inlineStr">
        <is>
          <t>No</t>
        </is>
      </c>
      <c r="L3934" t="inlineStr">
        <is>
          <t>0</t>
        </is>
      </c>
      <c r="M3934" t="inlineStr">
        <is>
          <t>Hirai, Masako, 1949-2007.</t>
        </is>
      </c>
      <c r="N3934" t="inlineStr">
        <is>
          <t>Basingstoke [England] : Macmillan Press ; New York : St. Martin's Press, 1998.</t>
        </is>
      </c>
      <c r="O3934" t="inlineStr">
        <is>
          <t>1998</t>
        </is>
      </c>
      <c r="Q3934" t="inlineStr">
        <is>
          <t>eng</t>
        </is>
      </c>
      <c r="R3934" t="inlineStr">
        <is>
          <t>enk</t>
        </is>
      </c>
      <c r="T3934" t="inlineStr">
        <is>
          <t xml:space="preserve">PR </t>
        </is>
      </c>
      <c r="U3934" t="n">
        <v>3</v>
      </c>
      <c r="V3934" t="n">
        <v>3</v>
      </c>
      <c r="W3934" t="inlineStr">
        <is>
          <t>1999-11-09</t>
        </is>
      </c>
      <c r="X3934" t="inlineStr">
        <is>
          <t>1999-11-09</t>
        </is>
      </c>
      <c r="Y3934" t="inlineStr">
        <is>
          <t>1999-04-19</t>
        </is>
      </c>
      <c r="Z3934" t="inlineStr">
        <is>
          <t>1999-04-19</t>
        </is>
      </c>
      <c r="AA3934" t="n">
        <v>274</v>
      </c>
      <c r="AB3934" t="n">
        <v>204</v>
      </c>
      <c r="AC3934" t="n">
        <v>220</v>
      </c>
      <c r="AD3934" t="n">
        <v>2</v>
      </c>
      <c r="AE3934" t="n">
        <v>2</v>
      </c>
      <c r="AF3934" t="n">
        <v>12</v>
      </c>
      <c r="AG3934" t="n">
        <v>12</v>
      </c>
      <c r="AH3934" t="n">
        <v>2</v>
      </c>
      <c r="AI3934" t="n">
        <v>2</v>
      </c>
      <c r="AJ3934" t="n">
        <v>4</v>
      </c>
      <c r="AK3934" t="n">
        <v>4</v>
      </c>
      <c r="AL3934" t="n">
        <v>7</v>
      </c>
      <c r="AM3934" t="n">
        <v>7</v>
      </c>
      <c r="AN3934" t="n">
        <v>1</v>
      </c>
      <c r="AO3934" t="n">
        <v>1</v>
      </c>
      <c r="AP3934" t="n">
        <v>0</v>
      </c>
      <c r="AQ3934" t="n">
        <v>0</v>
      </c>
      <c r="AR3934" t="inlineStr">
        <is>
          <t>No</t>
        </is>
      </c>
      <c r="AS3934" t="inlineStr">
        <is>
          <t>No</t>
        </is>
      </c>
      <c r="AU3934">
        <f>HYPERLINK("https://creighton-primo.hosted.exlibrisgroup.com/primo-explore/search?tab=default_tab&amp;search_scope=EVERYTHING&amp;vid=01CRU&amp;lang=en_US&amp;offset=0&amp;query=any,contains,991002898659702656","Catalog Record")</f>
        <v/>
      </c>
      <c r="AV3934">
        <f>HYPERLINK("http://www.worldcat.org/oclc/38207848","WorldCat Record")</f>
        <v/>
      </c>
      <c r="AW3934" t="inlineStr">
        <is>
          <t>365871358:eng</t>
        </is>
      </c>
      <c r="AX3934" t="inlineStr">
        <is>
          <t>38207848</t>
        </is>
      </c>
      <c r="AY3934" t="inlineStr">
        <is>
          <t>991002898659702656</t>
        </is>
      </c>
      <c r="AZ3934" t="inlineStr">
        <is>
          <t>991002898659702656</t>
        </is>
      </c>
      <c r="BA3934" t="inlineStr">
        <is>
          <t>2271131490002656</t>
        </is>
      </c>
      <c r="BB3934" t="inlineStr">
        <is>
          <t>BOOK</t>
        </is>
      </c>
      <c r="BD3934" t="inlineStr">
        <is>
          <t>9780312214210</t>
        </is>
      </c>
      <c r="BE3934" t="inlineStr">
        <is>
          <t>32285003553467</t>
        </is>
      </c>
      <c r="BF3934" t="inlineStr">
        <is>
          <t>893517894</t>
        </is>
      </c>
    </row>
    <row r="3935">
      <c r="A3935" t="inlineStr">
        <is>
          <t>No</t>
        </is>
      </c>
      <c r="B3935" t="inlineStr">
        <is>
          <t>CURAL</t>
        </is>
      </c>
      <c r="C3935" t="inlineStr">
        <is>
          <t>SHELVES</t>
        </is>
      </c>
      <c r="D3935" t="inlineStr">
        <is>
          <t>PR888.S62 G56 1992</t>
        </is>
      </c>
      <c r="E3935" t="inlineStr">
        <is>
          <t>0                      PR 0888000S  62                 G  56          1992</t>
        </is>
      </c>
      <c r="F3935" t="inlineStr">
        <is>
          <t>British fiction in the 1930s : the dispiriting decade / James Gindin.</t>
        </is>
      </c>
      <c r="H3935" t="inlineStr">
        <is>
          <t>No</t>
        </is>
      </c>
      <c r="I3935" t="inlineStr">
        <is>
          <t>1</t>
        </is>
      </c>
      <c r="J3935" t="inlineStr">
        <is>
          <t>No</t>
        </is>
      </c>
      <c r="K3935" t="inlineStr">
        <is>
          <t>No</t>
        </is>
      </c>
      <c r="L3935" t="inlineStr">
        <is>
          <t>0</t>
        </is>
      </c>
      <c r="M3935" t="inlineStr">
        <is>
          <t>Gindin, James, 1926-1994.</t>
        </is>
      </c>
      <c r="N3935" t="inlineStr">
        <is>
          <t>New York : St. Martin's Press, 1992.</t>
        </is>
      </c>
      <c r="O3935" t="inlineStr">
        <is>
          <t>1992</t>
        </is>
      </c>
      <c r="Q3935" t="inlineStr">
        <is>
          <t>eng</t>
        </is>
      </c>
      <c r="R3935" t="inlineStr">
        <is>
          <t>nyu</t>
        </is>
      </c>
      <c r="T3935" t="inlineStr">
        <is>
          <t xml:space="preserve">PR </t>
        </is>
      </c>
      <c r="U3935" t="n">
        <v>2</v>
      </c>
      <c r="V3935" t="n">
        <v>2</v>
      </c>
      <c r="W3935" t="inlineStr">
        <is>
          <t>1995-11-05</t>
        </is>
      </c>
      <c r="X3935" t="inlineStr">
        <is>
          <t>1995-11-05</t>
        </is>
      </c>
      <c r="Y3935" t="inlineStr">
        <is>
          <t>1993-03-24</t>
        </is>
      </c>
      <c r="Z3935" t="inlineStr">
        <is>
          <t>1993-03-24</t>
        </is>
      </c>
      <c r="AA3935" t="n">
        <v>304</v>
      </c>
      <c r="AB3935" t="n">
        <v>234</v>
      </c>
      <c r="AC3935" t="n">
        <v>243</v>
      </c>
      <c r="AD3935" t="n">
        <v>2</v>
      </c>
      <c r="AE3935" t="n">
        <v>2</v>
      </c>
      <c r="AF3935" t="n">
        <v>12</v>
      </c>
      <c r="AG3935" t="n">
        <v>12</v>
      </c>
      <c r="AH3935" t="n">
        <v>4</v>
      </c>
      <c r="AI3935" t="n">
        <v>4</v>
      </c>
      <c r="AJ3935" t="n">
        <v>5</v>
      </c>
      <c r="AK3935" t="n">
        <v>5</v>
      </c>
      <c r="AL3935" t="n">
        <v>8</v>
      </c>
      <c r="AM3935" t="n">
        <v>8</v>
      </c>
      <c r="AN3935" t="n">
        <v>1</v>
      </c>
      <c r="AO3935" t="n">
        <v>1</v>
      </c>
      <c r="AP3935" t="n">
        <v>0</v>
      </c>
      <c r="AQ3935" t="n">
        <v>0</v>
      </c>
      <c r="AR3935" t="inlineStr">
        <is>
          <t>No</t>
        </is>
      </c>
      <c r="AS3935" t="inlineStr">
        <is>
          <t>No</t>
        </is>
      </c>
      <c r="AU3935">
        <f>HYPERLINK("https://creighton-primo.hosted.exlibrisgroup.com/primo-explore/search?tab=default_tab&amp;search_scope=EVERYTHING&amp;vid=01CRU&amp;lang=en_US&amp;offset=0&amp;query=any,contains,991001976379702656","Catalog Record")</f>
        <v/>
      </c>
      <c r="AV3935">
        <f>HYPERLINK("http://www.worldcat.org/oclc/25050146","WorldCat Record")</f>
        <v/>
      </c>
      <c r="AW3935" t="inlineStr">
        <is>
          <t>138715323:eng</t>
        </is>
      </c>
      <c r="AX3935" t="inlineStr">
        <is>
          <t>25050146</t>
        </is>
      </c>
      <c r="AY3935" t="inlineStr">
        <is>
          <t>991001976379702656</t>
        </is>
      </c>
      <c r="AZ3935" t="inlineStr">
        <is>
          <t>991001976379702656</t>
        </is>
      </c>
      <c r="BA3935" t="inlineStr">
        <is>
          <t>2269629170002656</t>
        </is>
      </c>
      <c r="BB3935" t="inlineStr">
        <is>
          <t>BOOK</t>
        </is>
      </c>
      <c r="BD3935" t="inlineStr">
        <is>
          <t>9780312074777</t>
        </is>
      </c>
      <c r="BE3935" t="inlineStr">
        <is>
          <t>32285001498400</t>
        </is>
      </c>
      <c r="BF3935" t="inlineStr">
        <is>
          <t>893408542</t>
        </is>
      </c>
    </row>
    <row r="3936">
      <c r="A3936" t="inlineStr">
        <is>
          <t>No</t>
        </is>
      </c>
      <c r="B3936" t="inlineStr">
        <is>
          <t>CURAL</t>
        </is>
      </c>
      <c r="C3936" t="inlineStr">
        <is>
          <t>SHELVES</t>
        </is>
      </c>
      <c r="D3936" t="inlineStr">
        <is>
          <t>PR888.S65 S28 1984</t>
        </is>
      </c>
      <c r="E3936" t="inlineStr">
        <is>
          <t>0                      PR 0888000S  65                 S  28          1984</t>
        </is>
      </c>
      <c r="F3936" t="inlineStr">
        <is>
          <t>Secret agents in fiction : Ian Fleming, John le Carré, Len Deighton / Lars Ole Sauerberg.</t>
        </is>
      </c>
      <c r="H3936" t="inlineStr">
        <is>
          <t>No</t>
        </is>
      </c>
      <c r="I3936" t="inlineStr">
        <is>
          <t>1</t>
        </is>
      </c>
      <c r="J3936" t="inlineStr">
        <is>
          <t>No</t>
        </is>
      </c>
      <c r="K3936" t="inlineStr">
        <is>
          <t>No</t>
        </is>
      </c>
      <c r="L3936" t="inlineStr">
        <is>
          <t>0</t>
        </is>
      </c>
      <c r="M3936" t="inlineStr">
        <is>
          <t>Sauerberg, Lars Ole, 1950-</t>
        </is>
      </c>
      <c r="N3936" t="inlineStr">
        <is>
          <t>New York : St. Martin's Press, 1984.</t>
        </is>
      </c>
      <c r="O3936" t="inlineStr">
        <is>
          <t>1984</t>
        </is>
      </c>
      <c r="Q3936" t="inlineStr">
        <is>
          <t>eng</t>
        </is>
      </c>
      <c r="R3936" t="inlineStr">
        <is>
          <t>nyu</t>
        </is>
      </c>
      <c r="T3936" t="inlineStr">
        <is>
          <t xml:space="preserve">PR </t>
        </is>
      </c>
      <c r="U3936" t="n">
        <v>2</v>
      </c>
      <c r="V3936" t="n">
        <v>2</v>
      </c>
      <c r="W3936" t="inlineStr">
        <is>
          <t>1998-11-15</t>
        </is>
      </c>
      <c r="X3936" t="inlineStr">
        <is>
          <t>1998-11-15</t>
        </is>
      </c>
      <c r="Y3936" t="inlineStr">
        <is>
          <t>1991-09-18</t>
        </is>
      </c>
      <c r="Z3936" t="inlineStr">
        <is>
          <t>1991-09-18</t>
        </is>
      </c>
      <c r="AA3936" t="n">
        <v>257</v>
      </c>
      <c r="AB3936" t="n">
        <v>237</v>
      </c>
      <c r="AC3936" t="n">
        <v>306</v>
      </c>
      <c r="AD3936" t="n">
        <v>1</v>
      </c>
      <c r="AE3936" t="n">
        <v>3</v>
      </c>
      <c r="AF3936" t="n">
        <v>11</v>
      </c>
      <c r="AG3936" t="n">
        <v>14</v>
      </c>
      <c r="AH3936" t="n">
        <v>5</v>
      </c>
      <c r="AI3936" t="n">
        <v>6</v>
      </c>
      <c r="AJ3936" t="n">
        <v>3</v>
      </c>
      <c r="AK3936" t="n">
        <v>3</v>
      </c>
      <c r="AL3936" t="n">
        <v>6</v>
      </c>
      <c r="AM3936" t="n">
        <v>7</v>
      </c>
      <c r="AN3936" t="n">
        <v>0</v>
      </c>
      <c r="AO3936" t="n">
        <v>2</v>
      </c>
      <c r="AP3936" t="n">
        <v>0</v>
      </c>
      <c r="AQ3936" t="n">
        <v>0</v>
      </c>
      <c r="AR3936" t="inlineStr">
        <is>
          <t>No</t>
        </is>
      </c>
      <c r="AS3936" t="inlineStr">
        <is>
          <t>No</t>
        </is>
      </c>
      <c r="AU3936">
        <f>HYPERLINK("https://creighton-primo.hosted.exlibrisgroup.com/primo-explore/search?tab=default_tab&amp;search_scope=EVERYTHING&amp;vid=01CRU&amp;lang=en_US&amp;offset=0&amp;query=any,contains,991000379959702656","Catalog Record")</f>
        <v/>
      </c>
      <c r="AV3936">
        <f>HYPERLINK("http://www.worldcat.org/oclc/10484168","WorldCat Record")</f>
        <v/>
      </c>
      <c r="AW3936" t="inlineStr">
        <is>
          <t>3381916:eng</t>
        </is>
      </c>
      <c r="AX3936" t="inlineStr">
        <is>
          <t>10484168</t>
        </is>
      </c>
      <c r="AY3936" t="inlineStr">
        <is>
          <t>991000379959702656</t>
        </is>
      </c>
      <c r="AZ3936" t="inlineStr">
        <is>
          <t>991000379959702656</t>
        </is>
      </c>
      <c r="BA3936" t="inlineStr">
        <is>
          <t>2259711140002656</t>
        </is>
      </c>
      <c r="BB3936" t="inlineStr">
        <is>
          <t>BOOK</t>
        </is>
      </c>
      <c r="BD3936" t="inlineStr">
        <is>
          <t>9780312708467</t>
        </is>
      </c>
      <c r="BE3936" t="inlineStr">
        <is>
          <t>32285000758986</t>
        </is>
      </c>
      <c r="BF3936" t="inlineStr">
        <is>
          <t>893515217</t>
        </is>
      </c>
    </row>
    <row r="3937">
      <c r="A3937" t="inlineStr">
        <is>
          <t>No</t>
        </is>
      </c>
      <c r="B3937" t="inlineStr">
        <is>
          <t>CURAL</t>
        </is>
      </c>
      <c r="C3937" t="inlineStr">
        <is>
          <t>SHELVES</t>
        </is>
      </c>
      <c r="D3937" t="inlineStr">
        <is>
          <t>PR888.S65 S73 1988</t>
        </is>
      </c>
      <c r="E3937" t="inlineStr">
        <is>
          <t>0                      PR 0888000S  65                 S  73          1988</t>
        </is>
      </c>
      <c r="F3937" t="inlineStr">
        <is>
          <t>The silent game : the real world of imaginary spies / David Stafford.</t>
        </is>
      </c>
      <c r="H3937" t="inlineStr">
        <is>
          <t>No</t>
        </is>
      </c>
      <c r="I3937" t="inlineStr">
        <is>
          <t>1</t>
        </is>
      </c>
      <c r="J3937" t="inlineStr">
        <is>
          <t>No</t>
        </is>
      </c>
      <c r="K3937" t="inlineStr">
        <is>
          <t>No</t>
        </is>
      </c>
      <c r="L3937" t="inlineStr">
        <is>
          <t>0</t>
        </is>
      </c>
      <c r="M3937" t="inlineStr">
        <is>
          <t>Stafford, David.</t>
        </is>
      </c>
      <c r="N3937" t="inlineStr">
        <is>
          <t>Toronto : Lester &amp; Orpen Dennys, c1988.</t>
        </is>
      </c>
      <c r="O3937" t="inlineStr">
        <is>
          <t>1988</t>
        </is>
      </c>
      <c r="P3937" t="inlineStr">
        <is>
          <t>1st ed.</t>
        </is>
      </c>
      <c r="Q3937" t="inlineStr">
        <is>
          <t>eng</t>
        </is>
      </c>
      <c r="R3937" t="inlineStr">
        <is>
          <t>onc</t>
        </is>
      </c>
      <c r="T3937" t="inlineStr">
        <is>
          <t xml:space="preserve">PR </t>
        </is>
      </c>
      <c r="U3937" t="n">
        <v>1</v>
      </c>
      <c r="V3937" t="n">
        <v>1</v>
      </c>
      <c r="W3937" t="inlineStr">
        <is>
          <t>1993-05-28</t>
        </is>
      </c>
      <c r="X3937" t="inlineStr">
        <is>
          <t>1993-05-28</t>
        </is>
      </c>
      <c r="Y3937" t="inlineStr">
        <is>
          <t>1991-09-18</t>
        </is>
      </c>
      <c r="Z3937" t="inlineStr">
        <is>
          <t>1991-09-18</t>
        </is>
      </c>
      <c r="AA3937" t="n">
        <v>64</v>
      </c>
      <c r="AB3937" t="n">
        <v>31</v>
      </c>
      <c r="AC3937" t="n">
        <v>192</v>
      </c>
      <c r="AD3937" t="n">
        <v>1</v>
      </c>
      <c r="AE3937" t="n">
        <v>3</v>
      </c>
      <c r="AF3937" t="n">
        <v>2</v>
      </c>
      <c r="AG3937" t="n">
        <v>10</v>
      </c>
      <c r="AH3937" t="n">
        <v>0</v>
      </c>
      <c r="AI3937" t="n">
        <v>1</v>
      </c>
      <c r="AJ3937" t="n">
        <v>2</v>
      </c>
      <c r="AK3937" t="n">
        <v>4</v>
      </c>
      <c r="AL3937" t="n">
        <v>1</v>
      </c>
      <c r="AM3937" t="n">
        <v>6</v>
      </c>
      <c r="AN3937" t="n">
        <v>0</v>
      </c>
      <c r="AO3937" t="n">
        <v>2</v>
      </c>
      <c r="AP3937" t="n">
        <v>0</v>
      </c>
      <c r="AQ3937" t="n">
        <v>0</v>
      </c>
      <c r="AR3937" t="inlineStr">
        <is>
          <t>No</t>
        </is>
      </c>
      <c r="AS3937" t="inlineStr">
        <is>
          <t>No</t>
        </is>
      </c>
      <c r="AU3937">
        <f>HYPERLINK("https://creighton-primo.hosted.exlibrisgroup.com/primo-explore/search?tab=default_tab&amp;search_scope=EVERYTHING&amp;vid=01CRU&amp;lang=en_US&amp;offset=0&amp;query=any,contains,991001076239702656","Catalog Record")</f>
        <v/>
      </c>
      <c r="AV3937">
        <f>HYPERLINK("http://www.worldcat.org/oclc/16037027","WorldCat Record")</f>
        <v/>
      </c>
      <c r="AW3937" t="inlineStr">
        <is>
          <t>11523335:eng</t>
        </is>
      </c>
      <c r="AX3937" t="inlineStr">
        <is>
          <t>16037027</t>
        </is>
      </c>
      <c r="AY3937" t="inlineStr">
        <is>
          <t>991001076239702656</t>
        </is>
      </c>
      <c r="AZ3937" t="inlineStr">
        <is>
          <t>991001076239702656</t>
        </is>
      </c>
      <c r="BA3937" t="inlineStr">
        <is>
          <t>2270769800002656</t>
        </is>
      </c>
      <c r="BB3937" t="inlineStr">
        <is>
          <t>BOOK</t>
        </is>
      </c>
      <c r="BD3937" t="inlineStr">
        <is>
          <t>9780886190880</t>
        </is>
      </c>
      <c r="BE3937" t="inlineStr">
        <is>
          <t>32285000758994</t>
        </is>
      </c>
      <c r="BF3937" t="inlineStr">
        <is>
          <t>893407805</t>
        </is>
      </c>
    </row>
    <row r="3938">
      <c r="A3938" t="inlineStr">
        <is>
          <t>No</t>
        </is>
      </c>
      <c r="B3938" t="inlineStr">
        <is>
          <t>CURAL</t>
        </is>
      </c>
      <c r="C3938" t="inlineStr">
        <is>
          <t>SHELVES</t>
        </is>
      </c>
      <c r="D3938" t="inlineStr">
        <is>
          <t>PR888.S76 S84</t>
        </is>
      </c>
      <c r="E3938" t="inlineStr">
        <is>
          <t>0                      PR 0888000S  76                 S  84</t>
        </is>
      </c>
      <c r="F3938" t="inlineStr">
        <is>
          <t>The Stream-of-consciousness technique in the modern novel / [edited by] Erwin R. Steinberg.</t>
        </is>
      </c>
      <c r="H3938" t="inlineStr">
        <is>
          <t>No</t>
        </is>
      </c>
      <c r="I3938" t="inlineStr">
        <is>
          <t>1</t>
        </is>
      </c>
      <c r="J3938" t="inlineStr">
        <is>
          <t>No</t>
        </is>
      </c>
      <c r="K3938" t="inlineStr">
        <is>
          <t>No</t>
        </is>
      </c>
      <c r="L3938" t="inlineStr">
        <is>
          <t>0</t>
        </is>
      </c>
      <c r="N3938" t="inlineStr">
        <is>
          <t>Port Washington, N.Y. : Kennikat Press, 1979.</t>
        </is>
      </c>
      <c r="O3938" t="inlineStr">
        <is>
          <t>1979</t>
        </is>
      </c>
      <c r="Q3938" t="inlineStr">
        <is>
          <t>eng</t>
        </is>
      </c>
      <c r="R3938" t="inlineStr">
        <is>
          <t>nyu</t>
        </is>
      </c>
      <c r="S3938" t="inlineStr">
        <is>
          <t>National university publications</t>
        </is>
      </c>
      <c r="T3938" t="inlineStr">
        <is>
          <t xml:space="preserve">PR </t>
        </is>
      </c>
      <c r="U3938" t="n">
        <v>6</v>
      </c>
      <c r="V3938" t="n">
        <v>6</v>
      </c>
      <c r="W3938" t="inlineStr">
        <is>
          <t>2007-12-12</t>
        </is>
      </c>
      <c r="X3938" t="inlineStr">
        <is>
          <t>2007-12-12</t>
        </is>
      </c>
      <c r="Y3938" t="inlineStr">
        <is>
          <t>1991-09-18</t>
        </is>
      </c>
      <c r="Z3938" t="inlineStr">
        <is>
          <t>1991-09-18</t>
        </is>
      </c>
      <c r="AA3938" t="n">
        <v>560</v>
      </c>
      <c r="AB3938" t="n">
        <v>464</v>
      </c>
      <c r="AC3938" t="n">
        <v>472</v>
      </c>
      <c r="AD3938" t="n">
        <v>2</v>
      </c>
      <c r="AE3938" t="n">
        <v>2</v>
      </c>
      <c r="AF3938" t="n">
        <v>16</v>
      </c>
      <c r="AG3938" t="n">
        <v>16</v>
      </c>
      <c r="AH3938" t="n">
        <v>7</v>
      </c>
      <c r="AI3938" t="n">
        <v>7</v>
      </c>
      <c r="AJ3938" t="n">
        <v>7</v>
      </c>
      <c r="AK3938" t="n">
        <v>7</v>
      </c>
      <c r="AL3938" t="n">
        <v>6</v>
      </c>
      <c r="AM3938" t="n">
        <v>6</v>
      </c>
      <c r="AN3938" t="n">
        <v>1</v>
      </c>
      <c r="AO3938" t="n">
        <v>1</v>
      </c>
      <c r="AP3938" t="n">
        <v>0</v>
      </c>
      <c r="AQ3938" t="n">
        <v>0</v>
      </c>
      <c r="AR3938" t="inlineStr">
        <is>
          <t>No</t>
        </is>
      </c>
      <c r="AS3938" t="inlineStr">
        <is>
          <t>Yes</t>
        </is>
      </c>
      <c r="AT3938">
        <f>HYPERLINK("http://catalog.hathitrust.org/Record/000256087","HathiTrust Record")</f>
        <v/>
      </c>
      <c r="AU3938">
        <f>HYPERLINK("https://creighton-primo.hosted.exlibrisgroup.com/primo-explore/search?tab=default_tab&amp;search_scope=EVERYTHING&amp;vid=01CRU&amp;lang=en_US&amp;offset=0&amp;query=any,contains,991004654099702656","Catalog Record")</f>
        <v/>
      </c>
      <c r="AV3938">
        <f>HYPERLINK("http://www.worldcat.org/oclc/4494790","WorldCat Record")</f>
        <v/>
      </c>
      <c r="AW3938" t="inlineStr">
        <is>
          <t>54264899:eng</t>
        </is>
      </c>
      <c r="AX3938" t="inlineStr">
        <is>
          <t>4494790</t>
        </is>
      </c>
      <c r="AY3938" t="inlineStr">
        <is>
          <t>991004654099702656</t>
        </is>
      </c>
      <c r="AZ3938" t="inlineStr">
        <is>
          <t>991004654099702656</t>
        </is>
      </c>
      <c r="BA3938" t="inlineStr">
        <is>
          <t>2265357310002656</t>
        </is>
      </c>
      <c r="BB3938" t="inlineStr">
        <is>
          <t>BOOK</t>
        </is>
      </c>
      <c r="BD3938" t="inlineStr">
        <is>
          <t>9780804692250</t>
        </is>
      </c>
      <c r="BE3938" t="inlineStr">
        <is>
          <t>32285000759000</t>
        </is>
      </c>
      <c r="BF3938" t="inlineStr">
        <is>
          <t>893624929</t>
        </is>
      </c>
    </row>
    <row r="3939">
      <c r="A3939" t="inlineStr">
        <is>
          <t>No</t>
        </is>
      </c>
      <c r="B3939" t="inlineStr">
        <is>
          <t>CURAL</t>
        </is>
      </c>
      <c r="C3939" t="inlineStr">
        <is>
          <t>SHELVES</t>
        </is>
      </c>
      <c r="D3939" t="inlineStr">
        <is>
          <t>PR888.V56 T45 1988</t>
        </is>
      </c>
      <c r="E3939" t="inlineStr">
        <is>
          <t>0                      PR 0888000V  56                 T  45          1988</t>
        </is>
      </c>
      <c r="F3939" t="inlineStr">
        <is>
          <t>Visionary closure in the modern novel / William R. Thickstun.</t>
        </is>
      </c>
      <c r="H3939" t="inlineStr">
        <is>
          <t>No</t>
        </is>
      </c>
      <c r="I3939" t="inlineStr">
        <is>
          <t>1</t>
        </is>
      </c>
      <c r="J3939" t="inlineStr">
        <is>
          <t>No</t>
        </is>
      </c>
      <c r="K3939" t="inlineStr">
        <is>
          <t>No</t>
        </is>
      </c>
      <c r="L3939" t="inlineStr">
        <is>
          <t>0</t>
        </is>
      </c>
      <c r="M3939" t="inlineStr">
        <is>
          <t>Thickstun, William R.</t>
        </is>
      </c>
      <c r="N3939" t="inlineStr">
        <is>
          <t>New York : St. Martin's Press, 1988.</t>
        </is>
      </c>
      <c r="O3939" t="inlineStr">
        <is>
          <t>1988</t>
        </is>
      </c>
      <c r="Q3939" t="inlineStr">
        <is>
          <t>eng</t>
        </is>
      </c>
      <c r="R3939" t="inlineStr">
        <is>
          <t>nyu</t>
        </is>
      </c>
      <c r="T3939" t="inlineStr">
        <is>
          <t xml:space="preserve">PR </t>
        </is>
      </c>
      <c r="U3939" t="n">
        <v>1</v>
      </c>
      <c r="V3939" t="n">
        <v>1</v>
      </c>
      <c r="W3939" t="inlineStr">
        <is>
          <t>2004-04-13</t>
        </is>
      </c>
      <c r="X3939" t="inlineStr">
        <is>
          <t>2004-04-13</t>
        </is>
      </c>
      <c r="Y3939" t="inlineStr">
        <is>
          <t>2004-04-13</t>
        </is>
      </c>
      <c r="Z3939" t="inlineStr">
        <is>
          <t>2004-04-13</t>
        </is>
      </c>
      <c r="AA3939" t="n">
        <v>301</v>
      </c>
      <c r="AB3939" t="n">
        <v>268</v>
      </c>
      <c r="AC3939" t="n">
        <v>325</v>
      </c>
      <c r="AD3939" t="n">
        <v>2</v>
      </c>
      <c r="AE3939" t="n">
        <v>2</v>
      </c>
      <c r="AF3939" t="n">
        <v>15</v>
      </c>
      <c r="AG3939" t="n">
        <v>18</v>
      </c>
      <c r="AH3939" t="n">
        <v>7</v>
      </c>
      <c r="AI3939" t="n">
        <v>7</v>
      </c>
      <c r="AJ3939" t="n">
        <v>4</v>
      </c>
      <c r="AK3939" t="n">
        <v>6</v>
      </c>
      <c r="AL3939" t="n">
        <v>8</v>
      </c>
      <c r="AM3939" t="n">
        <v>11</v>
      </c>
      <c r="AN3939" t="n">
        <v>1</v>
      </c>
      <c r="AO3939" t="n">
        <v>1</v>
      </c>
      <c r="AP3939" t="n">
        <v>0</v>
      </c>
      <c r="AQ3939" t="n">
        <v>0</v>
      </c>
      <c r="AR3939" t="inlineStr">
        <is>
          <t>No</t>
        </is>
      </c>
      <c r="AS3939" t="inlineStr">
        <is>
          <t>No</t>
        </is>
      </c>
      <c r="AU3939">
        <f>HYPERLINK("https://creighton-primo.hosted.exlibrisgroup.com/primo-explore/search?tab=default_tab&amp;search_scope=EVERYTHING&amp;vid=01CRU&amp;lang=en_US&amp;offset=0&amp;query=any,contains,991004281019702656","Catalog Record")</f>
        <v/>
      </c>
      <c r="AV3939">
        <f>HYPERLINK("http://www.worldcat.org/oclc/16466841","WorldCat Record")</f>
        <v/>
      </c>
      <c r="AW3939" t="inlineStr">
        <is>
          <t>12207657:eng</t>
        </is>
      </c>
      <c r="AX3939" t="inlineStr">
        <is>
          <t>16466841</t>
        </is>
      </c>
      <c r="AY3939" t="inlineStr">
        <is>
          <t>991004281019702656</t>
        </is>
      </c>
      <c r="AZ3939" t="inlineStr">
        <is>
          <t>991004281019702656</t>
        </is>
      </c>
      <c r="BA3939" t="inlineStr">
        <is>
          <t>2270789070002656</t>
        </is>
      </c>
      <c r="BB3939" t="inlineStr">
        <is>
          <t>BOOK</t>
        </is>
      </c>
      <c r="BD3939" t="inlineStr">
        <is>
          <t>9780312013394</t>
        </is>
      </c>
      <c r="BE3939" t="inlineStr">
        <is>
          <t>32285004899216</t>
        </is>
      </c>
      <c r="BF3939" t="inlineStr">
        <is>
          <t>893519457</t>
        </is>
      </c>
    </row>
    <row r="3940">
      <c r="A3940" t="inlineStr">
        <is>
          <t>No</t>
        </is>
      </c>
      <c r="B3940" t="inlineStr">
        <is>
          <t>CURAL</t>
        </is>
      </c>
      <c r="C3940" t="inlineStr">
        <is>
          <t>SHELVES</t>
        </is>
      </c>
      <c r="D3940" t="inlineStr">
        <is>
          <t>PR888.W6 H86 2001</t>
        </is>
      </c>
      <c r="E3940" t="inlineStr">
        <is>
          <t>0                      PR 0888000W  6                  H  86          2001</t>
        </is>
      </c>
      <c r="F3940" t="inlineStr">
        <is>
          <t>The feminine middlebrow novel, 1920s to 1950s : class, domesticity, and bohemianism / Nicola Humble.</t>
        </is>
      </c>
      <c r="H3940" t="inlineStr">
        <is>
          <t>No</t>
        </is>
      </c>
      <c r="I3940" t="inlineStr">
        <is>
          <t>1</t>
        </is>
      </c>
      <c r="J3940" t="inlineStr">
        <is>
          <t>No</t>
        </is>
      </c>
      <c r="K3940" t="inlineStr">
        <is>
          <t>No</t>
        </is>
      </c>
      <c r="L3940" t="inlineStr">
        <is>
          <t>0</t>
        </is>
      </c>
      <c r="M3940" t="inlineStr">
        <is>
          <t>Humble, Nicola.</t>
        </is>
      </c>
      <c r="N3940" t="inlineStr">
        <is>
          <t>Oxford : New York : Oxford University Press, 2001.</t>
        </is>
      </c>
      <c r="O3940" t="inlineStr">
        <is>
          <t>2001</t>
        </is>
      </c>
      <c r="Q3940" t="inlineStr">
        <is>
          <t>eng</t>
        </is>
      </c>
      <c r="R3940" t="inlineStr">
        <is>
          <t>enk</t>
        </is>
      </c>
      <c r="T3940" t="inlineStr">
        <is>
          <t xml:space="preserve">PR </t>
        </is>
      </c>
      <c r="U3940" t="n">
        <v>2</v>
      </c>
      <c r="V3940" t="n">
        <v>2</v>
      </c>
      <c r="W3940" t="inlineStr">
        <is>
          <t>2003-03-20</t>
        </is>
      </c>
      <c r="X3940" t="inlineStr">
        <is>
          <t>2003-03-20</t>
        </is>
      </c>
      <c r="Y3940" t="inlineStr">
        <is>
          <t>2003-03-20</t>
        </is>
      </c>
      <c r="Z3940" t="inlineStr">
        <is>
          <t>2003-03-20</t>
        </is>
      </c>
      <c r="AA3940" t="n">
        <v>386</v>
      </c>
      <c r="AB3940" t="n">
        <v>289</v>
      </c>
      <c r="AC3940" t="n">
        <v>317</v>
      </c>
      <c r="AD3940" t="n">
        <v>3</v>
      </c>
      <c r="AE3940" t="n">
        <v>3</v>
      </c>
      <c r="AF3940" t="n">
        <v>18</v>
      </c>
      <c r="AG3940" t="n">
        <v>20</v>
      </c>
      <c r="AH3940" t="n">
        <v>7</v>
      </c>
      <c r="AI3940" t="n">
        <v>9</v>
      </c>
      <c r="AJ3940" t="n">
        <v>4</v>
      </c>
      <c r="AK3940" t="n">
        <v>4</v>
      </c>
      <c r="AL3940" t="n">
        <v>9</v>
      </c>
      <c r="AM3940" t="n">
        <v>10</v>
      </c>
      <c r="AN3940" t="n">
        <v>2</v>
      </c>
      <c r="AO3940" t="n">
        <v>2</v>
      </c>
      <c r="AP3940" t="n">
        <v>0</v>
      </c>
      <c r="AQ3940" t="n">
        <v>0</v>
      </c>
      <c r="AR3940" t="inlineStr">
        <is>
          <t>No</t>
        </is>
      </c>
      <c r="AS3940" t="inlineStr">
        <is>
          <t>No</t>
        </is>
      </c>
      <c r="AU3940">
        <f>HYPERLINK("https://creighton-primo.hosted.exlibrisgroup.com/primo-explore/search?tab=default_tab&amp;search_scope=EVERYTHING&amp;vid=01CRU&amp;lang=en_US&amp;offset=0&amp;query=any,contains,991003985319702656","Catalog Record")</f>
        <v/>
      </c>
      <c r="AV3940">
        <f>HYPERLINK("http://www.worldcat.org/oclc/59378700","WorldCat Record")</f>
        <v/>
      </c>
      <c r="AW3940" t="inlineStr">
        <is>
          <t>12577547:eng</t>
        </is>
      </c>
      <c r="AX3940" t="inlineStr">
        <is>
          <t>59378700</t>
        </is>
      </c>
      <c r="AY3940" t="inlineStr">
        <is>
          <t>991003985319702656</t>
        </is>
      </c>
      <c r="AZ3940" t="inlineStr">
        <is>
          <t>991003985319702656</t>
        </is>
      </c>
      <c r="BA3940" t="inlineStr">
        <is>
          <t>2267376850002656</t>
        </is>
      </c>
      <c r="BB3940" t="inlineStr">
        <is>
          <t>BOOK</t>
        </is>
      </c>
      <c r="BD3940" t="inlineStr">
        <is>
          <t>9780198186762</t>
        </is>
      </c>
      <c r="BE3940" t="inlineStr">
        <is>
          <t>32285004686092</t>
        </is>
      </c>
      <c r="BF3940" t="inlineStr">
        <is>
          <t>893512650</t>
        </is>
      </c>
    </row>
    <row r="3941">
      <c r="A3941" t="inlineStr">
        <is>
          <t>No</t>
        </is>
      </c>
      <c r="B3941" t="inlineStr">
        <is>
          <t>CURAL</t>
        </is>
      </c>
      <c r="C3941" t="inlineStr">
        <is>
          <t>SHELVES</t>
        </is>
      </c>
      <c r="D3941" t="inlineStr">
        <is>
          <t>PR888.W6 K49 1988</t>
        </is>
      </c>
      <c r="E3941" t="inlineStr">
        <is>
          <t>0                      PR 0888000W  6                  K  49          1988</t>
        </is>
      </c>
      <c r="F3941" t="inlineStr">
        <is>
          <t>Women novelists today : a survey of English writing in the seventies and eighties / Olga Kenyon.</t>
        </is>
      </c>
      <c r="H3941" t="inlineStr">
        <is>
          <t>No</t>
        </is>
      </c>
      <c r="I3941" t="inlineStr">
        <is>
          <t>1</t>
        </is>
      </c>
      <c r="J3941" t="inlineStr">
        <is>
          <t>No</t>
        </is>
      </c>
      <c r="K3941" t="inlineStr">
        <is>
          <t>No</t>
        </is>
      </c>
      <c r="L3941" t="inlineStr">
        <is>
          <t>0</t>
        </is>
      </c>
      <c r="M3941" t="inlineStr">
        <is>
          <t>Kenyon, Olga.</t>
        </is>
      </c>
      <c r="N3941" t="inlineStr">
        <is>
          <t>Brighton : Harvester, 1988.</t>
        </is>
      </c>
      <c r="O3941" t="inlineStr">
        <is>
          <t>1988</t>
        </is>
      </c>
      <c r="Q3941" t="inlineStr">
        <is>
          <t>eng</t>
        </is>
      </c>
      <c r="R3941" t="inlineStr">
        <is>
          <t>enk</t>
        </is>
      </c>
      <c r="T3941" t="inlineStr">
        <is>
          <t xml:space="preserve">PR </t>
        </is>
      </c>
      <c r="U3941" t="n">
        <v>0</v>
      </c>
      <c r="V3941" t="n">
        <v>0</v>
      </c>
      <c r="W3941" t="inlineStr">
        <is>
          <t>2002-05-01</t>
        </is>
      </c>
      <c r="X3941" t="inlineStr">
        <is>
          <t>2002-05-01</t>
        </is>
      </c>
      <c r="Y3941" t="inlineStr">
        <is>
          <t>1991-09-18</t>
        </is>
      </c>
      <c r="Z3941" t="inlineStr">
        <is>
          <t>1991-09-18</t>
        </is>
      </c>
      <c r="AA3941" t="n">
        <v>173</v>
      </c>
      <c r="AB3941" t="n">
        <v>44</v>
      </c>
      <c r="AC3941" t="n">
        <v>385</v>
      </c>
      <c r="AD3941" t="n">
        <v>3</v>
      </c>
      <c r="AE3941" t="n">
        <v>5</v>
      </c>
      <c r="AF3941" t="n">
        <v>3</v>
      </c>
      <c r="AG3941" t="n">
        <v>14</v>
      </c>
      <c r="AH3941" t="n">
        <v>0</v>
      </c>
      <c r="AI3941" t="n">
        <v>4</v>
      </c>
      <c r="AJ3941" t="n">
        <v>1</v>
      </c>
      <c r="AK3941" t="n">
        <v>3</v>
      </c>
      <c r="AL3941" t="n">
        <v>1</v>
      </c>
      <c r="AM3941" t="n">
        <v>8</v>
      </c>
      <c r="AN3941" t="n">
        <v>2</v>
      </c>
      <c r="AO3941" t="n">
        <v>4</v>
      </c>
      <c r="AP3941" t="n">
        <v>0</v>
      </c>
      <c r="AQ3941" t="n">
        <v>0</v>
      </c>
      <c r="AR3941" t="inlineStr">
        <is>
          <t>No</t>
        </is>
      </c>
      <c r="AS3941" t="inlineStr">
        <is>
          <t>Yes</t>
        </is>
      </c>
      <c r="AT3941">
        <f>HYPERLINK("http://catalog.hathitrust.org/Record/000924445","HathiTrust Record")</f>
        <v/>
      </c>
      <c r="AU3941">
        <f>HYPERLINK("https://creighton-primo.hosted.exlibrisgroup.com/primo-explore/search?tab=default_tab&amp;search_scope=EVERYTHING&amp;vid=01CRU&amp;lang=en_US&amp;offset=0&amp;query=any,contains,991001218409702656","Catalog Record")</f>
        <v/>
      </c>
      <c r="AV3941">
        <f>HYPERLINK("http://www.worldcat.org/oclc/243473622","WorldCat Record")</f>
        <v/>
      </c>
      <c r="AW3941" t="inlineStr">
        <is>
          <t>196660137:eng</t>
        </is>
      </c>
      <c r="AX3941" t="inlineStr">
        <is>
          <t>243473622</t>
        </is>
      </c>
      <c r="AY3941" t="inlineStr">
        <is>
          <t>991001218409702656</t>
        </is>
      </c>
      <c r="AZ3941" t="inlineStr">
        <is>
          <t>991001218409702656</t>
        </is>
      </c>
      <c r="BA3941" t="inlineStr">
        <is>
          <t>2256155510002656</t>
        </is>
      </c>
      <c r="BB3941" t="inlineStr">
        <is>
          <t>BOOK</t>
        </is>
      </c>
      <c r="BD3941" t="inlineStr">
        <is>
          <t>9780710811622</t>
        </is>
      </c>
      <c r="BE3941" t="inlineStr">
        <is>
          <t>32285000759026</t>
        </is>
      </c>
      <c r="BF3941" t="inlineStr">
        <is>
          <t>893528766</t>
        </is>
      </c>
    </row>
    <row r="3942">
      <c r="A3942" t="inlineStr">
        <is>
          <t>No</t>
        </is>
      </c>
      <c r="B3942" t="inlineStr">
        <is>
          <t>CURAL</t>
        </is>
      </c>
      <c r="C3942" t="inlineStr">
        <is>
          <t>SHELVES</t>
        </is>
      </c>
      <c r="D3942" t="inlineStr">
        <is>
          <t>PR888.W6 L46 1989</t>
        </is>
      </c>
      <c r="E3942" t="inlineStr">
        <is>
          <t>0                      PR 0888000W  6                  L  46          1989</t>
        </is>
      </c>
      <c r="F3942" t="inlineStr">
        <is>
          <t>Dangerous by degrees : women at Oxford and the Somerville College novelists / Susan J. Leonardi.</t>
        </is>
      </c>
      <c r="H3942" t="inlineStr">
        <is>
          <t>No</t>
        </is>
      </c>
      <c r="I3942" t="inlineStr">
        <is>
          <t>1</t>
        </is>
      </c>
      <c r="J3942" t="inlineStr">
        <is>
          <t>No</t>
        </is>
      </c>
      <c r="K3942" t="inlineStr">
        <is>
          <t>No</t>
        </is>
      </c>
      <c r="L3942" t="inlineStr">
        <is>
          <t>0</t>
        </is>
      </c>
      <c r="M3942" t="inlineStr">
        <is>
          <t>Leonardi, Susan J., 1946-</t>
        </is>
      </c>
      <c r="N3942" t="inlineStr">
        <is>
          <t>New Brunswick : Rutgers University Press, c1989.</t>
        </is>
      </c>
      <c r="O3942" t="inlineStr">
        <is>
          <t>1989</t>
        </is>
      </c>
      <c r="Q3942" t="inlineStr">
        <is>
          <t>eng</t>
        </is>
      </c>
      <c r="R3942" t="inlineStr">
        <is>
          <t>nju</t>
        </is>
      </c>
      <c r="T3942" t="inlineStr">
        <is>
          <t xml:space="preserve">PR </t>
        </is>
      </c>
      <c r="U3942" t="n">
        <v>3</v>
      </c>
      <c r="V3942" t="n">
        <v>3</v>
      </c>
      <c r="W3942" t="inlineStr">
        <is>
          <t>1997-10-30</t>
        </is>
      </c>
      <c r="X3942" t="inlineStr">
        <is>
          <t>1997-10-30</t>
        </is>
      </c>
      <c r="Y3942" t="inlineStr">
        <is>
          <t>1989-11-16</t>
        </is>
      </c>
      <c r="Z3942" t="inlineStr">
        <is>
          <t>1989-11-16</t>
        </is>
      </c>
      <c r="AA3942" t="n">
        <v>426</v>
      </c>
      <c r="AB3942" t="n">
        <v>341</v>
      </c>
      <c r="AC3942" t="n">
        <v>347</v>
      </c>
      <c r="AD3942" t="n">
        <v>5</v>
      </c>
      <c r="AE3942" t="n">
        <v>5</v>
      </c>
      <c r="AF3942" t="n">
        <v>17</v>
      </c>
      <c r="AG3942" t="n">
        <v>17</v>
      </c>
      <c r="AH3942" t="n">
        <v>1</v>
      </c>
      <c r="AI3942" t="n">
        <v>1</v>
      </c>
      <c r="AJ3942" t="n">
        <v>5</v>
      </c>
      <c r="AK3942" t="n">
        <v>5</v>
      </c>
      <c r="AL3942" t="n">
        <v>10</v>
      </c>
      <c r="AM3942" t="n">
        <v>10</v>
      </c>
      <c r="AN3942" t="n">
        <v>4</v>
      </c>
      <c r="AO3942" t="n">
        <v>4</v>
      </c>
      <c r="AP3942" t="n">
        <v>0</v>
      </c>
      <c r="AQ3942" t="n">
        <v>0</v>
      </c>
      <c r="AR3942" t="inlineStr">
        <is>
          <t>No</t>
        </is>
      </c>
      <c r="AS3942" t="inlineStr">
        <is>
          <t>No</t>
        </is>
      </c>
      <c r="AU3942">
        <f>HYPERLINK("https://creighton-primo.hosted.exlibrisgroup.com/primo-explore/search?tab=default_tab&amp;search_scope=EVERYTHING&amp;vid=01CRU&amp;lang=en_US&amp;offset=0&amp;query=any,contains,991001295019702656","Catalog Record")</f>
        <v/>
      </c>
      <c r="AV3942">
        <f>HYPERLINK("http://www.worldcat.org/oclc/18019838","WorldCat Record")</f>
        <v/>
      </c>
      <c r="AW3942" t="inlineStr">
        <is>
          <t>836702062:eng</t>
        </is>
      </c>
      <c r="AX3942" t="inlineStr">
        <is>
          <t>18019838</t>
        </is>
      </c>
      <c r="AY3942" t="inlineStr">
        <is>
          <t>991001295019702656</t>
        </is>
      </c>
      <c r="AZ3942" t="inlineStr">
        <is>
          <t>991001295019702656</t>
        </is>
      </c>
      <c r="BA3942" t="inlineStr">
        <is>
          <t>2255688430002656</t>
        </is>
      </c>
      <c r="BB3942" t="inlineStr">
        <is>
          <t>BOOK</t>
        </is>
      </c>
      <c r="BD3942" t="inlineStr">
        <is>
          <t>9780813513669</t>
        </is>
      </c>
      <c r="BE3942" t="inlineStr">
        <is>
          <t>32285000013937</t>
        </is>
      </c>
      <c r="BF3942" t="inlineStr">
        <is>
          <t>893596391</t>
        </is>
      </c>
    </row>
    <row r="3943">
      <c r="A3943" t="inlineStr">
        <is>
          <t>No</t>
        </is>
      </c>
      <c r="B3943" t="inlineStr">
        <is>
          <t>CURAL</t>
        </is>
      </c>
      <c r="C3943" t="inlineStr">
        <is>
          <t>SHELVES</t>
        </is>
      </c>
      <c r="D3943" t="inlineStr">
        <is>
          <t>PR888.W65 W66 1997</t>
        </is>
      </c>
      <c r="E3943" t="inlineStr">
        <is>
          <t>0                      PR 0888000W  65                 W  66          1997</t>
        </is>
      </c>
      <c r="F3943" t="inlineStr">
        <is>
          <t>Women's fiction and the Great War / edited by Suzanne Raitt and Trudi Tate.</t>
        </is>
      </c>
      <c r="H3943" t="inlineStr">
        <is>
          <t>No</t>
        </is>
      </c>
      <c r="I3943" t="inlineStr">
        <is>
          <t>1</t>
        </is>
      </c>
      <c r="J3943" t="inlineStr">
        <is>
          <t>No</t>
        </is>
      </c>
      <c r="K3943" t="inlineStr">
        <is>
          <t>No</t>
        </is>
      </c>
      <c r="L3943" t="inlineStr">
        <is>
          <t>0</t>
        </is>
      </c>
      <c r="N3943" t="inlineStr">
        <is>
          <t>Oxford ; New York : Clarendon Press, 1997.</t>
        </is>
      </c>
      <c r="O3943" t="inlineStr">
        <is>
          <t>1997</t>
        </is>
      </c>
      <c r="Q3943" t="inlineStr">
        <is>
          <t>eng</t>
        </is>
      </c>
      <c r="R3943" t="inlineStr">
        <is>
          <t>enk</t>
        </is>
      </c>
      <c r="T3943" t="inlineStr">
        <is>
          <t xml:space="preserve">PR </t>
        </is>
      </c>
      <c r="U3943" t="n">
        <v>2</v>
      </c>
      <c r="V3943" t="n">
        <v>2</v>
      </c>
      <c r="W3943" t="inlineStr">
        <is>
          <t>2008-04-09</t>
        </is>
      </c>
      <c r="X3943" t="inlineStr">
        <is>
          <t>2008-04-09</t>
        </is>
      </c>
      <c r="Y3943" t="inlineStr">
        <is>
          <t>1999-04-19</t>
        </is>
      </c>
      <c r="Z3943" t="inlineStr">
        <is>
          <t>1999-04-19</t>
        </is>
      </c>
      <c r="AA3943" t="n">
        <v>557</v>
      </c>
      <c r="AB3943" t="n">
        <v>411</v>
      </c>
      <c r="AC3943" t="n">
        <v>421</v>
      </c>
      <c r="AD3943" t="n">
        <v>3</v>
      </c>
      <c r="AE3943" t="n">
        <v>3</v>
      </c>
      <c r="AF3943" t="n">
        <v>25</v>
      </c>
      <c r="AG3943" t="n">
        <v>25</v>
      </c>
      <c r="AH3943" t="n">
        <v>9</v>
      </c>
      <c r="AI3943" t="n">
        <v>9</v>
      </c>
      <c r="AJ3943" t="n">
        <v>7</v>
      </c>
      <c r="AK3943" t="n">
        <v>7</v>
      </c>
      <c r="AL3943" t="n">
        <v>14</v>
      </c>
      <c r="AM3943" t="n">
        <v>14</v>
      </c>
      <c r="AN3943" t="n">
        <v>2</v>
      </c>
      <c r="AO3943" t="n">
        <v>2</v>
      </c>
      <c r="AP3943" t="n">
        <v>0</v>
      </c>
      <c r="AQ3943" t="n">
        <v>0</v>
      </c>
      <c r="AR3943" t="inlineStr">
        <is>
          <t>No</t>
        </is>
      </c>
      <c r="AS3943" t="inlineStr">
        <is>
          <t>Yes</t>
        </is>
      </c>
      <c r="AT3943">
        <f>HYPERLINK("http://catalog.hathitrust.org/Record/003178226","HathiTrust Record")</f>
        <v/>
      </c>
      <c r="AU3943">
        <f>HYPERLINK("https://creighton-primo.hosted.exlibrisgroup.com/primo-explore/search?tab=default_tab&amp;search_scope=EVERYTHING&amp;vid=01CRU&amp;lang=en_US&amp;offset=0&amp;query=any,contains,991002767219702656","Catalog Record")</f>
        <v/>
      </c>
      <c r="AV3943">
        <f>HYPERLINK("http://www.worldcat.org/oclc/36315818","WorldCat Record")</f>
        <v/>
      </c>
      <c r="AW3943" t="inlineStr">
        <is>
          <t>1075477747:eng</t>
        </is>
      </c>
      <c r="AX3943" t="inlineStr">
        <is>
          <t>36315818</t>
        </is>
      </c>
      <c r="AY3943" t="inlineStr">
        <is>
          <t>991002767219702656</t>
        </is>
      </c>
      <c r="AZ3943" t="inlineStr">
        <is>
          <t>991002767219702656</t>
        </is>
      </c>
      <c r="BA3943" t="inlineStr">
        <is>
          <t>2265038470002656</t>
        </is>
      </c>
      <c r="BB3943" t="inlineStr">
        <is>
          <t>BOOK</t>
        </is>
      </c>
      <c r="BD3943" t="inlineStr">
        <is>
          <t>9780198182788</t>
        </is>
      </c>
      <c r="BE3943" t="inlineStr">
        <is>
          <t>32285003553376</t>
        </is>
      </c>
      <c r="BF3943" t="inlineStr">
        <is>
          <t>893867683</t>
        </is>
      </c>
    </row>
    <row r="3944">
      <c r="A3944" t="inlineStr">
        <is>
          <t>No</t>
        </is>
      </c>
      <c r="B3944" t="inlineStr">
        <is>
          <t>CURAL</t>
        </is>
      </c>
      <c r="C3944" t="inlineStr">
        <is>
          <t>SHELVES</t>
        </is>
      </c>
      <c r="D3944" t="inlineStr">
        <is>
          <t>PR888.W66 F53 2001</t>
        </is>
      </c>
      <c r="E3944" t="inlineStr">
        <is>
          <t>0                      PR 0888000W  66                 F  53          2001</t>
        </is>
      </c>
      <c r="F3944" t="inlineStr">
        <is>
          <t>The fiction of the 1940s : stories of survival / edited by Rod Mengham and N.H. Reeve.</t>
        </is>
      </c>
      <c r="H3944" t="inlineStr">
        <is>
          <t>No</t>
        </is>
      </c>
      <c r="I3944" t="inlineStr">
        <is>
          <t>1</t>
        </is>
      </c>
      <c r="J3944" t="inlineStr">
        <is>
          <t>No</t>
        </is>
      </c>
      <c r="K3944" t="inlineStr">
        <is>
          <t>No</t>
        </is>
      </c>
      <c r="L3944" t="inlineStr">
        <is>
          <t>0</t>
        </is>
      </c>
      <c r="N3944" t="inlineStr">
        <is>
          <t>Houndmills, Basingstoke, Hampshire ; New York, N.Y. : Palgrave, 2001.</t>
        </is>
      </c>
      <c r="O3944" t="inlineStr">
        <is>
          <t>2001</t>
        </is>
      </c>
      <c r="Q3944" t="inlineStr">
        <is>
          <t>eng</t>
        </is>
      </c>
      <c r="R3944" t="inlineStr">
        <is>
          <t>enk</t>
        </is>
      </c>
      <c r="T3944" t="inlineStr">
        <is>
          <t xml:space="preserve">PR </t>
        </is>
      </c>
      <c r="U3944" t="n">
        <v>2</v>
      </c>
      <c r="V3944" t="n">
        <v>2</v>
      </c>
      <c r="W3944" t="inlineStr">
        <is>
          <t>2005-11-03</t>
        </is>
      </c>
      <c r="X3944" t="inlineStr">
        <is>
          <t>2005-11-03</t>
        </is>
      </c>
      <c r="Y3944" t="inlineStr">
        <is>
          <t>2002-03-21</t>
        </is>
      </c>
      <c r="Z3944" t="inlineStr">
        <is>
          <t>2002-03-21</t>
        </is>
      </c>
      <c r="AA3944" t="n">
        <v>298</v>
      </c>
      <c r="AB3944" t="n">
        <v>235</v>
      </c>
      <c r="AC3944" t="n">
        <v>240</v>
      </c>
      <c r="AD3944" t="n">
        <v>2</v>
      </c>
      <c r="AE3944" t="n">
        <v>2</v>
      </c>
      <c r="AF3944" t="n">
        <v>11</v>
      </c>
      <c r="AG3944" t="n">
        <v>11</v>
      </c>
      <c r="AH3944" t="n">
        <v>2</v>
      </c>
      <c r="AI3944" t="n">
        <v>2</v>
      </c>
      <c r="AJ3944" t="n">
        <v>4</v>
      </c>
      <c r="AK3944" t="n">
        <v>4</v>
      </c>
      <c r="AL3944" t="n">
        <v>6</v>
      </c>
      <c r="AM3944" t="n">
        <v>6</v>
      </c>
      <c r="AN3944" t="n">
        <v>1</v>
      </c>
      <c r="AO3944" t="n">
        <v>1</v>
      </c>
      <c r="AP3944" t="n">
        <v>0</v>
      </c>
      <c r="AQ3944" t="n">
        <v>0</v>
      </c>
      <c r="AR3944" t="inlineStr">
        <is>
          <t>No</t>
        </is>
      </c>
      <c r="AS3944" t="inlineStr">
        <is>
          <t>No</t>
        </is>
      </c>
      <c r="AU3944">
        <f>HYPERLINK("https://creighton-primo.hosted.exlibrisgroup.com/primo-explore/search?tab=default_tab&amp;search_scope=EVERYTHING&amp;vid=01CRU&amp;lang=en_US&amp;offset=0&amp;query=any,contains,991003733579702656","Catalog Record")</f>
        <v/>
      </c>
      <c r="AV3944">
        <f>HYPERLINK("http://www.worldcat.org/oclc/45620568","WorldCat Record")</f>
        <v/>
      </c>
      <c r="AW3944" t="inlineStr">
        <is>
          <t>837005636:eng</t>
        </is>
      </c>
      <c r="AX3944" t="inlineStr">
        <is>
          <t>45620568</t>
        </is>
      </c>
      <c r="AY3944" t="inlineStr">
        <is>
          <t>991003733579702656</t>
        </is>
      </c>
      <c r="AZ3944" t="inlineStr">
        <is>
          <t>991003733579702656</t>
        </is>
      </c>
      <c r="BA3944" t="inlineStr">
        <is>
          <t>2263333360002656</t>
        </is>
      </c>
      <c r="BB3944" t="inlineStr">
        <is>
          <t>BOOK</t>
        </is>
      </c>
      <c r="BD3944" t="inlineStr">
        <is>
          <t>9780333918852</t>
        </is>
      </c>
      <c r="BE3944" t="inlineStr">
        <is>
          <t>32285004463401</t>
        </is>
      </c>
      <c r="BF3944" t="inlineStr">
        <is>
          <t>893787680</t>
        </is>
      </c>
    </row>
    <row r="3945">
      <c r="A3945" t="inlineStr">
        <is>
          <t>No</t>
        </is>
      </c>
      <c r="B3945" t="inlineStr">
        <is>
          <t>CURAL</t>
        </is>
      </c>
      <c r="C3945" t="inlineStr">
        <is>
          <t>SHELVES</t>
        </is>
      </c>
      <c r="D3945" t="inlineStr">
        <is>
          <t>PR888.Y68 W47 2000</t>
        </is>
      </c>
      <c r="E3945" t="inlineStr">
        <is>
          <t>0                      PR 0888000Y  68                 W  47          2000</t>
        </is>
      </c>
      <c r="F3945" t="inlineStr">
        <is>
          <t>Giant Despair meets Hopeful : Kristevan readings in adolescent fiction / Martha Westwater.</t>
        </is>
      </c>
      <c r="H3945" t="inlineStr">
        <is>
          <t>No</t>
        </is>
      </c>
      <c r="I3945" t="inlineStr">
        <is>
          <t>1</t>
        </is>
      </c>
      <c r="J3945" t="inlineStr">
        <is>
          <t>No</t>
        </is>
      </c>
      <c r="K3945" t="inlineStr">
        <is>
          <t>No</t>
        </is>
      </c>
      <c r="L3945" t="inlineStr">
        <is>
          <t>0</t>
        </is>
      </c>
      <c r="M3945" t="inlineStr">
        <is>
          <t>Westwater, Martha, 1929-</t>
        </is>
      </c>
      <c r="N3945" t="inlineStr">
        <is>
          <t>Edmonton : University of Alberta Press, c2000.</t>
        </is>
      </c>
      <c r="O3945" t="inlineStr">
        <is>
          <t>2000</t>
        </is>
      </c>
      <c r="Q3945" t="inlineStr">
        <is>
          <t>eng</t>
        </is>
      </c>
      <c r="R3945" t="inlineStr">
        <is>
          <t>abc</t>
        </is>
      </c>
      <c r="T3945" t="inlineStr">
        <is>
          <t xml:space="preserve">PR </t>
        </is>
      </c>
      <c r="U3945" t="n">
        <v>1</v>
      </c>
      <c r="V3945" t="n">
        <v>1</v>
      </c>
      <c r="W3945" t="inlineStr">
        <is>
          <t>2001-01-10</t>
        </is>
      </c>
      <c r="X3945" t="inlineStr">
        <is>
          <t>2001-01-10</t>
        </is>
      </c>
      <c r="Y3945" t="inlineStr">
        <is>
          <t>2001-01-10</t>
        </is>
      </c>
      <c r="Z3945" t="inlineStr">
        <is>
          <t>2001-01-10</t>
        </is>
      </c>
      <c r="AA3945" t="n">
        <v>211</v>
      </c>
      <c r="AB3945" t="n">
        <v>165</v>
      </c>
      <c r="AC3945" t="n">
        <v>165</v>
      </c>
      <c r="AD3945" t="n">
        <v>3</v>
      </c>
      <c r="AE3945" t="n">
        <v>3</v>
      </c>
      <c r="AF3945" t="n">
        <v>8</v>
      </c>
      <c r="AG3945" t="n">
        <v>8</v>
      </c>
      <c r="AH3945" t="n">
        <v>3</v>
      </c>
      <c r="AI3945" t="n">
        <v>3</v>
      </c>
      <c r="AJ3945" t="n">
        <v>0</v>
      </c>
      <c r="AK3945" t="n">
        <v>0</v>
      </c>
      <c r="AL3945" t="n">
        <v>3</v>
      </c>
      <c r="AM3945" t="n">
        <v>3</v>
      </c>
      <c r="AN3945" t="n">
        <v>2</v>
      </c>
      <c r="AO3945" t="n">
        <v>2</v>
      </c>
      <c r="AP3945" t="n">
        <v>0</v>
      </c>
      <c r="AQ3945" t="n">
        <v>0</v>
      </c>
      <c r="AR3945" t="inlineStr">
        <is>
          <t>No</t>
        </is>
      </c>
      <c r="AS3945" t="inlineStr">
        <is>
          <t>No</t>
        </is>
      </c>
      <c r="AU3945">
        <f>HYPERLINK("https://creighton-primo.hosted.exlibrisgroup.com/primo-explore/search?tab=default_tab&amp;search_scope=EVERYTHING&amp;vid=01CRU&amp;lang=en_US&amp;offset=0&amp;query=any,contains,991003324319702656","Catalog Record")</f>
        <v/>
      </c>
      <c r="AV3945">
        <f>HYPERLINK("http://www.worldcat.org/oclc/43427725","WorldCat Record")</f>
        <v/>
      </c>
      <c r="AW3945" t="inlineStr">
        <is>
          <t>118704573:eng</t>
        </is>
      </c>
      <c r="AX3945" t="inlineStr">
        <is>
          <t>43427725</t>
        </is>
      </c>
      <c r="AY3945" t="inlineStr">
        <is>
          <t>991003324319702656</t>
        </is>
      </c>
      <c r="AZ3945" t="inlineStr">
        <is>
          <t>991003324319702656</t>
        </is>
      </c>
      <c r="BA3945" t="inlineStr">
        <is>
          <t>2260555600002656</t>
        </is>
      </c>
      <c r="BB3945" t="inlineStr">
        <is>
          <t>BOOK</t>
        </is>
      </c>
      <c r="BD3945" t="inlineStr">
        <is>
          <t>9780888643209</t>
        </is>
      </c>
      <c r="BE3945" t="inlineStr">
        <is>
          <t>32285004282264</t>
        </is>
      </c>
      <c r="BF3945" t="inlineStr">
        <is>
          <t>893893616</t>
        </is>
      </c>
    </row>
    <row r="3946">
      <c r="A3946" t="inlineStr">
        <is>
          <t>No</t>
        </is>
      </c>
      <c r="B3946" t="inlineStr">
        <is>
          <t>CURAL</t>
        </is>
      </c>
      <c r="C3946" t="inlineStr">
        <is>
          <t>SHELVES</t>
        </is>
      </c>
      <c r="D3946" t="inlineStr">
        <is>
          <t>PR9080 .E53 1981</t>
        </is>
      </c>
      <c r="E3946" t="inlineStr">
        <is>
          <t>0                      PR 9080000E  53          1981</t>
        </is>
      </c>
      <c r="F3946" t="inlineStr">
        <is>
          <t>English literature : opening up the canon / edited by Leslie A. Fiedler and Houston A. Baker, Jr.</t>
        </is>
      </c>
      <c r="H3946" t="inlineStr">
        <is>
          <t>No</t>
        </is>
      </c>
      <c r="I3946" t="inlineStr">
        <is>
          <t>1</t>
        </is>
      </c>
      <c r="J3946" t="inlineStr">
        <is>
          <t>No</t>
        </is>
      </c>
      <c r="K3946" t="inlineStr">
        <is>
          <t>No</t>
        </is>
      </c>
      <c r="L3946" t="inlineStr">
        <is>
          <t>0</t>
        </is>
      </c>
      <c r="M3946" t="inlineStr">
        <is>
          <t>English Institute.</t>
        </is>
      </c>
      <c r="N3946" t="inlineStr">
        <is>
          <t>Baltimore : Johns Hopkins University Press, c1981.</t>
        </is>
      </c>
      <c r="O3946" t="inlineStr">
        <is>
          <t>1981</t>
        </is>
      </c>
      <c r="Q3946" t="inlineStr">
        <is>
          <t>eng</t>
        </is>
      </c>
      <c r="R3946" t="inlineStr">
        <is>
          <t>mdu</t>
        </is>
      </c>
      <c r="S3946" t="inlineStr">
        <is>
          <t>Selected papers from the English Institute ; 1979, new ser., no. 4</t>
        </is>
      </c>
      <c r="T3946" t="inlineStr">
        <is>
          <t xml:space="preserve">PR </t>
        </is>
      </c>
      <c r="U3946" t="n">
        <v>2</v>
      </c>
      <c r="V3946" t="n">
        <v>2</v>
      </c>
      <c r="W3946" t="inlineStr">
        <is>
          <t>1995-04-24</t>
        </is>
      </c>
      <c r="X3946" t="inlineStr">
        <is>
          <t>1995-04-24</t>
        </is>
      </c>
      <c r="Y3946" t="inlineStr">
        <is>
          <t>1990-01-30</t>
        </is>
      </c>
      <c r="Z3946" t="inlineStr">
        <is>
          <t>1990-01-30</t>
        </is>
      </c>
      <c r="AA3946" t="n">
        <v>725</v>
      </c>
      <c r="AB3946" t="n">
        <v>598</v>
      </c>
      <c r="AC3946" t="n">
        <v>723</v>
      </c>
      <c r="AD3946" t="n">
        <v>6</v>
      </c>
      <c r="AE3946" t="n">
        <v>7</v>
      </c>
      <c r="AF3946" t="n">
        <v>40</v>
      </c>
      <c r="AG3946" t="n">
        <v>45</v>
      </c>
      <c r="AH3946" t="n">
        <v>19</v>
      </c>
      <c r="AI3946" t="n">
        <v>21</v>
      </c>
      <c r="AJ3946" t="n">
        <v>8</v>
      </c>
      <c r="AK3946" t="n">
        <v>9</v>
      </c>
      <c r="AL3946" t="n">
        <v>19</v>
      </c>
      <c r="AM3946" t="n">
        <v>20</v>
      </c>
      <c r="AN3946" t="n">
        <v>5</v>
      </c>
      <c r="AO3946" t="n">
        <v>6</v>
      </c>
      <c r="AP3946" t="n">
        <v>0</v>
      </c>
      <c r="AQ3946" t="n">
        <v>0</v>
      </c>
      <c r="AR3946" t="inlineStr">
        <is>
          <t>No</t>
        </is>
      </c>
      <c r="AS3946" t="inlineStr">
        <is>
          <t>Yes</t>
        </is>
      </c>
      <c r="AT3946">
        <f>HYPERLINK("http://catalog.hathitrust.org/Record/000186580","HathiTrust Record")</f>
        <v/>
      </c>
      <c r="AU3946">
        <f>HYPERLINK("https://creighton-primo.hosted.exlibrisgroup.com/primo-explore/search?tab=default_tab&amp;search_scope=EVERYTHING&amp;vid=01CRU&amp;lang=en_US&amp;offset=0&amp;query=any,contains,991005086889702656","Catalog Record")</f>
        <v/>
      </c>
      <c r="AV3946">
        <f>HYPERLINK("http://www.worldcat.org/oclc/7197144","WorldCat Record")</f>
        <v/>
      </c>
      <c r="AW3946" t="inlineStr">
        <is>
          <t>889539302:eng</t>
        </is>
      </c>
      <c r="AX3946" t="inlineStr">
        <is>
          <t>7197144</t>
        </is>
      </c>
      <c r="AY3946" t="inlineStr">
        <is>
          <t>991005086889702656</t>
        </is>
      </c>
      <c r="AZ3946" t="inlineStr">
        <is>
          <t>991005086889702656</t>
        </is>
      </c>
      <c r="BA3946" t="inlineStr">
        <is>
          <t>2255550960002656</t>
        </is>
      </c>
      <c r="BB3946" t="inlineStr">
        <is>
          <t>BOOK</t>
        </is>
      </c>
      <c r="BD3946" t="inlineStr">
        <is>
          <t>9780801825910</t>
        </is>
      </c>
      <c r="BE3946" t="inlineStr">
        <is>
          <t>32285000035930</t>
        </is>
      </c>
      <c r="BF3946" t="inlineStr">
        <is>
          <t>893619423</t>
        </is>
      </c>
    </row>
    <row r="3947">
      <c r="A3947" t="inlineStr">
        <is>
          <t>No</t>
        </is>
      </c>
      <c r="B3947" t="inlineStr">
        <is>
          <t>CURAL</t>
        </is>
      </c>
      <c r="C3947" t="inlineStr">
        <is>
          <t>SHELVES</t>
        </is>
      </c>
      <c r="D3947" t="inlineStr">
        <is>
          <t>PR9080 .I57 1991</t>
        </is>
      </c>
      <c r="E3947" t="inlineStr">
        <is>
          <t>0                      PR 9080000I  57          1991</t>
        </is>
      </c>
      <c r="F3947" t="inlineStr">
        <is>
          <t>International literature in English : essays on the major writers / edited by Robert L. Ross.</t>
        </is>
      </c>
      <c r="H3947" t="inlineStr">
        <is>
          <t>No</t>
        </is>
      </c>
      <c r="I3947" t="inlineStr">
        <is>
          <t>1</t>
        </is>
      </c>
      <c r="J3947" t="inlineStr">
        <is>
          <t>No</t>
        </is>
      </c>
      <c r="K3947" t="inlineStr">
        <is>
          <t>No</t>
        </is>
      </c>
      <c r="L3947" t="inlineStr">
        <is>
          <t>0</t>
        </is>
      </c>
      <c r="N3947" t="inlineStr">
        <is>
          <t>New York : Garland Pub., 1991.</t>
        </is>
      </c>
      <c r="O3947" t="inlineStr">
        <is>
          <t>1991</t>
        </is>
      </c>
      <c r="Q3947" t="inlineStr">
        <is>
          <t>eng</t>
        </is>
      </c>
      <c r="R3947" t="inlineStr">
        <is>
          <t>nyu</t>
        </is>
      </c>
      <c r="S3947" t="inlineStr">
        <is>
          <t>Garland reference library of the humanities ; vol. 1159</t>
        </is>
      </c>
      <c r="T3947" t="inlineStr">
        <is>
          <t xml:space="preserve">PR </t>
        </is>
      </c>
      <c r="U3947" t="n">
        <v>1</v>
      </c>
      <c r="V3947" t="n">
        <v>1</v>
      </c>
      <c r="W3947" t="inlineStr">
        <is>
          <t>2001-04-23</t>
        </is>
      </c>
      <c r="X3947" t="inlineStr">
        <is>
          <t>2001-04-23</t>
        </is>
      </c>
      <c r="Y3947" t="inlineStr">
        <is>
          <t>1996-04-01</t>
        </is>
      </c>
      <c r="Z3947" t="inlineStr">
        <is>
          <t>1996-04-01</t>
        </is>
      </c>
      <c r="AA3947" t="n">
        <v>494</v>
      </c>
      <c r="AB3947" t="n">
        <v>387</v>
      </c>
      <c r="AC3947" t="n">
        <v>392</v>
      </c>
      <c r="AD3947" t="n">
        <v>5</v>
      </c>
      <c r="AE3947" t="n">
        <v>5</v>
      </c>
      <c r="AF3947" t="n">
        <v>25</v>
      </c>
      <c r="AG3947" t="n">
        <v>25</v>
      </c>
      <c r="AH3947" t="n">
        <v>7</v>
      </c>
      <c r="AI3947" t="n">
        <v>7</v>
      </c>
      <c r="AJ3947" t="n">
        <v>7</v>
      </c>
      <c r="AK3947" t="n">
        <v>7</v>
      </c>
      <c r="AL3947" t="n">
        <v>12</v>
      </c>
      <c r="AM3947" t="n">
        <v>12</v>
      </c>
      <c r="AN3947" t="n">
        <v>4</v>
      </c>
      <c r="AO3947" t="n">
        <v>4</v>
      </c>
      <c r="AP3947" t="n">
        <v>0</v>
      </c>
      <c r="AQ3947" t="n">
        <v>0</v>
      </c>
      <c r="AR3947" t="inlineStr">
        <is>
          <t>No</t>
        </is>
      </c>
      <c r="AS3947" t="inlineStr">
        <is>
          <t>No</t>
        </is>
      </c>
      <c r="AU3947">
        <f>HYPERLINK("https://creighton-primo.hosted.exlibrisgroup.com/primo-explore/search?tab=default_tab&amp;search_scope=EVERYTHING&amp;vid=01CRU&amp;lang=en_US&amp;offset=0&amp;query=any,contains,991001813849702656","Catalog Record")</f>
        <v/>
      </c>
      <c r="AV3947">
        <f>HYPERLINK("http://www.worldcat.org/oclc/22767256","WorldCat Record")</f>
        <v/>
      </c>
      <c r="AW3947" t="inlineStr">
        <is>
          <t>808796177:eng</t>
        </is>
      </c>
      <c r="AX3947" t="inlineStr">
        <is>
          <t>22767256</t>
        </is>
      </c>
      <c r="AY3947" t="inlineStr">
        <is>
          <t>991001813849702656</t>
        </is>
      </c>
      <c r="AZ3947" t="inlineStr">
        <is>
          <t>991001813849702656</t>
        </is>
      </c>
      <c r="BA3947" t="inlineStr">
        <is>
          <t>2261496530002656</t>
        </is>
      </c>
      <c r="BB3947" t="inlineStr">
        <is>
          <t>BOOK</t>
        </is>
      </c>
      <c r="BD3947" t="inlineStr">
        <is>
          <t>9780824034375</t>
        </is>
      </c>
      <c r="BE3947" t="inlineStr">
        <is>
          <t>32285002148608</t>
        </is>
      </c>
      <c r="BF3947" t="inlineStr">
        <is>
          <t>893709568</t>
        </is>
      </c>
    </row>
    <row r="3948">
      <c r="A3948" t="inlineStr">
        <is>
          <t>No</t>
        </is>
      </c>
      <c r="B3948" t="inlineStr">
        <is>
          <t>CURAL</t>
        </is>
      </c>
      <c r="C3948" t="inlineStr">
        <is>
          <t>SHELVES</t>
        </is>
      </c>
      <c r="D3948" t="inlineStr">
        <is>
          <t>PR9080 .N49 1998</t>
        </is>
      </c>
      <c r="E3948" t="inlineStr">
        <is>
          <t>0                      PR 9080000N  49          1998</t>
        </is>
      </c>
      <c r="F3948" t="inlineStr">
        <is>
          <t>New national and post-colonial literatures : an introduction / edited by Bruce King.</t>
        </is>
      </c>
      <c r="H3948" t="inlineStr">
        <is>
          <t>No</t>
        </is>
      </c>
      <c r="I3948" t="inlineStr">
        <is>
          <t>1</t>
        </is>
      </c>
      <c r="J3948" t="inlineStr">
        <is>
          <t>No</t>
        </is>
      </c>
      <c r="K3948" t="inlineStr">
        <is>
          <t>No</t>
        </is>
      </c>
      <c r="L3948" t="inlineStr">
        <is>
          <t>0</t>
        </is>
      </c>
      <c r="N3948" t="inlineStr">
        <is>
          <t>Oxford : Clarendon Press ; New York : Oxford University Press, 1998.</t>
        </is>
      </c>
      <c r="O3948" t="inlineStr">
        <is>
          <t>1998</t>
        </is>
      </c>
      <c r="P3948" t="inlineStr">
        <is>
          <t>Clarendon pbk. [ed.].</t>
        </is>
      </c>
      <c r="Q3948" t="inlineStr">
        <is>
          <t>eng</t>
        </is>
      </c>
      <c r="R3948" t="inlineStr">
        <is>
          <t>enk</t>
        </is>
      </c>
      <c r="T3948" t="inlineStr">
        <is>
          <t xml:space="preserve">PR </t>
        </is>
      </c>
      <c r="U3948" t="n">
        <v>8</v>
      </c>
      <c r="V3948" t="n">
        <v>8</v>
      </c>
      <c r="W3948" t="inlineStr">
        <is>
          <t>2005-04-05</t>
        </is>
      </c>
      <c r="X3948" t="inlineStr">
        <is>
          <t>2005-04-05</t>
        </is>
      </c>
      <c r="Y3948" t="inlineStr">
        <is>
          <t>1999-11-01</t>
        </is>
      </c>
      <c r="Z3948" t="inlineStr">
        <is>
          <t>1999-11-01</t>
        </is>
      </c>
      <c r="AA3948" t="n">
        <v>97</v>
      </c>
      <c r="AB3948" t="n">
        <v>73</v>
      </c>
      <c r="AC3948" t="n">
        <v>358</v>
      </c>
      <c r="AD3948" t="n">
        <v>2</v>
      </c>
      <c r="AE3948" t="n">
        <v>5</v>
      </c>
      <c r="AF3948" t="n">
        <v>5</v>
      </c>
      <c r="AG3948" t="n">
        <v>26</v>
      </c>
      <c r="AH3948" t="n">
        <v>2</v>
      </c>
      <c r="AI3948" t="n">
        <v>10</v>
      </c>
      <c r="AJ3948" t="n">
        <v>0</v>
      </c>
      <c r="AK3948" t="n">
        <v>5</v>
      </c>
      <c r="AL3948" t="n">
        <v>3</v>
      </c>
      <c r="AM3948" t="n">
        <v>11</v>
      </c>
      <c r="AN3948" t="n">
        <v>1</v>
      </c>
      <c r="AO3948" t="n">
        <v>4</v>
      </c>
      <c r="AP3948" t="n">
        <v>0</v>
      </c>
      <c r="AQ3948" t="n">
        <v>0</v>
      </c>
      <c r="AR3948" t="inlineStr">
        <is>
          <t>No</t>
        </is>
      </c>
      <c r="AS3948" t="inlineStr">
        <is>
          <t>No</t>
        </is>
      </c>
      <c r="AU3948">
        <f>HYPERLINK("https://creighton-primo.hosted.exlibrisgroup.com/primo-explore/search?tab=default_tab&amp;search_scope=EVERYTHING&amp;vid=01CRU&amp;lang=en_US&amp;offset=0&amp;query=any,contains,991005429579702656","Catalog Record")</f>
        <v/>
      </c>
      <c r="AV3948">
        <f>HYPERLINK("http://www.worldcat.org/oclc/40115316","WorldCat Record")</f>
        <v/>
      </c>
      <c r="AW3948" t="inlineStr">
        <is>
          <t>795025874:eng</t>
        </is>
      </c>
      <c r="AX3948" t="inlineStr">
        <is>
          <t>40115316</t>
        </is>
      </c>
      <c r="AY3948" t="inlineStr">
        <is>
          <t>991005429579702656</t>
        </is>
      </c>
      <c r="AZ3948" t="inlineStr">
        <is>
          <t>991005429579702656</t>
        </is>
      </c>
      <c r="BA3948" t="inlineStr">
        <is>
          <t>2256084440002656</t>
        </is>
      </c>
      <c r="BB3948" t="inlineStr">
        <is>
          <t>BOOK</t>
        </is>
      </c>
      <c r="BD3948" t="inlineStr">
        <is>
          <t>9780198184843</t>
        </is>
      </c>
      <c r="BE3948" t="inlineStr">
        <is>
          <t>32285003616272</t>
        </is>
      </c>
      <c r="BF3948" t="inlineStr">
        <is>
          <t>893707916</t>
        </is>
      </c>
    </row>
    <row r="3949">
      <c r="A3949" t="inlineStr">
        <is>
          <t>No</t>
        </is>
      </c>
      <c r="B3949" t="inlineStr">
        <is>
          <t>CURAL</t>
        </is>
      </c>
      <c r="C3949" t="inlineStr">
        <is>
          <t>SHELVES</t>
        </is>
      </c>
      <c r="D3949" t="inlineStr">
        <is>
          <t>PR9080 .R42 1993</t>
        </is>
      </c>
      <c r="E3949" t="inlineStr">
        <is>
          <t>0                      PR 9080000R  42          1993</t>
        </is>
      </c>
      <c r="F3949" t="inlineStr">
        <is>
          <t>Recasting the world : writing after colonialism / edited by Jonathan White.</t>
        </is>
      </c>
      <c r="H3949" t="inlineStr">
        <is>
          <t>No</t>
        </is>
      </c>
      <c r="I3949" t="inlineStr">
        <is>
          <t>1</t>
        </is>
      </c>
      <c r="J3949" t="inlineStr">
        <is>
          <t>No</t>
        </is>
      </c>
      <c r="K3949" t="inlineStr">
        <is>
          <t>No</t>
        </is>
      </c>
      <c r="L3949" t="inlineStr">
        <is>
          <t>0</t>
        </is>
      </c>
      <c r="N3949" t="inlineStr">
        <is>
          <t>Baltimore : Johns Hopkins University Press, c1993.</t>
        </is>
      </c>
      <c r="O3949" t="inlineStr">
        <is>
          <t>1993</t>
        </is>
      </c>
      <c r="Q3949" t="inlineStr">
        <is>
          <t>eng</t>
        </is>
      </c>
      <c r="R3949" t="inlineStr">
        <is>
          <t>mdu</t>
        </is>
      </c>
      <c r="S3949" t="inlineStr">
        <is>
          <t>Parallax : revisions of culture and society</t>
        </is>
      </c>
      <c r="T3949" t="inlineStr">
        <is>
          <t xml:space="preserve">PR </t>
        </is>
      </c>
      <c r="U3949" t="n">
        <v>1</v>
      </c>
      <c r="V3949" t="n">
        <v>1</v>
      </c>
      <c r="W3949" t="inlineStr">
        <is>
          <t>2008-12-07</t>
        </is>
      </c>
      <c r="X3949" t="inlineStr">
        <is>
          <t>2008-12-07</t>
        </is>
      </c>
      <c r="Y3949" t="inlineStr">
        <is>
          <t>1994-12-13</t>
        </is>
      </c>
      <c r="Z3949" t="inlineStr">
        <is>
          <t>1994-12-13</t>
        </is>
      </c>
      <c r="AA3949" t="n">
        <v>642</v>
      </c>
      <c r="AB3949" t="n">
        <v>491</v>
      </c>
      <c r="AC3949" t="n">
        <v>497</v>
      </c>
      <c r="AD3949" t="n">
        <v>7</v>
      </c>
      <c r="AE3949" t="n">
        <v>7</v>
      </c>
      <c r="AF3949" t="n">
        <v>29</v>
      </c>
      <c r="AG3949" t="n">
        <v>29</v>
      </c>
      <c r="AH3949" t="n">
        <v>13</v>
      </c>
      <c r="AI3949" t="n">
        <v>13</v>
      </c>
      <c r="AJ3949" t="n">
        <v>7</v>
      </c>
      <c r="AK3949" t="n">
        <v>7</v>
      </c>
      <c r="AL3949" t="n">
        <v>12</v>
      </c>
      <c r="AM3949" t="n">
        <v>12</v>
      </c>
      <c r="AN3949" t="n">
        <v>6</v>
      </c>
      <c r="AO3949" t="n">
        <v>6</v>
      </c>
      <c r="AP3949" t="n">
        <v>0</v>
      </c>
      <c r="AQ3949" t="n">
        <v>0</v>
      </c>
      <c r="AR3949" t="inlineStr">
        <is>
          <t>No</t>
        </is>
      </c>
      <c r="AS3949" t="inlineStr">
        <is>
          <t>Yes</t>
        </is>
      </c>
      <c r="AT3949">
        <f>HYPERLINK("http://catalog.hathitrust.org/Record/002801597","HathiTrust Record")</f>
        <v/>
      </c>
      <c r="AU3949">
        <f>HYPERLINK("https://creighton-primo.hosted.exlibrisgroup.com/primo-explore/search?tab=default_tab&amp;search_scope=EVERYTHING&amp;vid=01CRU&amp;lang=en_US&amp;offset=0&amp;query=any,contains,991002145789702656","Catalog Record")</f>
        <v/>
      </c>
      <c r="AV3949">
        <f>HYPERLINK("http://www.worldcat.org/oclc/27642056","WorldCat Record")</f>
        <v/>
      </c>
      <c r="AW3949" t="inlineStr">
        <is>
          <t>890946805:eng</t>
        </is>
      </c>
      <c r="AX3949" t="inlineStr">
        <is>
          <t>27642056</t>
        </is>
      </c>
      <c r="AY3949" t="inlineStr">
        <is>
          <t>991002145789702656</t>
        </is>
      </c>
      <c r="AZ3949" t="inlineStr">
        <is>
          <t>991002145789702656</t>
        </is>
      </c>
      <c r="BA3949" t="inlineStr">
        <is>
          <t>2255796410002656</t>
        </is>
      </c>
      <c r="BB3949" t="inlineStr">
        <is>
          <t>BOOK</t>
        </is>
      </c>
      <c r="BD3949" t="inlineStr">
        <is>
          <t>9780801846052</t>
        </is>
      </c>
      <c r="BE3949" t="inlineStr">
        <is>
          <t>32285001976280</t>
        </is>
      </c>
      <c r="BF3949" t="inlineStr">
        <is>
          <t>893516939</t>
        </is>
      </c>
    </row>
    <row r="3950">
      <c r="A3950" t="inlineStr">
        <is>
          <t>No</t>
        </is>
      </c>
      <c r="B3950" t="inlineStr">
        <is>
          <t>CURAL</t>
        </is>
      </c>
      <c r="C3950" t="inlineStr">
        <is>
          <t>SHELVES</t>
        </is>
      </c>
      <c r="D3950" t="inlineStr">
        <is>
          <t>PR9080 .W3 1970</t>
        </is>
      </c>
      <c r="E3950" t="inlineStr">
        <is>
          <t>0                      PR 9080000W  3           1970</t>
        </is>
      </c>
      <c r="F3950" t="inlineStr">
        <is>
          <t>A manifold voice; studies in Commonwealth literature.</t>
        </is>
      </c>
      <c r="H3950" t="inlineStr">
        <is>
          <t>No</t>
        </is>
      </c>
      <c r="I3950" t="inlineStr">
        <is>
          <t>1</t>
        </is>
      </c>
      <c r="J3950" t="inlineStr">
        <is>
          <t>No</t>
        </is>
      </c>
      <c r="K3950" t="inlineStr">
        <is>
          <t>No</t>
        </is>
      </c>
      <c r="L3950" t="inlineStr">
        <is>
          <t>0</t>
        </is>
      </c>
      <c r="M3950" t="inlineStr">
        <is>
          <t>Walsh, William, 1916-1996.</t>
        </is>
      </c>
      <c r="N3950" t="inlineStr">
        <is>
          <t>New York, Barnes &amp; Noble [1970]</t>
        </is>
      </c>
      <c r="O3950" t="inlineStr">
        <is>
          <t>1970</t>
        </is>
      </c>
      <c r="Q3950" t="inlineStr">
        <is>
          <t>eng</t>
        </is>
      </c>
      <c r="R3950" t="inlineStr">
        <is>
          <t>nyu</t>
        </is>
      </c>
      <c r="T3950" t="inlineStr">
        <is>
          <t xml:space="preserve">PR </t>
        </is>
      </c>
      <c r="U3950" t="n">
        <v>6</v>
      </c>
      <c r="V3950" t="n">
        <v>6</v>
      </c>
      <c r="W3950" t="inlineStr">
        <is>
          <t>2001-04-09</t>
        </is>
      </c>
      <c r="X3950" t="inlineStr">
        <is>
          <t>2001-04-09</t>
        </is>
      </c>
      <c r="Y3950" t="inlineStr">
        <is>
          <t>1997-07-03</t>
        </is>
      </c>
      <c r="Z3950" t="inlineStr">
        <is>
          <t>1997-07-03</t>
        </is>
      </c>
      <c r="AA3950" t="n">
        <v>403</v>
      </c>
      <c r="AB3950" t="n">
        <v>362</v>
      </c>
      <c r="AC3950" t="n">
        <v>576</v>
      </c>
      <c r="AD3950" t="n">
        <v>4</v>
      </c>
      <c r="AE3950" t="n">
        <v>8</v>
      </c>
      <c r="AF3950" t="n">
        <v>21</v>
      </c>
      <c r="AG3950" t="n">
        <v>33</v>
      </c>
      <c r="AH3950" t="n">
        <v>8</v>
      </c>
      <c r="AI3950" t="n">
        <v>14</v>
      </c>
      <c r="AJ3950" t="n">
        <v>3</v>
      </c>
      <c r="AK3950" t="n">
        <v>4</v>
      </c>
      <c r="AL3950" t="n">
        <v>10</v>
      </c>
      <c r="AM3950" t="n">
        <v>13</v>
      </c>
      <c r="AN3950" t="n">
        <v>3</v>
      </c>
      <c r="AO3950" t="n">
        <v>7</v>
      </c>
      <c r="AP3950" t="n">
        <v>0</v>
      </c>
      <c r="AQ3950" t="n">
        <v>0</v>
      </c>
      <c r="AR3950" t="inlineStr">
        <is>
          <t>No</t>
        </is>
      </c>
      <c r="AS3950" t="inlineStr">
        <is>
          <t>Yes</t>
        </is>
      </c>
      <c r="AT3950">
        <f>HYPERLINK("http://catalog.hathitrust.org/Record/001420060","HathiTrust Record")</f>
        <v/>
      </c>
      <c r="AU3950">
        <f>HYPERLINK("https://creighton-primo.hosted.exlibrisgroup.com/primo-explore/search?tab=default_tab&amp;search_scope=EVERYTHING&amp;vid=01CRU&amp;lang=en_US&amp;offset=0&amp;query=any,contains,991000519689702656","Catalog Record")</f>
        <v/>
      </c>
      <c r="AV3950">
        <f>HYPERLINK("http://www.worldcat.org/oclc/87567","WorldCat Record")</f>
        <v/>
      </c>
      <c r="AW3950" t="inlineStr">
        <is>
          <t>1286483:eng</t>
        </is>
      </c>
      <c r="AX3950" t="inlineStr">
        <is>
          <t>87567</t>
        </is>
      </c>
      <c r="AY3950" t="inlineStr">
        <is>
          <t>991000519689702656</t>
        </is>
      </c>
      <c r="AZ3950" t="inlineStr">
        <is>
          <t>991000519689702656</t>
        </is>
      </c>
      <c r="BA3950" t="inlineStr">
        <is>
          <t>2268841030002656</t>
        </is>
      </c>
      <c r="BB3950" t="inlineStr">
        <is>
          <t>BOOK</t>
        </is>
      </c>
      <c r="BD3950" t="inlineStr">
        <is>
          <t>9780389013327</t>
        </is>
      </c>
      <c r="BE3950" t="inlineStr">
        <is>
          <t>32285002888567</t>
        </is>
      </c>
      <c r="BF3950" t="inlineStr">
        <is>
          <t>893890763</t>
        </is>
      </c>
    </row>
    <row r="3951">
      <c r="A3951" t="inlineStr">
        <is>
          <t>No</t>
        </is>
      </c>
      <c r="B3951" t="inlineStr">
        <is>
          <t>CURAL</t>
        </is>
      </c>
      <c r="C3951" t="inlineStr">
        <is>
          <t>SHELVES</t>
        </is>
      </c>
      <c r="D3951" t="inlineStr">
        <is>
          <t>PR9184.3 .A8</t>
        </is>
      </c>
      <c r="E3951" t="inlineStr">
        <is>
          <t>0                      PR 9184300A  8</t>
        </is>
      </c>
      <c r="F3951" t="inlineStr">
        <is>
          <t>Survival : a thematic guide to Canadian literature / [by] Margaret Atwood.</t>
        </is>
      </c>
      <c r="H3951" t="inlineStr">
        <is>
          <t>No</t>
        </is>
      </c>
      <c r="I3951" t="inlineStr">
        <is>
          <t>1</t>
        </is>
      </c>
      <c r="J3951" t="inlineStr">
        <is>
          <t>No</t>
        </is>
      </c>
      <c r="K3951" t="inlineStr">
        <is>
          <t>No</t>
        </is>
      </c>
      <c r="L3951" t="inlineStr">
        <is>
          <t>0</t>
        </is>
      </c>
      <c r="M3951" t="inlineStr">
        <is>
          <t>Atwood, Margaret, 1939-</t>
        </is>
      </c>
      <c r="N3951" t="inlineStr">
        <is>
          <t>Toronto : Anansi, 1972.</t>
        </is>
      </c>
      <c r="O3951" t="inlineStr">
        <is>
          <t>1972</t>
        </is>
      </c>
      <c r="Q3951" t="inlineStr">
        <is>
          <t>eng</t>
        </is>
      </c>
      <c r="R3951" t="inlineStr">
        <is>
          <t>onc</t>
        </is>
      </c>
      <c r="T3951" t="inlineStr">
        <is>
          <t xml:space="preserve">PR </t>
        </is>
      </c>
      <c r="U3951" t="n">
        <v>4</v>
      </c>
      <c r="V3951" t="n">
        <v>4</v>
      </c>
      <c r="W3951" t="inlineStr">
        <is>
          <t>2004-10-03</t>
        </is>
      </c>
      <c r="X3951" t="inlineStr">
        <is>
          <t>2004-10-03</t>
        </is>
      </c>
      <c r="Y3951" t="inlineStr">
        <is>
          <t>1991-09-16</t>
        </is>
      </c>
      <c r="Z3951" t="inlineStr">
        <is>
          <t>1991-09-16</t>
        </is>
      </c>
      <c r="AA3951" t="n">
        <v>704</v>
      </c>
      <c r="AB3951" t="n">
        <v>450</v>
      </c>
      <c r="AC3951" t="n">
        <v>661</v>
      </c>
      <c r="AD3951" t="n">
        <v>8</v>
      </c>
      <c r="AE3951" t="n">
        <v>8</v>
      </c>
      <c r="AF3951" t="n">
        <v>26</v>
      </c>
      <c r="AG3951" t="n">
        <v>29</v>
      </c>
      <c r="AH3951" t="n">
        <v>8</v>
      </c>
      <c r="AI3951" t="n">
        <v>9</v>
      </c>
      <c r="AJ3951" t="n">
        <v>6</v>
      </c>
      <c r="AK3951" t="n">
        <v>6</v>
      </c>
      <c r="AL3951" t="n">
        <v>14</v>
      </c>
      <c r="AM3951" t="n">
        <v>17</v>
      </c>
      <c r="AN3951" t="n">
        <v>6</v>
      </c>
      <c r="AO3951" t="n">
        <v>6</v>
      </c>
      <c r="AP3951" t="n">
        <v>0</v>
      </c>
      <c r="AQ3951" t="n">
        <v>0</v>
      </c>
      <c r="AR3951" t="inlineStr">
        <is>
          <t>No</t>
        </is>
      </c>
      <c r="AS3951" t="inlineStr">
        <is>
          <t>Yes</t>
        </is>
      </c>
      <c r="AT3951">
        <f>HYPERLINK("http://catalog.hathitrust.org/Record/000031452","HathiTrust Record")</f>
        <v/>
      </c>
      <c r="AU3951">
        <f>HYPERLINK("https://creighton-primo.hosted.exlibrisgroup.com/primo-explore/search?tab=default_tab&amp;search_scope=EVERYTHING&amp;vid=01CRU&amp;lang=en_US&amp;offset=0&amp;query=any,contains,991003671529702656","Catalog Record")</f>
        <v/>
      </c>
      <c r="AV3951">
        <f>HYPERLINK("http://www.worldcat.org/oclc/1288988","WorldCat Record")</f>
        <v/>
      </c>
      <c r="AW3951" t="inlineStr">
        <is>
          <t>197462820:eng</t>
        </is>
      </c>
      <c r="AX3951" t="inlineStr">
        <is>
          <t>1288988</t>
        </is>
      </c>
      <c r="AY3951" t="inlineStr">
        <is>
          <t>991003671529702656</t>
        </is>
      </c>
      <c r="AZ3951" t="inlineStr">
        <is>
          <t>991003671529702656</t>
        </is>
      </c>
      <c r="BA3951" t="inlineStr">
        <is>
          <t>2266818500002656</t>
        </is>
      </c>
      <c r="BB3951" t="inlineStr">
        <is>
          <t>BOOK</t>
        </is>
      </c>
      <c r="BD3951" t="inlineStr">
        <is>
          <t>9780887847134</t>
        </is>
      </c>
      <c r="BE3951" t="inlineStr">
        <is>
          <t>32285000737402</t>
        </is>
      </c>
      <c r="BF3951" t="inlineStr">
        <is>
          <t>893410528</t>
        </is>
      </c>
    </row>
    <row r="3952">
      <c r="A3952" t="inlineStr">
        <is>
          <t>No</t>
        </is>
      </c>
      <c r="B3952" t="inlineStr">
        <is>
          <t>CURAL</t>
        </is>
      </c>
      <c r="C3952" t="inlineStr">
        <is>
          <t>SHELVES</t>
        </is>
      </c>
      <c r="D3952" t="inlineStr">
        <is>
          <t>PR9185.2 .C85 1998</t>
        </is>
      </c>
      <c r="E3952" t="inlineStr">
        <is>
          <t>0                      PR 9185200C  85          1998</t>
        </is>
      </c>
      <c r="F3952" t="inlineStr">
        <is>
          <t>Cultural identities in Canadian literature = Identités culturelles dans la littérature canadienne / Bénédicte Mauguière, editor.</t>
        </is>
      </c>
      <c r="H3952" t="inlineStr">
        <is>
          <t>No</t>
        </is>
      </c>
      <c r="I3952" t="inlineStr">
        <is>
          <t>1</t>
        </is>
      </c>
      <c r="J3952" t="inlineStr">
        <is>
          <t>No</t>
        </is>
      </c>
      <c r="K3952" t="inlineStr">
        <is>
          <t>No</t>
        </is>
      </c>
      <c r="L3952" t="inlineStr">
        <is>
          <t>0</t>
        </is>
      </c>
      <c r="N3952" t="inlineStr">
        <is>
          <t>New York : Peter Lang, c1998.</t>
        </is>
      </c>
      <c r="O3952" t="inlineStr">
        <is>
          <t>1998</t>
        </is>
      </c>
      <c r="Q3952" t="inlineStr">
        <is>
          <t>eng</t>
        </is>
      </c>
      <c r="R3952" t="inlineStr">
        <is>
          <t>nyu</t>
        </is>
      </c>
      <c r="T3952" t="inlineStr">
        <is>
          <t xml:space="preserve">PR </t>
        </is>
      </c>
      <c r="U3952" t="n">
        <v>1</v>
      </c>
      <c r="V3952" t="n">
        <v>1</v>
      </c>
      <c r="W3952" t="inlineStr">
        <is>
          <t>2007-12-10</t>
        </is>
      </c>
      <c r="X3952" t="inlineStr">
        <is>
          <t>2007-12-10</t>
        </is>
      </c>
      <c r="Y3952" t="inlineStr">
        <is>
          <t>2007-12-10</t>
        </is>
      </c>
      <c r="Z3952" t="inlineStr">
        <is>
          <t>2007-12-10</t>
        </is>
      </c>
      <c r="AA3952" t="n">
        <v>226</v>
      </c>
      <c r="AB3952" t="n">
        <v>144</v>
      </c>
      <c r="AC3952" t="n">
        <v>149</v>
      </c>
      <c r="AD3952" t="n">
        <v>2</v>
      </c>
      <c r="AE3952" t="n">
        <v>2</v>
      </c>
      <c r="AF3952" t="n">
        <v>10</v>
      </c>
      <c r="AG3952" t="n">
        <v>10</v>
      </c>
      <c r="AH3952" t="n">
        <v>3</v>
      </c>
      <c r="AI3952" t="n">
        <v>3</v>
      </c>
      <c r="AJ3952" t="n">
        <v>2</v>
      </c>
      <c r="AK3952" t="n">
        <v>2</v>
      </c>
      <c r="AL3952" t="n">
        <v>9</v>
      </c>
      <c r="AM3952" t="n">
        <v>9</v>
      </c>
      <c r="AN3952" t="n">
        <v>1</v>
      </c>
      <c r="AO3952" t="n">
        <v>1</v>
      </c>
      <c r="AP3952" t="n">
        <v>0</v>
      </c>
      <c r="AQ3952" t="n">
        <v>0</v>
      </c>
      <c r="AR3952" t="inlineStr">
        <is>
          <t>No</t>
        </is>
      </c>
      <c r="AS3952" t="inlineStr">
        <is>
          <t>Yes</t>
        </is>
      </c>
      <c r="AT3952">
        <f>HYPERLINK("http://catalog.hathitrust.org/Record/003972211","HathiTrust Record")</f>
        <v/>
      </c>
      <c r="AU3952">
        <f>HYPERLINK("https://creighton-primo.hosted.exlibrisgroup.com/primo-explore/search?tab=default_tab&amp;search_scope=EVERYTHING&amp;vid=01CRU&amp;lang=en_US&amp;offset=0&amp;query=any,contains,991005151639702656","Catalog Record")</f>
        <v/>
      </c>
      <c r="AV3952">
        <f>HYPERLINK("http://www.worldcat.org/oclc/36705715","WorldCat Record")</f>
        <v/>
      </c>
      <c r="AW3952" t="inlineStr">
        <is>
          <t>890971587:eng</t>
        </is>
      </c>
      <c r="AX3952" t="inlineStr">
        <is>
          <t>36705715</t>
        </is>
      </c>
      <c r="AY3952" t="inlineStr">
        <is>
          <t>991005151639702656</t>
        </is>
      </c>
      <c r="AZ3952" t="inlineStr">
        <is>
          <t>991005151639702656</t>
        </is>
      </c>
      <c r="BA3952" t="inlineStr">
        <is>
          <t>2268086960002656</t>
        </is>
      </c>
      <c r="BB3952" t="inlineStr">
        <is>
          <t>BOOK</t>
        </is>
      </c>
      <c r="BD3952" t="inlineStr">
        <is>
          <t>9780820433899</t>
        </is>
      </c>
      <c r="BE3952" t="inlineStr">
        <is>
          <t>32285005371082</t>
        </is>
      </c>
      <c r="BF3952" t="inlineStr">
        <is>
          <t>893424638</t>
        </is>
      </c>
    </row>
    <row r="3953">
      <c r="A3953" t="inlineStr">
        <is>
          <t>No</t>
        </is>
      </c>
      <c r="B3953" t="inlineStr">
        <is>
          <t>CURAL</t>
        </is>
      </c>
      <c r="C3953" t="inlineStr">
        <is>
          <t>SHELVES</t>
        </is>
      </c>
      <c r="D3953" t="inlineStr">
        <is>
          <t>PR9185.2 .H85 2002</t>
        </is>
      </c>
      <c r="E3953" t="inlineStr">
        <is>
          <t>0                      PR 9185200H  85          2002</t>
        </is>
      </c>
      <c r="F3953" t="inlineStr">
        <is>
          <t>Northern experience and the myths of Canadian culture / Renée Hulan.</t>
        </is>
      </c>
      <c r="H3953" t="inlineStr">
        <is>
          <t>No</t>
        </is>
      </c>
      <c r="I3953" t="inlineStr">
        <is>
          <t>1</t>
        </is>
      </c>
      <c r="J3953" t="inlineStr">
        <is>
          <t>No</t>
        </is>
      </c>
      <c r="K3953" t="inlineStr">
        <is>
          <t>No</t>
        </is>
      </c>
      <c r="L3953" t="inlineStr">
        <is>
          <t>0</t>
        </is>
      </c>
      <c r="M3953" t="inlineStr">
        <is>
          <t>Hulan, Renée.</t>
        </is>
      </c>
      <c r="N3953" t="inlineStr">
        <is>
          <t>Montréal : McGill-Queen's University Press, c2002.</t>
        </is>
      </c>
      <c r="O3953" t="inlineStr">
        <is>
          <t>2002</t>
        </is>
      </c>
      <c r="Q3953" t="inlineStr">
        <is>
          <t>eng</t>
        </is>
      </c>
      <c r="R3953" t="inlineStr">
        <is>
          <t>quc</t>
        </is>
      </c>
      <c r="S3953" t="inlineStr">
        <is>
          <t>McGill-Queen's native and northern series ; 27</t>
        </is>
      </c>
      <c r="T3953" t="inlineStr">
        <is>
          <t xml:space="preserve">PR </t>
        </is>
      </c>
      <c r="U3953" t="n">
        <v>1</v>
      </c>
      <c r="V3953" t="n">
        <v>1</v>
      </c>
      <c r="W3953" t="inlineStr">
        <is>
          <t>2010-01-15</t>
        </is>
      </c>
      <c r="X3953" t="inlineStr">
        <is>
          <t>2010-01-15</t>
        </is>
      </c>
      <c r="Y3953" t="inlineStr">
        <is>
          <t>2004-03-29</t>
        </is>
      </c>
      <c r="Z3953" t="inlineStr">
        <is>
          <t>2004-03-29</t>
        </is>
      </c>
      <c r="AA3953" t="n">
        <v>213</v>
      </c>
      <c r="AB3953" t="n">
        <v>119</v>
      </c>
      <c r="AC3953" t="n">
        <v>144</v>
      </c>
      <c r="AD3953" t="n">
        <v>3</v>
      </c>
      <c r="AE3953" t="n">
        <v>3</v>
      </c>
      <c r="AF3953" t="n">
        <v>6</v>
      </c>
      <c r="AG3953" t="n">
        <v>8</v>
      </c>
      <c r="AH3953" t="n">
        <v>0</v>
      </c>
      <c r="AI3953" t="n">
        <v>1</v>
      </c>
      <c r="AJ3953" t="n">
        <v>3</v>
      </c>
      <c r="AK3953" t="n">
        <v>3</v>
      </c>
      <c r="AL3953" t="n">
        <v>2</v>
      </c>
      <c r="AM3953" t="n">
        <v>3</v>
      </c>
      <c r="AN3953" t="n">
        <v>2</v>
      </c>
      <c r="AO3953" t="n">
        <v>2</v>
      </c>
      <c r="AP3953" t="n">
        <v>0</v>
      </c>
      <c r="AQ3953" t="n">
        <v>0</v>
      </c>
      <c r="AR3953" t="inlineStr">
        <is>
          <t>No</t>
        </is>
      </c>
      <c r="AS3953" t="inlineStr">
        <is>
          <t>No</t>
        </is>
      </c>
      <c r="AU3953">
        <f>HYPERLINK("https://creighton-primo.hosted.exlibrisgroup.com/primo-explore/search?tab=default_tab&amp;search_scope=EVERYTHING&amp;vid=01CRU&amp;lang=en_US&amp;offset=0&amp;query=any,contains,991004241909702656","Catalog Record")</f>
        <v/>
      </c>
      <c r="AV3953">
        <f>HYPERLINK("http://www.worldcat.org/oclc/47161940","WorldCat Record")</f>
        <v/>
      </c>
      <c r="AW3953" t="inlineStr">
        <is>
          <t>5218509481:eng</t>
        </is>
      </c>
      <c r="AX3953" t="inlineStr">
        <is>
          <t>47161940</t>
        </is>
      </c>
      <c r="AY3953" t="inlineStr">
        <is>
          <t>991004241909702656</t>
        </is>
      </c>
      <c r="AZ3953" t="inlineStr">
        <is>
          <t>991004241909702656</t>
        </is>
      </c>
      <c r="BA3953" t="inlineStr">
        <is>
          <t>2268540690002656</t>
        </is>
      </c>
      <c r="BB3953" t="inlineStr">
        <is>
          <t>BOOK</t>
        </is>
      </c>
      <c r="BD3953" t="inlineStr">
        <is>
          <t>9780773522275</t>
        </is>
      </c>
      <c r="BE3953" t="inlineStr">
        <is>
          <t>32285004897293</t>
        </is>
      </c>
      <c r="BF3953" t="inlineStr">
        <is>
          <t>893259493</t>
        </is>
      </c>
    </row>
    <row r="3954">
      <c r="A3954" t="inlineStr">
        <is>
          <t>No</t>
        </is>
      </c>
      <c r="B3954" t="inlineStr">
        <is>
          <t>CURAL</t>
        </is>
      </c>
      <c r="C3954" t="inlineStr">
        <is>
          <t>SHELVES</t>
        </is>
      </c>
      <c r="D3954" t="inlineStr">
        <is>
          <t>PR9185.2 .M66 2003</t>
        </is>
      </c>
      <c r="E3954" t="inlineStr">
        <is>
          <t>0                      PR 9185200M  66          2003</t>
        </is>
      </c>
      <c r="F3954" t="inlineStr">
        <is>
          <t>Canadians are not Americans : myths and literary traditions / Katherine L. Morrison.</t>
        </is>
      </c>
      <c r="H3954" t="inlineStr">
        <is>
          <t>No</t>
        </is>
      </c>
      <c r="I3954" t="inlineStr">
        <is>
          <t>1</t>
        </is>
      </c>
      <c r="J3954" t="inlineStr">
        <is>
          <t>No</t>
        </is>
      </c>
      <c r="K3954" t="inlineStr">
        <is>
          <t>No</t>
        </is>
      </c>
      <c r="L3954" t="inlineStr">
        <is>
          <t>0</t>
        </is>
      </c>
      <c r="M3954" t="inlineStr">
        <is>
          <t>Morrison, Katherine L., 1925-</t>
        </is>
      </c>
      <c r="N3954" t="inlineStr">
        <is>
          <t>Toronto, Ont. : Second Story Press, c2003.</t>
        </is>
      </c>
      <c r="O3954" t="inlineStr">
        <is>
          <t>2003</t>
        </is>
      </c>
      <c r="Q3954" t="inlineStr">
        <is>
          <t>eng</t>
        </is>
      </c>
      <c r="R3954" t="inlineStr">
        <is>
          <t>onc</t>
        </is>
      </c>
      <c r="T3954" t="inlineStr">
        <is>
          <t xml:space="preserve">PR </t>
        </is>
      </c>
      <c r="U3954" t="n">
        <v>2</v>
      </c>
      <c r="V3954" t="n">
        <v>2</v>
      </c>
      <c r="W3954" t="inlineStr">
        <is>
          <t>2004-04-26</t>
        </is>
      </c>
      <c r="X3954" t="inlineStr">
        <is>
          <t>2004-04-26</t>
        </is>
      </c>
      <c r="Y3954" t="inlineStr">
        <is>
          <t>2004-04-26</t>
        </is>
      </c>
      <c r="Z3954" t="inlineStr">
        <is>
          <t>2004-04-26</t>
        </is>
      </c>
      <c r="AA3954" t="n">
        <v>164</v>
      </c>
      <c r="AB3954" t="n">
        <v>75</v>
      </c>
      <c r="AC3954" t="n">
        <v>82</v>
      </c>
      <c r="AD3954" t="n">
        <v>3</v>
      </c>
      <c r="AE3954" t="n">
        <v>3</v>
      </c>
      <c r="AF3954" t="n">
        <v>8</v>
      </c>
      <c r="AG3954" t="n">
        <v>8</v>
      </c>
      <c r="AH3954" t="n">
        <v>2</v>
      </c>
      <c r="AI3954" t="n">
        <v>2</v>
      </c>
      <c r="AJ3954" t="n">
        <v>1</v>
      </c>
      <c r="AK3954" t="n">
        <v>1</v>
      </c>
      <c r="AL3954" t="n">
        <v>4</v>
      </c>
      <c r="AM3954" t="n">
        <v>4</v>
      </c>
      <c r="AN3954" t="n">
        <v>2</v>
      </c>
      <c r="AO3954" t="n">
        <v>2</v>
      </c>
      <c r="AP3954" t="n">
        <v>0</v>
      </c>
      <c r="AQ3954" t="n">
        <v>0</v>
      </c>
      <c r="AR3954" t="inlineStr">
        <is>
          <t>No</t>
        </is>
      </c>
      <c r="AS3954" t="inlineStr">
        <is>
          <t>Yes</t>
        </is>
      </c>
      <c r="AT3954">
        <f>HYPERLINK("http://catalog.hathitrust.org/Record/004364189","HathiTrust Record")</f>
        <v/>
      </c>
      <c r="AU3954">
        <f>HYPERLINK("https://creighton-primo.hosted.exlibrisgroup.com/primo-explore/search?tab=default_tab&amp;search_scope=EVERYTHING&amp;vid=01CRU&amp;lang=en_US&amp;offset=0&amp;query=any,contains,991004252459702656","Catalog Record")</f>
        <v/>
      </c>
      <c r="AV3954">
        <f>HYPERLINK("http://www.worldcat.org/oclc/51580854","WorldCat Record")</f>
        <v/>
      </c>
      <c r="AW3954" t="inlineStr">
        <is>
          <t>1069533:eng</t>
        </is>
      </c>
      <c r="AX3954" t="inlineStr">
        <is>
          <t>51580854</t>
        </is>
      </c>
      <c r="AY3954" t="inlineStr">
        <is>
          <t>991004252459702656</t>
        </is>
      </c>
      <c r="AZ3954" t="inlineStr">
        <is>
          <t>991004252459702656</t>
        </is>
      </c>
      <c r="BA3954" t="inlineStr">
        <is>
          <t>2259302450002656</t>
        </is>
      </c>
      <c r="BB3954" t="inlineStr">
        <is>
          <t>BOOK</t>
        </is>
      </c>
      <c r="BD3954" t="inlineStr">
        <is>
          <t>9781896764733</t>
        </is>
      </c>
      <c r="BE3954" t="inlineStr">
        <is>
          <t>32285004902614</t>
        </is>
      </c>
      <c r="BF3954" t="inlineStr">
        <is>
          <t>893904777</t>
        </is>
      </c>
    </row>
    <row r="3955">
      <c r="A3955" t="inlineStr">
        <is>
          <t>No</t>
        </is>
      </c>
      <c r="B3955" t="inlineStr">
        <is>
          <t>CURAL</t>
        </is>
      </c>
      <c r="C3955" t="inlineStr">
        <is>
          <t>SHELVES</t>
        </is>
      </c>
      <c r="D3955" t="inlineStr">
        <is>
          <t>PR9186.2 .P6</t>
        </is>
      </c>
      <c r="E3955" t="inlineStr">
        <is>
          <t>0                      PR 9186200P  6</t>
        </is>
      </c>
      <c r="F3955" t="inlineStr">
        <is>
          <t>Wilderness writers : Ernest Thompson Seton, Charles G. D. Roberts, Grey Owl / [by] James Polk.</t>
        </is>
      </c>
      <c r="H3955" t="inlineStr">
        <is>
          <t>No</t>
        </is>
      </c>
      <c r="I3955" t="inlineStr">
        <is>
          <t>1</t>
        </is>
      </c>
      <c r="J3955" t="inlineStr">
        <is>
          <t>No</t>
        </is>
      </c>
      <c r="K3955" t="inlineStr">
        <is>
          <t>No</t>
        </is>
      </c>
      <c r="L3955" t="inlineStr">
        <is>
          <t>0</t>
        </is>
      </c>
      <c r="M3955" t="inlineStr">
        <is>
          <t>Polk, James.</t>
        </is>
      </c>
      <c r="N3955" t="inlineStr">
        <is>
          <t>Toronto : Clarke, Irwin, 1972.</t>
        </is>
      </c>
      <c r="O3955" t="inlineStr">
        <is>
          <t>1972</t>
        </is>
      </c>
      <c r="Q3955" t="inlineStr">
        <is>
          <t>eng</t>
        </is>
      </c>
      <c r="R3955" t="inlineStr">
        <is>
          <t>onc</t>
        </is>
      </c>
      <c r="S3955" t="inlineStr">
        <is>
          <t>Canadian portraits</t>
        </is>
      </c>
      <c r="T3955" t="inlineStr">
        <is>
          <t xml:space="preserve">PR </t>
        </is>
      </c>
      <c r="U3955" t="n">
        <v>2</v>
      </c>
      <c r="V3955" t="n">
        <v>2</v>
      </c>
      <c r="W3955" t="inlineStr">
        <is>
          <t>1996-11-30</t>
        </is>
      </c>
      <c r="X3955" t="inlineStr">
        <is>
          <t>1996-11-30</t>
        </is>
      </c>
      <c r="Y3955" t="inlineStr">
        <is>
          <t>1993-04-28</t>
        </is>
      </c>
      <c r="Z3955" t="inlineStr">
        <is>
          <t>1993-04-28</t>
        </is>
      </c>
      <c r="AA3955" t="n">
        <v>132</v>
      </c>
      <c r="AB3955" t="n">
        <v>67</v>
      </c>
      <c r="AC3955" t="n">
        <v>68</v>
      </c>
      <c r="AD3955" t="n">
        <v>1</v>
      </c>
      <c r="AE3955" t="n">
        <v>1</v>
      </c>
      <c r="AF3955" t="n">
        <v>0</v>
      </c>
      <c r="AG3955" t="n">
        <v>0</v>
      </c>
      <c r="AH3955" t="n">
        <v>0</v>
      </c>
      <c r="AI3955" t="n">
        <v>0</v>
      </c>
      <c r="AJ3955" t="n">
        <v>0</v>
      </c>
      <c r="AK3955" t="n">
        <v>0</v>
      </c>
      <c r="AL3955" t="n">
        <v>0</v>
      </c>
      <c r="AM3955" t="n">
        <v>0</v>
      </c>
      <c r="AN3955" t="n">
        <v>0</v>
      </c>
      <c r="AO3955" t="n">
        <v>0</v>
      </c>
      <c r="AP3955" t="n">
        <v>0</v>
      </c>
      <c r="AQ3955" t="n">
        <v>0</v>
      </c>
      <c r="AR3955" t="inlineStr">
        <is>
          <t>No</t>
        </is>
      </c>
      <c r="AS3955" t="inlineStr">
        <is>
          <t>No</t>
        </is>
      </c>
      <c r="AU3955">
        <f>HYPERLINK("https://creighton-primo.hosted.exlibrisgroup.com/primo-explore/search?tab=default_tab&amp;search_scope=EVERYTHING&amp;vid=01CRU&amp;lang=en_US&amp;offset=0&amp;query=any,contains,991003226119702656","Catalog Record")</f>
        <v/>
      </c>
      <c r="AV3955">
        <f>HYPERLINK("http://www.worldcat.org/oclc/750333","WorldCat Record")</f>
        <v/>
      </c>
      <c r="AW3955" t="inlineStr">
        <is>
          <t>62780574:eng</t>
        </is>
      </c>
      <c r="AX3955" t="inlineStr">
        <is>
          <t>750333</t>
        </is>
      </c>
      <c r="AY3955" t="inlineStr">
        <is>
          <t>991003226119702656</t>
        </is>
      </c>
      <c r="AZ3955" t="inlineStr">
        <is>
          <t>991003226119702656</t>
        </is>
      </c>
      <c r="BA3955" t="inlineStr">
        <is>
          <t>2265454790002656</t>
        </is>
      </c>
      <c r="BB3955" t="inlineStr">
        <is>
          <t>BOOK</t>
        </is>
      </c>
      <c r="BD3955" t="inlineStr">
        <is>
          <t>9780772005656</t>
        </is>
      </c>
      <c r="BE3955" t="inlineStr">
        <is>
          <t>32285001629137</t>
        </is>
      </c>
      <c r="BF3955" t="inlineStr">
        <is>
          <t>893809879</t>
        </is>
      </c>
    </row>
    <row r="3956">
      <c r="A3956" t="inlineStr">
        <is>
          <t>No</t>
        </is>
      </c>
      <c r="B3956" t="inlineStr">
        <is>
          <t>CURAL</t>
        </is>
      </c>
      <c r="C3956" t="inlineStr">
        <is>
          <t>SHELVES</t>
        </is>
      </c>
      <c r="D3956" t="inlineStr">
        <is>
          <t>PR9188 .H68 1987</t>
        </is>
      </c>
      <c r="E3956" t="inlineStr">
        <is>
          <t>0                      PR 9188000H  68          1987</t>
        </is>
      </c>
      <c r="F3956" t="inlineStr">
        <is>
          <t>Private and fictional words : Canadian women novelists of the 1970s and 1980s / Coral Ann Howells.</t>
        </is>
      </c>
      <c r="H3956" t="inlineStr">
        <is>
          <t>No</t>
        </is>
      </c>
      <c r="I3956" t="inlineStr">
        <is>
          <t>1</t>
        </is>
      </c>
      <c r="J3956" t="inlineStr">
        <is>
          <t>No</t>
        </is>
      </c>
      <c r="K3956" t="inlineStr">
        <is>
          <t>No</t>
        </is>
      </c>
      <c r="L3956" t="inlineStr">
        <is>
          <t>0</t>
        </is>
      </c>
      <c r="M3956" t="inlineStr">
        <is>
          <t>Howells, Coral Ann.</t>
        </is>
      </c>
      <c r="N3956" t="inlineStr">
        <is>
          <t>London ; New York : Methuen, 1987.</t>
        </is>
      </c>
      <c r="O3956" t="inlineStr">
        <is>
          <t>1987</t>
        </is>
      </c>
      <c r="Q3956" t="inlineStr">
        <is>
          <t>eng</t>
        </is>
      </c>
      <c r="R3956" t="inlineStr">
        <is>
          <t>enk</t>
        </is>
      </c>
      <c r="T3956" t="inlineStr">
        <is>
          <t xml:space="preserve">PR </t>
        </is>
      </c>
      <c r="U3956" t="n">
        <v>1</v>
      </c>
      <c r="V3956" t="n">
        <v>1</v>
      </c>
      <c r="W3956" t="inlineStr">
        <is>
          <t>1993-04-01</t>
        </is>
      </c>
      <c r="X3956" t="inlineStr">
        <is>
          <t>1993-04-01</t>
        </is>
      </c>
      <c r="Y3956" t="inlineStr">
        <is>
          <t>1992-01-10</t>
        </is>
      </c>
      <c r="Z3956" t="inlineStr">
        <is>
          <t>1992-01-10</t>
        </is>
      </c>
      <c r="AA3956" t="n">
        <v>492</v>
      </c>
      <c r="AB3956" t="n">
        <v>297</v>
      </c>
      <c r="AC3956" t="n">
        <v>312</v>
      </c>
      <c r="AD3956" t="n">
        <v>4</v>
      </c>
      <c r="AE3956" t="n">
        <v>4</v>
      </c>
      <c r="AF3956" t="n">
        <v>14</v>
      </c>
      <c r="AG3956" t="n">
        <v>14</v>
      </c>
      <c r="AH3956" t="n">
        <v>3</v>
      </c>
      <c r="AI3956" t="n">
        <v>3</v>
      </c>
      <c r="AJ3956" t="n">
        <v>5</v>
      </c>
      <c r="AK3956" t="n">
        <v>5</v>
      </c>
      <c r="AL3956" t="n">
        <v>6</v>
      </c>
      <c r="AM3956" t="n">
        <v>6</v>
      </c>
      <c r="AN3956" t="n">
        <v>3</v>
      </c>
      <c r="AO3956" t="n">
        <v>3</v>
      </c>
      <c r="AP3956" t="n">
        <v>0</v>
      </c>
      <c r="AQ3956" t="n">
        <v>0</v>
      </c>
      <c r="AR3956" t="inlineStr">
        <is>
          <t>No</t>
        </is>
      </c>
      <c r="AS3956" t="inlineStr">
        <is>
          <t>Yes</t>
        </is>
      </c>
      <c r="AT3956">
        <f>HYPERLINK("http://catalog.hathitrust.org/Record/000841111","HathiTrust Record")</f>
        <v/>
      </c>
      <c r="AU3956">
        <f>HYPERLINK("https://creighton-primo.hosted.exlibrisgroup.com/primo-explore/search?tab=default_tab&amp;search_scope=EVERYTHING&amp;vid=01CRU&amp;lang=en_US&amp;offset=0&amp;query=any,contains,991000998059702656","Catalog Record")</f>
        <v/>
      </c>
      <c r="AV3956">
        <f>HYPERLINK("http://www.worldcat.org/oclc/15164657","WorldCat Record")</f>
        <v/>
      </c>
      <c r="AW3956" t="inlineStr">
        <is>
          <t>8556525:eng</t>
        </is>
      </c>
      <c r="AX3956" t="inlineStr">
        <is>
          <t>15164657</t>
        </is>
      </c>
      <c r="AY3956" t="inlineStr">
        <is>
          <t>991000998059702656</t>
        </is>
      </c>
      <c r="AZ3956" t="inlineStr">
        <is>
          <t>991000998059702656</t>
        </is>
      </c>
      <c r="BA3956" t="inlineStr">
        <is>
          <t>2258298560002656</t>
        </is>
      </c>
      <c r="BB3956" t="inlineStr">
        <is>
          <t>BOOK</t>
        </is>
      </c>
      <c r="BD3956" t="inlineStr">
        <is>
          <t>9780416376500</t>
        </is>
      </c>
      <c r="BE3956" t="inlineStr">
        <is>
          <t>32285000911296</t>
        </is>
      </c>
      <c r="BF3956" t="inlineStr">
        <is>
          <t>893327777</t>
        </is>
      </c>
    </row>
    <row r="3957">
      <c r="A3957" t="inlineStr">
        <is>
          <t>No</t>
        </is>
      </c>
      <c r="B3957" t="inlineStr">
        <is>
          <t>CURAL</t>
        </is>
      </c>
      <c r="C3957" t="inlineStr">
        <is>
          <t>SHELVES</t>
        </is>
      </c>
      <c r="D3957" t="inlineStr">
        <is>
          <t>PR9189.6 .W6 1980</t>
        </is>
      </c>
      <c r="E3957" t="inlineStr">
        <is>
          <t>0                      PR 9189600W  6           1980</t>
        </is>
      </c>
      <c r="F3957" t="inlineStr">
        <is>
          <t>The world of Canadian writing : critiques &amp; recollections / George Woodcock.</t>
        </is>
      </c>
      <c r="H3957" t="inlineStr">
        <is>
          <t>No</t>
        </is>
      </c>
      <c r="I3957" t="inlineStr">
        <is>
          <t>1</t>
        </is>
      </c>
      <c r="J3957" t="inlineStr">
        <is>
          <t>No</t>
        </is>
      </c>
      <c r="K3957" t="inlineStr">
        <is>
          <t>No</t>
        </is>
      </c>
      <c r="L3957" t="inlineStr">
        <is>
          <t>0</t>
        </is>
      </c>
      <c r="M3957" t="inlineStr">
        <is>
          <t>Woodcock, George, 1912-1995.</t>
        </is>
      </c>
      <c r="N3957" t="inlineStr">
        <is>
          <t>Vancouver, B.C. : Douglas &amp; McIntyre ; Seattle : University of Washington Press, 1980.</t>
        </is>
      </c>
      <c r="O3957" t="inlineStr">
        <is>
          <t>1980</t>
        </is>
      </c>
      <c r="Q3957" t="inlineStr">
        <is>
          <t>eng</t>
        </is>
      </c>
      <c r="R3957" t="inlineStr">
        <is>
          <t>bcc</t>
        </is>
      </c>
      <c r="T3957" t="inlineStr">
        <is>
          <t xml:space="preserve">PR </t>
        </is>
      </c>
      <c r="U3957" t="n">
        <v>2</v>
      </c>
      <c r="V3957" t="n">
        <v>2</v>
      </c>
      <c r="W3957" t="inlineStr">
        <is>
          <t>2004-10-03</t>
        </is>
      </c>
      <c r="X3957" t="inlineStr">
        <is>
          <t>2004-10-03</t>
        </is>
      </c>
      <c r="Y3957" t="inlineStr">
        <is>
          <t>1992-08-19</t>
        </is>
      </c>
      <c r="Z3957" t="inlineStr">
        <is>
          <t>1992-08-19</t>
        </is>
      </c>
      <c r="AA3957" t="n">
        <v>545</v>
      </c>
      <c r="AB3957" t="n">
        <v>413</v>
      </c>
      <c r="AC3957" t="n">
        <v>416</v>
      </c>
      <c r="AD3957" t="n">
        <v>5</v>
      </c>
      <c r="AE3957" t="n">
        <v>5</v>
      </c>
      <c r="AF3957" t="n">
        <v>13</v>
      </c>
      <c r="AG3957" t="n">
        <v>13</v>
      </c>
      <c r="AH3957" t="n">
        <v>4</v>
      </c>
      <c r="AI3957" t="n">
        <v>4</v>
      </c>
      <c r="AJ3957" t="n">
        <v>5</v>
      </c>
      <c r="AK3957" t="n">
        <v>5</v>
      </c>
      <c r="AL3957" t="n">
        <v>4</v>
      </c>
      <c r="AM3957" t="n">
        <v>4</v>
      </c>
      <c r="AN3957" t="n">
        <v>4</v>
      </c>
      <c r="AO3957" t="n">
        <v>4</v>
      </c>
      <c r="AP3957" t="n">
        <v>0</v>
      </c>
      <c r="AQ3957" t="n">
        <v>0</v>
      </c>
      <c r="AR3957" t="inlineStr">
        <is>
          <t>No</t>
        </is>
      </c>
      <c r="AS3957" t="inlineStr">
        <is>
          <t>No</t>
        </is>
      </c>
      <c r="AU3957">
        <f>HYPERLINK("https://creighton-primo.hosted.exlibrisgroup.com/primo-explore/search?tab=default_tab&amp;search_scope=EVERYTHING&amp;vid=01CRU&amp;lang=en_US&amp;offset=0&amp;query=any,contains,991004964569702656","Catalog Record")</f>
        <v/>
      </c>
      <c r="AV3957">
        <f>HYPERLINK("http://www.worldcat.org/oclc/6330915","WorldCat Record")</f>
        <v/>
      </c>
      <c r="AW3957" t="inlineStr">
        <is>
          <t>761192412:eng</t>
        </is>
      </c>
      <c r="AX3957" t="inlineStr">
        <is>
          <t>6330915</t>
        </is>
      </c>
      <c r="AY3957" t="inlineStr">
        <is>
          <t>991004964569702656</t>
        </is>
      </c>
      <c r="AZ3957" t="inlineStr">
        <is>
          <t>991004964569702656</t>
        </is>
      </c>
      <c r="BA3957" t="inlineStr">
        <is>
          <t>2271015030002656</t>
        </is>
      </c>
      <c r="BB3957" t="inlineStr">
        <is>
          <t>BOOK</t>
        </is>
      </c>
      <c r="BD3957" t="inlineStr">
        <is>
          <t>9780295957210</t>
        </is>
      </c>
      <c r="BE3957" t="inlineStr">
        <is>
          <t>32285001247559</t>
        </is>
      </c>
      <c r="BF3957" t="inlineStr">
        <is>
          <t>893236110</t>
        </is>
      </c>
    </row>
    <row r="3958">
      <c r="A3958" t="inlineStr">
        <is>
          <t>No</t>
        </is>
      </c>
      <c r="B3958" t="inlineStr">
        <is>
          <t>CURAL</t>
        </is>
      </c>
      <c r="C3958" t="inlineStr">
        <is>
          <t>SHELVES</t>
        </is>
      </c>
      <c r="D3958" t="inlineStr">
        <is>
          <t>PR9192.2 .J6</t>
        </is>
      </c>
      <c r="E3958" t="inlineStr">
        <is>
          <t>0                      PR 9192200J  6</t>
        </is>
      </c>
      <c r="F3958" t="inlineStr">
        <is>
          <t>Canadian fiction / by Joseph and Johanna Jones.</t>
        </is>
      </c>
      <c r="H3958" t="inlineStr">
        <is>
          <t>No</t>
        </is>
      </c>
      <c r="I3958" t="inlineStr">
        <is>
          <t>1</t>
        </is>
      </c>
      <c r="J3958" t="inlineStr">
        <is>
          <t>No</t>
        </is>
      </c>
      <c r="K3958" t="inlineStr">
        <is>
          <t>No</t>
        </is>
      </c>
      <c r="L3958" t="inlineStr">
        <is>
          <t>0</t>
        </is>
      </c>
      <c r="M3958" t="inlineStr">
        <is>
          <t>Jones, Joseph, 1908-1999.</t>
        </is>
      </c>
      <c r="N3958" t="inlineStr">
        <is>
          <t>Boston : Twayne Publishers, 1981.</t>
        </is>
      </c>
      <c r="O3958" t="inlineStr">
        <is>
          <t>1981</t>
        </is>
      </c>
      <c r="Q3958" t="inlineStr">
        <is>
          <t>eng</t>
        </is>
      </c>
      <c r="R3958" t="inlineStr">
        <is>
          <t>mau</t>
        </is>
      </c>
      <c r="S3958" t="inlineStr">
        <is>
          <t>Twayne's world authors series ; TWAS 630 : Canada</t>
        </is>
      </c>
      <c r="T3958" t="inlineStr">
        <is>
          <t xml:space="preserve">PR </t>
        </is>
      </c>
      <c r="U3958" t="n">
        <v>2</v>
      </c>
      <c r="V3958" t="n">
        <v>2</v>
      </c>
      <c r="W3958" t="inlineStr">
        <is>
          <t>1994-04-12</t>
        </is>
      </c>
      <c r="X3958" t="inlineStr">
        <is>
          <t>1994-04-12</t>
        </is>
      </c>
      <c r="Y3958" t="inlineStr">
        <is>
          <t>1992-08-19</t>
        </is>
      </c>
      <c r="Z3958" t="inlineStr">
        <is>
          <t>1992-08-19</t>
        </is>
      </c>
      <c r="AA3958" t="n">
        <v>569</v>
      </c>
      <c r="AB3958" t="n">
        <v>459</v>
      </c>
      <c r="AC3958" t="n">
        <v>465</v>
      </c>
      <c r="AD3958" t="n">
        <v>7</v>
      </c>
      <c r="AE3958" t="n">
        <v>7</v>
      </c>
      <c r="AF3958" t="n">
        <v>27</v>
      </c>
      <c r="AG3958" t="n">
        <v>27</v>
      </c>
      <c r="AH3958" t="n">
        <v>11</v>
      </c>
      <c r="AI3958" t="n">
        <v>11</v>
      </c>
      <c r="AJ3958" t="n">
        <v>4</v>
      </c>
      <c r="AK3958" t="n">
        <v>4</v>
      </c>
      <c r="AL3958" t="n">
        <v>16</v>
      </c>
      <c r="AM3958" t="n">
        <v>16</v>
      </c>
      <c r="AN3958" t="n">
        <v>6</v>
      </c>
      <c r="AO3958" t="n">
        <v>6</v>
      </c>
      <c r="AP3958" t="n">
        <v>0</v>
      </c>
      <c r="AQ3958" t="n">
        <v>0</v>
      </c>
      <c r="AR3958" t="inlineStr">
        <is>
          <t>No</t>
        </is>
      </c>
      <c r="AS3958" t="inlineStr">
        <is>
          <t>Yes</t>
        </is>
      </c>
      <c r="AT3958">
        <f>HYPERLINK("http://catalog.hathitrust.org/Record/000263120","HathiTrust Record")</f>
        <v/>
      </c>
      <c r="AU3958">
        <f>HYPERLINK("https://creighton-primo.hosted.exlibrisgroup.com/primo-explore/search?tab=default_tab&amp;search_scope=EVERYTHING&amp;vid=01CRU&amp;lang=en_US&amp;offset=0&amp;query=any,contains,991005082549702656","Catalog Record")</f>
        <v/>
      </c>
      <c r="AV3958">
        <f>HYPERLINK("http://www.worldcat.org/oclc/7174493","WorldCat Record")</f>
        <v/>
      </c>
      <c r="AW3958" t="inlineStr">
        <is>
          <t>26067113:eng</t>
        </is>
      </c>
      <c r="AX3958" t="inlineStr">
        <is>
          <t>7174493</t>
        </is>
      </c>
      <c r="AY3958" t="inlineStr">
        <is>
          <t>991005082549702656</t>
        </is>
      </c>
      <c r="AZ3958" t="inlineStr">
        <is>
          <t>991005082549702656</t>
        </is>
      </c>
      <c r="BA3958" t="inlineStr">
        <is>
          <t>2271824450002656</t>
        </is>
      </c>
      <c r="BB3958" t="inlineStr">
        <is>
          <t>BOOK</t>
        </is>
      </c>
      <c r="BD3958" t="inlineStr">
        <is>
          <t>9780805764734</t>
        </is>
      </c>
      <c r="BE3958" t="inlineStr">
        <is>
          <t>32285001247567</t>
        </is>
      </c>
      <c r="BF3958" t="inlineStr">
        <is>
          <t>893701006</t>
        </is>
      </c>
    </row>
    <row r="3959">
      <c r="A3959" t="inlineStr">
        <is>
          <t>No</t>
        </is>
      </c>
      <c r="B3959" t="inlineStr">
        <is>
          <t>CURAL</t>
        </is>
      </c>
      <c r="C3959" t="inlineStr">
        <is>
          <t>SHELVES</t>
        </is>
      </c>
      <c r="D3959" t="inlineStr">
        <is>
          <t>PR921 .G66 1988</t>
        </is>
      </c>
      <c r="E3959" t="inlineStr">
        <is>
          <t>0                      PR 0921000G  66          1988</t>
        </is>
      </c>
      <c r="F3959" t="inlineStr">
        <is>
          <t>The observing self : rediscovering the essay / Graham Good.</t>
        </is>
      </c>
      <c r="H3959" t="inlineStr">
        <is>
          <t>No</t>
        </is>
      </c>
      <c r="I3959" t="inlineStr">
        <is>
          <t>1</t>
        </is>
      </c>
      <c r="J3959" t="inlineStr">
        <is>
          <t>No</t>
        </is>
      </c>
      <c r="K3959" t="inlineStr">
        <is>
          <t>No</t>
        </is>
      </c>
      <c r="L3959" t="inlineStr">
        <is>
          <t>0</t>
        </is>
      </c>
      <c r="M3959" t="inlineStr">
        <is>
          <t>Good, Graham.</t>
        </is>
      </c>
      <c r="N3959" t="inlineStr">
        <is>
          <t>London ; New York : Routledge, 1988.</t>
        </is>
      </c>
      <c r="O3959" t="inlineStr">
        <is>
          <t>1988</t>
        </is>
      </c>
      <c r="Q3959" t="inlineStr">
        <is>
          <t>eng</t>
        </is>
      </c>
      <c r="R3959" t="inlineStr">
        <is>
          <t>enk</t>
        </is>
      </c>
      <c r="T3959" t="inlineStr">
        <is>
          <t xml:space="preserve">PR </t>
        </is>
      </c>
      <c r="U3959" t="n">
        <v>5</v>
      </c>
      <c r="V3959" t="n">
        <v>5</v>
      </c>
      <c r="W3959" t="inlineStr">
        <is>
          <t>1996-12-09</t>
        </is>
      </c>
      <c r="X3959" t="inlineStr">
        <is>
          <t>1996-12-09</t>
        </is>
      </c>
      <c r="Y3959" t="inlineStr">
        <is>
          <t>1991-09-18</t>
        </is>
      </c>
      <c r="Z3959" t="inlineStr">
        <is>
          <t>1991-09-18</t>
        </is>
      </c>
      <c r="AA3959" t="n">
        <v>466</v>
      </c>
      <c r="AB3959" t="n">
        <v>325</v>
      </c>
      <c r="AC3959" t="n">
        <v>336</v>
      </c>
      <c r="AD3959" t="n">
        <v>3</v>
      </c>
      <c r="AE3959" t="n">
        <v>3</v>
      </c>
      <c r="AF3959" t="n">
        <v>17</v>
      </c>
      <c r="AG3959" t="n">
        <v>17</v>
      </c>
      <c r="AH3959" t="n">
        <v>5</v>
      </c>
      <c r="AI3959" t="n">
        <v>5</v>
      </c>
      <c r="AJ3959" t="n">
        <v>5</v>
      </c>
      <c r="AK3959" t="n">
        <v>5</v>
      </c>
      <c r="AL3959" t="n">
        <v>8</v>
      </c>
      <c r="AM3959" t="n">
        <v>8</v>
      </c>
      <c r="AN3959" t="n">
        <v>2</v>
      </c>
      <c r="AO3959" t="n">
        <v>2</v>
      </c>
      <c r="AP3959" t="n">
        <v>0</v>
      </c>
      <c r="AQ3959" t="n">
        <v>0</v>
      </c>
      <c r="AR3959" t="inlineStr">
        <is>
          <t>No</t>
        </is>
      </c>
      <c r="AS3959" t="inlineStr">
        <is>
          <t>Yes</t>
        </is>
      </c>
      <c r="AT3959">
        <f>HYPERLINK("http://catalog.hathitrust.org/Record/000928458","HathiTrust Record")</f>
        <v/>
      </c>
      <c r="AU3959">
        <f>HYPERLINK("https://creighton-primo.hosted.exlibrisgroup.com/primo-explore/search?tab=default_tab&amp;search_scope=EVERYTHING&amp;vid=01CRU&amp;lang=en_US&amp;offset=0&amp;query=any,contains,991001205269702656","Catalog Record")</f>
        <v/>
      </c>
      <c r="AV3959">
        <f>HYPERLINK("http://www.worldcat.org/oclc/17353268","WorldCat Record")</f>
        <v/>
      </c>
      <c r="AW3959" t="inlineStr">
        <is>
          <t>312099530:eng</t>
        </is>
      </c>
      <c r="AX3959" t="inlineStr">
        <is>
          <t>17353268</t>
        </is>
      </c>
      <c r="AY3959" t="inlineStr">
        <is>
          <t>991001205269702656</t>
        </is>
      </c>
      <c r="AZ3959" t="inlineStr">
        <is>
          <t>991001205269702656</t>
        </is>
      </c>
      <c r="BA3959" t="inlineStr">
        <is>
          <t>2265506240002656</t>
        </is>
      </c>
      <c r="BB3959" t="inlineStr">
        <is>
          <t>BOOK</t>
        </is>
      </c>
      <c r="BD3959" t="inlineStr">
        <is>
          <t>9780415007306</t>
        </is>
      </c>
      <c r="BE3959" t="inlineStr">
        <is>
          <t>32285000759042</t>
        </is>
      </c>
      <c r="BF3959" t="inlineStr">
        <is>
          <t>893885129</t>
        </is>
      </c>
    </row>
    <row r="3960">
      <c r="A3960" t="inlineStr">
        <is>
          <t>No</t>
        </is>
      </c>
      <c r="B3960" t="inlineStr">
        <is>
          <t>CURAL</t>
        </is>
      </c>
      <c r="C3960" t="inlineStr">
        <is>
          <t>SHELVES</t>
        </is>
      </c>
      <c r="D3960" t="inlineStr">
        <is>
          <t>PR921 .W25</t>
        </is>
      </c>
      <c r="E3960" t="inlineStr">
        <is>
          <t>0                      PR 0921000W  25</t>
        </is>
      </c>
      <c r="F3960" t="inlineStr">
        <is>
          <t>The English essay and essayist / by Hugh Walker.</t>
        </is>
      </c>
      <c r="H3960" t="inlineStr">
        <is>
          <t>No</t>
        </is>
      </c>
      <c r="I3960" t="inlineStr">
        <is>
          <t>1</t>
        </is>
      </c>
      <c r="J3960" t="inlineStr">
        <is>
          <t>No</t>
        </is>
      </c>
      <c r="K3960" t="inlineStr">
        <is>
          <t>No</t>
        </is>
      </c>
      <c r="L3960" t="inlineStr">
        <is>
          <t>0</t>
        </is>
      </c>
      <c r="M3960" t="inlineStr">
        <is>
          <t>Walker, Hugh, 1855-1939.</t>
        </is>
      </c>
      <c r="N3960" t="inlineStr">
        <is>
          <t>London ; Toronto : J.M. Dent &amp; Sons, ltd. ; New York : E.P. Dutton &amp; Co., 1915.</t>
        </is>
      </c>
      <c r="O3960" t="inlineStr">
        <is>
          <t>1915</t>
        </is>
      </c>
      <c r="Q3960" t="inlineStr">
        <is>
          <t>eng</t>
        </is>
      </c>
      <c r="R3960" t="inlineStr">
        <is>
          <t>enk</t>
        </is>
      </c>
      <c r="S3960" t="inlineStr">
        <is>
          <t>The channels of English literature</t>
        </is>
      </c>
      <c r="T3960" t="inlineStr">
        <is>
          <t xml:space="preserve">PR </t>
        </is>
      </c>
      <c r="U3960" t="n">
        <v>3</v>
      </c>
      <c r="V3960" t="n">
        <v>3</v>
      </c>
      <c r="W3960" t="inlineStr">
        <is>
          <t>1995-12-28</t>
        </is>
      </c>
      <c r="X3960" t="inlineStr">
        <is>
          <t>1995-12-28</t>
        </is>
      </c>
      <c r="Y3960" t="inlineStr">
        <is>
          <t>1991-07-22</t>
        </is>
      </c>
      <c r="Z3960" t="inlineStr">
        <is>
          <t>1991-07-22</t>
        </is>
      </c>
      <c r="AA3960" t="n">
        <v>389</v>
      </c>
      <c r="AB3960" t="n">
        <v>335</v>
      </c>
      <c r="AC3960" t="n">
        <v>534</v>
      </c>
      <c r="AD3960" t="n">
        <v>4</v>
      </c>
      <c r="AE3960" t="n">
        <v>4</v>
      </c>
      <c r="AF3960" t="n">
        <v>16</v>
      </c>
      <c r="AG3960" t="n">
        <v>27</v>
      </c>
      <c r="AH3960" t="n">
        <v>4</v>
      </c>
      <c r="AI3960" t="n">
        <v>8</v>
      </c>
      <c r="AJ3960" t="n">
        <v>4</v>
      </c>
      <c r="AK3960" t="n">
        <v>7</v>
      </c>
      <c r="AL3960" t="n">
        <v>7</v>
      </c>
      <c r="AM3960" t="n">
        <v>14</v>
      </c>
      <c r="AN3960" t="n">
        <v>3</v>
      </c>
      <c r="AO3960" t="n">
        <v>3</v>
      </c>
      <c r="AP3960" t="n">
        <v>0</v>
      </c>
      <c r="AQ3960" t="n">
        <v>0</v>
      </c>
      <c r="AR3960" t="inlineStr">
        <is>
          <t>Yes</t>
        </is>
      </c>
      <c r="AS3960" t="inlineStr">
        <is>
          <t>No</t>
        </is>
      </c>
      <c r="AT3960">
        <f>HYPERLINK("http://catalog.hathitrust.org/Record/001907489","HathiTrust Record")</f>
        <v/>
      </c>
      <c r="AU3960">
        <f>HYPERLINK("https://creighton-primo.hosted.exlibrisgroup.com/primo-explore/search?tab=default_tab&amp;search_scope=EVERYTHING&amp;vid=01CRU&amp;lang=en_US&amp;offset=0&amp;query=any,contains,991002447629702656","Catalog Record")</f>
        <v/>
      </c>
      <c r="AV3960">
        <f>HYPERLINK("http://www.worldcat.org/oclc/351978","WorldCat Record")</f>
        <v/>
      </c>
      <c r="AW3960" t="inlineStr">
        <is>
          <t>1972600:eng</t>
        </is>
      </c>
      <c r="AX3960" t="inlineStr">
        <is>
          <t>351978</t>
        </is>
      </c>
      <c r="AY3960" t="inlineStr">
        <is>
          <t>991002447629702656</t>
        </is>
      </c>
      <c r="AZ3960" t="inlineStr">
        <is>
          <t>991002447629702656</t>
        </is>
      </c>
      <c r="BA3960" t="inlineStr">
        <is>
          <t>2266787980002656</t>
        </is>
      </c>
      <c r="BB3960" t="inlineStr">
        <is>
          <t>BOOK</t>
        </is>
      </c>
      <c r="BE3960" t="inlineStr">
        <is>
          <t>32285000677889</t>
        </is>
      </c>
      <c r="BF3960" t="inlineStr">
        <is>
          <t>893239055</t>
        </is>
      </c>
    </row>
    <row r="3961">
      <c r="A3961" t="inlineStr">
        <is>
          <t>No</t>
        </is>
      </c>
      <c r="B3961" t="inlineStr">
        <is>
          <t>CURAL</t>
        </is>
      </c>
      <c r="C3961" t="inlineStr">
        <is>
          <t>SHELVES</t>
        </is>
      </c>
      <c r="D3961" t="inlineStr">
        <is>
          <t>PR925 .M26 1997</t>
        </is>
      </c>
      <c r="E3961" t="inlineStr">
        <is>
          <t>0                      PR 0925000M  26          1997</t>
        </is>
      </c>
      <c r="F3961" t="inlineStr">
        <is>
          <t>Market à la mode : fashion, commodity, and gender in the Tatler and the Spectator / Erin Mackie.</t>
        </is>
      </c>
      <c r="H3961" t="inlineStr">
        <is>
          <t>No</t>
        </is>
      </c>
      <c r="I3961" t="inlineStr">
        <is>
          <t>1</t>
        </is>
      </c>
      <c r="J3961" t="inlineStr">
        <is>
          <t>No</t>
        </is>
      </c>
      <c r="K3961" t="inlineStr">
        <is>
          <t>No</t>
        </is>
      </c>
      <c r="L3961" t="inlineStr">
        <is>
          <t>0</t>
        </is>
      </c>
      <c r="M3961" t="inlineStr">
        <is>
          <t>Mackie, Erin Skye, 1959-</t>
        </is>
      </c>
      <c r="N3961" t="inlineStr">
        <is>
          <t>Baltimore, Md. : Johns Hopkins University Press, c1997.</t>
        </is>
      </c>
      <c r="O3961" t="inlineStr">
        <is>
          <t>1997</t>
        </is>
      </c>
      <c r="Q3961" t="inlineStr">
        <is>
          <t>eng</t>
        </is>
      </c>
      <c r="R3961" t="inlineStr">
        <is>
          <t>mdu</t>
        </is>
      </c>
      <c r="T3961" t="inlineStr">
        <is>
          <t xml:space="preserve">PR </t>
        </is>
      </c>
      <c r="U3961" t="n">
        <v>2</v>
      </c>
      <c r="V3961" t="n">
        <v>2</v>
      </c>
      <c r="W3961" t="inlineStr">
        <is>
          <t>2002-10-29</t>
        </is>
      </c>
      <c r="X3961" t="inlineStr">
        <is>
          <t>2002-10-29</t>
        </is>
      </c>
      <c r="Y3961" t="inlineStr">
        <is>
          <t>2000-12-13</t>
        </is>
      </c>
      <c r="Z3961" t="inlineStr">
        <is>
          <t>2000-12-13</t>
        </is>
      </c>
      <c r="AA3961" t="n">
        <v>443</v>
      </c>
      <c r="AB3961" t="n">
        <v>338</v>
      </c>
      <c r="AC3961" t="n">
        <v>340</v>
      </c>
      <c r="AD3961" t="n">
        <v>3</v>
      </c>
      <c r="AE3961" t="n">
        <v>3</v>
      </c>
      <c r="AF3961" t="n">
        <v>22</v>
      </c>
      <c r="AG3961" t="n">
        <v>22</v>
      </c>
      <c r="AH3961" t="n">
        <v>8</v>
      </c>
      <c r="AI3961" t="n">
        <v>8</v>
      </c>
      <c r="AJ3961" t="n">
        <v>7</v>
      </c>
      <c r="AK3961" t="n">
        <v>7</v>
      </c>
      <c r="AL3961" t="n">
        <v>11</v>
      </c>
      <c r="AM3961" t="n">
        <v>11</v>
      </c>
      <c r="AN3961" t="n">
        <v>2</v>
      </c>
      <c r="AO3961" t="n">
        <v>2</v>
      </c>
      <c r="AP3961" t="n">
        <v>0</v>
      </c>
      <c r="AQ3961" t="n">
        <v>0</v>
      </c>
      <c r="AR3961" t="inlineStr">
        <is>
          <t>No</t>
        </is>
      </c>
      <c r="AS3961" t="inlineStr">
        <is>
          <t>Yes</t>
        </is>
      </c>
      <c r="AT3961">
        <f>HYPERLINK("http://catalog.hathitrust.org/Record/003945735","HathiTrust Record")</f>
        <v/>
      </c>
      <c r="AU3961">
        <f>HYPERLINK("https://creighton-primo.hosted.exlibrisgroup.com/primo-explore/search?tab=default_tab&amp;search_scope=EVERYTHING&amp;vid=01CRU&amp;lang=en_US&amp;offset=0&amp;query=any,contains,991003322189702656","Catalog Record")</f>
        <v/>
      </c>
      <c r="AV3961">
        <f>HYPERLINK("http://www.worldcat.org/oclc/36225350","WorldCat Record")</f>
        <v/>
      </c>
      <c r="AW3961" t="inlineStr">
        <is>
          <t>610287:eng</t>
        </is>
      </c>
      <c r="AX3961" t="inlineStr">
        <is>
          <t>36225350</t>
        </is>
      </c>
      <c r="AY3961" t="inlineStr">
        <is>
          <t>991003322189702656</t>
        </is>
      </c>
      <c r="AZ3961" t="inlineStr">
        <is>
          <t>991003322189702656</t>
        </is>
      </c>
      <c r="BA3961" t="inlineStr">
        <is>
          <t>2272561030002656</t>
        </is>
      </c>
      <c r="BB3961" t="inlineStr">
        <is>
          <t>BOOK</t>
        </is>
      </c>
      <c r="BD3961" t="inlineStr">
        <is>
          <t>9780801855887</t>
        </is>
      </c>
      <c r="BE3961" t="inlineStr">
        <is>
          <t>32285004276357</t>
        </is>
      </c>
      <c r="BF3961" t="inlineStr">
        <is>
          <t>893535430</t>
        </is>
      </c>
    </row>
    <row r="3962">
      <c r="A3962" t="inlineStr">
        <is>
          <t>No</t>
        </is>
      </c>
      <c r="B3962" t="inlineStr">
        <is>
          <t>CURAL</t>
        </is>
      </c>
      <c r="C3962" t="inlineStr">
        <is>
          <t>SHELVES</t>
        </is>
      </c>
      <c r="D3962" t="inlineStr">
        <is>
          <t>PR925 .M32 1998</t>
        </is>
      </c>
      <c r="E3962" t="inlineStr">
        <is>
          <t>0                      PR 0925000M  32          1998</t>
        </is>
      </c>
      <c r="F3962" t="inlineStr">
        <is>
          <t>Proposing men : dialectics of gender and class in the eighteenth-century English periodical / Shawn Lisa Maurer.</t>
        </is>
      </c>
      <c r="H3962" t="inlineStr">
        <is>
          <t>No</t>
        </is>
      </c>
      <c r="I3962" t="inlineStr">
        <is>
          <t>1</t>
        </is>
      </c>
      <c r="J3962" t="inlineStr">
        <is>
          <t>No</t>
        </is>
      </c>
      <c r="K3962" t="inlineStr">
        <is>
          <t>No</t>
        </is>
      </c>
      <c r="L3962" t="inlineStr">
        <is>
          <t>0</t>
        </is>
      </c>
      <c r="M3962" t="inlineStr">
        <is>
          <t>Maurer, Shawn L., 1960-</t>
        </is>
      </c>
      <c r="N3962" t="inlineStr">
        <is>
          <t>Stanford, Calif. : Stanford University Press, 1998.</t>
        </is>
      </c>
      <c r="O3962" t="inlineStr">
        <is>
          <t>1998</t>
        </is>
      </c>
      <c r="Q3962" t="inlineStr">
        <is>
          <t>eng</t>
        </is>
      </c>
      <c r="R3962" t="inlineStr">
        <is>
          <t>cau</t>
        </is>
      </c>
      <c r="T3962" t="inlineStr">
        <is>
          <t xml:space="preserve">PR </t>
        </is>
      </c>
      <c r="U3962" t="n">
        <v>1</v>
      </c>
      <c r="V3962" t="n">
        <v>1</v>
      </c>
      <c r="W3962" t="inlineStr">
        <is>
          <t>2004-04-13</t>
        </is>
      </c>
      <c r="X3962" t="inlineStr">
        <is>
          <t>2004-04-13</t>
        </is>
      </c>
      <c r="Y3962" t="inlineStr">
        <is>
          <t>2004-04-13</t>
        </is>
      </c>
      <c r="Z3962" t="inlineStr">
        <is>
          <t>2004-04-13</t>
        </is>
      </c>
      <c r="AA3962" t="n">
        <v>293</v>
      </c>
      <c r="AB3962" t="n">
        <v>229</v>
      </c>
      <c r="AC3962" t="n">
        <v>229</v>
      </c>
      <c r="AD3962" t="n">
        <v>3</v>
      </c>
      <c r="AE3962" t="n">
        <v>3</v>
      </c>
      <c r="AF3962" t="n">
        <v>14</v>
      </c>
      <c r="AG3962" t="n">
        <v>14</v>
      </c>
      <c r="AH3962" t="n">
        <v>3</v>
      </c>
      <c r="AI3962" t="n">
        <v>3</v>
      </c>
      <c r="AJ3962" t="n">
        <v>4</v>
      </c>
      <c r="AK3962" t="n">
        <v>4</v>
      </c>
      <c r="AL3962" t="n">
        <v>9</v>
      </c>
      <c r="AM3962" t="n">
        <v>9</v>
      </c>
      <c r="AN3962" t="n">
        <v>2</v>
      </c>
      <c r="AO3962" t="n">
        <v>2</v>
      </c>
      <c r="AP3962" t="n">
        <v>0</v>
      </c>
      <c r="AQ3962" t="n">
        <v>0</v>
      </c>
      <c r="AR3962" t="inlineStr">
        <is>
          <t>No</t>
        </is>
      </c>
      <c r="AS3962" t="inlineStr">
        <is>
          <t>No</t>
        </is>
      </c>
      <c r="AU3962">
        <f>HYPERLINK("https://creighton-primo.hosted.exlibrisgroup.com/primo-explore/search?tab=default_tab&amp;search_scope=EVERYTHING&amp;vid=01CRU&amp;lang=en_US&amp;offset=0&amp;query=any,contains,991004280919702656","Catalog Record")</f>
        <v/>
      </c>
      <c r="AV3962">
        <f>HYPERLINK("http://www.worldcat.org/oclc/38853921","WorldCat Record")</f>
        <v/>
      </c>
      <c r="AW3962" t="inlineStr">
        <is>
          <t>140905097:eng</t>
        </is>
      </c>
      <c r="AX3962" t="inlineStr">
        <is>
          <t>38853921</t>
        </is>
      </c>
      <c r="AY3962" t="inlineStr">
        <is>
          <t>991004280919702656</t>
        </is>
      </c>
      <c r="AZ3962" t="inlineStr">
        <is>
          <t>991004280919702656</t>
        </is>
      </c>
      <c r="BA3962" t="inlineStr">
        <is>
          <t>2272579430002656</t>
        </is>
      </c>
      <c r="BB3962" t="inlineStr">
        <is>
          <t>BOOK</t>
        </is>
      </c>
      <c r="BD3962" t="inlineStr">
        <is>
          <t>9780804733533</t>
        </is>
      </c>
      <c r="BE3962" t="inlineStr">
        <is>
          <t>32285004899224</t>
        </is>
      </c>
      <c r="BF3962" t="inlineStr">
        <is>
          <t>893593492</t>
        </is>
      </c>
    </row>
    <row r="3963">
      <c r="A3963" t="inlineStr">
        <is>
          <t>No</t>
        </is>
      </c>
      <c r="B3963" t="inlineStr">
        <is>
          <t>CURAL</t>
        </is>
      </c>
      <c r="C3963" t="inlineStr">
        <is>
          <t>SHELVES</t>
        </is>
      </c>
      <c r="D3963" t="inlineStr">
        <is>
          <t>PR9272.9.W3 Z57 1993</t>
        </is>
      </c>
      <c r="E3963" t="inlineStr">
        <is>
          <t>0                      PR 9272900W  3                  Z  57          1993</t>
        </is>
      </c>
      <c r="F3963" t="inlineStr">
        <is>
          <t>Critical perspectives on Derek Walcott / compiled and edited by Robert D. Hamner.</t>
        </is>
      </c>
      <c r="H3963" t="inlineStr">
        <is>
          <t>No</t>
        </is>
      </c>
      <c r="I3963" t="inlineStr">
        <is>
          <t>1</t>
        </is>
      </c>
      <c r="J3963" t="inlineStr">
        <is>
          <t>No</t>
        </is>
      </c>
      <c r="K3963" t="inlineStr">
        <is>
          <t>No</t>
        </is>
      </c>
      <c r="L3963" t="inlineStr">
        <is>
          <t>0</t>
        </is>
      </c>
      <c r="N3963" t="inlineStr">
        <is>
          <t>Washington, D.C. : Three Continents Press, c1993.</t>
        </is>
      </c>
      <c r="O3963" t="inlineStr">
        <is>
          <t>1993</t>
        </is>
      </c>
      <c r="Q3963" t="inlineStr">
        <is>
          <t>eng</t>
        </is>
      </c>
      <c r="R3963" t="inlineStr">
        <is>
          <t>dcu</t>
        </is>
      </c>
      <c r="S3963" t="inlineStr">
        <is>
          <t>Critical perspectives series ; 26</t>
        </is>
      </c>
      <c r="T3963" t="inlineStr">
        <is>
          <t xml:space="preserve">PR </t>
        </is>
      </c>
      <c r="U3963" t="n">
        <v>5</v>
      </c>
      <c r="V3963" t="n">
        <v>5</v>
      </c>
      <c r="W3963" t="inlineStr">
        <is>
          <t>2005-04-18</t>
        </is>
      </c>
      <c r="X3963" t="inlineStr">
        <is>
          <t>2005-04-18</t>
        </is>
      </c>
      <c r="Y3963" t="inlineStr">
        <is>
          <t>1994-06-29</t>
        </is>
      </c>
      <c r="Z3963" t="inlineStr">
        <is>
          <t>1994-06-29</t>
        </is>
      </c>
      <c r="AA3963" t="n">
        <v>497</v>
      </c>
      <c r="AB3963" t="n">
        <v>399</v>
      </c>
      <c r="AC3963" t="n">
        <v>464</v>
      </c>
      <c r="AD3963" t="n">
        <v>4</v>
      </c>
      <c r="AE3963" t="n">
        <v>4</v>
      </c>
      <c r="AF3963" t="n">
        <v>25</v>
      </c>
      <c r="AG3963" t="n">
        <v>28</v>
      </c>
      <c r="AH3963" t="n">
        <v>12</v>
      </c>
      <c r="AI3963" t="n">
        <v>15</v>
      </c>
      <c r="AJ3963" t="n">
        <v>4</v>
      </c>
      <c r="AK3963" t="n">
        <v>4</v>
      </c>
      <c r="AL3963" t="n">
        <v>13</v>
      </c>
      <c r="AM3963" t="n">
        <v>13</v>
      </c>
      <c r="AN3963" t="n">
        <v>3</v>
      </c>
      <c r="AO3963" t="n">
        <v>3</v>
      </c>
      <c r="AP3963" t="n">
        <v>0</v>
      </c>
      <c r="AQ3963" t="n">
        <v>0</v>
      </c>
      <c r="AR3963" t="inlineStr">
        <is>
          <t>No</t>
        </is>
      </c>
      <c r="AS3963" t="inlineStr">
        <is>
          <t>Yes</t>
        </is>
      </c>
      <c r="AT3963">
        <f>HYPERLINK("http://catalog.hathitrust.org/Record/002789708","HathiTrust Record")</f>
        <v/>
      </c>
      <c r="AU3963">
        <f>HYPERLINK("https://creighton-primo.hosted.exlibrisgroup.com/primo-explore/search?tab=default_tab&amp;search_scope=EVERYTHING&amp;vid=01CRU&amp;lang=en_US&amp;offset=0&amp;query=any,contains,991002101169702656","Catalog Record")</f>
        <v/>
      </c>
      <c r="AV3963">
        <f>HYPERLINK("http://www.worldcat.org/oclc/26973706","WorldCat Record")</f>
        <v/>
      </c>
      <c r="AW3963" t="inlineStr">
        <is>
          <t>55648954:eng</t>
        </is>
      </c>
      <c r="AX3963" t="inlineStr">
        <is>
          <t>26973706</t>
        </is>
      </c>
      <c r="AY3963" t="inlineStr">
        <is>
          <t>991002101169702656</t>
        </is>
      </c>
      <c r="AZ3963" t="inlineStr">
        <is>
          <t>991002101169702656</t>
        </is>
      </c>
      <c r="BA3963" t="inlineStr">
        <is>
          <t>2254774820002656</t>
        </is>
      </c>
      <c r="BB3963" t="inlineStr">
        <is>
          <t>BOOK</t>
        </is>
      </c>
      <c r="BD3963" t="inlineStr">
        <is>
          <t>9780894101410</t>
        </is>
      </c>
      <c r="BE3963" t="inlineStr">
        <is>
          <t>32285001924926</t>
        </is>
      </c>
      <c r="BF3963" t="inlineStr">
        <is>
          <t>893866805</t>
        </is>
      </c>
    </row>
    <row r="3964">
      <c r="A3964" t="inlineStr">
        <is>
          <t>No</t>
        </is>
      </c>
      <c r="B3964" t="inlineStr">
        <is>
          <t>CURAL</t>
        </is>
      </c>
      <c r="C3964" t="inlineStr">
        <is>
          <t>SHELVES</t>
        </is>
      </c>
      <c r="D3964" t="inlineStr">
        <is>
          <t>PR9272.9.W3 Z69</t>
        </is>
      </c>
      <c r="E3964" t="inlineStr">
        <is>
          <t>0                      PR 9272900W  3                  Z  69</t>
        </is>
      </c>
      <c r="F3964" t="inlineStr">
        <is>
          <t>Derek Walcott / by Robert D. Hamner.</t>
        </is>
      </c>
      <c r="H3964" t="inlineStr">
        <is>
          <t>No</t>
        </is>
      </c>
      <c r="I3964" t="inlineStr">
        <is>
          <t>1</t>
        </is>
      </c>
      <c r="J3964" t="inlineStr">
        <is>
          <t>No</t>
        </is>
      </c>
      <c r="K3964" t="inlineStr">
        <is>
          <t>Yes</t>
        </is>
      </c>
      <c r="L3964" t="inlineStr">
        <is>
          <t>0</t>
        </is>
      </c>
      <c r="M3964" t="inlineStr">
        <is>
          <t>Hamner, Robert D.</t>
        </is>
      </c>
      <c r="N3964" t="inlineStr">
        <is>
          <t>Boston : Twayne, 1981.</t>
        </is>
      </c>
      <c r="O3964" t="inlineStr">
        <is>
          <t>1981</t>
        </is>
      </c>
      <c r="Q3964" t="inlineStr">
        <is>
          <t>eng</t>
        </is>
      </c>
      <c r="R3964" t="inlineStr">
        <is>
          <t>mau</t>
        </is>
      </c>
      <c r="S3964" t="inlineStr">
        <is>
          <t>Twayne's world authors series ; TWAS 600. Caribbean</t>
        </is>
      </c>
      <c r="T3964" t="inlineStr">
        <is>
          <t xml:space="preserve">PR </t>
        </is>
      </c>
      <c r="U3964" t="n">
        <v>4</v>
      </c>
      <c r="V3964" t="n">
        <v>4</v>
      </c>
      <c r="W3964" t="inlineStr">
        <is>
          <t>2005-04-18</t>
        </is>
      </c>
      <c r="X3964" t="inlineStr">
        <is>
          <t>2005-04-18</t>
        </is>
      </c>
      <c r="Y3964" t="inlineStr">
        <is>
          <t>1992-08-20</t>
        </is>
      </c>
      <c r="Z3964" t="inlineStr">
        <is>
          <t>1992-08-20</t>
        </is>
      </c>
      <c r="AA3964" t="n">
        <v>520</v>
      </c>
      <c r="AB3964" t="n">
        <v>446</v>
      </c>
      <c r="AC3964" t="n">
        <v>819</v>
      </c>
      <c r="AD3964" t="n">
        <v>4</v>
      </c>
      <c r="AE3964" t="n">
        <v>7</v>
      </c>
      <c r="AF3964" t="n">
        <v>15</v>
      </c>
      <c r="AG3964" t="n">
        <v>35</v>
      </c>
      <c r="AH3964" t="n">
        <v>4</v>
      </c>
      <c r="AI3964" t="n">
        <v>14</v>
      </c>
      <c r="AJ3964" t="n">
        <v>4</v>
      </c>
      <c r="AK3964" t="n">
        <v>6</v>
      </c>
      <c r="AL3964" t="n">
        <v>9</v>
      </c>
      <c r="AM3964" t="n">
        <v>17</v>
      </c>
      <c r="AN3964" t="n">
        <v>3</v>
      </c>
      <c r="AO3964" t="n">
        <v>6</v>
      </c>
      <c r="AP3964" t="n">
        <v>0</v>
      </c>
      <c r="AQ3964" t="n">
        <v>0</v>
      </c>
      <c r="AR3964" t="inlineStr">
        <is>
          <t>No</t>
        </is>
      </c>
      <c r="AS3964" t="inlineStr">
        <is>
          <t>Yes</t>
        </is>
      </c>
      <c r="AT3964">
        <f>HYPERLINK("http://catalog.hathitrust.org/Record/000266300","HathiTrust Record")</f>
        <v/>
      </c>
      <c r="AU3964">
        <f>HYPERLINK("https://creighton-primo.hosted.exlibrisgroup.com/primo-explore/search?tab=default_tab&amp;search_scope=EVERYTHING&amp;vid=01CRU&amp;lang=en_US&amp;offset=0&amp;query=any,contains,991005097779702656","Catalog Record")</f>
        <v/>
      </c>
      <c r="AV3964">
        <f>HYPERLINK("http://www.worldcat.org/oclc/7276681","WorldCat Record")</f>
        <v/>
      </c>
      <c r="AW3964" t="inlineStr">
        <is>
          <t>352488:eng</t>
        </is>
      </c>
      <c r="AX3964" t="inlineStr">
        <is>
          <t>7276681</t>
        </is>
      </c>
      <c r="AY3964" t="inlineStr">
        <is>
          <t>991005097779702656</t>
        </is>
      </c>
      <c r="AZ3964" t="inlineStr">
        <is>
          <t>991005097779702656</t>
        </is>
      </c>
      <c r="BA3964" t="inlineStr">
        <is>
          <t>2260040270002656</t>
        </is>
      </c>
      <c r="BB3964" t="inlineStr">
        <is>
          <t>BOOK</t>
        </is>
      </c>
      <c r="BD3964" t="inlineStr">
        <is>
          <t>9780805764420</t>
        </is>
      </c>
      <c r="BE3964" t="inlineStr">
        <is>
          <t>32285001248086</t>
        </is>
      </c>
      <c r="BF3964" t="inlineStr">
        <is>
          <t>893713436</t>
        </is>
      </c>
    </row>
    <row r="3965">
      <c r="A3965" t="inlineStr">
        <is>
          <t>No</t>
        </is>
      </c>
      <c r="B3965" t="inlineStr">
        <is>
          <t>CURAL</t>
        </is>
      </c>
      <c r="C3965" t="inlineStr">
        <is>
          <t>SHELVES</t>
        </is>
      </c>
      <c r="D3965" t="inlineStr">
        <is>
          <t>PR9272.9.W3 Z69 1993</t>
        </is>
      </c>
      <c r="E3965" t="inlineStr">
        <is>
          <t>0                      PR 9272900W  3                  Z  69          1993</t>
        </is>
      </c>
      <c r="F3965" t="inlineStr">
        <is>
          <t>Derek Walcott / Robert D. Hamner.</t>
        </is>
      </c>
      <c r="H3965" t="inlineStr">
        <is>
          <t>No</t>
        </is>
      </c>
      <c r="I3965" t="inlineStr">
        <is>
          <t>1</t>
        </is>
      </c>
      <c r="J3965" t="inlineStr">
        <is>
          <t>No</t>
        </is>
      </c>
      <c r="K3965" t="inlineStr">
        <is>
          <t>Yes</t>
        </is>
      </c>
      <c r="L3965" t="inlineStr">
        <is>
          <t>0</t>
        </is>
      </c>
      <c r="M3965" t="inlineStr">
        <is>
          <t>Hamner, Robert D.</t>
        </is>
      </c>
      <c r="N3965" t="inlineStr">
        <is>
          <t>New York : Twayne ; Toronto : Maxwell Macmillan Canada ; New York : Maxwell Macmillan International, c1993.</t>
        </is>
      </c>
      <c r="O3965" t="inlineStr">
        <is>
          <t>1993</t>
        </is>
      </c>
      <c r="P3965" t="inlineStr">
        <is>
          <t>Updated ed.</t>
        </is>
      </c>
      <c r="Q3965" t="inlineStr">
        <is>
          <t>eng</t>
        </is>
      </c>
      <c r="R3965" t="inlineStr">
        <is>
          <t>nyu</t>
        </is>
      </c>
      <c r="S3965" t="inlineStr">
        <is>
          <t>Twayne's world authors series ; TWAS 600</t>
        </is>
      </c>
      <c r="T3965" t="inlineStr">
        <is>
          <t xml:space="preserve">PR </t>
        </is>
      </c>
      <c r="U3965" t="n">
        <v>2</v>
      </c>
      <c r="V3965" t="n">
        <v>2</v>
      </c>
      <c r="W3965" t="inlineStr">
        <is>
          <t>2005-04-19</t>
        </is>
      </c>
      <c r="X3965" t="inlineStr">
        <is>
          <t>2005-04-19</t>
        </is>
      </c>
      <c r="Y3965" t="inlineStr">
        <is>
          <t>1996-05-30</t>
        </is>
      </c>
      <c r="Z3965" t="inlineStr">
        <is>
          <t>1996-05-30</t>
        </is>
      </c>
      <c r="AA3965" t="n">
        <v>508</v>
      </c>
      <c r="AB3965" t="n">
        <v>441</v>
      </c>
      <c r="AC3965" t="n">
        <v>819</v>
      </c>
      <c r="AD3965" t="n">
        <v>3</v>
      </c>
      <c r="AE3965" t="n">
        <v>7</v>
      </c>
      <c r="AF3965" t="n">
        <v>23</v>
      </c>
      <c r="AG3965" t="n">
        <v>35</v>
      </c>
      <c r="AH3965" t="n">
        <v>10</v>
      </c>
      <c r="AI3965" t="n">
        <v>14</v>
      </c>
      <c r="AJ3965" t="n">
        <v>3</v>
      </c>
      <c r="AK3965" t="n">
        <v>6</v>
      </c>
      <c r="AL3965" t="n">
        <v>13</v>
      </c>
      <c r="AM3965" t="n">
        <v>17</v>
      </c>
      <c r="AN3965" t="n">
        <v>2</v>
      </c>
      <c r="AO3965" t="n">
        <v>6</v>
      </c>
      <c r="AP3965" t="n">
        <v>0</v>
      </c>
      <c r="AQ3965" t="n">
        <v>0</v>
      </c>
      <c r="AR3965" t="inlineStr">
        <is>
          <t>No</t>
        </is>
      </c>
      <c r="AS3965" t="inlineStr">
        <is>
          <t>Yes</t>
        </is>
      </c>
      <c r="AT3965">
        <f>HYPERLINK("http://catalog.hathitrust.org/Record/002738193","HathiTrust Record")</f>
        <v/>
      </c>
      <c r="AU3965">
        <f>HYPERLINK("https://creighton-primo.hosted.exlibrisgroup.com/primo-explore/search?tab=default_tab&amp;search_scope=EVERYTHING&amp;vid=01CRU&amp;lang=en_US&amp;offset=0&amp;query=any,contains,991002160799702656","Catalog Record")</f>
        <v/>
      </c>
      <c r="AV3965">
        <f>HYPERLINK("http://www.worldcat.org/oclc/27813669","WorldCat Record")</f>
        <v/>
      </c>
      <c r="AW3965" t="inlineStr">
        <is>
          <t>352488:eng</t>
        </is>
      </c>
      <c r="AX3965" t="inlineStr">
        <is>
          <t>27813669</t>
        </is>
      </c>
      <c r="AY3965" t="inlineStr">
        <is>
          <t>991002160799702656</t>
        </is>
      </c>
      <c r="AZ3965" t="inlineStr">
        <is>
          <t>991002160799702656</t>
        </is>
      </c>
      <c r="BA3965" t="inlineStr">
        <is>
          <t>2257517630002656</t>
        </is>
      </c>
      <c r="BB3965" t="inlineStr">
        <is>
          <t>BOOK</t>
        </is>
      </c>
      <c r="BD3965" t="inlineStr">
        <is>
          <t>9780805743012</t>
        </is>
      </c>
      <c r="BE3965" t="inlineStr">
        <is>
          <t>32285002179413</t>
        </is>
      </c>
      <c r="BF3965" t="inlineStr">
        <is>
          <t>893798249</t>
        </is>
      </c>
    </row>
    <row r="3966">
      <c r="A3966" t="inlineStr">
        <is>
          <t>No</t>
        </is>
      </c>
      <c r="B3966" t="inlineStr">
        <is>
          <t>CURAL</t>
        </is>
      </c>
      <c r="C3966" t="inlineStr">
        <is>
          <t>SHELVES</t>
        </is>
      </c>
      <c r="D3966" t="inlineStr">
        <is>
          <t>PR93 .T4 1908b</t>
        </is>
      </c>
      <c r="E3966" t="inlineStr">
        <is>
          <t>0                      PR 0093000T  4           1908b</t>
        </is>
      </c>
      <c r="F3966" t="inlineStr">
        <is>
          <t>...History of English literature, by H. A. Taine, D. C. L., tr. from the French by H. Van Laun...</t>
        </is>
      </c>
      <c r="G3966" t="inlineStr">
        <is>
          <t>V. 1</t>
        </is>
      </c>
      <c r="H3966" t="inlineStr">
        <is>
          <t>Yes</t>
        </is>
      </c>
      <c r="I3966" t="inlineStr">
        <is>
          <t>1</t>
        </is>
      </c>
      <c r="J3966" t="inlineStr">
        <is>
          <t>No</t>
        </is>
      </c>
      <c r="K3966" t="inlineStr">
        <is>
          <t>No</t>
        </is>
      </c>
      <c r="L3966" t="inlineStr">
        <is>
          <t>0</t>
        </is>
      </c>
      <c r="M3966" t="inlineStr">
        <is>
          <t>Taine, Hippolyte, 1828-1893.</t>
        </is>
      </c>
      <c r="N3966" t="inlineStr">
        <is>
          <t>Philadelphia, David McKay [1908]</t>
        </is>
      </c>
      <c r="O3966" t="inlineStr">
        <is>
          <t>1908</t>
        </is>
      </c>
      <c r="P3966" t="inlineStr">
        <is>
          <t>[Standard ed.]</t>
        </is>
      </c>
      <c r="Q3966" t="inlineStr">
        <is>
          <t>eng</t>
        </is>
      </c>
      <c r="R3966" t="inlineStr">
        <is>
          <t xml:space="preserve">xx </t>
        </is>
      </c>
      <c r="T3966" t="inlineStr">
        <is>
          <t xml:space="preserve">PR </t>
        </is>
      </c>
      <c r="U3966" t="n">
        <v>1</v>
      </c>
      <c r="V3966" t="n">
        <v>5</v>
      </c>
      <c r="W3966" t="inlineStr">
        <is>
          <t>2009-02-02</t>
        </is>
      </c>
      <c r="X3966" t="inlineStr">
        <is>
          <t>2009-02-02</t>
        </is>
      </c>
      <c r="Y3966" t="inlineStr">
        <is>
          <t>1997-08-13</t>
        </is>
      </c>
      <c r="Z3966" t="inlineStr">
        <is>
          <t>1997-08-13</t>
        </is>
      </c>
      <c r="AA3966" t="n">
        <v>27</v>
      </c>
      <c r="AB3966" t="n">
        <v>26</v>
      </c>
      <c r="AC3966" t="n">
        <v>1433</v>
      </c>
      <c r="AD3966" t="n">
        <v>1</v>
      </c>
      <c r="AE3966" t="n">
        <v>15</v>
      </c>
      <c r="AF3966" t="n">
        <v>0</v>
      </c>
      <c r="AG3966" t="n">
        <v>59</v>
      </c>
      <c r="AH3966" t="n">
        <v>0</v>
      </c>
      <c r="AI3966" t="n">
        <v>24</v>
      </c>
      <c r="AJ3966" t="n">
        <v>0</v>
      </c>
      <c r="AK3966" t="n">
        <v>10</v>
      </c>
      <c r="AL3966" t="n">
        <v>0</v>
      </c>
      <c r="AM3966" t="n">
        <v>27</v>
      </c>
      <c r="AN3966" t="n">
        <v>0</v>
      </c>
      <c r="AO3966" t="n">
        <v>11</v>
      </c>
      <c r="AP3966" t="n">
        <v>0</v>
      </c>
      <c r="AQ3966" t="n">
        <v>0</v>
      </c>
      <c r="AR3966" t="inlineStr">
        <is>
          <t>No</t>
        </is>
      </c>
      <c r="AS3966" t="inlineStr">
        <is>
          <t>No</t>
        </is>
      </c>
      <c r="AU3966">
        <f>HYPERLINK("https://creighton-primo.hosted.exlibrisgroup.com/primo-explore/search?tab=default_tab&amp;search_scope=EVERYTHING&amp;vid=01CRU&amp;lang=en_US&amp;offset=0&amp;query=any,contains,991001095789702656","Catalog Record")</f>
        <v/>
      </c>
      <c r="AV3966">
        <f>HYPERLINK("http://www.worldcat.org/oclc/183184","WorldCat Record")</f>
        <v/>
      </c>
      <c r="AW3966" t="inlineStr">
        <is>
          <t>1328378:eng</t>
        </is>
      </c>
      <c r="AX3966" t="inlineStr">
        <is>
          <t>183184</t>
        </is>
      </c>
      <c r="AY3966" t="inlineStr">
        <is>
          <t>991001095789702656</t>
        </is>
      </c>
      <c r="AZ3966" t="inlineStr">
        <is>
          <t>991001095789702656</t>
        </is>
      </c>
      <c r="BA3966" t="inlineStr">
        <is>
          <t>2267484670002656</t>
        </is>
      </c>
      <c r="BB3966" t="inlineStr">
        <is>
          <t>BOOK</t>
        </is>
      </c>
      <c r="BE3966" t="inlineStr">
        <is>
          <t>32285003064135</t>
        </is>
      </c>
      <c r="BF3966" t="inlineStr">
        <is>
          <t>893797293</t>
        </is>
      </c>
    </row>
    <row r="3967">
      <c r="A3967" t="inlineStr">
        <is>
          <t>No</t>
        </is>
      </c>
      <c r="B3967" t="inlineStr">
        <is>
          <t>CURAL</t>
        </is>
      </c>
      <c r="C3967" t="inlineStr">
        <is>
          <t>SHELVES</t>
        </is>
      </c>
      <c r="D3967" t="inlineStr">
        <is>
          <t>PR93 .T4 1908B V. 2</t>
        </is>
      </c>
      <c r="E3967" t="inlineStr">
        <is>
          <t>0                      PR 0093000T  4                                                       1908B V. 2</t>
        </is>
      </c>
      <c r="F3967" t="inlineStr">
        <is>
          <t>...History of English literature, by H. A. Taine, D. C. L., tr. from the French by H. Van Laun...</t>
        </is>
      </c>
      <c r="G3967" t="inlineStr">
        <is>
          <t>V. 2</t>
        </is>
      </c>
      <c r="H3967" t="inlineStr">
        <is>
          <t>Yes</t>
        </is>
      </c>
      <c r="I3967" t="inlineStr">
        <is>
          <t>1</t>
        </is>
      </c>
      <c r="J3967" t="inlineStr">
        <is>
          <t>No</t>
        </is>
      </c>
      <c r="K3967" t="inlineStr">
        <is>
          <t>No</t>
        </is>
      </c>
      <c r="L3967" t="inlineStr">
        <is>
          <t>0</t>
        </is>
      </c>
      <c r="M3967" t="inlineStr">
        <is>
          <t>Taine, Hippolyte, 1828-1893.</t>
        </is>
      </c>
      <c r="N3967" t="inlineStr">
        <is>
          <t>Philadelphia, David McKay [1908]</t>
        </is>
      </c>
      <c r="O3967" t="inlineStr">
        <is>
          <t>1908</t>
        </is>
      </c>
      <c r="P3967" t="inlineStr">
        <is>
          <t>[Standard ed.]</t>
        </is>
      </c>
      <c r="Q3967" t="inlineStr">
        <is>
          <t>eng</t>
        </is>
      </c>
      <c r="R3967" t="inlineStr">
        <is>
          <t xml:space="preserve">xx </t>
        </is>
      </c>
      <c r="T3967" t="inlineStr">
        <is>
          <t xml:space="preserve">PR </t>
        </is>
      </c>
      <c r="U3967" t="n">
        <v>1</v>
      </c>
      <c r="V3967" t="n">
        <v>5</v>
      </c>
      <c r="W3967" t="inlineStr">
        <is>
          <t>2009-02-02</t>
        </is>
      </c>
      <c r="X3967" t="inlineStr">
        <is>
          <t>2009-02-02</t>
        </is>
      </c>
      <c r="Y3967" t="inlineStr">
        <is>
          <t>1997-08-13</t>
        </is>
      </c>
      <c r="Z3967" t="inlineStr">
        <is>
          <t>1997-08-13</t>
        </is>
      </c>
      <c r="AA3967" t="n">
        <v>27</v>
      </c>
      <c r="AB3967" t="n">
        <v>26</v>
      </c>
      <c r="AC3967" t="n">
        <v>1433</v>
      </c>
      <c r="AD3967" t="n">
        <v>1</v>
      </c>
      <c r="AE3967" t="n">
        <v>15</v>
      </c>
      <c r="AF3967" t="n">
        <v>0</v>
      </c>
      <c r="AG3967" t="n">
        <v>59</v>
      </c>
      <c r="AH3967" t="n">
        <v>0</v>
      </c>
      <c r="AI3967" t="n">
        <v>24</v>
      </c>
      <c r="AJ3967" t="n">
        <v>0</v>
      </c>
      <c r="AK3967" t="n">
        <v>10</v>
      </c>
      <c r="AL3967" t="n">
        <v>0</v>
      </c>
      <c r="AM3967" t="n">
        <v>27</v>
      </c>
      <c r="AN3967" t="n">
        <v>0</v>
      </c>
      <c r="AO3967" t="n">
        <v>11</v>
      </c>
      <c r="AP3967" t="n">
        <v>0</v>
      </c>
      <c r="AQ3967" t="n">
        <v>0</v>
      </c>
      <c r="AR3967" t="inlineStr">
        <is>
          <t>No</t>
        </is>
      </c>
      <c r="AS3967" t="inlineStr">
        <is>
          <t>No</t>
        </is>
      </c>
      <c r="AU3967">
        <f>HYPERLINK("https://creighton-primo.hosted.exlibrisgroup.com/primo-explore/search?tab=default_tab&amp;search_scope=EVERYTHING&amp;vid=01CRU&amp;lang=en_US&amp;offset=0&amp;query=any,contains,991001095789702656","Catalog Record")</f>
        <v/>
      </c>
      <c r="AV3967">
        <f>HYPERLINK("http://www.worldcat.org/oclc/183184","WorldCat Record")</f>
        <v/>
      </c>
      <c r="AW3967" t="inlineStr">
        <is>
          <t>1328378:eng</t>
        </is>
      </c>
      <c r="AX3967" t="inlineStr">
        <is>
          <t>183184</t>
        </is>
      </c>
      <c r="AY3967" t="inlineStr">
        <is>
          <t>991001095789702656</t>
        </is>
      </c>
      <c r="AZ3967" t="inlineStr">
        <is>
          <t>991001095789702656</t>
        </is>
      </c>
      <c r="BA3967" t="inlineStr">
        <is>
          <t>2267484670002656</t>
        </is>
      </c>
      <c r="BB3967" t="inlineStr">
        <is>
          <t>BOOK</t>
        </is>
      </c>
      <c r="BE3967" t="inlineStr">
        <is>
          <t>32285003064143</t>
        </is>
      </c>
      <c r="BF3967" t="inlineStr">
        <is>
          <t>893797292</t>
        </is>
      </c>
    </row>
    <row r="3968">
      <c r="A3968" t="inlineStr">
        <is>
          <t>No</t>
        </is>
      </c>
      <c r="B3968" t="inlineStr">
        <is>
          <t>CURAL</t>
        </is>
      </c>
      <c r="C3968" t="inlineStr">
        <is>
          <t>SHELVES</t>
        </is>
      </c>
      <c r="D3968" t="inlineStr">
        <is>
          <t>PR93 .T4 1908B V. 3</t>
        </is>
      </c>
      <c r="E3968" t="inlineStr">
        <is>
          <t>0                      PR 0093000T  4                                                       1908B V. 3</t>
        </is>
      </c>
      <c r="F3968" t="inlineStr">
        <is>
          <t>...History of English literature, by H. A. Taine, D. C. L., tr. from the French by H. Van Laun...</t>
        </is>
      </c>
      <c r="G3968" t="inlineStr">
        <is>
          <t>V. 3</t>
        </is>
      </c>
      <c r="H3968" t="inlineStr">
        <is>
          <t>Yes</t>
        </is>
      </c>
      <c r="I3968" t="inlineStr">
        <is>
          <t>1</t>
        </is>
      </c>
      <c r="J3968" t="inlineStr">
        <is>
          <t>No</t>
        </is>
      </c>
      <c r="K3968" t="inlineStr">
        <is>
          <t>No</t>
        </is>
      </c>
      <c r="L3968" t="inlineStr">
        <is>
          <t>0</t>
        </is>
      </c>
      <c r="M3968" t="inlineStr">
        <is>
          <t>Taine, Hippolyte, 1828-1893.</t>
        </is>
      </c>
      <c r="N3968" t="inlineStr">
        <is>
          <t>Philadelphia, David McKay [1908]</t>
        </is>
      </c>
      <c r="O3968" t="inlineStr">
        <is>
          <t>1908</t>
        </is>
      </c>
      <c r="P3968" t="inlineStr">
        <is>
          <t>[Standard ed.]</t>
        </is>
      </c>
      <c r="Q3968" t="inlineStr">
        <is>
          <t>eng</t>
        </is>
      </c>
      <c r="R3968" t="inlineStr">
        <is>
          <t xml:space="preserve">xx </t>
        </is>
      </c>
      <c r="T3968" t="inlineStr">
        <is>
          <t xml:space="preserve">PR </t>
        </is>
      </c>
      <c r="U3968" t="n">
        <v>1</v>
      </c>
      <c r="V3968" t="n">
        <v>5</v>
      </c>
      <c r="W3968" t="inlineStr">
        <is>
          <t>2009-02-02</t>
        </is>
      </c>
      <c r="X3968" t="inlineStr">
        <is>
          <t>2009-02-02</t>
        </is>
      </c>
      <c r="Y3968" t="inlineStr">
        <is>
          <t>1997-08-13</t>
        </is>
      </c>
      <c r="Z3968" t="inlineStr">
        <is>
          <t>1997-08-13</t>
        </is>
      </c>
      <c r="AA3968" t="n">
        <v>27</v>
      </c>
      <c r="AB3968" t="n">
        <v>26</v>
      </c>
      <c r="AC3968" t="n">
        <v>1433</v>
      </c>
      <c r="AD3968" t="n">
        <v>1</v>
      </c>
      <c r="AE3968" t="n">
        <v>15</v>
      </c>
      <c r="AF3968" t="n">
        <v>0</v>
      </c>
      <c r="AG3968" t="n">
        <v>59</v>
      </c>
      <c r="AH3968" t="n">
        <v>0</v>
      </c>
      <c r="AI3968" t="n">
        <v>24</v>
      </c>
      <c r="AJ3968" t="n">
        <v>0</v>
      </c>
      <c r="AK3968" t="n">
        <v>10</v>
      </c>
      <c r="AL3968" t="n">
        <v>0</v>
      </c>
      <c r="AM3968" t="n">
        <v>27</v>
      </c>
      <c r="AN3968" t="n">
        <v>0</v>
      </c>
      <c r="AO3968" t="n">
        <v>11</v>
      </c>
      <c r="AP3968" t="n">
        <v>0</v>
      </c>
      <c r="AQ3968" t="n">
        <v>0</v>
      </c>
      <c r="AR3968" t="inlineStr">
        <is>
          <t>No</t>
        </is>
      </c>
      <c r="AS3968" t="inlineStr">
        <is>
          <t>No</t>
        </is>
      </c>
      <c r="AU3968">
        <f>HYPERLINK("https://creighton-primo.hosted.exlibrisgroup.com/primo-explore/search?tab=default_tab&amp;search_scope=EVERYTHING&amp;vid=01CRU&amp;lang=en_US&amp;offset=0&amp;query=any,contains,991001095789702656","Catalog Record")</f>
        <v/>
      </c>
      <c r="AV3968">
        <f>HYPERLINK("http://www.worldcat.org/oclc/183184","WorldCat Record")</f>
        <v/>
      </c>
      <c r="AW3968" t="inlineStr">
        <is>
          <t>1328378:eng</t>
        </is>
      </c>
      <c r="AX3968" t="inlineStr">
        <is>
          <t>183184</t>
        </is>
      </c>
      <c r="AY3968" t="inlineStr">
        <is>
          <t>991001095789702656</t>
        </is>
      </c>
      <c r="AZ3968" t="inlineStr">
        <is>
          <t>991001095789702656</t>
        </is>
      </c>
      <c r="BA3968" t="inlineStr">
        <is>
          <t>2267484670002656</t>
        </is>
      </c>
      <c r="BB3968" t="inlineStr">
        <is>
          <t>BOOK</t>
        </is>
      </c>
      <c r="BE3968" t="inlineStr">
        <is>
          <t>32285003064150</t>
        </is>
      </c>
      <c r="BF3968" t="inlineStr">
        <is>
          <t>893772304</t>
        </is>
      </c>
    </row>
    <row r="3969">
      <c r="A3969" t="inlineStr">
        <is>
          <t>No</t>
        </is>
      </c>
      <c r="B3969" t="inlineStr">
        <is>
          <t>CURAL</t>
        </is>
      </c>
      <c r="C3969" t="inlineStr">
        <is>
          <t>SHELVES</t>
        </is>
      </c>
      <c r="D3969" t="inlineStr">
        <is>
          <t>PR93 .T4 1908B V. 4</t>
        </is>
      </c>
      <c r="E3969" t="inlineStr">
        <is>
          <t>0                      PR 0093000T  4                                                       1908B V. 4</t>
        </is>
      </c>
      <c r="F3969" t="inlineStr">
        <is>
          <t>...History of English literature, by H. A. Taine, D. C. L., tr. from the French by H. Van Laun...</t>
        </is>
      </c>
      <c r="G3969" t="inlineStr">
        <is>
          <t>V. 4</t>
        </is>
      </c>
      <c r="H3969" t="inlineStr">
        <is>
          <t>Yes</t>
        </is>
      </c>
      <c r="I3969" t="inlineStr">
        <is>
          <t>1</t>
        </is>
      </c>
      <c r="J3969" t="inlineStr">
        <is>
          <t>No</t>
        </is>
      </c>
      <c r="K3969" t="inlineStr">
        <is>
          <t>No</t>
        </is>
      </c>
      <c r="L3969" t="inlineStr">
        <is>
          <t>0</t>
        </is>
      </c>
      <c r="M3969" t="inlineStr">
        <is>
          <t>Taine, Hippolyte, 1828-1893.</t>
        </is>
      </c>
      <c r="N3969" t="inlineStr">
        <is>
          <t>Philadelphia, David McKay [1908]</t>
        </is>
      </c>
      <c r="O3969" t="inlineStr">
        <is>
          <t>1908</t>
        </is>
      </c>
      <c r="P3969" t="inlineStr">
        <is>
          <t>[Standard ed.]</t>
        </is>
      </c>
      <c r="Q3969" t="inlineStr">
        <is>
          <t>eng</t>
        </is>
      </c>
      <c r="R3969" t="inlineStr">
        <is>
          <t xml:space="preserve">xx </t>
        </is>
      </c>
      <c r="T3969" t="inlineStr">
        <is>
          <t xml:space="preserve">PR </t>
        </is>
      </c>
      <c r="U3969" t="n">
        <v>2</v>
      </c>
      <c r="V3969" t="n">
        <v>5</v>
      </c>
      <c r="W3969" t="inlineStr">
        <is>
          <t>2009-02-02</t>
        </is>
      </c>
      <c r="X3969" t="inlineStr">
        <is>
          <t>2009-02-02</t>
        </is>
      </c>
      <c r="Y3969" t="inlineStr">
        <is>
          <t>1997-08-13</t>
        </is>
      </c>
      <c r="Z3969" t="inlineStr">
        <is>
          <t>1997-08-13</t>
        </is>
      </c>
      <c r="AA3969" t="n">
        <v>27</v>
      </c>
      <c r="AB3969" t="n">
        <v>26</v>
      </c>
      <c r="AC3969" t="n">
        <v>1433</v>
      </c>
      <c r="AD3969" t="n">
        <v>1</v>
      </c>
      <c r="AE3969" t="n">
        <v>15</v>
      </c>
      <c r="AF3969" t="n">
        <v>0</v>
      </c>
      <c r="AG3969" t="n">
        <v>59</v>
      </c>
      <c r="AH3969" t="n">
        <v>0</v>
      </c>
      <c r="AI3969" t="n">
        <v>24</v>
      </c>
      <c r="AJ3969" t="n">
        <v>0</v>
      </c>
      <c r="AK3969" t="n">
        <v>10</v>
      </c>
      <c r="AL3969" t="n">
        <v>0</v>
      </c>
      <c r="AM3969" t="n">
        <v>27</v>
      </c>
      <c r="AN3969" t="n">
        <v>0</v>
      </c>
      <c r="AO3969" t="n">
        <v>11</v>
      </c>
      <c r="AP3969" t="n">
        <v>0</v>
      </c>
      <c r="AQ3969" t="n">
        <v>0</v>
      </c>
      <c r="AR3969" t="inlineStr">
        <is>
          <t>No</t>
        </is>
      </c>
      <c r="AS3969" t="inlineStr">
        <is>
          <t>No</t>
        </is>
      </c>
      <c r="AU3969">
        <f>HYPERLINK("https://creighton-primo.hosted.exlibrisgroup.com/primo-explore/search?tab=default_tab&amp;search_scope=EVERYTHING&amp;vid=01CRU&amp;lang=en_US&amp;offset=0&amp;query=any,contains,991001095789702656","Catalog Record")</f>
        <v/>
      </c>
      <c r="AV3969">
        <f>HYPERLINK("http://www.worldcat.org/oclc/183184","WorldCat Record")</f>
        <v/>
      </c>
      <c r="AW3969" t="inlineStr">
        <is>
          <t>1328378:eng</t>
        </is>
      </c>
      <c r="AX3969" t="inlineStr">
        <is>
          <t>183184</t>
        </is>
      </c>
      <c r="AY3969" t="inlineStr">
        <is>
          <t>991001095789702656</t>
        </is>
      </c>
      <c r="AZ3969" t="inlineStr">
        <is>
          <t>991001095789702656</t>
        </is>
      </c>
      <c r="BA3969" t="inlineStr">
        <is>
          <t>2267484670002656</t>
        </is>
      </c>
      <c r="BB3969" t="inlineStr">
        <is>
          <t>BOOK</t>
        </is>
      </c>
      <c r="BE3969" t="inlineStr">
        <is>
          <t>32285003064168</t>
        </is>
      </c>
      <c r="BF3969" t="inlineStr">
        <is>
          <t>893784806</t>
        </is>
      </c>
    </row>
    <row r="3970">
      <c r="A3970" t="inlineStr">
        <is>
          <t>No</t>
        </is>
      </c>
      <c r="B3970" t="inlineStr">
        <is>
          <t>CURAL</t>
        </is>
      </c>
      <c r="C3970" t="inlineStr">
        <is>
          <t>SHELVES</t>
        </is>
      </c>
      <c r="D3970" t="inlineStr">
        <is>
          <t>PR931 .A55</t>
        </is>
      </c>
      <c r="E3970" t="inlineStr">
        <is>
          <t>0                      PR 0931000A  55</t>
        </is>
      </c>
      <c r="F3970" t="inlineStr">
        <is>
          <t>'Betwixt jest and earnest' : Marprelate, Milton, Marvell, Swift &amp; the decorum of religious ridicule / Raymond A. Anselment.</t>
        </is>
      </c>
      <c r="H3970" t="inlineStr">
        <is>
          <t>No</t>
        </is>
      </c>
      <c r="I3970" t="inlineStr">
        <is>
          <t>1</t>
        </is>
      </c>
      <c r="J3970" t="inlineStr">
        <is>
          <t>No</t>
        </is>
      </c>
      <c r="K3970" t="inlineStr">
        <is>
          <t>No</t>
        </is>
      </c>
      <c r="L3970" t="inlineStr">
        <is>
          <t>0</t>
        </is>
      </c>
      <c r="M3970" t="inlineStr">
        <is>
          <t>Anselment, Raymond A.</t>
        </is>
      </c>
      <c r="N3970" t="inlineStr">
        <is>
          <t>Toronto ; Buffalo : University of Toronto Press, c1979.</t>
        </is>
      </c>
      <c r="O3970" t="inlineStr">
        <is>
          <t>1979</t>
        </is>
      </c>
      <c r="Q3970" t="inlineStr">
        <is>
          <t>eng</t>
        </is>
      </c>
      <c r="R3970" t="inlineStr">
        <is>
          <t>onc</t>
        </is>
      </c>
      <c r="T3970" t="inlineStr">
        <is>
          <t xml:space="preserve">PR </t>
        </is>
      </c>
      <c r="U3970" t="n">
        <v>2</v>
      </c>
      <c r="V3970" t="n">
        <v>2</v>
      </c>
      <c r="W3970" t="inlineStr">
        <is>
          <t>1996-02-11</t>
        </is>
      </c>
      <c r="X3970" t="inlineStr">
        <is>
          <t>1996-02-11</t>
        </is>
      </c>
      <c r="Y3970" t="inlineStr">
        <is>
          <t>1991-09-18</t>
        </is>
      </c>
      <c r="Z3970" t="inlineStr">
        <is>
          <t>1991-09-18</t>
        </is>
      </c>
      <c r="AA3970" t="n">
        <v>576</v>
      </c>
      <c r="AB3970" t="n">
        <v>478</v>
      </c>
      <c r="AC3970" t="n">
        <v>774</v>
      </c>
      <c r="AD3970" t="n">
        <v>5</v>
      </c>
      <c r="AE3970" t="n">
        <v>7</v>
      </c>
      <c r="AF3970" t="n">
        <v>26</v>
      </c>
      <c r="AG3970" t="n">
        <v>38</v>
      </c>
      <c r="AH3970" t="n">
        <v>10</v>
      </c>
      <c r="AI3970" t="n">
        <v>15</v>
      </c>
      <c r="AJ3970" t="n">
        <v>8</v>
      </c>
      <c r="AK3970" t="n">
        <v>9</v>
      </c>
      <c r="AL3970" t="n">
        <v>11</v>
      </c>
      <c r="AM3970" t="n">
        <v>14</v>
      </c>
      <c r="AN3970" t="n">
        <v>4</v>
      </c>
      <c r="AO3970" t="n">
        <v>6</v>
      </c>
      <c r="AP3970" t="n">
        <v>0</v>
      </c>
      <c r="AQ3970" t="n">
        <v>1</v>
      </c>
      <c r="AR3970" t="inlineStr">
        <is>
          <t>No</t>
        </is>
      </c>
      <c r="AS3970" t="inlineStr">
        <is>
          <t>Yes</t>
        </is>
      </c>
      <c r="AT3970">
        <f>HYPERLINK("http://catalog.hathitrust.org/Record/000042677","HathiTrust Record")</f>
        <v/>
      </c>
      <c r="AU3970">
        <f>HYPERLINK("https://creighton-primo.hosted.exlibrisgroup.com/primo-explore/search?tab=default_tab&amp;search_scope=EVERYTHING&amp;vid=01CRU&amp;lang=en_US&amp;offset=0&amp;query=any,contains,991004745979702656","Catalog Record")</f>
        <v/>
      </c>
      <c r="AV3970">
        <f>HYPERLINK("http://www.worldcat.org/oclc/4908052","WorldCat Record")</f>
        <v/>
      </c>
      <c r="AW3970" t="inlineStr">
        <is>
          <t>292417236:eng</t>
        </is>
      </c>
      <c r="AX3970" t="inlineStr">
        <is>
          <t>4908052</t>
        </is>
      </c>
      <c r="AY3970" t="inlineStr">
        <is>
          <t>991004745979702656</t>
        </is>
      </c>
      <c r="AZ3970" t="inlineStr">
        <is>
          <t>991004745979702656</t>
        </is>
      </c>
      <c r="BA3970" t="inlineStr">
        <is>
          <t>2256384680002656</t>
        </is>
      </c>
      <c r="BB3970" t="inlineStr">
        <is>
          <t>BOOK</t>
        </is>
      </c>
      <c r="BD3970" t="inlineStr">
        <is>
          <t>9780802054449</t>
        </is>
      </c>
      <c r="BE3970" t="inlineStr">
        <is>
          <t>32285000759059</t>
        </is>
      </c>
      <c r="BF3970" t="inlineStr">
        <is>
          <t>893594045</t>
        </is>
      </c>
    </row>
    <row r="3971">
      <c r="A3971" t="inlineStr">
        <is>
          <t>No</t>
        </is>
      </c>
      <c r="B3971" t="inlineStr">
        <is>
          <t>CURAL</t>
        </is>
      </c>
      <c r="C3971" t="inlineStr">
        <is>
          <t>SHELVES</t>
        </is>
      </c>
      <c r="D3971" t="inlineStr">
        <is>
          <t>PR931 .G85 1987</t>
        </is>
      </c>
      <c r="E3971" t="inlineStr">
        <is>
          <t>0                      PR 0931000G  85          1987</t>
        </is>
      </c>
      <c r="F3971" t="inlineStr">
        <is>
          <t>Satire and the transformation of genre / Leon Guilhamet.</t>
        </is>
      </c>
      <c r="H3971" t="inlineStr">
        <is>
          <t>No</t>
        </is>
      </c>
      <c r="I3971" t="inlineStr">
        <is>
          <t>1</t>
        </is>
      </c>
      <c r="J3971" t="inlineStr">
        <is>
          <t>No</t>
        </is>
      </c>
      <c r="K3971" t="inlineStr">
        <is>
          <t>No</t>
        </is>
      </c>
      <c r="L3971" t="inlineStr">
        <is>
          <t>0</t>
        </is>
      </c>
      <c r="M3971" t="inlineStr">
        <is>
          <t>Guilhamet, Leon.</t>
        </is>
      </c>
      <c r="N3971" t="inlineStr">
        <is>
          <t>Philadelphia : University of Pennsylvania Press, 1987.</t>
        </is>
      </c>
      <c r="O3971" t="inlineStr">
        <is>
          <t>1987</t>
        </is>
      </c>
      <c r="Q3971" t="inlineStr">
        <is>
          <t>eng</t>
        </is>
      </c>
      <c r="R3971" t="inlineStr">
        <is>
          <t>pau</t>
        </is>
      </c>
      <c r="T3971" t="inlineStr">
        <is>
          <t xml:space="preserve">PR </t>
        </is>
      </c>
      <c r="U3971" t="n">
        <v>7</v>
      </c>
      <c r="V3971" t="n">
        <v>7</v>
      </c>
      <c r="W3971" t="inlineStr">
        <is>
          <t>1996-02-04</t>
        </is>
      </c>
      <c r="X3971" t="inlineStr">
        <is>
          <t>1996-02-04</t>
        </is>
      </c>
      <c r="Y3971" t="inlineStr">
        <is>
          <t>1991-09-18</t>
        </is>
      </c>
      <c r="Z3971" t="inlineStr">
        <is>
          <t>1991-09-18</t>
        </is>
      </c>
      <c r="AA3971" t="n">
        <v>652</v>
      </c>
      <c r="AB3971" t="n">
        <v>550</v>
      </c>
      <c r="AC3971" t="n">
        <v>712</v>
      </c>
      <c r="AD3971" t="n">
        <v>4</v>
      </c>
      <c r="AE3971" t="n">
        <v>4</v>
      </c>
      <c r="AF3971" t="n">
        <v>28</v>
      </c>
      <c r="AG3971" t="n">
        <v>35</v>
      </c>
      <c r="AH3971" t="n">
        <v>13</v>
      </c>
      <c r="AI3971" t="n">
        <v>17</v>
      </c>
      <c r="AJ3971" t="n">
        <v>6</v>
      </c>
      <c r="AK3971" t="n">
        <v>9</v>
      </c>
      <c r="AL3971" t="n">
        <v>12</v>
      </c>
      <c r="AM3971" t="n">
        <v>15</v>
      </c>
      <c r="AN3971" t="n">
        <v>3</v>
      </c>
      <c r="AO3971" t="n">
        <v>3</v>
      </c>
      <c r="AP3971" t="n">
        <v>0</v>
      </c>
      <c r="AQ3971" t="n">
        <v>0</v>
      </c>
      <c r="AR3971" t="inlineStr">
        <is>
          <t>No</t>
        </is>
      </c>
      <c r="AS3971" t="inlineStr">
        <is>
          <t>Yes</t>
        </is>
      </c>
      <c r="AT3971">
        <f>HYPERLINK("http://catalog.hathitrust.org/Record/000819676","HathiTrust Record")</f>
        <v/>
      </c>
      <c r="AU3971">
        <f>HYPERLINK("https://creighton-primo.hosted.exlibrisgroup.com/primo-explore/search?tab=default_tab&amp;search_scope=EVERYTHING&amp;vid=01CRU&amp;lang=en_US&amp;offset=0&amp;query=any,contains,991000969519702656","Catalog Record")</f>
        <v/>
      </c>
      <c r="AV3971">
        <f>HYPERLINK("http://www.worldcat.org/oclc/14932818","WorldCat Record")</f>
        <v/>
      </c>
      <c r="AW3971" t="inlineStr">
        <is>
          <t>8988777:eng</t>
        </is>
      </c>
      <c r="AX3971" t="inlineStr">
        <is>
          <t>14932818</t>
        </is>
      </c>
      <c r="AY3971" t="inlineStr">
        <is>
          <t>991000969519702656</t>
        </is>
      </c>
      <c r="AZ3971" t="inlineStr">
        <is>
          <t>991000969519702656</t>
        </is>
      </c>
      <c r="BA3971" t="inlineStr">
        <is>
          <t>2263589380002656</t>
        </is>
      </c>
      <c r="BB3971" t="inlineStr">
        <is>
          <t>BOOK</t>
        </is>
      </c>
      <c r="BD3971" t="inlineStr">
        <is>
          <t>9780812280531</t>
        </is>
      </c>
      <c r="BE3971" t="inlineStr">
        <is>
          <t>32285000759075</t>
        </is>
      </c>
      <c r="BF3971" t="inlineStr">
        <is>
          <t>893419935</t>
        </is>
      </c>
    </row>
    <row r="3972">
      <c r="A3972" t="inlineStr">
        <is>
          <t>No</t>
        </is>
      </c>
      <c r="B3972" t="inlineStr">
        <is>
          <t>CURAL</t>
        </is>
      </c>
      <c r="C3972" t="inlineStr">
        <is>
          <t>SHELVES</t>
        </is>
      </c>
      <c r="D3972" t="inlineStr">
        <is>
          <t>PR931 .H6</t>
        </is>
      </c>
      <c r="E3972" t="inlineStr">
        <is>
          <t>0                      PR 0931000H  6</t>
        </is>
      </c>
      <c r="F3972" t="inlineStr">
        <is>
          <t>Portraits in satire.</t>
        </is>
      </c>
      <c r="H3972" t="inlineStr">
        <is>
          <t>No</t>
        </is>
      </c>
      <c r="I3972" t="inlineStr">
        <is>
          <t>1</t>
        </is>
      </c>
      <c r="J3972" t="inlineStr">
        <is>
          <t>No</t>
        </is>
      </c>
      <c r="K3972" t="inlineStr">
        <is>
          <t>No</t>
        </is>
      </c>
      <c r="L3972" t="inlineStr">
        <is>
          <t>0</t>
        </is>
      </c>
      <c r="M3972" t="inlineStr">
        <is>
          <t>Hopkins, Kenneth.</t>
        </is>
      </c>
      <c r="N3972" t="inlineStr">
        <is>
          <t>London, Barrie Books [1958]</t>
        </is>
      </c>
      <c r="O3972" t="inlineStr">
        <is>
          <t>1958</t>
        </is>
      </c>
      <c r="Q3972" t="inlineStr">
        <is>
          <t>eng</t>
        </is>
      </c>
      <c r="R3972" t="inlineStr">
        <is>
          <t>enk</t>
        </is>
      </c>
      <c r="T3972" t="inlineStr">
        <is>
          <t xml:space="preserve">PR </t>
        </is>
      </c>
      <c r="U3972" t="n">
        <v>1</v>
      </c>
      <c r="V3972" t="n">
        <v>1</v>
      </c>
      <c r="W3972" t="inlineStr">
        <is>
          <t>2002-11-20</t>
        </is>
      </c>
      <c r="X3972" t="inlineStr">
        <is>
          <t>2002-11-20</t>
        </is>
      </c>
      <c r="Y3972" t="inlineStr">
        <is>
          <t>1997-09-19</t>
        </is>
      </c>
      <c r="Z3972" t="inlineStr">
        <is>
          <t>1997-09-19</t>
        </is>
      </c>
      <c r="AA3972" t="n">
        <v>418</v>
      </c>
      <c r="AB3972" t="n">
        <v>316</v>
      </c>
      <c r="AC3972" t="n">
        <v>367</v>
      </c>
      <c r="AD3972" t="n">
        <v>3</v>
      </c>
      <c r="AE3972" t="n">
        <v>3</v>
      </c>
      <c r="AF3972" t="n">
        <v>22</v>
      </c>
      <c r="AG3972" t="n">
        <v>25</v>
      </c>
      <c r="AH3972" t="n">
        <v>6</v>
      </c>
      <c r="AI3972" t="n">
        <v>7</v>
      </c>
      <c r="AJ3972" t="n">
        <v>4</v>
      </c>
      <c r="AK3972" t="n">
        <v>5</v>
      </c>
      <c r="AL3972" t="n">
        <v>14</v>
      </c>
      <c r="AM3972" t="n">
        <v>16</v>
      </c>
      <c r="AN3972" t="n">
        <v>2</v>
      </c>
      <c r="AO3972" t="n">
        <v>2</v>
      </c>
      <c r="AP3972" t="n">
        <v>0</v>
      </c>
      <c r="AQ3972" t="n">
        <v>0</v>
      </c>
      <c r="AR3972" t="inlineStr">
        <is>
          <t>No</t>
        </is>
      </c>
      <c r="AS3972" t="inlineStr">
        <is>
          <t>Yes</t>
        </is>
      </c>
      <c r="AT3972">
        <f>HYPERLINK("http://catalog.hathitrust.org/Record/001397651","HathiTrust Record")</f>
        <v/>
      </c>
      <c r="AU3972">
        <f>HYPERLINK("https://creighton-primo.hosted.exlibrisgroup.com/primo-explore/search?tab=default_tab&amp;search_scope=EVERYTHING&amp;vid=01CRU&amp;lang=en_US&amp;offset=0&amp;query=any,contains,991003831529702656","Catalog Record")</f>
        <v/>
      </c>
      <c r="AV3972">
        <f>HYPERLINK("http://www.worldcat.org/oclc/1592176","WorldCat Record")</f>
        <v/>
      </c>
      <c r="AW3972" t="inlineStr">
        <is>
          <t>1339205:eng</t>
        </is>
      </c>
      <c r="AX3972" t="inlineStr">
        <is>
          <t>1592176</t>
        </is>
      </c>
      <c r="AY3972" t="inlineStr">
        <is>
          <t>991003831529702656</t>
        </is>
      </c>
      <c r="AZ3972" t="inlineStr">
        <is>
          <t>991003831529702656</t>
        </is>
      </c>
      <c r="BA3972" t="inlineStr">
        <is>
          <t>2267595440002656</t>
        </is>
      </c>
      <c r="BB3972" t="inlineStr">
        <is>
          <t>BOOK</t>
        </is>
      </c>
      <c r="BE3972" t="inlineStr">
        <is>
          <t>32285003217238</t>
        </is>
      </c>
      <c r="BF3972" t="inlineStr">
        <is>
          <t>893711846</t>
        </is>
      </c>
    </row>
    <row r="3973">
      <c r="A3973" t="inlineStr">
        <is>
          <t>No</t>
        </is>
      </c>
      <c r="B3973" t="inlineStr">
        <is>
          <t>CURAL</t>
        </is>
      </c>
      <c r="C3973" t="inlineStr">
        <is>
          <t>SHELVES</t>
        </is>
      </c>
      <c r="D3973" t="inlineStr">
        <is>
          <t>PR931 .N37 1985</t>
        </is>
      </c>
      <c r="E3973" t="inlineStr">
        <is>
          <t>0                      PR 0931000N  37          1985</t>
        </is>
      </c>
      <c r="F3973" t="inlineStr">
        <is>
          <t>The language of humour / Walter Nash ; foreword by Randolph Quirk.</t>
        </is>
      </c>
      <c r="H3973" t="inlineStr">
        <is>
          <t>No</t>
        </is>
      </c>
      <c r="I3973" t="inlineStr">
        <is>
          <t>1</t>
        </is>
      </c>
      <c r="J3973" t="inlineStr">
        <is>
          <t>No</t>
        </is>
      </c>
      <c r="K3973" t="inlineStr">
        <is>
          <t>No</t>
        </is>
      </c>
      <c r="L3973" t="inlineStr">
        <is>
          <t>0</t>
        </is>
      </c>
      <c r="M3973" t="inlineStr">
        <is>
          <t>Nash, Walter.</t>
        </is>
      </c>
      <c r="N3973" t="inlineStr">
        <is>
          <t>London ; New York : Longman, 1985.</t>
        </is>
      </c>
      <c r="O3973" t="inlineStr">
        <is>
          <t>1985</t>
        </is>
      </c>
      <c r="Q3973" t="inlineStr">
        <is>
          <t>eng</t>
        </is>
      </c>
      <c r="R3973" t="inlineStr">
        <is>
          <t>enk</t>
        </is>
      </c>
      <c r="S3973" t="inlineStr">
        <is>
          <t>English language series ; 16</t>
        </is>
      </c>
      <c r="T3973" t="inlineStr">
        <is>
          <t xml:space="preserve">PR </t>
        </is>
      </c>
      <c r="U3973" t="n">
        <v>5</v>
      </c>
      <c r="V3973" t="n">
        <v>5</v>
      </c>
      <c r="W3973" t="inlineStr">
        <is>
          <t>2000-12-03</t>
        </is>
      </c>
      <c r="X3973" t="inlineStr">
        <is>
          <t>2000-12-03</t>
        </is>
      </c>
      <c r="Y3973" t="inlineStr">
        <is>
          <t>1991-09-18</t>
        </is>
      </c>
      <c r="Z3973" t="inlineStr">
        <is>
          <t>1991-09-18</t>
        </is>
      </c>
      <c r="AA3973" t="n">
        <v>929</v>
      </c>
      <c r="AB3973" t="n">
        <v>676</v>
      </c>
      <c r="AC3973" t="n">
        <v>679</v>
      </c>
      <c r="AD3973" t="n">
        <v>2</v>
      </c>
      <c r="AE3973" t="n">
        <v>2</v>
      </c>
      <c r="AF3973" t="n">
        <v>23</v>
      </c>
      <c r="AG3973" t="n">
        <v>23</v>
      </c>
      <c r="AH3973" t="n">
        <v>11</v>
      </c>
      <c r="AI3973" t="n">
        <v>11</v>
      </c>
      <c r="AJ3973" t="n">
        <v>6</v>
      </c>
      <c r="AK3973" t="n">
        <v>6</v>
      </c>
      <c r="AL3973" t="n">
        <v>13</v>
      </c>
      <c r="AM3973" t="n">
        <v>13</v>
      </c>
      <c r="AN3973" t="n">
        <v>1</v>
      </c>
      <c r="AO3973" t="n">
        <v>1</v>
      </c>
      <c r="AP3973" t="n">
        <v>0</v>
      </c>
      <c r="AQ3973" t="n">
        <v>0</v>
      </c>
      <c r="AR3973" t="inlineStr">
        <is>
          <t>No</t>
        </is>
      </c>
      <c r="AS3973" t="inlineStr">
        <is>
          <t>Yes</t>
        </is>
      </c>
      <c r="AT3973">
        <f>HYPERLINK("http://catalog.hathitrust.org/Record/000353558","HathiTrust Record")</f>
        <v/>
      </c>
      <c r="AU3973">
        <f>HYPERLINK("https://creighton-primo.hosted.exlibrisgroup.com/primo-explore/search?tab=default_tab&amp;search_scope=EVERYTHING&amp;vid=01CRU&amp;lang=en_US&amp;offset=0&amp;query=any,contains,991000456839702656","Catalog Record")</f>
        <v/>
      </c>
      <c r="AV3973">
        <f>HYPERLINK("http://www.worldcat.org/oclc/10914450","WorldCat Record")</f>
        <v/>
      </c>
      <c r="AW3973" t="inlineStr">
        <is>
          <t>3218166:eng</t>
        </is>
      </c>
      <c r="AX3973" t="inlineStr">
        <is>
          <t>10914450</t>
        </is>
      </c>
      <c r="AY3973" t="inlineStr">
        <is>
          <t>991000456839702656</t>
        </is>
      </c>
      <c r="AZ3973" t="inlineStr">
        <is>
          <t>991000456839702656</t>
        </is>
      </c>
      <c r="BA3973" t="inlineStr">
        <is>
          <t>2256393450002656</t>
        </is>
      </c>
      <c r="BB3973" t="inlineStr">
        <is>
          <t>BOOK</t>
        </is>
      </c>
      <c r="BD3973" t="inlineStr">
        <is>
          <t>9780582291270</t>
        </is>
      </c>
      <c r="BE3973" t="inlineStr">
        <is>
          <t>32285000759091</t>
        </is>
      </c>
      <c r="BF3973" t="inlineStr">
        <is>
          <t>893790522</t>
        </is>
      </c>
    </row>
    <row r="3974">
      <c r="A3974" t="inlineStr">
        <is>
          <t>No</t>
        </is>
      </c>
      <c r="B3974" t="inlineStr">
        <is>
          <t>CURAL</t>
        </is>
      </c>
      <c r="C3974" t="inlineStr">
        <is>
          <t>SHELVES</t>
        </is>
      </c>
      <c r="D3974" t="inlineStr">
        <is>
          <t>PR933 .H86 2000</t>
        </is>
      </c>
      <c r="E3974" t="inlineStr">
        <is>
          <t>0                      PR 0933000H  86          2000</t>
        </is>
      </c>
      <c r="F3974" t="inlineStr">
        <is>
          <t>Humour in Anglo-Saxon literature / edited by Jonathan Wilcox.</t>
        </is>
      </c>
      <c r="H3974" t="inlineStr">
        <is>
          <t>No</t>
        </is>
      </c>
      <c r="I3974" t="inlineStr">
        <is>
          <t>1</t>
        </is>
      </c>
      <c r="J3974" t="inlineStr">
        <is>
          <t>No</t>
        </is>
      </c>
      <c r="K3974" t="inlineStr">
        <is>
          <t>No</t>
        </is>
      </c>
      <c r="L3974" t="inlineStr">
        <is>
          <t>0</t>
        </is>
      </c>
      <c r="N3974" t="inlineStr">
        <is>
          <t>Rochester, NY : D.S. Brewer, 2000.</t>
        </is>
      </c>
      <c r="O3974" t="inlineStr">
        <is>
          <t>2000</t>
        </is>
      </c>
      <c r="Q3974" t="inlineStr">
        <is>
          <t>eng</t>
        </is>
      </c>
      <c r="R3974" t="inlineStr">
        <is>
          <t>nyu</t>
        </is>
      </c>
      <c r="T3974" t="inlineStr">
        <is>
          <t xml:space="preserve">PR </t>
        </is>
      </c>
      <c r="U3974" t="n">
        <v>2</v>
      </c>
      <c r="V3974" t="n">
        <v>2</v>
      </c>
      <c r="W3974" t="inlineStr">
        <is>
          <t>2008-10-17</t>
        </is>
      </c>
      <c r="X3974" t="inlineStr">
        <is>
          <t>2008-10-17</t>
        </is>
      </c>
      <c r="Y3974" t="inlineStr">
        <is>
          <t>2001-05-30</t>
        </is>
      </c>
      <c r="Z3974" t="inlineStr">
        <is>
          <t>2001-05-30</t>
        </is>
      </c>
      <c r="AA3974" t="n">
        <v>204</v>
      </c>
      <c r="AB3974" t="n">
        <v>142</v>
      </c>
      <c r="AC3974" t="n">
        <v>627</v>
      </c>
      <c r="AD3974" t="n">
        <v>1</v>
      </c>
      <c r="AE3974" t="n">
        <v>27</v>
      </c>
      <c r="AF3974" t="n">
        <v>7</v>
      </c>
      <c r="AG3974" t="n">
        <v>32</v>
      </c>
      <c r="AH3974" t="n">
        <v>0</v>
      </c>
      <c r="AI3974" t="n">
        <v>8</v>
      </c>
      <c r="AJ3974" t="n">
        <v>3</v>
      </c>
      <c r="AK3974" t="n">
        <v>6</v>
      </c>
      <c r="AL3974" t="n">
        <v>6</v>
      </c>
      <c r="AM3974" t="n">
        <v>12</v>
      </c>
      <c r="AN3974" t="n">
        <v>0</v>
      </c>
      <c r="AO3974" t="n">
        <v>12</v>
      </c>
      <c r="AP3974" t="n">
        <v>0</v>
      </c>
      <c r="AQ3974" t="n">
        <v>0</v>
      </c>
      <c r="AR3974" t="inlineStr">
        <is>
          <t>No</t>
        </is>
      </c>
      <c r="AS3974" t="inlineStr">
        <is>
          <t>No</t>
        </is>
      </c>
      <c r="AU3974">
        <f>HYPERLINK("https://creighton-primo.hosted.exlibrisgroup.com/primo-explore/search?tab=default_tab&amp;search_scope=EVERYTHING&amp;vid=01CRU&amp;lang=en_US&amp;offset=0&amp;query=any,contains,991003514599702656","Catalog Record")</f>
        <v/>
      </c>
      <c r="AV3974">
        <f>HYPERLINK("http://www.worldcat.org/oclc/43060425","WorldCat Record")</f>
        <v/>
      </c>
      <c r="AW3974" t="inlineStr">
        <is>
          <t>766708468:eng</t>
        </is>
      </c>
      <c r="AX3974" t="inlineStr">
        <is>
          <t>43060425</t>
        </is>
      </c>
      <c r="AY3974" t="inlineStr">
        <is>
          <t>991003514599702656</t>
        </is>
      </c>
      <c r="AZ3974" t="inlineStr">
        <is>
          <t>991003514599702656</t>
        </is>
      </c>
      <c r="BA3974" t="inlineStr">
        <is>
          <t>2270370820002656</t>
        </is>
      </c>
      <c r="BB3974" t="inlineStr">
        <is>
          <t>BOOK</t>
        </is>
      </c>
      <c r="BD3974" t="inlineStr">
        <is>
          <t>9780859915762</t>
        </is>
      </c>
      <c r="BE3974" t="inlineStr">
        <is>
          <t>32285004319181</t>
        </is>
      </c>
      <c r="BF3974" t="inlineStr">
        <is>
          <t>893900054</t>
        </is>
      </c>
    </row>
    <row r="3975">
      <c r="A3975" t="inlineStr">
        <is>
          <t>No</t>
        </is>
      </c>
      <c r="B3975" t="inlineStr">
        <is>
          <t>CURAL</t>
        </is>
      </c>
      <c r="C3975" t="inlineStr">
        <is>
          <t>SHELVES</t>
        </is>
      </c>
      <c r="D3975" t="inlineStr">
        <is>
          <t>PR935 .N64 1987</t>
        </is>
      </c>
      <c r="E3975" t="inlineStr">
        <is>
          <t>0                      PR 0935000N  64          1987</t>
        </is>
      </c>
      <c r="F3975" t="inlineStr">
        <is>
          <t>Raillery and rage : a study of eighteenth century satire / David Nokes.</t>
        </is>
      </c>
      <c r="H3975" t="inlineStr">
        <is>
          <t>No</t>
        </is>
      </c>
      <c r="I3975" t="inlineStr">
        <is>
          <t>1</t>
        </is>
      </c>
      <c r="J3975" t="inlineStr">
        <is>
          <t>No</t>
        </is>
      </c>
      <c r="K3975" t="inlineStr">
        <is>
          <t>No</t>
        </is>
      </c>
      <c r="L3975" t="inlineStr">
        <is>
          <t>0</t>
        </is>
      </c>
      <c r="M3975" t="inlineStr">
        <is>
          <t>Nokes, David.</t>
        </is>
      </c>
      <c r="N3975" t="inlineStr">
        <is>
          <t>New York : St. Martin's Press, 1987.</t>
        </is>
      </c>
      <c r="O3975" t="inlineStr">
        <is>
          <t>1987</t>
        </is>
      </c>
      <c r="Q3975" t="inlineStr">
        <is>
          <t>eng</t>
        </is>
      </c>
      <c r="R3975" t="inlineStr">
        <is>
          <t>nyu</t>
        </is>
      </c>
      <c r="T3975" t="inlineStr">
        <is>
          <t xml:space="preserve">PR </t>
        </is>
      </c>
      <c r="U3975" t="n">
        <v>3</v>
      </c>
      <c r="V3975" t="n">
        <v>3</v>
      </c>
      <c r="W3975" t="inlineStr">
        <is>
          <t>1997-03-20</t>
        </is>
      </c>
      <c r="X3975" t="inlineStr">
        <is>
          <t>1997-03-20</t>
        </is>
      </c>
      <c r="Y3975" t="inlineStr">
        <is>
          <t>1990-05-17</t>
        </is>
      </c>
      <c r="Z3975" t="inlineStr">
        <is>
          <t>1990-05-17</t>
        </is>
      </c>
      <c r="AA3975" t="n">
        <v>436</v>
      </c>
      <c r="AB3975" t="n">
        <v>382</v>
      </c>
      <c r="AC3975" t="n">
        <v>439</v>
      </c>
      <c r="AD3975" t="n">
        <v>3</v>
      </c>
      <c r="AE3975" t="n">
        <v>4</v>
      </c>
      <c r="AF3975" t="n">
        <v>20</v>
      </c>
      <c r="AG3975" t="n">
        <v>22</v>
      </c>
      <c r="AH3975" t="n">
        <v>10</v>
      </c>
      <c r="AI3975" t="n">
        <v>10</v>
      </c>
      <c r="AJ3975" t="n">
        <v>6</v>
      </c>
      <c r="AK3975" t="n">
        <v>6</v>
      </c>
      <c r="AL3975" t="n">
        <v>10</v>
      </c>
      <c r="AM3975" t="n">
        <v>11</v>
      </c>
      <c r="AN3975" t="n">
        <v>2</v>
      </c>
      <c r="AO3975" t="n">
        <v>3</v>
      </c>
      <c r="AP3975" t="n">
        <v>0</v>
      </c>
      <c r="AQ3975" t="n">
        <v>0</v>
      </c>
      <c r="AR3975" t="inlineStr">
        <is>
          <t>No</t>
        </is>
      </c>
      <c r="AS3975" t="inlineStr">
        <is>
          <t>No</t>
        </is>
      </c>
      <c r="AU3975">
        <f>HYPERLINK("https://creighton-primo.hosted.exlibrisgroup.com/primo-explore/search?tab=default_tab&amp;search_scope=EVERYTHING&amp;vid=01CRU&amp;lang=en_US&amp;offset=0&amp;query=any,contains,991001038239702656","Catalog Record")</f>
        <v/>
      </c>
      <c r="AV3975">
        <f>HYPERLINK("http://www.worldcat.org/oclc/15550677","WorldCat Record")</f>
        <v/>
      </c>
      <c r="AW3975" t="inlineStr">
        <is>
          <t>794406747:eng</t>
        </is>
      </c>
      <c r="AX3975" t="inlineStr">
        <is>
          <t>15550677</t>
        </is>
      </c>
      <c r="AY3975" t="inlineStr">
        <is>
          <t>991001038239702656</t>
        </is>
      </c>
      <c r="AZ3975" t="inlineStr">
        <is>
          <t>991001038239702656</t>
        </is>
      </c>
      <c r="BA3975" t="inlineStr">
        <is>
          <t>2256304430002656</t>
        </is>
      </c>
      <c r="BB3975" t="inlineStr">
        <is>
          <t>BOOK</t>
        </is>
      </c>
      <c r="BD3975" t="inlineStr">
        <is>
          <t>9780312009588</t>
        </is>
      </c>
      <c r="BE3975" t="inlineStr">
        <is>
          <t>32285000152925</t>
        </is>
      </c>
      <c r="BF3975" t="inlineStr">
        <is>
          <t>893413899</t>
        </is>
      </c>
    </row>
    <row r="3976">
      <c r="A3976" t="inlineStr">
        <is>
          <t>No</t>
        </is>
      </c>
      <c r="B3976" t="inlineStr">
        <is>
          <t>CURAL</t>
        </is>
      </c>
      <c r="C3976" t="inlineStr">
        <is>
          <t>SHELVES</t>
        </is>
      </c>
      <c r="D3976" t="inlineStr">
        <is>
          <t>PR935 .S58 1991</t>
        </is>
      </c>
      <c r="E3976" t="inlineStr">
        <is>
          <t>0                      PR 0935000S  58          1991</t>
        </is>
      </c>
      <c r="F3976" t="inlineStr">
        <is>
          <t>Arguments of Augustan wit / John Sitter.</t>
        </is>
      </c>
      <c r="H3976" t="inlineStr">
        <is>
          <t>No</t>
        </is>
      </c>
      <c r="I3976" t="inlineStr">
        <is>
          <t>1</t>
        </is>
      </c>
      <c r="J3976" t="inlineStr">
        <is>
          <t>No</t>
        </is>
      </c>
      <c r="K3976" t="inlineStr">
        <is>
          <t>No</t>
        </is>
      </c>
      <c r="L3976" t="inlineStr">
        <is>
          <t>0</t>
        </is>
      </c>
      <c r="M3976" t="inlineStr">
        <is>
          <t>Sitter, John E.</t>
        </is>
      </c>
      <c r="N3976" t="inlineStr">
        <is>
          <t>Cambridge [England] ; New York : Cambridge University Press, 1991.</t>
        </is>
      </c>
      <c r="O3976" t="inlineStr">
        <is>
          <t>1991</t>
        </is>
      </c>
      <c r="Q3976" t="inlineStr">
        <is>
          <t>eng</t>
        </is>
      </c>
      <c r="R3976" t="inlineStr">
        <is>
          <t>enk</t>
        </is>
      </c>
      <c r="S3976" t="inlineStr">
        <is>
          <t>Cambridge studies in eighteenth-century English literature and thought ; 11</t>
        </is>
      </c>
      <c r="T3976" t="inlineStr">
        <is>
          <t xml:space="preserve">PR </t>
        </is>
      </c>
      <c r="U3976" t="n">
        <v>2</v>
      </c>
      <c r="V3976" t="n">
        <v>2</v>
      </c>
      <c r="W3976" t="inlineStr">
        <is>
          <t>1992-06-08</t>
        </is>
      </c>
      <c r="X3976" t="inlineStr">
        <is>
          <t>1992-06-08</t>
        </is>
      </c>
      <c r="Y3976" t="inlineStr">
        <is>
          <t>1992-05-14</t>
        </is>
      </c>
      <c r="Z3976" t="inlineStr">
        <is>
          <t>1992-05-14</t>
        </is>
      </c>
      <c r="AA3976" t="n">
        <v>485</v>
      </c>
      <c r="AB3976" t="n">
        <v>362</v>
      </c>
      <c r="AC3976" t="n">
        <v>506</v>
      </c>
      <c r="AD3976" t="n">
        <v>3</v>
      </c>
      <c r="AE3976" t="n">
        <v>4</v>
      </c>
      <c r="AF3976" t="n">
        <v>27</v>
      </c>
      <c r="AG3976" t="n">
        <v>33</v>
      </c>
      <c r="AH3976" t="n">
        <v>10</v>
      </c>
      <c r="AI3976" t="n">
        <v>13</v>
      </c>
      <c r="AJ3976" t="n">
        <v>9</v>
      </c>
      <c r="AK3976" t="n">
        <v>9</v>
      </c>
      <c r="AL3976" t="n">
        <v>15</v>
      </c>
      <c r="AM3976" t="n">
        <v>17</v>
      </c>
      <c r="AN3976" t="n">
        <v>2</v>
      </c>
      <c r="AO3976" t="n">
        <v>3</v>
      </c>
      <c r="AP3976" t="n">
        <v>0</v>
      </c>
      <c r="AQ3976" t="n">
        <v>0</v>
      </c>
      <c r="AR3976" t="inlineStr">
        <is>
          <t>No</t>
        </is>
      </c>
      <c r="AS3976" t="inlineStr">
        <is>
          <t>No</t>
        </is>
      </c>
      <c r="AU3976">
        <f>HYPERLINK("https://creighton-primo.hosted.exlibrisgroup.com/primo-explore/search?tab=default_tab&amp;search_scope=EVERYTHING&amp;vid=01CRU&amp;lang=en_US&amp;offset=0&amp;query=any,contains,991001827249702656","Catalog Record")</f>
        <v/>
      </c>
      <c r="AV3976">
        <f>HYPERLINK("http://www.worldcat.org/oclc/22954049","WorldCat Record")</f>
        <v/>
      </c>
      <c r="AW3976" t="inlineStr">
        <is>
          <t>23997501:eng</t>
        </is>
      </c>
      <c r="AX3976" t="inlineStr">
        <is>
          <t>22954049</t>
        </is>
      </c>
      <c r="AY3976" t="inlineStr">
        <is>
          <t>991001827249702656</t>
        </is>
      </c>
      <c r="AZ3976" t="inlineStr">
        <is>
          <t>991001827249702656</t>
        </is>
      </c>
      <c r="BA3976" t="inlineStr">
        <is>
          <t>2263933170002656</t>
        </is>
      </c>
      <c r="BB3976" t="inlineStr">
        <is>
          <t>BOOK</t>
        </is>
      </c>
      <c r="BD3976" t="inlineStr">
        <is>
          <t>9780521411202</t>
        </is>
      </c>
      <c r="BE3976" t="inlineStr">
        <is>
          <t>32285001115137</t>
        </is>
      </c>
      <c r="BF3976" t="inlineStr">
        <is>
          <t>893779114</t>
        </is>
      </c>
    </row>
    <row r="3977">
      <c r="A3977" t="inlineStr">
        <is>
          <t>No</t>
        </is>
      </c>
      <c r="B3977" t="inlineStr">
        <is>
          <t>CURAL</t>
        </is>
      </c>
      <c r="C3977" t="inlineStr">
        <is>
          <t>SHELVES</t>
        </is>
      </c>
      <c r="D3977" t="inlineStr">
        <is>
          <t>PR935 .W39 1988</t>
        </is>
      </c>
      <c r="E3977" t="inlineStr">
        <is>
          <t>0                      PR 0935000W  39          1988</t>
        </is>
      </c>
      <c r="F3977" t="inlineStr">
        <is>
          <t>Eighteenth-century satire : essays on text and context from Dryden to Peter Pindar / Howard D. Weinbrot.</t>
        </is>
      </c>
      <c r="H3977" t="inlineStr">
        <is>
          <t>No</t>
        </is>
      </c>
      <c r="I3977" t="inlineStr">
        <is>
          <t>1</t>
        </is>
      </c>
      <c r="J3977" t="inlineStr">
        <is>
          <t>No</t>
        </is>
      </c>
      <c r="K3977" t="inlineStr">
        <is>
          <t>No</t>
        </is>
      </c>
      <c r="L3977" t="inlineStr">
        <is>
          <t>0</t>
        </is>
      </c>
      <c r="M3977" t="inlineStr">
        <is>
          <t>Weinbrot, Howard D.</t>
        </is>
      </c>
      <c r="N3977" t="inlineStr">
        <is>
          <t>Cambridge ; New York : Cambridge University Press, 1988.</t>
        </is>
      </c>
      <c r="O3977" t="inlineStr">
        <is>
          <t>1988</t>
        </is>
      </c>
      <c r="Q3977" t="inlineStr">
        <is>
          <t>eng</t>
        </is>
      </c>
      <c r="R3977" t="inlineStr">
        <is>
          <t>enk</t>
        </is>
      </c>
      <c r="T3977" t="inlineStr">
        <is>
          <t xml:space="preserve">PR </t>
        </is>
      </c>
      <c r="U3977" t="n">
        <v>8</v>
      </c>
      <c r="V3977" t="n">
        <v>8</v>
      </c>
      <c r="W3977" t="inlineStr">
        <is>
          <t>2000-02-15</t>
        </is>
      </c>
      <c r="X3977" t="inlineStr">
        <is>
          <t>2000-02-15</t>
        </is>
      </c>
      <c r="Y3977" t="inlineStr">
        <is>
          <t>1991-09-18</t>
        </is>
      </c>
      <c r="Z3977" t="inlineStr">
        <is>
          <t>1991-09-18</t>
        </is>
      </c>
      <c r="AA3977" t="n">
        <v>629</v>
      </c>
      <c r="AB3977" t="n">
        <v>491</v>
      </c>
      <c r="AC3977" t="n">
        <v>506</v>
      </c>
      <c r="AD3977" t="n">
        <v>2</v>
      </c>
      <c r="AE3977" t="n">
        <v>2</v>
      </c>
      <c r="AF3977" t="n">
        <v>28</v>
      </c>
      <c r="AG3977" t="n">
        <v>28</v>
      </c>
      <c r="AH3977" t="n">
        <v>13</v>
      </c>
      <c r="AI3977" t="n">
        <v>13</v>
      </c>
      <c r="AJ3977" t="n">
        <v>8</v>
      </c>
      <c r="AK3977" t="n">
        <v>8</v>
      </c>
      <c r="AL3977" t="n">
        <v>16</v>
      </c>
      <c r="AM3977" t="n">
        <v>16</v>
      </c>
      <c r="AN3977" t="n">
        <v>1</v>
      </c>
      <c r="AO3977" t="n">
        <v>1</v>
      </c>
      <c r="AP3977" t="n">
        <v>0</v>
      </c>
      <c r="AQ3977" t="n">
        <v>0</v>
      </c>
      <c r="AR3977" t="inlineStr">
        <is>
          <t>No</t>
        </is>
      </c>
      <c r="AS3977" t="inlineStr">
        <is>
          <t>No</t>
        </is>
      </c>
      <c r="AU3977">
        <f>HYPERLINK("https://creighton-primo.hosted.exlibrisgroup.com/primo-explore/search?tab=default_tab&amp;search_scope=EVERYTHING&amp;vid=01CRU&amp;lang=en_US&amp;offset=0&amp;query=any,contains,991001143949702656","Catalog Record")</f>
        <v/>
      </c>
      <c r="AV3977">
        <f>HYPERLINK("http://www.worldcat.org/oclc/16756448","WorldCat Record")</f>
        <v/>
      </c>
      <c r="AW3977" t="inlineStr">
        <is>
          <t>795456038:eng</t>
        </is>
      </c>
      <c r="AX3977" t="inlineStr">
        <is>
          <t>16756448</t>
        </is>
      </c>
      <c r="AY3977" t="inlineStr">
        <is>
          <t>991001143949702656</t>
        </is>
      </c>
      <c r="AZ3977" t="inlineStr">
        <is>
          <t>991001143949702656</t>
        </is>
      </c>
      <c r="BA3977" t="inlineStr">
        <is>
          <t>2262980800002656</t>
        </is>
      </c>
      <c r="BB3977" t="inlineStr">
        <is>
          <t>BOOK</t>
        </is>
      </c>
      <c r="BD3977" t="inlineStr">
        <is>
          <t>9780521325134</t>
        </is>
      </c>
      <c r="BE3977" t="inlineStr">
        <is>
          <t>32285000759166</t>
        </is>
      </c>
      <c r="BF3977" t="inlineStr">
        <is>
          <t>893808957</t>
        </is>
      </c>
    </row>
    <row r="3978">
      <c r="A3978" t="inlineStr">
        <is>
          <t>No</t>
        </is>
      </c>
      <c r="B3978" t="inlineStr">
        <is>
          <t>CURAL</t>
        </is>
      </c>
      <c r="C3978" t="inlineStr">
        <is>
          <t>SHELVES</t>
        </is>
      </c>
      <c r="D3978" t="inlineStr">
        <is>
          <t>PR936 .J66 2000</t>
        </is>
      </c>
      <c r="E3978" t="inlineStr">
        <is>
          <t>0                      PR 0936000J  66          2000</t>
        </is>
      </c>
      <c r="F3978" t="inlineStr">
        <is>
          <t>Satire and romanticism / Steven E. Jones.</t>
        </is>
      </c>
      <c r="H3978" t="inlineStr">
        <is>
          <t>No</t>
        </is>
      </c>
      <c r="I3978" t="inlineStr">
        <is>
          <t>1</t>
        </is>
      </c>
      <c r="J3978" t="inlineStr">
        <is>
          <t>No</t>
        </is>
      </c>
      <c r="K3978" t="inlineStr">
        <is>
          <t>No</t>
        </is>
      </c>
      <c r="L3978" t="inlineStr">
        <is>
          <t>0</t>
        </is>
      </c>
      <c r="M3978" t="inlineStr">
        <is>
          <t>Jones, Steven E. (Steven Edward)</t>
        </is>
      </c>
      <c r="N3978" t="inlineStr">
        <is>
          <t>New York : St. Martin's Press, c2000.</t>
        </is>
      </c>
      <c r="O3978" t="inlineStr">
        <is>
          <t>2000</t>
        </is>
      </c>
      <c r="P3978" t="inlineStr">
        <is>
          <t>1st ed.</t>
        </is>
      </c>
      <c r="Q3978" t="inlineStr">
        <is>
          <t>eng</t>
        </is>
      </c>
      <c r="R3978" t="inlineStr">
        <is>
          <t>nyu</t>
        </is>
      </c>
      <c r="T3978" t="inlineStr">
        <is>
          <t xml:space="preserve">PR </t>
        </is>
      </c>
      <c r="U3978" t="n">
        <v>1</v>
      </c>
      <c r="V3978" t="n">
        <v>1</v>
      </c>
      <c r="W3978" t="inlineStr">
        <is>
          <t>2005-02-24</t>
        </is>
      </c>
      <c r="X3978" t="inlineStr">
        <is>
          <t>2005-02-24</t>
        </is>
      </c>
      <c r="Y3978" t="inlineStr">
        <is>
          <t>2000-09-28</t>
        </is>
      </c>
      <c r="Z3978" t="inlineStr">
        <is>
          <t>2000-09-28</t>
        </is>
      </c>
      <c r="AA3978" t="n">
        <v>412</v>
      </c>
      <c r="AB3978" t="n">
        <v>348</v>
      </c>
      <c r="AC3978" t="n">
        <v>372</v>
      </c>
      <c r="AD3978" t="n">
        <v>3</v>
      </c>
      <c r="AE3978" t="n">
        <v>3</v>
      </c>
      <c r="AF3978" t="n">
        <v>19</v>
      </c>
      <c r="AG3978" t="n">
        <v>19</v>
      </c>
      <c r="AH3978" t="n">
        <v>6</v>
      </c>
      <c r="AI3978" t="n">
        <v>6</v>
      </c>
      <c r="AJ3978" t="n">
        <v>7</v>
      </c>
      <c r="AK3978" t="n">
        <v>7</v>
      </c>
      <c r="AL3978" t="n">
        <v>10</v>
      </c>
      <c r="AM3978" t="n">
        <v>10</v>
      </c>
      <c r="AN3978" t="n">
        <v>2</v>
      </c>
      <c r="AO3978" t="n">
        <v>2</v>
      </c>
      <c r="AP3978" t="n">
        <v>0</v>
      </c>
      <c r="AQ3978" t="n">
        <v>0</v>
      </c>
      <c r="AR3978" t="inlineStr">
        <is>
          <t>No</t>
        </is>
      </c>
      <c r="AS3978" t="inlineStr">
        <is>
          <t>No</t>
        </is>
      </c>
      <c r="AU3978">
        <f>HYPERLINK("https://creighton-primo.hosted.exlibrisgroup.com/primo-explore/search?tab=default_tab&amp;search_scope=EVERYTHING&amp;vid=01CRU&amp;lang=en_US&amp;offset=0&amp;query=any,contains,991003250639702656","Catalog Record")</f>
        <v/>
      </c>
      <c r="AV3978">
        <f>HYPERLINK("http://www.worldcat.org/oclc/42296512","WorldCat Record")</f>
        <v/>
      </c>
      <c r="AW3978" t="inlineStr">
        <is>
          <t>45162409:eng</t>
        </is>
      </c>
      <c r="AX3978" t="inlineStr">
        <is>
          <t>42296512</t>
        </is>
      </c>
      <c r="AY3978" t="inlineStr">
        <is>
          <t>991003250639702656</t>
        </is>
      </c>
      <c r="AZ3978" t="inlineStr">
        <is>
          <t>991003250639702656</t>
        </is>
      </c>
      <c r="BA3978" t="inlineStr">
        <is>
          <t>2255641610002656</t>
        </is>
      </c>
      <c r="BB3978" t="inlineStr">
        <is>
          <t>BOOK</t>
        </is>
      </c>
      <c r="BD3978" t="inlineStr">
        <is>
          <t>9780312228798</t>
        </is>
      </c>
      <c r="BE3978" t="inlineStr">
        <is>
          <t>32285003765889</t>
        </is>
      </c>
      <c r="BF3978" t="inlineStr">
        <is>
          <t>893780765</t>
        </is>
      </c>
    </row>
    <row r="3979">
      <c r="A3979" t="inlineStr">
        <is>
          <t>No</t>
        </is>
      </c>
      <c r="B3979" t="inlineStr">
        <is>
          <t>CURAL</t>
        </is>
      </c>
      <c r="C3979" t="inlineStr">
        <is>
          <t>SHELVES</t>
        </is>
      </c>
      <c r="D3979" t="inlineStr">
        <is>
          <t>PR936 .S37 2003</t>
        </is>
      </c>
      <c r="E3979" t="inlineStr">
        <is>
          <t>0                      PR 0936000S  37          2003</t>
        </is>
      </c>
      <c r="F3979" t="inlineStr">
        <is>
          <t>The satiric eye : forms of satire in the romantic period / edited by Steven E. Jones.</t>
        </is>
      </c>
      <c r="H3979" t="inlineStr">
        <is>
          <t>No</t>
        </is>
      </c>
      <c r="I3979" t="inlineStr">
        <is>
          <t>1</t>
        </is>
      </c>
      <c r="J3979" t="inlineStr">
        <is>
          <t>No</t>
        </is>
      </c>
      <c r="K3979" t="inlineStr">
        <is>
          <t>No</t>
        </is>
      </c>
      <c r="L3979" t="inlineStr">
        <is>
          <t>0</t>
        </is>
      </c>
      <c r="N3979" t="inlineStr">
        <is>
          <t>New York : Palgrave Macmillan, 2003.</t>
        </is>
      </c>
      <c r="O3979" t="inlineStr">
        <is>
          <t>2003</t>
        </is>
      </c>
      <c r="P3979" t="inlineStr">
        <is>
          <t>1st ed.</t>
        </is>
      </c>
      <c r="Q3979" t="inlineStr">
        <is>
          <t>eng</t>
        </is>
      </c>
      <c r="R3979" t="inlineStr">
        <is>
          <t>nyu</t>
        </is>
      </c>
      <c r="T3979" t="inlineStr">
        <is>
          <t xml:space="preserve">PR </t>
        </is>
      </c>
      <c r="U3979" t="n">
        <v>2</v>
      </c>
      <c r="V3979" t="n">
        <v>2</v>
      </c>
      <c r="W3979" t="inlineStr">
        <is>
          <t>2009-09-01</t>
        </is>
      </c>
      <c r="X3979" t="inlineStr">
        <is>
          <t>2009-09-01</t>
        </is>
      </c>
      <c r="Y3979" t="inlineStr">
        <is>
          <t>2003-11-10</t>
        </is>
      </c>
      <c r="Z3979" t="inlineStr">
        <is>
          <t>2003-11-10</t>
        </is>
      </c>
      <c r="AA3979" t="n">
        <v>332</v>
      </c>
      <c r="AB3979" t="n">
        <v>256</v>
      </c>
      <c r="AC3979" t="n">
        <v>257</v>
      </c>
      <c r="AD3979" t="n">
        <v>4</v>
      </c>
      <c r="AE3979" t="n">
        <v>4</v>
      </c>
      <c r="AF3979" t="n">
        <v>14</v>
      </c>
      <c r="AG3979" t="n">
        <v>14</v>
      </c>
      <c r="AH3979" t="n">
        <v>4</v>
      </c>
      <c r="AI3979" t="n">
        <v>4</v>
      </c>
      <c r="AJ3979" t="n">
        <v>3</v>
      </c>
      <c r="AK3979" t="n">
        <v>3</v>
      </c>
      <c r="AL3979" t="n">
        <v>6</v>
      </c>
      <c r="AM3979" t="n">
        <v>6</v>
      </c>
      <c r="AN3979" t="n">
        <v>3</v>
      </c>
      <c r="AO3979" t="n">
        <v>3</v>
      </c>
      <c r="AP3979" t="n">
        <v>0</v>
      </c>
      <c r="AQ3979" t="n">
        <v>0</v>
      </c>
      <c r="AR3979" t="inlineStr">
        <is>
          <t>No</t>
        </is>
      </c>
      <c r="AS3979" t="inlineStr">
        <is>
          <t>No</t>
        </is>
      </c>
      <c r="AU3979">
        <f>HYPERLINK("https://creighton-primo.hosted.exlibrisgroup.com/primo-explore/search?tab=default_tab&amp;search_scope=EVERYTHING&amp;vid=01CRU&amp;lang=en_US&amp;offset=0&amp;query=any,contains,991004161309702656","Catalog Record")</f>
        <v/>
      </c>
      <c r="AV3979">
        <f>HYPERLINK("http://www.worldcat.org/oclc/49977115","WorldCat Record")</f>
        <v/>
      </c>
      <c r="AW3979" t="inlineStr">
        <is>
          <t>840361885:eng</t>
        </is>
      </c>
      <c r="AX3979" t="inlineStr">
        <is>
          <t>49977115</t>
        </is>
      </c>
      <c r="AY3979" t="inlineStr">
        <is>
          <t>991004161309702656</t>
        </is>
      </c>
      <c r="AZ3979" t="inlineStr">
        <is>
          <t>991004161309702656</t>
        </is>
      </c>
      <c r="BA3979" t="inlineStr">
        <is>
          <t>2260863490002656</t>
        </is>
      </c>
      <c r="BB3979" t="inlineStr">
        <is>
          <t>BOOK</t>
        </is>
      </c>
      <c r="BD3979" t="inlineStr">
        <is>
          <t>9780312294960</t>
        </is>
      </c>
      <c r="BE3979" t="inlineStr">
        <is>
          <t>32285004796032</t>
        </is>
      </c>
      <c r="BF3979" t="inlineStr">
        <is>
          <t>893618327</t>
        </is>
      </c>
    </row>
    <row r="3980">
      <c r="A3980" t="inlineStr">
        <is>
          <t>No</t>
        </is>
      </c>
      <c r="B3980" t="inlineStr">
        <is>
          <t>CURAL</t>
        </is>
      </c>
      <c r="C3980" t="inlineStr">
        <is>
          <t>SHELVES</t>
        </is>
      </c>
      <c r="D3980" t="inlineStr">
        <is>
          <t>PR9369.3.H4 Z58 2003</t>
        </is>
      </c>
      <c r="E3980" t="inlineStr">
        <is>
          <t>0                      PR 9369300H  4                  Z  58          2003</t>
        </is>
      </c>
      <c r="F3980" t="inlineStr">
        <is>
          <t>The creative vision of Bessie Head / Coreen Brown.</t>
        </is>
      </c>
      <c r="H3980" t="inlineStr">
        <is>
          <t>No</t>
        </is>
      </c>
      <c r="I3980" t="inlineStr">
        <is>
          <t>1</t>
        </is>
      </c>
      <c r="J3980" t="inlineStr">
        <is>
          <t>No</t>
        </is>
      </c>
      <c r="K3980" t="inlineStr">
        <is>
          <t>No</t>
        </is>
      </c>
      <c r="L3980" t="inlineStr">
        <is>
          <t>0</t>
        </is>
      </c>
      <c r="M3980" t="inlineStr">
        <is>
          <t>Brown, Coreen, 1947-</t>
        </is>
      </c>
      <c r="N3980" t="inlineStr">
        <is>
          <t>Madison : Fairleigh Dickinson University Press ; London : Associated University Presses, c2003.</t>
        </is>
      </c>
      <c r="O3980" t="inlineStr">
        <is>
          <t>2003</t>
        </is>
      </c>
      <c r="Q3980" t="inlineStr">
        <is>
          <t>eng</t>
        </is>
      </c>
      <c r="R3980" t="inlineStr">
        <is>
          <t>nju</t>
        </is>
      </c>
      <c r="T3980" t="inlineStr">
        <is>
          <t xml:space="preserve">PR </t>
        </is>
      </c>
      <c r="U3980" t="n">
        <v>3</v>
      </c>
      <c r="V3980" t="n">
        <v>3</v>
      </c>
      <c r="W3980" t="inlineStr">
        <is>
          <t>2008-03-25</t>
        </is>
      </c>
      <c r="X3980" t="inlineStr">
        <is>
          <t>2008-03-25</t>
        </is>
      </c>
      <c r="Y3980" t="inlineStr">
        <is>
          <t>2005-05-31</t>
        </is>
      </c>
      <c r="Z3980" t="inlineStr">
        <is>
          <t>2005-05-31</t>
        </is>
      </c>
      <c r="AA3980" t="n">
        <v>307</v>
      </c>
      <c r="AB3980" t="n">
        <v>267</v>
      </c>
      <c r="AC3980" t="n">
        <v>269</v>
      </c>
      <c r="AD3980" t="n">
        <v>1</v>
      </c>
      <c r="AE3980" t="n">
        <v>1</v>
      </c>
      <c r="AF3980" t="n">
        <v>15</v>
      </c>
      <c r="AG3980" t="n">
        <v>15</v>
      </c>
      <c r="AH3980" t="n">
        <v>8</v>
      </c>
      <c r="AI3980" t="n">
        <v>8</v>
      </c>
      <c r="AJ3980" t="n">
        <v>5</v>
      </c>
      <c r="AK3980" t="n">
        <v>5</v>
      </c>
      <c r="AL3980" t="n">
        <v>8</v>
      </c>
      <c r="AM3980" t="n">
        <v>8</v>
      </c>
      <c r="AN3980" t="n">
        <v>0</v>
      </c>
      <c r="AO3980" t="n">
        <v>0</v>
      </c>
      <c r="AP3980" t="n">
        <v>0</v>
      </c>
      <c r="AQ3980" t="n">
        <v>0</v>
      </c>
      <c r="AR3980" t="inlineStr">
        <is>
          <t>No</t>
        </is>
      </c>
      <c r="AS3980" t="inlineStr">
        <is>
          <t>Yes</t>
        </is>
      </c>
      <c r="AT3980">
        <f>HYPERLINK("http://catalog.hathitrust.org/Record/004327460","HathiTrust Record")</f>
        <v/>
      </c>
      <c r="AU3980">
        <f>HYPERLINK("https://creighton-primo.hosted.exlibrisgroup.com/primo-explore/search?tab=default_tab&amp;search_scope=EVERYTHING&amp;vid=01CRU&amp;lang=en_US&amp;offset=0&amp;query=any,contains,991004492239702656","Catalog Record")</f>
        <v/>
      </c>
      <c r="AV3980">
        <f>HYPERLINK("http://www.worldcat.org/oclc/50583611","WorldCat Record")</f>
        <v/>
      </c>
      <c r="AW3980" t="inlineStr">
        <is>
          <t>6512899:eng</t>
        </is>
      </c>
      <c r="AX3980" t="inlineStr">
        <is>
          <t>50583611</t>
        </is>
      </c>
      <c r="AY3980" t="inlineStr">
        <is>
          <t>991004492239702656</t>
        </is>
      </c>
      <c r="AZ3980" t="inlineStr">
        <is>
          <t>991004492239702656</t>
        </is>
      </c>
      <c r="BA3980" t="inlineStr">
        <is>
          <t>2266799770002656</t>
        </is>
      </c>
      <c r="BB3980" t="inlineStr">
        <is>
          <t>BOOK</t>
        </is>
      </c>
      <c r="BD3980" t="inlineStr">
        <is>
          <t>9780838639825</t>
        </is>
      </c>
      <c r="BE3980" t="inlineStr">
        <is>
          <t>32285005091110</t>
        </is>
      </c>
      <c r="BF3980" t="inlineStr">
        <is>
          <t>893417686</t>
        </is>
      </c>
    </row>
    <row r="3981">
      <c r="A3981" t="inlineStr">
        <is>
          <t>No</t>
        </is>
      </c>
      <c r="B3981" t="inlineStr">
        <is>
          <t>CURAL</t>
        </is>
      </c>
      <c r="C3981" t="inlineStr">
        <is>
          <t>SHELVES</t>
        </is>
      </c>
      <c r="D3981" t="inlineStr">
        <is>
          <t>PR937 .E54 1994</t>
        </is>
      </c>
      <c r="E3981" t="inlineStr">
        <is>
          <t>0                      PR 0937000E  54          1994</t>
        </is>
      </c>
      <c r="F3981" t="inlineStr">
        <is>
          <t>Comic transactions : literature, humor, and the politics of community in twentieth-century Britain / James F. English.</t>
        </is>
      </c>
      <c r="H3981" t="inlineStr">
        <is>
          <t>No</t>
        </is>
      </c>
      <c r="I3981" t="inlineStr">
        <is>
          <t>1</t>
        </is>
      </c>
      <c r="J3981" t="inlineStr">
        <is>
          <t>No</t>
        </is>
      </c>
      <c r="K3981" t="inlineStr">
        <is>
          <t>No</t>
        </is>
      </c>
      <c r="L3981" t="inlineStr">
        <is>
          <t>0</t>
        </is>
      </c>
      <c r="M3981" t="inlineStr">
        <is>
          <t>English, James F., 1958-</t>
        </is>
      </c>
      <c r="N3981" t="inlineStr">
        <is>
          <t>Ithaca, N.Y. : Cornell University Press, 1994.</t>
        </is>
      </c>
      <c r="O3981" t="inlineStr">
        <is>
          <t>1994</t>
        </is>
      </c>
      <c r="Q3981" t="inlineStr">
        <is>
          <t>eng</t>
        </is>
      </c>
      <c r="R3981" t="inlineStr">
        <is>
          <t>nyu</t>
        </is>
      </c>
      <c r="T3981" t="inlineStr">
        <is>
          <t xml:space="preserve">PR </t>
        </is>
      </c>
      <c r="U3981" t="n">
        <v>5</v>
      </c>
      <c r="V3981" t="n">
        <v>5</v>
      </c>
      <c r="W3981" t="inlineStr">
        <is>
          <t>1995-11-16</t>
        </is>
      </c>
      <c r="X3981" t="inlineStr">
        <is>
          <t>1995-11-16</t>
        </is>
      </c>
      <c r="Y3981" t="inlineStr">
        <is>
          <t>1995-05-10</t>
        </is>
      </c>
      <c r="Z3981" t="inlineStr">
        <is>
          <t>1995-05-10</t>
        </is>
      </c>
      <c r="AA3981" t="n">
        <v>348</v>
      </c>
      <c r="AB3981" t="n">
        <v>280</v>
      </c>
      <c r="AC3981" t="n">
        <v>465</v>
      </c>
      <c r="AD3981" t="n">
        <v>4</v>
      </c>
      <c r="AE3981" t="n">
        <v>4</v>
      </c>
      <c r="AF3981" t="n">
        <v>19</v>
      </c>
      <c r="AG3981" t="n">
        <v>27</v>
      </c>
      <c r="AH3981" t="n">
        <v>4</v>
      </c>
      <c r="AI3981" t="n">
        <v>9</v>
      </c>
      <c r="AJ3981" t="n">
        <v>8</v>
      </c>
      <c r="AK3981" t="n">
        <v>10</v>
      </c>
      <c r="AL3981" t="n">
        <v>8</v>
      </c>
      <c r="AM3981" t="n">
        <v>12</v>
      </c>
      <c r="AN3981" t="n">
        <v>3</v>
      </c>
      <c r="AO3981" t="n">
        <v>3</v>
      </c>
      <c r="AP3981" t="n">
        <v>0</v>
      </c>
      <c r="AQ3981" t="n">
        <v>0</v>
      </c>
      <c r="AR3981" t="inlineStr">
        <is>
          <t>No</t>
        </is>
      </c>
      <c r="AS3981" t="inlineStr">
        <is>
          <t>Yes</t>
        </is>
      </c>
      <c r="AT3981">
        <f>HYPERLINK("http://catalog.hathitrust.org/Record/002878597","HathiTrust Record")</f>
        <v/>
      </c>
      <c r="AU3981">
        <f>HYPERLINK("https://creighton-primo.hosted.exlibrisgroup.com/primo-explore/search?tab=default_tab&amp;search_scope=EVERYTHING&amp;vid=01CRU&amp;lang=en_US&amp;offset=0&amp;query=any,contains,991002266039702656","Catalog Record")</f>
        <v/>
      </c>
      <c r="AV3981">
        <f>HYPERLINK("http://www.worldcat.org/oclc/29389203","WorldCat Record")</f>
        <v/>
      </c>
      <c r="AW3981" t="inlineStr">
        <is>
          <t>197659236:eng</t>
        </is>
      </c>
      <c r="AX3981" t="inlineStr">
        <is>
          <t>29389203</t>
        </is>
      </c>
      <c r="AY3981" t="inlineStr">
        <is>
          <t>991002266039702656</t>
        </is>
      </c>
      <c r="AZ3981" t="inlineStr">
        <is>
          <t>991002266039702656</t>
        </is>
      </c>
      <c r="BA3981" t="inlineStr">
        <is>
          <t>2258963230002656</t>
        </is>
      </c>
      <c r="BB3981" t="inlineStr">
        <is>
          <t>BOOK</t>
        </is>
      </c>
      <c r="BD3981" t="inlineStr">
        <is>
          <t>9780801429538</t>
        </is>
      </c>
      <c r="BE3981" t="inlineStr">
        <is>
          <t>32285002039211</t>
        </is>
      </c>
      <c r="BF3981" t="inlineStr">
        <is>
          <t>893316598</t>
        </is>
      </c>
    </row>
    <row r="3982">
      <c r="A3982" t="inlineStr">
        <is>
          <t>No</t>
        </is>
      </c>
      <c r="B3982" t="inlineStr">
        <is>
          <t>CURAL</t>
        </is>
      </c>
      <c r="C3982" t="inlineStr">
        <is>
          <t>SHELVES</t>
        </is>
      </c>
      <c r="D3982" t="inlineStr">
        <is>
          <t>PR9551 .M6</t>
        </is>
      </c>
      <c r="E3982" t="inlineStr">
        <is>
          <t>0                      PR 9551000M  6</t>
        </is>
      </c>
      <c r="F3982" t="inlineStr">
        <is>
          <t>Poetry in Australia.</t>
        </is>
      </c>
      <c r="G3982" t="inlineStr">
        <is>
          <t>V.1</t>
        </is>
      </c>
      <c r="H3982" t="inlineStr">
        <is>
          <t>Yes</t>
        </is>
      </c>
      <c r="I3982" t="inlineStr">
        <is>
          <t>1</t>
        </is>
      </c>
      <c r="J3982" t="inlineStr">
        <is>
          <t>No</t>
        </is>
      </c>
      <c r="K3982" t="inlineStr">
        <is>
          <t>No</t>
        </is>
      </c>
      <c r="L3982" t="inlineStr">
        <is>
          <t>0</t>
        </is>
      </c>
      <c r="N3982" t="inlineStr">
        <is>
          <t>Berkeley, University of California Press, 1965.</t>
        </is>
      </c>
      <c r="O3982" t="inlineStr">
        <is>
          <t>1965</t>
        </is>
      </c>
      <c r="Q3982" t="inlineStr">
        <is>
          <t>eng</t>
        </is>
      </c>
      <c r="R3982" t="inlineStr">
        <is>
          <t>cau</t>
        </is>
      </c>
      <c r="T3982" t="inlineStr">
        <is>
          <t xml:space="preserve">PR </t>
        </is>
      </c>
      <c r="U3982" t="n">
        <v>3</v>
      </c>
      <c r="V3982" t="n">
        <v>6</v>
      </c>
      <c r="W3982" t="inlineStr">
        <is>
          <t>1999-03-23</t>
        </is>
      </c>
      <c r="X3982" t="inlineStr">
        <is>
          <t>1999-03-23</t>
        </is>
      </c>
      <c r="Y3982" t="inlineStr">
        <is>
          <t>1997-04-28</t>
        </is>
      </c>
      <c r="Z3982" t="inlineStr">
        <is>
          <t>1997-04-28</t>
        </is>
      </c>
      <c r="AA3982" t="n">
        <v>615</v>
      </c>
      <c r="AB3982" t="n">
        <v>586</v>
      </c>
      <c r="AC3982" t="n">
        <v>627</v>
      </c>
      <c r="AD3982" t="n">
        <v>5</v>
      </c>
      <c r="AE3982" t="n">
        <v>5</v>
      </c>
      <c r="AF3982" t="n">
        <v>17</v>
      </c>
      <c r="AG3982" t="n">
        <v>17</v>
      </c>
      <c r="AH3982" t="n">
        <v>5</v>
      </c>
      <c r="AI3982" t="n">
        <v>5</v>
      </c>
      <c r="AJ3982" t="n">
        <v>5</v>
      </c>
      <c r="AK3982" t="n">
        <v>5</v>
      </c>
      <c r="AL3982" t="n">
        <v>7</v>
      </c>
      <c r="AM3982" t="n">
        <v>7</v>
      </c>
      <c r="AN3982" t="n">
        <v>4</v>
      </c>
      <c r="AO3982" t="n">
        <v>4</v>
      </c>
      <c r="AP3982" t="n">
        <v>0</v>
      </c>
      <c r="AQ3982" t="n">
        <v>0</v>
      </c>
      <c r="AR3982" t="inlineStr">
        <is>
          <t>No</t>
        </is>
      </c>
      <c r="AS3982" t="inlineStr">
        <is>
          <t>Yes</t>
        </is>
      </c>
      <c r="AT3982">
        <f>HYPERLINK("http://catalog.hathitrust.org/Record/001026367","HathiTrust Record")</f>
        <v/>
      </c>
      <c r="AU3982">
        <f>HYPERLINK("https://creighton-primo.hosted.exlibrisgroup.com/primo-explore/search?tab=default_tab&amp;search_scope=EVERYTHING&amp;vid=01CRU&amp;lang=en_US&amp;offset=0&amp;query=any,contains,991002036879702656","Catalog Record")</f>
        <v/>
      </c>
      <c r="AV3982">
        <f>HYPERLINK("http://www.worldcat.org/oclc/260653","WorldCat Record")</f>
        <v/>
      </c>
      <c r="AW3982" t="inlineStr">
        <is>
          <t>5575059698:eng</t>
        </is>
      </c>
      <c r="AX3982" t="inlineStr">
        <is>
          <t>260653</t>
        </is>
      </c>
      <c r="AY3982" t="inlineStr">
        <is>
          <t>991002036879702656</t>
        </is>
      </c>
      <c r="AZ3982" t="inlineStr">
        <is>
          <t>991002036879702656</t>
        </is>
      </c>
      <c r="BA3982" t="inlineStr">
        <is>
          <t>2262521120002656</t>
        </is>
      </c>
      <c r="BB3982" t="inlineStr">
        <is>
          <t>BOOK</t>
        </is>
      </c>
      <c r="BE3982" t="inlineStr">
        <is>
          <t>32285002593183</t>
        </is>
      </c>
      <c r="BF3982" t="inlineStr">
        <is>
          <t>893892048</t>
        </is>
      </c>
    </row>
    <row r="3983">
      <c r="A3983" t="inlineStr">
        <is>
          <t>No</t>
        </is>
      </c>
      <c r="B3983" t="inlineStr">
        <is>
          <t>CURAL</t>
        </is>
      </c>
      <c r="C3983" t="inlineStr">
        <is>
          <t>SHELVES</t>
        </is>
      </c>
      <c r="D3983" t="inlineStr">
        <is>
          <t>PR9551 .M6</t>
        </is>
      </c>
      <c r="E3983" t="inlineStr">
        <is>
          <t>0                      PR 9551000M  6</t>
        </is>
      </c>
      <c r="F3983" t="inlineStr">
        <is>
          <t>Poetry in Australia.</t>
        </is>
      </c>
      <c r="G3983" t="inlineStr">
        <is>
          <t>V.2</t>
        </is>
      </c>
      <c r="H3983" t="inlineStr">
        <is>
          <t>Yes</t>
        </is>
      </c>
      <c r="I3983" t="inlineStr">
        <is>
          <t>1</t>
        </is>
      </c>
      <c r="J3983" t="inlineStr">
        <is>
          <t>No</t>
        </is>
      </c>
      <c r="K3983" t="inlineStr">
        <is>
          <t>No</t>
        </is>
      </c>
      <c r="L3983" t="inlineStr">
        <is>
          <t>0</t>
        </is>
      </c>
      <c r="N3983" t="inlineStr">
        <is>
          <t>Berkeley, University of California Press, 1965.</t>
        </is>
      </c>
      <c r="O3983" t="inlineStr">
        <is>
          <t>1965</t>
        </is>
      </c>
      <c r="Q3983" t="inlineStr">
        <is>
          <t>eng</t>
        </is>
      </c>
      <c r="R3983" t="inlineStr">
        <is>
          <t>cau</t>
        </is>
      </c>
      <c r="T3983" t="inlineStr">
        <is>
          <t xml:space="preserve">PR </t>
        </is>
      </c>
      <c r="U3983" t="n">
        <v>3</v>
      </c>
      <c r="V3983" t="n">
        <v>6</v>
      </c>
      <c r="W3983" t="inlineStr">
        <is>
          <t>1999-03-23</t>
        </is>
      </c>
      <c r="X3983" t="inlineStr">
        <is>
          <t>1999-03-23</t>
        </is>
      </c>
      <c r="Y3983" t="inlineStr">
        <is>
          <t>1997-04-28</t>
        </is>
      </c>
      <c r="Z3983" t="inlineStr">
        <is>
          <t>1997-04-28</t>
        </is>
      </c>
      <c r="AA3983" t="n">
        <v>615</v>
      </c>
      <c r="AB3983" t="n">
        <v>586</v>
      </c>
      <c r="AC3983" t="n">
        <v>627</v>
      </c>
      <c r="AD3983" t="n">
        <v>5</v>
      </c>
      <c r="AE3983" t="n">
        <v>5</v>
      </c>
      <c r="AF3983" t="n">
        <v>17</v>
      </c>
      <c r="AG3983" t="n">
        <v>17</v>
      </c>
      <c r="AH3983" t="n">
        <v>5</v>
      </c>
      <c r="AI3983" t="n">
        <v>5</v>
      </c>
      <c r="AJ3983" t="n">
        <v>5</v>
      </c>
      <c r="AK3983" t="n">
        <v>5</v>
      </c>
      <c r="AL3983" t="n">
        <v>7</v>
      </c>
      <c r="AM3983" t="n">
        <v>7</v>
      </c>
      <c r="AN3983" t="n">
        <v>4</v>
      </c>
      <c r="AO3983" t="n">
        <v>4</v>
      </c>
      <c r="AP3983" t="n">
        <v>0</v>
      </c>
      <c r="AQ3983" t="n">
        <v>0</v>
      </c>
      <c r="AR3983" t="inlineStr">
        <is>
          <t>No</t>
        </is>
      </c>
      <c r="AS3983" t="inlineStr">
        <is>
          <t>Yes</t>
        </is>
      </c>
      <c r="AT3983">
        <f>HYPERLINK("http://catalog.hathitrust.org/Record/001026367","HathiTrust Record")</f>
        <v/>
      </c>
      <c r="AU3983">
        <f>HYPERLINK("https://creighton-primo.hosted.exlibrisgroup.com/primo-explore/search?tab=default_tab&amp;search_scope=EVERYTHING&amp;vid=01CRU&amp;lang=en_US&amp;offset=0&amp;query=any,contains,991002036879702656","Catalog Record")</f>
        <v/>
      </c>
      <c r="AV3983">
        <f>HYPERLINK("http://www.worldcat.org/oclc/260653","WorldCat Record")</f>
        <v/>
      </c>
      <c r="AW3983" t="inlineStr">
        <is>
          <t>5575059698:eng</t>
        </is>
      </c>
      <c r="AX3983" t="inlineStr">
        <is>
          <t>260653</t>
        </is>
      </c>
      <c r="AY3983" t="inlineStr">
        <is>
          <t>991002036879702656</t>
        </is>
      </c>
      <c r="AZ3983" t="inlineStr">
        <is>
          <t>991002036879702656</t>
        </is>
      </c>
      <c r="BA3983" t="inlineStr">
        <is>
          <t>2262521120002656</t>
        </is>
      </c>
      <c r="BB3983" t="inlineStr">
        <is>
          <t>BOOK</t>
        </is>
      </c>
      <c r="BE3983" t="inlineStr">
        <is>
          <t>32285002593191</t>
        </is>
      </c>
      <c r="BF3983" t="inlineStr">
        <is>
          <t>893866724</t>
        </is>
      </c>
    </row>
    <row r="3984">
      <c r="A3984" t="inlineStr">
        <is>
          <t>No</t>
        </is>
      </c>
      <c r="B3984" t="inlineStr">
        <is>
          <t>CURAL</t>
        </is>
      </c>
      <c r="C3984" t="inlineStr">
        <is>
          <t>SHELVES</t>
        </is>
      </c>
      <c r="D3984" t="inlineStr">
        <is>
          <t>PR9604.3 .O93 1998</t>
        </is>
      </c>
      <c r="E3984" t="inlineStr">
        <is>
          <t>0                      PR 9604300O  93          1998</t>
        </is>
      </c>
      <c r="F3984" t="inlineStr">
        <is>
          <t>The Oxford literary history of Australia / editors, Bruce Bennett and Jennifer Strauss ; associate editor, Chris Wallace-Crabbe.</t>
        </is>
      </c>
      <c r="H3984" t="inlineStr">
        <is>
          <t>No</t>
        </is>
      </c>
      <c r="I3984" t="inlineStr">
        <is>
          <t>1</t>
        </is>
      </c>
      <c r="J3984" t="inlineStr">
        <is>
          <t>No</t>
        </is>
      </c>
      <c r="K3984" t="inlineStr">
        <is>
          <t>No</t>
        </is>
      </c>
      <c r="L3984" t="inlineStr">
        <is>
          <t>0</t>
        </is>
      </c>
      <c r="N3984" t="inlineStr">
        <is>
          <t>Melbourne : Oxford University Press, 1998.</t>
        </is>
      </c>
      <c r="O3984" t="inlineStr">
        <is>
          <t>1998</t>
        </is>
      </c>
      <c r="Q3984" t="inlineStr">
        <is>
          <t>eng</t>
        </is>
      </c>
      <c r="R3984" t="inlineStr">
        <is>
          <t xml:space="preserve">at </t>
        </is>
      </c>
      <c r="T3984" t="inlineStr">
        <is>
          <t xml:space="preserve">PR </t>
        </is>
      </c>
      <c r="U3984" t="n">
        <v>1</v>
      </c>
      <c r="V3984" t="n">
        <v>1</v>
      </c>
      <c r="W3984" t="inlineStr">
        <is>
          <t>2004-01-29</t>
        </is>
      </c>
      <c r="X3984" t="inlineStr">
        <is>
          <t>2004-01-29</t>
        </is>
      </c>
      <c r="Y3984" t="inlineStr">
        <is>
          <t>1999-09-09</t>
        </is>
      </c>
      <c r="Z3984" t="inlineStr">
        <is>
          <t>1999-09-09</t>
        </is>
      </c>
      <c r="AA3984" t="n">
        <v>476</v>
      </c>
      <c r="AB3984" t="n">
        <v>309</v>
      </c>
      <c r="AC3984" t="n">
        <v>311</v>
      </c>
      <c r="AD3984" t="n">
        <v>3</v>
      </c>
      <c r="AE3984" t="n">
        <v>3</v>
      </c>
      <c r="AF3984" t="n">
        <v>15</v>
      </c>
      <c r="AG3984" t="n">
        <v>15</v>
      </c>
      <c r="AH3984" t="n">
        <v>4</v>
      </c>
      <c r="AI3984" t="n">
        <v>4</v>
      </c>
      <c r="AJ3984" t="n">
        <v>4</v>
      </c>
      <c r="AK3984" t="n">
        <v>4</v>
      </c>
      <c r="AL3984" t="n">
        <v>10</v>
      </c>
      <c r="AM3984" t="n">
        <v>10</v>
      </c>
      <c r="AN3984" t="n">
        <v>2</v>
      </c>
      <c r="AO3984" t="n">
        <v>2</v>
      </c>
      <c r="AP3984" t="n">
        <v>0</v>
      </c>
      <c r="AQ3984" t="n">
        <v>0</v>
      </c>
      <c r="AR3984" t="inlineStr">
        <is>
          <t>No</t>
        </is>
      </c>
      <c r="AS3984" t="inlineStr">
        <is>
          <t>Yes</t>
        </is>
      </c>
      <c r="AT3984">
        <f>HYPERLINK("http://catalog.hathitrust.org/Record/003979272","HathiTrust Record")</f>
        <v/>
      </c>
      <c r="AU3984">
        <f>HYPERLINK("https://creighton-primo.hosted.exlibrisgroup.com/primo-explore/search?tab=default_tab&amp;search_scope=EVERYTHING&amp;vid=01CRU&amp;lang=en_US&amp;offset=0&amp;query=any,contains,991002926959702656","Catalog Record")</f>
        <v/>
      </c>
      <c r="AV3984">
        <f>HYPERLINK("http://www.worldcat.org/oclc/38903691","WorldCat Record")</f>
        <v/>
      </c>
      <c r="AW3984" t="inlineStr">
        <is>
          <t>367273246:eng</t>
        </is>
      </c>
      <c r="AX3984" t="inlineStr">
        <is>
          <t>38903691</t>
        </is>
      </c>
      <c r="AY3984" t="inlineStr">
        <is>
          <t>991002926959702656</t>
        </is>
      </c>
      <c r="AZ3984" t="inlineStr">
        <is>
          <t>991002926959702656</t>
        </is>
      </c>
      <c r="BA3984" t="inlineStr">
        <is>
          <t>2262298250002656</t>
        </is>
      </c>
      <c r="BB3984" t="inlineStr">
        <is>
          <t>BOOK</t>
        </is>
      </c>
      <c r="BD3984" t="inlineStr">
        <is>
          <t>9780195537376</t>
        </is>
      </c>
      <c r="BE3984" t="inlineStr">
        <is>
          <t>32285003587259</t>
        </is>
      </c>
      <c r="BF3984" t="inlineStr">
        <is>
          <t>893704689</t>
        </is>
      </c>
    </row>
    <row r="3985">
      <c r="A3985" t="inlineStr">
        <is>
          <t>No</t>
        </is>
      </c>
      <c r="B3985" t="inlineStr">
        <is>
          <t>CURAL</t>
        </is>
      </c>
      <c r="C3985" t="inlineStr">
        <is>
          <t>SHELVES</t>
        </is>
      </c>
      <c r="D3985" t="inlineStr">
        <is>
          <t>PR9639.3.M258 Z557 1954</t>
        </is>
      </c>
      <c r="E3985" t="inlineStr">
        <is>
          <t>0                      PR 9639300M  258                Z  557         1954</t>
        </is>
      </c>
      <c r="F3985" t="inlineStr">
        <is>
          <t>Katherine Mansfield, a biography.</t>
        </is>
      </c>
      <c r="H3985" t="inlineStr">
        <is>
          <t>No</t>
        </is>
      </c>
      <c r="I3985" t="inlineStr">
        <is>
          <t>1</t>
        </is>
      </c>
      <c r="J3985" t="inlineStr">
        <is>
          <t>No</t>
        </is>
      </c>
      <c r="K3985" t="inlineStr">
        <is>
          <t>No</t>
        </is>
      </c>
      <c r="L3985" t="inlineStr">
        <is>
          <t>0</t>
        </is>
      </c>
      <c r="M3985" t="inlineStr">
        <is>
          <t>Alpers, Antony, 1919-1997.</t>
        </is>
      </c>
      <c r="N3985" t="inlineStr">
        <is>
          <t>New York : Knopf, 1954 [c1953]</t>
        </is>
      </c>
      <c r="O3985" t="inlineStr">
        <is>
          <t>1954</t>
        </is>
      </c>
      <c r="Q3985" t="inlineStr">
        <is>
          <t>eng</t>
        </is>
      </c>
      <c r="R3985" t="inlineStr">
        <is>
          <t>nyu</t>
        </is>
      </c>
      <c r="T3985" t="inlineStr">
        <is>
          <t xml:space="preserve">PR </t>
        </is>
      </c>
      <c r="U3985" t="n">
        <v>1</v>
      </c>
      <c r="V3985" t="n">
        <v>1</v>
      </c>
      <c r="W3985" t="inlineStr">
        <is>
          <t>2004-10-22</t>
        </is>
      </c>
      <c r="X3985" t="inlineStr">
        <is>
          <t>2004-10-22</t>
        </is>
      </c>
      <c r="Y3985" t="inlineStr">
        <is>
          <t>1995-02-24</t>
        </is>
      </c>
      <c r="Z3985" t="inlineStr">
        <is>
          <t>1995-02-24</t>
        </is>
      </c>
      <c r="AA3985" t="n">
        <v>87</v>
      </c>
      <c r="AB3985" t="n">
        <v>74</v>
      </c>
      <c r="AC3985" t="n">
        <v>769</v>
      </c>
      <c r="AD3985" t="n">
        <v>1</v>
      </c>
      <c r="AE3985" t="n">
        <v>7</v>
      </c>
      <c r="AF3985" t="n">
        <v>4</v>
      </c>
      <c r="AG3985" t="n">
        <v>36</v>
      </c>
      <c r="AH3985" t="n">
        <v>2</v>
      </c>
      <c r="AI3985" t="n">
        <v>14</v>
      </c>
      <c r="AJ3985" t="n">
        <v>0</v>
      </c>
      <c r="AK3985" t="n">
        <v>9</v>
      </c>
      <c r="AL3985" t="n">
        <v>2</v>
      </c>
      <c r="AM3985" t="n">
        <v>19</v>
      </c>
      <c r="AN3985" t="n">
        <v>0</v>
      </c>
      <c r="AO3985" t="n">
        <v>5</v>
      </c>
      <c r="AP3985" t="n">
        <v>0</v>
      </c>
      <c r="AQ3985" t="n">
        <v>0</v>
      </c>
      <c r="AR3985" t="inlineStr">
        <is>
          <t>No</t>
        </is>
      </c>
      <c r="AS3985" t="inlineStr">
        <is>
          <t>No</t>
        </is>
      </c>
      <c r="AU3985">
        <f>HYPERLINK("https://creighton-primo.hosted.exlibrisgroup.com/primo-explore/search?tab=default_tab&amp;search_scope=EVERYTHING&amp;vid=01CRU&amp;lang=en_US&amp;offset=0&amp;query=any,contains,991003252629702656","Catalog Record")</f>
        <v/>
      </c>
      <c r="AV3985">
        <f>HYPERLINK("http://www.worldcat.org/oclc/777327","WorldCat Record")</f>
        <v/>
      </c>
      <c r="AW3985" t="inlineStr">
        <is>
          <t>477821958:eng</t>
        </is>
      </c>
      <c r="AX3985" t="inlineStr">
        <is>
          <t>777327</t>
        </is>
      </c>
      <c r="AY3985" t="inlineStr">
        <is>
          <t>991003252629702656</t>
        </is>
      </c>
      <c r="AZ3985" t="inlineStr">
        <is>
          <t>991003252629702656</t>
        </is>
      </c>
      <c r="BA3985" t="inlineStr">
        <is>
          <t>2267947010002656</t>
        </is>
      </c>
      <c r="BB3985" t="inlineStr">
        <is>
          <t>BOOK</t>
        </is>
      </c>
      <c r="BE3985" t="inlineStr">
        <is>
          <t>32285002010410</t>
        </is>
      </c>
      <c r="BF3985" t="inlineStr">
        <is>
          <t>893262683</t>
        </is>
      </c>
    </row>
    <row r="3986">
      <c r="A3986" t="inlineStr">
        <is>
          <t>No</t>
        </is>
      </c>
      <c r="B3986" t="inlineStr">
        <is>
          <t>CURAL</t>
        </is>
      </c>
      <c r="C3986" t="inlineStr">
        <is>
          <t>SHELVES</t>
        </is>
      </c>
      <c r="D3986" t="inlineStr">
        <is>
          <t>PR9639.3.M258 Z567 1951</t>
        </is>
      </c>
      <c r="E3986" t="inlineStr">
        <is>
          <t>0                      PR 9639300M  258                Z  567         1951</t>
        </is>
      </c>
      <c r="F3986" t="inlineStr">
        <is>
          <t>Katherine Mansfield : a critical study / by Sylvia Berkman.</t>
        </is>
      </c>
      <c r="H3986" t="inlineStr">
        <is>
          <t>No</t>
        </is>
      </c>
      <c r="I3986" t="inlineStr">
        <is>
          <t>1</t>
        </is>
      </c>
      <c r="J3986" t="inlineStr">
        <is>
          <t>No</t>
        </is>
      </c>
      <c r="K3986" t="inlineStr">
        <is>
          <t>No</t>
        </is>
      </c>
      <c r="L3986" t="inlineStr">
        <is>
          <t>0</t>
        </is>
      </c>
      <c r="M3986" t="inlineStr">
        <is>
          <t>Berkman, Sylvia.</t>
        </is>
      </c>
      <c r="N3986" t="inlineStr">
        <is>
          <t>New Haven : Yale University Press, 1951.</t>
        </is>
      </c>
      <c r="O3986" t="inlineStr">
        <is>
          <t>1951</t>
        </is>
      </c>
      <c r="Q3986" t="inlineStr">
        <is>
          <t>eng</t>
        </is>
      </c>
      <c r="R3986" t="inlineStr">
        <is>
          <t xml:space="preserve">xx </t>
        </is>
      </c>
      <c r="T3986" t="inlineStr">
        <is>
          <t xml:space="preserve">PR </t>
        </is>
      </c>
      <c r="U3986" t="n">
        <v>5</v>
      </c>
      <c r="V3986" t="n">
        <v>5</v>
      </c>
      <c r="W3986" t="inlineStr">
        <is>
          <t>2004-10-22</t>
        </is>
      </c>
      <c r="X3986" t="inlineStr">
        <is>
          <t>2004-10-22</t>
        </is>
      </c>
      <c r="Y3986" t="inlineStr">
        <is>
          <t>1993-12-13</t>
        </is>
      </c>
      <c r="Z3986" t="inlineStr">
        <is>
          <t>1993-12-13</t>
        </is>
      </c>
      <c r="AA3986" t="n">
        <v>870</v>
      </c>
      <c r="AB3986" t="n">
        <v>778</v>
      </c>
      <c r="AC3986" t="n">
        <v>914</v>
      </c>
      <c r="AD3986" t="n">
        <v>8</v>
      </c>
      <c r="AE3986" t="n">
        <v>8</v>
      </c>
      <c r="AF3986" t="n">
        <v>35</v>
      </c>
      <c r="AG3986" t="n">
        <v>36</v>
      </c>
      <c r="AH3986" t="n">
        <v>15</v>
      </c>
      <c r="AI3986" t="n">
        <v>16</v>
      </c>
      <c r="AJ3986" t="n">
        <v>5</v>
      </c>
      <c r="AK3986" t="n">
        <v>5</v>
      </c>
      <c r="AL3986" t="n">
        <v>16</v>
      </c>
      <c r="AM3986" t="n">
        <v>16</v>
      </c>
      <c r="AN3986" t="n">
        <v>7</v>
      </c>
      <c r="AO3986" t="n">
        <v>7</v>
      </c>
      <c r="AP3986" t="n">
        <v>0</v>
      </c>
      <c r="AQ3986" t="n">
        <v>0</v>
      </c>
      <c r="AR3986" t="inlineStr">
        <is>
          <t>No</t>
        </is>
      </c>
      <c r="AS3986" t="inlineStr">
        <is>
          <t>Yes</t>
        </is>
      </c>
      <c r="AT3986">
        <f>HYPERLINK("http://catalog.hathitrust.org/Record/000631184","HathiTrust Record")</f>
        <v/>
      </c>
      <c r="AU3986">
        <f>HYPERLINK("https://creighton-primo.hosted.exlibrisgroup.com/primo-explore/search?tab=default_tab&amp;search_scope=EVERYTHING&amp;vid=01CRU&amp;lang=en_US&amp;offset=0&amp;query=any,contains,991004292629702656","Catalog Record")</f>
        <v/>
      </c>
      <c r="AV3986">
        <f>HYPERLINK("http://www.worldcat.org/oclc/2952970","WorldCat Record")</f>
        <v/>
      </c>
      <c r="AW3986" t="inlineStr">
        <is>
          <t>1268054:eng</t>
        </is>
      </c>
      <c r="AX3986" t="inlineStr">
        <is>
          <t>2952970</t>
        </is>
      </c>
      <c r="AY3986" t="inlineStr">
        <is>
          <t>991004292629702656</t>
        </is>
      </c>
      <c r="AZ3986" t="inlineStr">
        <is>
          <t>991004292629702656</t>
        </is>
      </c>
      <c r="BA3986" t="inlineStr">
        <is>
          <t>2270547270002656</t>
        </is>
      </c>
      <c r="BB3986" t="inlineStr">
        <is>
          <t>BOOK</t>
        </is>
      </c>
      <c r="BE3986" t="inlineStr">
        <is>
          <t>32285001807816</t>
        </is>
      </c>
      <c r="BF3986" t="inlineStr">
        <is>
          <t>893624558</t>
        </is>
      </c>
    </row>
    <row r="3987">
      <c r="A3987" t="inlineStr">
        <is>
          <t>No</t>
        </is>
      </c>
      <c r="B3987" t="inlineStr">
        <is>
          <t>CURAL</t>
        </is>
      </c>
      <c r="C3987" t="inlineStr">
        <is>
          <t>SHELVES</t>
        </is>
      </c>
      <c r="D3987" t="inlineStr">
        <is>
          <t>PR9639.3.M258 Z58</t>
        </is>
      </c>
      <c r="E3987" t="inlineStr">
        <is>
          <t>0                      PR 9639300M  258                Z  58</t>
        </is>
      </c>
      <c r="F3987" t="inlineStr">
        <is>
          <t>The life of Katherine Mansfield / Antony Alpers.</t>
        </is>
      </c>
      <c r="H3987" t="inlineStr">
        <is>
          <t>No</t>
        </is>
      </c>
      <c r="I3987" t="inlineStr">
        <is>
          <t>1</t>
        </is>
      </c>
      <c r="J3987" t="inlineStr">
        <is>
          <t>No</t>
        </is>
      </c>
      <c r="K3987" t="inlineStr">
        <is>
          <t>No</t>
        </is>
      </c>
      <c r="L3987" t="inlineStr">
        <is>
          <t>0</t>
        </is>
      </c>
      <c r="M3987" t="inlineStr">
        <is>
          <t>Alpers, Antony, 1919-1997.</t>
        </is>
      </c>
      <c r="N3987" t="inlineStr">
        <is>
          <t>New York : Viking Press, c1980.</t>
        </is>
      </c>
      <c r="O3987" t="inlineStr">
        <is>
          <t>1980</t>
        </is>
      </c>
      <c r="Q3987" t="inlineStr">
        <is>
          <t>eng</t>
        </is>
      </c>
      <c r="R3987" t="inlineStr">
        <is>
          <t>nyu</t>
        </is>
      </c>
      <c r="T3987" t="inlineStr">
        <is>
          <t xml:space="preserve">PR </t>
        </is>
      </c>
      <c r="U3987" t="n">
        <v>3</v>
      </c>
      <c r="V3987" t="n">
        <v>3</v>
      </c>
      <c r="W3987" t="inlineStr">
        <is>
          <t>2004-10-22</t>
        </is>
      </c>
      <c r="X3987" t="inlineStr">
        <is>
          <t>2004-10-22</t>
        </is>
      </c>
      <c r="Y3987" t="inlineStr">
        <is>
          <t>1992-08-20</t>
        </is>
      </c>
      <c r="Z3987" t="inlineStr">
        <is>
          <t>1992-08-20</t>
        </is>
      </c>
      <c r="AA3987" t="n">
        <v>1362</v>
      </c>
      <c r="AB3987" t="n">
        <v>1190</v>
      </c>
      <c r="AC3987" t="n">
        <v>1211</v>
      </c>
      <c r="AD3987" t="n">
        <v>11</v>
      </c>
      <c r="AE3987" t="n">
        <v>11</v>
      </c>
      <c r="AF3987" t="n">
        <v>42</v>
      </c>
      <c r="AG3987" t="n">
        <v>44</v>
      </c>
      <c r="AH3987" t="n">
        <v>18</v>
      </c>
      <c r="AI3987" t="n">
        <v>18</v>
      </c>
      <c r="AJ3987" t="n">
        <v>9</v>
      </c>
      <c r="AK3987" t="n">
        <v>10</v>
      </c>
      <c r="AL3987" t="n">
        <v>18</v>
      </c>
      <c r="AM3987" t="n">
        <v>20</v>
      </c>
      <c r="AN3987" t="n">
        <v>8</v>
      </c>
      <c r="AO3987" t="n">
        <v>8</v>
      </c>
      <c r="AP3987" t="n">
        <v>0</v>
      </c>
      <c r="AQ3987" t="n">
        <v>0</v>
      </c>
      <c r="AR3987" t="inlineStr">
        <is>
          <t>No</t>
        </is>
      </c>
      <c r="AS3987" t="inlineStr">
        <is>
          <t>Yes</t>
        </is>
      </c>
      <c r="AT3987">
        <f>HYPERLINK("http://catalog.hathitrust.org/Record/000022286","HathiTrust Record")</f>
        <v/>
      </c>
      <c r="AU3987">
        <f>HYPERLINK("https://creighton-primo.hosted.exlibrisgroup.com/primo-explore/search?tab=default_tab&amp;search_scope=EVERYTHING&amp;vid=01CRU&amp;lang=en_US&amp;offset=0&amp;query=any,contains,991004736029702656","Catalog Record")</f>
        <v/>
      </c>
      <c r="AV3987">
        <f>HYPERLINK("http://www.worldcat.org/oclc/4857657","WorldCat Record")</f>
        <v/>
      </c>
      <c r="AW3987" t="inlineStr">
        <is>
          <t>477690242:eng</t>
        </is>
      </c>
      <c r="AX3987" t="inlineStr">
        <is>
          <t>4857657</t>
        </is>
      </c>
      <c r="AY3987" t="inlineStr">
        <is>
          <t>991004736029702656</t>
        </is>
      </c>
      <c r="AZ3987" t="inlineStr">
        <is>
          <t>991004736029702656</t>
        </is>
      </c>
      <c r="BA3987" t="inlineStr">
        <is>
          <t>2266666590002656</t>
        </is>
      </c>
      <c r="BB3987" t="inlineStr">
        <is>
          <t>BOOK</t>
        </is>
      </c>
      <c r="BD3987" t="inlineStr">
        <is>
          <t>9780670428052</t>
        </is>
      </c>
      <c r="BE3987" t="inlineStr">
        <is>
          <t>32285001248672</t>
        </is>
      </c>
      <c r="BF3987" t="inlineStr">
        <is>
          <t>893344191</t>
        </is>
      </c>
    </row>
    <row r="3988">
      <c r="A3988" t="inlineStr">
        <is>
          <t>No</t>
        </is>
      </c>
      <c r="B3988" t="inlineStr">
        <is>
          <t>CURAL</t>
        </is>
      </c>
      <c r="C3988" t="inlineStr">
        <is>
          <t>SHELVES</t>
        </is>
      </c>
      <c r="D3988" t="inlineStr">
        <is>
          <t>PR9639.3.M258 Z6 1954</t>
        </is>
      </c>
      <c r="E3988" t="inlineStr">
        <is>
          <t>0                      PR 9639300M  258                Z  6           1954</t>
        </is>
      </c>
      <c r="F3988" t="inlineStr">
        <is>
          <t>Katherine Mansfield / by Ian A. Gordon.</t>
        </is>
      </c>
      <c r="H3988" t="inlineStr">
        <is>
          <t>No</t>
        </is>
      </c>
      <c r="I3988" t="inlineStr">
        <is>
          <t>1</t>
        </is>
      </c>
      <c r="J3988" t="inlineStr">
        <is>
          <t>No</t>
        </is>
      </c>
      <c r="K3988" t="inlineStr">
        <is>
          <t>No</t>
        </is>
      </c>
      <c r="L3988" t="inlineStr">
        <is>
          <t>0</t>
        </is>
      </c>
      <c r="M3988" t="inlineStr">
        <is>
          <t>Gordon, Ian A. (Ian Alistair), 1908-2004.</t>
        </is>
      </c>
      <c r="N3988" t="inlineStr">
        <is>
          <t>London ; New York : Published for the British Council by Longmans, Green, [1954]</t>
        </is>
      </c>
      <c r="O3988" t="inlineStr">
        <is>
          <t>1954</t>
        </is>
      </c>
      <c r="Q3988" t="inlineStr">
        <is>
          <t>eng</t>
        </is>
      </c>
      <c r="R3988" t="inlineStr">
        <is>
          <t>enk</t>
        </is>
      </c>
      <c r="S3988" t="inlineStr">
        <is>
          <t>Bibliographical series of supplements to British book news, no. 49</t>
        </is>
      </c>
      <c r="T3988" t="inlineStr">
        <is>
          <t xml:space="preserve">PR </t>
        </is>
      </c>
      <c r="U3988" t="n">
        <v>2</v>
      </c>
      <c r="V3988" t="n">
        <v>2</v>
      </c>
      <c r="W3988" t="inlineStr">
        <is>
          <t>1999-02-25</t>
        </is>
      </c>
      <c r="X3988" t="inlineStr">
        <is>
          <t>1999-02-25</t>
        </is>
      </c>
      <c r="Y3988" t="inlineStr">
        <is>
          <t>1993-12-09</t>
        </is>
      </c>
      <c r="Z3988" t="inlineStr">
        <is>
          <t>1993-12-09</t>
        </is>
      </c>
      <c r="AA3988" t="n">
        <v>337</v>
      </c>
      <c r="AB3988" t="n">
        <v>277</v>
      </c>
      <c r="AC3988" t="n">
        <v>553</v>
      </c>
      <c r="AD3988" t="n">
        <v>2</v>
      </c>
      <c r="AE3988" t="n">
        <v>4</v>
      </c>
      <c r="AF3988" t="n">
        <v>22</v>
      </c>
      <c r="AG3988" t="n">
        <v>34</v>
      </c>
      <c r="AH3988" t="n">
        <v>7</v>
      </c>
      <c r="AI3988" t="n">
        <v>14</v>
      </c>
      <c r="AJ3988" t="n">
        <v>8</v>
      </c>
      <c r="AK3988" t="n">
        <v>8</v>
      </c>
      <c r="AL3988" t="n">
        <v>13</v>
      </c>
      <c r="AM3988" t="n">
        <v>17</v>
      </c>
      <c r="AN3988" t="n">
        <v>1</v>
      </c>
      <c r="AO3988" t="n">
        <v>3</v>
      </c>
      <c r="AP3988" t="n">
        <v>0</v>
      </c>
      <c r="AQ3988" t="n">
        <v>0</v>
      </c>
      <c r="AR3988" t="inlineStr">
        <is>
          <t>No</t>
        </is>
      </c>
      <c r="AS3988" t="inlineStr">
        <is>
          <t>Yes</t>
        </is>
      </c>
      <c r="AT3988">
        <f>HYPERLINK("http://catalog.hathitrust.org/Record/001025552","HathiTrust Record")</f>
        <v/>
      </c>
      <c r="AU3988">
        <f>HYPERLINK("https://creighton-primo.hosted.exlibrisgroup.com/primo-explore/search?tab=default_tab&amp;search_scope=EVERYTHING&amp;vid=01CRU&amp;lang=en_US&amp;offset=0&amp;query=any,contains,991004184169702656","Catalog Record")</f>
        <v/>
      </c>
      <c r="AV3988">
        <f>HYPERLINK("http://www.worldcat.org/oclc/2613808","WorldCat Record")</f>
        <v/>
      </c>
      <c r="AW3988" t="inlineStr">
        <is>
          <t>494225:eng</t>
        </is>
      </c>
      <c r="AX3988" t="inlineStr">
        <is>
          <t>2613808</t>
        </is>
      </c>
      <c r="AY3988" t="inlineStr">
        <is>
          <t>991004184169702656</t>
        </is>
      </c>
      <c r="AZ3988" t="inlineStr">
        <is>
          <t>991004184169702656</t>
        </is>
      </c>
      <c r="BA3988" t="inlineStr">
        <is>
          <t>2262576920002656</t>
        </is>
      </c>
      <c r="BB3988" t="inlineStr">
        <is>
          <t>BOOK</t>
        </is>
      </c>
      <c r="BE3988" t="inlineStr">
        <is>
          <t>32285001807204</t>
        </is>
      </c>
      <c r="BF3988" t="inlineStr">
        <is>
          <t>893788379</t>
        </is>
      </c>
    </row>
    <row r="3989">
      <c r="A3989" t="inlineStr">
        <is>
          <t>No</t>
        </is>
      </c>
      <c r="B3989" t="inlineStr">
        <is>
          <t>CURAL</t>
        </is>
      </c>
      <c r="C3989" t="inlineStr">
        <is>
          <t>SHELVES</t>
        </is>
      </c>
      <c r="D3989" t="inlineStr">
        <is>
          <t>PR9639.3.M258 Z635 1965</t>
        </is>
      </c>
      <c r="E3989" t="inlineStr">
        <is>
          <t>0                      PR 9639300M  258                Z  635         1965</t>
        </is>
      </c>
      <c r="F3989" t="inlineStr">
        <is>
          <t>Katherine Mansfield / by Saralyn R. Daly.</t>
        </is>
      </c>
      <c r="H3989" t="inlineStr">
        <is>
          <t>No</t>
        </is>
      </c>
      <c r="I3989" t="inlineStr">
        <is>
          <t>1</t>
        </is>
      </c>
      <c r="J3989" t="inlineStr">
        <is>
          <t>No</t>
        </is>
      </c>
      <c r="K3989" t="inlineStr">
        <is>
          <t>Yes</t>
        </is>
      </c>
      <c r="L3989" t="inlineStr">
        <is>
          <t>0</t>
        </is>
      </c>
      <c r="M3989" t="inlineStr">
        <is>
          <t>Daly, Saralyn R.</t>
        </is>
      </c>
      <c r="N3989" t="inlineStr">
        <is>
          <t>New York : Twayne Publishers, [1965]</t>
        </is>
      </c>
      <c r="O3989" t="inlineStr">
        <is>
          <t>1965</t>
        </is>
      </c>
      <c r="Q3989" t="inlineStr">
        <is>
          <t>eng</t>
        </is>
      </c>
      <c r="R3989" t="inlineStr">
        <is>
          <t>nyu</t>
        </is>
      </c>
      <c r="S3989" t="inlineStr">
        <is>
          <t>Twayne's English authors series ; 23</t>
        </is>
      </c>
      <c r="T3989" t="inlineStr">
        <is>
          <t xml:space="preserve">PR </t>
        </is>
      </c>
      <c r="U3989" t="n">
        <v>1</v>
      </c>
      <c r="V3989" t="n">
        <v>1</v>
      </c>
      <c r="W3989" t="inlineStr">
        <is>
          <t>1993-11-19</t>
        </is>
      </c>
      <c r="X3989" t="inlineStr">
        <is>
          <t>1993-11-19</t>
        </is>
      </c>
      <c r="Y3989" t="inlineStr">
        <is>
          <t>1993-11-08</t>
        </is>
      </c>
      <c r="Z3989" t="inlineStr">
        <is>
          <t>1993-11-08</t>
        </is>
      </c>
      <c r="AA3989" t="n">
        <v>1327</v>
      </c>
      <c r="AB3989" t="n">
        <v>1198</v>
      </c>
      <c r="AC3989" t="n">
        <v>1523</v>
      </c>
      <c r="AD3989" t="n">
        <v>11</v>
      </c>
      <c r="AE3989" t="n">
        <v>13</v>
      </c>
      <c r="AF3989" t="n">
        <v>37</v>
      </c>
      <c r="AG3989" t="n">
        <v>53</v>
      </c>
      <c r="AH3989" t="n">
        <v>12</v>
      </c>
      <c r="AI3989" t="n">
        <v>21</v>
      </c>
      <c r="AJ3989" t="n">
        <v>7</v>
      </c>
      <c r="AK3989" t="n">
        <v>9</v>
      </c>
      <c r="AL3989" t="n">
        <v>17</v>
      </c>
      <c r="AM3989" t="n">
        <v>23</v>
      </c>
      <c r="AN3989" t="n">
        <v>10</v>
      </c>
      <c r="AO3989" t="n">
        <v>12</v>
      </c>
      <c r="AP3989" t="n">
        <v>0</v>
      </c>
      <c r="AQ3989" t="n">
        <v>0</v>
      </c>
      <c r="AR3989" t="inlineStr">
        <is>
          <t>No</t>
        </is>
      </c>
      <c r="AS3989" t="inlineStr">
        <is>
          <t>Yes</t>
        </is>
      </c>
      <c r="AT3989">
        <f>HYPERLINK("http://catalog.hathitrust.org/Record/000629115","HathiTrust Record")</f>
        <v/>
      </c>
      <c r="AU3989">
        <f>HYPERLINK("https://creighton-primo.hosted.exlibrisgroup.com/primo-explore/search?tab=default_tab&amp;search_scope=EVERYTHING&amp;vid=01CRU&amp;lang=en_US&amp;offset=0&amp;query=any,contains,991002216669702656","Catalog Record")</f>
        <v/>
      </c>
      <c r="AV3989">
        <f>HYPERLINK("http://www.worldcat.org/oclc/288961","WorldCat Record")</f>
        <v/>
      </c>
      <c r="AW3989" t="inlineStr">
        <is>
          <t>1908993511:eng</t>
        </is>
      </c>
      <c r="AX3989" t="inlineStr">
        <is>
          <t>288961</t>
        </is>
      </c>
      <c r="AY3989" t="inlineStr">
        <is>
          <t>991002216669702656</t>
        </is>
      </c>
      <c r="AZ3989" t="inlineStr">
        <is>
          <t>991002216669702656</t>
        </is>
      </c>
      <c r="BA3989" t="inlineStr">
        <is>
          <t>2264036880002656</t>
        </is>
      </c>
      <c r="BB3989" t="inlineStr">
        <is>
          <t>BOOK</t>
        </is>
      </c>
      <c r="BE3989" t="inlineStr">
        <is>
          <t>32285001796969</t>
        </is>
      </c>
      <c r="BF3989" t="inlineStr">
        <is>
          <t>893517018</t>
        </is>
      </c>
    </row>
    <row r="3990">
      <c r="A3990" t="inlineStr">
        <is>
          <t>No</t>
        </is>
      </c>
      <c r="B3990" t="inlineStr">
        <is>
          <t>CURAL</t>
        </is>
      </c>
      <c r="C3990" t="inlineStr">
        <is>
          <t>SHELVES</t>
        </is>
      </c>
      <c r="D3990" t="inlineStr">
        <is>
          <t>PR9639.3.M258 Z635 1994</t>
        </is>
      </c>
      <c r="E3990" t="inlineStr">
        <is>
          <t>0                      PR 9639300M  258                Z  635         1994</t>
        </is>
      </c>
      <c r="F3990" t="inlineStr">
        <is>
          <t>Katherine Mansfield / Saralyn R. Daly.</t>
        </is>
      </c>
      <c r="H3990" t="inlineStr">
        <is>
          <t>No</t>
        </is>
      </c>
      <c r="I3990" t="inlineStr">
        <is>
          <t>1</t>
        </is>
      </c>
      <c r="J3990" t="inlineStr">
        <is>
          <t>No</t>
        </is>
      </c>
      <c r="K3990" t="inlineStr">
        <is>
          <t>Yes</t>
        </is>
      </c>
      <c r="L3990" t="inlineStr">
        <is>
          <t>0</t>
        </is>
      </c>
      <c r="M3990" t="inlineStr">
        <is>
          <t>Daly, Saralyn R.</t>
        </is>
      </c>
      <c r="N3990" t="inlineStr">
        <is>
          <t>New York : Twayne Publishers, 1994.</t>
        </is>
      </c>
      <c r="O3990" t="inlineStr">
        <is>
          <t>1994</t>
        </is>
      </c>
      <c r="P3990" t="inlineStr">
        <is>
          <t>Rev. ed.</t>
        </is>
      </c>
      <c r="Q3990" t="inlineStr">
        <is>
          <t>eng</t>
        </is>
      </c>
      <c r="R3990" t="inlineStr">
        <is>
          <t>nyu</t>
        </is>
      </c>
      <c r="S3990" t="inlineStr">
        <is>
          <t>Twayne's English authors series ; TEAS 23</t>
        </is>
      </c>
      <c r="T3990" t="inlineStr">
        <is>
          <t xml:space="preserve">PR </t>
        </is>
      </c>
      <c r="U3990" t="n">
        <v>3</v>
      </c>
      <c r="V3990" t="n">
        <v>3</v>
      </c>
      <c r="W3990" t="inlineStr">
        <is>
          <t>2004-10-22</t>
        </is>
      </c>
      <c r="X3990" t="inlineStr">
        <is>
          <t>2004-10-22</t>
        </is>
      </c>
      <c r="Y3990" t="inlineStr">
        <is>
          <t>1994-12-05</t>
        </is>
      </c>
      <c r="Z3990" t="inlineStr">
        <is>
          <t>1994-12-05</t>
        </is>
      </c>
      <c r="AA3990" t="n">
        <v>589</v>
      </c>
      <c r="AB3990" t="n">
        <v>507</v>
      </c>
      <c r="AC3990" t="n">
        <v>1523</v>
      </c>
      <c r="AD3990" t="n">
        <v>5</v>
      </c>
      <c r="AE3990" t="n">
        <v>13</v>
      </c>
      <c r="AF3990" t="n">
        <v>27</v>
      </c>
      <c r="AG3990" t="n">
        <v>53</v>
      </c>
      <c r="AH3990" t="n">
        <v>13</v>
      </c>
      <c r="AI3990" t="n">
        <v>21</v>
      </c>
      <c r="AJ3990" t="n">
        <v>4</v>
      </c>
      <c r="AK3990" t="n">
        <v>9</v>
      </c>
      <c r="AL3990" t="n">
        <v>13</v>
      </c>
      <c r="AM3990" t="n">
        <v>23</v>
      </c>
      <c r="AN3990" t="n">
        <v>4</v>
      </c>
      <c r="AO3990" t="n">
        <v>12</v>
      </c>
      <c r="AP3990" t="n">
        <v>0</v>
      </c>
      <c r="AQ3990" t="n">
        <v>0</v>
      </c>
      <c r="AR3990" t="inlineStr">
        <is>
          <t>No</t>
        </is>
      </c>
      <c r="AS3990" t="inlineStr">
        <is>
          <t>Yes</t>
        </is>
      </c>
      <c r="AT3990">
        <f>HYPERLINK("http://catalog.hathitrust.org/Record/002817857","HathiTrust Record")</f>
        <v/>
      </c>
      <c r="AU3990">
        <f>HYPERLINK("https://creighton-primo.hosted.exlibrisgroup.com/primo-explore/search?tab=default_tab&amp;search_scope=EVERYTHING&amp;vid=01CRU&amp;lang=en_US&amp;offset=0&amp;query=any,contains,991002222299702656","Catalog Record")</f>
        <v/>
      </c>
      <c r="AV3990">
        <f>HYPERLINK("http://www.worldcat.org/oclc/28631719","WorldCat Record")</f>
        <v/>
      </c>
      <c r="AW3990" t="inlineStr">
        <is>
          <t>1908993511:eng</t>
        </is>
      </c>
      <c r="AX3990" t="inlineStr">
        <is>
          <t>28631719</t>
        </is>
      </c>
      <c r="AY3990" t="inlineStr">
        <is>
          <t>991002222299702656</t>
        </is>
      </c>
      <c r="AZ3990" t="inlineStr">
        <is>
          <t>991002222299702656</t>
        </is>
      </c>
      <c r="BA3990" t="inlineStr">
        <is>
          <t>2269040700002656</t>
        </is>
      </c>
      <c r="BB3990" t="inlineStr">
        <is>
          <t>BOOK</t>
        </is>
      </c>
      <c r="BD3990" t="inlineStr">
        <is>
          <t>9780805770568</t>
        </is>
      </c>
      <c r="BE3990" t="inlineStr">
        <is>
          <t>32285001972875</t>
        </is>
      </c>
      <c r="BF3990" t="inlineStr">
        <is>
          <t>893703826</t>
        </is>
      </c>
    </row>
    <row r="3991">
      <c r="A3991" t="inlineStr">
        <is>
          <t>No</t>
        </is>
      </c>
      <c r="B3991" t="inlineStr">
        <is>
          <t>CURAL</t>
        </is>
      </c>
      <c r="C3991" t="inlineStr">
        <is>
          <t>SHELVES</t>
        </is>
      </c>
      <c r="D3991" t="inlineStr">
        <is>
          <t>PR9639.3.M258 Z69 1981</t>
        </is>
      </c>
      <c r="E3991" t="inlineStr">
        <is>
          <t>0                      PR 9639300M  258                Z  69          1981</t>
        </is>
      </c>
      <c r="F3991" t="inlineStr">
        <is>
          <t>Katherine Mansfield / Clare Hanson and Andrew Gurr.</t>
        </is>
      </c>
      <c r="H3991" t="inlineStr">
        <is>
          <t>No</t>
        </is>
      </c>
      <c r="I3991" t="inlineStr">
        <is>
          <t>1</t>
        </is>
      </c>
      <c r="J3991" t="inlineStr">
        <is>
          <t>No</t>
        </is>
      </c>
      <c r="K3991" t="inlineStr">
        <is>
          <t>No</t>
        </is>
      </c>
      <c r="L3991" t="inlineStr">
        <is>
          <t>0</t>
        </is>
      </c>
      <c r="M3991" t="inlineStr">
        <is>
          <t>Hanson, Clare.</t>
        </is>
      </c>
      <c r="N3991" t="inlineStr">
        <is>
          <t>New York, NY : St. Martin's Press, 1981.</t>
        </is>
      </c>
      <c r="O3991" t="inlineStr">
        <is>
          <t>1981</t>
        </is>
      </c>
      <c r="Q3991" t="inlineStr">
        <is>
          <t>eng</t>
        </is>
      </c>
      <c r="R3991" t="inlineStr">
        <is>
          <t>nyu</t>
        </is>
      </c>
      <c r="T3991" t="inlineStr">
        <is>
          <t xml:space="preserve">PR </t>
        </is>
      </c>
      <c r="U3991" t="n">
        <v>4</v>
      </c>
      <c r="V3991" t="n">
        <v>4</v>
      </c>
      <c r="W3991" t="inlineStr">
        <is>
          <t>2004-10-22</t>
        </is>
      </c>
      <c r="X3991" t="inlineStr">
        <is>
          <t>2004-10-22</t>
        </is>
      </c>
      <c r="Y3991" t="inlineStr">
        <is>
          <t>1992-08-20</t>
        </is>
      </c>
      <c r="Z3991" t="inlineStr">
        <is>
          <t>1992-08-20</t>
        </is>
      </c>
      <c r="AA3991" t="n">
        <v>494</v>
      </c>
      <c r="AB3991" t="n">
        <v>448</v>
      </c>
      <c r="AC3991" t="n">
        <v>486</v>
      </c>
      <c r="AD3991" t="n">
        <v>2</v>
      </c>
      <c r="AE3991" t="n">
        <v>3</v>
      </c>
      <c r="AF3991" t="n">
        <v>20</v>
      </c>
      <c r="AG3991" t="n">
        <v>21</v>
      </c>
      <c r="AH3991" t="n">
        <v>8</v>
      </c>
      <c r="AI3991" t="n">
        <v>8</v>
      </c>
      <c r="AJ3991" t="n">
        <v>7</v>
      </c>
      <c r="AK3991" t="n">
        <v>7</v>
      </c>
      <c r="AL3991" t="n">
        <v>10</v>
      </c>
      <c r="AM3991" t="n">
        <v>10</v>
      </c>
      <c r="AN3991" t="n">
        <v>1</v>
      </c>
      <c r="AO3991" t="n">
        <v>2</v>
      </c>
      <c r="AP3991" t="n">
        <v>0</v>
      </c>
      <c r="AQ3991" t="n">
        <v>0</v>
      </c>
      <c r="AR3991" t="inlineStr">
        <is>
          <t>No</t>
        </is>
      </c>
      <c r="AS3991" t="inlineStr">
        <is>
          <t>No</t>
        </is>
      </c>
      <c r="AU3991">
        <f>HYPERLINK("https://creighton-primo.hosted.exlibrisgroup.com/primo-explore/search?tab=default_tab&amp;search_scope=EVERYTHING&amp;vid=01CRU&amp;lang=en_US&amp;offset=0&amp;query=any,contains,991005042919702656","Catalog Record")</f>
        <v/>
      </c>
      <c r="AV3991">
        <f>HYPERLINK("http://www.worldcat.org/oclc/6813028","WorldCat Record")</f>
        <v/>
      </c>
      <c r="AW3991" t="inlineStr">
        <is>
          <t>1909340438:eng</t>
        </is>
      </c>
      <c r="AX3991" t="inlineStr">
        <is>
          <t>6813028</t>
        </is>
      </c>
      <c r="AY3991" t="inlineStr">
        <is>
          <t>991005042919702656</t>
        </is>
      </c>
      <c r="AZ3991" t="inlineStr">
        <is>
          <t>991005042919702656</t>
        </is>
      </c>
      <c r="BA3991" t="inlineStr">
        <is>
          <t>2268290100002656</t>
        </is>
      </c>
      <c r="BB3991" t="inlineStr">
        <is>
          <t>BOOK</t>
        </is>
      </c>
      <c r="BD3991" t="inlineStr">
        <is>
          <t>9780312450939</t>
        </is>
      </c>
      <c r="BE3991" t="inlineStr">
        <is>
          <t>32285001248680</t>
        </is>
      </c>
      <c r="BF3991" t="inlineStr">
        <is>
          <t>893533070</t>
        </is>
      </c>
    </row>
    <row r="3992">
      <c r="A3992" t="inlineStr">
        <is>
          <t>No</t>
        </is>
      </c>
      <c r="B3992" t="inlineStr">
        <is>
          <t>CURAL</t>
        </is>
      </c>
      <c r="C3992" t="inlineStr">
        <is>
          <t>SHELVES</t>
        </is>
      </c>
      <c r="D3992" t="inlineStr">
        <is>
          <t>PR9639.3.M258 Z89 1987</t>
        </is>
      </c>
      <c r="E3992" t="inlineStr">
        <is>
          <t>0                      PR 9639300M  258                Z  89          1987</t>
        </is>
      </c>
      <c r="F3992" t="inlineStr">
        <is>
          <t>Katherine Mansfield : a secret life / Claire Tomalin.</t>
        </is>
      </c>
      <c r="H3992" t="inlineStr">
        <is>
          <t>No</t>
        </is>
      </c>
      <c r="I3992" t="inlineStr">
        <is>
          <t>1</t>
        </is>
      </c>
      <c r="J3992" t="inlineStr">
        <is>
          <t>No</t>
        </is>
      </c>
      <c r="K3992" t="inlineStr">
        <is>
          <t>No</t>
        </is>
      </c>
      <c r="L3992" t="inlineStr">
        <is>
          <t>0</t>
        </is>
      </c>
      <c r="M3992" t="inlineStr">
        <is>
          <t>Tomalin, Claire.</t>
        </is>
      </c>
      <c r="N3992" t="inlineStr">
        <is>
          <t>London : Viking, c1987, 1988 printing.</t>
        </is>
      </c>
      <c r="O3992" t="inlineStr">
        <is>
          <t>1987</t>
        </is>
      </c>
      <c r="Q3992" t="inlineStr">
        <is>
          <t>eng</t>
        </is>
      </c>
      <c r="R3992" t="inlineStr">
        <is>
          <t>enk</t>
        </is>
      </c>
      <c r="T3992" t="inlineStr">
        <is>
          <t xml:space="preserve">PR </t>
        </is>
      </c>
      <c r="U3992" t="n">
        <v>1</v>
      </c>
      <c r="V3992" t="n">
        <v>1</v>
      </c>
      <c r="W3992" t="inlineStr">
        <is>
          <t>1995-03-29</t>
        </is>
      </c>
      <c r="X3992" t="inlineStr">
        <is>
          <t>1995-03-29</t>
        </is>
      </c>
      <c r="Y3992" t="inlineStr">
        <is>
          <t>1992-08-20</t>
        </is>
      </c>
      <c r="Z3992" t="inlineStr">
        <is>
          <t>1992-08-20</t>
        </is>
      </c>
      <c r="AA3992" t="n">
        <v>306</v>
      </c>
      <c r="AB3992" t="n">
        <v>92</v>
      </c>
      <c r="AC3992" t="n">
        <v>1005</v>
      </c>
      <c r="AD3992" t="n">
        <v>3</v>
      </c>
      <c r="AE3992" t="n">
        <v>10</v>
      </c>
      <c r="AF3992" t="n">
        <v>4</v>
      </c>
      <c r="AG3992" t="n">
        <v>38</v>
      </c>
      <c r="AH3992" t="n">
        <v>0</v>
      </c>
      <c r="AI3992" t="n">
        <v>16</v>
      </c>
      <c r="AJ3992" t="n">
        <v>1</v>
      </c>
      <c r="AK3992" t="n">
        <v>7</v>
      </c>
      <c r="AL3992" t="n">
        <v>2</v>
      </c>
      <c r="AM3992" t="n">
        <v>17</v>
      </c>
      <c r="AN3992" t="n">
        <v>2</v>
      </c>
      <c r="AO3992" t="n">
        <v>7</v>
      </c>
      <c r="AP3992" t="n">
        <v>0</v>
      </c>
      <c r="AQ3992" t="n">
        <v>0</v>
      </c>
      <c r="AR3992" t="inlineStr">
        <is>
          <t>No</t>
        </is>
      </c>
      <c r="AS3992" t="inlineStr">
        <is>
          <t>Yes</t>
        </is>
      </c>
      <c r="AT3992">
        <f>HYPERLINK("http://catalog.hathitrust.org/Record/000870428","HathiTrust Record")</f>
        <v/>
      </c>
      <c r="AU3992">
        <f>HYPERLINK("https://creighton-primo.hosted.exlibrisgroup.com/primo-explore/search?tab=default_tab&amp;search_scope=EVERYTHING&amp;vid=01CRU&amp;lang=en_US&amp;offset=0&amp;query=any,contains,991001111449702656","Catalog Record")</f>
        <v/>
      </c>
      <c r="AV3992">
        <f>HYPERLINK("http://www.worldcat.org/oclc/16469086","WorldCat Record")</f>
        <v/>
      </c>
      <c r="AW3992" t="inlineStr">
        <is>
          <t>365102492:eng</t>
        </is>
      </c>
      <c r="AX3992" t="inlineStr">
        <is>
          <t>16469086</t>
        </is>
      </c>
      <c r="AY3992" t="inlineStr">
        <is>
          <t>991001111449702656</t>
        </is>
      </c>
      <c r="AZ3992" t="inlineStr">
        <is>
          <t>991001111449702656</t>
        </is>
      </c>
      <c r="BA3992" t="inlineStr">
        <is>
          <t>2267500770002656</t>
        </is>
      </c>
      <c r="BB3992" t="inlineStr">
        <is>
          <t>BOOK</t>
        </is>
      </c>
      <c r="BD3992" t="inlineStr">
        <is>
          <t>9780670813926</t>
        </is>
      </c>
      <c r="BE3992" t="inlineStr">
        <is>
          <t>32285001248698</t>
        </is>
      </c>
      <c r="BF3992" t="inlineStr">
        <is>
          <t>893522301</t>
        </is>
      </c>
    </row>
    <row r="3993">
      <c r="A3993" t="inlineStr">
        <is>
          <t>No</t>
        </is>
      </c>
      <c r="B3993" t="inlineStr">
        <is>
          <t>CURAL</t>
        </is>
      </c>
      <c r="C3993" t="inlineStr">
        <is>
          <t>SHELVES</t>
        </is>
      </c>
      <c r="D3993" t="inlineStr">
        <is>
          <t>PR973 .T5 1977</t>
        </is>
      </c>
      <c r="E3993" t="inlineStr">
        <is>
          <t>0                      PR 0973000T  5           1977</t>
        </is>
      </c>
      <c r="F3993" t="inlineStr">
        <is>
          <t>Samuel Pepys' Penny merriments : being a collection of chapbooks, full of histories, jests, magic, amorous tales of courtship, marriage and infidelity, accounts of rogues and fools, together with comments on the times / selected and edited by Roger Thompson.</t>
        </is>
      </c>
      <c r="H3993" t="inlineStr">
        <is>
          <t>No</t>
        </is>
      </c>
      <c r="I3993" t="inlineStr">
        <is>
          <t>1</t>
        </is>
      </c>
      <c r="J3993" t="inlineStr">
        <is>
          <t>No</t>
        </is>
      </c>
      <c r="K3993" t="inlineStr">
        <is>
          <t>No</t>
        </is>
      </c>
      <c r="L3993" t="inlineStr">
        <is>
          <t>0</t>
        </is>
      </c>
      <c r="N3993" t="inlineStr">
        <is>
          <t>New York : Columbia University Press, 1977, c1976.</t>
        </is>
      </c>
      <c r="O3993" t="inlineStr">
        <is>
          <t>1977</t>
        </is>
      </c>
      <c r="Q3993" t="inlineStr">
        <is>
          <t>eng</t>
        </is>
      </c>
      <c r="R3993" t="inlineStr">
        <is>
          <t>nyu</t>
        </is>
      </c>
      <c r="T3993" t="inlineStr">
        <is>
          <t xml:space="preserve">PR </t>
        </is>
      </c>
      <c r="U3993" t="n">
        <v>1</v>
      </c>
      <c r="V3993" t="n">
        <v>1</v>
      </c>
      <c r="W3993" t="inlineStr">
        <is>
          <t>2002-10-01</t>
        </is>
      </c>
      <c r="X3993" t="inlineStr">
        <is>
          <t>2002-10-01</t>
        </is>
      </c>
      <c r="Y3993" t="inlineStr">
        <is>
          <t>1991-09-18</t>
        </is>
      </c>
      <c r="Z3993" t="inlineStr">
        <is>
          <t>1991-09-18</t>
        </is>
      </c>
      <c r="AA3993" t="n">
        <v>578</v>
      </c>
      <c r="AB3993" t="n">
        <v>529</v>
      </c>
      <c r="AC3993" t="n">
        <v>576</v>
      </c>
      <c r="AD3993" t="n">
        <v>4</v>
      </c>
      <c r="AE3993" t="n">
        <v>5</v>
      </c>
      <c r="AF3993" t="n">
        <v>21</v>
      </c>
      <c r="AG3993" t="n">
        <v>25</v>
      </c>
      <c r="AH3993" t="n">
        <v>6</v>
      </c>
      <c r="AI3993" t="n">
        <v>8</v>
      </c>
      <c r="AJ3993" t="n">
        <v>5</v>
      </c>
      <c r="AK3993" t="n">
        <v>7</v>
      </c>
      <c r="AL3993" t="n">
        <v>11</v>
      </c>
      <c r="AM3993" t="n">
        <v>13</v>
      </c>
      <c r="AN3993" t="n">
        <v>3</v>
      </c>
      <c r="AO3993" t="n">
        <v>4</v>
      </c>
      <c r="AP3993" t="n">
        <v>0</v>
      </c>
      <c r="AQ3993" t="n">
        <v>0</v>
      </c>
      <c r="AR3993" t="inlineStr">
        <is>
          <t>No</t>
        </is>
      </c>
      <c r="AS3993" t="inlineStr">
        <is>
          <t>No</t>
        </is>
      </c>
      <c r="AU3993">
        <f>HYPERLINK("https://creighton-primo.hosted.exlibrisgroup.com/primo-explore/search?tab=default_tab&amp;search_scope=EVERYTHING&amp;vid=01CRU&amp;lang=en_US&amp;offset=0&amp;query=any,contains,991004179259702656","Catalog Record")</f>
        <v/>
      </c>
      <c r="AV3993">
        <f>HYPERLINK("http://www.worldcat.org/oclc/2598749","WorldCat Record")</f>
        <v/>
      </c>
      <c r="AW3993" t="inlineStr">
        <is>
          <t>962535721:eng</t>
        </is>
      </c>
      <c r="AX3993" t="inlineStr">
        <is>
          <t>2598749</t>
        </is>
      </c>
      <c r="AY3993" t="inlineStr">
        <is>
          <t>991004179259702656</t>
        </is>
      </c>
      <c r="AZ3993" t="inlineStr">
        <is>
          <t>991004179259702656</t>
        </is>
      </c>
      <c r="BA3993" t="inlineStr">
        <is>
          <t>2265926170002656</t>
        </is>
      </c>
      <c r="BB3993" t="inlineStr">
        <is>
          <t>BOOK</t>
        </is>
      </c>
      <c r="BD3993" t="inlineStr">
        <is>
          <t>9780231042802</t>
        </is>
      </c>
      <c r="BE3993" t="inlineStr">
        <is>
          <t>32285000759174</t>
        </is>
      </c>
      <c r="BF3993" t="inlineStr">
        <is>
          <t>893806764</t>
        </is>
      </c>
    </row>
    <row r="3994">
      <c r="A3994" t="inlineStr">
        <is>
          <t>No</t>
        </is>
      </c>
      <c r="B3994" t="inlineStr">
        <is>
          <t>CURAL</t>
        </is>
      </c>
      <c r="C3994" t="inlineStr">
        <is>
          <t>SHELVES</t>
        </is>
      </c>
      <c r="D3994" t="inlineStr">
        <is>
          <t>PR99 .D35 1971</t>
        </is>
      </c>
      <c r="E3994" t="inlineStr">
        <is>
          <t>0                      PR 0099000D  35          1971</t>
        </is>
      </c>
      <c r="F3994" t="inlineStr">
        <is>
          <t>Darwin, Carlyle, and Dickens, with other essays.</t>
        </is>
      </c>
      <c r="H3994" t="inlineStr">
        <is>
          <t>No</t>
        </is>
      </c>
      <c r="I3994" t="inlineStr">
        <is>
          <t>1</t>
        </is>
      </c>
      <c r="J3994" t="inlineStr">
        <is>
          <t>No</t>
        </is>
      </c>
      <c r="K3994" t="inlineStr">
        <is>
          <t>No</t>
        </is>
      </c>
      <c r="L3994" t="inlineStr">
        <is>
          <t>0</t>
        </is>
      </c>
      <c r="M3994" t="inlineStr">
        <is>
          <t>Davey, Samuel, 1834-</t>
        </is>
      </c>
      <c r="N3994" t="inlineStr">
        <is>
          <t>New York, Haskell House, 1971.</t>
        </is>
      </c>
      <c r="O3994" t="inlineStr">
        <is>
          <t>1971</t>
        </is>
      </c>
      <c r="Q3994" t="inlineStr">
        <is>
          <t>eng</t>
        </is>
      </c>
      <c r="R3994" t="inlineStr">
        <is>
          <t>nyu</t>
        </is>
      </c>
      <c r="T3994" t="inlineStr">
        <is>
          <t xml:space="preserve">PR </t>
        </is>
      </c>
      <c r="U3994" t="n">
        <v>3</v>
      </c>
      <c r="V3994" t="n">
        <v>3</v>
      </c>
      <c r="W3994" t="inlineStr">
        <is>
          <t>1998-12-15</t>
        </is>
      </c>
      <c r="X3994" t="inlineStr">
        <is>
          <t>1998-12-15</t>
        </is>
      </c>
      <c r="Y3994" t="inlineStr">
        <is>
          <t>1997-08-14</t>
        </is>
      </c>
      <c r="Z3994" t="inlineStr">
        <is>
          <t>1997-08-14</t>
        </is>
      </c>
      <c r="AA3994" t="n">
        <v>149</v>
      </c>
      <c r="AB3994" t="n">
        <v>130</v>
      </c>
      <c r="AC3994" t="n">
        <v>133</v>
      </c>
      <c r="AD3994" t="n">
        <v>2</v>
      </c>
      <c r="AE3994" t="n">
        <v>2</v>
      </c>
      <c r="AF3994" t="n">
        <v>7</v>
      </c>
      <c r="AG3994" t="n">
        <v>7</v>
      </c>
      <c r="AH3994" t="n">
        <v>1</v>
      </c>
      <c r="AI3994" t="n">
        <v>1</v>
      </c>
      <c r="AJ3994" t="n">
        <v>3</v>
      </c>
      <c r="AK3994" t="n">
        <v>3</v>
      </c>
      <c r="AL3994" t="n">
        <v>4</v>
      </c>
      <c r="AM3994" t="n">
        <v>4</v>
      </c>
      <c r="AN3994" t="n">
        <v>1</v>
      </c>
      <c r="AO3994" t="n">
        <v>1</v>
      </c>
      <c r="AP3994" t="n">
        <v>0</v>
      </c>
      <c r="AQ3994" t="n">
        <v>0</v>
      </c>
      <c r="AR3994" t="inlineStr">
        <is>
          <t>No</t>
        </is>
      </c>
      <c r="AS3994" t="inlineStr">
        <is>
          <t>No</t>
        </is>
      </c>
      <c r="AU3994">
        <f>HYPERLINK("https://creighton-primo.hosted.exlibrisgroup.com/primo-explore/search?tab=default_tab&amp;search_scope=EVERYTHING&amp;vid=01CRU&amp;lang=en_US&amp;offset=0&amp;query=any,contains,991000919679702656","Catalog Record")</f>
        <v/>
      </c>
      <c r="AV3994">
        <f>HYPERLINK("http://www.worldcat.org/oclc/161312","WorldCat Record")</f>
        <v/>
      </c>
      <c r="AW3994" t="inlineStr">
        <is>
          <t>1267885:eng</t>
        </is>
      </c>
      <c r="AX3994" t="inlineStr">
        <is>
          <t>161312</t>
        </is>
      </c>
      <c r="AY3994" t="inlineStr">
        <is>
          <t>991000919679702656</t>
        </is>
      </c>
      <c r="AZ3994" t="inlineStr">
        <is>
          <t>991000919679702656</t>
        </is>
      </c>
      <c r="BA3994" t="inlineStr">
        <is>
          <t>2269518060002656</t>
        </is>
      </c>
      <c r="BB3994" t="inlineStr">
        <is>
          <t>BOOK</t>
        </is>
      </c>
      <c r="BD3994" t="inlineStr">
        <is>
          <t>9780838310335</t>
        </is>
      </c>
      <c r="BE3994" t="inlineStr">
        <is>
          <t>32285003064317</t>
        </is>
      </c>
      <c r="BF3994" t="inlineStr">
        <is>
          <t>893243722</t>
        </is>
      </c>
    </row>
    <row r="3995">
      <c r="A3995" t="inlineStr">
        <is>
          <t>No</t>
        </is>
      </c>
      <c r="B3995" t="inlineStr">
        <is>
          <t>CURAL</t>
        </is>
      </c>
      <c r="C3995" t="inlineStr">
        <is>
          <t>SHELVES</t>
        </is>
      </c>
      <c r="D3995" t="inlineStr">
        <is>
          <t>PR99 .D66 1988</t>
        </is>
      </c>
      <c r="E3995" t="inlineStr">
        <is>
          <t>0                      PR 0099000D  66          1988</t>
        </is>
      </c>
      <c r="F3995" t="inlineStr">
        <is>
          <t>England, their England : commentaries on English language and literature / Denis Donoghue.</t>
        </is>
      </c>
      <c r="H3995" t="inlineStr">
        <is>
          <t>No</t>
        </is>
      </c>
      <c r="I3995" t="inlineStr">
        <is>
          <t>1</t>
        </is>
      </c>
      <c r="J3995" t="inlineStr">
        <is>
          <t>No</t>
        </is>
      </c>
      <c r="K3995" t="inlineStr">
        <is>
          <t>No</t>
        </is>
      </c>
      <c r="L3995" t="inlineStr">
        <is>
          <t>0</t>
        </is>
      </c>
      <c r="M3995" t="inlineStr">
        <is>
          <t>Donoghue, Denis.</t>
        </is>
      </c>
      <c r="N3995" t="inlineStr">
        <is>
          <t>New York : Knopf : Distributed by Random House, 1988.</t>
        </is>
      </c>
      <c r="O3995" t="inlineStr">
        <is>
          <t>1988</t>
        </is>
      </c>
      <c r="P3995" t="inlineStr">
        <is>
          <t>1st ed.</t>
        </is>
      </c>
      <c r="Q3995" t="inlineStr">
        <is>
          <t>eng</t>
        </is>
      </c>
      <c r="R3995" t="inlineStr">
        <is>
          <t>nyu</t>
        </is>
      </c>
      <c r="T3995" t="inlineStr">
        <is>
          <t xml:space="preserve">PR </t>
        </is>
      </c>
      <c r="U3995" t="n">
        <v>1</v>
      </c>
      <c r="V3995" t="n">
        <v>1</v>
      </c>
      <c r="W3995" t="inlineStr">
        <is>
          <t>2006-09-26</t>
        </is>
      </c>
      <c r="X3995" t="inlineStr">
        <is>
          <t>2006-09-26</t>
        </is>
      </c>
      <c r="Y3995" t="inlineStr">
        <is>
          <t>2006-09-26</t>
        </is>
      </c>
      <c r="Z3995" t="inlineStr">
        <is>
          <t>2006-09-26</t>
        </is>
      </c>
      <c r="AA3995" t="n">
        <v>612</v>
      </c>
      <c r="AB3995" t="n">
        <v>564</v>
      </c>
      <c r="AC3995" t="n">
        <v>615</v>
      </c>
      <c r="AD3995" t="n">
        <v>5</v>
      </c>
      <c r="AE3995" t="n">
        <v>6</v>
      </c>
      <c r="AF3995" t="n">
        <v>27</v>
      </c>
      <c r="AG3995" t="n">
        <v>31</v>
      </c>
      <c r="AH3995" t="n">
        <v>9</v>
      </c>
      <c r="AI3995" t="n">
        <v>11</v>
      </c>
      <c r="AJ3995" t="n">
        <v>8</v>
      </c>
      <c r="AK3995" t="n">
        <v>9</v>
      </c>
      <c r="AL3995" t="n">
        <v>12</v>
      </c>
      <c r="AM3995" t="n">
        <v>13</v>
      </c>
      <c r="AN3995" t="n">
        <v>4</v>
      </c>
      <c r="AO3995" t="n">
        <v>5</v>
      </c>
      <c r="AP3995" t="n">
        <v>0</v>
      </c>
      <c r="AQ3995" t="n">
        <v>0</v>
      </c>
      <c r="AR3995" t="inlineStr">
        <is>
          <t>No</t>
        </is>
      </c>
      <c r="AS3995" t="inlineStr">
        <is>
          <t>No</t>
        </is>
      </c>
      <c r="AU3995">
        <f>HYPERLINK("https://creighton-primo.hosted.exlibrisgroup.com/primo-explore/search?tab=default_tab&amp;search_scope=EVERYTHING&amp;vid=01CRU&amp;lang=en_US&amp;offset=0&amp;query=any,contains,991004930059702656","Catalog Record")</f>
        <v/>
      </c>
      <c r="AV3995">
        <f>HYPERLINK("http://www.worldcat.org/oclc/18690671","WorldCat Record")</f>
        <v/>
      </c>
      <c r="AW3995" t="inlineStr">
        <is>
          <t>18083157:eng</t>
        </is>
      </c>
      <c r="AX3995" t="inlineStr">
        <is>
          <t>18690671</t>
        </is>
      </c>
      <c r="AY3995" t="inlineStr">
        <is>
          <t>991004930059702656</t>
        </is>
      </c>
      <c r="AZ3995" t="inlineStr">
        <is>
          <t>991004930059702656</t>
        </is>
      </c>
      <c r="BA3995" t="inlineStr">
        <is>
          <t>2256709740002656</t>
        </is>
      </c>
      <c r="BB3995" t="inlineStr">
        <is>
          <t>BOOK</t>
        </is>
      </c>
      <c r="BD3995" t="inlineStr">
        <is>
          <t>9780394564739</t>
        </is>
      </c>
      <c r="BE3995" t="inlineStr">
        <is>
          <t>32285005224802</t>
        </is>
      </c>
      <c r="BF3995" t="inlineStr">
        <is>
          <t>893501103</t>
        </is>
      </c>
    </row>
    <row r="3996">
      <c r="A3996" t="inlineStr">
        <is>
          <t>No</t>
        </is>
      </c>
      <c r="B3996" t="inlineStr">
        <is>
          <t>CURAL</t>
        </is>
      </c>
      <c r="C3996" t="inlineStr">
        <is>
          <t>SHELVES</t>
        </is>
      </c>
      <c r="D3996" t="inlineStr">
        <is>
          <t>PR99 .E66 1989</t>
        </is>
      </c>
      <c r="E3996" t="inlineStr">
        <is>
          <t>0                      PR 0099000E  66          1989</t>
        </is>
      </c>
      <c r="F3996" t="inlineStr">
        <is>
          <t>A long the riverrun : selected essays / Richard Ellmann.</t>
        </is>
      </c>
      <c r="H3996" t="inlineStr">
        <is>
          <t>No</t>
        </is>
      </c>
      <c r="I3996" t="inlineStr">
        <is>
          <t>1</t>
        </is>
      </c>
      <c r="J3996" t="inlineStr">
        <is>
          <t>No</t>
        </is>
      </c>
      <c r="K3996" t="inlineStr">
        <is>
          <t>No</t>
        </is>
      </c>
      <c r="L3996" t="inlineStr">
        <is>
          <t>0</t>
        </is>
      </c>
      <c r="M3996" t="inlineStr">
        <is>
          <t>Ellmann, Richard, 1918-1987.</t>
        </is>
      </c>
      <c r="N3996" t="inlineStr">
        <is>
          <t>New York : Knopf : Distributed by Random House, 1989, c1988.</t>
        </is>
      </c>
      <c r="O3996" t="inlineStr">
        <is>
          <t>1989</t>
        </is>
      </c>
      <c r="P3996" t="inlineStr">
        <is>
          <t>1st American ed.</t>
        </is>
      </c>
      <c r="Q3996" t="inlineStr">
        <is>
          <t>eng</t>
        </is>
      </c>
      <c r="R3996" t="inlineStr">
        <is>
          <t>nyu</t>
        </is>
      </c>
      <c r="T3996" t="inlineStr">
        <is>
          <t xml:space="preserve">PR </t>
        </is>
      </c>
      <c r="U3996" t="n">
        <v>1</v>
      </c>
      <c r="V3996" t="n">
        <v>1</v>
      </c>
      <c r="W3996" t="inlineStr">
        <is>
          <t>2004-10-14</t>
        </is>
      </c>
      <c r="X3996" t="inlineStr">
        <is>
          <t>2004-10-14</t>
        </is>
      </c>
      <c r="Y3996" t="inlineStr">
        <is>
          <t>2004-10-14</t>
        </is>
      </c>
      <c r="Z3996" t="inlineStr">
        <is>
          <t>2004-10-14</t>
        </is>
      </c>
      <c r="AA3996" t="n">
        <v>589</v>
      </c>
      <c r="AB3996" t="n">
        <v>554</v>
      </c>
      <c r="AC3996" t="n">
        <v>701</v>
      </c>
      <c r="AD3996" t="n">
        <v>3</v>
      </c>
      <c r="AE3996" t="n">
        <v>5</v>
      </c>
      <c r="AF3996" t="n">
        <v>18</v>
      </c>
      <c r="AG3996" t="n">
        <v>25</v>
      </c>
      <c r="AH3996" t="n">
        <v>7</v>
      </c>
      <c r="AI3996" t="n">
        <v>11</v>
      </c>
      <c r="AJ3996" t="n">
        <v>4</v>
      </c>
      <c r="AK3996" t="n">
        <v>5</v>
      </c>
      <c r="AL3996" t="n">
        <v>12</v>
      </c>
      <c r="AM3996" t="n">
        <v>13</v>
      </c>
      <c r="AN3996" t="n">
        <v>2</v>
      </c>
      <c r="AO3996" t="n">
        <v>4</v>
      </c>
      <c r="AP3996" t="n">
        <v>0</v>
      </c>
      <c r="AQ3996" t="n">
        <v>0</v>
      </c>
      <c r="AR3996" t="inlineStr">
        <is>
          <t>No</t>
        </is>
      </c>
      <c r="AS3996" t="inlineStr">
        <is>
          <t>Yes</t>
        </is>
      </c>
      <c r="AT3996">
        <f>HYPERLINK("http://catalog.hathitrust.org/Record/001528754","HathiTrust Record")</f>
        <v/>
      </c>
      <c r="AU3996">
        <f>HYPERLINK("https://creighton-primo.hosted.exlibrisgroup.com/primo-explore/search?tab=default_tab&amp;search_scope=EVERYTHING&amp;vid=01CRU&amp;lang=en_US&amp;offset=0&amp;query=any,contains,991004398599702656","Catalog Record")</f>
        <v/>
      </c>
      <c r="AV3996">
        <f>HYPERLINK("http://www.worldcat.org/oclc/18741200","WorldCat Record")</f>
        <v/>
      </c>
      <c r="AW3996" t="inlineStr">
        <is>
          <t>365909877:eng</t>
        </is>
      </c>
      <c r="AX3996" t="inlineStr">
        <is>
          <t>18741200</t>
        </is>
      </c>
      <c r="AY3996" t="inlineStr">
        <is>
          <t>991004398599702656</t>
        </is>
      </c>
      <c r="AZ3996" t="inlineStr">
        <is>
          <t>991004398599702656</t>
        </is>
      </c>
      <c r="BA3996" t="inlineStr">
        <is>
          <t>2256279280002656</t>
        </is>
      </c>
      <c r="BB3996" t="inlineStr">
        <is>
          <t>BOOK</t>
        </is>
      </c>
      <c r="BD3996" t="inlineStr">
        <is>
          <t>9780394577685</t>
        </is>
      </c>
      <c r="BE3996" t="inlineStr">
        <is>
          <t>32285005004600</t>
        </is>
      </c>
      <c r="BF3996" t="inlineStr">
        <is>
          <t>893593642</t>
        </is>
      </c>
    </row>
    <row r="3997">
      <c r="A3997" t="inlineStr">
        <is>
          <t>No</t>
        </is>
      </c>
      <c r="B3997" t="inlineStr">
        <is>
          <t>CURAL</t>
        </is>
      </c>
      <c r="C3997" t="inlineStr">
        <is>
          <t>SHELVES</t>
        </is>
      </c>
      <c r="D3997" t="inlineStr">
        <is>
          <t>PR99 .E67 1980</t>
        </is>
      </c>
      <c r="E3997" t="inlineStr">
        <is>
          <t>0                      PR 0099000E  67          1980</t>
        </is>
      </c>
      <c r="F3997" t="inlineStr">
        <is>
          <t>Literature and society / edited, with a pref., by Edward W. Said.</t>
        </is>
      </c>
      <c r="H3997" t="inlineStr">
        <is>
          <t>No</t>
        </is>
      </c>
      <c r="I3997" t="inlineStr">
        <is>
          <t>1</t>
        </is>
      </c>
      <c r="J3997" t="inlineStr">
        <is>
          <t>No</t>
        </is>
      </c>
      <c r="K3997" t="inlineStr">
        <is>
          <t>No</t>
        </is>
      </c>
      <c r="L3997" t="inlineStr">
        <is>
          <t>0</t>
        </is>
      </c>
      <c r="M3997" t="inlineStr">
        <is>
          <t>English Institute.</t>
        </is>
      </c>
      <c r="N3997" t="inlineStr">
        <is>
          <t>Baltimore : Johns Hopkins University Press, c1980.</t>
        </is>
      </c>
      <c r="O3997" t="inlineStr">
        <is>
          <t>1980</t>
        </is>
      </c>
      <c r="Q3997" t="inlineStr">
        <is>
          <t>eng</t>
        </is>
      </c>
      <c r="R3997" t="inlineStr">
        <is>
          <t>mdu</t>
        </is>
      </c>
      <c r="S3997" t="inlineStr">
        <is>
          <t>Selected papers from the English Institute ; 1978, new ser., no. 3</t>
        </is>
      </c>
      <c r="T3997" t="inlineStr">
        <is>
          <t xml:space="preserve">PR </t>
        </is>
      </c>
      <c r="U3997" t="n">
        <v>6</v>
      </c>
      <c r="V3997" t="n">
        <v>6</v>
      </c>
      <c r="W3997" t="inlineStr">
        <is>
          <t>2003-10-17</t>
        </is>
      </c>
      <c r="X3997" t="inlineStr">
        <is>
          <t>2003-10-17</t>
        </is>
      </c>
      <c r="Y3997" t="inlineStr">
        <is>
          <t>1991-08-27</t>
        </is>
      </c>
      <c r="Z3997" t="inlineStr">
        <is>
          <t>1991-08-27</t>
        </is>
      </c>
      <c r="AA3997" t="n">
        <v>820</v>
      </c>
      <c r="AB3997" t="n">
        <v>706</v>
      </c>
      <c r="AC3997" t="n">
        <v>842</v>
      </c>
      <c r="AD3997" t="n">
        <v>7</v>
      </c>
      <c r="AE3997" t="n">
        <v>7</v>
      </c>
      <c r="AF3997" t="n">
        <v>40</v>
      </c>
      <c r="AG3997" t="n">
        <v>47</v>
      </c>
      <c r="AH3997" t="n">
        <v>20</v>
      </c>
      <c r="AI3997" t="n">
        <v>24</v>
      </c>
      <c r="AJ3997" t="n">
        <v>6</v>
      </c>
      <c r="AK3997" t="n">
        <v>8</v>
      </c>
      <c r="AL3997" t="n">
        <v>20</v>
      </c>
      <c r="AM3997" t="n">
        <v>22</v>
      </c>
      <c r="AN3997" t="n">
        <v>6</v>
      </c>
      <c r="AO3997" t="n">
        <v>6</v>
      </c>
      <c r="AP3997" t="n">
        <v>0</v>
      </c>
      <c r="AQ3997" t="n">
        <v>0</v>
      </c>
      <c r="AR3997" t="inlineStr">
        <is>
          <t>No</t>
        </is>
      </c>
      <c r="AS3997" t="inlineStr">
        <is>
          <t>Yes</t>
        </is>
      </c>
      <c r="AT3997">
        <f>HYPERLINK("http://catalog.hathitrust.org/Record/000699347","HathiTrust Record")</f>
        <v/>
      </c>
      <c r="AU3997">
        <f>HYPERLINK("https://creighton-primo.hosted.exlibrisgroup.com/primo-explore/search?tab=default_tab&amp;search_scope=EVERYTHING&amp;vid=01CRU&amp;lang=en_US&amp;offset=0&amp;query=any,contains,991004789219702656","Catalog Record")</f>
        <v/>
      </c>
      <c r="AV3997">
        <f>HYPERLINK("http://www.worldcat.org/oclc/5170374","WorldCat Record")</f>
        <v/>
      </c>
      <c r="AW3997" t="inlineStr">
        <is>
          <t>452123:eng</t>
        </is>
      </c>
      <c r="AX3997" t="inlineStr">
        <is>
          <t>5170374</t>
        </is>
      </c>
      <c r="AY3997" t="inlineStr">
        <is>
          <t>991004789219702656</t>
        </is>
      </c>
      <c r="AZ3997" t="inlineStr">
        <is>
          <t>991004789219702656</t>
        </is>
      </c>
      <c r="BA3997" t="inlineStr">
        <is>
          <t>2256844680002656</t>
        </is>
      </c>
      <c r="BB3997" t="inlineStr">
        <is>
          <t>BOOK</t>
        </is>
      </c>
      <c r="BE3997" t="inlineStr">
        <is>
          <t>32285000699446</t>
        </is>
      </c>
      <c r="BF3997" t="inlineStr">
        <is>
          <t>893430495</t>
        </is>
      </c>
    </row>
    <row r="3998">
      <c r="A3998" t="inlineStr">
        <is>
          <t>No</t>
        </is>
      </c>
      <c r="B3998" t="inlineStr">
        <is>
          <t>CURAL</t>
        </is>
      </c>
      <c r="C3998" t="inlineStr">
        <is>
          <t>SHELVES</t>
        </is>
      </c>
      <c r="D3998" t="inlineStr">
        <is>
          <t>PR99 .H48</t>
        </is>
      </c>
      <c r="E3998" t="inlineStr">
        <is>
          <t>0                      PR 0099000H  48</t>
        </is>
      </c>
      <c r="F3998" t="inlineStr">
        <is>
          <t>The powers of poetry.</t>
        </is>
      </c>
      <c r="H3998" t="inlineStr">
        <is>
          <t>No</t>
        </is>
      </c>
      <c r="I3998" t="inlineStr">
        <is>
          <t>1</t>
        </is>
      </c>
      <c r="J3998" t="inlineStr">
        <is>
          <t>No</t>
        </is>
      </c>
      <c r="K3998" t="inlineStr">
        <is>
          <t>No</t>
        </is>
      </c>
      <c r="L3998" t="inlineStr">
        <is>
          <t>0</t>
        </is>
      </c>
      <c r="M3998" t="inlineStr">
        <is>
          <t>Highet, Gilbert, 1906-1978.</t>
        </is>
      </c>
      <c r="N3998" t="inlineStr">
        <is>
          <t>New York : Oxford University Press, 1960.</t>
        </is>
      </c>
      <c r="O3998" t="inlineStr">
        <is>
          <t>1960</t>
        </is>
      </c>
      <c r="Q3998" t="inlineStr">
        <is>
          <t>eng</t>
        </is>
      </c>
      <c r="R3998" t="inlineStr">
        <is>
          <t>nyu</t>
        </is>
      </c>
      <c r="T3998" t="inlineStr">
        <is>
          <t xml:space="preserve">PR </t>
        </is>
      </c>
      <c r="U3998" t="n">
        <v>2</v>
      </c>
      <c r="V3998" t="n">
        <v>2</v>
      </c>
      <c r="W3998" t="inlineStr">
        <is>
          <t>1995-03-17</t>
        </is>
      </c>
      <c r="X3998" t="inlineStr">
        <is>
          <t>1995-03-17</t>
        </is>
      </c>
      <c r="Y3998" t="inlineStr">
        <is>
          <t>1991-06-18</t>
        </is>
      </c>
      <c r="Z3998" t="inlineStr">
        <is>
          <t>1991-06-18</t>
        </is>
      </c>
      <c r="AA3998" t="n">
        <v>1405</v>
      </c>
      <c r="AB3998" t="n">
        <v>1326</v>
      </c>
      <c r="AC3998" t="n">
        <v>1339</v>
      </c>
      <c r="AD3998" t="n">
        <v>9</v>
      </c>
      <c r="AE3998" t="n">
        <v>9</v>
      </c>
      <c r="AF3998" t="n">
        <v>46</v>
      </c>
      <c r="AG3998" t="n">
        <v>46</v>
      </c>
      <c r="AH3998" t="n">
        <v>19</v>
      </c>
      <c r="AI3998" t="n">
        <v>19</v>
      </c>
      <c r="AJ3998" t="n">
        <v>9</v>
      </c>
      <c r="AK3998" t="n">
        <v>9</v>
      </c>
      <c r="AL3998" t="n">
        <v>22</v>
      </c>
      <c r="AM3998" t="n">
        <v>22</v>
      </c>
      <c r="AN3998" t="n">
        <v>7</v>
      </c>
      <c r="AO3998" t="n">
        <v>7</v>
      </c>
      <c r="AP3998" t="n">
        <v>0</v>
      </c>
      <c r="AQ3998" t="n">
        <v>0</v>
      </c>
      <c r="AR3998" t="inlineStr">
        <is>
          <t>No</t>
        </is>
      </c>
      <c r="AS3998" t="inlineStr">
        <is>
          <t>Yes</t>
        </is>
      </c>
      <c r="AT3998">
        <f>HYPERLINK("http://catalog.hathitrust.org/Record/001370047","HathiTrust Record")</f>
        <v/>
      </c>
      <c r="AU3998">
        <f>HYPERLINK("https://creighton-primo.hosted.exlibrisgroup.com/primo-explore/search?tab=default_tab&amp;search_scope=EVERYTHING&amp;vid=01CRU&amp;lang=en_US&amp;offset=0&amp;query=any,contains,991001759859702656","Catalog Record")</f>
        <v/>
      </c>
      <c r="AV3998">
        <f>HYPERLINK("http://www.worldcat.org/oclc/236143","WorldCat Record")</f>
        <v/>
      </c>
      <c r="AW3998" t="inlineStr">
        <is>
          <t>414668:eng</t>
        </is>
      </c>
      <c r="AX3998" t="inlineStr">
        <is>
          <t>236143</t>
        </is>
      </c>
      <c r="AY3998" t="inlineStr">
        <is>
          <t>991001759859702656</t>
        </is>
      </c>
      <c r="AZ3998" t="inlineStr">
        <is>
          <t>991001759859702656</t>
        </is>
      </c>
      <c r="BA3998" t="inlineStr">
        <is>
          <t>2257612840002656</t>
        </is>
      </c>
      <c r="BB3998" t="inlineStr">
        <is>
          <t>BOOK</t>
        </is>
      </c>
      <c r="BE3998" t="inlineStr">
        <is>
          <t>32285000630680</t>
        </is>
      </c>
      <c r="BF3998" t="inlineStr">
        <is>
          <t>893426827</t>
        </is>
      </c>
    </row>
    <row r="3999">
      <c r="A3999" t="inlineStr">
        <is>
          <t>No</t>
        </is>
      </c>
      <c r="B3999" t="inlineStr">
        <is>
          <t>CURAL</t>
        </is>
      </c>
      <c r="C3999" t="inlineStr">
        <is>
          <t>SHELVES</t>
        </is>
      </c>
      <c r="D3999" t="inlineStr">
        <is>
          <t>PR99 .L57</t>
        </is>
      </c>
      <c r="E3999" t="inlineStr">
        <is>
          <t>0                      PR 0099000L  57</t>
        </is>
      </c>
      <c r="F3999" t="inlineStr">
        <is>
          <t>Literary studies : essays in memory of Francis A. Drumm / edited by John H. Dorenkamp.</t>
        </is>
      </c>
      <c r="H3999" t="inlineStr">
        <is>
          <t>No</t>
        </is>
      </c>
      <c r="I3999" t="inlineStr">
        <is>
          <t>1</t>
        </is>
      </c>
      <c r="J3999" t="inlineStr">
        <is>
          <t>No</t>
        </is>
      </c>
      <c r="K3999" t="inlineStr">
        <is>
          <t>No</t>
        </is>
      </c>
      <c r="L3999" t="inlineStr">
        <is>
          <t>0</t>
        </is>
      </c>
      <c r="N3999" t="inlineStr">
        <is>
          <t>[Worcester, Mass.] : College of the Holy Cross, 1973.</t>
        </is>
      </c>
      <c r="O3999" t="inlineStr">
        <is>
          <t>1973</t>
        </is>
      </c>
      <c r="Q3999" t="inlineStr">
        <is>
          <t>eng</t>
        </is>
      </c>
      <c r="R3999" t="inlineStr">
        <is>
          <t>mau</t>
        </is>
      </c>
      <c r="T3999" t="inlineStr">
        <is>
          <t xml:space="preserve">PR </t>
        </is>
      </c>
      <c r="U3999" t="n">
        <v>2</v>
      </c>
      <c r="V3999" t="n">
        <v>2</v>
      </c>
      <c r="W3999" t="inlineStr">
        <is>
          <t>1995-01-11</t>
        </is>
      </c>
      <c r="X3999" t="inlineStr">
        <is>
          <t>1995-01-11</t>
        </is>
      </c>
      <c r="Y3999" t="inlineStr">
        <is>
          <t>1994-12-29</t>
        </is>
      </c>
      <c r="Z3999" t="inlineStr">
        <is>
          <t>1994-12-29</t>
        </is>
      </c>
      <c r="AA3999" t="n">
        <v>8</v>
      </c>
      <c r="AB3999" t="n">
        <v>8</v>
      </c>
      <c r="AC3999" t="n">
        <v>46</v>
      </c>
      <c r="AD3999" t="n">
        <v>1</v>
      </c>
      <c r="AE3999" t="n">
        <v>1</v>
      </c>
      <c r="AF3999" t="n">
        <v>1</v>
      </c>
      <c r="AG3999" t="n">
        <v>7</v>
      </c>
      <c r="AH3999" t="n">
        <v>0</v>
      </c>
      <c r="AI3999" t="n">
        <v>0</v>
      </c>
      <c r="AJ3999" t="n">
        <v>0</v>
      </c>
      <c r="AK3999" t="n">
        <v>3</v>
      </c>
      <c r="AL3999" t="n">
        <v>1</v>
      </c>
      <c r="AM3999" t="n">
        <v>5</v>
      </c>
      <c r="AN3999" t="n">
        <v>0</v>
      </c>
      <c r="AO3999" t="n">
        <v>0</v>
      </c>
      <c r="AP3999" t="n">
        <v>0</v>
      </c>
      <c r="AQ3999" t="n">
        <v>0</v>
      </c>
      <c r="AR3999" t="inlineStr">
        <is>
          <t>No</t>
        </is>
      </c>
      <c r="AS3999" t="inlineStr">
        <is>
          <t>No</t>
        </is>
      </c>
      <c r="AU3999">
        <f>HYPERLINK("https://creighton-primo.hosted.exlibrisgroup.com/primo-explore/search?tab=default_tab&amp;search_scope=EVERYTHING&amp;vid=01CRU&amp;lang=en_US&amp;offset=0&amp;query=any,contains,991005009359702656","Catalog Record")</f>
        <v/>
      </c>
      <c r="AV3999">
        <f>HYPERLINK("http://www.worldcat.org/oclc/6589689","WorldCat Record")</f>
        <v/>
      </c>
      <c r="AW3999" t="inlineStr">
        <is>
          <t>376142259:eng</t>
        </is>
      </c>
      <c r="AX3999" t="inlineStr">
        <is>
          <t>6589689</t>
        </is>
      </c>
      <c r="AY3999" t="inlineStr">
        <is>
          <t>991005009359702656</t>
        </is>
      </c>
      <c r="AZ3999" t="inlineStr">
        <is>
          <t>991005009359702656</t>
        </is>
      </c>
      <c r="BA3999" t="inlineStr">
        <is>
          <t>2261003390002656</t>
        </is>
      </c>
      <c r="BB3999" t="inlineStr">
        <is>
          <t>BOOK</t>
        </is>
      </c>
      <c r="BE3999" t="inlineStr">
        <is>
          <t>32285001985638</t>
        </is>
      </c>
      <c r="BF3999" t="inlineStr">
        <is>
          <t>893870370</t>
        </is>
      </c>
    </row>
    <row r="4000">
      <c r="A4000" t="inlineStr">
        <is>
          <t>No</t>
        </is>
      </c>
      <c r="B4000" t="inlineStr">
        <is>
          <t>CURAL</t>
        </is>
      </c>
      <c r="C4000" t="inlineStr">
        <is>
          <t>SHELVES</t>
        </is>
      </c>
      <c r="D4000" t="inlineStr">
        <is>
          <t>PR99 .M28</t>
        </is>
      </c>
      <c r="E4000" t="inlineStr">
        <is>
          <t>0                      PR 0099000M  28</t>
        </is>
      </c>
      <c r="F4000" t="inlineStr">
        <is>
          <t>The interior landscape; the literary criticism of Marshall McLuhan, 1943-1962. Selected, compiled, and edited by Eugene McNamara.</t>
        </is>
      </c>
      <c r="H4000" t="inlineStr">
        <is>
          <t>No</t>
        </is>
      </c>
      <c r="I4000" t="inlineStr">
        <is>
          <t>1</t>
        </is>
      </c>
      <c r="J4000" t="inlineStr">
        <is>
          <t>No</t>
        </is>
      </c>
      <c r="K4000" t="inlineStr">
        <is>
          <t>No</t>
        </is>
      </c>
      <c r="L4000" t="inlineStr">
        <is>
          <t>0</t>
        </is>
      </c>
      <c r="M4000" t="inlineStr">
        <is>
          <t>McLuhan, Marshall, 1911-1980.</t>
        </is>
      </c>
      <c r="N4000" t="inlineStr">
        <is>
          <t>New York, McGraw-Hill [1969]</t>
        </is>
      </c>
      <c r="O4000" t="inlineStr">
        <is>
          <t>1969</t>
        </is>
      </c>
      <c r="P4000" t="inlineStr">
        <is>
          <t>[1st ed.]</t>
        </is>
      </c>
      <c r="Q4000" t="inlineStr">
        <is>
          <t>eng</t>
        </is>
      </c>
      <c r="R4000" t="inlineStr">
        <is>
          <t>nyu</t>
        </is>
      </c>
      <c r="T4000" t="inlineStr">
        <is>
          <t xml:space="preserve">PR </t>
        </is>
      </c>
      <c r="U4000" t="n">
        <v>1</v>
      </c>
      <c r="V4000" t="n">
        <v>1</v>
      </c>
      <c r="W4000" t="inlineStr">
        <is>
          <t>2010-05-18</t>
        </is>
      </c>
      <c r="X4000" t="inlineStr">
        <is>
          <t>2010-05-18</t>
        </is>
      </c>
      <c r="Y4000" t="inlineStr">
        <is>
          <t>1997-08-14</t>
        </is>
      </c>
      <c r="Z4000" t="inlineStr">
        <is>
          <t>1997-08-14</t>
        </is>
      </c>
      <c r="AA4000" t="n">
        <v>1156</v>
      </c>
      <c r="AB4000" t="n">
        <v>1036</v>
      </c>
      <c r="AC4000" t="n">
        <v>1059</v>
      </c>
      <c r="AD4000" t="n">
        <v>10</v>
      </c>
      <c r="AE4000" t="n">
        <v>10</v>
      </c>
      <c r="AF4000" t="n">
        <v>41</v>
      </c>
      <c r="AG4000" t="n">
        <v>41</v>
      </c>
      <c r="AH4000" t="n">
        <v>14</v>
      </c>
      <c r="AI4000" t="n">
        <v>14</v>
      </c>
      <c r="AJ4000" t="n">
        <v>9</v>
      </c>
      <c r="AK4000" t="n">
        <v>9</v>
      </c>
      <c r="AL4000" t="n">
        <v>18</v>
      </c>
      <c r="AM4000" t="n">
        <v>18</v>
      </c>
      <c r="AN4000" t="n">
        <v>8</v>
      </c>
      <c r="AO4000" t="n">
        <v>8</v>
      </c>
      <c r="AP4000" t="n">
        <v>0</v>
      </c>
      <c r="AQ4000" t="n">
        <v>0</v>
      </c>
      <c r="AR4000" t="inlineStr">
        <is>
          <t>No</t>
        </is>
      </c>
      <c r="AS4000" t="inlineStr">
        <is>
          <t>Yes</t>
        </is>
      </c>
      <c r="AT4000">
        <f>HYPERLINK("http://catalog.hathitrust.org/Record/001371000","HathiTrust Record")</f>
        <v/>
      </c>
      <c r="AU4000">
        <f>HYPERLINK("https://creighton-primo.hosted.exlibrisgroup.com/primo-explore/search?tab=default_tab&amp;search_scope=EVERYTHING&amp;vid=01CRU&amp;lang=en_US&amp;offset=0&amp;query=any,contains,991000081149702656","Catalog Record")</f>
        <v/>
      </c>
      <c r="AV4000">
        <f>HYPERLINK("http://www.worldcat.org/oclc/31540","WorldCat Record")</f>
        <v/>
      </c>
      <c r="AW4000" t="inlineStr">
        <is>
          <t>45488084:eng</t>
        </is>
      </c>
      <c r="AX4000" t="inlineStr">
        <is>
          <t>31540</t>
        </is>
      </c>
      <c r="AY4000" t="inlineStr">
        <is>
          <t>991000081149702656</t>
        </is>
      </c>
      <c r="AZ4000" t="inlineStr">
        <is>
          <t>991000081149702656</t>
        </is>
      </c>
      <c r="BA4000" t="inlineStr">
        <is>
          <t>2261167470002656</t>
        </is>
      </c>
      <c r="BB4000" t="inlineStr">
        <is>
          <t>BOOK</t>
        </is>
      </c>
      <c r="BE4000" t="inlineStr">
        <is>
          <t>32285003064580</t>
        </is>
      </c>
      <c r="BF4000" t="inlineStr">
        <is>
          <t>893884087</t>
        </is>
      </c>
    </row>
    <row r="4001">
      <c r="A4001" t="inlineStr">
        <is>
          <t>No</t>
        </is>
      </c>
      <c r="B4001" t="inlineStr">
        <is>
          <t>CURAL</t>
        </is>
      </c>
      <c r="C4001" t="inlineStr">
        <is>
          <t>SHELVES</t>
        </is>
      </c>
      <c r="D4001" t="inlineStr">
        <is>
          <t>PR99 .S25</t>
        </is>
      </c>
      <c r="E4001" t="inlineStr">
        <is>
          <t>0                      PR 0099000S  25</t>
        </is>
      </c>
      <c r="F4001" t="inlineStr">
        <is>
          <t>Modern heroism; essays on D. H. Lawrence, William Empson, &amp; J. R. R. Tolkien.</t>
        </is>
      </c>
      <c r="H4001" t="inlineStr">
        <is>
          <t>No</t>
        </is>
      </c>
      <c r="I4001" t="inlineStr">
        <is>
          <t>1</t>
        </is>
      </c>
      <c r="J4001" t="inlineStr">
        <is>
          <t>No</t>
        </is>
      </c>
      <c r="K4001" t="inlineStr">
        <is>
          <t>No</t>
        </is>
      </c>
      <c r="L4001" t="inlineStr">
        <is>
          <t>0</t>
        </is>
      </c>
      <c r="M4001" t="inlineStr">
        <is>
          <t>Sale, Roger.</t>
        </is>
      </c>
      <c r="N4001" t="inlineStr">
        <is>
          <t>Berkeley, University of California Press, 1973.</t>
        </is>
      </c>
      <c r="O4001" t="inlineStr">
        <is>
          <t>1973</t>
        </is>
      </c>
      <c r="Q4001" t="inlineStr">
        <is>
          <t>eng</t>
        </is>
      </c>
      <c r="R4001" t="inlineStr">
        <is>
          <t>cau</t>
        </is>
      </c>
      <c r="T4001" t="inlineStr">
        <is>
          <t xml:space="preserve">PR </t>
        </is>
      </c>
      <c r="U4001" t="n">
        <v>5</v>
      </c>
      <c r="V4001" t="n">
        <v>5</v>
      </c>
      <c r="W4001" t="inlineStr">
        <is>
          <t>2002-11-04</t>
        </is>
      </c>
      <c r="X4001" t="inlineStr">
        <is>
          <t>2002-11-04</t>
        </is>
      </c>
      <c r="Y4001" t="inlineStr">
        <is>
          <t>1997-08-15</t>
        </is>
      </c>
      <c r="Z4001" t="inlineStr">
        <is>
          <t>1997-08-15</t>
        </is>
      </c>
      <c r="AA4001" t="n">
        <v>811</v>
      </c>
      <c r="AB4001" t="n">
        <v>653</v>
      </c>
      <c r="AC4001" t="n">
        <v>672</v>
      </c>
      <c r="AD4001" t="n">
        <v>5</v>
      </c>
      <c r="AE4001" t="n">
        <v>5</v>
      </c>
      <c r="AF4001" t="n">
        <v>33</v>
      </c>
      <c r="AG4001" t="n">
        <v>33</v>
      </c>
      <c r="AH4001" t="n">
        <v>15</v>
      </c>
      <c r="AI4001" t="n">
        <v>15</v>
      </c>
      <c r="AJ4001" t="n">
        <v>7</v>
      </c>
      <c r="AK4001" t="n">
        <v>7</v>
      </c>
      <c r="AL4001" t="n">
        <v>17</v>
      </c>
      <c r="AM4001" t="n">
        <v>17</v>
      </c>
      <c r="AN4001" t="n">
        <v>4</v>
      </c>
      <c r="AO4001" t="n">
        <v>4</v>
      </c>
      <c r="AP4001" t="n">
        <v>0</v>
      </c>
      <c r="AQ4001" t="n">
        <v>0</v>
      </c>
      <c r="AR4001" t="inlineStr">
        <is>
          <t>No</t>
        </is>
      </c>
      <c r="AS4001" t="inlineStr">
        <is>
          <t>No</t>
        </is>
      </c>
      <c r="AU4001">
        <f>HYPERLINK("https://creighton-primo.hosted.exlibrisgroup.com/primo-explore/search?tab=default_tab&amp;search_scope=EVERYTHING&amp;vid=01CRU&amp;lang=en_US&amp;offset=0&amp;query=any,contains,991003056309702656","Catalog Record")</f>
        <v/>
      </c>
      <c r="AV4001">
        <f>HYPERLINK("http://www.worldcat.org/oclc/614498","WorldCat Record")</f>
        <v/>
      </c>
      <c r="AW4001" t="inlineStr">
        <is>
          <t>366646246:eng</t>
        </is>
      </c>
      <c r="AX4001" t="inlineStr">
        <is>
          <t>614498</t>
        </is>
      </c>
      <c r="AY4001" t="inlineStr">
        <is>
          <t>991003056309702656</t>
        </is>
      </c>
      <c r="AZ4001" t="inlineStr">
        <is>
          <t>991003056309702656</t>
        </is>
      </c>
      <c r="BA4001" t="inlineStr">
        <is>
          <t>2270174640002656</t>
        </is>
      </c>
      <c r="BB4001" t="inlineStr">
        <is>
          <t>BOOK</t>
        </is>
      </c>
      <c r="BD4001" t="inlineStr">
        <is>
          <t>9780520022089</t>
        </is>
      </c>
      <c r="BE4001" t="inlineStr">
        <is>
          <t>32285003064762</t>
        </is>
      </c>
      <c r="BF4001" t="inlineStr">
        <is>
          <t>893251986</t>
        </is>
      </c>
    </row>
    <row r="4002">
      <c r="A4002" t="inlineStr">
        <is>
          <t>No</t>
        </is>
      </c>
      <c r="B4002" t="inlineStr">
        <is>
          <t>CURAL</t>
        </is>
      </c>
      <c r="C4002" t="inlineStr">
        <is>
          <t>SHELVES</t>
        </is>
      </c>
      <c r="D4002" t="inlineStr">
        <is>
          <t>PR99 .T57 1971</t>
        </is>
      </c>
      <c r="E4002" t="inlineStr">
        <is>
          <t>0                      PR 0099000T  57          1971</t>
        </is>
      </c>
      <c r="F4002" t="inlineStr">
        <is>
          <t>Some mythical elements in English literature. London, Chatto &amp; Windus, 1961.</t>
        </is>
      </c>
      <c r="H4002" t="inlineStr">
        <is>
          <t>No</t>
        </is>
      </c>
      <c r="I4002" t="inlineStr">
        <is>
          <t>1</t>
        </is>
      </c>
      <c r="J4002" t="inlineStr">
        <is>
          <t>No</t>
        </is>
      </c>
      <c r="K4002" t="inlineStr">
        <is>
          <t>No</t>
        </is>
      </c>
      <c r="L4002" t="inlineStr">
        <is>
          <t>0</t>
        </is>
      </c>
      <c r="M4002" t="inlineStr">
        <is>
          <t>Tillyard, E. M. W. (Eustace Mandeville Wetenhall), 1889-1962.</t>
        </is>
      </c>
      <c r="N4002" t="inlineStr">
        <is>
          <t>St. Clair Shores, Mich., Scholarly Press, 1971.</t>
        </is>
      </c>
      <c r="O4002" t="inlineStr">
        <is>
          <t>1971</t>
        </is>
      </c>
      <c r="Q4002" t="inlineStr">
        <is>
          <t>eng</t>
        </is>
      </c>
      <c r="R4002" t="inlineStr">
        <is>
          <t>miu</t>
        </is>
      </c>
      <c r="S4002" t="inlineStr">
        <is>
          <t>The Clark lectures ; 1959-60</t>
        </is>
      </c>
      <c r="T4002" t="inlineStr">
        <is>
          <t xml:space="preserve">PR </t>
        </is>
      </c>
      <c r="U4002" t="n">
        <v>1</v>
      </c>
      <c r="V4002" t="n">
        <v>1</v>
      </c>
      <c r="W4002" t="inlineStr">
        <is>
          <t>2004-02-13</t>
        </is>
      </c>
      <c r="X4002" t="inlineStr">
        <is>
          <t>2004-02-13</t>
        </is>
      </c>
      <c r="Y4002" t="inlineStr">
        <is>
          <t>1997-08-15</t>
        </is>
      </c>
      <c r="Z4002" t="inlineStr">
        <is>
          <t>1997-08-15</t>
        </is>
      </c>
      <c r="AA4002" t="n">
        <v>158</v>
      </c>
      <c r="AB4002" t="n">
        <v>150</v>
      </c>
      <c r="AC4002" t="n">
        <v>445</v>
      </c>
      <c r="AD4002" t="n">
        <v>1</v>
      </c>
      <c r="AE4002" t="n">
        <v>4</v>
      </c>
      <c r="AF4002" t="n">
        <v>3</v>
      </c>
      <c r="AG4002" t="n">
        <v>27</v>
      </c>
      <c r="AH4002" t="n">
        <v>2</v>
      </c>
      <c r="AI4002" t="n">
        <v>6</v>
      </c>
      <c r="AJ4002" t="n">
        <v>0</v>
      </c>
      <c r="AK4002" t="n">
        <v>6</v>
      </c>
      <c r="AL4002" t="n">
        <v>1</v>
      </c>
      <c r="AM4002" t="n">
        <v>18</v>
      </c>
      <c r="AN4002" t="n">
        <v>0</v>
      </c>
      <c r="AO4002" t="n">
        <v>3</v>
      </c>
      <c r="AP4002" t="n">
        <v>0</v>
      </c>
      <c r="AQ4002" t="n">
        <v>0</v>
      </c>
      <c r="AR4002" t="inlineStr">
        <is>
          <t>No</t>
        </is>
      </c>
      <c r="AS4002" t="inlineStr">
        <is>
          <t>Yes</t>
        </is>
      </c>
      <c r="AT4002">
        <f>HYPERLINK("http://catalog.hathitrust.org/Record/004428812","HathiTrust Record")</f>
        <v/>
      </c>
      <c r="AU4002">
        <f>HYPERLINK("https://creighton-primo.hosted.exlibrisgroup.com/primo-explore/search?tab=default_tab&amp;search_scope=EVERYTHING&amp;vid=01CRU&amp;lang=en_US&amp;offset=0&amp;query=any,contains,991000821929702656","Catalog Record")</f>
        <v/>
      </c>
      <c r="AV4002">
        <f>HYPERLINK("http://www.worldcat.org/oclc/145216","WorldCat Record")</f>
        <v/>
      </c>
      <c r="AW4002" t="inlineStr">
        <is>
          <t>102408601:eng</t>
        </is>
      </c>
      <c r="AX4002" t="inlineStr">
        <is>
          <t>145216</t>
        </is>
      </c>
      <c r="AY4002" t="inlineStr">
        <is>
          <t>991000821929702656</t>
        </is>
      </c>
      <c r="AZ4002" t="inlineStr">
        <is>
          <t>991000821929702656</t>
        </is>
      </c>
      <c r="BA4002" t="inlineStr">
        <is>
          <t>2257655700002656</t>
        </is>
      </c>
      <c r="BB4002" t="inlineStr">
        <is>
          <t>BOOK</t>
        </is>
      </c>
      <c r="BD4002" t="inlineStr">
        <is>
          <t>9780403013029</t>
        </is>
      </c>
      <c r="BE4002" t="inlineStr">
        <is>
          <t>32285003064846</t>
        </is>
      </c>
      <c r="BF4002" t="inlineStr">
        <is>
          <t>893339922</t>
        </is>
      </c>
    </row>
    <row r="4003">
      <c r="A4003" t="inlineStr">
        <is>
          <t>No</t>
        </is>
      </c>
      <c r="B4003" t="inlineStr">
        <is>
          <t>CURAL</t>
        </is>
      </c>
      <c r="C4003" t="inlineStr">
        <is>
          <t>SHELVES</t>
        </is>
      </c>
      <c r="D4003" t="inlineStr">
        <is>
          <t>PR990 .C495 1995</t>
        </is>
      </c>
      <c r="E4003" t="inlineStr">
        <is>
          <t>0                      PR 0990000C  495         1995</t>
        </is>
      </c>
      <c r="F4003" t="inlineStr">
        <is>
          <t>Children's literature : an illustrated history / edited by Peter Hunt ; associate editors, Dennis Butts ... [et al.].</t>
        </is>
      </c>
      <c r="H4003" t="inlineStr">
        <is>
          <t>No</t>
        </is>
      </c>
      <c r="I4003" t="inlineStr">
        <is>
          <t>1</t>
        </is>
      </c>
      <c r="J4003" t="inlineStr">
        <is>
          <t>No</t>
        </is>
      </c>
      <c r="K4003" t="inlineStr">
        <is>
          <t>No</t>
        </is>
      </c>
      <c r="L4003" t="inlineStr">
        <is>
          <t>0</t>
        </is>
      </c>
      <c r="N4003" t="inlineStr">
        <is>
          <t>Oxford ; New York : Oxford University Press, 1995.</t>
        </is>
      </c>
      <c r="O4003" t="inlineStr">
        <is>
          <t>1995</t>
        </is>
      </c>
      <c r="Q4003" t="inlineStr">
        <is>
          <t>eng</t>
        </is>
      </c>
      <c r="R4003" t="inlineStr">
        <is>
          <t>enk</t>
        </is>
      </c>
      <c r="T4003" t="inlineStr">
        <is>
          <t xml:space="preserve">PR </t>
        </is>
      </c>
      <c r="U4003" t="n">
        <v>3</v>
      </c>
      <c r="V4003" t="n">
        <v>3</v>
      </c>
      <c r="W4003" t="inlineStr">
        <is>
          <t>2009-02-17</t>
        </is>
      </c>
      <c r="X4003" t="inlineStr">
        <is>
          <t>2009-02-17</t>
        </is>
      </c>
      <c r="Y4003" t="inlineStr">
        <is>
          <t>1996-04-22</t>
        </is>
      </c>
      <c r="Z4003" t="inlineStr">
        <is>
          <t>1996-04-22</t>
        </is>
      </c>
      <c r="AA4003" t="n">
        <v>1283</v>
      </c>
      <c r="AB4003" t="n">
        <v>977</v>
      </c>
      <c r="AC4003" t="n">
        <v>1094</v>
      </c>
      <c r="AD4003" t="n">
        <v>11</v>
      </c>
      <c r="AE4003" t="n">
        <v>11</v>
      </c>
      <c r="AF4003" t="n">
        <v>40</v>
      </c>
      <c r="AG4003" t="n">
        <v>44</v>
      </c>
      <c r="AH4003" t="n">
        <v>14</v>
      </c>
      <c r="AI4003" t="n">
        <v>17</v>
      </c>
      <c r="AJ4003" t="n">
        <v>6</v>
      </c>
      <c r="AK4003" t="n">
        <v>6</v>
      </c>
      <c r="AL4003" t="n">
        <v>18</v>
      </c>
      <c r="AM4003" t="n">
        <v>20</v>
      </c>
      <c r="AN4003" t="n">
        <v>9</v>
      </c>
      <c r="AO4003" t="n">
        <v>9</v>
      </c>
      <c r="AP4003" t="n">
        <v>0</v>
      </c>
      <c r="AQ4003" t="n">
        <v>0</v>
      </c>
      <c r="AR4003" t="inlineStr">
        <is>
          <t>No</t>
        </is>
      </c>
      <c r="AS4003" t="inlineStr">
        <is>
          <t>No</t>
        </is>
      </c>
      <c r="AU4003">
        <f>HYPERLINK("https://creighton-primo.hosted.exlibrisgroup.com/primo-explore/search?tab=default_tab&amp;search_scope=EVERYTHING&amp;vid=01CRU&amp;lang=en_US&amp;offset=0&amp;query=any,contains,991002636899702656","Catalog Record")</f>
        <v/>
      </c>
      <c r="AV4003">
        <f>HYPERLINK("http://www.worldcat.org/oclc/34545858","WorldCat Record")</f>
        <v/>
      </c>
      <c r="AW4003" t="inlineStr">
        <is>
          <t>9438462298:eng</t>
        </is>
      </c>
      <c r="AX4003" t="inlineStr">
        <is>
          <t>34545858</t>
        </is>
      </c>
      <c r="AY4003" t="inlineStr">
        <is>
          <t>991002636899702656</t>
        </is>
      </c>
      <c r="AZ4003" t="inlineStr">
        <is>
          <t>991002636899702656</t>
        </is>
      </c>
      <c r="BA4003" t="inlineStr">
        <is>
          <t>2261927660002656</t>
        </is>
      </c>
      <c r="BB4003" t="inlineStr">
        <is>
          <t>BOOK</t>
        </is>
      </c>
      <c r="BD4003" t="inlineStr">
        <is>
          <t>9780192123206</t>
        </is>
      </c>
      <c r="BE4003" t="inlineStr">
        <is>
          <t>32285002155710</t>
        </is>
      </c>
      <c r="BF4003" t="inlineStr">
        <is>
          <t>893239312</t>
        </is>
      </c>
    </row>
    <row r="4004">
      <c r="A4004" t="inlineStr">
        <is>
          <t>No</t>
        </is>
      </c>
      <c r="B4004" t="inlineStr">
        <is>
          <t>CURAL</t>
        </is>
      </c>
      <c r="C4004" t="inlineStr">
        <is>
          <t>SHELVES</t>
        </is>
      </c>
      <c r="D4004" t="inlineStr">
        <is>
          <t>PR990 .K58 1998</t>
        </is>
      </c>
      <c r="E4004" t="inlineStr">
        <is>
          <t>0                      PR 0990000K  58          1998</t>
        </is>
      </c>
      <c r="F4004" t="inlineStr">
        <is>
          <t>Ventures into childland : Victorians, fairy tales, and femininity / U.C. Knoepflmacher.</t>
        </is>
      </c>
      <c r="H4004" t="inlineStr">
        <is>
          <t>No</t>
        </is>
      </c>
      <c r="I4004" t="inlineStr">
        <is>
          <t>1</t>
        </is>
      </c>
      <c r="J4004" t="inlineStr">
        <is>
          <t>No</t>
        </is>
      </c>
      <c r="K4004" t="inlineStr">
        <is>
          <t>No</t>
        </is>
      </c>
      <c r="L4004" t="inlineStr">
        <is>
          <t>0</t>
        </is>
      </c>
      <c r="M4004" t="inlineStr">
        <is>
          <t>Knoepflmacher, U. C.</t>
        </is>
      </c>
      <c r="N4004" t="inlineStr">
        <is>
          <t>Chicago : University of Chicago Press, 1998.</t>
        </is>
      </c>
      <c r="O4004" t="inlineStr">
        <is>
          <t>1998</t>
        </is>
      </c>
      <c r="Q4004" t="inlineStr">
        <is>
          <t>eng</t>
        </is>
      </c>
      <c r="R4004" t="inlineStr">
        <is>
          <t>ilu</t>
        </is>
      </c>
      <c r="T4004" t="inlineStr">
        <is>
          <t xml:space="preserve">PR </t>
        </is>
      </c>
      <c r="U4004" t="n">
        <v>4</v>
      </c>
      <c r="V4004" t="n">
        <v>4</v>
      </c>
      <c r="W4004" t="inlineStr">
        <is>
          <t>2008-04-02</t>
        </is>
      </c>
      <c r="X4004" t="inlineStr">
        <is>
          <t>2008-04-02</t>
        </is>
      </c>
      <c r="Y4004" t="inlineStr">
        <is>
          <t>2000-02-29</t>
        </is>
      </c>
      <c r="Z4004" t="inlineStr">
        <is>
          <t>2000-02-29</t>
        </is>
      </c>
      <c r="AA4004" t="n">
        <v>844</v>
      </c>
      <c r="AB4004" t="n">
        <v>684</v>
      </c>
      <c r="AC4004" t="n">
        <v>684</v>
      </c>
      <c r="AD4004" t="n">
        <v>6</v>
      </c>
      <c r="AE4004" t="n">
        <v>6</v>
      </c>
      <c r="AF4004" t="n">
        <v>40</v>
      </c>
      <c r="AG4004" t="n">
        <v>40</v>
      </c>
      <c r="AH4004" t="n">
        <v>15</v>
      </c>
      <c r="AI4004" t="n">
        <v>15</v>
      </c>
      <c r="AJ4004" t="n">
        <v>10</v>
      </c>
      <c r="AK4004" t="n">
        <v>10</v>
      </c>
      <c r="AL4004" t="n">
        <v>20</v>
      </c>
      <c r="AM4004" t="n">
        <v>20</v>
      </c>
      <c r="AN4004" t="n">
        <v>5</v>
      </c>
      <c r="AO4004" t="n">
        <v>5</v>
      </c>
      <c r="AP4004" t="n">
        <v>0</v>
      </c>
      <c r="AQ4004" t="n">
        <v>0</v>
      </c>
      <c r="AR4004" t="inlineStr">
        <is>
          <t>No</t>
        </is>
      </c>
      <c r="AS4004" t="inlineStr">
        <is>
          <t>No</t>
        </is>
      </c>
      <c r="AU4004">
        <f>HYPERLINK("https://creighton-primo.hosted.exlibrisgroup.com/primo-explore/search?tab=default_tab&amp;search_scope=EVERYTHING&amp;vid=01CRU&amp;lang=en_US&amp;offset=0&amp;query=any,contains,991002861769702656","Catalog Record")</f>
        <v/>
      </c>
      <c r="AV4004">
        <f>HYPERLINK("http://www.worldcat.org/oclc/37721239","WorldCat Record")</f>
        <v/>
      </c>
      <c r="AW4004" t="inlineStr">
        <is>
          <t>807121363:eng</t>
        </is>
      </c>
      <c r="AX4004" t="inlineStr">
        <is>
          <t>37721239</t>
        </is>
      </c>
      <c r="AY4004" t="inlineStr">
        <is>
          <t>991002861769702656</t>
        </is>
      </c>
      <c r="AZ4004" t="inlineStr">
        <is>
          <t>991002861769702656</t>
        </is>
      </c>
      <c r="BA4004" t="inlineStr">
        <is>
          <t>2257827380002656</t>
        </is>
      </c>
      <c r="BB4004" t="inlineStr">
        <is>
          <t>BOOK</t>
        </is>
      </c>
      <c r="BD4004" t="inlineStr">
        <is>
          <t>9780226448152</t>
        </is>
      </c>
      <c r="BE4004" t="inlineStr">
        <is>
          <t>32285003665378</t>
        </is>
      </c>
      <c r="BF4004" t="inlineStr">
        <is>
          <t>893899336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2022-06-26T23:46:46Z</dcterms:created>
  <dcterms:modified xsi:type="dcterms:W3CDTF">2022-06-26T23:46:46Z</dcterms:modified>
</cp:coreProperties>
</file>